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120" windowWidth="12600" windowHeight="12105" tabRatio="715"/>
  </bookViews>
  <sheets>
    <sheet name="Updates" sheetId="27" r:id="rId1"/>
    <sheet name="Instructions" sheetId="17" r:id="rId2"/>
    <sheet name="Creation" sheetId="2" r:id="rId3"/>
    <sheet name="CharacterSheet" sheetId="1" r:id="rId4"/>
    <sheet name="Note Sheets" sheetId="30" r:id="rId5"/>
    <sheet name="Advantages" sheetId="8" r:id="rId6"/>
    <sheet name="Followers and Creatures" sheetId="18" r:id="rId7"/>
    <sheet name="Guides and Relics" sheetId="19" r:id="rId8"/>
    <sheet name="Purchased Boons" sheetId="22" r:id="rId9"/>
    <sheet name="Purchased Knacks" sheetId="23" r:id="rId10"/>
    <sheet name="DotTracking" sheetId="4" r:id="rId11"/>
    <sheet name="DemigodConversion" sheetId="3" r:id="rId12"/>
    <sheet name="GodConversion" sheetId="15" r:id="rId13"/>
    <sheet name="Sandbox" sheetId="20" r:id="rId14"/>
    <sheet name="House Rules" sheetId="25" r:id="rId15"/>
    <sheet name="John's Notes" sheetId="26" state="hidden" r:id="rId16"/>
    <sheet name="ArmoryRef" sheetId="16" state="hidden" r:id="rId17"/>
    <sheet name="AssociatedRef" sheetId="9" state="hidden" r:id="rId18"/>
    <sheet name="BoonRef" sheetId="10" state="hidden" r:id="rId19"/>
    <sheet name="Boonref2" sheetId="28" state="hidden" r:id="rId20"/>
    <sheet name="CFRef" sheetId="24" state="hidden" r:id="rId21"/>
    <sheet name="DescRef" sheetId="29" state="hidden" r:id="rId22"/>
    <sheet name="KanckRef" sheetId="13" state="hidden" r:id="rId23"/>
    <sheet name="PantheonList" sheetId="14" state="hidden" r:id="rId24"/>
    <sheet name="Reference" sheetId="11" state="hidden" r:id="rId25"/>
  </sheets>
  <definedNames>
    <definedName name="_xlnm._FilterDatabase" localSheetId="16" hidden="1">ArmoryRef!$A$2:$L$74</definedName>
    <definedName name="_xlnm._FilterDatabase" localSheetId="17" hidden="1">AssociatedRef!$AR$1:$BM$1</definedName>
    <definedName name="_xlnm._FilterDatabase" localSheetId="18" hidden="1">BoonRef!$A$1:$Z$670</definedName>
    <definedName name="_xlnm._FilterDatabase" localSheetId="3" hidden="1">CharacterSheet!$A$1:$CU$46</definedName>
    <definedName name="_xlnm._FilterDatabase" localSheetId="21" hidden="1">DescRef!$D$2:$E$172</definedName>
    <definedName name="_xlnm._FilterDatabase" localSheetId="22" hidden="1">KanckRef!$A$1:$G$172</definedName>
    <definedName name="advantagetype">Reference!$D$29:$D$30</definedName>
    <definedName name="Aesir">Reference!$A$42:$A$54</definedName>
    <definedName name="Allied">Reference!$A$174:$A$182</definedName>
    <definedName name="Amatsukami">Reference!$A$56:$A$63</definedName>
    <definedName name="Animal">Reference!$D$56:$D$68</definedName>
    <definedName name="Appearance">Reference!$F$1:$F$19</definedName>
    <definedName name="Arete">Reference!$E$56:$E$65</definedName>
    <definedName name="Armor">Reference!$G$109:$G$150</definedName>
    <definedName name="Asha">Reference!$D$69:$D$78</definedName>
    <definedName name="Atlanteans">Reference!$A$65:$A$71</definedName>
    <definedName name="Atzlanti">Reference!$A$73:$A$79</definedName>
    <definedName name="Birthrights">Reference!$E$26:$E$30</definedName>
    <definedName name="Boon">Reference!$G$2:$G$28</definedName>
    <definedName name="BRList1">BoonRef!$AC$2:$AC$12</definedName>
    <definedName name="BRList2">BoonRef!$AF$2:$AF$27</definedName>
    <definedName name="BRList3">BoonRef!$AI$2:$AI$42</definedName>
    <definedName name="BRList4">BoonRef!$AI$43:$AI$55</definedName>
    <definedName name="Celestial_Bureaucracy">Reference!$A$81:$A$92</definedName>
    <definedName name="Chaos">Reference!$E$66:$E$78</definedName>
    <definedName name="Charisma">Reference!$F$20:$F$37</definedName>
    <definedName name="Cheval">Reference!$D$79:$D$88</definedName>
    <definedName name="Civitas">Reference!$E$79:$E$88</definedName>
    <definedName name="Creature">CFRef!$BZ$2:$BZ$46</definedName>
    <definedName name="CustomCF">CFRef!$CF$2:$CF$7</definedName>
    <definedName name="Darkness">Reference!$D$89:$D$101</definedName>
    <definedName name="Death">Reference!$E$89:$E$101</definedName>
    <definedName name="Devas">Reference!$A$94:$A$105</definedName>
    <definedName name="Dexterity">Reference!$F$38:$F$56</definedName>
    <definedName name="Dodekatheon">Reference!$A$107:$A$120</definedName>
    <definedName name="Earth">Reference!$D$102:$D$114</definedName>
    <definedName name="Enech">Reference!$E$102:$E$111</definedName>
    <definedName name="Fertility">Reference!$D$115:$D$127</definedName>
    <definedName name="Fire">Reference!$E$112:$E$124</definedName>
    <definedName name="Followers1">CFRef!$CA$2:$CA$9</definedName>
    <definedName name="Followers2">CFRef!$CB$2:$CB$21</definedName>
    <definedName name="Followers3">CFRef!$CC$2:$CC$36</definedName>
    <definedName name="Followers4">CFRef!$CD$2:$CD$40</definedName>
    <definedName name="Followers5">CFRef!$CE$2:$CE$41</definedName>
    <definedName name="Free">'Purchased Boons'!$AR$32</definedName>
    <definedName name="Frost">Reference!$D$128:$D$138</definedName>
    <definedName name="Guardian">Reference!$E$125:$E$138</definedName>
    <definedName name="Health">Reference!$D$139:$D$152</definedName>
    <definedName name="Heku">Reference!$E$139:$E$148</definedName>
    <definedName name="Illusion">Reference!$D$153:$D$163</definedName>
    <definedName name="Industry">Reference!$E$149:$E$158</definedName>
    <definedName name="Intelligence">Reference!$F$57:$F$75</definedName>
    <definedName name="Itztli">Reference!$D$164:$D$173</definedName>
    <definedName name="Jotunblut">Reference!$E$159:$E$168</definedName>
    <definedName name="Justice">Reference!$E$169:$E$181</definedName>
    <definedName name="Knack">Reference!$G$29:$G$38</definedName>
    <definedName name="Loa">Reference!$A$122:$A$128</definedName>
    <definedName name="Magic">Reference!$C$47:$C$77</definedName>
    <definedName name="Manipulation">Reference!$F$76:$F$93</definedName>
    <definedName name="Moon">Reference!$C$78:$C$90</definedName>
    <definedName name="Mystery">Reference!$C$91:$C$101</definedName>
    <definedName name="Natures">Reference!$A$2:$A$24</definedName>
    <definedName name="No">Reference!$F$113</definedName>
    <definedName name="Pantheons">PantheonList!$A$2:$A$15</definedName>
    <definedName name="Perception">Reference!$G$52:$G$70</definedName>
    <definedName name="Pesedjet">Reference!$A$130:$A$140</definedName>
    <definedName name="_xlnm.Print_Area" localSheetId="21">DescRef!$A$1:$E$844</definedName>
    <definedName name="_xlnm.Print_Area" localSheetId="22">KanckRef!$A$1:$Y$172</definedName>
    <definedName name="Priority">Reference!$D$25:$D$28</definedName>
    <definedName name="Prophecy">Reference!$C$102:$C$112</definedName>
    <definedName name="Psychopomp">Reference!$C$113:$C$126</definedName>
    <definedName name="Purviews">Reference!$G$3:$G$28</definedName>
    <definedName name="Samsara">Reference!$C$127:$C$136</definedName>
    <definedName name="Scire">Reference!$C$137:$C$146</definedName>
    <definedName name="Select">Reference!$A$2</definedName>
    <definedName name="Sky">Reference!$C$147:$C$159</definedName>
    <definedName name="Sources">Reference!$G$2:$G$38</definedName>
    <definedName name="Special">Reference!$B$23:$B$27</definedName>
    <definedName name="Stamina">Reference!$G$71:$G$90</definedName>
    <definedName name="Stars">Reference!$C$160:$C$170</definedName>
    <definedName name="Strength">Reference!$F$94:$F$112</definedName>
    <definedName name="Sun">Reference!$C$171:$C$183</definedName>
    <definedName name="Taiyi">Reference!$D$174:$D$183</definedName>
    <definedName name="Test">Reference!$C$30:$C$31</definedName>
    <definedName name="TsukumoGami">Reference!$F$146:$F$155</definedName>
    <definedName name="Tuatha">Reference!$A$142:$A$151</definedName>
    <definedName name="Virtues">Reference!$G$40:$G$51</definedName>
    <definedName name="War">Reference!$F$156:$F$170</definedName>
    <definedName name="Water">Reference!$F$171:$F$183</definedName>
    <definedName name="Weapon">Reference!$B$47:$B$184</definedName>
    <definedName name="weaptype">Reference!$B$28:$B$31</definedName>
    <definedName name="Wits">Reference!$G$91:$G$108</definedName>
    <definedName name="xZZ1">'Note Sheets'!$TZZ$1</definedName>
    <definedName name="Yankee">Reference!$A$164:$A$172</definedName>
    <definedName name="Yazata">Reference!$A$153:$A$162</definedName>
    <definedName name="Yes">Reference!$F$113:$F$114</definedName>
    <definedName name="yPS1">'Note Sheets'!$UPS$1</definedName>
    <definedName name="zPS1">'Note Sheets'!$UPS$1</definedName>
    <definedName name="ZZZ1">'Note Sheets'!$QU:$BRZ</definedName>
    <definedName name="zZZ5">'Note Sheets'!$HZZ$5</definedName>
  </definedNames>
  <calcPr calcId="145621"/>
</workbook>
</file>

<file path=xl/calcChain.xml><?xml version="1.0" encoding="utf-8"?>
<calcChain xmlns="http://schemas.openxmlformats.org/spreadsheetml/2006/main">
  <c r="M38" i="16" l="1"/>
  <c r="M37" i="16"/>
  <c r="M36" i="16"/>
  <c r="M35" i="16"/>
  <c r="M34" i="16"/>
  <c r="M33" i="16"/>
  <c r="M32" i="16"/>
  <c r="M31" i="16"/>
  <c r="M30" i="16"/>
  <c r="M29" i="16"/>
  <c r="M28" i="16"/>
  <c r="M27" i="16"/>
  <c r="M26" i="16"/>
  <c r="M25" i="16"/>
  <c r="M24" i="16"/>
  <c r="X156" i="10"/>
  <c r="X155" i="10"/>
  <c r="X154" i="10"/>
  <c r="X153" i="10"/>
  <c r="X152" i="10"/>
  <c r="X151" i="10"/>
  <c r="X150" i="10"/>
  <c r="X149" i="10"/>
  <c r="X148" i="10"/>
  <c r="X147" i="10"/>
  <c r="X146" i="10"/>
  <c r="X145" i="10"/>
  <c r="X144" i="10"/>
  <c r="X143" i="10"/>
  <c r="X142" i="10"/>
  <c r="X141" i="10"/>
  <c r="X140" i="10"/>
  <c r="X139" i="10"/>
  <c r="X138" i="10"/>
  <c r="X137" i="10"/>
  <c r="X136" i="10"/>
  <c r="X135" i="10"/>
  <c r="X134" i="10"/>
  <c r="X133" i="10"/>
  <c r="X132" i="10"/>
  <c r="X131" i="10"/>
  <c r="X130" i="10"/>
  <c r="X129" i="10"/>
  <c r="X128" i="10"/>
  <c r="X127" i="10"/>
  <c r="X126" i="10"/>
  <c r="X125" i="10"/>
  <c r="X124" i="10"/>
  <c r="X123" i="10"/>
  <c r="X122" i="10"/>
  <c r="X121" i="10"/>
  <c r="X120" i="10"/>
  <c r="X119" i="10"/>
  <c r="X118" i="10"/>
  <c r="X117" i="10"/>
  <c r="X116" i="10"/>
  <c r="X115" i="10"/>
  <c r="X114" i="10"/>
  <c r="X113" i="10"/>
  <c r="X112" i="10"/>
  <c r="X111" i="10"/>
  <c r="X110" i="10"/>
  <c r="X109" i="10"/>
  <c r="X108" i="10"/>
  <c r="X107" i="10"/>
  <c r="X106" i="10"/>
  <c r="X105" i="10"/>
  <c r="X104" i="10"/>
  <c r="X103" i="10"/>
  <c r="X102" i="10"/>
  <c r="X101" i="10"/>
  <c r="X100" i="10"/>
  <c r="X99" i="10"/>
  <c r="X98" i="10"/>
  <c r="X97" i="10"/>
  <c r="X96" i="10"/>
  <c r="X95" i="10"/>
  <c r="X94" i="10"/>
  <c r="X93" i="10"/>
  <c r="X92" i="10"/>
  <c r="X91" i="10"/>
  <c r="X90" i="10"/>
  <c r="X89" i="10"/>
  <c r="X88" i="10"/>
  <c r="X87" i="10"/>
  <c r="X86" i="10"/>
  <c r="X85" i="10"/>
  <c r="X84" i="10"/>
  <c r="X83" i="10"/>
  <c r="X82" i="10"/>
  <c r="X81" i="10"/>
  <c r="X80" i="10"/>
  <c r="X79" i="10"/>
  <c r="X78" i="10"/>
  <c r="X77" i="10"/>
  <c r="X76" i="10"/>
  <c r="X75" i="10"/>
  <c r="X74" i="10"/>
  <c r="X73" i="10"/>
  <c r="X72" i="10"/>
  <c r="X71"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X8" i="10"/>
  <c r="X7" i="10"/>
  <c r="X6" i="10"/>
  <c r="X5" i="10"/>
  <c r="X4" i="10"/>
  <c r="X3" i="10"/>
  <c r="X2" i="10"/>
  <c r="W156" i="10"/>
  <c r="W155" i="10"/>
  <c r="W154" i="10"/>
  <c r="W153" i="10"/>
  <c r="W152" i="10"/>
  <c r="W151" i="10"/>
  <c r="W150" i="10"/>
  <c r="W149" i="10"/>
  <c r="W148" i="10"/>
  <c r="W147" i="10"/>
  <c r="W146" i="10"/>
  <c r="W145" i="10"/>
  <c r="W144" i="10"/>
  <c r="W143" i="10"/>
  <c r="W142" i="10"/>
  <c r="W141" i="10"/>
  <c r="W140" i="10"/>
  <c r="W139" i="10"/>
  <c r="W138" i="10"/>
  <c r="W137" i="10"/>
  <c r="W136" i="10"/>
  <c r="W135" i="10"/>
  <c r="W134" i="10"/>
  <c r="W133" i="10"/>
  <c r="W132" i="10"/>
  <c r="W131" i="10"/>
  <c r="W130" i="10"/>
  <c r="W129" i="10"/>
  <c r="W128" i="10"/>
  <c r="W127" i="10"/>
  <c r="W126" i="10"/>
  <c r="W125" i="10"/>
  <c r="W124" i="10"/>
  <c r="W123" i="10"/>
  <c r="W122" i="10"/>
  <c r="W121" i="10"/>
  <c r="W120" i="10"/>
  <c r="W119" i="10"/>
  <c r="W118" i="10"/>
  <c r="W117" i="10"/>
  <c r="W116" i="10"/>
  <c r="W115" i="10"/>
  <c r="W114" i="10"/>
  <c r="W113" i="10"/>
  <c r="W112" i="10"/>
  <c r="W111" i="10"/>
  <c r="W110"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W10" i="10"/>
  <c r="W9" i="10"/>
  <c r="W8" i="10"/>
  <c r="W7" i="10"/>
  <c r="W6" i="10"/>
  <c r="W5" i="10"/>
  <c r="W4" i="10"/>
  <c r="W3" i="10"/>
  <c r="W2" i="10"/>
  <c r="B844" i="29"/>
  <c r="B843" i="29"/>
  <c r="B842" i="29"/>
  <c r="B841" i="29"/>
  <c r="B840" i="29"/>
  <c r="B839" i="29"/>
  <c r="B838" i="29"/>
  <c r="B837" i="29"/>
  <c r="B836" i="29"/>
  <c r="B835" i="29"/>
  <c r="B834" i="29"/>
  <c r="B833" i="29"/>
  <c r="B832" i="29"/>
  <c r="B831" i="29"/>
  <c r="B830" i="29"/>
  <c r="B829" i="29"/>
  <c r="B828" i="29"/>
  <c r="B827" i="29"/>
  <c r="B826" i="29"/>
  <c r="B825" i="29"/>
  <c r="B824" i="29"/>
  <c r="B823" i="29"/>
  <c r="B822" i="29"/>
  <c r="B821" i="29"/>
  <c r="B820" i="29"/>
  <c r="B819" i="29"/>
  <c r="B818" i="29"/>
  <c r="B817" i="29"/>
  <c r="B816" i="29"/>
  <c r="B815" i="29"/>
  <c r="B814" i="29"/>
  <c r="B813" i="29"/>
  <c r="B812" i="29"/>
  <c r="B811" i="29"/>
  <c r="B810" i="29"/>
  <c r="B809" i="29"/>
  <c r="B808" i="29"/>
  <c r="B807" i="29"/>
  <c r="B806" i="29"/>
  <c r="B805" i="29"/>
  <c r="B804" i="29"/>
  <c r="B803" i="29"/>
  <c r="B802" i="29"/>
  <c r="B801" i="29"/>
  <c r="B800" i="29"/>
  <c r="B799" i="29"/>
  <c r="B798" i="29"/>
  <c r="B797" i="29"/>
  <c r="B796" i="29"/>
  <c r="B795" i="29"/>
  <c r="B794" i="29"/>
  <c r="B793" i="29"/>
  <c r="B792" i="29"/>
  <c r="B791" i="29"/>
  <c r="B790" i="29"/>
  <c r="B789" i="29"/>
  <c r="B788" i="29"/>
  <c r="B787" i="29"/>
  <c r="B786" i="29"/>
  <c r="B785" i="29"/>
  <c r="B784" i="29"/>
  <c r="B783" i="29"/>
  <c r="B782" i="29"/>
  <c r="B781" i="29"/>
  <c r="B780" i="29"/>
  <c r="B779" i="29"/>
  <c r="B778" i="29"/>
  <c r="B777" i="29"/>
  <c r="B776" i="29"/>
  <c r="B775" i="29"/>
  <c r="B774" i="29"/>
  <c r="B773" i="29"/>
  <c r="B772" i="29"/>
  <c r="B771" i="29"/>
  <c r="B770" i="29"/>
  <c r="B769" i="29"/>
  <c r="B768" i="29"/>
  <c r="B767" i="29"/>
  <c r="B766" i="29"/>
  <c r="B765" i="29"/>
  <c r="B764" i="29"/>
  <c r="B763" i="29"/>
  <c r="B762" i="29"/>
  <c r="B761" i="29"/>
  <c r="B760" i="29"/>
  <c r="B759" i="29"/>
  <c r="B758" i="29"/>
  <c r="B757" i="29"/>
  <c r="B756" i="29"/>
  <c r="B755" i="29"/>
  <c r="B754" i="29"/>
  <c r="B753" i="29"/>
  <c r="B752" i="29"/>
  <c r="B751" i="29"/>
  <c r="B750" i="29"/>
  <c r="B749" i="29"/>
  <c r="B748" i="29"/>
  <c r="B747" i="29"/>
  <c r="B746" i="29"/>
  <c r="B745" i="29"/>
  <c r="B744" i="29"/>
  <c r="B743" i="29"/>
  <c r="B742" i="29"/>
  <c r="B741" i="29"/>
  <c r="B740" i="29"/>
  <c r="B739" i="29"/>
  <c r="B738" i="29"/>
  <c r="B737" i="29"/>
  <c r="B736" i="29"/>
  <c r="B735" i="29"/>
  <c r="B734" i="29"/>
  <c r="B733" i="29"/>
  <c r="B732" i="29"/>
  <c r="B731" i="29"/>
  <c r="B730" i="29"/>
  <c r="B729" i="29"/>
  <c r="B728" i="29"/>
  <c r="B727" i="29"/>
  <c r="B726" i="29"/>
  <c r="B725" i="29"/>
  <c r="B724" i="29"/>
  <c r="B723" i="29"/>
  <c r="B722" i="29"/>
  <c r="B721" i="29"/>
  <c r="B720" i="29"/>
  <c r="B719" i="29"/>
  <c r="B718" i="29"/>
  <c r="B717" i="29"/>
  <c r="B716" i="29"/>
  <c r="B715" i="29"/>
  <c r="B714" i="29"/>
  <c r="B713" i="29"/>
  <c r="B712" i="29"/>
  <c r="B711" i="29"/>
  <c r="B710" i="29"/>
  <c r="B709" i="29"/>
  <c r="B708" i="29"/>
  <c r="B707" i="29"/>
  <c r="B706" i="29"/>
  <c r="B705" i="29"/>
  <c r="B704" i="29"/>
  <c r="B703" i="29"/>
  <c r="B702" i="29"/>
  <c r="B701" i="29"/>
  <c r="B700" i="29"/>
  <c r="B699" i="29"/>
  <c r="B698" i="29"/>
  <c r="B697" i="29"/>
  <c r="B696" i="29"/>
  <c r="B695" i="29"/>
  <c r="B694" i="29"/>
  <c r="B693" i="29"/>
  <c r="B692" i="29"/>
  <c r="B691" i="29"/>
  <c r="B690"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F307" i="22" l="1"/>
  <c r="E23" i="3"/>
  <c r="AO92" i="18"/>
  <c r="Z92" i="18"/>
  <c r="P92" i="18"/>
  <c r="A92" i="18"/>
  <c r="AW90" i="18"/>
  <c r="AU90" i="18"/>
  <c r="AR90" i="18"/>
  <c r="AO90" i="18"/>
  <c r="AL90" i="18"/>
  <c r="Z90" i="18"/>
  <c r="X90" i="18"/>
  <c r="V90" i="18"/>
  <c r="S90" i="18"/>
  <c r="P90" i="18"/>
  <c r="M90" i="18"/>
  <c r="A90" i="18"/>
  <c r="AW89" i="18"/>
  <c r="AU89" i="18"/>
  <c r="AR89" i="18"/>
  <c r="AO89" i="18"/>
  <c r="AL89" i="18"/>
  <c r="Z89" i="18"/>
  <c r="X89" i="18"/>
  <c r="V89" i="18"/>
  <c r="S89" i="18"/>
  <c r="P89" i="18"/>
  <c r="M89" i="18"/>
  <c r="A89" i="18"/>
  <c r="AW88" i="18"/>
  <c r="AU88" i="18"/>
  <c r="AR88" i="18"/>
  <c r="AO88" i="18"/>
  <c r="AL88" i="18"/>
  <c r="Z88" i="18"/>
  <c r="X88" i="18"/>
  <c r="V88" i="18"/>
  <c r="S88" i="18"/>
  <c r="P88" i="18"/>
  <c r="M88" i="18"/>
  <c r="A88" i="18"/>
  <c r="AW87" i="18"/>
  <c r="AU87" i="18"/>
  <c r="AR87" i="18"/>
  <c r="AO87" i="18"/>
  <c r="AL87" i="18"/>
  <c r="Z87" i="18"/>
  <c r="X87" i="18"/>
  <c r="V87" i="18"/>
  <c r="S87" i="18"/>
  <c r="P87" i="18"/>
  <c r="M87" i="18"/>
  <c r="A87" i="18"/>
  <c r="AW86" i="18"/>
  <c r="AU86" i="18"/>
  <c r="AR86" i="18"/>
  <c r="AO86" i="18"/>
  <c r="AL86" i="18"/>
  <c r="Z86" i="18"/>
  <c r="X86" i="18"/>
  <c r="V86" i="18"/>
  <c r="S86" i="18"/>
  <c r="P86" i="18"/>
  <c r="M86" i="18"/>
  <c r="A86" i="18"/>
  <c r="AW85" i="18"/>
  <c r="AU85" i="18"/>
  <c r="AR85" i="18"/>
  <c r="AO85" i="18"/>
  <c r="AL85" i="18"/>
  <c r="Z85" i="18"/>
  <c r="X85" i="18"/>
  <c r="V85" i="18"/>
  <c r="S85" i="18"/>
  <c r="P85" i="18"/>
  <c r="M85" i="18"/>
  <c r="A85" i="18"/>
  <c r="AW84" i="18"/>
  <c r="AU84" i="18"/>
  <c r="AR84" i="18"/>
  <c r="AO84" i="18"/>
  <c r="AL84" i="18"/>
  <c r="Z84" i="18"/>
  <c r="X84" i="18"/>
  <c r="V84" i="18"/>
  <c r="S84" i="18"/>
  <c r="P84" i="18"/>
  <c r="M84" i="18"/>
  <c r="A84" i="18"/>
  <c r="AP82" i="18"/>
  <c r="AJ82" i="18"/>
  <c r="AD82" i="18"/>
  <c r="Q82" i="18"/>
  <c r="K82" i="18"/>
  <c r="E82" i="18"/>
  <c r="AJ81" i="18"/>
  <c r="AD81" i="18"/>
  <c r="K81" i="18"/>
  <c r="E81" i="18"/>
  <c r="AJ80" i="18"/>
  <c r="AD80" i="18"/>
  <c r="Z80" i="18"/>
  <c r="K80" i="18"/>
  <c r="E80" i="18"/>
  <c r="A80" i="18"/>
  <c r="AJ79" i="18"/>
  <c r="AD79" i="18"/>
  <c r="Z79" i="18"/>
  <c r="K79" i="18"/>
  <c r="E79" i="18"/>
  <c r="A79" i="18"/>
  <c r="AJ78" i="18"/>
  <c r="AD78" i="18"/>
  <c r="Z78" i="18"/>
  <c r="K78" i="18"/>
  <c r="E78" i="18"/>
  <c r="A78" i="18"/>
  <c r="AL77" i="18"/>
  <c r="AJ77" i="18"/>
  <c r="AD77" i="18"/>
  <c r="Z77" i="18"/>
  <c r="M77" i="18"/>
  <c r="K77" i="18"/>
  <c r="E77" i="18"/>
  <c r="A77" i="18"/>
  <c r="AW75" i="18"/>
  <c r="AS75" i="18"/>
  <c r="AO75" i="18"/>
  <c r="X75" i="18"/>
  <c r="T75" i="18"/>
  <c r="P75" i="18"/>
  <c r="AW74" i="18"/>
  <c r="AS74" i="18"/>
  <c r="AO74" i="18"/>
  <c r="X74" i="18"/>
  <c r="T74" i="18"/>
  <c r="P74" i="18"/>
  <c r="AW73" i="18"/>
  <c r="AS73" i="18"/>
  <c r="AO73" i="18"/>
  <c r="X73" i="18"/>
  <c r="T73" i="18"/>
  <c r="P73" i="18"/>
  <c r="AO68" i="18"/>
  <c r="Z68" i="18"/>
  <c r="P68" i="18"/>
  <c r="A68" i="18"/>
  <c r="AW66" i="18"/>
  <c r="AU66" i="18"/>
  <c r="AR66" i="18"/>
  <c r="AO66" i="18"/>
  <c r="AL66" i="18"/>
  <c r="Z66" i="18"/>
  <c r="X66" i="18"/>
  <c r="V66" i="18"/>
  <c r="S66" i="18"/>
  <c r="P66" i="18"/>
  <c r="M66" i="18"/>
  <c r="A66" i="18"/>
  <c r="AW65" i="18"/>
  <c r="AU65" i="18"/>
  <c r="AR65" i="18"/>
  <c r="AO65" i="18"/>
  <c r="AL65" i="18"/>
  <c r="Z65" i="18"/>
  <c r="X65" i="18"/>
  <c r="V65" i="18"/>
  <c r="S65" i="18"/>
  <c r="P65" i="18"/>
  <c r="M65" i="18"/>
  <c r="A65" i="18"/>
  <c r="AW64" i="18"/>
  <c r="AU64" i="18"/>
  <c r="AR64" i="18"/>
  <c r="AO64" i="18"/>
  <c r="AL64" i="18"/>
  <c r="Z64" i="18"/>
  <c r="X64" i="18"/>
  <c r="V64" i="18"/>
  <c r="S64" i="18"/>
  <c r="P64" i="18"/>
  <c r="M64" i="18"/>
  <c r="A64" i="18"/>
  <c r="AW63" i="18"/>
  <c r="AU63" i="18"/>
  <c r="AR63" i="18"/>
  <c r="AO63" i="18"/>
  <c r="AL63" i="18"/>
  <c r="Z63" i="18"/>
  <c r="X63" i="18"/>
  <c r="V63" i="18"/>
  <c r="S63" i="18"/>
  <c r="P63" i="18"/>
  <c r="M63" i="18"/>
  <c r="A63" i="18"/>
  <c r="AW62" i="18"/>
  <c r="AU62" i="18"/>
  <c r="AR62" i="18"/>
  <c r="AO62" i="18"/>
  <c r="AL62" i="18"/>
  <c r="Z62" i="18"/>
  <c r="X62" i="18"/>
  <c r="V62" i="18"/>
  <c r="S62" i="18"/>
  <c r="P62" i="18"/>
  <c r="M62" i="18"/>
  <c r="A62" i="18"/>
  <c r="AW61" i="18"/>
  <c r="AU61" i="18"/>
  <c r="AR61" i="18"/>
  <c r="AO61" i="18"/>
  <c r="AL61" i="18"/>
  <c r="Z61" i="18"/>
  <c r="X61" i="18"/>
  <c r="V61" i="18"/>
  <c r="S61" i="18"/>
  <c r="P61" i="18"/>
  <c r="M61" i="18"/>
  <c r="A61" i="18"/>
  <c r="AW60" i="18"/>
  <c r="AU60" i="18"/>
  <c r="AR60" i="18"/>
  <c r="AO60" i="18"/>
  <c r="AL60" i="18"/>
  <c r="Z60" i="18"/>
  <c r="X60" i="18"/>
  <c r="V60" i="18"/>
  <c r="S60" i="18"/>
  <c r="P60" i="18"/>
  <c r="M60" i="18"/>
  <c r="A60" i="18"/>
  <c r="AP58" i="18"/>
  <c r="AJ58" i="18"/>
  <c r="AD58" i="18"/>
  <c r="Q58" i="18"/>
  <c r="K58" i="18"/>
  <c r="E58" i="18"/>
  <c r="AJ57" i="18"/>
  <c r="AD57" i="18"/>
  <c r="K57" i="18"/>
  <c r="E57" i="18"/>
  <c r="AJ56" i="18"/>
  <c r="AD56" i="18"/>
  <c r="Z56" i="18"/>
  <c r="K56" i="18"/>
  <c r="E56" i="18"/>
  <c r="A56" i="18"/>
  <c r="AJ55" i="18"/>
  <c r="AD55" i="18"/>
  <c r="Z55" i="18"/>
  <c r="K55" i="18"/>
  <c r="E55" i="18"/>
  <c r="A55" i="18"/>
  <c r="AJ54" i="18"/>
  <c r="AD54" i="18"/>
  <c r="Z54" i="18"/>
  <c r="K54" i="18"/>
  <c r="E54" i="18"/>
  <c r="A54" i="18"/>
  <c r="AL53" i="18"/>
  <c r="AJ53" i="18"/>
  <c r="AD53" i="18"/>
  <c r="Z53" i="18"/>
  <c r="M53" i="18"/>
  <c r="K53" i="18"/>
  <c r="E53" i="18"/>
  <c r="A53" i="18"/>
  <c r="AW51" i="18"/>
  <c r="AS51" i="18"/>
  <c r="AO51" i="18"/>
  <c r="X51" i="18"/>
  <c r="T51" i="18"/>
  <c r="P51" i="18"/>
  <c r="AW50" i="18"/>
  <c r="AS50" i="18"/>
  <c r="AO50" i="18"/>
  <c r="X50" i="18"/>
  <c r="T50" i="18"/>
  <c r="P50" i="18"/>
  <c r="AW49" i="18"/>
  <c r="AS49" i="18"/>
  <c r="AO49" i="18"/>
  <c r="X49" i="18"/>
  <c r="T49" i="18"/>
  <c r="P49" i="18"/>
  <c r="AO44" i="18"/>
  <c r="Z44" i="18"/>
  <c r="P44" i="18"/>
  <c r="A44" i="18"/>
  <c r="AW42" i="18"/>
  <c r="AU42" i="18"/>
  <c r="AR42" i="18"/>
  <c r="AO42" i="18"/>
  <c r="AL42" i="18"/>
  <c r="Z42" i="18"/>
  <c r="X42" i="18"/>
  <c r="V42" i="18"/>
  <c r="S42" i="18"/>
  <c r="P42" i="18"/>
  <c r="M42" i="18"/>
  <c r="A42" i="18"/>
  <c r="AW41" i="18"/>
  <c r="AU41" i="18"/>
  <c r="AR41" i="18"/>
  <c r="AO41" i="18"/>
  <c r="AL41" i="18"/>
  <c r="Z41" i="18"/>
  <c r="X41" i="18"/>
  <c r="V41" i="18"/>
  <c r="S41" i="18"/>
  <c r="P41" i="18"/>
  <c r="M41" i="18"/>
  <c r="A41" i="18"/>
  <c r="AW40" i="18"/>
  <c r="AU40" i="18"/>
  <c r="AR40" i="18"/>
  <c r="AO40" i="18"/>
  <c r="AL40" i="18"/>
  <c r="Z40" i="18"/>
  <c r="X40" i="18"/>
  <c r="V40" i="18"/>
  <c r="S40" i="18"/>
  <c r="P40" i="18"/>
  <c r="M40" i="18"/>
  <c r="A40" i="18"/>
  <c r="AW39" i="18"/>
  <c r="AU39" i="18"/>
  <c r="AR39" i="18"/>
  <c r="AO39" i="18"/>
  <c r="AL39" i="18"/>
  <c r="Z39" i="18"/>
  <c r="X39" i="18"/>
  <c r="V39" i="18"/>
  <c r="S39" i="18"/>
  <c r="P39" i="18"/>
  <c r="M39" i="18"/>
  <c r="A39" i="18"/>
  <c r="AW38" i="18"/>
  <c r="AU38" i="18"/>
  <c r="AR38" i="18"/>
  <c r="AO38" i="18"/>
  <c r="AL38" i="18"/>
  <c r="Z38" i="18"/>
  <c r="X38" i="18"/>
  <c r="V38" i="18"/>
  <c r="S38" i="18"/>
  <c r="P38" i="18"/>
  <c r="M38" i="18"/>
  <c r="A38" i="18"/>
  <c r="AW37" i="18"/>
  <c r="AU37" i="18"/>
  <c r="AR37" i="18"/>
  <c r="AO37" i="18"/>
  <c r="AL37" i="18"/>
  <c r="Z37" i="18"/>
  <c r="X37" i="18"/>
  <c r="V37" i="18"/>
  <c r="S37" i="18"/>
  <c r="P37" i="18"/>
  <c r="M37" i="18"/>
  <c r="A37" i="18"/>
  <c r="AW36" i="18"/>
  <c r="AU36" i="18"/>
  <c r="AR36" i="18"/>
  <c r="AO36" i="18"/>
  <c r="AL36" i="18"/>
  <c r="Z36" i="18"/>
  <c r="X36" i="18"/>
  <c r="V36" i="18"/>
  <c r="S36" i="18"/>
  <c r="P36" i="18"/>
  <c r="M36" i="18"/>
  <c r="A36" i="18"/>
  <c r="AP34" i="18"/>
  <c r="AJ34" i="18"/>
  <c r="AD34" i="18"/>
  <c r="Q34" i="18"/>
  <c r="K34" i="18"/>
  <c r="E34" i="18"/>
  <c r="AJ33" i="18"/>
  <c r="AD33" i="18"/>
  <c r="K33" i="18"/>
  <c r="E33" i="18"/>
  <c r="AJ32" i="18"/>
  <c r="AD32" i="18"/>
  <c r="Z32" i="18"/>
  <c r="K32" i="18"/>
  <c r="E32" i="18"/>
  <c r="A32" i="18"/>
  <c r="AJ31" i="18"/>
  <c r="AD31" i="18"/>
  <c r="Z31" i="18"/>
  <c r="K31" i="18"/>
  <c r="E31" i="18"/>
  <c r="A31" i="18"/>
  <c r="AJ30" i="18"/>
  <c r="AD30" i="18"/>
  <c r="Z30" i="18"/>
  <c r="K30" i="18"/>
  <c r="E30" i="18"/>
  <c r="A30" i="18"/>
  <c r="AL29" i="18"/>
  <c r="AJ29" i="18"/>
  <c r="AD29" i="18"/>
  <c r="Z29" i="18"/>
  <c r="M29" i="18"/>
  <c r="K29" i="18"/>
  <c r="E29" i="18"/>
  <c r="A29" i="18"/>
  <c r="AW27" i="18"/>
  <c r="AS27" i="18"/>
  <c r="AO27" i="18"/>
  <c r="X27" i="18"/>
  <c r="T27" i="18"/>
  <c r="P27" i="18"/>
  <c r="AW26" i="18"/>
  <c r="AS26" i="18"/>
  <c r="AO26" i="18"/>
  <c r="X26" i="18"/>
  <c r="T26" i="18"/>
  <c r="P26" i="18"/>
  <c r="AW25" i="18"/>
  <c r="AS25" i="18"/>
  <c r="AO25" i="18"/>
  <c r="X25" i="18"/>
  <c r="T25" i="18"/>
  <c r="P25" i="18"/>
  <c r="AO20" i="18"/>
  <c r="Z20" i="18"/>
  <c r="AW18" i="18"/>
  <c r="AU18" i="18"/>
  <c r="AR18" i="18"/>
  <c r="AO18" i="18"/>
  <c r="AL18" i="18"/>
  <c r="Z18" i="18"/>
  <c r="AW17" i="18"/>
  <c r="AU17" i="18"/>
  <c r="AR17" i="18"/>
  <c r="AO17" i="18"/>
  <c r="AL17" i="18"/>
  <c r="Z17" i="18"/>
  <c r="AW16" i="18"/>
  <c r="AU16" i="18"/>
  <c r="AR16" i="18"/>
  <c r="AO16" i="18"/>
  <c r="AL16" i="18"/>
  <c r="Z16" i="18"/>
  <c r="AW15" i="18"/>
  <c r="AU15" i="18"/>
  <c r="AR15" i="18"/>
  <c r="AO15" i="18"/>
  <c r="AL15" i="18"/>
  <c r="Z15" i="18"/>
  <c r="AW14" i="18"/>
  <c r="AU14" i="18"/>
  <c r="AR14" i="18"/>
  <c r="AO14" i="18"/>
  <c r="AL14" i="18"/>
  <c r="Z14" i="18"/>
  <c r="AW13" i="18"/>
  <c r="AU13" i="18"/>
  <c r="AR13" i="18"/>
  <c r="AO13" i="18"/>
  <c r="AL13" i="18"/>
  <c r="Z13" i="18"/>
  <c r="AW12" i="18"/>
  <c r="AU12" i="18"/>
  <c r="AR12" i="18"/>
  <c r="AO12" i="18"/>
  <c r="AL12" i="18"/>
  <c r="Z12" i="18"/>
  <c r="AP10" i="18"/>
  <c r="AJ10" i="18"/>
  <c r="AD10" i="18"/>
  <c r="AJ9" i="18"/>
  <c r="AD9" i="18"/>
  <c r="AJ8" i="18"/>
  <c r="AD8" i="18"/>
  <c r="Z8" i="18"/>
  <c r="AJ7" i="18"/>
  <c r="AD7" i="18"/>
  <c r="Z7" i="18"/>
  <c r="AJ6" i="18"/>
  <c r="AD6" i="18"/>
  <c r="Z6" i="18"/>
  <c r="AL5" i="18"/>
  <c r="AJ5" i="18"/>
  <c r="AD5" i="18"/>
  <c r="Z5" i="18"/>
  <c r="AW3" i="18"/>
  <c r="AS3" i="18"/>
  <c r="AO3" i="18"/>
  <c r="AW2" i="18"/>
  <c r="AS2" i="18"/>
  <c r="AO2" i="18"/>
  <c r="AW1" i="18"/>
  <c r="AS1" i="18"/>
  <c r="AO1" i="18"/>
  <c r="E172" i="23" l="1"/>
  <c r="E151" i="23"/>
  <c r="E130" i="23"/>
  <c r="E108" i="23"/>
  <c r="E88" i="23"/>
  <c r="E68" i="23"/>
  <c r="E44" i="23"/>
  <c r="E23" i="23"/>
  <c r="D56" i="13" l="1"/>
  <c r="F158" i="23" s="1"/>
  <c r="D170" i="13"/>
  <c r="F67" i="23" s="1"/>
  <c r="D57" i="13"/>
  <c r="F135" i="23" s="1"/>
  <c r="D58" i="13"/>
  <c r="F119" i="23" s="1"/>
  <c r="D60" i="13"/>
  <c r="F10" i="23" s="1"/>
  <c r="D123" i="13"/>
  <c r="F60" i="23" s="1"/>
  <c r="D54" i="13"/>
  <c r="F30" i="23" s="1"/>
  <c r="D141" i="13"/>
  <c r="F190" i="23" s="1"/>
  <c r="D121" i="13"/>
  <c r="F188" i="23" s="1"/>
  <c r="D106" i="13"/>
  <c r="F184" i="23" s="1"/>
  <c r="D94" i="13"/>
  <c r="F182" i="23" s="1"/>
  <c r="D154" i="13"/>
  <c r="F168" i="23" s="1"/>
  <c r="D113" i="13"/>
  <c r="F164" i="23" s="1"/>
  <c r="D93" i="13"/>
  <c r="F162" i="23" s="1"/>
  <c r="D87" i="13"/>
  <c r="F160" i="23" s="1"/>
  <c r="D55" i="13"/>
  <c r="F157" i="23" s="1"/>
  <c r="D163" i="13"/>
  <c r="F150" i="23" s="1"/>
  <c r="D148" i="13"/>
  <c r="F147" i="23" s="1"/>
  <c r="D126" i="13"/>
  <c r="F143" i="23" s="1"/>
  <c r="D115" i="13"/>
  <c r="F139" i="23" s="1"/>
  <c r="D137" i="13"/>
  <c r="F125" i="23" s="1"/>
  <c r="D89" i="13"/>
  <c r="F121" i="23" s="1"/>
  <c r="D48" i="13"/>
  <c r="F118" i="23" s="1"/>
  <c r="D26" i="13"/>
  <c r="F113" i="23" s="1"/>
  <c r="D152" i="13"/>
  <c r="F106" i="23" s="1"/>
  <c r="D147" i="13"/>
  <c r="F105" i="23" s="1"/>
  <c r="D21" i="13"/>
  <c r="F112" i="23" s="1"/>
  <c r="D108" i="13"/>
  <c r="F101" i="23" s="1"/>
  <c r="D59" i="13"/>
  <c r="F93" i="23" s="1"/>
  <c r="D102" i="13"/>
  <c r="F83" i="23" s="1"/>
  <c r="D74" i="13"/>
  <c r="F81" i="23" s="1"/>
  <c r="D22" i="13"/>
  <c r="F76" i="23" s="1"/>
  <c r="D12" i="13"/>
  <c r="F73" i="23" s="1"/>
  <c r="D8" i="13"/>
  <c r="F70" i="23" s="1"/>
  <c r="D142" i="13"/>
  <c r="F64" i="23" s="1"/>
  <c r="D135" i="13"/>
  <c r="F62" i="23" s="1"/>
  <c r="D73" i="13"/>
  <c r="F56" i="23" s="1"/>
  <c r="D65" i="13"/>
  <c r="F54" i="23" s="1"/>
  <c r="D31" i="13"/>
  <c r="F47" i="23" s="1"/>
  <c r="D165" i="13"/>
  <c r="F42" i="23" s="1"/>
  <c r="D160" i="13"/>
  <c r="F41" i="23" s="1"/>
  <c r="D98" i="13"/>
  <c r="F33" i="23" s="1"/>
  <c r="D167" i="13"/>
  <c r="F22" i="23" s="1"/>
  <c r="D90" i="13"/>
  <c r="F31" i="23" s="1"/>
  <c r="D20" i="13"/>
  <c r="F27" i="23" s="1"/>
  <c r="D67" i="13"/>
  <c r="F13" i="23" s="1"/>
  <c r="D66" i="13"/>
  <c r="F12" i="23" s="1"/>
  <c r="D64" i="13"/>
  <c r="F11" i="23" s="1"/>
  <c r="D30" i="13"/>
  <c r="F5" i="23" s="1"/>
  <c r="D153" i="13"/>
  <c r="F191" i="23" s="1"/>
  <c r="D132" i="13"/>
  <c r="F189" i="23" s="1"/>
  <c r="D120" i="13"/>
  <c r="F187" i="23" s="1"/>
  <c r="D107" i="13"/>
  <c r="F185" i="23" s="1"/>
  <c r="D82" i="13"/>
  <c r="F181" i="23" s="1"/>
  <c r="D169" i="13"/>
  <c r="F170" i="23" s="1"/>
  <c r="D155" i="13"/>
  <c r="F169" i="23" s="1"/>
  <c r="D144" i="13"/>
  <c r="F165" i="23" s="1"/>
  <c r="D136" i="13"/>
  <c r="F145" i="23" s="1"/>
  <c r="D124" i="13"/>
  <c r="F141" i="23" s="1"/>
  <c r="D79" i="13"/>
  <c r="F159" i="23" s="1"/>
  <c r="D14" i="13"/>
  <c r="F154" i="23" s="1"/>
  <c r="D110" i="13"/>
  <c r="F138" i="23" s="1"/>
  <c r="D63" i="13"/>
  <c r="F136" i="23" s="1"/>
  <c r="D24" i="13"/>
  <c r="F133" i="23" s="1"/>
  <c r="D166" i="13"/>
  <c r="F128" i="23" s="1"/>
  <c r="D151" i="13"/>
  <c r="F126" i="23" s="1"/>
  <c r="D46" i="13"/>
  <c r="F117" i="23" s="1"/>
  <c r="D33" i="13"/>
  <c r="F115" i="23" s="1"/>
  <c r="D134" i="13"/>
  <c r="F104" i="23" s="1"/>
  <c r="D83" i="13"/>
  <c r="F97" i="23" s="1"/>
  <c r="D61" i="13"/>
  <c r="F80" i="23" s="1"/>
  <c r="D39" i="13"/>
  <c r="F78" i="23" s="1"/>
  <c r="D17" i="13"/>
  <c r="F74" i="23" s="1"/>
  <c r="D157" i="13"/>
  <c r="F65" i="23" s="1"/>
  <c r="D80" i="13"/>
  <c r="F57" i="23" s="1"/>
  <c r="D69" i="13"/>
  <c r="F55" i="23" s="1"/>
  <c r="D53" i="13"/>
  <c r="F53" i="23" s="1"/>
  <c r="D38" i="13"/>
  <c r="F49" i="23" s="1"/>
  <c r="D130" i="13"/>
  <c r="F38" i="23" s="1"/>
  <c r="D116" i="13"/>
  <c r="F36" i="23" s="1"/>
  <c r="D114" i="13"/>
  <c r="F35" i="23" s="1"/>
  <c r="D5" i="13"/>
  <c r="F26" i="23" s="1"/>
  <c r="D91" i="13"/>
  <c r="F17" i="23" s="1"/>
  <c r="D4" i="13"/>
  <c r="F25" i="23" s="1"/>
  <c r="D85" i="13"/>
  <c r="F16" i="23" s="1"/>
  <c r="D68" i="13"/>
  <c r="F14" i="23" s="1"/>
  <c r="D37" i="13"/>
  <c r="F7" i="23" s="1"/>
  <c r="D35" i="13"/>
  <c r="F6" i="23" s="1"/>
  <c r="D112" i="13"/>
  <c r="F186" i="23" s="1"/>
  <c r="D99" i="13"/>
  <c r="F183" i="23" s="1"/>
  <c r="D75" i="13"/>
  <c r="F179" i="23" s="1"/>
  <c r="D52" i="13"/>
  <c r="F178" i="23" s="1"/>
  <c r="D25" i="13"/>
  <c r="F176" i="23" s="1"/>
  <c r="D172" i="13"/>
  <c r="F171" i="23" s="1"/>
  <c r="D146" i="13"/>
  <c r="F166" i="23" s="1"/>
  <c r="D100" i="13"/>
  <c r="F163" i="23" s="1"/>
  <c r="D88" i="13"/>
  <c r="F161" i="23" s="1"/>
  <c r="D23" i="13"/>
  <c r="F155" i="23" s="1"/>
  <c r="D156" i="13"/>
  <c r="F149" i="23" s="1"/>
  <c r="D149" i="13"/>
  <c r="F148" i="23" s="1"/>
  <c r="D143" i="13"/>
  <c r="F146" i="23" s="1"/>
  <c r="D50" i="13"/>
  <c r="F134" i="23" s="1"/>
  <c r="D19" i="13"/>
  <c r="F132" i="23" s="1"/>
  <c r="D111" i="13"/>
  <c r="F124" i="23" s="1"/>
  <c r="D101" i="13"/>
  <c r="F123" i="23" s="1"/>
  <c r="D72" i="13"/>
  <c r="F120" i="23" s="1"/>
  <c r="D27" i="13"/>
  <c r="F114" i="23" s="1"/>
  <c r="D13" i="13"/>
  <c r="F111" i="23" s="1"/>
  <c r="D86" i="13"/>
  <c r="F98" i="23" s="1"/>
  <c r="D62" i="13"/>
  <c r="F94" i="23" s="1"/>
  <c r="D3" i="13"/>
  <c r="F90" i="23" s="1"/>
  <c r="D164" i="13"/>
  <c r="F87" i="23" s="1"/>
  <c r="D118" i="13"/>
  <c r="F86" i="23" s="1"/>
  <c r="D140" i="13"/>
  <c r="F63" i="23" s="1"/>
  <c r="D117" i="13"/>
  <c r="F85" i="23" s="1"/>
  <c r="D10" i="13"/>
  <c r="F71" i="23" s="1"/>
  <c r="D127" i="13"/>
  <c r="F61" i="23" s="1"/>
  <c r="D42" i="13"/>
  <c r="F52" i="23" s="1"/>
  <c r="D41" i="13"/>
  <c r="F51" i="23" s="1"/>
  <c r="D40" i="13"/>
  <c r="F50" i="23" s="1"/>
  <c r="D34" i="13"/>
  <c r="F48" i="23" s="1"/>
  <c r="D16" i="13"/>
  <c r="F46" i="23" s="1"/>
  <c r="D171" i="13"/>
  <c r="F43" i="23" s="1"/>
  <c r="D145" i="13"/>
  <c r="F40" i="23" s="1"/>
  <c r="D129" i="13"/>
  <c r="F37" i="23" s="1"/>
  <c r="D51" i="13"/>
  <c r="F29" i="23" s="1"/>
  <c r="D36" i="13"/>
  <c r="F28" i="23" s="1"/>
  <c r="D97" i="13"/>
  <c r="F18" i="23" s="1"/>
  <c r="D84" i="13"/>
  <c r="F15" i="23" s="1"/>
  <c r="D44" i="13"/>
  <c r="F9" i="23" s="1"/>
  <c r="D43" i="13"/>
  <c r="F8" i="23" s="1"/>
  <c r="D47" i="13"/>
  <c r="F177" i="23" s="1"/>
  <c r="D9" i="13"/>
  <c r="F175" i="23" s="1"/>
  <c r="D2" i="13"/>
  <c r="F174" i="23" s="1"/>
  <c r="D150" i="13"/>
  <c r="F167" i="23" s="1"/>
  <c r="D133" i="13"/>
  <c r="F144" i="23" s="1"/>
  <c r="D125" i="13"/>
  <c r="F142" i="23" s="1"/>
  <c r="D71" i="13"/>
  <c r="F137" i="23" s="1"/>
  <c r="D168" i="13"/>
  <c r="F129" i="23" s="1"/>
  <c r="D128" i="13"/>
  <c r="F102" i="23" s="1"/>
  <c r="D95" i="13"/>
  <c r="F122" i="23" s="1"/>
  <c r="D11" i="13"/>
  <c r="F72" i="23" s="1"/>
  <c r="D162" i="13"/>
  <c r="F66" i="23" s="1"/>
  <c r="D122" i="13"/>
  <c r="F59" i="23" s="1"/>
  <c r="D81" i="13"/>
  <c r="F58" i="23" s="1"/>
  <c r="D158" i="13"/>
  <c r="F21" i="23" s="1"/>
  <c r="D139" i="13"/>
  <c r="F39" i="23" s="1"/>
  <c r="D104" i="13"/>
  <c r="F34" i="23" s="1"/>
  <c r="D96" i="13"/>
  <c r="F32" i="23" s="1"/>
  <c r="D105" i="13"/>
  <c r="F19" i="23" s="1"/>
  <c r="D6" i="13"/>
  <c r="F4" i="23" s="1"/>
  <c r="W56" i="13"/>
  <c r="U56" i="13"/>
  <c r="S56" i="13"/>
  <c r="Q56" i="13"/>
  <c r="O56" i="13"/>
  <c r="M56" i="13"/>
  <c r="K56" i="13"/>
  <c r="Y56" i="13" s="1"/>
  <c r="I56" i="13"/>
  <c r="W170" i="13"/>
  <c r="U170" i="13"/>
  <c r="S170" i="13"/>
  <c r="Q170" i="13"/>
  <c r="O170" i="13"/>
  <c r="M170" i="13"/>
  <c r="K170" i="13"/>
  <c r="Y170" i="13" s="1"/>
  <c r="I170" i="13"/>
  <c r="W57" i="13"/>
  <c r="U57" i="13"/>
  <c r="S57" i="13"/>
  <c r="Q57" i="13"/>
  <c r="O57" i="13"/>
  <c r="M57" i="13"/>
  <c r="K57" i="13"/>
  <c r="Y57" i="13" s="1"/>
  <c r="I57" i="13"/>
  <c r="W58" i="13"/>
  <c r="U58" i="13"/>
  <c r="S58" i="13"/>
  <c r="Q58" i="13"/>
  <c r="O58" i="13"/>
  <c r="M58" i="13"/>
  <c r="K58" i="13"/>
  <c r="Y58" i="13" s="1"/>
  <c r="I58" i="13"/>
  <c r="W60" i="13"/>
  <c r="U60" i="13"/>
  <c r="S60" i="13"/>
  <c r="Q60" i="13"/>
  <c r="O60" i="13"/>
  <c r="M60" i="13"/>
  <c r="K60" i="13"/>
  <c r="Y60" i="13" s="1"/>
  <c r="I60" i="13"/>
  <c r="W123" i="13"/>
  <c r="U123" i="13"/>
  <c r="S123" i="13"/>
  <c r="Q123" i="13"/>
  <c r="O123" i="13"/>
  <c r="M123" i="13"/>
  <c r="K123" i="13"/>
  <c r="Y123" i="13" s="1"/>
  <c r="I123" i="13"/>
  <c r="W54" i="13"/>
  <c r="U54" i="13"/>
  <c r="S54" i="13"/>
  <c r="Q54" i="13"/>
  <c r="O54" i="13"/>
  <c r="M54" i="13"/>
  <c r="K54" i="13"/>
  <c r="Y54" i="13" s="1"/>
  <c r="I54" i="13"/>
  <c r="W141" i="13"/>
  <c r="U141" i="13"/>
  <c r="S141" i="13"/>
  <c r="Q141" i="13"/>
  <c r="O141" i="13"/>
  <c r="M141" i="13"/>
  <c r="K141" i="13"/>
  <c r="Y141" i="13" s="1"/>
  <c r="I141" i="13"/>
  <c r="W121" i="13"/>
  <c r="U121" i="13"/>
  <c r="S121" i="13"/>
  <c r="Q121" i="13"/>
  <c r="O121" i="13"/>
  <c r="M121" i="13"/>
  <c r="K121" i="13"/>
  <c r="Y121" i="13" s="1"/>
  <c r="I121" i="13"/>
  <c r="W106" i="13"/>
  <c r="U106" i="13"/>
  <c r="S106" i="13"/>
  <c r="Q106" i="13"/>
  <c r="O106" i="13"/>
  <c r="M106" i="13"/>
  <c r="K106" i="13"/>
  <c r="Y106" i="13" s="1"/>
  <c r="I106" i="13"/>
  <c r="W94" i="13"/>
  <c r="U94" i="13"/>
  <c r="S94" i="13"/>
  <c r="Q94" i="13"/>
  <c r="O94" i="13"/>
  <c r="M94" i="13"/>
  <c r="K94" i="13"/>
  <c r="Y94" i="13" s="1"/>
  <c r="I94" i="13"/>
  <c r="W77" i="13"/>
  <c r="S77" i="13"/>
  <c r="Q77" i="13"/>
  <c r="O77" i="13"/>
  <c r="M77" i="13"/>
  <c r="W154" i="13"/>
  <c r="U154" i="13"/>
  <c r="S154" i="13"/>
  <c r="Q154" i="13"/>
  <c r="O154" i="13"/>
  <c r="M154" i="13"/>
  <c r="K154" i="13"/>
  <c r="Y154" i="13" s="1"/>
  <c r="I154" i="13"/>
  <c r="W113" i="13"/>
  <c r="U113" i="13"/>
  <c r="S113" i="13"/>
  <c r="Q113" i="13"/>
  <c r="O113" i="13"/>
  <c r="M113" i="13"/>
  <c r="K113" i="13"/>
  <c r="Y113" i="13" s="1"/>
  <c r="I113" i="13"/>
  <c r="W93" i="13"/>
  <c r="U93" i="13"/>
  <c r="S93" i="13"/>
  <c r="Q93" i="13"/>
  <c r="O93" i="13"/>
  <c r="M93" i="13"/>
  <c r="K93" i="13"/>
  <c r="Y93" i="13" s="1"/>
  <c r="I93" i="13"/>
  <c r="W87" i="13"/>
  <c r="U87" i="13"/>
  <c r="S87" i="13"/>
  <c r="Q87" i="13"/>
  <c r="O87" i="13"/>
  <c r="M87" i="13"/>
  <c r="K87" i="13"/>
  <c r="Y87" i="13" s="1"/>
  <c r="I87" i="13"/>
  <c r="W55" i="13"/>
  <c r="U55" i="13"/>
  <c r="S55" i="13"/>
  <c r="Q55" i="13"/>
  <c r="O55" i="13"/>
  <c r="M55" i="13"/>
  <c r="K55" i="13"/>
  <c r="Y55" i="13" s="1"/>
  <c r="I55" i="13"/>
  <c r="W163" i="13"/>
  <c r="U163" i="13"/>
  <c r="S163" i="13"/>
  <c r="Q163" i="13"/>
  <c r="O163" i="13"/>
  <c r="M163" i="13"/>
  <c r="K163" i="13"/>
  <c r="Y163" i="13" s="1"/>
  <c r="I163" i="13"/>
  <c r="W148" i="13"/>
  <c r="U148" i="13"/>
  <c r="S148" i="13"/>
  <c r="Q148" i="13"/>
  <c r="O148" i="13"/>
  <c r="M148" i="13"/>
  <c r="K148" i="13"/>
  <c r="Y148" i="13" s="1"/>
  <c r="I148" i="13"/>
  <c r="W126" i="13"/>
  <c r="U126" i="13"/>
  <c r="S126" i="13"/>
  <c r="Q126" i="13"/>
  <c r="O126" i="13"/>
  <c r="M126" i="13"/>
  <c r="K126" i="13"/>
  <c r="Y126" i="13" s="1"/>
  <c r="I126" i="13"/>
  <c r="W119" i="13"/>
  <c r="S119" i="13"/>
  <c r="Q119" i="13"/>
  <c r="O119" i="13"/>
  <c r="M119" i="13"/>
  <c r="W115" i="13"/>
  <c r="U115" i="13"/>
  <c r="S115" i="13"/>
  <c r="Q115" i="13"/>
  <c r="O115" i="13"/>
  <c r="M115" i="13"/>
  <c r="K115" i="13"/>
  <c r="Y115" i="13" s="1"/>
  <c r="I115" i="13"/>
  <c r="W137" i="13"/>
  <c r="U137" i="13"/>
  <c r="S137" i="13"/>
  <c r="Q137" i="13"/>
  <c r="O137" i="13"/>
  <c r="M137" i="13"/>
  <c r="K137" i="13"/>
  <c r="Y137" i="13" s="1"/>
  <c r="I137" i="13"/>
  <c r="W89" i="13"/>
  <c r="U89" i="13"/>
  <c r="S89" i="13"/>
  <c r="Q89" i="13"/>
  <c r="O89" i="13"/>
  <c r="M89" i="13"/>
  <c r="K89" i="13"/>
  <c r="Y89" i="13" s="1"/>
  <c r="I89" i="13"/>
  <c r="W48" i="13"/>
  <c r="U48" i="13"/>
  <c r="S48" i="13"/>
  <c r="Q48" i="13"/>
  <c r="O48" i="13"/>
  <c r="M48" i="13"/>
  <c r="K48" i="13"/>
  <c r="Y48" i="13" s="1"/>
  <c r="I48" i="13"/>
  <c r="W26" i="13"/>
  <c r="U26" i="13"/>
  <c r="S26" i="13"/>
  <c r="Q26" i="13"/>
  <c r="O26" i="13"/>
  <c r="M26" i="13"/>
  <c r="K26" i="13"/>
  <c r="Y26" i="13" s="1"/>
  <c r="I26" i="13"/>
  <c r="W152" i="13"/>
  <c r="U152" i="13"/>
  <c r="S152" i="13"/>
  <c r="Q152" i="13"/>
  <c r="O152" i="13"/>
  <c r="M152" i="13"/>
  <c r="K152" i="13"/>
  <c r="Y152" i="13" s="1"/>
  <c r="I152" i="13"/>
  <c r="W147" i="13"/>
  <c r="U147" i="13"/>
  <c r="S147" i="13"/>
  <c r="Q147" i="13"/>
  <c r="O147" i="13"/>
  <c r="M147" i="13"/>
  <c r="K147" i="13"/>
  <c r="Y147" i="13" s="1"/>
  <c r="I147" i="13"/>
  <c r="W21" i="13"/>
  <c r="U21" i="13"/>
  <c r="S21" i="13"/>
  <c r="Q21" i="13"/>
  <c r="O21" i="13"/>
  <c r="M21" i="13"/>
  <c r="K21" i="13"/>
  <c r="Y21" i="13" s="1"/>
  <c r="I21" i="13"/>
  <c r="W108" i="13"/>
  <c r="U108" i="13"/>
  <c r="S108" i="13"/>
  <c r="Q108" i="13"/>
  <c r="O108" i="13"/>
  <c r="M108" i="13"/>
  <c r="K108" i="13"/>
  <c r="Y108" i="13" s="1"/>
  <c r="I108" i="13"/>
  <c r="W59" i="13"/>
  <c r="U59" i="13"/>
  <c r="S59" i="13"/>
  <c r="Q59" i="13"/>
  <c r="O59" i="13"/>
  <c r="M59" i="13"/>
  <c r="K59" i="13"/>
  <c r="Y59" i="13" s="1"/>
  <c r="I59" i="13"/>
  <c r="W15" i="13"/>
  <c r="U15" i="13"/>
  <c r="Q15" i="13"/>
  <c r="M15" i="13"/>
  <c r="I15" i="13"/>
  <c r="W102" i="13"/>
  <c r="U102" i="13"/>
  <c r="S102" i="13"/>
  <c r="Q102" i="13"/>
  <c r="O102" i="13"/>
  <c r="M102" i="13"/>
  <c r="K102" i="13"/>
  <c r="Y102" i="13" s="1"/>
  <c r="I102" i="13"/>
  <c r="W74" i="13"/>
  <c r="U74" i="13"/>
  <c r="S74" i="13"/>
  <c r="Q74" i="13"/>
  <c r="O74" i="13"/>
  <c r="M74" i="13"/>
  <c r="K74" i="13"/>
  <c r="Y74" i="13" s="1"/>
  <c r="I74" i="13"/>
  <c r="W22" i="13"/>
  <c r="U22" i="13"/>
  <c r="S22" i="13"/>
  <c r="Q22" i="13"/>
  <c r="O22" i="13"/>
  <c r="M22" i="13"/>
  <c r="K22" i="13"/>
  <c r="Y22" i="13" s="1"/>
  <c r="I22" i="13"/>
  <c r="W12" i="13"/>
  <c r="U12" i="13"/>
  <c r="S12" i="13"/>
  <c r="Q12" i="13"/>
  <c r="O12" i="13"/>
  <c r="M12" i="13"/>
  <c r="K12" i="13"/>
  <c r="Y12" i="13" s="1"/>
  <c r="I12" i="13"/>
  <c r="W8" i="13"/>
  <c r="U8" i="13"/>
  <c r="S8" i="13"/>
  <c r="Q8" i="13"/>
  <c r="O8" i="13"/>
  <c r="M8" i="13"/>
  <c r="K8" i="13"/>
  <c r="Y8" i="13" s="1"/>
  <c r="I8" i="13"/>
  <c r="W142" i="13"/>
  <c r="U142" i="13"/>
  <c r="S142" i="13"/>
  <c r="Q142" i="13"/>
  <c r="O142" i="13"/>
  <c r="M142" i="13"/>
  <c r="K142" i="13"/>
  <c r="Y142" i="13" s="1"/>
  <c r="I142" i="13"/>
  <c r="W135" i="13"/>
  <c r="U135" i="13"/>
  <c r="S135" i="13"/>
  <c r="Q135" i="13"/>
  <c r="O135" i="13"/>
  <c r="M135" i="13"/>
  <c r="K135" i="13"/>
  <c r="Y135" i="13" s="1"/>
  <c r="I135" i="13"/>
  <c r="W73" i="13"/>
  <c r="U73" i="13"/>
  <c r="S73" i="13"/>
  <c r="Q73" i="13"/>
  <c r="O73" i="13"/>
  <c r="M73" i="13"/>
  <c r="K73" i="13"/>
  <c r="Y73" i="13" s="1"/>
  <c r="I73" i="13"/>
  <c r="W65" i="13"/>
  <c r="U65" i="13"/>
  <c r="S65" i="13"/>
  <c r="Q65" i="13"/>
  <c r="O65" i="13"/>
  <c r="M65" i="13"/>
  <c r="K65" i="13"/>
  <c r="Y65" i="13" s="1"/>
  <c r="I65" i="13"/>
  <c r="W31" i="13"/>
  <c r="U31" i="13"/>
  <c r="S31" i="13"/>
  <c r="Q31" i="13"/>
  <c r="O31" i="13"/>
  <c r="M31" i="13"/>
  <c r="K31" i="13"/>
  <c r="Y31" i="13" s="1"/>
  <c r="I31" i="13"/>
  <c r="W165" i="13"/>
  <c r="U165" i="13"/>
  <c r="S165" i="13"/>
  <c r="Q165" i="13"/>
  <c r="O165" i="13"/>
  <c r="M165" i="13"/>
  <c r="K165" i="13"/>
  <c r="Y165" i="13" s="1"/>
  <c r="I165" i="13"/>
  <c r="W160" i="13"/>
  <c r="U160" i="13"/>
  <c r="S160" i="13"/>
  <c r="Q160" i="13"/>
  <c r="O160" i="13"/>
  <c r="M160" i="13"/>
  <c r="K160" i="13"/>
  <c r="Y160" i="13" s="1"/>
  <c r="I160" i="13"/>
  <c r="W98" i="13"/>
  <c r="U98" i="13"/>
  <c r="S98" i="13"/>
  <c r="Q98" i="13"/>
  <c r="O98" i="13"/>
  <c r="M98" i="13"/>
  <c r="K98" i="13"/>
  <c r="Y98" i="13" s="1"/>
  <c r="I98" i="13"/>
  <c r="W167" i="13"/>
  <c r="U167" i="13"/>
  <c r="S167" i="13"/>
  <c r="Q167" i="13"/>
  <c r="O167" i="13"/>
  <c r="M167" i="13"/>
  <c r="K167" i="13"/>
  <c r="Y167" i="13" s="1"/>
  <c r="I167" i="13"/>
  <c r="W90" i="13"/>
  <c r="U90" i="13"/>
  <c r="S90" i="13"/>
  <c r="Q90" i="13"/>
  <c r="O90" i="13"/>
  <c r="M90" i="13"/>
  <c r="K90" i="13"/>
  <c r="Y90" i="13" s="1"/>
  <c r="I90" i="13"/>
  <c r="W20" i="13"/>
  <c r="U20" i="13"/>
  <c r="S20" i="13"/>
  <c r="Q20" i="13"/>
  <c r="O20" i="13"/>
  <c r="M20" i="13"/>
  <c r="K20" i="13"/>
  <c r="Y20" i="13" s="1"/>
  <c r="I20" i="13"/>
  <c r="W67" i="13"/>
  <c r="U67" i="13"/>
  <c r="S67" i="13"/>
  <c r="Q67" i="13"/>
  <c r="O67" i="13"/>
  <c r="M67" i="13"/>
  <c r="K67" i="13"/>
  <c r="Y67" i="13" s="1"/>
  <c r="I67" i="13"/>
  <c r="W66" i="13"/>
  <c r="U66" i="13"/>
  <c r="S66" i="13"/>
  <c r="Q66" i="13"/>
  <c r="O66" i="13"/>
  <c r="M66" i="13"/>
  <c r="K66" i="13"/>
  <c r="Y66" i="13" s="1"/>
  <c r="I66" i="13"/>
  <c r="W64" i="13"/>
  <c r="U64" i="13"/>
  <c r="S64" i="13"/>
  <c r="Q64" i="13"/>
  <c r="O64" i="13"/>
  <c r="M64" i="13"/>
  <c r="K64" i="13"/>
  <c r="Y64" i="13" s="1"/>
  <c r="I64" i="13"/>
  <c r="W30" i="13"/>
  <c r="U30" i="13"/>
  <c r="S30" i="13"/>
  <c r="Q30" i="13"/>
  <c r="O30" i="13"/>
  <c r="M30" i="13"/>
  <c r="K30" i="13"/>
  <c r="Y30" i="13" s="1"/>
  <c r="I30" i="13"/>
  <c r="W153" i="13"/>
  <c r="U153" i="13"/>
  <c r="S153" i="13"/>
  <c r="Q153" i="13"/>
  <c r="O153" i="13"/>
  <c r="M153" i="13"/>
  <c r="K153" i="13"/>
  <c r="Y153" i="13" s="1"/>
  <c r="I153" i="13"/>
  <c r="W132" i="13"/>
  <c r="U132" i="13"/>
  <c r="S132" i="13"/>
  <c r="Q132" i="13"/>
  <c r="O132" i="13"/>
  <c r="M132" i="13"/>
  <c r="K132" i="13"/>
  <c r="Y132" i="13" s="1"/>
  <c r="I132" i="13"/>
  <c r="W120" i="13"/>
  <c r="U120" i="13"/>
  <c r="S120" i="13"/>
  <c r="Q120" i="13"/>
  <c r="O120" i="13"/>
  <c r="M120" i="13"/>
  <c r="K120" i="13"/>
  <c r="Y120" i="13" s="1"/>
  <c r="I120" i="13"/>
  <c r="W107" i="13"/>
  <c r="U107" i="13"/>
  <c r="S107" i="13"/>
  <c r="Q107" i="13"/>
  <c r="O107" i="13"/>
  <c r="M107" i="13"/>
  <c r="K107" i="13"/>
  <c r="Y107" i="13" s="1"/>
  <c r="I107" i="13"/>
  <c r="W82" i="13"/>
  <c r="U82" i="13"/>
  <c r="S82" i="13"/>
  <c r="Q82" i="13"/>
  <c r="O82" i="13"/>
  <c r="M82" i="13"/>
  <c r="K82" i="13"/>
  <c r="Y82" i="13" s="1"/>
  <c r="I82" i="13"/>
  <c r="W169" i="13"/>
  <c r="U169" i="13"/>
  <c r="S169" i="13"/>
  <c r="Q169" i="13"/>
  <c r="O169" i="13"/>
  <c r="M169" i="13"/>
  <c r="K169" i="13"/>
  <c r="Y169" i="13" s="1"/>
  <c r="I169" i="13"/>
  <c r="W155" i="13"/>
  <c r="U155" i="13"/>
  <c r="S155" i="13"/>
  <c r="Q155" i="13"/>
  <c r="O155" i="13"/>
  <c r="M155" i="13"/>
  <c r="K155" i="13"/>
  <c r="Y155" i="13" s="1"/>
  <c r="I155" i="13"/>
  <c r="W144" i="13"/>
  <c r="U144" i="13"/>
  <c r="S144" i="13"/>
  <c r="Q144" i="13"/>
  <c r="O144" i="13"/>
  <c r="M144" i="13"/>
  <c r="K144" i="13"/>
  <c r="Y144" i="13" s="1"/>
  <c r="I144" i="13"/>
  <c r="W136" i="13"/>
  <c r="U136" i="13"/>
  <c r="S136" i="13"/>
  <c r="Q136" i="13"/>
  <c r="O136" i="13"/>
  <c r="M136" i="13"/>
  <c r="K136" i="13"/>
  <c r="Y136" i="13" s="1"/>
  <c r="I136" i="13"/>
  <c r="W124" i="13"/>
  <c r="U124" i="13"/>
  <c r="S124" i="13"/>
  <c r="Q124" i="13"/>
  <c r="O124" i="13"/>
  <c r="M124" i="13"/>
  <c r="K124" i="13"/>
  <c r="Y124" i="13" s="1"/>
  <c r="I124" i="13"/>
  <c r="W79" i="13"/>
  <c r="U79" i="13"/>
  <c r="S79" i="13"/>
  <c r="Q79" i="13"/>
  <c r="O79" i="13"/>
  <c r="M79" i="13"/>
  <c r="K79" i="13"/>
  <c r="Y79" i="13" s="1"/>
  <c r="I79" i="13"/>
  <c r="W14" i="13"/>
  <c r="U14" i="13"/>
  <c r="S14" i="13"/>
  <c r="Q14" i="13"/>
  <c r="O14" i="13"/>
  <c r="M14" i="13"/>
  <c r="K14" i="13"/>
  <c r="Y14" i="13" s="1"/>
  <c r="I14" i="13"/>
  <c r="W110" i="13"/>
  <c r="U110" i="13"/>
  <c r="S110" i="13"/>
  <c r="Q110" i="13"/>
  <c r="O110" i="13"/>
  <c r="M110" i="13"/>
  <c r="K110" i="13"/>
  <c r="Y110" i="13" s="1"/>
  <c r="I110" i="13"/>
  <c r="W63" i="13"/>
  <c r="U63" i="13"/>
  <c r="S63" i="13"/>
  <c r="Q63" i="13"/>
  <c r="O63" i="13"/>
  <c r="M63" i="13"/>
  <c r="K63" i="13"/>
  <c r="Y63" i="13" s="1"/>
  <c r="I63" i="13"/>
  <c r="W24" i="13"/>
  <c r="U24" i="13"/>
  <c r="S24" i="13"/>
  <c r="Q24" i="13"/>
  <c r="O24" i="13"/>
  <c r="M24" i="13"/>
  <c r="K24" i="13"/>
  <c r="Y24" i="13" s="1"/>
  <c r="I24" i="13"/>
  <c r="W166" i="13"/>
  <c r="U166" i="13"/>
  <c r="S166" i="13"/>
  <c r="Q166" i="13"/>
  <c r="O166" i="13"/>
  <c r="M166" i="13"/>
  <c r="K166" i="13"/>
  <c r="Y166" i="13" s="1"/>
  <c r="I166" i="13"/>
  <c r="W161" i="13"/>
  <c r="S161" i="13"/>
  <c r="Q161" i="13"/>
  <c r="O161" i="13"/>
  <c r="M161" i="13"/>
  <c r="W151" i="13"/>
  <c r="U151" i="13"/>
  <c r="S151" i="13"/>
  <c r="Q151" i="13"/>
  <c r="O151" i="13"/>
  <c r="M151" i="13"/>
  <c r="K151" i="13"/>
  <c r="Y151" i="13" s="1"/>
  <c r="I151" i="13"/>
  <c r="W46" i="13"/>
  <c r="U46" i="13"/>
  <c r="S46" i="13"/>
  <c r="Q46" i="13"/>
  <c r="O46" i="13"/>
  <c r="M46" i="13"/>
  <c r="K46" i="13"/>
  <c r="Y46" i="13" s="1"/>
  <c r="I46" i="13"/>
  <c r="W33" i="13"/>
  <c r="U33" i="13"/>
  <c r="S33" i="13"/>
  <c r="Q33" i="13"/>
  <c r="O33" i="13"/>
  <c r="M33" i="13"/>
  <c r="K33" i="13"/>
  <c r="Y33" i="13" s="1"/>
  <c r="I33" i="13"/>
  <c r="W159" i="13"/>
  <c r="S159" i="13"/>
  <c r="Q159" i="13"/>
  <c r="O159" i="13"/>
  <c r="M159" i="13"/>
  <c r="W134" i="13"/>
  <c r="U134" i="13"/>
  <c r="S134" i="13"/>
  <c r="Q134" i="13"/>
  <c r="O134" i="13"/>
  <c r="M134" i="13"/>
  <c r="K134" i="13"/>
  <c r="Y134" i="13" s="1"/>
  <c r="I134" i="13"/>
  <c r="W92" i="13"/>
  <c r="Q92" i="13"/>
  <c r="O92" i="13"/>
  <c r="M92" i="13"/>
  <c r="W83" i="13"/>
  <c r="U83" i="13"/>
  <c r="S83" i="13"/>
  <c r="Q83" i="13"/>
  <c r="O83" i="13"/>
  <c r="M83" i="13"/>
  <c r="K83" i="13"/>
  <c r="Y83" i="13" s="1"/>
  <c r="I83" i="13"/>
  <c r="W70" i="13"/>
  <c r="Q70" i="13"/>
  <c r="O70" i="13"/>
  <c r="M70" i="13"/>
  <c r="W61" i="13"/>
  <c r="U61" i="13"/>
  <c r="S61" i="13"/>
  <c r="Q61" i="13"/>
  <c r="O61" i="13"/>
  <c r="M61" i="13"/>
  <c r="K61" i="13"/>
  <c r="Y61" i="13" s="1"/>
  <c r="I61" i="13"/>
  <c r="W49" i="13"/>
  <c r="Q49" i="13"/>
  <c r="O49" i="13"/>
  <c r="M49" i="13"/>
  <c r="W39" i="13"/>
  <c r="U39" i="13"/>
  <c r="S39" i="13"/>
  <c r="Q39" i="13"/>
  <c r="O39" i="13"/>
  <c r="M39" i="13"/>
  <c r="K39" i="13"/>
  <c r="Y39" i="13" s="1"/>
  <c r="I39" i="13"/>
  <c r="W18" i="13"/>
  <c r="Q18" i="13"/>
  <c r="O18" i="13"/>
  <c r="M18" i="13"/>
  <c r="W17" i="13"/>
  <c r="U17" i="13"/>
  <c r="S17" i="13"/>
  <c r="Q17" i="13"/>
  <c r="O17" i="13"/>
  <c r="M17" i="13"/>
  <c r="K17" i="13"/>
  <c r="Y17" i="13" s="1"/>
  <c r="I17" i="13"/>
  <c r="W157" i="13"/>
  <c r="U157" i="13"/>
  <c r="S157" i="13"/>
  <c r="Q157" i="13"/>
  <c r="O157" i="13"/>
  <c r="M157" i="13"/>
  <c r="K157" i="13"/>
  <c r="Y157" i="13" s="1"/>
  <c r="I157" i="13"/>
  <c r="W80" i="13"/>
  <c r="U80" i="13"/>
  <c r="S80" i="13"/>
  <c r="Q80" i="13"/>
  <c r="O80" i="13"/>
  <c r="M80" i="13"/>
  <c r="K80" i="13"/>
  <c r="Y80" i="13" s="1"/>
  <c r="I80" i="13"/>
  <c r="W69" i="13"/>
  <c r="U69" i="13"/>
  <c r="S69" i="13"/>
  <c r="Q69" i="13"/>
  <c r="O69" i="13"/>
  <c r="M69" i="13"/>
  <c r="K69" i="13"/>
  <c r="Y69" i="13" s="1"/>
  <c r="I69" i="13"/>
  <c r="W53" i="13"/>
  <c r="U53" i="13"/>
  <c r="S53" i="13"/>
  <c r="Q53" i="13"/>
  <c r="O53" i="13"/>
  <c r="M53" i="13"/>
  <c r="K53" i="13"/>
  <c r="Y53" i="13" s="1"/>
  <c r="I53" i="13"/>
  <c r="W38" i="13"/>
  <c r="U38" i="13"/>
  <c r="S38" i="13"/>
  <c r="Q38" i="13"/>
  <c r="O38" i="13"/>
  <c r="M38" i="13"/>
  <c r="K38" i="13"/>
  <c r="Y38" i="13" s="1"/>
  <c r="I38" i="13"/>
  <c r="W130" i="13"/>
  <c r="U130" i="13"/>
  <c r="S130" i="13"/>
  <c r="Q130" i="13"/>
  <c r="O130" i="13"/>
  <c r="M130" i="13"/>
  <c r="K130" i="13"/>
  <c r="Y130" i="13" s="1"/>
  <c r="I130" i="13"/>
  <c r="W116" i="13"/>
  <c r="U116" i="13"/>
  <c r="S116" i="13"/>
  <c r="Q116" i="13"/>
  <c r="O116" i="13"/>
  <c r="M116" i="13"/>
  <c r="K116" i="13"/>
  <c r="Y116" i="13" s="1"/>
  <c r="I116" i="13"/>
  <c r="W114" i="13"/>
  <c r="U114" i="13"/>
  <c r="S114" i="13"/>
  <c r="Q114" i="13"/>
  <c r="O114" i="13"/>
  <c r="M114" i="13"/>
  <c r="K114" i="13"/>
  <c r="Y114" i="13" s="1"/>
  <c r="I114" i="13"/>
  <c r="W5" i="13"/>
  <c r="U5" i="13"/>
  <c r="S5" i="13"/>
  <c r="Q5" i="13"/>
  <c r="O5" i="13"/>
  <c r="M5" i="13"/>
  <c r="K5" i="13"/>
  <c r="Y5" i="13" s="1"/>
  <c r="I5" i="13"/>
  <c r="W91" i="13"/>
  <c r="U91" i="13"/>
  <c r="S91" i="13"/>
  <c r="Q91" i="13"/>
  <c r="O91" i="13"/>
  <c r="M91" i="13"/>
  <c r="K91" i="13"/>
  <c r="Y91" i="13" s="1"/>
  <c r="I91" i="13"/>
  <c r="W4" i="13"/>
  <c r="U4" i="13"/>
  <c r="S4" i="13"/>
  <c r="Q4" i="13"/>
  <c r="O4" i="13"/>
  <c r="M4" i="13"/>
  <c r="K4" i="13"/>
  <c r="Y4" i="13" s="1"/>
  <c r="I4" i="13"/>
  <c r="W85" i="13"/>
  <c r="U85" i="13"/>
  <c r="S85" i="13"/>
  <c r="Q85" i="13"/>
  <c r="O85" i="13"/>
  <c r="M85" i="13"/>
  <c r="K85" i="13"/>
  <c r="Y85" i="13" s="1"/>
  <c r="I85" i="13"/>
  <c r="W68" i="13"/>
  <c r="U68" i="13"/>
  <c r="S68" i="13"/>
  <c r="Q68" i="13"/>
  <c r="O68" i="13"/>
  <c r="M68" i="13"/>
  <c r="K68" i="13"/>
  <c r="Y68" i="13" s="1"/>
  <c r="I68" i="13"/>
  <c r="W37" i="13"/>
  <c r="U37" i="13"/>
  <c r="S37" i="13"/>
  <c r="Q37" i="13"/>
  <c r="O37" i="13"/>
  <c r="M37" i="13"/>
  <c r="K37" i="13"/>
  <c r="Y37" i="13" s="1"/>
  <c r="I37" i="13"/>
  <c r="W35" i="13"/>
  <c r="U35" i="13"/>
  <c r="S35" i="13"/>
  <c r="Q35" i="13"/>
  <c r="O35" i="13"/>
  <c r="M35" i="13"/>
  <c r="K35" i="13"/>
  <c r="Y35" i="13" s="1"/>
  <c r="I35" i="13"/>
  <c r="W112" i="13"/>
  <c r="U112" i="13"/>
  <c r="S112" i="13"/>
  <c r="Q112" i="13"/>
  <c r="O112" i="13"/>
  <c r="M112" i="13"/>
  <c r="K112" i="13"/>
  <c r="Y112" i="13" s="1"/>
  <c r="I112" i="13"/>
  <c r="W99" i="13"/>
  <c r="U99" i="13"/>
  <c r="S99" i="13"/>
  <c r="Q99" i="13"/>
  <c r="O99" i="13"/>
  <c r="M99" i="13"/>
  <c r="K99" i="13"/>
  <c r="Y99" i="13" s="1"/>
  <c r="I99" i="13"/>
  <c r="W75" i="13"/>
  <c r="U75" i="13"/>
  <c r="S75" i="13"/>
  <c r="Q75" i="13"/>
  <c r="O75" i="13"/>
  <c r="M75" i="13"/>
  <c r="K75" i="13"/>
  <c r="Y75" i="13" s="1"/>
  <c r="I75" i="13"/>
  <c r="W52" i="13"/>
  <c r="U52" i="13"/>
  <c r="S52" i="13"/>
  <c r="Q52" i="13"/>
  <c r="O52" i="13"/>
  <c r="M52" i="13"/>
  <c r="K52" i="13"/>
  <c r="Y52" i="13" s="1"/>
  <c r="I52" i="13"/>
  <c r="W25" i="13"/>
  <c r="U25" i="13"/>
  <c r="S25" i="13"/>
  <c r="Q25" i="13"/>
  <c r="O25" i="13"/>
  <c r="M25" i="13"/>
  <c r="K25" i="13"/>
  <c r="Y25" i="13" s="1"/>
  <c r="I25" i="13"/>
  <c r="W172" i="13"/>
  <c r="U172" i="13"/>
  <c r="S172" i="13"/>
  <c r="Q172" i="13"/>
  <c r="O172" i="13"/>
  <c r="M172" i="13"/>
  <c r="K172" i="13"/>
  <c r="Y172" i="13" s="1"/>
  <c r="I172" i="13"/>
  <c r="W146" i="13"/>
  <c r="U146" i="13"/>
  <c r="S146" i="13"/>
  <c r="Q146" i="13"/>
  <c r="O146" i="13"/>
  <c r="M146" i="13"/>
  <c r="K146" i="13"/>
  <c r="Y146" i="13" s="1"/>
  <c r="I146" i="13"/>
  <c r="W100" i="13"/>
  <c r="U100" i="13"/>
  <c r="S100" i="13"/>
  <c r="Q100" i="13"/>
  <c r="O100" i="13"/>
  <c r="M100" i="13"/>
  <c r="K100" i="13"/>
  <c r="Y100" i="13" s="1"/>
  <c r="I100" i="13"/>
  <c r="W88" i="13"/>
  <c r="U88" i="13"/>
  <c r="S88" i="13"/>
  <c r="Q88" i="13"/>
  <c r="O88" i="13"/>
  <c r="M88" i="13"/>
  <c r="K88" i="13"/>
  <c r="Y88" i="13" s="1"/>
  <c r="I88" i="13"/>
  <c r="W23" i="13"/>
  <c r="U23" i="13"/>
  <c r="S23" i="13"/>
  <c r="Q23" i="13"/>
  <c r="O23" i="13"/>
  <c r="M23" i="13"/>
  <c r="K23" i="13"/>
  <c r="Y23" i="13" s="1"/>
  <c r="I23" i="13"/>
  <c r="W156" i="13"/>
  <c r="U156" i="13"/>
  <c r="S156" i="13"/>
  <c r="Q156" i="13"/>
  <c r="O156" i="13"/>
  <c r="M156" i="13"/>
  <c r="K156" i="13"/>
  <c r="Y156" i="13" s="1"/>
  <c r="I156" i="13"/>
  <c r="W149" i="13"/>
  <c r="U149" i="13"/>
  <c r="S149" i="13"/>
  <c r="Q149" i="13"/>
  <c r="O149" i="13"/>
  <c r="M149" i="13"/>
  <c r="K149" i="13"/>
  <c r="Y149" i="13" s="1"/>
  <c r="I149" i="13"/>
  <c r="W143" i="13"/>
  <c r="U143" i="13"/>
  <c r="S143" i="13"/>
  <c r="Q143" i="13"/>
  <c r="O143" i="13"/>
  <c r="M143" i="13"/>
  <c r="K143" i="13"/>
  <c r="Y143" i="13" s="1"/>
  <c r="I143" i="13"/>
  <c r="W50" i="13"/>
  <c r="U50" i="13"/>
  <c r="S50" i="13"/>
  <c r="Q50" i="13"/>
  <c r="O50" i="13"/>
  <c r="M50" i="13"/>
  <c r="K50" i="13"/>
  <c r="Y50" i="13" s="1"/>
  <c r="I50" i="13"/>
  <c r="W19" i="13"/>
  <c r="U19" i="13"/>
  <c r="S19" i="13"/>
  <c r="Q19" i="13"/>
  <c r="O19" i="13"/>
  <c r="M19" i="13"/>
  <c r="K19" i="13"/>
  <c r="Y19" i="13" s="1"/>
  <c r="I19" i="13"/>
  <c r="W111" i="13"/>
  <c r="U111" i="13"/>
  <c r="S111" i="13"/>
  <c r="Q111" i="13"/>
  <c r="O111" i="13"/>
  <c r="M111" i="13"/>
  <c r="K111" i="13"/>
  <c r="Y111" i="13" s="1"/>
  <c r="I111" i="13"/>
  <c r="W101" i="13"/>
  <c r="U101" i="13"/>
  <c r="S101" i="13"/>
  <c r="Q101" i="13"/>
  <c r="O101" i="13"/>
  <c r="M101" i="13"/>
  <c r="K101" i="13"/>
  <c r="Y101" i="13" s="1"/>
  <c r="I101" i="13"/>
  <c r="W72" i="13"/>
  <c r="U72" i="13"/>
  <c r="S72" i="13"/>
  <c r="Q72" i="13"/>
  <c r="O72" i="13"/>
  <c r="M72" i="13"/>
  <c r="K72" i="13"/>
  <c r="Y72" i="13" s="1"/>
  <c r="I72" i="13"/>
  <c r="W27" i="13"/>
  <c r="U27" i="13"/>
  <c r="S27" i="13"/>
  <c r="Q27" i="13"/>
  <c r="O27" i="13"/>
  <c r="M27" i="13"/>
  <c r="K27" i="13"/>
  <c r="Y27" i="13" s="1"/>
  <c r="I27" i="13"/>
  <c r="W13" i="13"/>
  <c r="U13" i="13"/>
  <c r="S13" i="13"/>
  <c r="Q13" i="13"/>
  <c r="O13" i="13"/>
  <c r="M13" i="13"/>
  <c r="K13" i="13"/>
  <c r="Y13" i="13" s="1"/>
  <c r="I13" i="13"/>
  <c r="W131" i="13"/>
  <c r="S131" i="13"/>
  <c r="Q131" i="13"/>
  <c r="O131" i="13"/>
  <c r="M131" i="13"/>
  <c r="W86" i="13"/>
  <c r="U86" i="13"/>
  <c r="S86" i="13"/>
  <c r="Q86" i="13"/>
  <c r="O86" i="13"/>
  <c r="M86" i="13"/>
  <c r="K86" i="13"/>
  <c r="Y86" i="13" s="1"/>
  <c r="I86" i="13"/>
  <c r="W76" i="13"/>
  <c r="Q76" i="13"/>
  <c r="O76" i="13"/>
  <c r="M76" i="13"/>
  <c r="W62" i="13"/>
  <c r="U62" i="13"/>
  <c r="S62" i="13"/>
  <c r="Q62" i="13"/>
  <c r="O62" i="13"/>
  <c r="M62" i="13"/>
  <c r="K62" i="13"/>
  <c r="Y62" i="13" s="1"/>
  <c r="I62" i="13"/>
  <c r="W3" i="13"/>
  <c r="U3" i="13"/>
  <c r="S3" i="13"/>
  <c r="Q3" i="13"/>
  <c r="O3" i="13"/>
  <c r="M3" i="13"/>
  <c r="K3" i="13"/>
  <c r="Y3" i="13" s="1"/>
  <c r="I3" i="13"/>
  <c r="W164" i="13"/>
  <c r="U164" i="13"/>
  <c r="S164" i="13"/>
  <c r="Q164" i="13"/>
  <c r="O164" i="13"/>
  <c r="M164" i="13"/>
  <c r="K164" i="13"/>
  <c r="Y164" i="13" s="1"/>
  <c r="I164" i="13"/>
  <c r="W118" i="13"/>
  <c r="U118" i="13"/>
  <c r="S118" i="13"/>
  <c r="Q118" i="13"/>
  <c r="O118" i="13"/>
  <c r="M118" i="13"/>
  <c r="K118" i="13"/>
  <c r="Y118" i="13" s="1"/>
  <c r="I118" i="13"/>
  <c r="W140" i="13"/>
  <c r="U140" i="13"/>
  <c r="S140" i="13"/>
  <c r="Q140" i="13"/>
  <c r="O140" i="13"/>
  <c r="M140" i="13"/>
  <c r="K140" i="13"/>
  <c r="Y140" i="13" s="1"/>
  <c r="I140" i="13"/>
  <c r="W117" i="13"/>
  <c r="U117" i="13"/>
  <c r="S117" i="13"/>
  <c r="Q117" i="13"/>
  <c r="O117" i="13"/>
  <c r="M117" i="13"/>
  <c r="K117" i="13"/>
  <c r="Y117" i="13" s="1"/>
  <c r="I117" i="13"/>
  <c r="W29" i="13"/>
  <c r="S29" i="13"/>
  <c r="Q29" i="13"/>
  <c r="O29" i="13"/>
  <c r="M29" i="13"/>
  <c r="W10" i="13"/>
  <c r="U10" i="13"/>
  <c r="S10" i="13"/>
  <c r="Q10" i="13"/>
  <c r="O10" i="13"/>
  <c r="M10" i="13"/>
  <c r="K10" i="13"/>
  <c r="Y10" i="13" s="1"/>
  <c r="I10" i="13"/>
  <c r="W127" i="13"/>
  <c r="U127" i="13"/>
  <c r="S127" i="13"/>
  <c r="Q127" i="13"/>
  <c r="O127" i="13"/>
  <c r="M127" i="13"/>
  <c r="K127" i="13"/>
  <c r="Y127" i="13" s="1"/>
  <c r="I127" i="13"/>
  <c r="W42" i="13"/>
  <c r="U42" i="13"/>
  <c r="S42" i="13"/>
  <c r="Q42" i="13"/>
  <c r="O42" i="13"/>
  <c r="M42" i="13"/>
  <c r="K42" i="13"/>
  <c r="Y42" i="13" s="1"/>
  <c r="I42" i="13"/>
  <c r="W41" i="13"/>
  <c r="U41" i="13"/>
  <c r="S41" i="13"/>
  <c r="Q41" i="13"/>
  <c r="O41" i="13"/>
  <c r="M41" i="13"/>
  <c r="K41" i="13"/>
  <c r="Y41" i="13" s="1"/>
  <c r="I41" i="13"/>
  <c r="W40" i="13"/>
  <c r="U40" i="13"/>
  <c r="S40" i="13"/>
  <c r="Q40" i="13"/>
  <c r="O40" i="13"/>
  <c r="M40" i="13"/>
  <c r="K40" i="13"/>
  <c r="Y40" i="13" s="1"/>
  <c r="I40" i="13"/>
  <c r="W34" i="13"/>
  <c r="U34" i="13"/>
  <c r="S34" i="13"/>
  <c r="Q34" i="13"/>
  <c r="O34" i="13"/>
  <c r="M34" i="13"/>
  <c r="K34" i="13"/>
  <c r="Y34" i="13" s="1"/>
  <c r="I34" i="13"/>
  <c r="W16" i="13"/>
  <c r="U16" i="13"/>
  <c r="S16" i="13"/>
  <c r="Q16" i="13"/>
  <c r="O16" i="13"/>
  <c r="M16" i="13"/>
  <c r="K16" i="13"/>
  <c r="Y16" i="13" s="1"/>
  <c r="I16" i="13"/>
  <c r="W171" i="13"/>
  <c r="U171" i="13"/>
  <c r="S171" i="13"/>
  <c r="Q171" i="13"/>
  <c r="O171" i="13"/>
  <c r="M171" i="13"/>
  <c r="K171" i="13"/>
  <c r="Y171" i="13" s="1"/>
  <c r="I171" i="13"/>
  <c r="W145" i="13"/>
  <c r="U145" i="13"/>
  <c r="S145" i="13"/>
  <c r="Q145" i="13"/>
  <c r="O145" i="13"/>
  <c r="M145" i="13"/>
  <c r="K145" i="13"/>
  <c r="Y145" i="13" s="1"/>
  <c r="I145" i="13"/>
  <c r="W129" i="13"/>
  <c r="U129" i="13"/>
  <c r="S129" i="13"/>
  <c r="Q129" i="13"/>
  <c r="O129" i="13"/>
  <c r="M129" i="13"/>
  <c r="K129" i="13"/>
  <c r="Y129" i="13" s="1"/>
  <c r="I129" i="13"/>
  <c r="W51" i="13"/>
  <c r="U51" i="13"/>
  <c r="S51" i="13"/>
  <c r="Q51" i="13"/>
  <c r="O51" i="13"/>
  <c r="M51" i="13"/>
  <c r="K51" i="13"/>
  <c r="Y51" i="13" s="1"/>
  <c r="I51" i="13"/>
  <c r="W36" i="13"/>
  <c r="U36" i="13"/>
  <c r="S36" i="13"/>
  <c r="Q36" i="13"/>
  <c r="O36" i="13"/>
  <c r="M36" i="13"/>
  <c r="K36" i="13"/>
  <c r="Y36" i="13" s="1"/>
  <c r="I36" i="13"/>
  <c r="W138" i="13"/>
  <c r="U138" i="13"/>
  <c r="S138" i="13"/>
  <c r="Q138" i="13"/>
  <c r="O138" i="13"/>
  <c r="M138" i="13"/>
  <c r="K138" i="13"/>
  <c r="Y138" i="13" s="1"/>
  <c r="I138" i="13"/>
  <c r="W97" i="13"/>
  <c r="U97" i="13"/>
  <c r="S97" i="13"/>
  <c r="Q97" i="13"/>
  <c r="O97" i="13"/>
  <c r="M97" i="13"/>
  <c r="K97" i="13"/>
  <c r="Y97" i="13" s="1"/>
  <c r="I97" i="13"/>
  <c r="W84" i="13"/>
  <c r="U84" i="13"/>
  <c r="S84" i="13"/>
  <c r="Q84" i="13"/>
  <c r="O84" i="13"/>
  <c r="M84" i="13"/>
  <c r="K84" i="13"/>
  <c r="Y84" i="13" s="1"/>
  <c r="I84" i="13"/>
  <c r="W44" i="13"/>
  <c r="U44" i="13"/>
  <c r="S44" i="13"/>
  <c r="Q44" i="13"/>
  <c r="O44" i="13"/>
  <c r="M44" i="13"/>
  <c r="K44" i="13"/>
  <c r="Y44" i="13" s="1"/>
  <c r="I44" i="13"/>
  <c r="W43" i="13"/>
  <c r="U43" i="13"/>
  <c r="S43" i="13"/>
  <c r="Q43" i="13"/>
  <c r="O43" i="13"/>
  <c r="M43" i="13"/>
  <c r="K43" i="13"/>
  <c r="Y43" i="13" s="1"/>
  <c r="I43" i="13"/>
  <c r="W47" i="13"/>
  <c r="U47" i="13"/>
  <c r="S47" i="13"/>
  <c r="Q47" i="13"/>
  <c r="O47" i="13"/>
  <c r="M47" i="13"/>
  <c r="K47" i="13"/>
  <c r="Y47" i="13" s="1"/>
  <c r="I47" i="13"/>
  <c r="W9" i="13"/>
  <c r="U9" i="13"/>
  <c r="S9" i="13"/>
  <c r="Q9" i="13"/>
  <c r="O9" i="13"/>
  <c r="M9" i="13"/>
  <c r="K9" i="13"/>
  <c r="Y9" i="13" s="1"/>
  <c r="I9" i="13"/>
  <c r="W2" i="13"/>
  <c r="U2" i="13"/>
  <c r="S2" i="13"/>
  <c r="Q2" i="13"/>
  <c r="O2" i="13"/>
  <c r="M2" i="13"/>
  <c r="K2" i="13"/>
  <c r="Y2" i="13" s="1"/>
  <c r="I2" i="13"/>
  <c r="W150" i="13"/>
  <c r="U150" i="13"/>
  <c r="S150" i="13"/>
  <c r="Q150" i="13"/>
  <c r="O150" i="13"/>
  <c r="M150" i="13"/>
  <c r="K150" i="13"/>
  <c r="Y150" i="13" s="1"/>
  <c r="I150" i="13"/>
  <c r="W28" i="13"/>
  <c r="Q28" i="13"/>
  <c r="O28" i="13"/>
  <c r="M28" i="13"/>
  <c r="K28" i="13"/>
  <c r="Y28" i="13" s="1"/>
  <c r="W7" i="13"/>
  <c r="Q7" i="13"/>
  <c r="O7" i="13"/>
  <c r="M7" i="13"/>
  <c r="K7" i="13"/>
  <c r="Y7" i="13" s="1"/>
  <c r="W133" i="13"/>
  <c r="U133" i="13"/>
  <c r="S133" i="13"/>
  <c r="Q133" i="13"/>
  <c r="O133" i="13"/>
  <c r="M133" i="13"/>
  <c r="K133" i="13"/>
  <c r="Y133" i="13" s="1"/>
  <c r="I133" i="13"/>
  <c r="W125" i="13"/>
  <c r="U125" i="13"/>
  <c r="S125" i="13"/>
  <c r="Q125" i="13"/>
  <c r="O125" i="13"/>
  <c r="M125" i="13"/>
  <c r="K125" i="13"/>
  <c r="Y125" i="13" s="1"/>
  <c r="I125" i="13"/>
  <c r="W71" i="13"/>
  <c r="U71" i="13"/>
  <c r="S71" i="13"/>
  <c r="Q71" i="13"/>
  <c r="O71" i="13"/>
  <c r="M71" i="13"/>
  <c r="K71" i="13"/>
  <c r="Y71" i="13" s="1"/>
  <c r="I71" i="13"/>
  <c r="W168" i="13"/>
  <c r="U168" i="13"/>
  <c r="S168" i="13"/>
  <c r="Q168" i="13"/>
  <c r="O168" i="13"/>
  <c r="M168" i="13"/>
  <c r="K168" i="13"/>
  <c r="Y168" i="13" s="1"/>
  <c r="I168" i="13"/>
  <c r="W128" i="13"/>
  <c r="U128" i="13"/>
  <c r="S128" i="13"/>
  <c r="Q128" i="13"/>
  <c r="O128" i="13"/>
  <c r="M128" i="13"/>
  <c r="K128" i="13"/>
  <c r="Y128" i="13" s="1"/>
  <c r="I128" i="13"/>
  <c r="W95" i="13"/>
  <c r="U95" i="13"/>
  <c r="S95" i="13"/>
  <c r="Q95" i="13"/>
  <c r="O95" i="13"/>
  <c r="M95" i="13"/>
  <c r="K95" i="13"/>
  <c r="Y95" i="13" s="1"/>
  <c r="I95" i="13"/>
  <c r="W45" i="13"/>
  <c r="Q45" i="13"/>
  <c r="O45" i="13"/>
  <c r="M45" i="13"/>
  <c r="W103" i="13"/>
  <c r="Q103" i="13"/>
  <c r="O103" i="13"/>
  <c r="M103" i="13"/>
  <c r="W32" i="13"/>
  <c r="Q32" i="13"/>
  <c r="O32" i="13"/>
  <c r="M32" i="13"/>
  <c r="W109" i="13"/>
  <c r="Q109" i="13"/>
  <c r="O109" i="13"/>
  <c r="M109" i="13"/>
  <c r="W11" i="13"/>
  <c r="U11" i="13"/>
  <c r="S11" i="13"/>
  <c r="Q11" i="13"/>
  <c r="O11" i="13"/>
  <c r="M11" i="13"/>
  <c r="K11" i="13"/>
  <c r="Y11" i="13" s="1"/>
  <c r="I11" i="13"/>
  <c r="W162" i="13"/>
  <c r="U162" i="13"/>
  <c r="S162" i="13"/>
  <c r="Q162" i="13"/>
  <c r="O162" i="13"/>
  <c r="M162" i="13"/>
  <c r="K162" i="13"/>
  <c r="Y162" i="13" s="1"/>
  <c r="I162" i="13"/>
  <c r="W122" i="13"/>
  <c r="U122" i="13"/>
  <c r="S122" i="13"/>
  <c r="Q122" i="13"/>
  <c r="O122" i="13"/>
  <c r="M122" i="13"/>
  <c r="K122" i="13"/>
  <c r="Y122" i="13" s="1"/>
  <c r="I122" i="13"/>
  <c r="W81" i="13"/>
  <c r="U81" i="13"/>
  <c r="S81" i="13"/>
  <c r="Q81" i="13"/>
  <c r="O81" i="13"/>
  <c r="M81" i="13"/>
  <c r="K81" i="13"/>
  <c r="Y81" i="13" s="1"/>
  <c r="I81" i="13"/>
  <c r="W158" i="13"/>
  <c r="U158" i="13"/>
  <c r="S158" i="13"/>
  <c r="Q158" i="13"/>
  <c r="O158" i="13"/>
  <c r="M158" i="13"/>
  <c r="K158" i="13"/>
  <c r="Y158" i="13" s="1"/>
  <c r="I158" i="13"/>
  <c r="W139" i="13"/>
  <c r="U139" i="13"/>
  <c r="S139" i="13"/>
  <c r="Q139" i="13"/>
  <c r="O139" i="13"/>
  <c r="M139" i="13"/>
  <c r="K139" i="13"/>
  <c r="Y139" i="13" s="1"/>
  <c r="I139" i="13"/>
  <c r="W104" i="13"/>
  <c r="U104" i="13"/>
  <c r="S104" i="13"/>
  <c r="Q104" i="13"/>
  <c r="O104" i="13"/>
  <c r="M104" i="13"/>
  <c r="K104" i="13"/>
  <c r="Y104" i="13" s="1"/>
  <c r="I104" i="13"/>
  <c r="W96" i="13"/>
  <c r="U96" i="13"/>
  <c r="S96" i="13"/>
  <c r="Q96" i="13"/>
  <c r="O96" i="13"/>
  <c r="M96" i="13"/>
  <c r="K96" i="13"/>
  <c r="Y96" i="13" s="1"/>
  <c r="I96" i="13"/>
  <c r="W105" i="13"/>
  <c r="U105" i="13"/>
  <c r="S105" i="13"/>
  <c r="Q105" i="13"/>
  <c r="O105" i="13"/>
  <c r="M105" i="13"/>
  <c r="K105" i="13"/>
  <c r="Y105" i="13" s="1"/>
  <c r="I105" i="13"/>
  <c r="W6" i="13"/>
  <c r="U6" i="13"/>
  <c r="S6" i="13"/>
  <c r="Q6" i="13"/>
  <c r="O6" i="13"/>
  <c r="M6" i="13"/>
  <c r="K6" i="13"/>
  <c r="Y6" i="13" s="1"/>
  <c r="I6" i="13"/>
  <c r="W78" i="13"/>
  <c r="O78" i="13"/>
  <c r="Q78" i="13"/>
  <c r="M78" i="13"/>
  <c r="D138" i="13" l="1"/>
  <c r="F20" i="23" s="1"/>
  <c r="F156" i="23"/>
  <c r="D7" i="13"/>
  <c r="F153" i="23" s="1"/>
  <c r="E2" i="23"/>
  <c r="D1" i="23"/>
  <c r="T414" i="10"/>
  <c r="R414" i="10"/>
  <c r="P414" i="10"/>
  <c r="O414" i="10"/>
  <c r="M414" i="10"/>
  <c r="K414" i="10"/>
  <c r="I414" i="10"/>
  <c r="G414" i="10"/>
  <c r="V414" i="10" s="1"/>
  <c r="E414" i="10"/>
  <c r="T413" i="10"/>
  <c r="R413" i="10"/>
  <c r="P413" i="10"/>
  <c r="O413" i="10"/>
  <c r="M413" i="10"/>
  <c r="K413" i="10"/>
  <c r="I413" i="10"/>
  <c r="G413" i="10"/>
  <c r="V413" i="10" s="1"/>
  <c r="E413" i="10"/>
  <c r="T412" i="10"/>
  <c r="R412" i="10"/>
  <c r="P412" i="10"/>
  <c r="O412" i="10"/>
  <c r="M412" i="10"/>
  <c r="K412" i="10"/>
  <c r="I412" i="10"/>
  <c r="G412" i="10"/>
  <c r="V412" i="10" s="1"/>
  <c r="E412" i="10"/>
  <c r="T411" i="10"/>
  <c r="R411" i="10"/>
  <c r="P411" i="10"/>
  <c r="O411" i="10"/>
  <c r="M411" i="10"/>
  <c r="K411" i="10"/>
  <c r="I411" i="10"/>
  <c r="G411" i="10"/>
  <c r="V411" i="10" s="1"/>
  <c r="E411" i="10"/>
  <c r="T410" i="10"/>
  <c r="R410" i="10"/>
  <c r="P410" i="10"/>
  <c r="O410" i="10"/>
  <c r="M410" i="10"/>
  <c r="K410" i="10"/>
  <c r="I410" i="10"/>
  <c r="G410" i="10"/>
  <c r="V410" i="10" s="1"/>
  <c r="E410" i="10"/>
  <c r="T409" i="10"/>
  <c r="R409" i="10"/>
  <c r="P409" i="10"/>
  <c r="O409" i="10"/>
  <c r="M409" i="10"/>
  <c r="K409" i="10"/>
  <c r="I409" i="10"/>
  <c r="G409" i="10"/>
  <c r="V409" i="10" s="1"/>
  <c r="E409" i="10"/>
  <c r="T408" i="10"/>
  <c r="R408" i="10"/>
  <c r="P408" i="10"/>
  <c r="O408" i="10"/>
  <c r="M408" i="10"/>
  <c r="K408" i="10"/>
  <c r="I408" i="10"/>
  <c r="G408" i="10"/>
  <c r="V408" i="10" s="1"/>
  <c r="E408" i="10"/>
  <c r="T407" i="10"/>
  <c r="R407" i="10"/>
  <c r="P407" i="10"/>
  <c r="O407" i="10"/>
  <c r="M407" i="10"/>
  <c r="K407" i="10"/>
  <c r="I407" i="10"/>
  <c r="G407" i="10"/>
  <c r="V407" i="10" s="1"/>
  <c r="E407" i="10"/>
  <c r="T406" i="10"/>
  <c r="R406" i="10"/>
  <c r="P406" i="10"/>
  <c r="O406" i="10"/>
  <c r="M406" i="10"/>
  <c r="K406" i="10"/>
  <c r="I406" i="10"/>
  <c r="G406" i="10"/>
  <c r="V406" i="10" s="1"/>
  <c r="E406" i="10"/>
  <c r="T405" i="10"/>
  <c r="R405" i="10"/>
  <c r="P405" i="10"/>
  <c r="O405" i="10"/>
  <c r="M405" i="10"/>
  <c r="K405" i="10"/>
  <c r="I405" i="10"/>
  <c r="G405" i="10"/>
  <c r="V405" i="10" s="1"/>
  <c r="E405" i="10"/>
  <c r="T404" i="10"/>
  <c r="R404" i="10"/>
  <c r="P404" i="10"/>
  <c r="O404" i="10"/>
  <c r="M404" i="10"/>
  <c r="K404" i="10"/>
  <c r="I404" i="10"/>
  <c r="G404" i="10"/>
  <c r="V404" i="10" s="1"/>
  <c r="E404" i="10"/>
  <c r="T403" i="10"/>
  <c r="R403" i="10"/>
  <c r="P403" i="10"/>
  <c r="O403" i="10"/>
  <c r="M403" i="10"/>
  <c r="K403" i="10"/>
  <c r="I403" i="10"/>
  <c r="G403" i="10"/>
  <c r="V403" i="10" s="1"/>
  <c r="E403" i="10"/>
  <c r="T402" i="10"/>
  <c r="R402" i="10"/>
  <c r="P402" i="10"/>
  <c r="O402" i="10"/>
  <c r="M402" i="10"/>
  <c r="K402" i="10"/>
  <c r="I402" i="10"/>
  <c r="G402" i="10"/>
  <c r="V402" i="10" s="1"/>
  <c r="E402" i="10"/>
  <c r="T401" i="10"/>
  <c r="R401" i="10"/>
  <c r="P401" i="10"/>
  <c r="O401" i="10"/>
  <c r="M401" i="10"/>
  <c r="K401" i="10"/>
  <c r="I401" i="10"/>
  <c r="G401" i="10"/>
  <c r="V401" i="10" s="1"/>
  <c r="E401" i="10"/>
  <c r="T400" i="10"/>
  <c r="R400" i="10"/>
  <c r="P400" i="10"/>
  <c r="O400" i="10"/>
  <c r="M400" i="10"/>
  <c r="K400" i="10"/>
  <c r="I400" i="10"/>
  <c r="G400" i="10"/>
  <c r="V400" i="10" s="1"/>
  <c r="E400" i="10"/>
  <c r="T399" i="10"/>
  <c r="R399" i="10"/>
  <c r="P399" i="10"/>
  <c r="O399" i="10"/>
  <c r="M399" i="10"/>
  <c r="K399" i="10"/>
  <c r="I399" i="10"/>
  <c r="G399" i="10"/>
  <c r="V399" i="10" s="1"/>
  <c r="E399" i="10"/>
  <c r="T398" i="10"/>
  <c r="R398" i="10"/>
  <c r="P398" i="10"/>
  <c r="O398" i="10"/>
  <c r="M398" i="10"/>
  <c r="K398" i="10"/>
  <c r="I398" i="10"/>
  <c r="G398" i="10"/>
  <c r="V398" i="10" s="1"/>
  <c r="E398" i="10"/>
  <c r="T397" i="10"/>
  <c r="R397" i="10"/>
  <c r="P397" i="10"/>
  <c r="O397" i="10"/>
  <c r="M397" i="10"/>
  <c r="K397" i="10"/>
  <c r="I397" i="10"/>
  <c r="G397" i="10"/>
  <c r="V397" i="10" s="1"/>
  <c r="E397" i="10"/>
  <c r="T396" i="10"/>
  <c r="R396" i="10"/>
  <c r="P396" i="10"/>
  <c r="O396" i="10"/>
  <c r="M396" i="10"/>
  <c r="K396" i="10"/>
  <c r="I396" i="10"/>
  <c r="G396" i="10"/>
  <c r="V396" i="10" s="1"/>
  <c r="E396" i="10"/>
  <c r="T395" i="10"/>
  <c r="R395" i="10"/>
  <c r="P395" i="10"/>
  <c r="O395" i="10"/>
  <c r="M395" i="10"/>
  <c r="K395" i="10"/>
  <c r="I395" i="10"/>
  <c r="G395" i="10"/>
  <c r="V395" i="10" s="1"/>
  <c r="E395" i="10"/>
  <c r="T394" i="10"/>
  <c r="R394" i="10"/>
  <c r="P394" i="10"/>
  <c r="O394" i="10"/>
  <c r="M394" i="10"/>
  <c r="K394" i="10"/>
  <c r="I394" i="10"/>
  <c r="G394" i="10"/>
  <c r="V394" i="10" s="1"/>
  <c r="E394" i="10"/>
  <c r="T393" i="10"/>
  <c r="R393" i="10"/>
  <c r="P393" i="10"/>
  <c r="O393" i="10"/>
  <c r="M393" i="10"/>
  <c r="K393" i="10"/>
  <c r="I393" i="10"/>
  <c r="G393" i="10"/>
  <c r="V393" i="10" s="1"/>
  <c r="E393" i="10"/>
  <c r="T392" i="10"/>
  <c r="R392" i="10"/>
  <c r="P392" i="10"/>
  <c r="O392" i="10"/>
  <c r="M392" i="10"/>
  <c r="K392" i="10"/>
  <c r="I392" i="10"/>
  <c r="G392" i="10"/>
  <c r="V392" i="10" s="1"/>
  <c r="E392" i="10"/>
  <c r="T391" i="10"/>
  <c r="R391" i="10"/>
  <c r="P391" i="10"/>
  <c r="O391" i="10"/>
  <c r="M391" i="10"/>
  <c r="K391" i="10"/>
  <c r="I391" i="10"/>
  <c r="G391" i="10"/>
  <c r="V391" i="10" s="1"/>
  <c r="E391" i="10"/>
  <c r="T390" i="10"/>
  <c r="R390" i="10"/>
  <c r="P390" i="10"/>
  <c r="O390" i="10"/>
  <c r="M390" i="10"/>
  <c r="K390" i="10"/>
  <c r="I390" i="10"/>
  <c r="G390" i="10"/>
  <c r="V390" i="10" s="1"/>
  <c r="E390" i="10"/>
  <c r="T389" i="10"/>
  <c r="R389" i="10"/>
  <c r="P389" i="10"/>
  <c r="O389" i="10"/>
  <c r="M389" i="10"/>
  <c r="K389" i="10"/>
  <c r="I389" i="10"/>
  <c r="G389" i="10"/>
  <c r="V389" i="10" s="1"/>
  <c r="E389" i="10"/>
  <c r="T388" i="10"/>
  <c r="R388" i="10"/>
  <c r="P388" i="10"/>
  <c r="O388" i="10"/>
  <c r="M388" i="10"/>
  <c r="K388" i="10"/>
  <c r="I388" i="10"/>
  <c r="G388" i="10"/>
  <c r="V388" i="10" s="1"/>
  <c r="E388" i="10"/>
  <c r="T387" i="10"/>
  <c r="R387" i="10"/>
  <c r="P387" i="10"/>
  <c r="O387" i="10"/>
  <c r="M387" i="10"/>
  <c r="K387" i="10"/>
  <c r="I387" i="10"/>
  <c r="G387" i="10"/>
  <c r="V387" i="10" s="1"/>
  <c r="E387" i="10"/>
  <c r="T386" i="10"/>
  <c r="R386" i="10"/>
  <c r="P386" i="10"/>
  <c r="O386" i="10"/>
  <c r="M386" i="10"/>
  <c r="K386" i="10"/>
  <c r="I386" i="10"/>
  <c r="G386" i="10"/>
  <c r="V386" i="10" s="1"/>
  <c r="E386" i="10"/>
  <c r="T385" i="10"/>
  <c r="R385" i="10"/>
  <c r="P385" i="10"/>
  <c r="O385" i="10"/>
  <c r="M385" i="10"/>
  <c r="K385" i="10"/>
  <c r="I385" i="10"/>
  <c r="G385" i="10"/>
  <c r="V385" i="10" s="1"/>
  <c r="E385" i="10"/>
  <c r="T384" i="10"/>
  <c r="R384" i="10"/>
  <c r="P384" i="10"/>
  <c r="O384" i="10"/>
  <c r="M384" i="10"/>
  <c r="K384" i="10"/>
  <c r="I384" i="10"/>
  <c r="G384" i="10"/>
  <c r="V384" i="10" s="1"/>
  <c r="E384" i="10"/>
  <c r="T383" i="10"/>
  <c r="R383" i="10"/>
  <c r="P383" i="10"/>
  <c r="O383" i="10"/>
  <c r="M383" i="10"/>
  <c r="K383" i="10"/>
  <c r="I383" i="10"/>
  <c r="G383" i="10"/>
  <c r="V383" i="10" s="1"/>
  <c r="E383" i="10"/>
  <c r="T382" i="10"/>
  <c r="R382" i="10"/>
  <c r="P382" i="10"/>
  <c r="O382" i="10"/>
  <c r="M382" i="10"/>
  <c r="K382" i="10"/>
  <c r="I382" i="10"/>
  <c r="G382" i="10"/>
  <c r="V382" i="10" s="1"/>
  <c r="E382" i="10"/>
  <c r="T381" i="10"/>
  <c r="R381" i="10"/>
  <c r="P381" i="10"/>
  <c r="O381" i="10"/>
  <c r="M381" i="10"/>
  <c r="K381" i="10"/>
  <c r="I381" i="10"/>
  <c r="G381" i="10"/>
  <c r="V381" i="10" s="1"/>
  <c r="E381" i="10"/>
  <c r="T380" i="10"/>
  <c r="R380" i="10"/>
  <c r="P380" i="10"/>
  <c r="O380" i="10"/>
  <c r="M380" i="10"/>
  <c r="K380" i="10"/>
  <c r="I380" i="10"/>
  <c r="G380" i="10"/>
  <c r="V380" i="10" s="1"/>
  <c r="E380" i="10"/>
  <c r="T379" i="10"/>
  <c r="R379" i="10"/>
  <c r="P379" i="10"/>
  <c r="O379" i="10"/>
  <c r="M379" i="10"/>
  <c r="K379" i="10"/>
  <c r="I379" i="10"/>
  <c r="G379" i="10"/>
  <c r="V379" i="10" s="1"/>
  <c r="E379" i="10"/>
  <c r="T378" i="10"/>
  <c r="R378" i="10"/>
  <c r="P378" i="10"/>
  <c r="O378" i="10"/>
  <c r="M378" i="10"/>
  <c r="K378" i="10"/>
  <c r="I378" i="10"/>
  <c r="G378" i="10"/>
  <c r="V378" i="10" s="1"/>
  <c r="E378" i="10"/>
  <c r="T377" i="10"/>
  <c r="R377" i="10"/>
  <c r="P377" i="10"/>
  <c r="O377" i="10"/>
  <c r="M377" i="10"/>
  <c r="K377" i="10"/>
  <c r="I377" i="10"/>
  <c r="G377" i="10"/>
  <c r="V377" i="10" s="1"/>
  <c r="E377" i="10"/>
  <c r="T376" i="10"/>
  <c r="R376" i="10"/>
  <c r="P376" i="10"/>
  <c r="O376" i="10"/>
  <c r="M376" i="10"/>
  <c r="K376" i="10"/>
  <c r="I376" i="10"/>
  <c r="G376" i="10"/>
  <c r="V376" i="10" s="1"/>
  <c r="E376" i="10"/>
  <c r="T375" i="10"/>
  <c r="R375" i="10"/>
  <c r="P375" i="10"/>
  <c r="O375" i="10"/>
  <c r="M375" i="10"/>
  <c r="K375" i="10"/>
  <c r="I375" i="10"/>
  <c r="G375" i="10"/>
  <c r="V375" i="10" s="1"/>
  <c r="E375" i="10"/>
  <c r="T374" i="10"/>
  <c r="R374" i="10"/>
  <c r="P374" i="10"/>
  <c r="O374" i="10"/>
  <c r="M374" i="10"/>
  <c r="K374" i="10"/>
  <c r="I374" i="10"/>
  <c r="G374" i="10"/>
  <c r="V374" i="10" s="1"/>
  <c r="E374" i="10"/>
  <c r="T373" i="10"/>
  <c r="R373" i="10"/>
  <c r="P373" i="10"/>
  <c r="O373" i="10"/>
  <c r="M373" i="10"/>
  <c r="K373" i="10"/>
  <c r="I373" i="10"/>
  <c r="G373" i="10"/>
  <c r="V373" i="10" s="1"/>
  <c r="E373" i="10"/>
  <c r="T372" i="10"/>
  <c r="R372" i="10"/>
  <c r="P372" i="10"/>
  <c r="O372" i="10"/>
  <c r="M372" i="10"/>
  <c r="K372" i="10"/>
  <c r="I372" i="10"/>
  <c r="G372" i="10"/>
  <c r="V372" i="10" s="1"/>
  <c r="E372" i="10"/>
  <c r="T371" i="10"/>
  <c r="R371" i="10"/>
  <c r="P371" i="10"/>
  <c r="O371" i="10"/>
  <c r="M371" i="10"/>
  <c r="K371" i="10"/>
  <c r="I371" i="10"/>
  <c r="G371" i="10"/>
  <c r="V371" i="10" s="1"/>
  <c r="E371" i="10"/>
  <c r="T370" i="10"/>
  <c r="R370" i="10"/>
  <c r="P370" i="10"/>
  <c r="O370" i="10"/>
  <c r="M370" i="10"/>
  <c r="K370" i="10"/>
  <c r="I370" i="10"/>
  <c r="G370" i="10"/>
  <c r="V370" i="10" s="1"/>
  <c r="E370" i="10"/>
  <c r="T369" i="10"/>
  <c r="R369" i="10"/>
  <c r="P369" i="10"/>
  <c r="O369" i="10"/>
  <c r="M369" i="10"/>
  <c r="K369" i="10"/>
  <c r="I369" i="10"/>
  <c r="G369" i="10"/>
  <c r="V369" i="10" s="1"/>
  <c r="E369" i="10"/>
  <c r="T368" i="10"/>
  <c r="R368" i="10"/>
  <c r="P368" i="10"/>
  <c r="O368" i="10"/>
  <c r="M368" i="10"/>
  <c r="K368" i="10"/>
  <c r="I368" i="10"/>
  <c r="G368" i="10"/>
  <c r="V368" i="10" s="1"/>
  <c r="E368" i="10"/>
  <c r="T367" i="10"/>
  <c r="R367" i="10"/>
  <c r="P367" i="10"/>
  <c r="O367" i="10"/>
  <c r="M367" i="10"/>
  <c r="K367" i="10"/>
  <c r="I367" i="10"/>
  <c r="G367" i="10"/>
  <c r="V367" i="10" s="1"/>
  <c r="E367" i="10"/>
  <c r="T366" i="10"/>
  <c r="R366" i="10"/>
  <c r="P366" i="10"/>
  <c r="O366" i="10"/>
  <c r="M366" i="10"/>
  <c r="K366" i="10"/>
  <c r="I366" i="10"/>
  <c r="G366" i="10"/>
  <c r="V366" i="10" s="1"/>
  <c r="E366" i="10"/>
  <c r="T365" i="10"/>
  <c r="R365" i="10"/>
  <c r="P365" i="10"/>
  <c r="O365" i="10"/>
  <c r="M365" i="10"/>
  <c r="K365" i="10"/>
  <c r="I365" i="10"/>
  <c r="G365" i="10"/>
  <c r="V365" i="10" s="1"/>
  <c r="E365" i="10"/>
  <c r="T364" i="10"/>
  <c r="R364" i="10"/>
  <c r="P364" i="10"/>
  <c r="O364" i="10"/>
  <c r="M364" i="10"/>
  <c r="K364" i="10"/>
  <c r="I364" i="10"/>
  <c r="G364" i="10"/>
  <c r="V364" i="10" s="1"/>
  <c r="E364" i="10"/>
  <c r="T363" i="10"/>
  <c r="R363" i="10"/>
  <c r="P363" i="10"/>
  <c r="O363" i="10"/>
  <c r="M363" i="10"/>
  <c r="K363" i="10"/>
  <c r="I363" i="10"/>
  <c r="G363" i="10"/>
  <c r="V363" i="10" s="1"/>
  <c r="E363" i="10"/>
  <c r="T362" i="10"/>
  <c r="R362" i="10"/>
  <c r="P362" i="10"/>
  <c r="O362" i="10"/>
  <c r="M362" i="10"/>
  <c r="K362" i="10"/>
  <c r="I362" i="10"/>
  <c r="G362" i="10"/>
  <c r="V362" i="10" s="1"/>
  <c r="E362" i="10"/>
  <c r="T361" i="10"/>
  <c r="R361" i="10"/>
  <c r="P361" i="10"/>
  <c r="O361" i="10"/>
  <c r="M361" i="10"/>
  <c r="K361" i="10"/>
  <c r="I361" i="10"/>
  <c r="G361" i="10"/>
  <c r="V361" i="10" s="1"/>
  <c r="E361" i="10"/>
  <c r="T360" i="10"/>
  <c r="R360" i="10"/>
  <c r="P360" i="10"/>
  <c r="O360" i="10"/>
  <c r="M360" i="10"/>
  <c r="K360" i="10"/>
  <c r="I360" i="10"/>
  <c r="G360" i="10"/>
  <c r="V360" i="10" s="1"/>
  <c r="E360" i="10"/>
  <c r="T359" i="10"/>
  <c r="R359" i="10"/>
  <c r="P359" i="10"/>
  <c r="O359" i="10"/>
  <c r="M359" i="10"/>
  <c r="K359" i="10"/>
  <c r="I359" i="10"/>
  <c r="G359" i="10"/>
  <c r="V359" i="10" s="1"/>
  <c r="E359" i="10"/>
  <c r="T358" i="10"/>
  <c r="R358" i="10"/>
  <c r="P358" i="10"/>
  <c r="O358" i="10"/>
  <c r="M358" i="10"/>
  <c r="K358" i="10"/>
  <c r="I358" i="10"/>
  <c r="G358" i="10"/>
  <c r="V358" i="10" s="1"/>
  <c r="E358" i="10"/>
  <c r="T357" i="10"/>
  <c r="R357" i="10"/>
  <c r="P357" i="10"/>
  <c r="O357" i="10"/>
  <c r="M357" i="10"/>
  <c r="K357" i="10"/>
  <c r="I357" i="10"/>
  <c r="G357" i="10"/>
  <c r="V357" i="10" s="1"/>
  <c r="E357" i="10"/>
  <c r="T356" i="10"/>
  <c r="R356" i="10"/>
  <c r="P356" i="10"/>
  <c r="O356" i="10"/>
  <c r="M356" i="10"/>
  <c r="K356" i="10"/>
  <c r="I356" i="10"/>
  <c r="G356" i="10"/>
  <c r="V356" i="10" s="1"/>
  <c r="E356" i="10"/>
  <c r="T355" i="10"/>
  <c r="R355" i="10"/>
  <c r="P355" i="10"/>
  <c r="O355" i="10"/>
  <c r="M355" i="10"/>
  <c r="K355" i="10"/>
  <c r="I355" i="10"/>
  <c r="G355" i="10"/>
  <c r="V355" i="10" s="1"/>
  <c r="E355" i="10"/>
  <c r="T354" i="10"/>
  <c r="R354" i="10"/>
  <c r="P354" i="10"/>
  <c r="O354" i="10"/>
  <c r="M354" i="10"/>
  <c r="K354" i="10"/>
  <c r="I354" i="10"/>
  <c r="G354" i="10"/>
  <c r="V354" i="10" s="1"/>
  <c r="E354" i="10"/>
  <c r="T353" i="10"/>
  <c r="R353" i="10"/>
  <c r="P353" i="10"/>
  <c r="O353" i="10"/>
  <c r="M353" i="10"/>
  <c r="K353" i="10"/>
  <c r="I353" i="10"/>
  <c r="G353" i="10"/>
  <c r="V353" i="10" s="1"/>
  <c r="E353" i="10"/>
  <c r="T352" i="10"/>
  <c r="R352" i="10"/>
  <c r="P352" i="10"/>
  <c r="O352" i="10"/>
  <c r="M352" i="10"/>
  <c r="K352" i="10"/>
  <c r="I352" i="10"/>
  <c r="G352" i="10"/>
  <c r="V352" i="10" s="1"/>
  <c r="E352" i="10"/>
  <c r="T351" i="10"/>
  <c r="R351" i="10"/>
  <c r="P351" i="10"/>
  <c r="O351" i="10"/>
  <c r="M351" i="10"/>
  <c r="K351" i="10"/>
  <c r="I351" i="10"/>
  <c r="G351" i="10"/>
  <c r="V351" i="10" s="1"/>
  <c r="E351" i="10"/>
  <c r="T350" i="10"/>
  <c r="R350" i="10"/>
  <c r="P350" i="10"/>
  <c r="O350" i="10"/>
  <c r="M350" i="10"/>
  <c r="K350" i="10"/>
  <c r="I350" i="10"/>
  <c r="G350" i="10"/>
  <c r="V350" i="10" s="1"/>
  <c r="E350" i="10"/>
  <c r="T349" i="10"/>
  <c r="R349" i="10"/>
  <c r="P349" i="10"/>
  <c r="O349" i="10"/>
  <c r="M349" i="10"/>
  <c r="K349" i="10"/>
  <c r="I349" i="10"/>
  <c r="G349" i="10"/>
  <c r="V349" i="10" s="1"/>
  <c r="E349" i="10"/>
  <c r="T348" i="10"/>
  <c r="R348" i="10"/>
  <c r="P348" i="10"/>
  <c r="O348" i="10"/>
  <c r="M348" i="10"/>
  <c r="K348" i="10"/>
  <c r="I348" i="10"/>
  <c r="G348" i="10"/>
  <c r="V348" i="10" s="1"/>
  <c r="E348" i="10"/>
  <c r="T347" i="10"/>
  <c r="R347" i="10"/>
  <c r="P347" i="10"/>
  <c r="O347" i="10"/>
  <c r="M347" i="10"/>
  <c r="K347" i="10"/>
  <c r="I347" i="10"/>
  <c r="G347" i="10"/>
  <c r="V347" i="10" s="1"/>
  <c r="E347" i="10"/>
  <c r="T346" i="10"/>
  <c r="R346" i="10"/>
  <c r="P346" i="10"/>
  <c r="O346" i="10"/>
  <c r="M346" i="10"/>
  <c r="K346" i="10"/>
  <c r="I346" i="10"/>
  <c r="G346" i="10"/>
  <c r="V346" i="10" s="1"/>
  <c r="E346" i="10"/>
  <c r="T345" i="10"/>
  <c r="R345" i="10"/>
  <c r="P345" i="10"/>
  <c r="O345" i="10"/>
  <c r="M345" i="10"/>
  <c r="K345" i="10"/>
  <c r="I345" i="10"/>
  <c r="G345" i="10"/>
  <c r="V345" i="10" s="1"/>
  <c r="E345" i="10"/>
  <c r="T344" i="10"/>
  <c r="R344" i="10"/>
  <c r="P344" i="10"/>
  <c r="O344" i="10"/>
  <c r="M344" i="10"/>
  <c r="K344" i="10"/>
  <c r="I344" i="10"/>
  <c r="G344" i="10"/>
  <c r="V344" i="10" s="1"/>
  <c r="E344" i="10"/>
  <c r="T343" i="10"/>
  <c r="R343" i="10"/>
  <c r="P343" i="10"/>
  <c r="O343" i="10"/>
  <c r="M343" i="10"/>
  <c r="K343" i="10"/>
  <c r="I343" i="10"/>
  <c r="G343" i="10"/>
  <c r="V343" i="10" s="1"/>
  <c r="E343" i="10"/>
  <c r="T342" i="10"/>
  <c r="R342" i="10"/>
  <c r="P342" i="10"/>
  <c r="O342" i="10"/>
  <c r="M342" i="10"/>
  <c r="K342" i="10"/>
  <c r="I342" i="10"/>
  <c r="G342" i="10"/>
  <c r="V342" i="10" s="1"/>
  <c r="E342" i="10"/>
  <c r="T341" i="10"/>
  <c r="R341" i="10"/>
  <c r="P341" i="10"/>
  <c r="O341" i="10"/>
  <c r="M341" i="10"/>
  <c r="K341" i="10"/>
  <c r="I341" i="10"/>
  <c r="G341" i="10"/>
  <c r="V341" i="10" s="1"/>
  <c r="E341" i="10"/>
  <c r="T340" i="10"/>
  <c r="R340" i="10"/>
  <c r="P340" i="10"/>
  <c r="O340" i="10"/>
  <c r="M340" i="10"/>
  <c r="K340" i="10"/>
  <c r="I340" i="10"/>
  <c r="G340" i="10"/>
  <c r="V340" i="10" s="1"/>
  <c r="E340" i="10"/>
  <c r="T339" i="10"/>
  <c r="R339" i="10"/>
  <c r="P339" i="10"/>
  <c r="O339" i="10"/>
  <c r="M339" i="10"/>
  <c r="K339" i="10"/>
  <c r="I339" i="10"/>
  <c r="G339" i="10"/>
  <c r="V339" i="10" s="1"/>
  <c r="E339" i="10"/>
  <c r="T338" i="10"/>
  <c r="R338" i="10"/>
  <c r="P338" i="10"/>
  <c r="O338" i="10"/>
  <c r="M338" i="10"/>
  <c r="K338" i="10"/>
  <c r="I338" i="10"/>
  <c r="G338" i="10"/>
  <c r="V338" i="10" s="1"/>
  <c r="E338" i="10"/>
  <c r="T337" i="10"/>
  <c r="R337" i="10"/>
  <c r="P337" i="10"/>
  <c r="O337" i="10"/>
  <c r="M337" i="10"/>
  <c r="K337" i="10"/>
  <c r="I337" i="10"/>
  <c r="G337" i="10"/>
  <c r="V337" i="10" s="1"/>
  <c r="E337" i="10"/>
  <c r="T336" i="10"/>
  <c r="R336" i="10"/>
  <c r="P336" i="10"/>
  <c r="O336" i="10"/>
  <c r="M336" i="10"/>
  <c r="K336" i="10"/>
  <c r="I336" i="10"/>
  <c r="G336" i="10"/>
  <c r="V336" i="10" s="1"/>
  <c r="E336" i="10"/>
  <c r="T335" i="10"/>
  <c r="R335" i="10"/>
  <c r="P335" i="10"/>
  <c r="O335" i="10"/>
  <c r="M335" i="10"/>
  <c r="K335" i="10"/>
  <c r="I335" i="10"/>
  <c r="G335" i="10"/>
  <c r="V335" i="10" s="1"/>
  <c r="E335" i="10"/>
  <c r="T334" i="10"/>
  <c r="R334" i="10"/>
  <c r="P334" i="10"/>
  <c r="O334" i="10"/>
  <c r="M334" i="10"/>
  <c r="K334" i="10"/>
  <c r="I334" i="10"/>
  <c r="G334" i="10"/>
  <c r="V334" i="10" s="1"/>
  <c r="E334" i="10"/>
  <c r="T333" i="10"/>
  <c r="R333" i="10"/>
  <c r="P333" i="10"/>
  <c r="O333" i="10"/>
  <c r="M333" i="10"/>
  <c r="K333" i="10"/>
  <c r="I333" i="10"/>
  <c r="G333" i="10"/>
  <c r="V333" i="10" s="1"/>
  <c r="E333" i="10"/>
  <c r="T332" i="10"/>
  <c r="R332" i="10"/>
  <c r="P332" i="10"/>
  <c r="O332" i="10"/>
  <c r="M332" i="10"/>
  <c r="K332" i="10"/>
  <c r="I332" i="10"/>
  <c r="G332" i="10"/>
  <c r="V332" i="10" s="1"/>
  <c r="E332" i="10"/>
  <c r="T331" i="10"/>
  <c r="R331" i="10"/>
  <c r="P331" i="10"/>
  <c r="O331" i="10"/>
  <c r="M331" i="10"/>
  <c r="K331" i="10"/>
  <c r="I331" i="10"/>
  <c r="G331" i="10"/>
  <c r="V331" i="10" s="1"/>
  <c r="E331" i="10"/>
  <c r="T330" i="10"/>
  <c r="R330" i="10"/>
  <c r="P330" i="10"/>
  <c r="O330" i="10"/>
  <c r="M330" i="10"/>
  <c r="K330" i="10"/>
  <c r="I330" i="10"/>
  <c r="G330" i="10"/>
  <c r="V330" i="10" s="1"/>
  <c r="E330" i="10"/>
  <c r="T329" i="10"/>
  <c r="R329" i="10"/>
  <c r="P329" i="10"/>
  <c r="O329" i="10"/>
  <c r="M329" i="10"/>
  <c r="K329" i="10"/>
  <c r="I329" i="10"/>
  <c r="G329" i="10"/>
  <c r="V329" i="10" s="1"/>
  <c r="E329" i="10"/>
  <c r="T328" i="10"/>
  <c r="R328" i="10"/>
  <c r="P328" i="10"/>
  <c r="O328" i="10"/>
  <c r="M328" i="10"/>
  <c r="K328" i="10"/>
  <c r="I328" i="10"/>
  <c r="G328" i="10"/>
  <c r="V328" i="10" s="1"/>
  <c r="E328" i="10"/>
  <c r="T327" i="10"/>
  <c r="R327" i="10"/>
  <c r="P327" i="10"/>
  <c r="O327" i="10"/>
  <c r="M327" i="10"/>
  <c r="K327" i="10"/>
  <c r="I327" i="10"/>
  <c r="G327" i="10"/>
  <c r="V327" i="10" s="1"/>
  <c r="E327" i="10"/>
  <c r="T326" i="10"/>
  <c r="R326" i="10"/>
  <c r="P326" i="10"/>
  <c r="O326" i="10"/>
  <c r="M326" i="10"/>
  <c r="K326" i="10"/>
  <c r="I326" i="10"/>
  <c r="G326" i="10"/>
  <c r="V326" i="10" s="1"/>
  <c r="E326" i="10"/>
  <c r="T325" i="10"/>
  <c r="R325" i="10"/>
  <c r="P325" i="10"/>
  <c r="O325" i="10"/>
  <c r="M325" i="10"/>
  <c r="K325" i="10"/>
  <c r="I325" i="10"/>
  <c r="G325" i="10"/>
  <c r="V325" i="10" s="1"/>
  <c r="E325" i="10"/>
  <c r="T324" i="10"/>
  <c r="R324" i="10"/>
  <c r="P324" i="10"/>
  <c r="O324" i="10"/>
  <c r="M324" i="10"/>
  <c r="K324" i="10"/>
  <c r="I324" i="10"/>
  <c r="G324" i="10"/>
  <c r="V324" i="10" s="1"/>
  <c r="E324" i="10"/>
  <c r="T323" i="10"/>
  <c r="R323" i="10"/>
  <c r="P323" i="10"/>
  <c r="O323" i="10"/>
  <c r="M323" i="10"/>
  <c r="K323" i="10"/>
  <c r="I323" i="10"/>
  <c r="G323" i="10"/>
  <c r="V323" i="10" s="1"/>
  <c r="E323" i="10"/>
  <c r="T322" i="10"/>
  <c r="R322" i="10"/>
  <c r="P322" i="10"/>
  <c r="O322" i="10"/>
  <c r="M322" i="10"/>
  <c r="K322" i="10"/>
  <c r="I322" i="10"/>
  <c r="G322" i="10"/>
  <c r="V322" i="10" s="1"/>
  <c r="E322" i="10"/>
  <c r="T321" i="10"/>
  <c r="R321" i="10"/>
  <c r="P321" i="10"/>
  <c r="O321" i="10"/>
  <c r="M321" i="10"/>
  <c r="K321" i="10"/>
  <c r="I321" i="10"/>
  <c r="G321" i="10"/>
  <c r="V321" i="10" s="1"/>
  <c r="E321" i="10"/>
  <c r="T320" i="10"/>
  <c r="R320" i="10"/>
  <c r="P320" i="10"/>
  <c r="O320" i="10"/>
  <c r="M320" i="10"/>
  <c r="K320" i="10"/>
  <c r="I320" i="10"/>
  <c r="G320" i="10"/>
  <c r="V320" i="10" s="1"/>
  <c r="E320" i="10"/>
  <c r="T319" i="10"/>
  <c r="R319" i="10"/>
  <c r="P319" i="10"/>
  <c r="O319" i="10"/>
  <c r="M319" i="10"/>
  <c r="K319" i="10"/>
  <c r="I319" i="10"/>
  <c r="G319" i="10"/>
  <c r="V319" i="10" s="1"/>
  <c r="E319" i="10"/>
  <c r="T318" i="10"/>
  <c r="R318" i="10"/>
  <c r="P318" i="10"/>
  <c r="O318" i="10"/>
  <c r="M318" i="10"/>
  <c r="K318" i="10"/>
  <c r="I318" i="10"/>
  <c r="G318" i="10"/>
  <c r="V318" i="10" s="1"/>
  <c r="E318" i="10"/>
  <c r="T317" i="10"/>
  <c r="R317" i="10"/>
  <c r="P317" i="10"/>
  <c r="O317" i="10"/>
  <c r="M317" i="10"/>
  <c r="K317" i="10"/>
  <c r="I317" i="10"/>
  <c r="G317" i="10"/>
  <c r="V317" i="10" s="1"/>
  <c r="E317" i="10"/>
  <c r="T316" i="10"/>
  <c r="R316" i="10"/>
  <c r="P316" i="10"/>
  <c r="O316" i="10"/>
  <c r="M316" i="10"/>
  <c r="K316" i="10"/>
  <c r="I316" i="10"/>
  <c r="G316" i="10"/>
  <c r="V316" i="10" s="1"/>
  <c r="E316" i="10"/>
  <c r="T315" i="10"/>
  <c r="R315" i="10"/>
  <c r="P315" i="10"/>
  <c r="O315" i="10"/>
  <c r="M315" i="10"/>
  <c r="K315" i="10"/>
  <c r="I315" i="10"/>
  <c r="G315" i="10"/>
  <c r="V315" i="10" s="1"/>
  <c r="E315" i="10"/>
  <c r="T314" i="10"/>
  <c r="R314" i="10"/>
  <c r="P314" i="10"/>
  <c r="O314" i="10"/>
  <c r="M314" i="10"/>
  <c r="K314" i="10"/>
  <c r="I314" i="10"/>
  <c r="G314" i="10"/>
  <c r="V314" i="10" s="1"/>
  <c r="E314" i="10"/>
  <c r="T313" i="10"/>
  <c r="R313" i="10"/>
  <c r="P313" i="10"/>
  <c r="O313" i="10"/>
  <c r="M313" i="10"/>
  <c r="K313" i="10"/>
  <c r="I313" i="10"/>
  <c r="G313" i="10"/>
  <c r="V313" i="10" s="1"/>
  <c r="E313" i="10"/>
  <c r="T312" i="10"/>
  <c r="R312" i="10"/>
  <c r="P312" i="10"/>
  <c r="O312" i="10"/>
  <c r="M312" i="10"/>
  <c r="K312" i="10"/>
  <c r="I312" i="10"/>
  <c r="G312" i="10"/>
  <c r="V312" i="10" s="1"/>
  <c r="E312" i="10"/>
  <c r="T311" i="10"/>
  <c r="R311" i="10"/>
  <c r="P311" i="10"/>
  <c r="O311" i="10"/>
  <c r="M311" i="10"/>
  <c r="K311" i="10"/>
  <c r="I311" i="10"/>
  <c r="G311" i="10"/>
  <c r="V311" i="10" s="1"/>
  <c r="E311" i="10"/>
  <c r="T310" i="10"/>
  <c r="R310" i="10"/>
  <c r="P310" i="10"/>
  <c r="O310" i="10"/>
  <c r="M310" i="10"/>
  <c r="K310" i="10"/>
  <c r="I310" i="10"/>
  <c r="G310" i="10"/>
  <c r="V310" i="10" s="1"/>
  <c r="E310" i="10"/>
  <c r="T309" i="10"/>
  <c r="R309" i="10"/>
  <c r="P309" i="10"/>
  <c r="O309" i="10"/>
  <c r="M309" i="10"/>
  <c r="K309" i="10"/>
  <c r="I309" i="10"/>
  <c r="G309" i="10"/>
  <c r="V309" i="10" s="1"/>
  <c r="E309" i="10"/>
  <c r="T308" i="10"/>
  <c r="R308" i="10"/>
  <c r="P308" i="10"/>
  <c r="O308" i="10"/>
  <c r="M308" i="10"/>
  <c r="K308" i="10"/>
  <c r="I308" i="10"/>
  <c r="G308" i="10"/>
  <c r="V308" i="10" s="1"/>
  <c r="E308" i="10"/>
  <c r="T307" i="10"/>
  <c r="R307" i="10"/>
  <c r="P307" i="10"/>
  <c r="O307" i="10"/>
  <c r="M307" i="10"/>
  <c r="K307" i="10"/>
  <c r="I307" i="10"/>
  <c r="G307" i="10"/>
  <c r="V307" i="10" s="1"/>
  <c r="E307" i="10"/>
  <c r="T306" i="10"/>
  <c r="R306" i="10"/>
  <c r="P306" i="10"/>
  <c r="O306" i="10"/>
  <c r="M306" i="10"/>
  <c r="K306" i="10"/>
  <c r="I306" i="10"/>
  <c r="G306" i="10"/>
  <c r="V306" i="10" s="1"/>
  <c r="E306" i="10"/>
  <c r="T305" i="10"/>
  <c r="R305" i="10"/>
  <c r="P305" i="10"/>
  <c r="O305" i="10"/>
  <c r="M305" i="10"/>
  <c r="K305" i="10"/>
  <c r="I305" i="10"/>
  <c r="G305" i="10"/>
  <c r="V305" i="10" s="1"/>
  <c r="E305" i="10"/>
  <c r="T304" i="10"/>
  <c r="R304" i="10"/>
  <c r="P304" i="10"/>
  <c r="O304" i="10"/>
  <c r="M304" i="10"/>
  <c r="K304" i="10"/>
  <c r="I304" i="10"/>
  <c r="G304" i="10"/>
  <c r="V304" i="10" s="1"/>
  <c r="E304" i="10"/>
  <c r="T303" i="10"/>
  <c r="R303" i="10"/>
  <c r="P303" i="10"/>
  <c r="O303" i="10"/>
  <c r="M303" i="10"/>
  <c r="K303" i="10"/>
  <c r="I303" i="10"/>
  <c r="G303" i="10"/>
  <c r="V303" i="10" s="1"/>
  <c r="E303" i="10"/>
  <c r="T302" i="10"/>
  <c r="R302" i="10"/>
  <c r="P302" i="10"/>
  <c r="O302" i="10"/>
  <c r="M302" i="10"/>
  <c r="K302" i="10"/>
  <c r="I302" i="10"/>
  <c r="G302" i="10"/>
  <c r="V302" i="10" s="1"/>
  <c r="E302" i="10"/>
  <c r="T301" i="10"/>
  <c r="R301" i="10"/>
  <c r="P301" i="10"/>
  <c r="O301" i="10"/>
  <c r="M301" i="10"/>
  <c r="K301" i="10"/>
  <c r="I301" i="10"/>
  <c r="G301" i="10"/>
  <c r="V301" i="10" s="1"/>
  <c r="E301" i="10"/>
  <c r="T300" i="10"/>
  <c r="R300" i="10"/>
  <c r="P300" i="10"/>
  <c r="O300" i="10"/>
  <c r="M300" i="10"/>
  <c r="K300" i="10"/>
  <c r="I300" i="10"/>
  <c r="G300" i="10"/>
  <c r="V300" i="10" s="1"/>
  <c r="E300" i="10"/>
  <c r="T299" i="10"/>
  <c r="R299" i="10"/>
  <c r="P299" i="10"/>
  <c r="O299" i="10"/>
  <c r="M299" i="10"/>
  <c r="K299" i="10"/>
  <c r="I299" i="10"/>
  <c r="G299" i="10"/>
  <c r="V299" i="10" s="1"/>
  <c r="E299" i="10"/>
  <c r="T298" i="10"/>
  <c r="R298" i="10"/>
  <c r="P298" i="10"/>
  <c r="O298" i="10"/>
  <c r="M298" i="10"/>
  <c r="K298" i="10"/>
  <c r="I298" i="10"/>
  <c r="G298" i="10"/>
  <c r="V298" i="10" s="1"/>
  <c r="E298" i="10"/>
  <c r="T297" i="10"/>
  <c r="R297" i="10"/>
  <c r="P297" i="10"/>
  <c r="O297" i="10"/>
  <c r="M297" i="10"/>
  <c r="K297" i="10"/>
  <c r="I297" i="10"/>
  <c r="G297" i="10"/>
  <c r="V297" i="10" s="1"/>
  <c r="E297" i="10"/>
  <c r="T296" i="10"/>
  <c r="R296" i="10"/>
  <c r="P296" i="10"/>
  <c r="O296" i="10"/>
  <c r="M296" i="10"/>
  <c r="K296" i="10"/>
  <c r="I296" i="10"/>
  <c r="G296" i="10"/>
  <c r="V296" i="10" s="1"/>
  <c r="E296" i="10"/>
  <c r="T295" i="10"/>
  <c r="R295" i="10"/>
  <c r="P295" i="10"/>
  <c r="O295" i="10"/>
  <c r="M295" i="10"/>
  <c r="K295" i="10"/>
  <c r="I295" i="10"/>
  <c r="G295" i="10"/>
  <c r="V295" i="10" s="1"/>
  <c r="E295" i="10"/>
  <c r="T294" i="10"/>
  <c r="R294" i="10"/>
  <c r="P294" i="10"/>
  <c r="O294" i="10"/>
  <c r="M294" i="10"/>
  <c r="K294" i="10"/>
  <c r="I294" i="10"/>
  <c r="G294" i="10"/>
  <c r="V294" i="10" s="1"/>
  <c r="E294" i="10"/>
  <c r="T293" i="10"/>
  <c r="R293" i="10"/>
  <c r="P293" i="10"/>
  <c r="O293" i="10"/>
  <c r="M293" i="10"/>
  <c r="K293" i="10"/>
  <c r="I293" i="10"/>
  <c r="G293" i="10"/>
  <c r="V293" i="10" s="1"/>
  <c r="E293" i="10"/>
  <c r="T292" i="10"/>
  <c r="R292" i="10"/>
  <c r="P292" i="10"/>
  <c r="O292" i="10"/>
  <c r="M292" i="10"/>
  <c r="K292" i="10"/>
  <c r="I292" i="10"/>
  <c r="G292" i="10"/>
  <c r="V292" i="10" s="1"/>
  <c r="E292" i="10"/>
  <c r="T291" i="10"/>
  <c r="R291" i="10"/>
  <c r="P291" i="10"/>
  <c r="O291" i="10"/>
  <c r="M291" i="10"/>
  <c r="K291" i="10"/>
  <c r="I291" i="10"/>
  <c r="G291" i="10"/>
  <c r="V291" i="10" s="1"/>
  <c r="E291" i="10"/>
  <c r="T290" i="10"/>
  <c r="R290" i="10"/>
  <c r="P290" i="10"/>
  <c r="O290" i="10"/>
  <c r="M290" i="10"/>
  <c r="K290" i="10"/>
  <c r="I290" i="10"/>
  <c r="G290" i="10"/>
  <c r="V290" i="10" s="1"/>
  <c r="E290" i="10"/>
  <c r="T289" i="10"/>
  <c r="R289" i="10"/>
  <c r="P289" i="10"/>
  <c r="O289" i="10"/>
  <c r="M289" i="10"/>
  <c r="K289" i="10"/>
  <c r="I289" i="10"/>
  <c r="G289" i="10"/>
  <c r="V289" i="10" s="1"/>
  <c r="E289" i="10"/>
  <c r="T288" i="10"/>
  <c r="R288" i="10"/>
  <c r="P288" i="10"/>
  <c r="O288" i="10"/>
  <c r="M288" i="10"/>
  <c r="K288" i="10"/>
  <c r="I288" i="10"/>
  <c r="G288" i="10"/>
  <c r="V288" i="10" s="1"/>
  <c r="E288" i="10"/>
  <c r="T287" i="10"/>
  <c r="R287" i="10"/>
  <c r="P287" i="10"/>
  <c r="O287" i="10"/>
  <c r="M287" i="10"/>
  <c r="K287" i="10"/>
  <c r="I287" i="10"/>
  <c r="G287" i="10"/>
  <c r="V287" i="10" s="1"/>
  <c r="E287" i="10"/>
  <c r="T286" i="10"/>
  <c r="R286" i="10"/>
  <c r="P286" i="10"/>
  <c r="O286" i="10"/>
  <c r="M286" i="10"/>
  <c r="K286" i="10"/>
  <c r="I286" i="10"/>
  <c r="G286" i="10"/>
  <c r="V286" i="10" s="1"/>
  <c r="E286" i="10"/>
  <c r="T285" i="10"/>
  <c r="R285" i="10"/>
  <c r="P285" i="10"/>
  <c r="O285" i="10"/>
  <c r="M285" i="10"/>
  <c r="K285" i="10"/>
  <c r="I285" i="10"/>
  <c r="G285" i="10"/>
  <c r="V285" i="10" s="1"/>
  <c r="E285" i="10"/>
  <c r="T284" i="10"/>
  <c r="R284" i="10"/>
  <c r="P284" i="10"/>
  <c r="O284" i="10"/>
  <c r="M284" i="10"/>
  <c r="K284" i="10"/>
  <c r="I284" i="10"/>
  <c r="G284" i="10"/>
  <c r="V284" i="10" s="1"/>
  <c r="E284" i="10"/>
  <c r="T283" i="10"/>
  <c r="R283" i="10"/>
  <c r="P283" i="10"/>
  <c r="O283" i="10"/>
  <c r="M283" i="10"/>
  <c r="K283" i="10"/>
  <c r="I283" i="10"/>
  <c r="G283" i="10"/>
  <c r="V283" i="10" s="1"/>
  <c r="E283" i="10"/>
  <c r="T282" i="10"/>
  <c r="R282" i="10"/>
  <c r="P282" i="10"/>
  <c r="O282" i="10"/>
  <c r="M282" i="10"/>
  <c r="K282" i="10"/>
  <c r="I282" i="10"/>
  <c r="G282" i="10"/>
  <c r="V282" i="10" s="1"/>
  <c r="E282" i="10"/>
  <c r="T281" i="10"/>
  <c r="R281" i="10"/>
  <c r="P281" i="10"/>
  <c r="O281" i="10"/>
  <c r="M281" i="10"/>
  <c r="K281" i="10"/>
  <c r="I281" i="10"/>
  <c r="G281" i="10"/>
  <c r="V281" i="10" s="1"/>
  <c r="E281" i="10"/>
  <c r="T280" i="10"/>
  <c r="R280" i="10"/>
  <c r="P280" i="10"/>
  <c r="O280" i="10"/>
  <c r="M280" i="10"/>
  <c r="K280" i="10"/>
  <c r="I280" i="10"/>
  <c r="G280" i="10"/>
  <c r="V280" i="10" s="1"/>
  <c r="E280" i="10"/>
  <c r="T279" i="10"/>
  <c r="R279" i="10"/>
  <c r="P279" i="10"/>
  <c r="O279" i="10"/>
  <c r="M279" i="10"/>
  <c r="K279" i="10"/>
  <c r="I279" i="10"/>
  <c r="G279" i="10"/>
  <c r="V279" i="10" s="1"/>
  <c r="E279" i="10"/>
  <c r="T278" i="10"/>
  <c r="R278" i="10"/>
  <c r="P278" i="10"/>
  <c r="O278" i="10"/>
  <c r="M278" i="10"/>
  <c r="K278" i="10"/>
  <c r="I278" i="10"/>
  <c r="G278" i="10"/>
  <c r="V278" i="10" s="1"/>
  <c r="E278" i="10"/>
  <c r="T277" i="10"/>
  <c r="R277" i="10"/>
  <c r="P277" i="10"/>
  <c r="O277" i="10"/>
  <c r="M277" i="10"/>
  <c r="K277" i="10"/>
  <c r="I277" i="10"/>
  <c r="G277" i="10"/>
  <c r="V277" i="10" s="1"/>
  <c r="E277" i="10"/>
  <c r="T276" i="10"/>
  <c r="R276" i="10"/>
  <c r="P276" i="10"/>
  <c r="O276" i="10"/>
  <c r="M276" i="10"/>
  <c r="K276" i="10"/>
  <c r="I276" i="10"/>
  <c r="G276" i="10"/>
  <c r="V276" i="10" s="1"/>
  <c r="E276" i="10"/>
  <c r="T275" i="10"/>
  <c r="R275" i="10"/>
  <c r="P275" i="10"/>
  <c r="O275" i="10"/>
  <c r="M275" i="10"/>
  <c r="K275" i="10"/>
  <c r="I275" i="10"/>
  <c r="G275" i="10"/>
  <c r="V275" i="10" s="1"/>
  <c r="E275" i="10"/>
  <c r="T274" i="10"/>
  <c r="R274" i="10"/>
  <c r="P274" i="10"/>
  <c r="O274" i="10"/>
  <c r="M274" i="10"/>
  <c r="K274" i="10"/>
  <c r="I274" i="10"/>
  <c r="G274" i="10"/>
  <c r="V274" i="10" s="1"/>
  <c r="E274" i="10"/>
  <c r="T273" i="10"/>
  <c r="R273" i="10"/>
  <c r="P273" i="10"/>
  <c r="O273" i="10"/>
  <c r="M273" i="10"/>
  <c r="K273" i="10"/>
  <c r="I273" i="10"/>
  <c r="G273" i="10"/>
  <c r="V273" i="10" s="1"/>
  <c r="E273" i="10"/>
  <c r="T272" i="10"/>
  <c r="R272" i="10"/>
  <c r="P272" i="10"/>
  <c r="O272" i="10"/>
  <c r="M272" i="10"/>
  <c r="K272" i="10"/>
  <c r="I272" i="10"/>
  <c r="G272" i="10"/>
  <c r="V272" i="10" s="1"/>
  <c r="E272" i="10"/>
  <c r="T271" i="10"/>
  <c r="R271" i="10"/>
  <c r="P271" i="10"/>
  <c r="O271" i="10"/>
  <c r="M271" i="10"/>
  <c r="K271" i="10"/>
  <c r="I271" i="10"/>
  <c r="G271" i="10"/>
  <c r="V271" i="10" s="1"/>
  <c r="E271" i="10"/>
  <c r="T270" i="10"/>
  <c r="R270" i="10"/>
  <c r="P270" i="10"/>
  <c r="O270" i="10"/>
  <c r="M270" i="10"/>
  <c r="K270" i="10"/>
  <c r="I270" i="10"/>
  <c r="G270" i="10"/>
  <c r="V270" i="10" s="1"/>
  <c r="E270" i="10"/>
  <c r="T269" i="10"/>
  <c r="R269" i="10"/>
  <c r="P269" i="10"/>
  <c r="O269" i="10"/>
  <c r="M269" i="10"/>
  <c r="K269" i="10"/>
  <c r="I269" i="10"/>
  <c r="G269" i="10"/>
  <c r="V269" i="10" s="1"/>
  <c r="E269" i="10"/>
  <c r="T268" i="10"/>
  <c r="R268" i="10"/>
  <c r="P268" i="10"/>
  <c r="O268" i="10"/>
  <c r="M268" i="10"/>
  <c r="K268" i="10"/>
  <c r="I268" i="10"/>
  <c r="G268" i="10"/>
  <c r="V268" i="10" s="1"/>
  <c r="E268" i="10"/>
  <c r="T267" i="10"/>
  <c r="R267" i="10"/>
  <c r="P267" i="10"/>
  <c r="O267" i="10"/>
  <c r="M267" i="10"/>
  <c r="K267" i="10"/>
  <c r="I267" i="10"/>
  <c r="G267" i="10"/>
  <c r="V267" i="10" s="1"/>
  <c r="E267" i="10"/>
  <c r="T266" i="10"/>
  <c r="R266" i="10"/>
  <c r="P266" i="10"/>
  <c r="O266" i="10"/>
  <c r="M266" i="10"/>
  <c r="K266" i="10"/>
  <c r="I266" i="10"/>
  <c r="G266" i="10"/>
  <c r="V266" i="10" s="1"/>
  <c r="E266" i="10"/>
  <c r="T265" i="10"/>
  <c r="R265" i="10"/>
  <c r="P265" i="10"/>
  <c r="O265" i="10"/>
  <c r="M265" i="10"/>
  <c r="K265" i="10"/>
  <c r="I265" i="10"/>
  <c r="G265" i="10"/>
  <c r="V265" i="10" s="1"/>
  <c r="E265" i="10"/>
  <c r="T264" i="10"/>
  <c r="R264" i="10"/>
  <c r="P264" i="10"/>
  <c r="O264" i="10"/>
  <c r="M264" i="10"/>
  <c r="K264" i="10"/>
  <c r="I264" i="10"/>
  <c r="G264" i="10"/>
  <c r="V264" i="10" s="1"/>
  <c r="E264" i="10"/>
  <c r="T263" i="10"/>
  <c r="R263" i="10"/>
  <c r="P263" i="10"/>
  <c r="O263" i="10"/>
  <c r="M263" i="10"/>
  <c r="K263" i="10"/>
  <c r="I263" i="10"/>
  <c r="G263" i="10"/>
  <c r="V263" i="10" s="1"/>
  <c r="E263" i="10"/>
  <c r="T262" i="10"/>
  <c r="R262" i="10"/>
  <c r="P262" i="10"/>
  <c r="O262" i="10"/>
  <c r="M262" i="10"/>
  <c r="K262" i="10"/>
  <c r="I262" i="10"/>
  <c r="G262" i="10"/>
  <c r="V262" i="10" s="1"/>
  <c r="E262" i="10"/>
  <c r="T261" i="10"/>
  <c r="R261" i="10"/>
  <c r="P261" i="10"/>
  <c r="O261" i="10"/>
  <c r="M261" i="10"/>
  <c r="K261" i="10"/>
  <c r="I261" i="10"/>
  <c r="G261" i="10"/>
  <c r="V261" i="10" s="1"/>
  <c r="E261" i="10"/>
  <c r="T260" i="10"/>
  <c r="R260" i="10"/>
  <c r="P260" i="10"/>
  <c r="O260" i="10"/>
  <c r="M260" i="10"/>
  <c r="K260" i="10"/>
  <c r="I260" i="10"/>
  <c r="G260" i="10"/>
  <c r="V260" i="10" s="1"/>
  <c r="E260" i="10"/>
  <c r="T259" i="10"/>
  <c r="R259" i="10"/>
  <c r="P259" i="10"/>
  <c r="O259" i="10"/>
  <c r="M259" i="10"/>
  <c r="K259" i="10"/>
  <c r="I259" i="10"/>
  <c r="G259" i="10"/>
  <c r="V259" i="10" s="1"/>
  <c r="E259" i="10"/>
  <c r="T258" i="10"/>
  <c r="R258" i="10"/>
  <c r="P258" i="10"/>
  <c r="O258" i="10"/>
  <c r="M258" i="10"/>
  <c r="K258" i="10"/>
  <c r="I258" i="10"/>
  <c r="G258" i="10"/>
  <c r="V258" i="10" s="1"/>
  <c r="E258" i="10"/>
  <c r="T257" i="10"/>
  <c r="R257" i="10"/>
  <c r="P257" i="10"/>
  <c r="O257" i="10"/>
  <c r="M257" i="10"/>
  <c r="K257" i="10"/>
  <c r="I257" i="10"/>
  <c r="G257" i="10"/>
  <c r="V257" i="10" s="1"/>
  <c r="E257" i="10"/>
  <c r="T256" i="10"/>
  <c r="R256" i="10"/>
  <c r="P256" i="10"/>
  <c r="O256" i="10"/>
  <c r="M256" i="10"/>
  <c r="K256" i="10"/>
  <c r="I256" i="10"/>
  <c r="G256" i="10"/>
  <c r="V256" i="10" s="1"/>
  <c r="E256" i="10"/>
  <c r="T255" i="10"/>
  <c r="R255" i="10"/>
  <c r="P255" i="10"/>
  <c r="O255" i="10"/>
  <c r="M255" i="10"/>
  <c r="K255" i="10"/>
  <c r="I255" i="10"/>
  <c r="G255" i="10"/>
  <c r="V255" i="10" s="1"/>
  <c r="E255" i="10"/>
  <c r="T254" i="10"/>
  <c r="R254" i="10"/>
  <c r="P254" i="10"/>
  <c r="O254" i="10"/>
  <c r="M254" i="10"/>
  <c r="K254" i="10"/>
  <c r="I254" i="10"/>
  <c r="G254" i="10"/>
  <c r="V254" i="10" s="1"/>
  <c r="E254" i="10"/>
  <c r="T253" i="10"/>
  <c r="R253" i="10"/>
  <c r="P253" i="10"/>
  <c r="O253" i="10"/>
  <c r="M253" i="10"/>
  <c r="K253" i="10"/>
  <c r="I253" i="10"/>
  <c r="G253" i="10"/>
  <c r="V253" i="10" s="1"/>
  <c r="E253" i="10"/>
  <c r="T252" i="10"/>
  <c r="R252" i="10"/>
  <c r="P252" i="10"/>
  <c r="O252" i="10"/>
  <c r="M252" i="10"/>
  <c r="K252" i="10"/>
  <c r="I252" i="10"/>
  <c r="G252" i="10"/>
  <c r="V252" i="10" s="1"/>
  <c r="E252" i="10"/>
  <c r="T251" i="10"/>
  <c r="R251" i="10"/>
  <c r="P251" i="10"/>
  <c r="O251" i="10"/>
  <c r="M251" i="10"/>
  <c r="K251" i="10"/>
  <c r="I251" i="10"/>
  <c r="G251" i="10"/>
  <c r="V251" i="10" s="1"/>
  <c r="E251" i="10"/>
  <c r="T250" i="10"/>
  <c r="R250" i="10"/>
  <c r="P250" i="10"/>
  <c r="O250" i="10"/>
  <c r="M250" i="10"/>
  <c r="K250" i="10"/>
  <c r="I250" i="10"/>
  <c r="G250" i="10"/>
  <c r="V250" i="10" s="1"/>
  <c r="E250" i="10"/>
  <c r="T249" i="10"/>
  <c r="R249" i="10"/>
  <c r="P249" i="10"/>
  <c r="O249" i="10"/>
  <c r="M249" i="10"/>
  <c r="K249" i="10"/>
  <c r="I249" i="10"/>
  <c r="G249" i="10"/>
  <c r="V249" i="10" s="1"/>
  <c r="E249" i="10"/>
  <c r="T248" i="10"/>
  <c r="R248" i="10"/>
  <c r="P248" i="10"/>
  <c r="O248" i="10"/>
  <c r="M248" i="10"/>
  <c r="K248" i="10"/>
  <c r="I248" i="10"/>
  <c r="G248" i="10"/>
  <c r="V248" i="10" s="1"/>
  <c r="E248" i="10"/>
  <c r="T247" i="10"/>
  <c r="R247" i="10"/>
  <c r="P247" i="10"/>
  <c r="O247" i="10"/>
  <c r="M247" i="10"/>
  <c r="K247" i="10"/>
  <c r="I247" i="10"/>
  <c r="G247" i="10"/>
  <c r="V247" i="10" s="1"/>
  <c r="E247" i="10"/>
  <c r="T246" i="10"/>
  <c r="R246" i="10"/>
  <c r="P246" i="10"/>
  <c r="O246" i="10"/>
  <c r="M246" i="10"/>
  <c r="K246" i="10"/>
  <c r="I246" i="10"/>
  <c r="G246" i="10"/>
  <c r="V246" i="10" s="1"/>
  <c r="E246" i="10"/>
  <c r="T245" i="10"/>
  <c r="R245" i="10"/>
  <c r="P245" i="10"/>
  <c r="O245" i="10"/>
  <c r="M245" i="10"/>
  <c r="K245" i="10"/>
  <c r="I245" i="10"/>
  <c r="G245" i="10"/>
  <c r="V245" i="10" s="1"/>
  <c r="E245" i="10"/>
  <c r="T244" i="10"/>
  <c r="R244" i="10"/>
  <c r="P244" i="10"/>
  <c r="O244" i="10"/>
  <c r="M244" i="10"/>
  <c r="K244" i="10"/>
  <c r="I244" i="10"/>
  <c r="G244" i="10"/>
  <c r="V244" i="10" s="1"/>
  <c r="E244" i="10"/>
  <c r="T243" i="10"/>
  <c r="R243" i="10"/>
  <c r="P243" i="10"/>
  <c r="O243" i="10"/>
  <c r="M243" i="10"/>
  <c r="K243" i="10"/>
  <c r="I243" i="10"/>
  <c r="G243" i="10"/>
  <c r="V243" i="10" s="1"/>
  <c r="E243" i="10"/>
  <c r="T242" i="10"/>
  <c r="R242" i="10"/>
  <c r="P242" i="10"/>
  <c r="O242" i="10"/>
  <c r="M242" i="10"/>
  <c r="K242" i="10"/>
  <c r="I242" i="10"/>
  <c r="G242" i="10"/>
  <c r="V242" i="10" s="1"/>
  <c r="E242" i="10"/>
  <c r="T241" i="10"/>
  <c r="R241" i="10"/>
  <c r="P241" i="10"/>
  <c r="O241" i="10"/>
  <c r="M241" i="10"/>
  <c r="K241" i="10"/>
  <c r="I241" i="10"/>
  <c r="G241" i="10"/>
  <c r="V241" i="10" s="1"/>
  <c r="E241" i="10"/>
  <c r="T240" i="10"/>
  <c r="R240" i="10"/>
  <c r="P240" i="10"/>
  <c r="O240" i="10"/>
  <c r="M240" i="10"/>
  <c r="K240" i="10"/>
  <c r="I240" i="10"/>
  <c r="G240" i="10"/>
  <c r="V240" i="10" s="1"/>
  <c r="E240" i="10"/>
  <c r="T239" i="10"/>
  <c r="R239" i="10"/>
  <c r="P239" i="10"/>
  <c r="O239" i="10"/>
  <c r="M239" i="10"/>
  <c r="K239" i="10"/>
  <c r="I239" i="10"/>
  <c r="G239" i="10"/>
  <c r="V239" i="10" s="1"/>
  <c r="E239" i="10"/>
  <c r="T238" i="10"/>
  <c r="R238" i="10"/>
  <c r="P238" i="10"/>
  <c r="O238" i="10"/>
  <c r="M238" i="10"/>
  <c r="K238" i="10"/>
  <c r="I238" i="10"/>
  <c r="G238" i="10"/>
  <c r="V238" i="10" s="1"/>
  <c r="E238" i="10"/>
  <c r="T237" i="10"/>
  <c r="R237" i="10"/>
  <c r="P237" i="10"/>
  <c r="O237" i="10"/>
  <c r="M237" i="10"/>
  <c r="K237" i="10"/>
  <c r="I237" i="10"/>
  <c r="G237" i="10"/>
  <c r="V237" i="10" s="1"/>
  <c r="E237" i="10"/>
  <c r="T236" i="10"/>
  <c r="R236" i="10"/>
  <c r="P236" i="10"/>
  <c r="O236" i="10"/>
  <c r="M236" i="10"/>
  <c r="K236" i="10"/>
  <c r="I236" i="10"/>
  <c r="G236" i="10"/>
  <c r="V236" i="10" s="1"/>
  <c r="E236" i="10"/>
  <c r="T235" i="10"/>
  <c r="R235" i="10"/>
  <c r="P235" i="10"/>
  <c r="O235" i="10"/>
  <c r="M235" i="10"/>
  <c r="K235" i="10"/>
  <c r="I235" i="10"/>
  <c r="G235" i="10"/>
  <c r="V235" i="10" s="1"/>
  <c r="E235" i="10"/>
  <c r="T234" i="10"/>
  <c r="R234" i="10"/>
  <c r="P234" i="10"/>
  <c r="O234" i="10"/>
  <c r="M234" i="10"/>
  <c r="K234" i="10"/>
  <c r="I234" i="10"/>
  <c r="G234" i="10"/>
  <c r="V234" i="10" s="1"/>
  <c r="E234" i="10"/>
  <c r="T233" i="10"/>
  <c r="R233" i="10"/>
  <c r="P233" i="10"/>
  <c r="O233" i="10"/>
  <c r="M233" i="10"/>
  <c r="K233" i="10"/>
  <c r="I233" i="10"/>
  <c r="G233" i="10"/>
  <c r="V233" i="10" s="1"/>
  <c r="E233" i="10"/>
  <c r="T232" i="10"/>
  <c r="R232" i="10"/>
  <c r="P232" i="10"/>
  <c r="O232" i="10"/>
  <c r="M232" i="10"/>
  <c r="K232" i="10"/>
  <c r="I232" i="10"/>
  <c r="G232" i="10"/>
  <c r="V232" i="10" s="1"/>
  <c r="E232" i="10"/>
  <c r="T231" i="10"/>
  <c r="R231" i="10"/>
  <c r="P231" i="10"/>
  <c r="O231" i="10"/>
  <c r="M231" i="10"/>
  <c r="K231" i="10"/>
  <c r="I231" i="10"/>
  <c r="G231" i="10"/>
  <c r="V231" i="10" s="1"/>
  <c r="E231" i="10"/>
  <c r="T230" i="10"/>
  <c r="R230" i="10"/>
  <c r="P230" i="10"/>
  <c r="O230" i="10"/>
  <c r="M230" i="10"/>
  <c r="K230" i="10"/>
  <c r="I230" i="10"/>
  <c r="G230" i="10"/>
  <c r="V230" i="10" s="1"/>
  <c r="E230" i="10"/>
  <c r="T229" i="10"/>
  <c r="R229" i="10"/>
  <c r="P229" i="10"/>
  <c r="O229" i="10"/>
  <c r="M229" i="10"/>
  <c r="K229" i="10"/>
  <c r="I229" i="10"/>
  <c r="G229" i="10"/>
  <c r="V229" i="10" s="1"/>
  <c r="E229" i="10"/>
  <c r="T228" i="10"/>
  <c r="R228" i="10"/>
  <c r="P228" i="10"/>
  <c r="O228" i="10"/>
  <c r="M228" i="10"/>
  <c r="K228" i="10"/>
  <c r="I228" i="10"/>
  <c r="G228" i="10"/>
  <c r="V228" i="10" s="1"/>
  <c r="E228" i="10"/>
  <c r="T227" i="10"/>
  <c r="R227" i="10"/>
  <c r="P227" i="10"/>
  <c r="O227" i="10"/>
  <c r="M227" i="10"/>
  <c r="K227" i="10"/>
  <c r="I227" i="10"/>
  <c r="G227" i="10"/>
  <c r="V227" i="10" s="1"/>
  <c r="E227" i="10"/>
  <c r="T226" i="10"/>
  <c r="R226" i="10"/>
  <c r="P226" i="10"/>
  <c r="O226" i="10"/>
  <c r="M226" i="10"/>
  <c r="K226" i="10"/>
  <c r="I226" i="10"/>
  <c r="G226" i="10"/>
  <c r="V226" i="10" s="1"/>
  <c r="E226" i="10"/>
  <c r="T225" i="10"/>
  <c r="R225" i="10"/>
  <c r="P225" i="10"/>
  <c r="O225" i="10"/>
  <c r="M225" i="10"/>
  <c r="K225" i="10"/>
  <c r="I225" i="10"/>
  <c r="G225" i="10"/>
  <c r="V225" i="10" s="1"/>
  <c r="E225" i="10"/>
  <c r="T224" i="10"/>
  <c r="R224" i="10"/>
  <c r="P224" i="10"/>
  <c r="O224" i="10"/>
  <c r="M224" i="10"/>
  <c r="K224" i="10"/>
  <c r="I224" i="10"/>
  <c r="G224" i="10"/>
  <c r="V224" i="10" s="1"/>
  <c r="E224" i="10"/>
  <c r="T223" i="10"/>
  <c r="R223" i="10"/>
  <c r="P223" i="10"/>
  <c r="O223" i="10"/>
  <c r="M223" i="10"/>
  <c r="K223" i="10"/>
  <c r="I223" i="10"/>
  <c r="G223" i="10"/>
  <c r="V223" i="10" s="1"/>
  <c r="E223" i="10"/>
  <c r="T222" i="10"/>
  <c r="R222" i="10"/>
  <c r="P222" i="10"/>
  <c r="O222" i="10"/>
  <c r="M222" i="10"/>
  <c r="K222" i="10"/>
  <c r="I222" i="10"/>
  <c r="G222" i="10"/>
  <c r="V222" i="10" s="1"/>
  <c r="E222" i="10"/>
  <c r="T221" i="10"/>
  <c r="R221" i="10"/>
  <c r="P221" i="10"/>
  <c r="O221" i="10"/>
  <c r="M221" i="10"/>
  <c r="K221" i="10"/>
  <c r="I221" i="10"/>
  <c r="G221" i="10"/>
  <c r="V221" i="10" s="1"/>
  <c r="E221" i="10"/>
  <c r="T220" i="10"/>
  <c r="R220" i="10"/>
  <c r="P220" i="10"/>
  <c r="O220" i="10"/>
  <c r="M220" i="10"/>
  <c r="K220" i="10"/>
  <c r="I220" i="10"/>
  <c r="G220" i="10"/>
  <c r="V220" i="10" s="1"/>
  <c r="E220" i="10"/>
  <c r="T219" i="10"/>
  <c r="R219" i="10"/>
  <c r="P219" i="10"/>
  <c r="O219" i="10"/>
  <c r="M219" i="10"/>
  <c r="K219" i="10"/>
  <c r="I219" i="10"/>
  <c r="G219" i="10"/>
  <c r="V219" i="10" s="1"/>
  <c r="E219" i="10"/>
  <c r="T218" i="10"/>
  <c r="R218" i="10"/>
  <c r="P218" i="10"/>
  <c r="O218" i="10"/>
  <c r="M218" i="10"/>
  <c r="K218" i="10"/>
  <c r="I218" i="10"/>
  <c r="G218" i="10"/>
  <c r="V218" i="10" s="1"/>
  <c r="E218" i="10"/>
  <c r="T217" i="10"/>
  <c r="R217" i="10"/>
  <c r="P217" i="10"/>
  <c r="O217" i="10"/>
  <c r="M217" i="10"/>
  <c r="K217" i="10"/>
  <c r="I217" i="10"/>
  <c r="G217" i="10"/>
  <c r="V217" i="10" s="1"/>
  <c r="E217" i="10"/>
  <c r="T216" i="10"/>
  <c r="R216" i="10"/>
  <c r="P216" i="10"/>
  <c r="O216" i="10"/>
  <c r="M216" i="10"/>
  <c r="K216" i="10"/>
  <c r="I216" i="10"/>
  <c r="G216" i="10"/>
  <c r="V216" i="10" s="1"/>
  <c r="E216" i="10"/>
  <c r="T215" i="10"/>
  <c r="R215" i="10"/>
  <c r="P215" i="10"/>
  <c r="O215" i="10"/>
  <c r="M215" i="10"/>
  <c r="K215" i="10"/>
  <c r="I215" i="10"/>
  <c r="G215" i="10"/>
  <c r="V215" i="10" s="1"/>
  <c r="E215" i="10"/>
  <c r="T214" i="10"/>
  <c r="R214" i="10"/>
  <c r="P214" i="10"/>
  <c r="O214" i="10"/>
  <c r="M214" i="10"/>
  <c r="K214" i="10"/>
  <c r="I214" i="10"/>
  <c r="G214" i="10"/>
  <c r="V214" i="10" s="1"/>
  <c r="E214" i="10"/>
  <c r="T213" i="10"/>
  <c r="R213" i="10"/>
  <c r="P213" i="10"/>
  <c r="O213" i="10"/>
  <c r="M213" i="10"/>
  <c r="K213" i="10"/>
  <c r="I213" i="10"/>
  <c r="G213" i="10"/>
  <c r="V213" i="10" s="1"/>
  <c r="E213" i="10"/>
  <c r="T212" i="10"/>
  <c r="R212" i="10"/>
  <c r="P212" i="10"/>
  <c r="O212" i="10"/>
  <c r="M212" i="10"/>
  <c r="K212" i="10"/>
  <c r="I212" i="10"/>
  <c r="G212" i="10"/>
  <c r="V212" i="10" s="1"/>
  <c r="E212" i="10"/>
  <c r="T211" i="10"/>
  <c r="R211" i="10"/>
  <c r="P211" i="10"/>
  <c r="O211" i="10"/>
  <c r="M211" i="10"/>
  <c r="K211" i="10"/>
  <c r="I211" i="10"/>
  <c r="G211" i="10"/>
  <c r="V211" i="10" s="1"/>
  <c r="E211" i="10"/>
  <c r="T210" i="10"/>
  <c r="R210" i="10"/>
  <c r="P210" i="10"/>
  <c r="O210" i="10"/>
  <c r="M210" i="10"/>
  <c r="K210" i="10"/>
  <c r="I210" i="10"/>
  <c r="G210" i="10"/>
  <c r="V210" i="10" s="1"/>
  <c r="E210" i="10"/>
  <c r="T209" i="10"/>
  <c r="R209" i="10"/>
  <c r="P209" i="10"/>
  <c r="O209" i="10"/>
  <c r="M209" i="10"/>
  <c r="K209" i="10"/>
  <c r="I209" i="10"/>
  <c r="G209" i="10"/>
  <c r="V209" i="10" s="1"/>
  <c r="E209" i="10"/>
  <c r="T208" i="10"/>
  <c r="R208" i="10"/>
  <c r="P208" i="10"/>
  <c r="O208" i="10"/>
  <c r="M208" i="10"/>
  <c r="K208" i="10"/>
  <c r="I208" i="10"/>
  <c r="G208" i="10"/>
  <c r="V208" i="10" s="1"/>
  <c r="E208" i="10"/>
  <c r="T207" i="10"/>
  <c r="R207" i="10"/>
  <c r="P207" i="10"/>
  <c r="O207" i="10"/>
  <c r="M207" i="10"/>
  <c r="K207" i="10"/>
  <c r="I207" i="10"/>
  <c r="G207" i="10"/>
  <c r="V207" i="10" s="1"/>
  <c r="E207" i="10"/>
  <c r="T206" i="10"/>
  <c r="R206" i="10"/>
  <c r="P206" i="10"/>
  <c r="O206" i="10"/>
  <c r="M206" i="10"/>
  <c r="K206" i="10"/>
  <c r="I206" i="10"/>
  <c r="G206" i="10"/>
  <c r="V206" i="10" s="1"/>
  <c r="E206" i="10"/>
  <c r="T205" i="10"/>
  <c r="R205" i="10"/>
  <c r="P205" i="10"/>
  <c r="O205" i="10"/>
  <c r="M205" i="10"/>
  <c r="K205" i="10"/>
  <c r="I205" i="10"/>
  <c r="G205" i="10"/>
  <c r="V205" i="10" s="1"/>
  <c r="E205" i="10"/>
  <c r="T204" i="10"/>
  <c r="R204" i="10"/>
  <c r="P204" i="10"/>
  <c r="O204" i="10"/>
  <c r="M204" i="10"/>
  <c r="K204" i="10"/>
  <c r="I204" i="10"/>
  <c r="G204" i="10"/>
  <c r="V204" i="10" s="1"/>
  <c r="E204" i="10"/>
  <c r="T203" i="10"/>
  <c r="R203" i="10"/>
  <c r="P203" i="10"/>
  <c r="O203" i="10"/>
  <c r="M203" i="10"/>
  <c r="K203" i="10"/>
  <c r="I203" i="10"/>
  <c r="G203" i="10"/>
  <c r="V203" i="10" s="1"/>
  <c r="E203" i="10"/>
  <c r="T202" i="10"/>
  <c r="R202" i="10"/>
  <c r="P202" i="10"/>
  <c r="O202" i="10"/>
  <c r="M202" i="10"/>
  <c r="K202" i="10"/>
  <c r="I202" i="10"/>
  <c r="G202" i="10"/>
  <c r="V202" i="10" s="1"/>
  <c r="E202" i="10"/>
  <c r="T201" i="10"/>
  <c r="R201" i="10"/>
  <c r="P201" i="10"/>
  <c r="O201" i="10"/>
  <c r="M201" i="10"/>
  <c r="K201" i="10"/>
  <c r="I201" i="10"/>
  <c r="G201" i="10"/>
  <c r="V201" i="10" s="1"/>
  <c r="E201" i="10"/>
  <c r="T200" i="10"/>
  <c r="R200" i="10"/>
  <c r="P200" i="10"/>
  <c r="O200" i="10"/>
  <c r="M200" i="10"/>
  <c r="K200" i="10"/>
  <c r="I200" i="10"/>
  <c r="G200" i="10"/>
  <c r="V200" i="10" s="1"/>
  <c r="E200" i="10"/>
  <c r="T199" i="10"/>
  <c r="R199" i="10"/>
  <c r="P199" i="10"/>
  <c r="O199" i="10"/>
  <c r="M199" i="10"/>
  <c r="K199" i="10"/>
  <c r="I199" i="10"/>
  <c r="G199" i="10"/>
  <c r="V199" i="10" s="1"/>
  <c r="E199" i="10"/>
  <c r="T198" i="10"/>
  <c r="R198" i="10"/>
  <c r="P198" i="10"/>
  <c r="O198" i="10"/>
  <c r="M198" i="10"/>
  <c r="K198" i="10"/>
  <c r="I198" i="10"/>
  <c r="G198" i="10"/>
  <c r="V198" i="10" s="1"/>
  <c r="E198" i="10"/>
  <c r="T197" i="10"/>
  <c r="R197" i="10"/>
  <c r="P197" i="10"/>
  <c r="O197" i="10"/>
  <c r="M197" i="10"/>
  <c r="K197" i="10"/>
  <c r="I197" i="10"/>
  <c r="G197" i="10"/>
  <c r="V197" i="10" s="1"/>
  <c r="E197" i="10"/>
  <c r="T196" i="10"/>
  <c r="R196" i="10"/>
  <c r="P196" i="10"/>
  <c r="O196" i="10"/>
  <c r="M196" i="10"/>
  <c r="K196" i="10"/>
  <c r="I196" i="10"/>
  <c r="G196" i="10"/>
  <c r="V196" i="10" s="1"/>
  <c r="E196" i="10"/>
  <c r="T195" i="10"/>
  <c r="R195" i="10"/>
  <c r="P195" i="10"/>
  <c r="O195" i="10"/>
  <c r="M195" i="10"/>
  <c r="K195" i="10"/>
  <c r="I195" i="10"/>
  <c r="G195" i="10"/>
  <c r="V195" i="10" s="1"/>
  <c r="E195" i="10"/>
  <c r="T194" i="10"/>
  <c r="R194" i="10"/>
  <c r="P194" i="10"/>
  <c r="O194" i="10"/>
  <c r="M194" i="10"/>
  <c r="K194" i="10"/>
  <c r="I194" i="10"/>
  <c r="G194" i="10"/>
  <c r="V194" i="10" s="1"/>
  <c r="E194" i="10"/>
  <c r="T193" i="10"/>
  <c r="R193" i="10"/>
  <c r="P193" i="10"/>
  <c r="O193" i="10"/>
  <c r="M193" i="10"/>
  <c r="K193" i="10"/>
  <c r="I193" i="10"/>
  <c r="G193" i="10"/>
  <c r="V193" i="10" s="1"/>
  <c r="E193" i="10"/>
  <c r="T192" i="10"/>
  <c r="R192" i="10"/>
  <c r="P192" i="10"/>
  <c r="O192" i="10"/>
  <c r="M192" i="10"/>
  <c r="K192" i="10"/>
  <c r="I192" i="10"/>
  <c r="G192" i="10"/>
  <c r="V192" i="10" s="1"/>
  <c r="E192" i="10"/>
  <c r="T191" i="10"/>
  <c r="R191" i="10"/>
  <c r="P191" i="10"/>
  <c r="O191" i="10"/>
  <c r="M191" i="10"/>
  <c r="K191" i="10"/>
  <c r="I191" i="10"/>
  <c r="G191" i="10"/>
  <c r="V191" i="10" s="1"/>
  <c r="E191" i="10"/>
  <c r="T190" i="10"/>
  <c r="R190" i="10"/>
  <c r="P190" i="10"/>
  <c r="O190" i="10"/>
  <c r="M190" i="10"/>
  <c r="K190" i="10"/>
  <c r="I190" i="10"/>
  <c r="G190" i="10"/>
  <c r="V190" i="10" s="1"/>
  <c r="E190" i="10"/>
  <c r="T189" i="10"/>
  <c r="R189" i="10"/>
  <c r="P189" i="10"/>
  <c r="O189" i="10"/>
  <c r="M189" i="10"/>
  <c r="K189" i="10"/>
  <c r="I189" i="10"/>
  <c r="G189" i="10"/>
  <c r="V189" i="10" s="1"/>
  <c r="E189" i="10"/>
  <c r="T188" i="10"/>
  <c r="R188" i="10"/>
  <c r="P188" i="10"/>
  <c r="O188" i="10"/>
  <c r="M188" i="10"/>
  <c r="K188" i="10"/>
  <c r="I188" i="10"/>
  <c r="G188" i="10"/>
  <c r="V188" i="10" s="1"/>
  <c r="E188" i="10"/>
  <c r="T187" i="10"/>
  <c r="R187" i="10"/>
  <c r="P187" i="10"/>
  <c r="O187" i="10"/>
  <c r="M187" i="10"/>
  <c r="K187" i="10"/>
  <c r="I187" i="10"/>
  <c r="G187" i="10"/>
  <c r="V187" i="10" s="1"/>
  <c r="E187" i="10"/>
  <c r="T186" i="10"/>
  <c r="R186" i="10"/>
  <c r="P186" i="10"/>
  <c r="O186" i="10"/>
  <c r="M186" i="10"/>
  <c r="K186" i="10"/>
  <c r="I186" i="10"/>
  <c r="G186" i="10"/>
  <c r="V186" i="10" s="1"/>
  <c r="E186" i="10"/>
  <c r="T185" i="10"/>
  <c r="R185" i="10"/>
  <c r="P185" i="10"/>
  <c r="O185" i="10"/>
  <c r="M185" i="10"/>
  <c r="K185" i="10"/>
  <c r="I185" i="10"/>
  <c r="G185" i="10"/>
  <c r="V185" i="10" s="1"/>
  <c r="E185" i="10"/>
  <c r="T184" i="10"/>
  <c r="R184" i="10"/>
  <c r="P184" i="10"/>
  <c r="O184" i="10"/>
  <c r="M184" i="10"/>
  <c r="K184" i="10"/>
  <c r="I184" i="10"/>
  <c r="G184" i="10"/>
  <c r="V184" i="10" s="1"/>
  <c r="E184" i="10"/>
  <c r="T183" i="10"/>
  <c r="R183" i="10"/>
  <c r="P183" i="10"/>
  <c r="O183" i="10"/>
  <c r="M183" i="10"/>
  <c r="K183" i="10"/>
  <c r="I183" i="10"/>
  <c r="G183" i="10"/>
  <c r="V183" i="10" s="1"/>
  <c r="E183" i="10"/>
  <c r="T182" i="10"/>
  <c r="R182" i="10"/>
  <c r="P182" i="10"/>
  <c r="O182" i="10"/>
  <c r="M182" i="10"/>
  <c r="K182" i="10"/>
  <c r="I182" i="10"/>
  <c r="G182" i="10"/>
  <c r="V182" i="10" s="1"/>
  <c r="E182" i="10"/>
  <c r="T181" i="10"/>
  <c r="R181" i="10"/>
  <c r="P181" i="10"/>
  <c r="O181" i="10"/>
  <c r="M181" i="10"/>
  <c r="K181" i="10"/>
  <c r="I181" i="10"/>
  <c r="G181" i="10"/>
  <c r="V181" i="10" s="1"/>
  <c r="E181" i="10"/>
  <c r="T180" i="10"/>
  <c r="R180" i="10"/>
  <c r="P180" i="10"/>
  <c r="O180" i="10"/>
  <c r="M180" i="10"/>
  <c r="K180" i="10"/>
  <c r="I180" i="10"/>
  <c r="G180" i="10"/>
  <c r="V180" i="10" s="1"/>
  <c r="E180" i="10"/>
  <c r="T179" i="10"/>
  <c r="R179" i="10"/>
  <c r="P179" i="10"/>
  <c r="O179" i="10"/>
  <c r="M179" i="10"/>
  <c r="K179" i="10"/>
  <c r="I179" i="10"/>
  <c r="G179" i="10"/>
  <c r="V179" i="10" s="1"/>
  <c r="E179" i="10"/>
  <c r="T178" i="10"/>
  <c r="R178" i="10"/>
  <c r="P178" i="10"/>
  <c r="O178" i="10"/>
  <c r="M178" i="10"/>
  <c r="K178" i="10"/>
  <c r="I178" i="10"/>
  <c r="G178" i="10"/>
  <c r="V178" i="10" s="1"/>
  <c r="E178" i="10"/>
  <c r="T177" i="10"/>
  <c r="R177" i="10"/>
  <c r="P177" i="10"/>
  <c r="O177" i="10"/>
  <c r="M177" i="10"/>
  <c r="K177" i="10"/>
  <c r="I177" i="10"/>
  <c r="G177" i="10"/>
  <c r="V177" i="10" s="1"/>
  <c r="E177" i="10"/>
  <c r="T176" i="10"/>
  <c r="R176" i="10"/>
  <c r="P176" i="10"/>
  <c r="O176" i="10"/>
  <c r="M176" i="10"/>
  <c r="K176" i="10"/>
  <c r="I176" i="10"/>
  <c r="G176" i="10"/>
  <c r="V176" i="10" s="1"/>
  <c r="E176" i="10"/>
  <c r="T175" i="10"/>
  <c r="R175" i="10"/>
  <c r="P175" i="10"/>
  <c r="O175" i="10"/>
  <c r="M175" i="10"/>
  <c r="K175" i="10"/>
  <c r="I175" i="10"/>
  <c r="G175" i="10"/>
  <c r="V175" i="10" s="1"/>
  <c r="E175" i="10"/>
  <c r="I415" i="10"/>
  <c r="K415" i="10"/>
  <c r="M415" i="10"/>
  <c r="O415" i="10"/>
  <c r="T415" i="10"/>
  <c r="I416" i="10"/>
  <c r="K416" i="10"/>
  <c r="M416" i="10"/>
  <c r="O416" i="10"/>
  <c r="T416" i="10"/>
  <c r="E417" i="10"/>
  <c r="G417" i="10"/>
  <c r="V417" i="10" s="1"/>
  <c r="I417" i="10"/>
  <c r="K417" i="10"/>
  <c r="M417" i="10"/>
  <c r="O417" i="10"/>
  <c r="P417" i="10"/>
  <c r="R417" i="10"/>
  <c r="T417" i="10"/>
  <c r="I418" i="10"/>
  <c r="K418" i="10"/>
  <c r="M418" i="10"/>
  <c r="O418" i="10"/>
  <c r="T418" i="10"/>
  <c r="E419" i="10"/>
  <c r="G419" i="10"/>
  <c r="V419" i="10" s="1"/>
  <c r="I419" i="10"/>
  <c r="K419" i="10"/>
  <c r="M419" i="10"/>
  <c r="O419" i="10"/>
  <c r="P419" i="10"/>
  <c r="R419" i="10"/>
  <c r="T419" i="10"/>
  <c r="I420" i="10"/>
  <c r="K420" i="10"/>
  <c r="M420" i="10"/>
  <c r="O420" i="10"/>
  <c r="T420" i="10"/>
  <c r="I421" i="10"/>
  <c r="K421" i="10"/>
  <c r="M421" i="10"/>
  <c r="O421" i="10"/>
  <c r="T421" i="10"/>
  <c r="E422" i="10"/>
  <c r="G422" i="10"/>
  <c r="V422" i="10" s="1"/>
  <c r="I422" i="10"/>
  <c r="K422" i="10"/>
  <c r="M422" i="10"/>
  <c r="O422" i="10"/>
  <c r="P422" i="10"/>
  <c r="R422" i="10"/>
  <c r="T422" i="10"/>
  <c r="E423" i="10"/>
  <c r="G423" i="10"/>
  <c r="V423" i="10" s="1"/>
  <c r="I423" i="10"/>
  <c r="K423" i="10"/>
  <c r="M423" i="10"/>
  <c r="O423" i="10"/>
  <c r="P423" i="10"/>
  <c r="R423" i="10"/>
  <c r="T423" i="10"/>
  <c r="E424" i="10"/>
  <c r="G424" i="10"/>
  <c r="V424" i="10" s="1"/>
  <c r="I424" i="10"/>
  <c r="K424" i="10"/>
  <c r="M424" i="10"/>
  <c r="O424" i="10"/>
  <c r="P424" i="10"/>
  <c r="R424" i="10"/>
  <c r="T424" i="10"/>
  <c r="E425" i="10"/>
  <c r="G425" i="10"/>
  <c r="V425" i="10" s="1"/>
  <c r="I425" i="10"/>
  <c r="K425" i="10"/>
  <c r="M425" i="10"/>
  <c r="O425" i="10"/>
  <c r="P425" i="10"/>
  <c r="R425" i="10"/>
  <c r="T425" i="10"/>
  <c r="E426" i="10"/>
  <c r="G426" i="10"/>
  <c r="V426" i="10" s="1"/>
  <c r="I426" i="10"/>
  <c r="K426" i="10"/>
  <c r="M426" i="10"/>
  <c r="O426" i="10"/>
  <c r="P426" i="10"/>
  <c r="R426" i="10"/>
  <c r="T426" i="10"/>
  <c r="E427" i="10"/>
  <c r="G427" i="10"/>
  <c r="V427" i="10" s="1"/>
  <c r="I427" i="10"/>
  <c r="K427" i="10"/>
  <c r="M427" i="10"/>
  <c r="O427" i="10"/>
  <c r="P427" i="10"/>
  <c r="R427" i="10"/>
  <c r="T427" i="10"/>
  <c r="E428" i="10"/>
  <c r="G428" i="10"/>
  <c r="V428" i="10" s="1"/>
  <c r="I428" i="10"/>
  <c r="K428" i="10"/>
  <c r="M428" i="10"/>
  <c r="O428" i="10"/>
  <c r="P428" i="10"/>
  <c r="R428" i="10"/>
  <c r="T428" i="10"/>
  <c r="E429" i="10"/>
  <c r="G429" i="10"/>
  <c r="V429" i="10" s="1"/>
  <c r="I429" i="10"/>
  <c r="K429" i="10"/>
  <c r="M429" i="10"/>
  <c r="O429" i="10"/>
  <c r="P429" i="10"/>
  <c r="R429" i="10"/>
  <c r="T429" i="10"/>
  <c r="E430" i="10"/>
  <c r="G430" i="10"/>
  <c r="V430" i="10" s="1"/>
  <c r="I430" i="10"/>
  <c r="K430" i="10"/>
  <c r="M430" i="10"/>
  <c r="O430" i="10"/>
  <c r="P430" i="10"/>
  <c r="R430" i="10"/>
  <c r="T430" i="10"/>
  <c r="E431" i="10"/>
  <c r="G431" i="10"/>
  <c r="V431" i="10" s="1"/>
  <c r="I431" i="10"/>
  <c r="K431" i="10"/>
  <c r="M431" i="10"/>
  <c r="O431" i="10"/>
  <c r="P431" i="10"/>
  <c r="R431" i="10"/>
  <c r="T431" i="10"/>
  <c r="E432" i="10"/>
  <c r="G432" i="10"/>
  <c r="V432" i="10" s="1"/>
  <c r="I432" i="10"/>
  <c r="K432" i="10"/>
  <c r="M432" i="10"/>
  <c r="O432" i="10"/>
  <c r="P432" i="10"/>
  <c r="R432" i="10"/>
  <c r="T432" i="10"/>
  <c r="E433" i="10"/>
  <c r="G433" i="10"/>
  <c r="V433" i="10" s="1"/>
  <c r="I433" i="10"/>
  <c r="K433" i="10"/>
  <c r="M433" i="10"/>
  <c r="O433" i="10"/>
  <c r="P433" i="10"/>
  <c r="R433" i="10"/>
  <c r="T433" i="10"/>
  <c r="E434" i="10"/>
  <c r="G434" i="10"/>
  <c r="V434" i="10" s="1"/>
  <c r="I434" i="10"/>
  <c r="K434" i="10"/>
  <c r="M434" i="10"/>
  <c r="O434" i="10"/>
  <c r="P434" i="10"/>
  <c r="R434" i="10"/>
  <c r="T434" i="10"/>
  <c r="E435" i="10"/>
  <c r="G435" i="10"/>
  <c r="V435" i="10" s="1"/>
  <c r="I435" i="10"/>
  <c r="K435" i="10"/>
  <c r="M435" i="10"/>
  <c r="O435" i="10"/>
  <c r="P435" i="10"/>
  <c r="R435" i="10"/>
  <c r="T435" i="10"/>
  <c r="E436" i="10"/>
  <c r="G436" i="10"/>
  <c r="V436" i="10" s="1"/>
  <c r="I436" i="10"/>
  <c r="K436" i="10"/>
  <c r="M436" i="10"/>
  <c r="O436" i="10"/>
  <c r="P436" i="10"/>
  <c r="R436" i="10"/>
  <c r="T436" i="10"/>
  <c r="E437" i="10"/>
  <c r="G437" i="10"/>
  <c r="V437" i="10" s="1"/>
  <c r="I437" i="10"/>
  <c r="K437" i="10"/>
  <c r="M437" i="10"/>
  <c r="O437" i="10"/>
  <c r="P437" i="10"/>
  <c r="R437" i="10"/>
  <c r="T437" i="10"/>
  <c r="E438" i="10"/>
  <c r="G438" i="10"/>
  <c r="V438" i="10" s="1"/>
  <c r="I438" i="10"/>
  <c r="K438" i="10"/>
  <c r="M438" i="10"/>
  <c r="O438" i="10"/>
  <c r="P438" i="10"/>
  <c r="R438" i="10"/>
  <c r="T438" i="10"/>
  <c r="E439" i="10"/>
  <c r="G439" i="10"/>
  <c r="V439" i="10" s="1"/>
  <c r="I439" i="10"/>
  <c r="K439" i="10"/>
  <c r="M439" i="10"/>
  <c r="O439" i="10"/>
  <c r="P439" i="10"/>
  <c r="R439" i="10"/>
  <c r="T439" i="10"/>
  <c r="E440" i="10"/>
  <c r="G440" i="10"/>
  <c r="V440" i="10" s="1"/>
  <c r="I440" i="10"/>
  <c r="K440" i="10"/>
  <c r="M440" i="10"/>
  <c r="O440" i="10"/>
  <c r="P440" i="10"/>
  <c r="R440" i="10"/>
  <c r="T440" i="10"/>
  <c r="E441" i="10"/>
  <c r="G441" i="10"/>
  <c r="V441" i="10" s="1"/>
  <c r="I441" i="10"/>
  <c r="K441" i="10"/>
  <c r="M441" i="10"/>
  <c r="O441" i="10"/>
  <c r="P441" i="10"/>
  <c r="R441" i="10"/>
  <c r="T441" i="10"/>
  <c r="E442" i="10"/>
  <c r="G442" i="10"/>
  <c r="V442" i="10" s="1"/>
  <c r="I442" i="10"/>
  <c r="K442" i="10"/>
  <c r="M442" i="10"/>
  <c r="O442" i="10"/>
  <c r="P442" i="10"/>
  <c r="R442" i="10"/>
  <c r="T442" i="10"/>
  <c r="E443" i="10"/>
  <c r="G443" i="10"/>
  <c r="V443" i="10" s="1"/>
  <c r="I443" i="10"/>
  <c r="K443" i="10"/>
  <c r="M443" i="10"/>
  <c r="O443" i="10"/>
  <c r="P443" i="10"/>
  <c r="R443" i="10"/>
  <c r="T443" i="10"/>
  <c r="I444" i="10"/>
  <c r="K444" i="10"/>
  <c r="M444" i="10"/>
  <c r="O444" i="10"/>
  <c r="T444" i="10"/>
  <c r="I445" i="10"/>
  <c r="K445" i="10"/>
  <c r="M445" i="10"/>
  <c r="O445" i="10"/>
  <c r="T445" i="10"/>
  <c r="I446" i="10"/>
  <c r="K446" i="10"/>
  <c r="M446" i="10"/>
  <c r="O446" i="10"/>
  <c r="T446" i="10"/>
  <c r="I447" i="10"/>
  <c r="K447" i="10"/>
  <c r="M447" i="10"/>
  <c r="O447" i="10"/>
  <c r="T447" i="10"/>
  <c r="I448" i="10"/>
  <c r="K448" i="10"/>
  <c r="M448" i="10"/>
  <c r="O448" i="10"/>
  <c r="T448" i="10"/>
  <c r="I449" i="10"/>
  <c r="K449" i="10"/>
  <c r="M449" i="10"/>
  <c r="O449" i="10"/>
  <c r="T449" i="10"/>
  <c r="I450" i="10"/>
  <c r="K450" i="10"/>
  <c r="M450" i="10"/>
  <c r="O450" i="10"/>
  <c r="T450" i="10"/>
  <c r="E451" i="10"/>
  <c r="G451" i="10"/>
  <c r="V451" i="10" s="1"/>
  <c r="I451" i="10"/>
  <c r="K451" i="10"/>
  <c r="M451" i="10"/>
  <c r="O451" i="10"/>
  <c r="P451" i="10"/>
  <c r="R451" i="10"/>
  <c r="T451" i="10"/>
  <c r="E452" i="10"/>
  <c r="G452" i="10"/>
  <c r="V452" i="10" s="1"/>
  <c r="I452" i="10"/>
  <c r="K452" i="10"/>
  <c r="M452" i="10"/>
  <c r="O452" i="10"/>
  <c r="P452" i="10"/>
  <c r="R452" i="10"/>
  <c r="T452" i="10"/>
  <c r="I453" i="10"/>
  <c r="K453" i="10"/>
  <c r="M453" i="10"/>
  <c r="T453" i="10"/>
  <c r="I454" i="10"/>
  <c r="K454" i="10"/>
  <c r="M454" i="10"/>
  <c r="O454" i="10"/>
  <c r="T454" i="10"/>
  <c r="E455" i="10"/>
  <c r="G455" i="10"/>
  <c r="V455" i="10" s="1"/>
  <c r="I455" i="10"/>
  <c r="K455" i="10"/>
  <c r="M455" i="10"/>
  <c r="O455" i="10"/>
  <c r="P455" i="10"/>
  <c r="R455" i="10"/>
  <c r="T455" i="10"/>
  <c r="I456" i="10"/>
  <c r="K456" i="10"/>
  <c r="M456" i="10"/>
  <c r="O456" i="10"/>
  <c r="T456" i="10"/>
  <c r="I457" i="10"/>
  <c r="K457" i="10"/>
  <c r="M457" i="10"/>
  <c r="O457" i="10"/>
  <c r="T457" i="10"/>
  <c r="E458" i="10"/>
  <c r="G458" i="10"/>
  <c r="V458" i="10" s="1"/>
  <c r="I458" i="10"/>
  <c r="K458" i="10"/>
  <c r="M458" i="10"/>
  <c r="O458" i="10"/>
  <c r="P458" i="10"/>
  <c r="R458" i="10"/>
  <c r="T458" i="10"/>
  <c r="I459" i="10"/>
  <c r="K459" i="10"/>
  <c r="M459" i="10"/>
  <c r="O459" i="10"/>
  <c r="T459" i="10"/>
  <c r="I460" i="10"/>
  <c r="K460" i="10"/>
  <c r="M460" i="10"/>
  <c r="O460" i="10"/>
  <c r="T460" i="10"/>
  <c r="I461" i="10"/>
  <c r="K461" i="10"/>
  <c r="M461" i="10"/>
  <c r="O461" i="10"/>
  <c r="T461" i="10"/>
  <c r="I462" i="10"/>
  <c r="K462" i="10"/>
  <c r="M462" i="10"/>
  <c r="O462" i="10"/>
  <c r="T462" i="10"/>
  <c r="I463" i="10"/>
  <c r="K463" i="10"/>
  <c r="M463" i="10"/>
  <c r="O463" i="10"/>
  <c r="T463" i="10"/>
  <c r="I464" i="10"/>
  <c r="K464" i="10"/>
  <c r="M464" i="10"/>
  <c r="O464" i="10"/>
  <c r="T464" i="10"/>
  <c r="E465" i="10"/>
  <c r="G465" i="10"/>
  <c r="V465" i="10" s="1"/>
  <c r="I465" i="10"/>
  <c r="K465" i="10"/>
  <c r="M465" i="10"/>
  <c r="O465" i="10"/>
  <c r="P465" i="10"/>
  <c r="R465" i="10"/>
  <c r="T465" i="10"/>
  <c r="I466" i="10"/>
  <c r="K466" i="10"/>
  <c r="M466" i="10"/>
  <c r="O466" i="10"/>
  <c r="T466" i="10"/>
  <c r="I467" i="10"/>
  <c r="K467" i="10"/>
  <c r="M467" i="10"/>
  <c r="O467" i="10"/>
  <c r="T467" i="10"/>
  <c r="I468" i="10"/>
  <c r="K468" i="10"/>
  <c r="M468" i="10"/>
  <c r="O468" i="10"/>
  <c r="T468" i="10"/>
  <c r="E469" i="10"/>
  <c r="G469" i="10"/>
  <c r="V469" i="10" s="1"/>
  <c r="I469" i="10"/>
  <c r="K469" i="10"/>
  <c r="M469" i="10"/>
  <c r="O469" i="10"/>
  <c r="P469" i="10"/>
  <c r="R469" i="10"/>
  <c r="T469" i="10"/>
  <c r="E470" i="10"/>
  <c r="G470" i="10"/>
  <c r="V470" i="10" s="1"/>
  <c r="I470" i="10"/>
  <c r="K470" i="10"/>
  <c r="M470" i="10"/>
  <c r="O470" i="10"/>
  <c r="P470" i="10"/>
  <c r="R470" i="10"/>
  <c r="T470" i="10"/>
  <c r="I471" i="10"/>
  <c r="K471" i="10"/>
  <c r="M471" i="10"/>
  <c r="O471" i="10"/>
  <c r="T471" i="10"/>
  <c r="I472" i="10"/>
  <c r="K472" i="10"/>
  <c r="M472" i="10"/>
  <c r="O472" i="10"/>
  <c r="T472" i="10"/>
  <c r="I473" i="10"/>
  <c r="K473" i="10"/>
  <c r="M473" i="10"/>
  <c r="O473" i="10"/>
  <c r="T473" i="10"/>
  <c r="I474" i="10"/>
  <c r="K474" i="10"/>
  <c r="M474" i="10"/>
  <c r="O474" i="10"/>
  <c r="T474" i="10"/>
  <c r="E475" i="10"/>
  <c r="G475" i="10"/>
  <c r="V475" i="10" s="1"/>
  <c r="I475" i="10"/>
  <c r="K475" i="10"/>
  <c r="M475" i="10"/>
  <c r="O475" i="10"/>
  <c r="P475" i="10"/>
  <c r="R475" i="10"/>
  <c r="T475" i="10"/>
  <c r="I476" i="10"/>
  <c r="K476" i="10"/>
  <c r="M476" i="10"/>
  <c r="O476" i="10"/>
  <c r="T476" i="10"/>
  <c r="E477" i="10"/>
  <c r="G477" i="10"/>
  <c r="V477" i="10" s="1"/>
  <c r="I477" i="10"/>
  <c r="K477" i="10"/>
  <c r="M477" i="10"/>
  <c r="O477" i="10"/>
  <c r="P477" i="10"/>
  <c r="R477" i="10"/>
  <c r="T477" i="10"/>
  <c r="E478" i="10"/>
  <c r="G478" i="10"/>
  <c r="V478" i="10" s="1"/>
  <c r="I478" i="10"/>
  <c r="K478" i="10"/>
  <c r="M478" i="10"/>
  <c r="O478" i="10"/>
  <c r="P478" i="10"/>
  <c r="R478" i="10"/>
  <c r="T478" i="10"/>
  <c r="E479" i="10"/>
  <c r="G479" i="10"/>
  <c r="V479" i="10" s="1"/>
  <c r="I479" i="10"/>
  <c r="K479" i="10"/>
  <c r="M479" i="10"/>
  <c r="O479" i="10"/>
  <c r="P479" i="10"/>
  <c r="R479" i="10"/>
  <c r="T479" i="10"/>
  <c r="E480" i="10"/>
  <c r="G480" i="10"/>
  <c r="V480" i="10" s="1"/>
  <c r="I480" i="10"/>
  <c r="K480" i="10"/>
  <c r="M480" i="10"/>
  <c r="O480" i="10"/>
  <c r="P480" i="10"/>
  <c r="R480" i="10"/>
  <c r="T480" i="10"/>
  <c r="E481" i="10"/>
  <c r="G481" i="10"/>
  <c r="V481" i="10" s="1"/>
  <c r="I481" i="10"/>
  <c r="K481" i="10"/>
  <c r="M481" i="10"/>
  <c r="O481" i="10"/>
  <c r="P481" i="10"/>
  <c r="R481" i="10"/>
  <c r="T481" i="10"/>
  <c r="E482" i="10"/>
  <c r="G482" i="10"/>
  <c r="V482" i="10" s="1"/>
  <c r="I482" i="10"/>
  <c r="K482" i="10"/>
  <c r="M482" i="10"/>
  <c r="O482" i="10"/>
  <c r="P482" i="10"/>
  <c r="R482" i="10"/>
  <c r="T482" i="10"/>
  <c r="E483" i="10"/>
  <c r="G483" i="10"/>
  <c r="V483" i="10" s="1"/>
  <c r="I483" i="10"/>
  <c r="K483" i="10"/>
  <c r="M483" i="10"/>
  <c r="O483" i="10"/>
  <c r="P483" i="10"/>
  <c r="R483" i="10"/>
  <c r="T483" i="10"/>
  <c r="E484" i="10"/>
  <c r="G484" i="10"/>
  <c r="V484" i="10" s="1"/>
  <c r="I484" i="10"/>
  <c r="K484" i="10"/>
  <c r="M484" i="10"/>
  <c r="O484" i="10"/>
  <c r="P484" i="10"/>
  <c r="R484" i="10"/>
  <c r="T484" i="10"/>
  <c r="E485" i="10"/>
  <c r="G485" i="10"/>
  <c r="V485" i="10" s="1"/>
  <c r="I485" i="10"/>
  <c r="K485" i="10"/>
  <c r="M485" i="10"/>
  <c r="O485" i="10"/>
  <c r="P485" i="10"/>
  <c r="R485" i="10"/>
  <c r="T485" i="10"/>
  <c r="I486" i="10"/>
  <c r="K486" i="10"/>
  <c r="M486" i="10"/>
  <c r="O486" i="10"/>
  <c r="T486" i="10"/>
  <c r="I487" i="10"/>
  <c r="K487" i="10"/>
  <c r="M487" i="10"/>
  <c r="O487" i="10"/>
  <c r="T487" i="10"/>
  <c r="I488" i="10"/>
  <c r="K488" i="10"/>
  <c r="M488" i="10"/>
  <c r="O488" i="10"/>
  <c r="T488" i="10"/>
  <c r="I489" i="10"/>
  <c r="K489" i="10"/>
  <c r="M489" i="10"/>
  <c r="O489" i="10"/>
  <c r="T489" i="10"/>
  <c r="I490" i="10"/>
  <c r="K490" i="10"/>
  <c r="M490" i="10"/>
  <c r="O490" i="10"/>
  <c r="T490" i="10"/>
  <c r="E491" i="10"/>
  <c r="G491" i="10"/>
  <c r="V491" i="10" s="1"/>
  <c r="I491" i="10"/>
  <c r="K491" i="10"/>
  <c r="M491" i="10"/>
  <c r="O491" i="10"/>
  <c r="P491" i="10"/>
  <c r="R491" i="10"/>
  <c r="T491" i="10"/>
  <c r="I492" i="10"/>
  <c r="K492" i="10"/>
  <c r="M492" i="10"/>
  <c r="O492" i="10"/>
  <c r="T492" i="10"/>
  <c r="I493" i="10"/>
  <c r="K493" i="10"/>
  <c r="M493" i="10"/>
  <c r="O493" i="10"/>
  <c r="T493" i="10"/>
  <c r="E494" i="10"/>
  <c r="G494" i="10"/>
  <c r="V494" i="10" s="1"/>
  <c r="I494" i="10"/>
  <c r="K494" i="10"/>
  <c r="M494" i="10"/>
  <c r="O494" i="10"/>
  <c r="P494" i="10"/>
  <c r="R494" i="10"/>
  <c r="T494" i="10"/>
  <c r="I495" i="10"/>
  <c r="K495" i="10"/>
  <c r="M495" i="10"/>
  <c r="O495" i="10"/>
  <c r="T495" i="10"/>
  <c r="I496" i="10"/>
  <c r="K496" i="10"/>
  <c r="M496" i="10"/>
  <c r="O496" i="10"/>
  <c r="T496" i="10"/>
  <c r="I497" i="10"/>
  <c r="K497" i="10"/>
  <c r="M497" i="10"/>
  <c r="O497" i="10"/>
  <c r="T497" i="10"/>
  <c r="I498" i="10"/>
  <c r="K498" i="10"/>
  <c r="M498" i="10"/>
  <c r="O498" i="10"/>
  <c r="T498" i="10"/>
  <c r="I499" i="10"/>
  <c r="K499" i="10"/>
  <c r="M499" i="10"/>
  <c r="O499" i="10"/>
  <c r="T499" i="10"/>
  <c r="E500" i="10"/>
  <c r="G500" i="10"/>
  <c r="V500" i="10" s="1"/>
  <c r="I500" i="10"/>
  <c r="K500" i="10"/>
  <c r="M500" i="10"/>
  <c r="O500" i="10"/>
  <c r="P500" i="10"/>
  <c r="R500" i="10"/>
  <c r="T500" i="10"/>
  <c r="E501" i="10"/>
  <c r="G501" i="10"/>
  <c r="V501" i="10" s="1"/>
  <c r="I501" i="10"/>
  <c r="K501" i="10"/>
  <c r="M501" i="10"/>
  <c r="O501" i="10"/>
  <c r="P501" i="10"/>
  <c r="R501" i="10"/>
  <c r="T501" i="10"/>
  <c r="E502" i="10"/>
  <c r="G502" i="10"/>
  <c r="V502" i="10" s="1"/>
  <c r="I502" i="10"/>
  <c r="K502" i="10"/>
  <c r="M502" i="10"/>
  <c r="O502" i="10"/>
  <c r="P502" i="10"/>
  <c r="R502" i="10"/>
  <c r="T502" i="10"/>
  <c r="E503" i="10"/>
  <c r="G503" i="10"/>
  <c r="V503" i="10" s="1"/>
  <c r="I503" i="10"/>
  <c r="K503" i="10"/>
  <c r="M503" i="10"/>
  <c r="O503" i="10"/>
  <c r="P503" i="10"/>
  <c r="R503" i="10"/>
  <c r="T503" i="10"/>
  <c r="I504" i="10"/>
  <c r="K504" i="10"/>
  <c r="M504" i="10"/>
  <c r="O504" i="10"/>
  <c r="T504" i="10"/>
  <c r="E505" i="10"/>
  <c r="G505" i="10"/>
  <c r="V505" i="10" s="1"/>
  <c r="I505" i="10"/>
  <c r="K505" i="10"/>
  <c r="M505" i="10"/>
  <c r="O505" i="10"/>
  <c r="P505" i="10"/>
  <c r="R505" i="10"/>
  <c r="T505" i="10"/>
  <c r="I506" i="10"/>
  <c r="K506" i="10"/>
  <c r="M506" i="10"/>
  <c r="O506" i="10"/>
  <c r="T506" i="10"/>
  <c r="I507" i="10"/>
  <c r="K507" i="10"/>
  <c r="M507" i="10"/>
  <c r="O507" i="10"/>
  <c r="T507" i="10"/>
  <c r="I508" i="10"/>
  <c r="K508" i="10"/>
  <c r="M508" i="10"/>
  <c r="O508" i="10"/>
  <c r="T508" i="10"/>
  <c r="E509" i="10"/>
  <c r="G509" i="10"/>
  <c r="V509" i="10" s="1"/>
  <c r="I509" i="10"/>
  <c r="K509" i="10"/>
  <c r="M509" i="10"/>
  <c r="O509" i="10"/>
  <c r="P509" i="10"/>
  <c r="R509" i="10"/>
  <c r="T509" i="10"/>
  <c r="I510" i="10"/>
  <c r="K510" i="10"/>
  <c r="M510" i="10"/>
  <c r="O510" i="10"/>
  <c r="T510" i="10"/>
  <c r="I511" i="10"/>
  <c r="K511" i="10"/>
  <c r="M511" i="10"/>
  <c r="O511" i="10"/>
  <c r="T511" i="10"/>
  <c r="E512" i="10"/>
  <c r="G512" i="10"/>
  <c r="V512" i="10" s="1"/>
  <c r="I512" i="10"/>
  <c r="K512" i="10"/>
  <c r="M512" i="10"/>
  <c r="O512" i="10"/>
  <c r="P512" i="10"/>
  <c r="R512" i="10"/>
  <c r="T512" i="10"/>
  <c r="I513" i="10"/>
  <c r="K513" i="10"/>
  <c r="M513" i="10"/>
  <c r="O513" i="10"/>
  <c r="T513" i="10"/>
  <c r="E514" i="10"/>
  <c r="G514" i="10"/>
  <c r="V514" i="10" s="1"/>
  <c r="I514" i="10"/>
  <c r="K514" i="10"/>
  <c r="M514" i="10"/>
  <c r="O514" i="10"/>
  <c r="P514" i="10"/>
  <c r="R514" i="10"/>
  <c r="T514" i="10"/>
  <c r="E515" i="10"/>
  <c r="G515" i="10"/>
  <c r="V515" i="10" s="1"/>
  <c r="I515" i="10"/>
  <c r="K515" i="10"/>
  <c r="M515" i="10"/>
  <c r="O515" i="10"/>
  <c r="P515" i="10"/>
  <c r="R515" i="10"/>
  <c r="T515" i="10"/>
  <c r="I516" i="10"/>
  <c r="K516" i="10"/>
  <c r="M516" i="10"/>
  <c r="O516" i="10"/>
  <c r="T516" i="10"/>
  <c r="E517" i="10"/>
  <c r="G517" i="10"/>
  <c r="V517" i="10" s="1"/>
  <c r="I517" i="10"/>
  <c r="K517" i="10"/>
  <c r="M517" i="10"/>
  <c r="O517" i="10"/>
  <c r="P517" i="10"/>
  <c r="R517" i="10"/>
  <c r="T517" i="10"/>
  <c r="I518" i="10"/>
  <c r="K518" i="10"/>
  <c r="M518" i="10"/>
  <c r="O518" i="10"/>
  <c r="T518" i="10"/>
  <c r="G519" i="10"/>
  <c r="V519" i="10" s="1"/>
  <c r="I519" i="10"/>
  <c r="K519" i="10"/>
  <c r="M519" i="10"/>
  <c r="O519" i="10"/>
  <c r="T519" i="10"/>
  <c r="I520" i="10"/>
  <c r="K520" i="10"/>
  <c r="M520" i="10"/>
  <c r="O520" i="10"/>
  <c r="T520" i="10"/>
  <c r="I521" i="10"/>
  <c r="K521" i="10"/>
  <c r="M521" i="10"/>
  <c r="O521" i="10"/>
  <c r="T521" i="10"/>
  <c r="E522" i="10"/>
  <c r="G522" i="10"/>
  <c r="V522" i="10" s="1"/>
  <c r="I522" i="10"/>
  <c r="K522" i="10"/>
  <c r="M522" i="10"/>
  <c r="O522" i="10"/>
  <c r="P522" i="10"/>
  <c r="R522" i="10"/>
  <c r="T522" i="10"/>
  <c r="I523" i="10"/>
  <c r="K523" i="10"/>
  <c r="M523" i="10"/>
  <c r="O523" i="10"/>
  <c r="T523" i="10"/>
  <c r="E524" i="10"/>
  <c r="G524" i="10"/>
  <c r="V524" i="10" s="1"/>
  <c r="I524" i="10"/>
  <c r="K524" i="10"/>
  <c r="M524" i="10"/>
  <c r="O524" i="10"/>
  <c r="P524" i="10"/>
  <c r="R524" i="10"/>
  <c r="T524" i="10"/>
  <c r="I525" i="10"/>
  <c r="K525" i="10"/>
  <c r="M525" i="10"/>
  <c r="O525" i="10"/>
  <c r="T525" i="10"/>
  <c r="I526" i="10"/>
  <c r="K526" i="10"/>
  <c r="M526" i="10"/>
  <c r="O526" i="10"/>
  <c r="T526" i="10"/>
  <c r="I527" i="10"/>
  <c r="K527" i="10"/>
  <c r="M527" i="10"/>
  <c r="O527" i="10"/>
  <c r="T527" i="10"/>
  <c r="I528" i="10"/>
  <c r="K528" i="10"/>
  <c r="M528" i="10"/>
  <c r="O528" i="10"/>
  <c r="T528" i="10"/>
  <c r="I529" i="10"/>
  <c r="K529" i="10"/>
  <c r="M529" i="10"/>
  <c r="O529" i="10"/>
  <c r="T529" i="10"/>
  <c r="E530" i="10"/>
  <c r="G530" i="10"/>
  <c r="V530" i="10" s="1"/>
  <c r="I530" i="10"/>
  <c r="K530" i="10"/>
  <c r="M530" i="10"/>
  <c r="O530" i="10"/>
  <c r="P530" i="10"/>
  <c r="R530" i="10"/>
  <c r="T530" i="10"/>
  <c r="E531" i="10"/>
  <c r="I531" i="10"/>
  <c r="M531" i="10"/>
  <c r="O531" i="10"/>
  <c r="R531" i="10"/>
  <c r="T531" i="10"/>
  <c r="E532" i="10"/>
  <c r="I532" i="10"/>
  <c r="M532" i="10"/>
  <c r="O532" i="10"/>
  <c r="R532" i="10"/>
  <c r="T532" i="10"/>
  <c r="E533" i="10"/>
  <c r="I533" i="10"/>
  <c r="M533" i="10"/>
  <c r="O533" i="10"/>
  <c r="R533" i="10"/>
  <c r="T533" i="10"/>
  <c r="E534" i="10"/>
  <c r="I534" i="10"/>
  <c r="M534" i="10"/>
  <c r="O534" i="10"/>
  <c r="R534" i="10"/>
  <c r="T534" i="10"/>
  <c r="E535" i="10"/>
  <c r="I535" i="10"/>
  <c r="M535" i="10"/>
  <c r="O535" i="10"/>
  <c r="R535" i="10"/>
  <c r="T535" i="10"/>
  <c r="E536" i="10"/>
  <c r="I536" i="10"/>
  <c r="M536" i="10"/>
  <c r="O536" i="10"/>
  <c r="R536" i="10"/>
  <c r="T536" i="10"/>
  <c r="E537" i="10"/>
  <c r="I537" i="10"/>
  <c r="M537" i="10"/>
  <c r="O537" i="10"/>
  <c r="R537" i="10"/>
  <c r="T537" i="10"/>
  <c r="E538" i="10"/>
  <c r="I538" i="10"/>
  <c r="M538" i="10"/>
  <c r="O538" i="10"/>
  <c r="R538" i="10"/>
  <c r="T538" i="10"/>
  <c r="E539" i="10"/>
  <c r="I539" i="10"/>
  <c r="M539" i="10"/>
  <c r="O539" i="10"/>
  <c r="R539" i="10"/>
  <c r="T539" i="10"/>
  <c r="E540" i="10"/>
  <c r="I540" i="10"/>
  <c r="M540" i="10"/>
  <c r="O540" i="10"/>
  <c r="R540" i="10"/>
  <c r="T540" i="10"/>
  <c r="E541" i="10"/>
  <c r="I541" i="10"/>
  <c r="M541" i="10"/>
  <c r="O541" i="10"/>
  <c r="R541" i="10"/>
  <c r="T541" i="10"/>
  <c r="E542" i="10"/>
  <c r="I542" i="10"/>
  <c r="M542" i="10"/>
  <c r="O542" i="10"/>
  <c r="R542" i="10"/>
  <c r="T542" i="10"/>
  <c r="E543" i="10"/>
  <c r="I543" i="10"/>
  <c r="M543" i="10"/>
  <c r="O543" i="10"/>
  <c r="R543" i="10"/>
  <c r="T543" i="10"/>
  <c r="E544" i="10"/>
  <c r="I544" i="10"/>
  <c r="M544" i="10"/>
  <c r="O544" i="10"/>
  <c r="R544" i="10"/>
  <c r="T544" i="10"/>
  <c r="E545" i="10"/>
  <c r="I545" i="10"/>
  <c r="M545" i="10"/>
  <c r="O545" i="10"/>
  <c r="R545" i="10"/>
  <c r="T545" i="10"/>
  <c r="E546" i="10"/>
  <c r="I546" i="10"/>
  <c r="M546" i="10"/>
  <c r="O546" i="10"/>
  <c r="R546" i="10"/>
  <c r="T546" i="10"/>
  <c r="E547" i="10"/>
  <c r="I547" i="10"/>
  <c r="M547" i="10"/>
  <c r="O547" i="10"/>
  <c r="R547" i="10"/>
  <c r="T547" i="10"/>
  <c r="E548" i="10"/>
  <c r="I548" i="10"/>
  <c r="M548" i="10"/>
  <c r="O548" i="10"/>
  <c r="R548" i="10"/>
  <c r="T548" i="10"/>
  <c r="I549" i="10"/>
  <c r="K549" i="10"/>
  <c r="M549" i="10"/>
  <c r="O549" i="10"/>
  <c r="T549" i="10"/>
  <c r="E550" i="10"/>
  <c r="G550" i="10"/>
  <c r="V550" i="10" s="1"/>
  <c r="I550" i="10"/>
  <c r="K550" i="10"/>
  <c r="O550" i="10"/>
  <c r="R550" i="10"/>
  <c r="T550" i="10"/>
  <c r="I551" i="10"/>
  <c r="K551" i="10"/>
  <c r="M551" i="10"/>
  <c r="O551" i="10"/>
  <c r="T551" i="10"/>
  <c r="I552" i="10"/>
  <c r="K552" i="10"/>
  <c r="M552" i="10"/>
  <c r="O552" i="10"/>
  <c r="T552" i="10"/>
  <c r="I553" i="10"/>
  <c r="K553" i="10"/>
  <c r="M553" i="10"/>
  <c r="O553" i="10"/>
  <c r="T553" i="10"/>
  <c r="I554" i="10"/>
  <c r="K554" i="10"/>
  <c r="M554" i="10"/>
  <c r="O554" i="10"/>
  <c r="T554" i="10"/>
  <c r="I555" i="10"/>
  <c r="K555" i="10"/>
  <c r="M555" i="10"/>
  <c r="O555" i="10"/>
  <c r="T555" i="10"/>
  <c r="I556" i="10"/>
  <c r="K556" i="10"/>
  <c r="M556" i="10"/>
  <c r="O556" i="10"/>
  <c r="T556" i="10"/>
  <c r="E557" i="10"/>
  <c r="G557" i="10"/>
  <c r="V557" i="10" s="1"/>
  <c r="I557" i="10"/>
  <c r="K557" i="10"/>
  <c r="M557" i="10"/>
  <c r="O557" i="10"/>
  <c r="P557" i="10"/>
  <c r="R557" i="10"/>
  <c r="T557" i="10"/>
  <c r="I558" i="10"/>
  <c r="K558" i="10"/>
  <c r="M558" i="10"/>
  <c r="O558" i="10"/>
  <c r="T558" i="10"/>
  <c r="I559" i="10"/>
  <c r="K559" i="10"/>
  <c r="M559" i="10"/>
  <c r="O559" i="10"/>
  <c r="T559" i="10"/>
  <c r="E560" i="10"/>
  <c r="G560" i="10"/>
  <c r="V560" i="10" s="1"/>
  <c r="I560" i="10"/>
  <c r="K560" i="10"/>
  <c r="M560" i="10"/>
  <c r="O560" i="10"/>
  <c r="P560" i="10"/>
  <c r="R560" i="10"/>
  <c r="T560" i="10"/>
  <c r="E561" i="10"/>
  <c r="G561" i="10"/>
  <c r="V561" i="10" s="1"/>
  <c r="I561" i="10"/>
  <c r="K561" i="10"/>
  <c r="M561" i="10"/>
  <c r="O561" i="10"/>
  <c r="P561" i="10"/>
  <c r="R561" i="10"/>
  <c r="T561" i="10"/>
  <c r="I562" i="10"/>
  <c r="K562" i="10"/>
  <c r="M562" i="10"/>
  <c r="O562" i="10"/>
  <c r="T562" i="10"/>
  <c r="E563" i="10"/>
  <c r="G563" i="10"/>
  <c r="V563" i="10" s="1"/>
  <c r="I563" i="10"/>
  <c r="K563" i="10"/>
  <c r="M563" i="10"/>
  <c r="O563" i="10"/>
  <c r="P563" i="10"/>
  <c r="R563" i="10"/>
  <c r="T563" i="10"/>
  <c r="E564" i="10"/>
  <c r="G564" i="10"/>
  <c r="V564" i="10" s="1"/>
  <c r="I564" i="10"/>
  <c r="K564" i="10"/>
  <c r="M564" i="10"/>
  <c r="O564" i="10"/>
  <c r="P564" i="10"/>
  <c r="R564" i="10"/>
  <c r="T564" i="10"/>
  <c r="E565" i="10"/>
  <c r="G565" i="10"/>
  <c r="V565" i="10" s="1"/>
  <c r="I565" i="10"/>
  <c r="K565" i="10"/>
  <c r="M565" i="10"/>
  <c r="O565" i="10"/>
  <c r="P565" i="10"/>
  <c r="R565" i="10"/>
  <c r="T565" i="10"/>
  <c r="I566" i="10"/>
  <c r="K566" i="10"/>
  <c r="M566" i="10"/>
  <c r="O566" i="10"/>
  <c r="T566" i="10"/>
  <c r="I567" i="10"/>
  <c r="K567" i="10"/>
  <c r="M567" i="10"/>
  <c r="O567" i="10"/>
  <c r="T567" i="10"/>
  <c r="I568" i="10"/>
  <c r="K568" i="10"/>
  <c r="M568" i="10"/>
  <c r="O568" i="10"/>
  <c r="T568" i="10"/>
  <c r="E569" i="10"/>
  <c r="G569" i="10"/>
  <c r="V569" i="10" s="1"/>
  <c r="I569" i="10"/>
  <c r="K569" i="10"/>
  <c r="M569" i="10"/>
  <c r="O569" i="10"/>
  <c r="P569" i="10"/>
  <c r="R569" i="10"/>
  <c r="T569" i="10"/>
  <c r="I570" i="10"/>
  <c r="K570" i="10"/>
  <c r="M570" i="10"/>
  <c r="O570" i="10"/>
  <c r="T570" i="10"/>
  <c r="I571" i="10"/>
  <c r="K571" i="10"/>
  <c r="M571" i="10"/>
  <c r="O571" i="10"/>
  <c r="T571" i="10"/>
  <c r="G572" i="10"/>
  <c r="V572" i="10" s="1"/>
  <c r="I572" i="10"/>
  <c r="K572" i="10"/>
  <c r="M572" i="10"/>
  <c r="O572" i="10"/>
  <c r="P572" i="10"/>
  <c r="T572" i="10"/>
  <c r="E573" i="10"/>
  <c r="G573" i="10"/>
  <c r="V573" i="10" s="1"/>
  <c r="I573" i="10"/>
  <c r="K573" i="10"/>
  <c r="M573" i="10"/>
  <c r="O573" i="10"/>
  <c r="P573" i="10"/>
  <c r="R573" i="10"/>
  <c r="T573" i="10"/>
  <c r="I574" i="10"/>
  <c r="K574" i="10"/>
  <c r="M574" i="10"/>
  <c r="O574" i="10"/>
  <c r="T574" i="10"/>
  <c r="I575" i="10"/>
  <c r="K575" i="10"/>
  <c r="M575" i="10"/>
  <c r="O575" i="10"/>
  <c r="T575" i="10"/>
  <c r="I576" i="10"/>
  <c r="K576" i="10"/>
  <c r="M576" i="10"/>
  <c r="O576" i="10"/>
  <c r="T576" i="10"/>
  <c r="E577" i="10"/>
  <c r="G577" i="10"/>
  <c r="V577" i="10" s="1"/>
  <c r="I577" i="10"/>
  <c r="K577" i="10"/>
  <c r="M577" i="10"/>
  <c r="O577" i="10"/>
  <c r="P577" i="10"/>
  <c r="R577" i="10"/>
  <c r="T577" i="10"/>
  <c r="I578" i="10"/>
  <c r="K578" i="10"/>
  <c r="M578" i="10"/>
  <c r="O578" i="10"/>
  <c r="T578" i="10"/>
  <c r="I579" i="10"/>
  <c r="K579" i="10"/>
  <c r="M579" i="10"/>
  <c r="O579" i="10"/>
  <c r="T579" i="10"/>
  <c r="I580" i="10"/>
  <c r="K580" i="10"/>
  <c r="M580" i="10"/>
  <c r="O580" i="10"/>
  <c r="T580" i="10"/>
  <c r="I581" i="10"/>
  <c r="K581" i="10"/>
  <c r="M581" i="10"/>
  <c r="O581" i="10"/>
  <c r="T581" i="10"/>
  <c r="I582" i="10"/>
  <c r="K582" i="10"/>
  <c r="M582" i="10"/>
  <c r="O582" i="10"/>
  <c r="T582" i="10"/>
  <c r="E583" i="10"/>
  <c r="G583" i="10"/>
  <c r="V583" i="10" s="1"/>
  <c r="I583" i="10"/>
  <c r="M583" i="10"/>
  <c r="P583" i="10"/>
  <c r="R583" i="10"/>
  <c r="T583" i="10"/>
  <c r="E584" i="10"/>
  <c r="G584" i="10"/>
  <c r="V584" i="10" s="1"/>
  <c r="I584" i="10"/>
  <c r="K584" i="10"/>
  <c r="M584" i="10"/>
  <c r="O584" i="10"/>
  <c r="P584" i="10"/>
  <c r="R584" i="10"/>
  <c r="T584" i="10"/>
  <c r="E585" i="10"/>
  <c r="G585" i="10"/>
  <c r="V585" i="10" s="1"/>
  <c r="I585" i="10"/>
  <c r="K585" i="10"/>
  <c r="M585" i="10"/>
  <c r="O585" i="10"/>
  <c r="P585" i="10"/>
  <c r="R585" i="10"/>
  <c r="T585" i="10"/>
  <c r="I586" i="10"/>
  <c r="K586" i="10"/>
  <c r="M586" i="10"/>
  <c r="O586" i="10"/>
  <c r="T586" i="10"/>
  <c r="I587" i="10"/>
  <c r="K587" i="10"/>
  <c r="M587" i="10"/>
  <c r="O587" i="10"/>
  <c r="T587" i="10"/>
  <c r="I588" i="10"/>
  <c r="K588" i="10"/>
  <c r="M588" i="10"/>
  <c r="O588" i="10"/>
  <c r="T588" i="10"/>
  <c r="E589" i="10"/>
  <c r="G589" i="10"/>
  <c r="V589" i="10" s="1"/>
  <c r="I589" i="10"/>
  <c r="K589" i="10"/>
  <c r="M589" i="10"/>
  <c r="O589" i="10"/>
  <c r="P589" i="10"/>
  <c r="R589" i="10"/>
  <c r="T589" i="10"/>
  <c r="E590" i="10"/>
  <c r="G590" i="10"/>
  <c r="V590" i="10" s="1"/>
  <c r="I590" i="10"/>
  <c r="K590" i="10"/>
  <c r="M590" i="10"/>
  <c r="O590" i="10"/>
  <c r="P590" i="10"/>
  <c r="R590" i="10"/>
  <c r="T590" i="10"/>
  <c r="I591" i="10"/>
  <c r="K591" i="10"/>
  <c r="M591" i="10"/>
  <c r="O591" i="10"/>
  <c r="T591" i="10"/>
  <c r="I592" i="10"/>
  <c r="K592" i="10"/>
  <c r="M592" i="10"/>
  <c r="O592" i="10"/>
  <c r="T592" i="10"/>
  <c r="I593" i="10"/>
  <c r="K593" i="10"/>
  <c r="M593" i="10"/>
  <c r="O593" i="10"/>
  <c r="T593" i="10"/>
  <c r="I594" i="10"/>
  <c r="K594" i="10"/>
  <c r="M594" i="10"/>
  <c r="O594" i="10"/>
  <c r="T594" i="10"/>
  <c r="I595" i="10"/>
  <c r="K595" i="10"/>
  <c r="M595" i="10"/>
  <c r="O595" i="10"/>
  <c r="T595" i="10"/>
  <c r="E596" i="10"/>
  <c r="G596" i="10"/>
  <c r="V596" i="10" s="1"/>
  <c r="I596" i="10"/>
  <c r="K596" i="10"/>
  <c r="M596" i="10"/>
  <c r="O596" i="10"/>
  <c r="P596" i="10"/>
  <c r="R596" i="10"/>
  <c r="T596" i="10"/>
  <c r="E597" i="10"/>
  <c r="G597" i="10"/>
  <c r="V597" i="10" s="1"/>
  <c r="I597" i="10"/>
  <c r="K597" i="10"/>
  <c r="M597" i="10"/>
  <c r="O597" i="10"/>
  <c r="P597" i="10"/>
  <c r="R597" i="10"/>
  <c r="T597" i="10"/>
  <c r="I598" i="10"/>
  <c r="K598" i="10"/>
  <c r="M598" i="10"/>
  <c r="O598" i="10"/>
  <c r="T598" i="10"/>
  <c r="I599" i="10"/>
  <c r="K599" i="10"/>
  <c r="M599" i="10"/>
  <c r="O599" i="10"/>
  <c r="T599" i="10"/>
  <c r="I600" i="10"/>
  <c r="K600" i="10"/>
  <c r="M600" i="10"/>
  <c r="O600" i="10"/>
  <c r="T600" i="10"/>
  <c r="I601" i="10"/>
  <c r="K601" i="10"/>
  <c r="M601" i="10"/>
  <c r="O601" i="10"/>
  <c r="T601" i="10"/>
  <c r="I602" i="10"/>
  <c r="K602" i="10"/>
  <c r="M602" i="10"/>
  <c r="O602" i="10"/>
  <c r="T602" i="10"/>
  <c r="E603" i="10"/>
  <c r="G603" i="10"/>
  <c r="V603" i="10" s="1"/>
  <c r="I603" i="10"/>
  <c r="K603" i="10"/>
  <c r="M603" i="10"/>
  <c r="O603" i="10"/>
  <c r="P603" i="10"/>
  <c r="R603" i="10"/>
  <c r="T603" i="10"/>
  <c r="E604" i="10"/>
  <c r="G604" i="10"/>
  <c r="V604" i="10" s="1"/>
  <c r="I604" i="10"/>
  <c r="K604" i="10"/>
  <c r="M604" i="10"/>
  <c r="O604" i="10"/>
  <c r="P604" i="10"/>
  <c r="R604" i="10"/>
  <c r="T604" i="10"/>
  <c r="I605" i="10"/>
  <c r="K605" i="10"/>
  <c r="M605" i="10"/>
  <c r="O605" i="10"/>
  <c r="T605" i="10"/>
  <c r="E606" i="10"/>
  <c r="G606" i="10"/>
  <c r="V606" i="10" s="1"/>
  <c r="I606" i="10"/>
  <c r="K606" i="10"/>
  <c r="M606" i="10"/>
  <c r="O606" i="10"/>
  <c r="P606" i="10"/>
  <c r="R606" i="10"/>
  <c r="T606" i="10"/>
  <c r="I607" i="10"/>
  <c r="K607" i="10"/>
  <c r="M607" i="10"/>
  <c r="O607" i="10"/>
  <c r="T607" i="10"/>
  <c r="E608" i="10"/>
  <c r="G608" i="10"/>
  <c r="V608" i="10" s="1"/>
  <c r="I608" i="10"/>
  <c r="K608" i="10"/>
  <c r="M608" i="10"/>
  <c r="O608" i="10"/>
  <c r="P608" i="10"/>
  <c r="R608" i="10"/>
  <c r="T608" i="10"/>
  <c r="I609" i="10"/>
  <c r="K609" i="10"/>
  <c r="M609" i="10"/>
  <c r="O609" i="10"/>
  <c r="T609" i="10"/>
  <c r="I610" i="10"/>
  <c r="K610" i="10"/>
  <c r="M610" i="10"/>
  <c r="O610" i="10"/>
  <c r="T610" i="10"/>
  <c r="I611" i="10"/>
  <c r="K611" i="10"/>
  <c r="M611" i="10"/>
  <c r="O611" i="10"/>
  <c r="T611" i="10"/>
  <c r="K612" i="10"/>
  <c r="M612" i="10"/>
  <c r="O612" i="10"/>
  <c r="T612" i="10"/>
  <c r="K613" i="10"/>
  <c r="M613" i="10"/>
  <c r="O613" i="10"/>
  <c r="T613" i="10"/>
  <c r="K614" i="10"/>
  <c r="M614" i="10"/>
  <c r="O614" i="10"/>
  <c r="T614" i="10"/>
  <c r="K615" i="10"/>
  <c r="M615" i="10"/>
  <c r="O615" i="10"/>
  <c r="T615" i="10"/>
  <c r="K616" i="10"/>
  <c r="M616" i="10"/>
  <c r="O616" i="10"/>
  <c r="T616" i="10"/>
  <c r="K617" i="10"/>
  <c r="M617" i="10"/>
  <c r="O617" i="10"/>
  <c r="T617" i="10"/>
  <c r="K618" i="10"/>
  <c r="M618" i="10"/>
  <c r="O618" i="10"/>
  <c r="T618" i="10"/>
  <c r="K619" i="10"/>
  <c r="M619" i="10"/>
  <c r="O619" i="10"/>
  <c r="T619" i="10"/>
  <c r="K620" i="10"/>
  <c r="M620" i="10"/>
  <c r="O620" i="10"/>
  <c r="T620" i="10"/>
  <c r="K621" i="10"/>
  <c r="M621" i="10"/>
  <c r="O621" i="10"/>
  <c r="T621" i="10"/>
  <c r="I622" i="10"/>
  <c r="K622" i="10"/>
  <c r="M622" i="10"/>
  <c r="O622" i="10"/>
  <c r="T622" i="10"/>
  <c r="I623" i="10"/>
  <c r="K623" i="10"/>
  <c r="M623" i="10"/>
  <c r="O623" i="10"/>
  <c r="T623" i="10"/>
  <c r="I624" i="10"/>
  <c r="K624" i="10"/>
  <c r="M624" i="10"/>
  <c r="O624" i="10"/>
  <c r="T624" i="10"/>
  <c r="I625" i="10"/>
  <c r="K625" i="10"/>
  <c r="M625" i="10"/>
  <c r="O625" i="10"/>
  <c r="T625" i="10"/>
  <c r="I626" i="10"/>
  <c r="K626" i="10"/>
  <c r="M626" i="10"/>
  <c r="O626" i="10"/>
  <c r="T626" i="10"/>
  <c r="I627" i="10"/>
  <c r="K627" i="10"/>
  <c r="M627" i="10"/>
  <c r="O627" i="10"/>
  <c r="T627" i="10"/>
  <c r="I628" i="10"/>
  <c r="K628" i="10"/>
  <c r="M628" i="10"/>
  <c r="O628" i="10"/>
  <c r="T628" i="10"/>
  <c r="I629" i="10"/>
  <c r="K629" i="10"/>
  <c r="M629" i="10"/>
  <c r="O629" i="10"/>
  <c r="T629" i="10"/>
  <c r="I630" i="10"/>
  <c r="K630" i="10"/>
  <c r="M630" i="10"/>
  <c r="O630" i="10"/>
  <c r="T630" i="10"/>
  <c r="E631" i="10"/>
  <c r="G631" i="10"/>
  <c r="V631" i="10" s="1"/>
  <c r="I631" i="10"/>
  <c r="K631" i="10"/>
  <c r="M631" i="10"/>
  <c r="O631" i="10"/>
  <c r="P631" i="10"/>
  <c r="R631" i="10"/>
  <c r="T631" i="10"/>
  <c r="I632" i="10"/>
  <c r="K632" i="10"/>
  <c r="M632" i="10"/>
  <c r="O632" i="10"/>
  <c r="T632" i="10"/>
  <c r="I633" i="10"/>
  <c r="K633" i="10"/>
  <c r="M633" i="10"/>
  <c r="O633" i="10"/>
  <c r="T633" i="10"/>
  <c r="E634" i="10"/>
  <c r="G634" i="10"/>
  <c r="V634" i="10" s="1"/>
  <c r="I634" i="10"/>
  <c r="K634" i="10"/>
  <c r="M634" i="10"/>
  <c r="O634" i="10"/>
  <c r="P634" i="10"/>
  <c r="R634" i="10"/>
  <c r="T634" i="10"/>
  <c r="E635" i="10"/>
  <c r="G635" i="10"/>
  <c r="V635" i="10" s="1"/>
  <c r="I635" i="10"/>
  <c r="K635" i="10"/>
  <c r="M635" i="10"/>
  <c r="O635" i="10"/>
  <c r="P635" i="10"/>
  <c r="R635" i="10"/>
  <c r="T635" i="10"/>
  <c r="I636" i="10"/>
  <c r="K636" i="10"/>
  <c r="M636" i="10"/>
  <c r="O636" i="10"/>
  <c r="T636" i="10"/>
  <c r="I637" i="10"/>
  <c r="K637" i="10"/>
  <c r="M637" i="10"/>
  <c r="O637" i="10"/>
  <c r="T637" i="10"/>
  <c r="E638" i="10"/>
  <c r="G638" i="10"/>
  <c r="V638" i="10" s="1"/>
  <c r="I638" i="10"/>
  <c r="K638" i="10"/>
  <c r="M638" i="10"/>
  <c r="R638" i="10"/>
  <c r="T638" i="10"/>
  <c r="I639" i="10"/>
  <c r="K639" i="10"/>
  <c r="M639" i="10"/>
  <c r="O639" i="10"/>
  <c r="T639" i="10"/>
  <c r="I640" i="10"/>
  <c r="K640" i="10"/>
  <c r="M640" i="10"/>
  <c r="O640" i="10"/>
  <c r="T640" i="10"/>
  <c r="I641" i="10"/>
  <c r="K641" i="10"/>
  <c r="M641" i="10"/>
  <c r="O641" i="10"/>
  <c r="T641" i="10"/>
  <c r="I642" i="10"/>
  <c r="K642" i="10"/>
  <c r="M642" i="10"/>
  <c r="O642" i="10"/>
  <c r="T642" i="10"/>
  <c r="I643" i="10"/>
  <c r="K643" i="10"/>
  <c r="M643" i="10"/>
  <c r="O643" i="10"/>
  <c r="T643" i="10"/>
  <c r="I644" i="10"/>
  <c r="K644" i="10"/>
  <c r="M644" i="10"/>
  <c r="O644" i="10"/>
  <c r="T644" i="10"/>
  <c r="I645" i="10"/>
  <c r="K645" i="10"/>
  <c r="M645" i="10"/>
  <c r="O645" i="10"/>
  <c r="T645" i="10"/>
  <c r="C6" i="25" l="1"/>
  <c r="U156" i="10"/>
  <c r="S156" i="10"/>
  <c r="T156" i="10" s="1"/>
  <c r="Q156" i="10"/>
  <c r="N156" i="10"/>
  <c r="O156" i="10" s="1"/>
  <c r="L156" i="10"/>
  <c r="M156" i="10" s="1"/>
  <c r="J156" i="10"/>
  <c r="K156" i="10" s="1"/>
  <c r="H156" i="10"/>
  <c r="I156" i="10" s="1"/>
  <c r="F156" i="10"/>
  <c r="G156" i="10" s="1"/>
  <c r="V156" i="10" s="1"/>
  <c r="D156" i="10"/>
  <c r="E156" i="10" s="1"/>
  <c r="U155" i="10"/>
  <c r="S155" i="10"/>
  <c r="T155" i="10" s="1"/>
  <c r="Q155" i="10"/>
  <c r="N155" i="10"/>
  <c r="O155" i="10" s="1"/>
  <c r="L155" i="10"/>
  <c r="M155" i="10" s="1"/>
  <c r="J155" i="10"/>
  <c r="K155" i="10" s="1"/>
  <c r="H155" i="10"/>
  <c r="I155" i="10" s="1"/>
  <c r="F155" i="10"/>
  <c r="G155" i="10" s="1"/>
  <c r="V155" i="10" s="1"/>
  <c r="D155" i="10"/>
  <c r="E155" i="10" s="1"/>
  <c r="U154" i="10"/>
  <c r="S154" i="10"/>
  <c r="T154" i="10" s="1"/>
  <c r="Q154" i="10"/>
  <c r="N154" i="10"/>
  <c r="O154" i="10" s="1"/>
  <c r="L154" i="10"/>
  <c r="M154" i="10" s="1"/>
  <c r="J154" i="10"/>
  <c r="K154" i="10" s="1"/>
  <c r="H154" i="10"/>
  <c r="I154" i="10" s="1"/>
  <c r="F154" i="10"/>
  <c r="G154" i="10" s="1"/>
  <c r="V154" i="10" s="1"/>
  <c r="D154" i="10"/>
  <c r="U153" i="10"/>
  <c r="S153" i="10"/>
  <c r="T153" i="10" s="1"/>
  <c r="Q153" i="10"/>
  <c r="N153" i="10"/>
  <c r="O153" i="10" s="1"/>
  <c r="L153" i="10"/>
  <c r="M153" i="10" s="1"/>
  <c r="J153" i="10"/>
  <c r="K153" i="10" s="1"/>
  <c r="H153" i="10"/>
  <c r="I153" i="10" s="1"/>
  <c r="F153" i="10"/>
  <c r="D153" i="10"/>
  <c r="E153" i="10" s="1"/>
  <c r="U152" i="10"/>
  <c r="S152" i="10"/>
  <c r="T152" i="10" s="1"/>
  <c r="Q152" i="10"/>
  <c r="N152" i="10"/>
  <c r="O152" i="10" s="1"/>
  <c r="L152" i="10"/>
  <c r="M152" i="10" s="1"/>
  <c r="J152" i="10"/>
  <c r="K152" i="10" s="1"/>
  <c r="H152" i="10"/>
  <c r="I152" i="10" s="1"/>
  <c r="F152" i="10"/>
  <c r="G152" i="10" s="1"/>
  <c r="V152" i="10" s="1"/>
  <c r="D152" i="10"/>
  <c r="E152" i="10" s="1"/>
  <c r="U151" i="10"/>
  <c r="S151" i="10"/>
  <c r="T151" i="10" s="1"/>
  <c r="Q151" i="10"/>
  <c r="N151" i="10"/>
  <c r="O151" i="10" s="1"/>
  <c r="L151" i="10"/>
  <c r="M151" i="10" s="1"/>
  <c r="J151" i="10"/>
  <c r="K151" i="10" s="1"/>
  <c r="H151" i="10"/>
  <c r="I151" i="10" s="1"/>
  <c r="F151" i="10"/>
  <c r="G151" i="10" s="1"/>
  <c r="V151" i="10" s="1"/>
  <c r="D151" i="10"/>
  <c r="E151" i="10" s="1"/>
  <c r="U150" i="10"/>
  <c r="S150" i="10"/>
  <c r="T150" i="10" s="1"/>
  <c r="Q150" i="10"/>
  <c r="N150" i="10"/>
  <c r="O150" i="10" s="1"/>
  <c r="L150" i="10"/>
  <c r="M150" i="10" s="1"/>
  <c r="J150" i="10"/>
  <c r="K150" i="10" s="1"/>
  <c r="H150" i="10"/>
  <c r="I150" i="10" s="1"/>
  <c r="F150" i="10"/>
  <c r="G150" i="10" s="1"/>
  <c r="V150" i="10" s="1"/>
  <c r="D150" i="10"/>
  <c r="U149" i="10"/>
  <c r="S149" i="10"/>
  <c r="T149" i="10" s="1"/>
  <c r="Q149" i="10"/>
  <c r="N149" i="10"/>
  <c r="O149" i="10" s="1"/>
  <c r="L149" i="10"/>
  <c r="M149" i="10" s="1"/>
  <c r="J149" i="10"/>
  <c r="K149" i="10" s="1"/>
  <c r="H149" i="10"/>
  <c r="I149" i="10" s="1"/>
  <c r="F149" i="10"/>
  <c r="G149" i="10" s="1"/>
  <c r="V149" i="10" s="1"/>
  <c r="D149" i="10"/>
  <c r="E149" i="10" s="1"/>
  <c r="U148" i="10"/>
  <c r="S148" i="10"/>
  <c r="T148" i="10" s="1"/>
  <c r="Q148" i="10"/>
  <c r="N148" i="10"/>
  <c r="O148" i="10" s="1"/>
  <c r="L148" i="10"/>
  <c r="M148" i="10" s="1"/>
  <c r="J148" i="10"/>
  <c r="K148" i="10" s="1"/>
  <c r="H148" i="10"/>
  <c r="I148" i="10" s="1"/>
  <c r="F148" i="10"/>
  <c r="G148" i="10" s="1"/>
  <c r="V148" i="10" s="1"/>
  <c r="D148" i="10"/>
  <c r="E148" i="10" s="1"/>
  <c r="U147" i="10"/>
  <c r="S147" i="10"/>
  <c r="T147" i="10" s="1"/>
  <c r="Q147" i="10"/>
  <c r="N147" i="10"/>
  <c r="O147" i="10" s="1"/>
  <c r="L147" i="10"/>
  <c r="M147" i="10" s="1"/>
  <c r="J147" i="10"/>
  <c r="K147" i="10" s="1"/>
  <c r="H147" i="10"/>
  <c r="I147" i="10" s="1"/>
  <c r="F147" i="10"/>
  <c r="G147" i="10" s="1"/>
  <c r="V147" i="10" s="1"/>
  <c r="D147" i="10"/>
  <c r="E147" i="10" s="1"/>
  <c r="U146" i="10"/>
  <c r="S146" i="10"/>
  <c r="T146" i="10" s="1"/>
  <c r="Q146" i="10"/>
  <c r="N146" i="10"/>
  <c r="O146" i="10" s="1"/>
  <c r="L146" i="10"/>
  <c r="M146" i="10" s="1"/>
  <c r="J146" i="10"/>
  <c r="K146" i="10" s="1"/>
  <c r="H146" i="10"/>
  <c r="I146" i="10" s="1"/>
  <c r="F146" i="10"/>
  <c r="G146" i="10" s="1"/>
  <c r="V146" i="10" s="1"/>
  <c r="D146" i="10"/>
  <c r="E146" i="10" s="1"/>
  <c r="U145" i="10"/>
  <c r="S145" i="10"/>
  <c r="T145" i="10" s="1"/>
  <c r="Q145" i="10"/>
  <c r="N145" i="10"/>
  <c r="O145" i="10" s="1"/>
  <c r="L145" i="10"/>
  <c r="M145" i="10" s="1"/>
  <c r="J145" i="10"/>
  <c r="K145" i="10" s="1"/>
  <c r="H145" i="10"/>
  <c r="I145" i="10" s="1"/>
  <c r="F145" i="10"/>
  <c r="G145" i="10" s="1"/>
  <c r="V145" i="10" s="1"/>
  <c r="D145" i="10"/>
  <c r="E145" i="10" s="1"/>
  <c r="U144" i="10"/>
  <c r="S144" i="10"/>
  <c r="T144" i="10" s="1"/>
  <c r="Q144" i="10"/>
  <c r="N144" i="10"/>
  <c r="O144" i="10" s="1"/>
  <c r="L144" i="10"/>
  <c r="M144" i="10" s="1"/>
  <c r="J144" i="10"/>
  <c r="K144" i="10" s="1"/>
  <c r="H144" i="10"/>
  <c r="I144" i="10" s="1"/>
  <c r="F144" i="10"/>
  <c r="G144" i="10" s="1"/>
  <c r="V144" i="10" s="1"/>
  <c r="D144" i="10"/>
  <c r="E144" i="10" s="1"/>
  <c r="U143" i="10"/>
  <c r="S143" i="10"/>
  <c r="T143" i="10" s="1"/>
  <c r="Q143" i="10"/>
  <c r="N143" i="10"/>
  <c r="O143" i="10" s="1"/>
  <c r="L143" i="10"/>
  <c r="M143" i="10" s="1"/>
  <c r="J143" i="10"/>
  <c r="K143" i="10" s="1"/>
  <c r="H143" i="10"/>
  <c r="I143" i="10" s="1"/>
  <c r="F143" i="10"/>
  <c r="G143" i="10" s="1"/>
  <c r="V143" i="10" s="1"/>
  <c r="D143" i="10"/>
  <c r="E143" i="10" s="1"/>
  <c r="U142" i="10"/>
  <c r="S142" i="10"/>
  <c r="T142" i="10" s="1"/>
  <c r="Q142" i="10"/>
  <c r="N142" i="10"/>
  <c r="O142" i="10" s="1"/>
  <c r="L142" i="10"/>
  <c r="M142" i="10" s="1"/>
  <c r="J142" i="10"/>
  <c r="K142" i="10" s="1"/>
  <c r="H142" i="10"/>
  <c r="I142" i="10" s="1"/>
  <c r="F142" i="10"/>
  <c r="G142" i="10" s="1"/>
  <c r="V142" i="10" s="1"/>
  <c r="D142" i="10"/>
  <c r="U141" i="10"/>
  <c r="S141" i="10"/>
  <c r="T141" i="10" s="1"/>
  <c r="Q141" i="10"/>
  <c r="N141" i="10"/>
  <c r="O141" i="10" s="1"/>
  <c r="L141" i="10"/>
  <c r="M141" i="10" s="1"/>
  <c r="J141" i="10"/>
  <c r="K141" i="10" s="1"/>
  <c r="H141" i="10"/>
  <c r="I141" i="10" s="1"/>
  <c r="F141" i="10"/>
  <c r="D141" i="10"/>
  <c r="E141" i="10" s="1"/>
  <c r="U140" i="10"/>
  <c r="S140" i="10"/>
  <c r="T140" i="10" s="1"/>
  <c r="Q140" i="10"/>
  <c r="N140" i="10"/>
  <c r="O140" i="10" s="1"/>
  <c r="L140" i="10"/>
  <c r="M140" i="10" s="1"/>
  <c r="J140" i="10"/>
  <c r="K140" i="10" s="1"/>
  <c r="H140" i="10"/>
  <c r="I140" i="10" s="1"/>
  <c r="F140" i="10"/>
  <c r="G140" i="10" s="1"/>
  <c r="V140" i="10" s="1"/>
  <c r="D140" i="10"/>
  <c r="E140" i="10" s="1"/>
  <c r="U139" i="10"/>
  <c r="S139" i="10"/>
  <c r="T139" i="10" s="1"/>
  <c r="Q139" i="10"/>
  <c r="N139" i="10"/>
  <c r="O139" i="10" s="1"/>
  <c r="L139" i="10"/>
  <c r="M139" i="10" s="1"/>
  <c r="J139" i="10"/>
  <c r="K139" i="10" s="1"/>
  <c r="H139" i="10"/>
  <c r="I139" i="10" s="1"/>
  <c r="F139" i="10"/>
  <c r="G139" i="10" s="1"/>
  <c r="V139" i="10" s="1"/>
  <c r="D139" i="10"/>
  <c r="U138" i="10"/>
  <c r="S138" i="10"/>
  <c r="T138" i="10" s="1"/>
  <c r="Q138" i="10"/>
  <c r="N138" i="10"/>
  <c r="O138" i="10" s="1"/>
  <c r="L138" i="10"/>
  <c r="M138" i="10" s="1"/>
  <c r="J138" i="10"/>
  <c r="K138" i="10" s="1"/>
  <c r="H138" i="10"/>
  <c r="I138" i="10" s="1"/>
  <c r="F138" i="10"/>
  <c r="G138" i="10" s="1"/>
  <c r="V138" i="10" s="1"/>
  <c r="D138" i="10"/>
  <c r="E138" i="10" s="1"/>
  <c r="U137" i="10"/>
  <c r="S137" i="10"/>
  <c r="T137" i="10" s="1"/>
  <c r="Q137" i="10"/>
  <c r="N137" i="10"/>
  <c r="O137" i="10" s="1"/>
  <c r="L137" i="10"/>
  <c r="M137" i="10" s="1"/>
  <c r="J137" i="10"/>
  <c r="K137" i="10" s="1"/>
  <c r="H137" i="10"/>
  <c r="I137" i="10" s="1"/>
  <c r="F137" i="10"/>
  <c r="G137" i="10" s="1"/>
  <c r="V137" i="10" s="1"/>
  <c r="D137" i="10"/>
  <c r="U136" i="10"/>
  <c r="S136" i="10"/>
  <c r="T136" i="10" s="1"/>
  <c r="Q136" i="10"/>
  <c r="N136" i="10"/>
  <c r="O136" i="10" s="1"/>
  <c r="L136" i="10"/>
  <c r="M136" i="10" s="1"/>
  <c r="J136" i="10"/>
  <c r="K136" i="10" s="1"/>
  <c r="H136" i="10"/>
  <c r="I136" i="10" s="1"/>
  <c r="F136" i="10"/>
  <c r="G136" i="10" s="1"/>
  <c r="V136" i="10" s="1"/>
  <c r="D136" i="10"/>
  <c r="E136" i="10" s="1"/>
  <c r="U135" i="10"/>
  <c r="S135" i="10"/>
  <c r="T135" i="10" s="1"/>
  <c r="Q135" i="10"/>
  <c r="N135" i="10"/>
  <c r="O135" i="10" s="1"/>
  <c r="L135" i="10"/>
  <c r="M135" i="10" s="1"/>
  <c r="J135" i="10"/>
  <c r="K135" i="10" s="1"/>
  <c r="H135" i="10"/>
  <c r="I135" i="10" s="1"/>
  <c r="F135" i="10"/>
  <c r="G135" i="10" s="1"/>
  <c r="V135" i="10" s="1"/>
  <c r="D135" i="10"/>
  <c r="U134" i="10"/>
  <c r="S134" i="10"/>
  <c r="T134" i="10" s="1"/>
  <c r="Q134" i="10"/>
  <c r="N134" i="10"/>
  <c r="O134" i="10" s="1"/>
  <c r="L134" i="10"/>
  <c r="M134" i="10" s="1"/>
  <c r="J134" i="10"/>
  <c r="K134" i="10" s="1"/>
  <c r="H134" i="10"/>
  <c r="I134" i="10" s="1"/>
  <c r="F134" i="10"/>
  <c r="G134" i="10" s="1"/>
  <c r="V134" i="10" s="1"/>
  <c r="D134" i="10"/>
  <c r="U133" i="10"/>
  <c r="S133" i="10"/>
  <c r="T133" i="10" s="1"/>
  <c r="Q133" i="10"/>
  <c r="N133" i="10"/>
  <c r="O133" i="10" s="1"/>
  <c r="L133" i="10"/>
  <c r="M133" i="10" s="1"/>
  <c r="J133" i="10"/>
  <c r="K133" i="10" s="1"/>
  <c r="H133" i="10"/>
  <c r="I133" i="10" s="1"/>
  <c r="F133" i="10"/>
  <c r="G133" i="10" s="1"/>
  <c r="V133" i="10" s="1"/>
  <c r="D133" i="10"/>
  <c r="E133" i="10" s="1"/>
  <c r="U132" i="10"/>
  <c r="S132" i="10"/>
  <c r="T132" i="10" s="1"/>
  <c r="Q132" i="10"/>
  <c r="N132" i="10"/>
  <c r="O132" i="10" s="1"/>
  <c r="L132" i="10"/>
  <c r="M132" i="10" s="1"/>
  <c r="J132" i="10"/>
  <c r="K132" i="10" s="1"/>
  <c r="H132" i="10"/>
  <c r="I132" i="10" s="1"/>
  <c r="F132" i="10"/>
  <c r="G132" i="10" s="1"/>
  <c r="V132" i="10" s="1"/>
  <c r="D132" i="10"/>
  <c r="E132" i="10" s="1"/>
  <c r="U131" i="10"/>
  <c r="S131" i="10"/>
  <c r="T131" i="10" s="1"/>
  <c r="Q131" i="10"/>
  <c r="N131" i="10"/>
  <c r="O131" i="10" s="1"/>
  <c r="L131" i="10"/>
  <c r="M131" i="10" s="1"/>
  <c r="J131" i="10"/>
  <c r="K131" i="10" s="1"/>
  <c r="H131" i="10"/>
  <c r="I131" i="10" s="1"/>
  <c r="F131" i="10"/>
  <c r="G131" i="10" s="1"/>
  <c r="V131" i="10" s="1"/>
  <c r="D131" i="10"/>
  <c r="U130" i="10"/>
  <c r="S130" i="10"/>
  <c r="T130" i="10" s="1"/>
  <c r="Q130" i="10"/>
  <c r="N130" i="10"/>
  <c r="O130" i="10" s="1"/>
  <c r="L130" i="10"/>
  <c r="M130" i="10" s="1"/>
  <c r="J130" i="10"/>
  <c r="K130" i="10" s="1"/>
  <c r="H130" i="10"/>
  <c r="I130" i="10" s="1"/>
  <c r="F130" i="10"/>
  <c r="G130" i="10" s="1"/>
  <c r="V130" i="10" s="1"/>
  <c r="D130" i="10"/>
  <c r="U129" i="10"/>
  <c r="S129" i="10"/>
  <c r="T129" i="10" s="1"/>
  <c r="Q129" i="10"/>
  <c r="N129" i="10"/>
  <c r="O129" i="10" s="1"/>
  <c r="L129" i="10"/>
  <c r="M129" i="10" s="1"/>
  <c r="J129" i="10"/>
  <c r="K129" i="10" s="1"/>
  <c r="H129" i="10"/>
  <c r="I129" i="10" s="1"/>
  <c r="F129" i="10"/>
  <c r="D129" i="10"/>
  <c r="E129" i="10" s="1"/>
  <c r="U128" i="10"/>
  <c r="S128" i="10"/>
  <c r="T128" i="10" s="1"/>
  <c r="Q128" i="10"/>
  <c r="N128" i="10"/>
  <c r="O128" i="10" s="1"/>
  <c r="L128" i="10"/>
  <c r="M128" i="10" s="1"/>
  <c r="J128" i="10"/>
  <c r="K128" i="10" s="1"/>
  <c r="H128" i="10"/>
  <c r="I128" i="10" s="1"/>
  <c r="F128" i="10"/>
  <c r="G128" i="10" s="1"/>
  <c r="V128" i="10" s="1"/>
  <c r="D128" i="10"/>
  <c r="E128" i="10" s="1"/>
  <c r="U127" i="10"/>
  <c r="S127" i="10"/>
  <c r="T127" i="10" s="1"/>
  <c r="Q127" i="10"/>
  <c r="N127" i="10"/>
  <c r="O127" i="10" s="1"/>
  <c r="L127" i="10"/>
  <c r="M127" i="10" s="1"/>
  <c r="J127" i="10"/>
  <c r="K127" i="10" s="1"/>
  <c r="H127" i="10"/>
  <c r="I127" i="10" s="1"/>
  <c r="F127" i="10"/>
  <c r="G127" i="10" s="1"/>
  <c r="V127" i="10" s="1"/>
  <c r="D127" i="10"/>
  <c r="U126" i="10"/>
  <c r="S126" i="10"/>
  <c r="T126" i="10" s="1"/>
  <c r="Q126" i="10"/>
  <c r="N126" i="10"/>
  <c r="O126" i="10" s="1"/>
  <c r="L126" i="10"/>
  <c r="M126" i="10" s="1"/>
  <c r="J126" i="10"/>
  <c r="K126" i="10" s="1"/>
  <c r="H126" i="10"/>
  <c r="I126" i="10" s="1"/>
  <c r="F126" i="10"/>
  <c r="G126" i="10" s="1"/>
  <c r="V126" i="10" s="1"/>
  <c r="D126" i="10"/>
  <c r="U125" i="10"/>
  <c r="S125" i="10"/>
  <c r="T125" i="10" s="1"/>
  <c r="Q125" i="10"/>
  <c r="N125" i="10"/>
  <c r="O125" i="10" s="1"/>
  <c r="L125" i="10"/>
  <c r="M125" i="10" s="1"/>
  <c r="J125" i="10"/>
  <c r="K125" i="10" s="1"/>
  <c r="H125" i="10"/>
  <c r="I125" i="10" s="1"/>
  <c r="F125" i="10"/>
  <c r="D125" i="10"/>
  <c r="E125" i="10" s="1"/>
  <c r="U124" i="10"/>
  <c r="S124" i="10"/>
  <c r="T124" i="10" s="1"/>
  <c r="Q124" i="10"/>
  <c r="N124" i="10"/>
  <c r="O124" i="10" s="1"/>
  <c r="L124" i="10"/>
  <c r="M124" i="10" s="1"/>
  <c r="J124" i="10"/>
  <c r="K124" i="10" s="1"/>
  <c r="H124" i="10"/>
  <c r="I124" i="10" s="1"/>
  <c r="F124" i="10"/>
  <c r="G124" i="10" s="1"/>
  <c r="V124" i="10" s="1"/>
  <c r="D124" i="10"/>
  <c r="E124" i="10" s="1"/>
  <c r="U123" i="10"/>
  <c r="S123" i="10"/>
  <c r="T123" i="10" s="1"/>
  <c r="Q123" i="10"/>
  <c r="N123" i="10"/>
  <c r="O123" i="10" s="1"/>
  <c r="L123" i="10"/>
  <c r="M123" i="10" s="1"/>
  <c r="J123" i="10"/>
  <c r="K123" i="10" s="1"/>
  <c r="H123" i="10"/>
  <c r="I123" i="10" s="1"/>
  <c r="F123" i="10"/>
  <c r="G123" i="10" s="1"/>
  <c r="V123" i="10" s="1"/>
  <c r="D123" i="10"/>
  <c r="U122" i="10"/>
  <c r="S122" i="10"/>
  <c r="T122" i="10" s="1"/>
  <c r="Q122" i="10"/>
  <c r="N122" i="10"/>
  <c r="O122" i="10" s="1"/>
  <c r="L122" i="10"/>
  <c r="M122" i="10" s="1"/>
  <c r="J122" i="10"/>
  <c r="K122" i="10" s="1"/>
  <c r="H122" i="10"/>
  <c r="I122" i="10" s="1"/>
  <c r="F122" i="10"/>
  <c r="G122" i="10" s="1"/>
  <c r="V122" i="10" s="1"/>
  <c r="D122" i="10"/>
  <c r="U121" i="10"/>
  <c r="S121" i="10"/>
  <c r="T121" i="10" s="1"/>
  <c r="Q121" i="10"/>
  <c r="N121" i="10"/>
  <c r="O121" i="10" s="1"/>
  <c r="L121" i="10"/>
  <c r="M121" i="10" s="1"/>
  <c r="J121" i="10"/>
  <c r="K121" i="10" s="1"/>
  <c r="H121" i="10"/>
  <c r="I121" i="10" s="1"/>
  <c r="F121" i="10"/>
  <c r="D121" i="10"/>
  <c r="E121" i="10" s="1"/>
  <c r="U120" i="10"/>
  <c r="S120" i="10"/>
  <c r="T120" i="10" s="1"/>
  <c r="Q120" i="10"/>
  <c r="N120" i="10"/>
  <c r="O120" i="10" s="1"/>
  <c r="L120" i="10"/>
  <c r="M120" i="10" s="1"/>
  <c r="J120" i="10"/>
  <c r="K120" i="10" s="1"/>
  <c r="H120" i="10"/>
  <c r="I120" i="10" s="1"/>
  <c r="F120" i="10"/>
  <c r="G120" i="10" s="1"/>
  <c r="V120" i="10" s="1"/>
  <c r="D120" i="10"/>
  <c r="E120" i="10" s="1"/>
  <c r="U119" i="10"/>
  <c r="S119" i="10"/>
  <c r="T119" i="10" s="1"/>
  <c r="Q119" i="10"/>
  <c r="N119" i="10"/>
  <c r="O119" i="10" s="1"/>
  <c r="L119" i="10"/>
  <c r="M119" i="10" s="1"/>
  <c r="J119" i="10"/>
  <c r="K119" i="10" s="1"/>
  <c r="H119" i="10"/>
  <c r="I119" i="10" s="1"/>
  <c r="F119" i="10"/>
  <c r="G119" i="10" s="1"/>
  <c r="V119" i="10" s="1"/>
  <c r="D119" i="10"/>
  <c r="U118" i="10"/>
  <c r="S118" i="10"/>
  <c r="T118" i="10" s="1"/>
  <c r="Q118" i="10"/>
  <c r="N118" i="10"/>
  <c r="O118" i="10" s="1"/>
  <c r="L118" i="10"/>
  <c r="M118" i="10" s="1"/>
  <c r="J118" i="10"/>
  <c r="K118" i="10" s="1"/>
  <c r="H118" i="10"/>
  <c r="I118" i="10" s="1"/>
  <c r="F118" i="10"/>
  <c r="G118" i="10" s="1"/>
  <c r="V118" i="10" s="1"/>
  <c r="D118" i="10"/>
  <c r="E118" i="10" s="1"/>
  <c r="U117" i="10"/>
  <c r="S117" i="10"/>
  <c r="T117" i="10" s="1"/>
  <c r="Q117" i="10"/>
  <c r="N117" i="10"/>
  <c r="O117" i="10" s="1"/>
  <c r="L117" i="10"/>
  <c r="M117" i="10" s="1"/>
  <c r="J117" i="10"/>
  <c r="K117" i="10" s="1"/>
  <c r="H117" i="10"/>
  <c r="I117" i="10" s="1"/>
  <c r="F117" i="10"/>
  <c r="G117" i="10" s="1"/>
  <c r="V117" i="10" s="1"/>
  <c r="D117" i="10"/>
  <c r="E117" i="10" s="1"/>
  <c r="U116" i="10"/>
  <c r="S116" i="10"/>
  <c r="T116" i="10" s="1"/>
  <c r="Q116" i="10"/>
  <c r="N116" i="10"/>
  <c r="O116" i="10" s="1"/>
  <c r="L116" i="10"/>
  <c r="M116" i="10" s="1"/>
  <c r="J116" i="10"/>
  <c r="K116" i="10" s="1"/>
  <c r="H116" i="10"/>
  <c r="I116" i="10" s="1"/>
  <c r="F116" i="10"/>
  <c r="G116" i="10" s="1"/>
  <c r="V116" i="10" s="1"/>
  <c r="D116" i="10"/>
  <c r="E116" i="10" s="1"/>
  <c r="U115" i="10"/>
  <c r="S115" i="10"/>
  <c r="T115" i="10" s="1"/>
  <c r="Q115" i="10"/>
  <c r="N115" i="10"/>
  <c r="O115" i="10" s="1"/>
  <c r="L115" i="10"/>
  <c r="M115" i="10" s="1"/>
  <c r="J115" i="10"/>
  <c r="K115" i="10" s="1"/>
  <c r="H115" i="10"/>
  <c r="I115" i="10" s="1"/>
  <c r="F115" i="10"/>
  <c r="G115" i="10" s="1"/>
  <c r="V115" i="10" s="1"/>
  <c r="D115" i="10"/>
  <c r="U114" i="10"/>
  <c r="S114" i="10"/>
  <c r="T114" i="10" s="1"/>
  <c r="Q114" i="10"/>
  <c r="N114" i="10"/>
  <c r="O114" i="10" s="1"/>
  <c r="L114" i="10"/>
  <c r="M114" i="10" s="1"/>
  <c r="J114" i="10"/>
  <c r="K114" i="10" s="1"/>
  <c r="H114" i="10"/>
  <c r="I114" i="10" s="1"/>
  <c r="F114" i="10"/>
  <c r="G114" i="10" s="1"/>
  <c r="V114" i="10" s="1"/>
  <c r="D114" i="10"/>
  <c r="U113" i="10"/>
  <c r="S113" i="10"/>
  <c r="T113" i="10" s="1"/>
  <c r="Q113" i="10"/>
  <c r="N113" i="10"/>
  <c r="O113" i="10" s="1"/>
  <c r="L113" i="10"/>
  <c r="M113" i="10" s="1"/>
  <c r="J113" i="10"/>
  <c r="K113" i="10" s="1"/>
  <c r="H113" i="10"/>
  <c r="I113" i="10" s="1"/>
  <c r="F113" i="10"/>
  <c r="D113" i="10"/>
  <c r="E113" i="10" s="1"/>
  <c r="U112" i="10"/>
  <c r="S112" i="10"/>
  <c r="T112" i="10" s="1"/>
  <c r="Q112" i="10"/>
  <c r="N112" i="10"/>
  <c r="O112" i="10" s="1"/>
  <c r="L112" i="10"/>
  <c r="M112" i="10" s="1"/>
  <c r="J112" i="10"/>
  <c r="K112" i="10" s="1"/>
  <c r="H112" i="10"/>
  <c r="I112" i="10" s="1"/>
  <c r="F112" i="10"/>
  <c r="G112" i="10" s="1"/>
  <c r="V112" i="10" s="1"/>
  <c r="D112" i="10"/>
  <c r="E112" i="10" s="1"/>
  <c r="U111" i="10"/>
  <c r="S111" i="10"/>
  <c r="T111" i="10" s="1"/>
  <c r="Q111" i="10"/>
  <c r="N111" i="10"/>
  <c r="O111" i="10" s="1"/>
  <c r="L111" i="10"/>
  <c r="M111" i="10" s="1"/>
  <c r="J111" i="10"/>
  <c r="K111" i="10" s="1"/>
  <c r="H111" i="10"/>
  <c r="I111" i="10" s="1"/>
  <c r="F111" i="10"/>
  <c r="G111" i="10" s="1"/>
  <c r="V111" i="10" s="1"/>
  <c r="D111" i="10"/>
  <c r="U110" i="10"/>
  <c r="S110" i="10"/>
  <c r="T110" i="10" s="1"/>
  <c r="Q110" i="10"/>
  <c r="N110" i="10"/>
  <c r="O110" i="10" s="1"/>
  <c r="L110" i="10"/>
  <c r="M110" i="10" s="1"/>
  <c r="J110" i="10"/>
  <c r="K110" i="10" s="1"/>
  <c r="H110" i="10"/>
  <c r="I110" i="10" s="1"/>
  <c r="F110" i="10"/>
  <c r="G110" i="10" s="1"/>
  <c r="V110" i="10" s="1"/>
  <c r="D110" i="10"/>
  <c r="E110" i="10" s="1"/>
  <c r="U109" i="10"/>
  <c r="S109" i="10"/>
  <c r="T109" i="10" s="1"/>
  <c r="Q109" i="10"/>
  <c r="N109" i="10"/>
  <c r="O109" i="10" s="1"/>
  <c r="L109" i="10"/>
  <c r="M109" i="10" s="1"/>
  <c r="J109" i="10"/>
  <c r="K109" i="10" s="1"/>
  <c r="H109" i="10"/>
  <c r="I109" i="10" s="1"/>
  <c r="F109" i="10"/>
  <c r="G109" i="10" s="1"/>
  <c r="V109" i="10" s="1"/>
  <c r="D109" i="10"/>
  <c r="E109" i="10" s="1"/>
  <c r="U108" i="10"/>
  <c r="S108" i="10"/>
  <c r="T108" i="10" s="1"/>
  <c r="Q108" i="10"/>
  <c r="N108" i="10"/>
  <c r="O108" i="10" s="1"/>
  <c r="L108" i="10"/>
  <c r="M108" i="10" s="1"/>
  <c r="J108" i="10"/>
  <c r="K108" i="10" s="1"/>
  <c r="H108" i="10"/>
  <c r="I108" i="10" s="1"/>
  <c r="F108" i="10"/>
  <c r="G108" i="10" s="1"/>
  <c r="V108" i="10" s="1"/>
  <c r="D108" i="10"/>
  <c r="E108" i="10" s="1"/>
  <c r="U107" i="10"/>
  <c r="S107" i="10"/>
  <c r="T107" i="10" s="1"/>
  <c r="Q107" i="10"/>
  <c r="N107" i="10"/>
  <c r="O107" i="10" s="1"/>
  <c r="L107" i="10"/>
  <c r="M107" i="10" s="1"/>
  <c r="J107" i="10"/>
  <c r="K107" i="10" s="1"/>
  <c r="H107" i="10"/>
  <c r="I107" i="10" s="1"/>
  <c r="F107" i="10"/>
  <c r="G107" i="10" s="1"/>
  <c r="V107" i="10" s="1"/>
  <c r="D107" i="10"/>
  <c r="E107" i="10" s="1"/>
  <c r="U106" i="10"/>
  <c r="S106" i="10"/>
  <c r="T106" i="10" s="1"/>
  <c r="Q106" i="10"/>
  <c r="N106" i="10"/>
  <c r="O106" i="10" s="1"/>
  <c r="L106" i="10"/>
  <c r="M106" i="10" s="1"/>
  <c r="J106" i="10"/>
  <c r="K106" i="10" s="1"/>
  <c r="H106" i="10"/>
  <c r="I106" i="10" s="1"/>
  <c r="F106" i="10"/>
  <c r="G106" i="10" s="1"/>
  <c r="V106" i="10" s="1"/>
  <c r="D106" i="10"/>
  <c r="E106" i="10" s="1"/>
  <c r="U105" i="10"/>
  <c r="S105" i="10"/>
  <c r="T105" i="10" s="1"/>
  <c r="Q105" i="10"/>
  <c r="N105" i="10"/>
  <c r="O105" i="10" s="1"/>
  <c r="L105" i="10"/>
  <c r="M105" i="10" s="1"/>
  <c r="J105" i="10"/>
  <c r="K105" i="10" s="1"/>
  <c r="H105" i="10"/>
  <c r="I105" i="10" s="1"/>
  <c r="F105" i="10"/>
  <c r="G105" i="10" s="1"/>
  <c r="V105" i="10" s="1"/>
  <c r="D105" i="10"/>
  <c r="E105" i="10" s="1"/>
  <c r="U104" i="10"/>
  <c r="S104" i="10"/>
  <c r="T104" i="10" s="1"/>
  <c r="Q104" i="10"/>
  <c r="N104" i="10"/>
  <c r="O104" i="10" s="1"/>
  <c r="L104" i="10"/>
  <c r="M104" i="10" s="1"/>
  <c r="J104" i="10"/>
  <c r="K104" i="10" s="1"/>
  <c r="H104" i="10"/>
  <c r="I104" i="10" s="1"/>
  <c r="F104" i="10"/>
  <c r="D104" i="10"/>
  <c r="E104" i="10" s="1"/>
  <c r="U103" i="10"/>
  <c r="S103" i="10"/>
  <c r="T103" i="10" s="1"/>
  <c r="Q103" i="10"/>
  <c r="N103" i="10"/>
  <c r="O103" i="10" s="1"/>
  <c r="L103" i="10"/>
  <c r="M103" i="10" s="1"/>
  <c r="J103" i="10"/>
  <c r="K103" i="10" s="1"/>
  <c r="H103" i="10"/>
  <c r="I103" i="10" s="1"/>
  <c r="F103" i="10"/>
  <c r="G103" i="10" s="1"/>
  <c r="V103" i="10" s="1"/>
  <c r="D103" i="10"/>
  <c r="U102" i="10"/>
  <c r="S102" i="10"/>
  <c r="T102" i="10" s="1"/>
  <c r="Q102" i="10"/>
  <c r="N102" i="10"/>
  <c r="O102" i="10" s="1"/>
  <c r="L102" i="10"/>
  <c r="M102" i="10" s="1"/>
  <c r="J102" i="10"/>
  <c r="K102" i="10" s="1"/>
  <c r="H102" i="10"/>
  <c r="I102" i="10" s="1"/>
  <c r="F102" i="10"/>
  <c r="G102" i="10" s="1"/>
  <c r="V102" i="10" s="1"/>
  <c r="D102" i="10"/>
  <c r="U101" i="10"/>
  <c r="S101" i="10"/>
  <c r="T101" i="10" s="1"/>
  <c r="Q101" i="10"/>
  <c r="N101" i="10"/>
  <c r="O101" i="10" s="1"/>
  <c r="L101" i="10"/>
  <c r="M101" i="10" s="1"/>
  <c r="J101" i="10"/>
  <c r="K101" i="10" s="1"/>
  <c r="H101" i="10"/>
  <c r="I101" i="10" s="1"/>
  <c r="F101" i="10"/>
  <c r="G101" i="10" s="1"/>
  <c r="V101" i="10" s="1"/>
  <c r="D101" i="10"/>
  <c r="E101" i="10" s="1"/>
  <c r="U100" i="10"/>
  <c r="S100" i="10"/>
  <c r="T100" i="10" s="1"/>
  <c r="Q100" i="10"/>
  <c r="N100" i="10"/>
  <c r="O100" i="10" s="1"/>
  <c r="L100" i="10"/>
  <c r="M100" i="10" s="1"/>
  <c r="J100" i="10"/>
  <c r="K100" i="10" s="1"/>
  <c r="H100" i="10"/>
  <c r="I100" i="10" s="1"/>
  <c r="F100" i="10"/>
  <c r="D100" i="10"/>
  <c r="E100" i="10" s="1"/>
  <c r="U99" i="10"/>
  <c r="S99" i="10"/>
  <c r="T99" i="10" s="1"/>
  <c r="Q99" i="10"/>
  <c r="N99" i="10"/>
  <c r="O99" i="10" s="1"/>
  <c r="L99" i="10"/>
  <c r="M99" i="10" s="1"/>
  <c r="J99" i="10"/>
  <c r="K99" i="10" s="1"/>
  <c r="H99" i="10"/>
  <c r="I99" i="10" s="1"/>
  <c r="F99" i="10"/>
  <c r="G99" i="10" s="1"/>
  <c r="V99" i="10" s="1"/>
  <c r="D99" i="10"/>
  <c r="U98" i="10"/>
  <c r="S98" i="10"/>
  <c r="T98" i="10" s="1"/>
  <c r="Q98" i="10"/>
  <c r="N98" i="10"/>
  <c r="O98" i="10" s="1"/>
  <c r="L98" i="10"/>
  <c r="M98" i="10" s="1"/>
  <c r="J98" i="10"/>
  <c r="K98" i="10" s="1"/>
  <c r="H98" i="10"/>
  <c r="I98" i="10" s="1"/>
  <c r="F98" i="10"/>
  <c r="G98" i="10" s="1"/>
  <c r="V98" i="10" s="1"/>
  <c r="D98" i="10"/>
  <c r="U97" i="10"/>
  <c r="S97" i="10"/>
  <c r="T97" i="10" s="1"/>
  <c r="Q97" i="10"/>
  <c r="N97" i="10"/>
  <c r="O97" i="10" s="1"/>
  <c r="L97" i="10"/>
  <c r="M97" i="10" s="1"/>
  <c r="J97" i="10"/>
  <c r="K97" i="10" s="1"/>
  <c r="H97" i="10"/>
  <c r="I97" i="10" s="1"/>
  <c r="F97" i="10"/>
  <c r="G97" i="10" s="1"/>
  <c r="V97" i="10" s="1"/>
  <c r="D97" i="10"/>
  <c r="E97" i="10" s="1"/>
  <c r="U96" i="10"/>
  <c r="S96" i="10"/>
  <c r="T96" i="10" s="1"/>
  <c r="Q96" i="10"/>
  <c r="N96" i="10"/>
  <c r="O96" i="10" s="1"/>
  <c r="L96" i="10"/>
  <c r="M96" i="10" s="1"/>
  <c r="J96" i="10"/>
  <c r="K96" i="10" s="1"/>
  <c r="H96" i="10"/>
  <c r="I96" i="10" s="1"/>
  <c r="F96" i="10"/>
  <c r="D96" i="10"/>
  <c r="E96" i="10" s="1"/>
  <c r="U95" i="10"/>
  <c r="S95" i="10"/>
  <c r="T95" i="10" s="1"/>
  <c r="Q95" i="10"/>
  <c r="N95" i="10"/>
  <c r="O95" i="10" s="1"/>
  <c r="L95" i="10"/>
  <c r="M95" i="10" s="1"/>
  <c r="J95" i="10"/>
  <c r="K95" i="10" s="1"/>
  <c r="H95" i="10"/>
  <c r="I95" i="10" s="1"/>
  <c r="F95" i="10"/>
  <c r="G95" i="10" s="1"/>
  <c r="V95" i="10" s="1"/>
  <c r="D95" i="10"/>
  <c r="U94" i="10"/>
  <c r="S94" i="10"/>
  <c r="T94" i="10" s="1"/>
  <c r="Q94" i="10"/>
  <c r="N94" i="10"/>
  <c r="O94" i="10" s="1"/>
  <c r="L94" i="10"/>
  <c r="M94" i="10" s="1"/>
  <c r="J94" i="10"/>
  <c r="K94" i="10" s="1"/>
  <c r="H94" i="10"/>
  <c r="I94" i="10" s="1"/>
  <c r="F94" i="10"/>
  <c r="G94" i="10" s="1"/>
  <c r="V94" i="10" s="1"/>
  <c r="D94" i="10"/>
  <c r="U93" i="10"/>
  <c r="S93" i="10"/>
  <c r="T93" i="10" s="1"/>
  <c r="Q93" i="10"/>
  <c r="N93" i="10"/>
  <c r="O93" i="10" s="1"/>
  <c r="L93" i="10"/>
  <c r="M93" i="10" s="1"/>
  <c r="J93" i="10"/>
  <c r="K93" i="10" s="1"/>
  <c r="H93" i="10"/>
  <c r="I93" i="10" s="1"/>
  <c r="F93" i="10"/>
  <c r="G93" i="10" s="1"/>
  <c r="V93" i="10" s="1"/>
  <c r="D93" i="10"/>
  <c r="E93" i="10" s="1"/>
  <c r="U92" i="10"/>
  <c r="S92" i="10"/>
  <c r="T92" i="10" s="1"/>
  <c r="Q92" i="10"/>
  <c r="N92" i="10"/>
  <c r="O92" i="10" s="1"/>
  <c r="L92" i="10"/>
  <c r="M92" i="10" s="1"/>
  <c r="J92" i="10"/>
  <c r="K92" i="10" s="1"/>
  <c r="H92" i="10"/>
  <c r="I92" i="10" s="1"/>
  <c r="F92" i="10"/>
  <c r="D92" i="10"/>
  <c r="E92" i="10" s="1"/>
  <c r="U91" i="10"/>
  <c r="S91" i="10"/>
  <c r="T91" i="10" s="1"/>
  <c r="Q91" i="10"/>
  <c r="N91" i="10"/>
  <c r="O91" i="10" s="1"/>
  <c r="L91" i="10"/>
  <c r="M91" i="10" s="1"/>
  <c r="J91" i="10"/>
  <c r="K91" i="10" s="1"/>
  <c r="H91" i="10"/>
  <c r="I91" i="10" s="1"/>
  <c r="F91" i="10"/>
  <c r="G91" i="10" s="1"/>
  <c r="V91" i="10" s="1"/>
  <c r="D91" i="10"/>
  <c r="U90" i="10"/>
  <c r="S90" i="10"/>
  <c r="T90" i="10" s="1"/>
  <c r="Q90" i="10"/>
  <c r="N90" i="10"/>
  <c r="O90" i="10" s="1"/>
  <c r="L90" i="10"/>
  <c r="M90" i="10" s="1"/>
  <c r="J90" i="10"/>
  <c r="K90" i="10" s="1"/>
  <c r="H90" i="10"/>
  <c r="I90" i="10" s="1"/>
  <c r="F90" i="10"/>
  <c r="G90" i="10" s="1"/>
  <c r="V90" i="10" s="1"/>
  <c r="D90" i="10"/>
  <c r="E90" i="10" s="1"/>
  <c r="U89" i="10"/>
  <c r="S89" i="10"/>
  <c r="T89" i="10" s="1"/>
  <c r="Q89" i="10"/>
  <c r="N89" i="10"/>
  <c r="O89" i="10" s="1"/>
  <c r="L89" i="10"/>
  <c r="M89" i="10" s="1"/>
  <c r="J89" i="10"/>
  <c r="K89" i="10" s="1"/>
  <c r="H89" i="10"/>
  <c r="I89" i="10" s="1"/>
  <c r="F89" i="10"/>
  <c r="G89" i="10" s="1"/>
  <c r="V89" i="10" s="1"/>
  <c r="D89" i="10"/>
  <c r="E89" i="10" s="1"/>
  <c r="U88" i="10"/>
  <c r="S88" i="10"/>
  <c r="T88" i="10" s="1"/>
  <c r="Q88" i="10"/>
  <c r="N88" i="10"/>
  <c r="O88" i="10" s="1"/>
  <c r="L88" i="10"/>
  <c r="M88" i="10" s="1"/>
  <c r="J88" i="10"/>
  <c r="K88" i="10" s="1"/>
  <c r="H88" i="10"/>
  <c r="I88" i="10" s="1"/>
  <c r="F88" i="10"/>
  <c r="D88" i="10"/>
  <c r="E88" i="10" s="1"/>
  <c r="U87" i="10"/>
  <c r="S87" i="10"/>
  <c r="T87" i="10" s="1"/>
  <c r="Q87" i="10"/>
  <c r="N87" i="10"/>
  <c r="O87" i="10" s="1"/>
  <c r="L87" i="10"/>
  <c r="M87" i="10" s="1"/>
  <c r="J87" i="10"/>
  <c r="K87" i="10" s="1"/>
  <c r="H87" i="10"/>
  <c r="I87" i="10" s="1"/>
  <c r="F87" i="10"/>
  <c r="G87" i="10" s="1"/>
  <c r="V87" i="10" s="1"/>
  <c r="D87" i="10"/>
  <c r="U86" i="10"/>
  <c r="S86" i="10"/>
  <c r="T86" i="10" s="1"/>
  <c r="Q86" i="10"/>
  <c r="N86" i="10"/>
  <c r="O86" i="10" s="1"/>
  <c r="L86" i="10"/>
  <c r="M86" i="10" s="1"/>
  <c r="J86" i="10"/>
  <c r="K86" i="10" s="1"/>
  <c r="H86" i="10"/>
  <c r="I86" i="10" s="1"/>
  <c r="F86" i="10"/>
  <c r="D86" i="10"/>
  <c r="E86" i="10" s="1"/>
  <c r="U85" i="10"/>
  <c r="S85" i="10"/>
  <c r="T85" i="10" s="1"/>
  <c r="Q85" i="10"/>
  <c r="N85" i="10"/>
  <c r="O85" i="10" s="1"/>
  <c r="L85" i="10"/>
  <c r="M85" i="10" s="1"/>
  <c r="J85" i="10"/>
  <c r="K85" i="10" s="1"/>
  <c r="H85" i="10"/>
  <c r="I85" i="10" s="1"/>
  <c r="F85" i="10"/>
  <c r="G85" i="10" s="1"/>
  <c r="V85" i="10" s="1"/>
  <c r="D85" i="10"/>
  <c r="E85" i="10" s="1"/>
  <c r="U84" i="10"/>
  <c r="S84" i="10"/>
  <c r="T84" i="10" s="1"/>
  <c r="Q84" i="10"/>
  <c r="N84" i="10"/>
  <c r="O84" i="10" s="1"/>
  <c r="L84" i="10"/>
  <c r="M84" i="10" s="1"/>
  <c r="J84" i="10"/>
  <c r="K84" i="10" s="1"/>
  <c r="H84" i="10"/>
  <c r="I84" i="10" s="1"/>
  <c r="F84" i="10"/>
  <c r="G84" i="10" s="1"/>
  <c r="V84" i="10" s="1"/>
  <c r="D84" i="10"/>
  <c r="U83" i="10"/>
  <c r="S83" i="10"/>
  <c r="T83" i="10" s="1"/>
  <c r="Q83" i="10"/>
  <c r="N83" i="10"/>
  <c r="O83" i="10" s="1"/>
  <c r="L83" i="10"/>
  <c r="M83" i="10" s="1"/>
  <c r="J83" i="10"/>
  <c r="K83" i="10" s="1"/>
  <c r="H83" i="10"/>
  <c r="I83" i="10" s="1"/>
  <c r="F83" i="10"/>
  <c r="G83" i="10" s="1"/>
  <c r="V83" i="10" s="1"/>
  <c r="D83" i="10"/>
  <c r="U82" i="10"/>
  <c r="S82" i="10"/>
  <c r="T82" i="10" s="1"/>
  <c r="Q82" i="10"/>
  <c r="N82" i="10"/>
  <c r="O82" i="10" s="1"/>
  <c r="L82" i="10"/>
  <c r="M82" i="10" s="1"/>
  <c r="J82" i="10"/>
  <c r="K82" i="10" s="1"/>
  <c r="H82" i="10"/>
  <c r="I82" i="10" s="1"/>
  <c r="F82" i="10"/>
  <c r="D82" i="10"/>
  <c r="U81" i="10"/>
  <c r="S81" i="10"/>
  <c r="T81" i="10" s="1"/>
  <c r="Q81" i="10"/>
  <c r="N81" i="10"/>
  <c r="O81" i="10" s="1"/>
  <c r="L81" i="10"/>
  <c r="M81" i="10" s="1"/>
  <c r="J81" i="10"/>
  <c r="K81" i="10" s="1"/>
  <c r="H81" i="10"/>
  <c r="I81" i="10" s="1"/>
  <c r="F81" i="10"/>
  <c r="G81" i="10" s="1"/>
  <c r="V81" i="10" s="1"/>
  <c r="D81" i="10"/>
  <c r="E81" i="10" s="1"/>
  <c r="U80" i="10"/>
  <c r="S80" i="10"/>
  <c r="T80" i="10" s="1"/>
  <c r="Q80" i="10"/>
  <c r="N80" i="10"/>
  <c r="O80" i="10" s="1"/>
  <c r="L80" i="10"/>
  <c r="M80" i="10" s="1"/>
  <c r="J80" i="10"/>
  <c r="K80" i="10" s="1"/>
  <c r="H80" i="10"/>
  <c r="I80" i="10" s="1"/>
  <c r="F80" i="10"/>
  <c r="G80" i="10" s="1"/>
  <c r="V80" i="10" s="1"/>
  <c r="D80" i="10"/>
  <c r="U79" i="10"/>
  <c r="S79" i="10"/>
  <c r="T79" i="10" s="1"/>
  <c r="Q79" i="10"/>
  <c r="N79" i="10"/>
  <c r="O79" i="10" s="1"/>
  <c r="L79" i="10"/>
  <c r="M79" i="10" s="1"/>
  <c r="J79" i="10"/>
  <c r="K79" i="10" s="1"/>
  <c r="H79" i="10"/>
  <c r="I79" i="10" s="1"/>
  <c r="F79" i="10"/>
  <c r="G79" i="10" s="1"/>
  <c r="V79" i="10" s="1"/>
  <c r="D79" i="10"/>
  <c r="U78" i="10"/>
  <c r="S78" i="10"/>
  <c r="T78" i="10" s="1"/>
  <c r="Q78" i="10"/>
  <c r="N78" i="10"/>
  <c r="O78" i="10" s="1"/>
  <c r="L78" i="10"/>
  <c r="M78" i="10" s="1"/>
  <c r="J78" i="10"/>
  <c r="K78" i="10" s="1"/>
  <c r="H78" i="10"/>
  <c r="I78" i="10" s="1"/>
  <c r="F78" i="10"/>
  <c r="D78" i="10"/>
  <c r="E78" i="10" s="1"/>
  <c r="U77" i="10"/>
  <c r="S77" i="10"/>
  <c r="T77" i="10" s="1"/>
  <c r="Q77" i="10"/>
  <c r="N77" i="10"/>
  <c r="O77" i="10" s="1"/>
  <c r="L77" i="10"/>
  <c r="M77" i="10" s="1"/>
  <c r="J77" i="10"/>
  <c r="K77" i="10" s="1"/>
  <c r="H77" i="10"/>
  <c r="I77" i="10" s="1"/>
  <c r="F77" i="10"/>
  <c r="G77" i="10" s="1"/>
  <c r="V77" i="10" s="1"/>
  <c r="D77" i="10"/>
  <c r="E77" i="10" s="1"/>
  <c r="U76" i="10"/>
  <c r="S76" i="10"/>
  <c r="T76" i="10" s="1"/>
  <c r="Q76" i="10"/>
  <c r="N76" i="10"/>
  <c r="O76" i="10" s="1"/>
  <c r="L76" i="10"/>
  <c r="M76" i="10" s="1"/>
  <c r="J76" i="10"/>
  <c r="K76" i="10" s="1"/>
  <c r="H76" i="10"/>
  <c r="I76" i="10" s="1"/>
  <c r="F76" i="10"/>
  <c r="G76" i="10" s="1"/>
  <c r="V76" i="10" s="1"/>
  <c r="D76" i="10"/>
  <c r="U75" i="10"/>
  <c r="S75" i="10"/>
  <c r="T75" i="10" s="1"/>
  <c r="Q75" i="10"/>
  <c r="N75" i="10"/>
  <c r="O75" i="10" s="1"/>
  <c r="L75" i="10"/>
  <c r="M75" i="10" s="1"/>
  <c r="J75" i="10"/>
  <c r="K75" i="10" s="1"/>
  <c r="H75" i="10"/>
  <c r="I75" i="10" s="1"/>
  <c r="F75" i="10"/>
  <c r="G75" i="10" s="1"/>
  <c r="V75" i="10" s="1"/>
  <c r="D75" i="10"/>
  <c r="U74" i="10"/>
  <c r="S74" i="10"/>
  <c r="T74" i="10" s="1"/>
  <c r="Q74" i="10"/>
  <c r="R74" i="10" s="1"/>
  <c r="N74" i="10"/>
  <c r="O74" i="10" s="1"/>
  <c r="L74" i="10"/>
  <c r="M74" i="10" s="1"/>
  <c r="J74" i="10"/>
  <c r="K74" i="10" s="1"/>
  <c r="H74" i="10"/>
  <c r="I74" i="10" s="1"/>
  <c r="F74" i="10"/>
  <c r="D74" i="10"/>
  <c r="E74" i="10" s="1"/>
  <c r="U73" i="10"/>
  <c r="S73" i="10"/>
  <c r="T73" i="10" s="1"/>
  <c r="Q73" i="10"/>
  <c r="N73" i="10"/>
  <c r="O73" i="10" s="1"/>
  <c r="L73" i="10"/>
  <c r="M73" i="10" s="1"/>
  <c r="J73" i="10"/>
  <c r="K73" i="10" s="1"/>
  <c r="H73" i="10"/>
  <c r="F73" i="10"/>
  <c r="G73" i="10" s="1"/>
  <c r="V73" i="10" s="1"/>
  <c r="D73" i="10"/>
  <c r="E73" i="10" s="1"/>
  <c r="U72" i="10"/>
  <c r="S72" i="10"/>
  <c r="T72" i="10" s="1"/>
  <c r="Q72" i="10"/>
  <c r="N72" i="10"/>
  <c r="O72" i="10" s="1"/>
  <c r="L72" i="10"/>
  <c r="M72" i="10" s="1"/>
  <c r="J72" i="10"/>
  <c r="K72" i="10" s="1"/>
  <c r="H72" i="10"/>
  <c r="I72" i="10" s="1"/>
  <c r="F72" i="10"/>
  <c r="G72" i="10" s="1"/>
  <c r="V72" i="10" s="1"/>
  <c r="D72" i="10"/>
  <c r="U71" i="10"/>
  <c r="S71" i="10"/>
  <c r="T71" i="10" s="1"/>
  <c r="Q71" i="10"/>
  <c r="N71" i="10"/>
  <c r="O71" i="10" s="1"/>
  <c r="L71" i="10"/>
  <c r="M71" i="10" s="1"/>
  <c r="J71" i="10"/>
  <c r="K71" i="10" s="1"/>
  <c r="H71" i="10"/>
  <c r="I71" i="10" s="1"/>
  <c r="F71" i="10"/>
  <c r="G71" i="10" s="1"/>
  <c r="V71" i="10" s="1"/>
  <c r="D71" i="10"/>
  <c r="U70" i="10"/>
  <c r="S70" i="10"/>
  <c r="T70" i="10" s="1"/>
  <c r="Q70" i="10"/>
  <c r="N70" i="10"/>
  <c r="O70" i="10" s="1"/>
  <c r="L70" i="10"/>
  <c r="M70" i="10" s="1"/>
  <c r="J70" i="10"/>
  <c r="K70" i="10" s="1"/>
  <c r="H70" i="10"/>
  <c r="I70" i="10" s="1"/>
  <c r="F70" i="10"/>
  <c r="D70" i="10"/>
  <c r="E70" i="10" s="1"/>
  <c r="U69" i="10"/>
  <c r="S69" i="10"/>
  <c r="T69" i="10" s="1"/>
  <c r="Q69" i="10"/>
  <c r="N69" i="10"/>
  <c r="O69" i="10" s="1"/>
  <c r="L69" i="10"/>
  <c r="M69" i="10" s="1"/>
  <c r="J69" i="10"/>
  <c r="K69" i="10" s="1"/>
  <c r="H69" i="10"/>
  <c r="F69" i="10"/>
  <c r="G69" i="10" s="1"/>
  <c r="V69" i="10" s="1"/>
  <c r="D69" i="10"/>
  <c r="E69" i="10" s="1"/>
  <c r="U68" i="10"/>
  <c r="S68" i="10"/>
  <c r="T68" i="10" s="1"/>
  <c r="Q68" i="10"/>
  <c r="N68" i="10"/>
  <c r="O68" i="10" s="1"/>
  <c r="L68" i="10"/>
  <c r="M68" i="10" s="1"/>
  <c r="J68" i="10"/>
  <c r="K68" i="10" s="1"/>
  <c r="H68" i="10"/>
  <c r="I68" i="10" s="1"/>
  <c r="F68" i="10"/>
  <c r="G68" i="10" s="1"/>
  <c r="V68" i="10" s="1"/>
  <c r="D68" i="10"/>
  <c r="U67" i="10"/>
  <c r="S67" i="10"/>
  <c r="T67" i="10" s="1"/>
  <c r="Q67" i="10"/>
  <c r="N67" i="10"/>
  <c r="O67" i="10" s="1"/>
  <c r="L67" i="10"/>
  <c r="M67" i="10" s="1"/>
  <c r="J67" i="10"/>
  <c r="K67" i="10" s="1"/>
  <c r="H67" i="10"/>
  <c r="I67" i="10" s="1"/>
  <c r="F67" i="10"/>
  <c r="G67" i="10" s="1"/>
  <c r="V67" i="10" s="1"/>
  <c r="D67" i="10"/>
  <c r="U66" i="10"/>
  <c r="S66" i="10"/>
  <c r="T66" i="10" s="1"/>
  <c r="Q66" i="10"/>
  <c r="N66" i="10"/>
  <c r="O66" i="10" s="1"/>
  <c r="L66" i="10"/>
  <c r="M66" i="10" s="1"/>
  <c r="J66" i="10"/>
  <c r="K66" i="10" s="1"/>
  <c r="H66" i="10"/>
  <c r="I66" i="10" s="1"/>
  <c r="F66" i="10"/>
  <c r="D66" i="10"/>
  <c r="E66" i="10" s="1"/>
  <c r="U65" i="10"/>
  <c r="S65" i="10"/>
  <c r="T65" i="10" s="1"/>
  <c r="Q65" i="10"/>
  <c r="N65" i="10"/>
  <c r="O65" i="10" s="1"/>
  <c r="L65" i="10"/>
  <c r="M65" i="10" s="1"/>
  <c r="J65" i="10"/>
  <c r="K65" i="10" s="1"/>
  <c r="H65" i="10"/>
  <c r="I65" i="10" s="1"/>
  <c r="F65" i="10"/>
  <c r="G65" i="10" s="1"/>
  <c r="V65" i="10" s="1"/>
  <c r="D65" i="10"/>
  <c r="U64" i="10"/>
  <c r="S64" i="10"/>
  <c r="T64" i="10" s="1"/>
  <c r="Q64" i="10"/>
  <c r="N64" i="10"/>
  <c r="O64" i="10" s="1"/>
  <c r="L64" i="10"/>
  <c r="M64" i="10" s="1"/>
  <c r="J64" i="10"/>
  <c r="K64" i="10" s="1"/>
  <c r="H64" i="10"/>
  <c r="I64" i="10" s="1"/>
  <c r="F64" i="10"/>
  <c r="G64" i="10" s="1"/>
  <c r="V64" i="10" s="1"/>
  <c r="D64" i="10"/>
  <c r="U63" i="10"/>
  <c r="S63" i="10"/>
  <c r="T63" i="10" s="1"/>
  <c r="Q63" i="10"/>
  <c r="N63" i="10"/>
  <c r="O63" i="10" s="1"/>
  <c r="L63" i="10"/>
  <c r="M63" i="10" s="1"/>
  <c r="J63" i="10"/>
  <c r="K63" i="10" s="1"/>
  <c r="H63" i="10"/>
  <c r="I63" i="10" s="1"/>
  <c r="F63" i="10"/>
  <c r="G63" i="10" s="1"/>
  <c r="V63" i="10" s="1"/>
  <c r="D63" i="10"/>
  <c r="E63" i="10" s="1"/>
  <c r="U62" i="10"/>
  <c r="S62" i="10"/>
  <c r="T62" i="10" s="1"/>
  <c r="Q62" i="10"/>
  <c r="N62" i="10"/>
  <c r="O62" i="10" s="1"/>
  <c r="L62" i="10"/>
  <c r="M62" i="10" s="1"/>
  <c r="J62" i="10"/>
  <c r="K62" i="10" s="1"/>
  <c r="H62" i="10"/>
  <c r="I62" i="10" s="1"/>
  <c r="F62" i="10"/>
  <c r="D62" i="10"/>
  <c r="E62" i="10" s="1"/>
  <c r="U61" i="10"/>
  <c r="S61" i="10"/>
  <c r="T61" i="10" s="1"/>
  <c r="Q61" i="10"/>
  <c r="N61" i="10"/>
  <c r="O61" i="10" s="1"/>
  <c r="L61" i="10"/>
  <c r="M61" i="10" s="1"/>
  <c r="J61" i="10"/>
  <c r="K61" i="10" s="1"/>
  <c r="H61" i="10"/>
  <c r="I61" i="10" s="1"/>
  <c r="F61" i="10"/>
  <c r="G61" i="10" s="1"/>
  <c r="V61" i="10" s="1"/>
  <c r="D61" i="10"/>
  <c r="U60" i="10"/>
  <c r="S60" i="10"/>
  <c r="T60" i="10" s="1"/>
  <c r="Q60" i="10"/>
  <c r="N60" i="10"/>
  <c r="O60" i="10" s="1"/>
  <c r="L60" i="10"/>
  <c r="M60" i="10" s="1"/>
  <c r="J60" i="10"/>
  <c r="K60" i="10" s="1"/>
  <c r="H60" i="10"/>
  <c r="I60" i="10" s="1"/>
  <c r="F60" i="10"/>
  <c r="G60" i="10" s="1"/>
  <c r="V60" i="10" s="1"/>
  <c r="D60" i="10"/>
  <c r="U59" i="10"/>
  <c r="S59" i="10"/>
  <c r="T59" i="10" s="1"/>
  <c r="Q59" i="10"/>
  <c r="N59" i="10"/>
  <c r="O59" i="10" s="1"/>
  <c r="L59" i="10"/>
  <c r="M59" i="10" s="1"/>
  <c r="J59" i="10"/>
  <c r="K59" i="10" s="1"/>
  <c r="H59" i="10"/>
  <c r="I59" i="10" s="1"/>
  <c r="F59" i="10"/>
  <c r="G59" i="10" s="1"/>
  <c r="V59" i="10" s="1"/>
  <c r="D59" i="10"/>
  <c r="E59" i="10" s="1"/>
  <c r="U58" i="10"/>
  <c r="S58" i="10"/>
  <c r="T58" i="10" s="1"/>
  <c r="Q58" i="10"/>
  <c r="N58" i="10"/>
  <c r="O58" i="10" s="1"/>
  <c r="L58" i="10"/>
  <c r="M58" i="10" s="1"/>
  <c r="J58" i="10"/>
  <c r="K58" i="10" s="1"/>
  <c r="H58" i="10"/>
  <c r="I58" i="10" s="1"/>
  <c r="F58" i="10"/>
  <c r="D58" i="10"/>
  <c r="E58" i="10" s="1"/>
  <c r="U57" i="10"/>
  <c r="S57" i="10"/>
  <c r="T57" i="10" s="1"/>
  <c r="Q57" i="10"/>
  <c r="N57" i="10"/>
  <c r="O57" i="10" s="1"/>
  <c r="L57" i="10"/>
  <c r="M57" i="10" s="1"/>
  <c r="J57" i="10"/>
  <c r="K57" i="10" s="1"/>
  <c r="H57" i="10"/>
  <c r="I57" i="10" s="1"/>
  <c r="F57" i="10"/>
  <c r="G57" i="10" s="1"/>
  <c r="V57" i="10" s="1"/>
  <c r="D57" i="10"/>
  <c r="U56" i="10"/>
  <c r="S56" i="10"/>
  <c r="T56" i="10" s="1"/>
  <c r="Q56" i="10"/>
  <c r="N56" i="10"/>
  <c r="O56" i="10" s="1"/>
  <c r="L56" i="10"/>
  <c r="M56" i="10" s="1"/>
  <c r="J56" i="10"/>
  <c r="K56" i="10" s="1"/>
  <c r="H56" i="10"/>
  <c r="I56" i="10" s="1"/>
  <c r="F56" i="10"/>
  <c r="G56" i="10" s="1"/>
  <c r="V56" i="10" s="1"/>
  <c r="D56" i="10"/>
  <c r="U55" i="10"/>
  <c r="S55" i="10"/>
  <c r="T55" i="10" s="1"/>
  <c r="Q55" i="10"/>
  <c r="N55" i="10"/>
  <c r="O55" i="10" s="1"/>
  <c r="L55" i="10"/>
  <c r="M55" i="10" s="1"/>
  <c r="J55" i="10"/>
  <c r="K55" i="10" s="1"/>
  <c r="H55" i="10"/>
  <c r="I55" i="10" s="1"/>
  <c r="F55" i="10"/>
  <c r="G55" i="10" s="1"/>
  <c r="V55" i="10" s="1"/>
  <c r="D55" i="10"/>
  <c r="E55" i="10" s="1"/>
  <c r="U54" i="10"/>
  <c r="S54" i="10"/>
  <c r="T54" i="10" s="1"/>
  <c r="Q54" i="10"/>
  <c r="N54" i="10"/>
  <c r="O54" i="10" s="1"/>
  <c r="L54" i="10"/>
  <c r="M54" i="10" s="1"/>
  <c r="J54" i="10"/>
  <c r="K54" i="10" s="1"/>
  <c r="H54" i="10"/>
  <c r="I54" i="10" s="1"/>
  <c r="F54" i="10"/>
  <c r="D54" i="10"/>
  <c r="E54" i="10" s="1"/>
  <c r="U53" i="10"/>
  <c r="S53" i="10"/>
  <c r="T53" i="10" s="1"/>
  <c r="Q53" i="10"/>
  <c r="N53" i="10"/>
  <c r="O53" i="10" s="1"/>
  <c r="L53" i="10"/>
  <c r="M53" i="10" s="1"/>
  <c r="J53" i="10"/>
  <c r="K53" i="10" s="1"/>
  <c r="H53" i="10"/>
  <c r="I53" i="10" s="1"/>
  <c r="F53" i="10"/>
  <c r="G53" i="10" s="1"/>
  <c r="V53" i="10" s="1"/>
  <c r="D53" i="10"/>
  <c r="U52" i="10"/>
  <c r="S52" i="10"/>
  <c r="T52" i="10" s="1"/>
  <c r="Q52" i="10"/>
  <c r="N52" i="10"/>
  <c r="O52" i="10" s="1"/>
  <c r="L52" i="10"/>
  <c r="M52" i="10" s="1"/>
  <c r="J52" i="10"/>
  <c r="K52" i="10" s="1"/>
  <c r="H52" i="10"/>
  <c r="I52" i="10" s="1"/>
  <c r="F52" i="10"/>
  <c r="G52" i="10" s="1"/>
  <c r="V52" i="10" s="1"/>
  <c r="D52" i="10"/>
  <c r="E52" i="10" s="1"/>
  <c r="U51" i="10"/>
  <c r="S51" i="10"/>
  <c r="T51" i="10" s="1"/>
  <c r="Q51" i="10"/>
  <c r="N51" i="10"/>
  <c r="O51" i="10" s="1"/>
  <c r="L51" i="10"/>
  <c r="M51" i="10" s="1"/>
  <c r="J51" i="10"/>
  <c r="K51" i="10" s="1"/>
  <c r="H51" i="10"/>
  <c r="I51" i="10" s="1"/>
  <c r="F51" i="10"/>
  <c r="G51" i="10" s="1"/>
  <c r="V51" i="10" s="1"/>
  <c r="D51" i="10"/>
  <c r="E51" i="10" s="1"/>
  <c r="U50" i="10"/>
  <c r="S50" i="10"/>
  <c r="T50" i="10" s="1"/>
  <c r="Q50" i="10"/>
  <c r="N50" i="10"/>
  <c r="O50" i="10" s="1"/>
  <c r="L50" i="10"/>
  <c r="M50" i="10" s="1"/>
  <c r="J50" i="10"/>
  <c r="K50" i="10" s="1"/>
  <c r="H50" i="10"/>
  <c r="I50" i="10" s="1"/>
  <c r="F50" i="10"/>
  <c r="D50" i="10"/>
  <c r="E50" i="10" s="1"/>
  <c r="U49" i="10"/>
  <c r="S49" i="10"/>
  <c r="T49" i="10" s="1"/>
  <c r="Q49" i="10"/>
  <c r="N49" i="10"/>
  <c r="O49" i="10" s="1"/>
  <c r="L49" i="10"/>
  <c r="M49" i="10" s="1"/>
  <c r="J49" i="10"/>
  <c r="K49" i="10" s="1"/>
  <c r="H49" i="10"/>
  <c r="I49" i="10" s="1"/>
  <c r="F49" i="10"/>
  <c r="G49" i="10" s="1"/>
  <c r="V49" i="10" s="1"/>
  <c r="D49" i="10"/>
  <c r="U48" i="10"/>
  <c r="S48" i="10"/>
  <c r="T48" i="10" s="1"/>
  <c r="Q48" i="10"/>
  <c r="N48" i="10"/>
  <c r="O48" i="10" s="1"/>
  <c r="L48" i="10"/>
  <c r="M48" i="10" s="1"/>
  <c r="J48" i="10"/>
  <c r="K48" i="10" s="1"/>
  <c r="H48" i="10"/>
  <c r="I48" i="10" s="1"/>
  <c r="F48" i="10"/>
  <c r="G48" i="10" s="1"/>
  <c r="V48" i="10" s="1"/>
  <c r="D48" i="10"/>
  <c r="U47" i="10"/>
  <c r="S47" i="10"/>
  <c r="T47" i="10" s="1"/>
  <c r="Q47" i="10"/>
  <c r="N47" i="10"/>
  <c r="O47" i="10" s="1"/>
  <c r="L47" i="10"/>
  <c r="M47" i="10" s="1"/>
  <c r="J47" i="10"/>
  <c r="K47" i="10" s="1"/>
  <c r="H47" i="10"/>
  <c r="I47" i="10" s="1"/>
  <c r="F47" i="10"/>
  <c r="G47" i="10" s="1"/>
  <c r="V47" i="10" s="1"/>
  <c r="D47" i="10"/>
  <c r="E47" i="10" s="1"/>
  <c r="U46" i="10"/>
  <c r="S46" i="10"/>
  <c r="T46" i="10" s="1"/>
  <c r="Q46" i="10"/>
  <c r="N46" i="10"/>
  <c r="O46" i="10" s="1"/>
  <c r="L46" i="10"/>
  <c r="M46" i="10" s="1"/>
  <c r="J46" i="10"/>
  <c r="K46" i="10" s="1"/>
  <c r="H46" i="10"/>
  <c r="I46" i="10" s="1"/>
  <c r="F46" i="10"/>
  <c r="D46" i="10"/>
  <c r="E46" i="10" s="1"/>
  <c r="U45" i="10"/>
  <c r="S45" i="10"/>
  <c r="T45" i="10" s="1"/>
  <c r="Q45" i="10"/>
  <c r="N45" i="10"/>
  <c r="O45" i="10" s="1"/>
  <c r="L45" i="10"/>
  <c r="M45" i="10" s="1"/>
  <c r="J45" i="10"/>
  <c r="K45" i="10" s="1"/>
  <c r="H45" i="10"/>
  <c r="I45" i="10" s="1"/>
  <c r="F45" i="10"/>
  <c r="G45" i="10" s="1"/>
  <c r="V45" i="10" s="1"/>
  <c r="D45" i="10"/>
  <c r="U44" i="10"/>
  <c r="S44" i="10"/>
  <c r="T44" i="10" s="1"/>
  <c r="Q44" i="10"/>
  <c r="N44" i="10"/>
  <c r="O44" i="10" s="1"/>
  <c r="L44" i="10"/>
  <c r="M44" i="10" s="1"/>
  <c r="J44" i="10"/>
  <c r="K44" i="10" s="1"/>
  <c r="H44" i="10"/>
  <c r="I44" i="10" s="1"/>
  <c r="F44" i="10"/>
  <c r="G44" i="10" s="1"/>
  <c r="V44" i="10" s="1"/>
  <c r="D44" i="10"/>
  <c r="E44" i="10" s="1"/>
  <c r="U43" i="10"/>
  <c r="S43" i="10"/>
  <c r="T43" i="10" s="1"/>
  <c r="Q43" i="10"/>
  <c r="N43" i="10"/>
  <c r="O43" i="10" s="1"/>
  <c r="L43" i="10"/>
  <c r="M43" i="10" s="1"/>
  <c r="J43" i="10"/>
  <c r="K43" i="10" s="1"/>
  <c r="H43" i="10"/>
  <c r="I43" i="10" s="1"/>
  <c r="F43" i="10"/>
  <c r="D43" i="10"/>
  <c r="E43" i="10" s="1"/>
  <c r="U42" i="10"/>
  <c r="S42" i="10"/>
  <c r="T42" i="10" s="1"/>
  <c r="Q42" i="10"/>
  <c r="N42" i="10"/>
  <c r="O42" i="10" s="1"/>
  <c r="L42" i="10"/>
  <c r="M42" i="10" s="1"/>
  <c r="J42" i="10"/>
  <c r="K42" i="10" s="1"/>
  <c r="H42" i="10"/>
  <c r="I42" i="10" s="1"/>
  <c r="F42" i="10"/>
  <c r="G42" i="10" s="1"/>
  <c r="V42" i="10" s="1"/>
  <c r="D42" i="10"/>
  <c r="E42" i="10" s="1"/>
  <c r="U41" i="10"/>
  <c r="S41" i="10"/>
  <c r="T41" i="10" s="1"/>
  <c r="Q41" i="10"/>
  <c r="N41" i="10"/>
  <c r="O41" i="10" s="1"/>
  <c r="L41" i="10"/>
  <c r="M41" i="10" s="1"/>
  <c r="J41" i="10"/>
  <c r="K41" i="10" s="1"/>
  <c r="H41" i="10"/>
  <c r="I41" i="10" s="1"/>
  <c r="F41" i="10"/>
  <c r="G41" i="10" s="1"/>
  <c r="V41" i="10" s="1"/>
  <c r="D41" i="10"/>
  <c r="U40" i="10"/>
  <c r="S40" i="10"/>
  <c r="T40" i="10" s="1"/>
  <c r="Q40" i="10"/>
  <c r="N40" i="10"/>
  <c r="O40" i="10" s="1"/>
  <c r="L40" i="10"/>
  <c r="M40" i="10" s="1"/>
  <c r="J40" i="10"/>
  <c r="K40" i="10" s="1"/>
  <c r="H40" i="10"/>
  <c r="I40" i="10" s="1"/>
  <c r="F40" i="10"/>
  <c r="G40" i="10" s="1"/>
  <c r="V40" i="10" s="1"/>
  <c r="D40" i="10"/>
  <c r="U39" i="10"/>
  <c r="S39" i="10"/>
  <c r="T39" i="10" s="1"/>
  <c r="Q39" i="10"/>
  <c r="N39" i="10"/>
  <c r="O39" i="10" s="1"/>
  <c r="L39" i="10"/>
  <c r="M39" i="10" s="1"/>
  <c r="J39" i="10"/>
  <c r="K39" i="10" s="1"/>
  <c r="H39" i="10"/>
  <c r="I39" i="10" s="1"/>
  <c r="F39" i="10"/>
  <c r="D39" i="10"/>
  <c r="E39" i="10" s="1"/>
  <c r="U38" i="10"/>
  <c r="S38" i="10"/>
  <c r="T38" i="10" s="1"/>
  <c r="Q38" i="10"/>
  <c r="N38" i="10"/>
  <c r="O38" i="10" s="1"/>
  <c r="L38" i="10"/>
  <c r="M38" i="10" s="1"/>
  <c r="J38" i="10"/>
  <c r="K38" i="10" s="1"/>
  <c r="H38" i="10"/>
  <c r="F38" i="10"/>
  <c r="G38" i="10" s="1"/>
  <c r="V38" i="10" s="1"/>
  <c r="D38" i="10"/>
  <c r="E38" i="10" s="1"/>
  <c r="U37" i="10"/>
  <c r="S37" i="10"/>
  <c r="T37" i="10" s="1"/>
  <c r="Q37" i="10"/>
  <c r="N37" i="10"/>
  <c r="O37" i="10" s="1"/>
  <c r="L37" i="10"/>
  <c r="M37" i="10" s="1"/>
  <c r="J37" i="10"/>
  <c r="K37" i="10" s="1"/>
  <c r="H37" i="10"/>
  <c r="I37" i="10" s="1"/>
  <c r="F37" i="10"/>
  <c r="G37" i="10" s="1"/>
  <c r="V37" i="10" s="1"/>
  <c r="D37" i="10"/>
  <c r="U36" i="10"/>
  <c r="S36" i="10"/>
  <c r="T36" i="10" s="1"/>
  <c r="Q36" i="10"/>
  <c r="N36" i="10"/>
  <c r="O36" i="10" s="1"/>
  <c r="L36" i="10"/>
  <c r="M36" i="10" s="1"/>
  <c r="J36" i="10"/>
  <c r="K36" i="10" s="1"/>
  <c r="H36" i="10"/>
  <c r="I36" i="10" s="1"/>
  <c r="F36" i="10"/>
  <c r="G36" i="10" s="1"/>
  <c r="V36" i="10" s="1"/>
  <c r="D36" i="10"/>
  <c r="U35" i="10"/>
  <c r="S35" i="10"/>
  <c r="T35" i="10" s="1"/>
  <c r="Q35" i="10"/>
  <c r="N35" i="10"/>
  <c r="O35" i="10" s="1"/>
  <c r="L35" i="10"/>
  <c r="M35" i="10" s="1"/>
  <c r="J35" i="10"/>
  <c r="K35" i="10" s="1"/>
  <c r="H35" i="10"/>
  <c r="I35" i="10" s="1"/>
  <c r="F35" i="10"/>
  <c r="D35" i="10"/>
  <c r="E35" i="10" s="1"/>
  <c r="U34" i="10"/>
  <c r="S34" i="10"/>
  <c r="T34" i="10" s="1"/>
  <c r="Q34" i="10"/>
  <c r="N34" i="10"/>
  <c r="O34" i="10" s="1"/>
  <c r="L34" i="10"/>
  <c r="M34" i="10" s="1"/>
  <c r="J34" i="10"/>
  <c r="K34" i="10" s="1"/>
  <c r="H34" i="10"/>
  <c r="I34" i="10" s="1"/>
  <c r="F34" i="10"/>
  <c r="G34" i="10" s="1"/>
  <c r="V34" i="10" s="1"/>
  <c r="D34" i="10"/>
  <c r="E34" i="10" s="1"/>
  <c r="U33" i="10"/>
  <c r="S33" i="10"/>
  <c r="T33" i="10" s="1"/>
  <c r="Q33" i="10"/>
  <c r="N33" i="10"/>
  <c r="O33" i="10" s="1"/>
  <c r="L33" i="10"/>
  <c r="M33" i="10" s="1"/>
  <c r="J33" i="10"/>
  <c r="K33" i="10" s="1"/>
  <c r="H33" i="10"/>
  <c r="I33" i="10" s="1"/>
  <c r="F33" i="10"/>
  <c r="G33" i="10" s="1"/>
  <c r="V33" i="10" s="1"/>
  <c r="D33" i="10"/>
  <c r="U32" i="10"/>
  <c r="S32" i="10"/>
  <c r="T32" i="10" s="1"/>
  <c r="Q32" i="10"/>
  <c r="N32" i="10"/>
  <c r="O32" i="10" s="1"/>
  <c r="L32" i="10"/>
  <c r="M32" i="10" s="1"/>
  <c r="J32" i="10"/>
  <c r="K32" i="10" s="1"/>
  <c r="H32" i="10"/>
  <c r="I32" i="10" s="1"/>
  <c r="F32" i="10"/>
  <c r="G32" i="10" s="1"/>
  <c r="V32" i="10" s="1"/>
  <c r="D32" i="10"/>
  <c r="E32" i="10" s="1"/>
  <c r="U31" i="10"/>
  <c r="S31" i="10"/>
  <c r="T31" i="10" s="1"/>
  <c r="Q31" i="10"/>
  <c r="N31" i="10"/>
  <c r="O31" i="10" s="1"/>
  <c r="L31" i="10"/>
  <c r="M31" i="10" s="1"/>
  <c r="J31" i="10"/>
  <c r="K31" i="10" s="1"/>
  <c r="H31" i="10"/>
  <c r="I31" i="10" s="1"/>
  <c r="F31" i="10"/>
  <c r="G31" i="10" s="1"/>
  <c r="V31" i="10" s="1"/>
  <c r="D31" i="10"/>
  <c r="U30" i="10"/>
  <c r="S30" i="10"/>
  <c r="T30" i="10" s="1"/>
  <c r="Q30" i="10"/>
  <c r="N30" i="10"/>
  <c r="O30" i="10" s="1"/>
  <c r="L30" i="10"/>
  <c r="M30" i="10" s="1"/>
  <c r="J30" i="10"/>
  <c r="K30" i="10" s="1"/>
  <c r="H30" i="10"/>
  <c r="I30" i="10" s="1"/>
  <c r="F30" i="10"/>
  <c r="G30" i="10" s="1"/>
  <c r="V30" i="10" s="1"/>
  <c r="D30" i="10"/>
  <c r="E30" i="10" s="1"/>
  <c r="U29" i="10"/>
  <c r="S29" i="10"/>
  <c r="T29" i="10" s="1"/>
  <c r="Q29" i="10"/>
  <c r="N29" i="10"/>
  <c r="O29" i="10" s="1"/>
  <c r="L29" i="10"/>
  <c r="M29" i="10" s="1"/>
  <c r="J29" i="10"/>
  <c r="K29" i="10" s="1"/>
  <c r="H29" i="10"/>
  <c r="I29" i="10" s="1"/>
  <c r="F29" i="10"/>
  <c r="G29" i="10" s="1"/>
  <c r="V29" i="10" s="1"/>
  <c r="D29" i="10"/>
  <c r="U28" i="10"/>
  <c r="S28" i="10"/>
  <c r="T28" i="10" s="1"/>
  <c r="Q28" i="10"/>
  <c r="N28" i="10"/>
  <c r="O28" i="10" s="1"/>
  <c r="L28" i="10"/>
  <c r="M28" i="10" s="1"/>
  <c r="J28" i="10"/>
  <c r="K28" i="10" s="1"/>
  <c r="H28" i="10"/>
  <c r="I28" i="10" s="1"/>
  <c r="F28" i="10"/>
  <c r="G28" i="10" s="1"/>
  <c r="V28" i="10" s="1"/>
  <c r="D28" i="10"/>
  <c r="U27" i="10"/>
  <c r="S27" i="10"/>
  <c r="T27" i="10" s="1"/>
  <c r="Q27" i="10"/>
  <c r="N27" i="10"/>
  <c r="O27" i="10" s="1"/>
  <c r="L27" i="10"/>
  <c r="M27" i="10" s="1"/>
  <c r="J27" i="10"/>
  <c r="K27" i="10" s="1"/>
  <c r="H27" i="10"/>
  <c r="I27" i="10" s="1"/>
  <c r="F27" i="10"/>
  <c r="D27" i="10"/>
  <c r="E27" i="10" s="1"/>
  <c r="U26" i="10"/>
  <c r="S26" i="10"/>
  <c r="T26" i="10" s="1"/>
  <c r="Q26" i="10"/>
  <c r="N26" i="10"/>
  <c r="O26" i="10" s="1"/>
  <c r="L26" i="10"/>
  <c r="M26" i="10" s="1"/>
  <c r="J26" i="10"/>
  <c r="K26" i="10" s="1"/>
  <c r="H26" i="10"/>
  <c r="I26" i="10" s="1"/>
  <c r="F26" i="10"/>
  <c r="G26" i="10" s="1"/>
  <c r="V26" i="10" s="1"/>
  <c r="D26" i="10"/>
  <c r="E26" i="10" s="1"/>
  <c r="U25" i="10"/>
  <c r="S25" i="10"/>
  <c r="T25" i="10" s="1"/>
  <c r="Q25" i="10"/>
  <c r="N25" i="10"/>
  <c r="O25" i="10" s="1"/>
  <c r="L25" i="10"/>
  <c r="M25" i="10" s="1"/>
  <c r="J25" i="10"/>
  <c r="K25" i="10" s="1"/>
  <c r="H25" i="10"/>
  <c r="I25" i="10" s="1"/>
  <c r="F25" i="10"/>
  <c r="G25" i="10" s="1"/>
  <c r="V25" i="10" s="1"/>
  <c r="D25" i="10"/>
  <c r="U24" i="10"/>
  <c r="S24" i="10"/>
  <c r="T24" i="10" s="1"/>
  <c r="Q24" i="10"/>
  <c r="N24" i="10"/>
  <c r="O24" i="10" s="1"/>
  <c r="L24" i="10"/>
  <c r="M24" i="10" s="1"/>
  <c r="J24" i="10"/>
  <c r="K24" i="10" s="1"/>
  <c r="H24" i="10"/>
  <c r="I24" i="10" s="1"/>
  <c r="F24" i="10"/>
  <c r="G24" i="10" s="1"/>
  <c r="V24" i="10" s="1"/>
  <c r="D24" i="10"/>
  <c r="U23" i="10"/>
  <c r="S23" i="10"/>
  <c r="T23" i="10" s="1"/>
  <c r="Q23" i="10"/>
  <c r="N23" i="10"/>
  <c r="O23" i="10" s="1"/>
  <c r="L23" i="10"/>
  <c r="M23" i="10" s="1"/>
  <c r="J23" i="10"/>
  <c r="K23" i="10" s="1"/>
  <c r="H23" i="10"/>
  <c r="I23" i="10" s="1"/>
  <c r="F23" i="10"/>
  <c r="G23" i="10" s="1"/>
  <c r="V23" i="10" s="1"/>
  <c r="D23" i="10"/>
  <c r="U22" i="10"/>
  <c r="S22" i="10"/>
  <c r="T22" i="10" s="1"/>
  <c r="Q22" i="10"/>
  <c r="N22" i="10"/>
  <c r="O22" i="10" s="1"/>
  <c r="L22" i="10"/>
  <c r="M22" i="10" s="1"/>
  <c r="J22" i="10"/>
  <c r="K22" i="10" s="1"/>
  <c r="H22" i="10"/>
  <c r="I22" i="10" s="1"/>
  <c r="F22" i="10"/>
  <c r="G22" i="10" s="1"/>
  <c r="V22" i="10" s="1"/>
  <c r="D22" i="10"/>
  <c r="E22" i="10" s="1"/>
  <c r="U21" i="10"/>
  <c r="S21" i="10"/>
  <c r="T21" i="10" s="1"/>
  <c r="Q21" i="10"/>
  <c r="N21" i="10"/>
  <c r="O21" i="10" s="1"/>
  <c r="L21" i="10"/>
  <c r="M21" i="10" s="1"/>
  <c r="J21" i="10"/>
  <c r="K21" i="10" s="1"/>
  <c r="H21" i="10"/>
  <c r="I21" i="10" s="1"/>
  <c r="F21" i="10"/>
  <c r="G21" i="10" s="1"/>
  <c r="V21" i="10" s="1"/>
  <c r="D21" i="10"/>
  <c r="U20" i="10"/>
  <c r="S20" i="10"/>
  <c r="T20" i="10" s="1"/>
  <c r="Q20" i="10"/>
  <c r="N20" i="10"/>
  <c r="O20" i="10" s="1"/>
  <c r="L20" i="10"/>
  <c r="M20" i="10" s="1"/>
  <c r="J20" i="10"/>
  <c r="K20" i="10" s="1"/>
  <c r="H20" i="10"/>
  <c r="I20" i="10" s="1"/>
  <c r="F20" i="10"/>
  <c r="G20" i="10" s="1"/>
  <c r="V20" i="10" s="1"/>
  <c r="D20" i="10"/>
  <c r="U19" i="10"/>
  <c r="S19" i="10"/>
  <c r="T19" i="10" s="1"/>
  <c r="Q19" i="10"/>
  <c r="N19" i="10"/>
  <c r="O19" i="10" s="1"/>
  <c r="L19" i="10"/>
  <c r="M19" i="10" s="1"/>
  <c r="J19" i="10"/>
  <c r="K19" i="10" s="1"/>
  <c r="H19" i="10"/>
  <c r="I19" i="10" s="1"/>
  <c r="F19" i="10"/>
  <c r="D19" i="10"/>
  <c r="E19" i="10" s="1"/>
  <c r="U18" i="10"/>
  <c r="S18" i="10"/>
  <c r="T18" i="10" s="1"/>
  <c r="Q18" i="10"/>
  <c r="N18" i="10"/>
  <c r="O18" i="10" s="1"/>
  <c r="L18" i="10"/>
  <c r="M18" i="10" s="1"/>
  <c r="J18" i="10"/>
  <c r="K18" i="10" s="1"/>
  <c r="H18" i="10"/>
  <c r="I18" i="10" s="1"/>
  <c r="F18" i="10"/>
  <c r="G18" i="10" s="1"/>
  <c r="V18" i="10" s="1"/>
  <c r="D18" i="10"/>
  <c r="E18" i="10" s="1"/>
  <c r="U17" i="10"/>
  <c r="S17" i="10"/>
  <c r="T17" i="10" s="1"/>
  <c r="Q17" i="10"/>
  <c r="N17" i="10"/>
  <c r="O17" i="10" s="1"/>
  <c r="L17" i="10"/>
  <c r="M17" i="10" s="1"/>
  <c r="J17" i="10"/>
  <c r="K17" i="10" s="1"/>
  <c r="H17" i="10"/>
  <c r="I17" i="10" s="1"/>
  <c r="F17" i="10"/>
  <c r="G17" i="10" s="1"/>
  <c r="V17" i="10" s="1"/>
  <c r="D17" i="10"/>
  <c r="E17" i="10" s="1"/>
  <c r="U16" i="10"/>
  <c r="S16" i="10"/>
  <c r="T16" i="10" s="1"/>
  <c r="Q16" i="10"/>
  <c r="N16" i="10"/>
  <c r="O16" i="10" s="1"/>
  <c r="L16" i="10"/>
  <c r="M16" i="10" s="1"/>
  <c r="J16" i="10"/>
  <c r="K16" i="10" s="1"/>
  <c r="H16" i="10"/>
  <c r="I16" i="10" s="1"/>
  <c r="F16" i="10"/>
  <c r="G16" i="10" s="1"/>
  <c r="V16" i="10" s="1"/>
  <c r="D16" i="10"/>
  <c r="U15" i="10"/>
  <c r="S15" i="10"/>
  <c r="T15" i="10" s="1"/>
  <c r="Q15" i="10"/>
  <c r="N15" i="10"/>
  <c r="O15" i="10" s="1"/>
  <c r="L15" i="10"/>
  <c r="M15" i="10" s="1"/>
  <c r="J15" i="10"/>
  <c r="K15" i="10" s="1"/>
  <c r="H15" i="10"/>
  <c r="I15" i="10" s="1"/>
  <c r="F15" i="10"/>
  <c r="D15" i="10"/>
  <c r="E15" i="10" s="1"/>
  <c r="U14" i="10"/>
  <c r="S14" i="10"/>
  <c r="T14" i="10" s="1"/>
  <c r="Q14" i="10"/>
  <c r="N14" i="10"/>
  <c r="O14" i="10" s="1"/>
  <c r="L14" i="10"/>
  <c r="M14" i="10" s="1"/>
  <c r="J14" i="10"/>
  <c r="K14" i="10" s="1"/>
  <c r="H14" i="10"/>
  <c r="I14" i="10" s="1"/>
  <c r="F14" i="10"/>
  <c r="G14" i="10" s="1"/>
  <c r="V14" i="10" s="1"/>
  <c r="D14" i="10"/>
  <c r="E14" i="10" s="1"/>
  <c r="U13" i="10"/>
  <c r="S13" i="10"/>
  <c r="T13" i="10" s="1"/>
  <c r="Q13" i="10"/>
  <c r="N13" i="10"/>
  <c r="O13" i="10" s="1"/>
  <c r="L13" i="10"/>
  <c r="M13" i="10" s="1"/>
  <c r="J13" i="10"/>
  <c r="K13" i="10" s="1"/>
  <c r="H13" i="10"/>
  <c r="I13" i="10" s="1"/>
  <c r="F13" i="10"/>
  <c r="G13" i="10" s="1"/>
  <c r="V13" i="10" s="1"/>
  <c r="D13" i="10"/>
  <c r="U12" i="10"/>
  <c r="S12" i="10"/>
  <c r="T12" i="10" s="1"/>
  <c r="Q12" i="10"/>
  <c r="N12" i="10"/>
  <c r="O12" i="10" s="1"/>
  <c r="L12" i="10"/>
  <c r="M12" i="10" s="1"/>
  <c r="J12" i="10"/>
  <c r="K12" i="10" s="1"/>
  <c r="H12" i="10"/>
  <c r="I12" i="10" s="1"/>
  <c r="F12" i="10"/>
  <c r="G12" i="10" s="1"/>
  <c r="V12" i="10" s="1"/>
  <c r="D12" i="10"/>
  <c r="U11" i="10"/>
  <c r="S11" i="10"/>
  <c r="T11" i="10" s="1"/>
  <c r="Q11" i="10"/>
  <c r="N11" i="10"/>
  <c r="O11" i="10" s="1"/>
  <c r="L11" i="10"/>
  <c r="M11" i="10" s="1"/>
  <c r="J11" i="10"/>
  <c r="K11" i="10" s="1"/>
  <c r="H11" i="10"/>
  <c r="I11" i="10" s="1"/>
  <c r="F11" i="10"/>
  <c r="D11" i="10"/>
  <c r="E11" i="10" s="1"/>
  <c r="U10" i="10"/>
  <c r="S10" i="10"/>
  <c r="T10" i="10" s="1"/>
  <c r="Q10" i="10"/>
  <c r="N10" i="10"/>
  <c r="O10" i="10" s="1"/>
  <c r="L10" i="10"/>
  <c r="M10" i="10" s="1"/>
  <c r="J10" i="10"/>
  <c r="K10" i="10" s="1"/>
  <c r="H10" i="10"/>
  <c r="I10" i="10" s="1"/>
  <c r="F10" i="10"/>
  <c r="G10" i="10" s="1"/>
  <c r="V10" i="10" s="1"/>
  <c r="D10" i="10"/>
  <c r="E10" i="10" s="1"/>
  <c r="U9" i="10"/>
  <c r="S9" i="10"/>
  <c r="T9" i="10" s="1"/>
  <c r="Q9" i="10"/>
  <c r="N9" i="10"/>
  <c r="O9" i="10" s="1"/>
  <c r="L9" i="10"/>
  <c r="M9" i="10" s="1"/>
  <c r="J9" i="10"/>
  <c r="K9" i="10" s="1"/>
  <c r="H9" i="10"/>
  <c r="I9" i="10" s="1"/>
  <c r="F9" i="10"/>
  <c r="G9" i="10" s="1"/>
  <c r="V9" i="10" s="1"/>
  <c r="D9" i="10"/>
  <c r="U8" i="10"/>
  <c r="S8" i="10"/>
  <c r="T8" i="10" s="1"/>
  <c r="Q8" i="10"/>
  <c r="N8" i="10"/>
  <c r="O8" i="10" s="1"/>
  <c r="L8" i="10"/>
  <c r="M8" i="10" s="1"/>
  <c r="J8" i="10"/>
  <c r="K8" i="10" s="1"/>
  <c r="H8" i="10"/>
  <c r="I8" i="10" s="1"/>
  <c r="F8" i="10"/>
  <c r="G8" i="10" s="1"/>
  <c r="V8" i="10" s="1"/>
  <c r="D8" i="10"/>
  <c r="U7" i="10"/>
  <c r="S7" i="10"/>
  <c r="T7" i="10" s="1"/>
  <c r="Q7" i="10"/>
  <c r="N7" i="10"/>
  <c r="O7" i="10" s="1"/>
  <c r="L7" i="10"/>
  <c r="M7" i="10" s="1"/>
  <c r="J7" i="10"/>
  <c r="K7" i="10" s="1"/>
  <c r="H7" i="10"/>
  <c r="I7" i="10" s="1"/>
  <c r="F7" i="10"/>
  <c r="D7" i="10"/>
  <c r="E7" i="10" s="1"/>
  <c r="U6" i="10"/>
  <c r="S6" i="10"/>
  <c r="T6" i="10" s="1"/>
  <c r="Q6" i="10"/>
  <c r="N6" i="10"/>
  <c r="O6" i="10" s="1"/>
  <c r="L6" i="10"/>
  <c r="M6" i="10" s="1"/>
  <c r="J6" i="10"/>
  <c r="K6" i="10" s="1"/>
  <c r="H6" i="10"/>
  <c r="I6" i="10" s="1"/>
  <c r="F6" i="10"/>
  <c r="G6" i="10" s="1"/>
  <c r="V6" i="10" s="1"/>
  <c r="D6" i="10"/>
  <c r="E6" i="10" s="1"/>
  <c r="U5" i="10"/>
  <c r="S5" i="10"/>
  <c r="T5" i="10" s="1"/>
  <c r="Q5" i="10"/>
  <c r="N5" i="10"/>
  <c r="O5" i="10" s="1"/>
  <c r="L5" i="10"/>
  <c r="M5" i="10" s="1"/>
  <c r="J5" i="10"/>
  <c r="K5" i="10" s="1"/>
  <c r="H5" i="10"/>
  <c r="I5" i="10" s="1"/>
  <c r="F5" i="10"/>
  <c r="G5" i="10" s="1"/>
  <c r="V5" i="10" s="1"/>
  <c r="D5" i="10"/>
  <c r="U4" i="10"/>
  <c r="S4" i="10"/>
  <c r="T4" i="10" s="1"/>
  <c r="Q4" i="10"/>
  <c r="N4" i="10"/>
  <c r="O4" i="10" s="1"/>
  <c r="L4" i="10"/>
  <c r="M4" i="10" s="1"/>
  <c r="J4" i="10"/>
  <c r="K4" i="10" s="1"/>
  <c r="H4" i="10"/>
  <c r="I4" i="10" s="1"/>
  <c r="F4" i="10"/>
  <c r="G4" i="10" s="1"/>
  <c r="V4" i="10" s="1"/>
  <c r="D4" i="10"/>
  <c r="U3" i="10"/>
  <c r="S3" i="10"/>
  <c r="T3" i="10" s="1"/>
  <c r="Q3" i="10"/>
  <c r="N3" i="10"/>
  <c r="O3" i="10" s="1"/>
  <c r="L3" i="10"/>
  <c r="M3" i="10" s="1"/>
  <c r="J3" i="10"/>
  <c r="K3" i="10" s="1"/>
  <c r="H3" i="10"/>
  <c r="I3" i="10" s="1"/>
  <c r="F3" i="10"/>
  <c r="D3" i="10"/>
  <c r="E3" i="10" s="1"/>
  <c r="U2" i="10"/>
  <c r="S2" i="10"/>
  <c r="Q2" i="10"/>
  <c r="N2" i="10"/>
  <c r="L2" i="10"/>
  <c r="J2" i="10"/>
  <c r="H2" i="10"/>
  <c r="F2" i="10"/>
  <c r="D2" i="10"/>
  <c r="R92" i="10" l="1"/>
  <c r="R100" i="10"/>
  <c r="R78" i="10"/>
  <c r="R65" i="10"/>
  <c r="R25" i="10"/>
  <c r="R64" i="10"/>
  <c r="R96" i="10"/>
  <c r="R133" i="10"/>
  <c r="R141" i="10"/>
  <c r="R148" i="10"/>
  <c r="R52" i="10"/>
  <c r="R106" i="10"/>
  <c r="R119" i="10"/>
  <c r="R5" i="10"/>
  <c r="R21" i="10"/>
  <c r="R113" i="10"/>
  <c r="R131" i="10"/>
  <c r="R39" i="10"/>
  <c r="R90" i="10"/>
  <c r="R111" i="10"/>
  <c r="R121" i="10"/>
  <c r="R11" i="10"/>
  <c r="R35" i="10"/>
  <c r="E65" i="10"/>
  <c r="R129" i="10"/>
  <c r="R136" i="10"/>
  <c r="P100" i="10"/>
  <c r="B558" i="28" s="1"/>
  <c r="R7" i="10"/>
  <c r="R29" i="10"/>
  <c r="R41" i="10"/>
  <c r="R43" i="10"/>
  <c r="P69" i="10"/>
  <c r="B527" i="28" s="1"/>
  <c r="R120" i="10"/>
  <c r="R152" i="10"/>
  <c r="R24" i="10"/>
  <c r="R82" i="10"/>
  <c r="R143" i="10"/>
  <c r="P78" i="10"/>
  <c r="B536" i="28" s="1"/>
  <c r="R44" i="10"/>
  <c r="R46" i="10"/>
  <c r="R63" i="10"/>
  <c r="P75" i="10"/>
  <c r="B533" i="28" s="1"/>
  <c r="R145" i="10"/>
  <c r="P27" i="10"/>
  <c r="B485" i="28" s="1"/>
  <c r="R51" i="10"/>
  <c r="P53" i="10"/>
  <c r="B511" i="28" s="1"/>
  <c r="P57" i="10"/>
  <c r="B515" i="28" s="1"/>
  <c r="E82" i="10"/>
  <c r="P104" i="10"/>
  <c r="B562" i="28" s="1"/>
  <c r="R137" i="10"/>
  <c r="R6" i="10"/>
  <c r="P28" i="10"/>
  <c r="B486" i="28" s="1"/>
  <c r="R54" i="10"/>
  <c r="R58" i="10"/>
  <c r="R73" i="10"/>
  <c r="R108" i="10"/>
  <c r="R115" i="10"/>
  <c r="R125" i="10"/>
  <c r="R147" i="10"/>
  <c r="R151" i="10"/>
  <c r="R23" i="10"/>
  <c r="R40" i="10"/>
  <c r="R48" i="10"/>
  <c r="R70" i="10"/>
  <c r="R80" i="10"/>
  <c r="P83" i="10"/>
  <c r="B541" i="28" s="1"/>
  <c r="R102" i="10"/>
  <c r="R112" i="10"/>
  <c r="R139" i="10"/>
  <c r="P35" i="10"/>
  <c r="B493" i="28" s="1"/>
  <c r="P102" i="10"/>
  <c r="B560" i="28" s="1"/>
  <c r="R37" i="10"/>
  <c r="P67" i="10"/>
  <c r="B525" i="28" s="1"/>
  <c r="P129" i="10"/>
  <c r="B587" i="28" s="1"/>
  <c r="R135" i="10"/>
  <c r="R68" i="10"/>
  <c r="R109" i="10"/>
  <c r="R123" i="10"/>
  <c r="G129" i="10"/>
  <c r="V129" i="10" s="1"/>
  <c r="R140" i="10"/>
  <c r="R149" i="10"/>
  <c r="P48" i="10"/>
  <c r="B506" i="28" s="1"/>
  <c r="R9" i="10"/>
  <c r="R27" i="10"/>
  <c r="R33" i="10"/>
  <c r="P62" i="10"/>
  <c r="B520" i="28" s="1"/>
  <c r="R10" i="10"/>
  <c r="R15" i="10"/>
  <c r="R60" i="10"/>
  <c r="R87" i="10"/>
  <c r="R127" i="10"/>
  <c r="R153" i="10"/>
  <c r="P56" i="10"/>
  <c r="B514" i="28" s="1"/>
  <c r="E56" i="10"/>
  <c r="R81" i="10"/>
  <c r="P70" i="10"/>
  <c r="B528" i="28" s="1"/>
  <c r="P96" i="10"/>
  <c r="B554" i="28" s="1"/>
  <c r="E102" i="10"/>
  <c r="P25" i="10"/>
  <c r="B483" i="28" s="1"/>
  <c r="R26" i="10"/>
  <c r="R47" i="10"/>
  <c r="P49" i="10"/>
  <c r="B507" i="28" s="1"/>
  <c r="R55" i="10"/>
  <c r="R79" i="10"/>
  <c r="P89" i="10"/>
  <c r="B547" i="28" s="1"/>
  <c r="R91" i="10"/>
  <c r="R94" i="10"/>
  <c r="P125" i="10"/>
  <c r="B583" i="28" s="1"/>
  <c r="G125" i="10"/>
  <c r="V125" i="10" s="1"/>
  <c r="P14" i="10"/>
  <c r="B472" i="28" s="1"/>
  <c r="P81" i="10"/>
  <c r="B539" i="28" s="1"/>
  <c r="R105" i="10"/>
  <c r="P64" i="10"/>
  <c r="B522" i="28" s="1"/>
  <c r="R77" i="10"/>
  <c r="P79" i="10"/>
  <c r="B537" i="28" s="1"/>
  <c r="R86" i="10"/>
  <c r="R89" i="10"/>
  <c r="P91" i="10"/>
  <c r="B549" i="28" s="1"/>
  <c r="P94" i="10"/>
  <c r="B552" i="28" s="1"/>
  <c r="E94" i="10"/>
  <c r="P113" i="10"/>
  <c r="B571" i="28" s="1"/>
  <c r="G113" i="10"/>
  <c r="V113" i="10" s="1"/>
  <c r="R132" i="10"/>
  <c r="E48" i="10"/>
  <c r="R36" i="10"/>
  <c r="P60" i="10"/>
  <c r="B518" i="28" s="1"/>
  <c r="E60" i="10"/>
  <c r="P84" i="10"/>
  <c r="B542" i="28" s="1"/>
  <c r="R17" i="10"/>
  <c r="P43" i="10"/>
  <c r="B501" i="28" s="1"/>
  <c r="P58" i="10"/>
  <c r="B516" i="28" s="1"/>
  <c r="E64" i="10"/>
  <c r="R83" i="10"/>
  <c r="R98" i="10"/>
  <c r="R101" i="10"/>
  <c r="P103" i="10"/>
  <c r="B561" i="28" s="1"/>
  <c r="R117" i="10"/>
  <c r="R14" i="10"/>
  <c r="R93" i="10"/>
  <c r="P11" i="10"/>
  <c r="B469" i="28" s="1"/>
  <c r="P34" i="10"/>
  <c r="B492" i="28" s="1"/>
  <c r="R84" i="10"/>
  <c r="P33" i="10"/>
  <c r="B491" i="28" s="1"/>
  <c r="P46" i="10"/>
  <c r="B504" i="28" s="1"/>
  <c r="P6" i="10"/>
  <c r="B464" i="28" s="1"/>
  <c r="E31" i="10"/>
  <c r="R31" i="10"/>
  <c r="P38" i="10"/>
  <c r="B496" i="28" s="1"/>
  <c r="P50" i="10"/>
  <c r="B508" i="28" s="1"/>
  <c r="R53" i="10"/>
  <c r="R56" i="10"/>
  <c r="R62" i="10"/>
  <c r="R66" i="10"/>
  <c r="P72" i="10"/>
  <c r="B530" i="28" s="1"/>
  <c r="R72" i="10"/>
  <c r="P74" i="10"/>
  <c r="B532" i="28" s="1"/>
  <c r="P95" i="10"/>
  <c r="B553" i="28" s="1"/>
  <c r="P98" i="10"/>
  <c r="B556" i="28" s="1"/>
  <c r="E98" i="10"/>
  <c r="P121" i="10"/>
  <c r="B579" i="28" s="1"/>
  <c r="R128" i="10"/>
  <c r="P156" i="10"/>
  <c r="B614" i="28" s="1"/>
  <c r="P10" i="10"/>
  <c r="B468" i="28" s="1"/>
  <c r="P12" i="10"/>
  <c r="B470" i="28" s="1"/>
  <c r="R18" i="10"/>
  <c r="P21" i="10"/>
  <c r="B479" i="28" s="1"/>
  <c r="P29" i="10"/>
  <c r="B487" i="28" s="1"/>
  <c r="R30" i="10"/>
  <c r="P39" i="10"/>
  <c r="B497" i="28" s="1"/>
  <c r="R49" i="10"/>
  <c r="P68" i="10"/>
  <c r="B526" i="28" s="1"/>
  <c r="R75" i="10"/>
  <c r="P87" i="10"/>
  <c r="B545" i="28" s="1"/>
  <c r="R103" i="10"/>
  <c r="R107" i="10"/>
  <c r="P117" i="10"/>
  <c r="B575" i="28" s="1"/>
  <c r="G121" i="10"/>
  <c r="V121" i="10" s="1"/>
  <c r="R124" i="10"/>
  <c r="P148" i="10"/>
  <c r="B606" i="28" s="1"/>
  <c r="R156" i="10"/>
  <c r="P144" i="10"/>
  <c r="B602" i="28" s="1"/>
  <c r="P152" i="10"/>
  <c r="B610" i="28" s="1"/>
  <c r="R3" i="10"/>
  <c r="P8" i="10"/>
  <c r="B466" i="28" s="1"/>
  <c r="R13" i="10"/>
  <c r="R22" i="10"/>
  <c r="R34" i="10"/>
  <c r="R45" i="10"/>
  <c r="R61" i="10"/>
  <c r="R71" i="10"/>
  <c r="P80" i="10"/>
  <c r="B538" i="28" s="1"/>
  <c r="R99" i="10"/>
  <c r="P109" i="10"/>
  <c r="B567" i="28" s="1"/>
  <c r="R116" i="10"/>
  <c r="E137" i="10"/>
  <c r="R144" i="10"/>
  <c r="P154" i="10"/>
  <c r="B612" i="28" s="1"/>
  <c r="R16" i="10"/>
  <c r="R19" i="10"/>
  <c r="P37" i="10"/>
  <c r="B495" i="28" s="1"/>
  <c r="R38" i="10"/>
  <c r="P45" i="10"/>
  <c r="B503" i="28" s="1"/>
  <c r="P52" i="10"/>
  <c r="B510" i="28" s="1"/>
  <c r="P54" i="10"/>
  <c r="B512" i="28" s="1"/>
  <c r="R59" i="10"/>
  <c r="P61" i="10"/>
  <c r="B519" i="28" s="1"/>
  <c r="P66" i="10"/>
  <c r="B524" i="28" s="1"/>
  <c r="R69" i="10"/>
  <c r="P71" i="10"/>
  <c r="B529" i="28" s="1"/>
  <c r="R88" i="10"/>
  <c r="P90" i="10"/>
  <c r="B548" i="28" s="1"/>
  <c r="P92" i="10"/>
  <c r="B550" i="28" s="1"/>
  <c r="R97" i="10"/>
  <c r="P99" i="10"/>
  <c r="B557" i="28" s="1"/>
  <c r="P106" i="10"/>
  <c r="B564" i="28" s="1"/>
  <c r="P137" i="10"/>
  <c r="B595" i="28" s="1"/>
  <c r="P41" i="10"/>
  <c r="B499" i="28" s="1"/>
  <c r="R42" i="10"/>
  <c r="R50" i="10"/>
  <c r="R57" i="10"/>
  <c r="R67" i="10"/>
  <c r="P73" i="10"/>
  <c r="B531" i="28" s="1"/>
  <c r="P76" i="10"/>
  <c r="B534" i="28" s="1"/>
  <c r="R76" i="10"/>
  <c r="P82" i="10"/>
  <c r="B540" i="28" s="1"/>
  <c r="R85" i="10"/>
  <c r="P88" i="10"/>
  <c r="B546" i="28" s="1"/>
  <c r="R95" i="10"/>
  <c r="R104" i="10"/>
  <c r="P133" i="10"/>
  <c r="B591" i="28" s="1"/>
  <c r="P142" i="10"/>
  <c r="B600" i="28" s="1"/>
  <c r="R155" i="10"/>
  <c r="E142" i="10"/>
  <c r="P145" i="10"/>
  <c r="B603" i="28" s="1"/>
  <c r="P114" i="10"/>
  <c r="B572" i="28" s="1"/>
  <c r="P126" i="10"/>
  <c r="B584" i="28" s="1"/>
  <c r="P130" i="10"/>
  <c r="B588" i="28" s="1"/>
  <c r="P134" i="10"/>
  <c r="B592" i="28" s="1"/>
  <c r="E114" i="10"/>
  <c r="R122" i="10"/>
  <c r="E126" i="10"/>
  <c r="E130" i="10"/>
  <c r="E134" i="10"/>
  <c r="R138" i="10"/>
  <c r="P150" i="10"/>
  <c r="B608" i="28" s="1"/>
  <c r="P141" i="10"/>
  <c r="B599" i="28" s="1"/>
  <c r="R150" i="10"/>
  <c r="E111" i="10"/>
  <c r="P111" i="10"/>
  <c r="B569" i="28" s="1"/>
  <c r="E115" i="10"/>
  <c r="P115" i="10"/>
  <c r="B573" i="28" s="1"/>
  <c r="E119" i="10"/>
  <c r="P119" i="10"/>
  <c r="B577" i="28" s="1"/>
  <c r="E123" i="10"/>
  <c r="P123" i="10"/>
  <c r="B581" i="28" s="1"/>
  <c r="E127" i="10"/>
  <c r="P127" i="10"/>
  <c r="B585" i="28" s="1"/>
  <c r="E131" i="10"/>
  <c r="P131" i="10"/>
  <c r="B589" i="28" s="1"/>
  <c r="E135" i="10"/>
  <c r="P135" i="10"/>
  <c r="B593" i="28" s="1"/>
  <c r="E139" i="10"/>
  <c r="P139" i="10"/>
  <c r="B597" i="28" s="1"/>
  <c r="R146" i="10"/>
  <c r="P149" i="10"/>
  <c r="B607" i="28" s="1"/>
  <c r="R142" i="10"/>
  <c r="E154" i="10"/>
  <c r="R154" i="10"/>
  <c r="P110" i="10"/>
  <c r="B568" i="28" s="1"/>
  <c r="P122" i="10"/>
  <c r="B580" i="28" s="1"/>
  <c r="R110" i="10"/>
  <c r="R114" i="10"/>
  <c r="R130" i="10"/>
  <c r="R134" i="10"/>
  <c r="E150" i="10"/>
  <c r="P153" i="10"/>
  <c r="B611" i="28" s="1"/>
  <c r="P108" i="10"/>
  <c r="B566" i="28" s="1"/>
  <c r="P112" i="10"/>
  <c r="B570" i="28" s="1"/>
  <c r="P116" i="10"/>
  <c r="B574" i="28" s="1"/>
  <c r="P120" i="10"/>
  <c r="B578" i="28" s="1"/>
  <c r="P124" i="10"/>
  <c r="B582" i="28" s="1"/>
  <c r="P128" i="10"/>
  <c r="B586" i="28" s="1"/>
  <c r="P132" i="10"/>
  <c r="B590" i="28" s="1"/>
  <c r="P136" i="10"/>
  <c r="B594" i="28" s="1"/>
  <c r="P140" i="10"/>
  <c r="B598" i="28" s="1"/>
  <c r="G141" i="10"/>
  <c r="V141" i="10" s="1"/>
  <c r="G153" i="10"/>
  <c r="V153" i="10" s="1"/>
  <c r="P118" i="10"/>
  <c r="B576" i="28" s="1"/>
  <c r="P138" i="10"/>
  <c r="B596" i="28" s="1"/>
  <c r="R118" i="10"/>
  <c r="E122" i="10"/>
  <c r="R126" i="10"/>
  <c r="P146" i="10"/>
  <c r="B604" i="28" s="1"/>
  <c r="P143" i="10"/>
  <c r="B601" i="28" s="1"/>
  <c r="P147" i="10"/>
  <c r="B605" i="28" s="1"/>
  <c r="P151" i="10"/>
  <c r="B609" i="28" s="1"/>
  <c r="P155" i="10"/>
  <c r="B613" i="28" s="1"/>
  <c r="P93" i="10"/>
  <c r="B551" i="28" s="1"/>
  <c r="P97" i="10"/>
  <c r="B555" i="28" s="1"/>
  <c r="P101" i="10"/>
  <c r="B559" i="28" s="1"/>
  <c r="P105" i="10"/>
  <c r="B563" i="28" s="1"/>
  <c r="E87" i="10"/>
  <c r="E91" i="10"/>
  <c r="E95" i="10"/>
  <c r="E99" i="10"/>
  <c r="E103" i="10"/>
  <c r="G88" i="10"/>
  <c r="V88" i="10" s="1"/>
  <c r="G92" i="10"/>
  <c r="V92" i="10" s="1"/>
  <c r="G96" i="10"/>
  <c r="V96" i="10" s="1"/>
  <c r="G100" i="10"/>
  <c r="V100" i="10" s="1"/>
  <c r="G104" i="10"/>
  <c r="V104" i="10" s="1"/>
  <c r="P77" i="10"/>
  <c r="B535" i="28" s="1"/>
  <c r="P85" i="10"/>
  <c r="B543" i="28" s="1"/>
  <c r="G66" i="10"/>
  <c r="V66" i="10" s="1"/>
  <c r="E67" i="10"/>
  <c r="I69" i="10"/>
  <c r="G70" i="10"/>
  <c r="V70" i="10" s="1"/>
  <c r="E71" i="10"/>
  <c r="I73" i="10"/>
  <c r="G74" i="10"/>
  <c r="V74" i="10" s="1"/>
  <c r="E75" i="10"/>
  <c r="G78" i="10"/>
  <c r="V78" i="10" s="1"/>
  <c r="E79" i="10"/>
  <c r="G82" i="10"/>
  <c r="V82" i="10" s="1"/>
  <c r="E83" i="10"/>
  <c r="G86" i="10"/>
  <c r="V86" i="10" s="1"/>
  <c r="E68" i="10"/>
  <c r="E72" i="10"/>
  <c r="E76" i="10"/>
  <c r="E80" i="10"/>
  <c r="E84" i="10"/>
  <c r="P47" i="10"/>
  <c r="B505" i="28" s="1"/>
  <c r="P51" i="10"/>
  <c r="B509" i="28" s="1"/>
  <c r="P55" i="10"/>
  <c r="B513" i="28" s="1"/>
  <c r="P59" i="10"/>
  <c r="B517" i="28" s="1"/>
  <c r="P63" i="10"/>
  <c r="B521" i="28" s="1"/>
  <c r="E45" i="10"/>
  <c r="E49" i="10"/>
  <c r="E53" i="10"/>
  <c r="E57" i="10"/>
  <c r="E61" i="10"/>
  <c r="G46" i="10"/>
  <c r="V46" i="10" s="1"/>
  <c r="G50" i="10"/>
  <c r="V50" i="10" s="1"/>
  <c r="G54" i="10"/>
  <c r="V54" i="10" s="1"/>
  <c r="G58" i="10"/>
  <c r="V58" i="10" s="1"/>
  <c r="G62" i="10"/>
  <c r="V62" i="10" s="1"/>
  <c r="G27" i="10"/>
  <c r="V27" i="10" s="1"/>
  <c r="E28" i="10"/>
  <c r="G35" i="10"/>
  <c r="V35" i="10" s="1"/>
  <c r="E36" i="10"/>
  <c r="I38" i="10"/>
  <c r="G39" i="10"/>
  <c r="V39" i="10" s="1"/>
  <c r="E40" i="10"/>
  <c r="G43" i="10"/>
  <c r="V43" i="10" s="1"/>
  <c r="P31" i="10"/>
  <c r="B489" i="28" s="1"/>
  <c r="E25" i="10"/>
  <c r="E29" i="10"/>
  <c r="E33" i="10"/>
  <c r="E37" i="10"/>
  <c r="E41" i="10"/>
  <c r="P30" i="10"/>
  <c r="B488" i="28" s="1"/>
  <c r="P42" i="10"/>
  <c r="B500" i="28" s="1"/>
  <c r="P32" i="10"/>
  <c r="B490" i="28" s="1"/>
  <c r="P36" i="10"/>
  <c r="B494" i="28" s="1"/>
  <c r="P40" i="10"/>
  <c r="B498" i="28" s="1"/>
  <c r="P26" i="10"/>
  <c r="B484" i="28" s="1"/>
  <c r="E24" i="10"/>
  <c r="R28" i="10"/>
  <c r="R32" i="10"/>
  <c r="P24" i="10"/>
  <c r="B482" i="28" s="1"/>
  <c r="E23" i="10"/>
  <c r="P15" i="10"/>
  <c r="B473" i="28" s="1"/>
  <c r="G15" i="10"/>
  <c r="V15" i="10" s="1"/>
  <c r="E16" i="10"/>
  <c r="P16" i="10"/>
  <c r="B474" i="28" s="1"/>
  <c r="E12" i="10"/>
  <c r="R12" i="10"/>
  <c r="P7" i="10"/>
  <c r="B465" i="28" s="1"/>
  <c r="P9" i="10"/>
  <c r="B467" i="28" s="1"/>
  <c r="E4" i="10"/>
  <c r="R4" i="10"/>
  <c r="G7" i="10"/>
  <c r="V7" i="10" s="1"/>
  <c r="P22" i="10"/>
  <c r="B480" i="28" s="1"/>
  <c r="G19" i="10"/>
  <c r="V19" i="10" s="1"/>
  <c r="P19" i="10"/>
  <c r="B477" i="28" s="1"/>
  <c r="R20" i="10"/>
  <c r="P13" i="10"/>
  <c r="B471" i="28" s="1"/>
  <c r="P20" i="10"/>
  <c r="B478" i="28" s="1"/>
  <c r="E20" i="10"/>
  <c r="G3" i="10"/>
  <c r="V3" i="10" s="1"/>
  <c r="E8" i="10"/>
  <c r="R8" i="10"/>
  <c r="G11" i="10"/>
  <c r="V11" i="10" s="1"/>
  <c r="P18" i="10"/>
  <c r="B476" i="28" s="1"/>
  <c r="E5" i="10"/>
  <c r="P5" i="10" s="1"/>
  <c r="B463" i="28" s="1"/>
  <c r="E9" i="10"/>
  <c r="E13" i="10"/>
  <c r="E21" i="10"/>
  <c r="P17" i="10"/>
  <c r="B475" i="28" s="1"/>
  <c r="P767" i="10"/>
  <c r="P840" i="10"/>
  <c r="P814" i="10"/>
  <c r="P831" i="10"/>
  <c r="P694" i="10"/>
  <c r="P839" i="10"/>
  <c r="P761" i="10"/>
  <c r="P816" i="10"/>
  <c r="P817" i="10"/>
  <c r="P762" i="10"/>
  <c r="P757" i="10"/>
  <c r="P656" i="10"/>
  <c r="P747" i="10"/>
  <c r="P739" i="10"/>
  <c r="P683" i="10"/>
  <c r="P647" i="10"/>
  <c r="P734" i="10"/>
  <c r="P653" i="10"/>
  <c r="P740" i="10"/>
  <c r="P689" i="10"/>
  <c r="P813" i="10"/>
  <c r="P718" i="10"/>
  <c r="P658" i="10"/>
  <c r="P744" i="10"/>
  <c r="P778" i="10"/>
  <c r="P777" i="10"/>
  <c r="P788" i="10"/>
  <c r="P701" i="10"/>
  <c r="P684" i="10"/>
  <c r="P671" i="10"/>
  <c r="P755" i="10"/>
  <c r="P665" i="10"/>
  <c r="P704" i="10"/>
  <c r="P759" i="10"/>
  <c r="P670" i="10"/>
  <c r="P733" i="10"/>
  <c r="P730" i="10"/>
  <c r="P731" i="10"/>
  <c r="P721" i="10"/>
  <c r="P843" i="10"/>
  <c r="P172" i="10"/>
  <c r="P706" i="10"/>
  <c r="P741" i="10"/>
  <c r="P705" i="10"/>
  <c r="P760" i="10"/>
  <c r="P842" i="10"/>
  <c r="P830" i="10"/>
  <c r="P736" i="10"/>
  <c r="P157" i="10"/>
  <c r="R843" i="10"/>
  <c r="R842" i="10"/>
  <c r="R840" i="10"/>
  <c r="R839" i="10"/>
  <c r="R831" i="10"/>
  <c r="R830" i="10"/>
  <c r="R817" i="10"/>
  <c r="R816" i="10"/>
  <c r="R814" i="10"/>
  <c r="R813" i="10"/>
  <c r="R812" i="10"/>
  <c r="R788" i="10"/>
  <c r="R778" i="10"/>
  <c r="R777" i="10"/>
  <c r="R767" i="10"/>
  <c r="R762" i="10"/>
  <c r="R761" i="10"/>
  <c r="R760" i="10"/>
  <c r="R759" i="10"/>
  <c r="R757" i="10"/>
  <c r="R755" i="10"/>
  <c r="R749" i="10"/>
  <c r="R747" i="10"/>
  <c r="R744" i="10"/>
  <c r="R741" i="10"/>
  <c r="R740" i="10"/>
  <c r="R739" i="10"/>
  <c r="R738" i="10"/>
  <c r="R736" i="10"/>
  <c r="R734" i="10"/>
  <c r="R733" i="10"/>
  <c r="R731" i="10"/>
  <c r="R730" i="10"/>
  <c r="R721" i="10"/>
  <c r="R718" i="10"/>
  <c r="R717" i="10"/>
  <c r="R716" i="10"/>
  <c r="R715" i="10"/>
  <c r="R714" i="10"/>
  <c r="R713" i="10"/>
  <c r="R712" i="10"/>
  <c r="R711" i="10"/>
  <c r="R710" i="10"/>
  <c r="R709" i="10"/>
  <c r="R708" i="10"/>
  <c r="R706" i="10"/>
  <c r="R705" i="10"/>
  <c r="R704" i="10"/>
  <c r="R701" i="10"/>
  <c r="R694" i="10"/>
  <c r="R689" i="10"/>
  <c r="R685" i="10"/>
  <c r="R684" i="10"/>
  <c r="R683" i="10"/>
  <c r="R681" i="10"/>
  <c r="R680" i="10"/>
  <c r="R679" i="10"/>
  <c r="R678" i="10"/>
  <c r="R677" i="10"/>
  <c r="R676" i="10"/>
  <c r="R675" i="10"/>
  <c r="R674" i="10"/>
  <c r="R673" i="10"/>
  <c r="R672" i="10"/>
  <c r="R671" i="10"/>
  <c r="R670" i="10"/>
  <c r="R665" i="10"/>
  <c r="R658" i="10"/>
  <c r="R656" i="10"/>
  <c r="R653" i="10"/>
  <c r="R647" i="10"/>
  <c r="R172" i="10"/>
  <c r="R162" i="10"/>
  <c r="R157" i="10"/>
  <c r="R2" i="10"/>
  <c r="O2" i="10"/>
  <c r="T844" i="10"/>
  <c r="O844" i="10"/>
  <c r="M844" i="10"/>
  <c r="K844" i="10"/>
  <c r="I844" i="10"/>
  <c r="T843" i="10"/>
  <c r="M843" i="10"/>
  <c r="K843" i="10"/>
  <c r="I843" i="10"/>
  <c r="G843" i="10"/>
  <c r="V843" i="10" s="1"/>
  <c r="E843" i="10"/>
  <c r="T842" i="10"/>
  <c r="O842" i="10"/>
  <c r="M842" i="10"/>
  <c r="K842" i="10"/>
  <c r="I842" i="10"/>
  <c r="G842" i="10"/>
  <c r="V842" i="10" s="1"/>
  <c r="E842" i="10"/>
  <c r="T841" i="10"/>
  <c r="O841" i="10"/>
  <c r="M841" i="10"/>
  <c r="K841" i="10"/>
  <c r="I841" i="10"/>
  <c r="T840" i="10"/>
  <c r="O840" i="10"/>
  <c r="M840" i="10"/>
  <c r="K840" i="10"/>
  <c r="I840" i="10"/>
  <c r="G840" i="10"/>
  <c r="V840" i="10" s="1"/>
  <c r="E840" i="10"/>
  <c r="T839" i="10"/>
  <c r="O839" i="10"/>
  <c r="M839" i="10"/>
  <c r="K839" i="10"/>
  <c r="I839" i="10"/>
  <c r="G839" i="10"/>
  <c r="V839" i="10" s="1"/>
  <c r="E839" i="10"/>
  <c r="T838" i="10"/>
  <c r="O838" i="10"/>
  <c r="M838" i="10"/>
  <c r="K838" i="10"/>
  <c r="I838" i="10"/>
  <c r="T837" i="10"/>
  <c r="O837" i="10"/>
  <c r="M837" i="10"/>
  <c r="K837" i="10"/>
  <c r="I837" i="10"/>
  <c r="T836" i="10"/>
  <c r="O836" i="10"/>
  <c r="M836" i="10"/>
  <c r="K836" i="10"/>
  <c r="I836" i="10"/>
  <c r="T835" i="10"/>
  <c r="O835" i="10"/>
  <c r="M835" i="10"/>
  <c r="K835" i="10"/>
  <c r="I835" i="10"/>
  <c r="T834" i="10"/>
  <c r="O834" i="10"/>
  <c r="M834" i="10"/>
  <c r="K834" i="10"/>
  <c r="I834" i="10"/>
  <c r="T833" i="10"/>
  <c r="O833" i="10"/>
  <c r="M833" i="10"/>
  <c r="K833" i="10"/>
  <c r="I833" i="10"/>
  <c r="T832" i="10"/>
  <c r="O832" i="10"/>
  <c r="M832" i="10"/>
  <c r="K832" i="10"/>
  <c r="I832" i="10"/>
  <c r="T831" i="10"/>
  <c r="O831" i="10"/>
  <c r="M831" i="10"/>
  <c r="K831" i="10"/>
  <c r="I831" i="10"/>
  <c r="G831" i="10"/>
  <c r="V831" i="10" s="1"/>
  <c r="E831" i="10"/>
  <c r="T830" i="10"/>
  <c r="O830" i="10"/>
  <c r="M830" i="10"/>
  <c r="K830" i="10"/>
  <c r="I830" i="10"/>
  <c r="G830" i="10"/>
  <c r="V830" i="10" s="1"/>
  <c r="E830" i="10"/>
  <c r="T829" i="10"/>
  <c r="O829" i="10"/>
  <c r="M829" i="10"/>
  <c r="K829" i="10"/>
  <c r="I829" i="10"/>
  <c r="T828" i="10"/>
  <c r="O828" i="10"/>
  <c r="M828" i="10"/>
  <c r="K828" i="10"/>
  <c r="I828" i="10"/>
  <c r="T827" i="10"/>
  <c r="O827" i="10"/>
  <c r="M827" i="10"/>
  <c r="K827" i="10"/>
  <c r="I827" i="10"/>
  <c r="T826" i="10"/>
  <c r="O826" i="10"/>
  <c r="M826" i="10"/>
  <c r="K826" i="10"/>
  <c r="G826" i="10"/>
  <c r="V826" i="10" s="1"/>
  <c r="T825" i="10"/>
  <c r="O825" i="10"/>
  <c r="M825" i="10"/>
  <c r="K825" i="10"/>
  <c r="I825" i="10"/>
  <c r="T824" i="10"/>
  <c r="O824" i="10"/>
  <c r="M824" i="10"/>
  <c r="K824" i="10"/>
  <c r="I824" i="10"/>
  <c r="T823" i="10"/>
  <c r="O823" i="10"/>
  <c r="M823" i="10"/>
  <c r="K823" i="10"/>
  <c r="I823" i="10"/>
  <c r="T822" i="10"/>
  <c r="O822" i="10"/>
  <c r="M822" i="10"/>
  <c r="K822" i="10"/>
  <c r="G822" i="10"/>
  <c r="V822" i="10" s="1"/>
  <c r="T821" i="10"/>
  <c r="O821" i="10"/>
  <c r="M821" i="10"/>
  <c r="K821" i="10"/>
  <c r="I821" i="10"/>
  <c r="T820" i="10"/>
  <c r="O820" i="10"/>
  <c r="M820" i="10"/>
  <c r="K820" i="10"/>
  <c r="I820" i="10"/>
  <c r="T819" i="10"/>
  <c r="O819" i="10"/>
  <c r="M819" i="10"/>
  <c r="K819" i="10"/>
  <c r="I819" i="10"/>
  <c r="T818" i="10"/>
  <c r="O818" i="10"/>
  <c r="M818" i="10"/>
  <c r="K818" i="10"/>
  <c r="I818" i="10"/>
  <c r="T817" i="10"/>
  <c r="O817" i="10"/>
  <c r="M817" i="10"/>
  <c r="K817" i="10"/>
  <c r="I817" i="10"/>
  <c r="G817" i="10"/>
  <c r="V817" i="10" s="1"/>
  <c r="E817" i="10"/>
  <c r="T816" i="10"/>
  <c r="O816" i="10"/>
  <c r="M816" i="10"/>
  <c r="K816" i="10"/>
  <c r="I816" i="10"/>
  <c r="G816" i="10"/>
  <c r="V816" i="10" s="1"/>
  <c r="E816" i="10"/>
  <c r="T815" i="10"/>
  <c r="O815" i="10"/>
  <c r="M815" i="10"/>
  <c r="K815" i="10"/>
  <c r="I815" i="10"/>
  <c r="T814" i="10"/>
  <c r="O814" i="10"/>
  <c r="M814" i="10"/>
  <c r="K814" i="10"/>
  <c r="I814" i="10"/>
  <c r="G814" i="10"/>
  <c r="V814" i="10" s="1"/>
  <c r="E814" i="10"/>
  <c r="T813" i="10"/>
  <c r="O813" i="10"/>
  <c r="M813" i="10"/>
  <c r="K813" i="10"/>
  <c r="I813" i="10"/>
  <c r="G813" i="10"/>
  <c r="V813" i="10" s="1"/>
  <c r="E813" i="10"/>
  <c r="T812" i="10"/>
  <c r="M812" i="10"/>
  <c r="I812" i="10"/>
  <c r="G812" i="10"/>
  <c r="V812" i="10" s="1"/>
  <c r="E812" i="10"/>
  <c r="T811" i="10"/>
  <c r="O811" i="10"/>
  <c r="M811" i="10"/>
  <c r="K811" i="10"/>
  <c r="I811" i="10"/>
  <c r="T810" i="10"/>
  <c r="O810" i="10"/>
  <c r="M810" i="10"/>
  <c r="K810" i="10"/>
  <c r="I810" i="10"/>
  <c r="T809" i="10"/>
  <c r="O809" i="10"/>
  <c r="M809" i="10"/>
  <c r="K809" i="10"/>
  <c r="I809" i="10"/>
  <c r="T808" i="10"/>
  <c r="O808" i="10"/>
  <c r="M808" i="10"/>
  <c r="K808" i="10"/>
  <c r="I808" i="10"/>
  <c r="T807" i="10"/>
  <c r="O807" i="10"/>
  <c r="M807" i="10"/>
  <c r="K807" i="10"/>
  <c r="I807" i="10"/>
  <c r="T806" i="10"/>
  <c r="O806" i="10"/>
  <c r="M806" i="10"/>
  <c r="K806" i="10"/>
  <c r="I806" i="10"/>
  <c r="T805" i="10"/>
  <c r="O805" i="10"/>
  <c r="M805" i="10"/>
  <c r="K805" i="10"/>
  <c r="I805" i="10"/>
  <c r="T804" i="10"/>
  <c r="O804" i="10"/>
  <c r="M804" i="10"/>
  <c r="K804" i="10"/>
  <c r="I804" i="10"/>
  <c r="T803" i="10"/>
  <c r="O803" i="10"/>
  <c r="M803" i="10"/>
  <c r="K803" i="10"/>
  <c r="I803" i="10"/>
  <c r="T802" i="10"/>
  <c r="O802" i="10"/>
  <c r="M802" i="10"/>
  <c r="K802" i="10"/>
  <c r="I802" i="10"/>
  <c r="T801" i="10"/>
  <c r="O801" i="10"/>
  <c r="M801" i="10"/>
  <c r="K801" i="10"/>
  <c r="I801" i="10"/>
  <c r="T800" i="10"/>
  <c r="O800" i="10"/>
  <c r="M800" i="10"/>
  <c r="K800" i="10"/>
  <c r="I800" i="10"/>
  <c r="T799" i="10"/>
  <c r="O799" i="10"/>
  <c r="M799" i="10"/>
  <c r="K799" i="10"/>
  <c r="I799" i="10"/>
  <c r="T798" i="10"/>
  <c r="O798" i="10"/>
  <c r="M798" i="10"/>
  <c r="K798" i="10"/>
  <c r="I798" i="10"/>
  <c r="T797" i="10"/>
  <c r="O797" i="10"/>
  <c r="M797" i="10"/>
  <c r="K797" i="10"/>
  <c r="I797" i="10"/>
  <c r="T796" i="10"/>
  <c r="O796" i="10"/>
  <c r="M796" i="10"/>
  <c r="K796" i="10"/>
  <c r="I796" i="10"/>
  <c r="T795" i="10"/>
  <c r="O795" i="10"/>
  <c r="M795" i="10"/>
  <c r="K795" i="10"/>
  <c r="I795" i="10"/>
  <c r="T794" i="10"/>
  <c r="O794" i="10"/>
  <c r="M794" i="10"/>
  <c r="K794" i="10"/>
  <c r="I794" i="10"/>
  <c r="T793" i="10"/>
  <c r="O793" i="10"/>
  <c r="M793" i="10"/>
  <c r="K793" i="10"/>
  <c r="I793" i="10"/>
  <c r="T792" i="10"/>
  <c r="O792" i="10"/>
  <c r="M792" i="10"/>
  <c r="K792" i="10"/>
  <c r="I792" i="10"/>
  <c r="T791" i="10"/>
  <c r="O791" i="10"/>
  <c r="M791" i="10"/>
  <c r="K791" i="10"/>
  <c r="I791" i="10"/>
  <c r="T790" i="10"/>
  <c r="O790" i="10"/>
  <c r="M790" i="10"/>
  <c r="K790" i="10"/>
  <c r="I790" i="10"/>
  <c r="T789" i="10"/>
  <c r="O789" i="10"/>
  <c r="M789" i="10"/>
  <c r="K789" i="10"/>
  <c r="I789" i="10"/>
  <c r="T788" i="10"/>
  <c r="O788" i="10"/>
  <c r="M788" i="10"/>
  <c r="K788" i="10"/>
  <c r="I788" i="10"/>
  <c r="G788" i="10"/>
  <c r="V788" i="10" s="1"/>
  <c r="E788" i="10"/>
  <c r="T787" i="10"/>
  <c r="O787" i="10"/>
  <c r="M787" i="10"/>
  <c r="K787" i="10"/>
  <c r="I787" i="10"/>
  <c r="T786" i="10"/>
  <c r="O786" i="10"/>
  <c r="M786" i="10"/>
  <c r="K786" i="10"/>
  <c r="I786" i="10"/>
  <c r="T785" i="10"/>
  <c r="O785" i="10"/>
  <c r="M785" i="10"/>
  <c r="K785" i="10"/>
  <c r="G785" i="10"/>
  <c r="V785" i="10" s="1"/>
  <c r="T784" i="10"/>
  <c r="O784" i="10"/>
  <c r="M784" i="10"/>
  <c r="K784" i="10"/>
  <c r="I784" i="10"/>
  <c r="T783" i="10"/>
  <c r="O783" i="10"/>
  <c r="M783" i="10"/>
  <c r="K783" i="10"/>
  <c r="I783" i="10"/>
  <c r="T782" i="10"/>
  <c r="M782" i="10"/>
  <c r="K782" i="10"/>
  <c r="G782" i="10"/>
  <c r="V782" i="10" s="1"/>
  <c r="T781" i="10"/>
  <c r="O781" i="10"/>
  <c r="M781" i="10"/>
  <c r="K781" i="10"/>
  <c r="I781" i="10"/>
  <c r="T780" i="10"/>
  <c r="O780" i="10"/>
  <c r="M780" i="10"/>
  <c r="K780" i="10"/>
  <c r="I780" i="10"/>
  <c r="T779" i="10"/>
  <c r="O779" i="10"/>
  <c r="M779" i="10"/>
  <c r="K779" i="10"/>
  <c r="I779" i="10"/>
  <c r="T778" i="10"/>
  <c r="O778" i="10"/>
  <c r="M778" i="10"/>
  <c r="K778" i="10"/>
  <c r="I778" i="10"/>
  <c r="G778" i="10"/>
  <c r="V778" i="10" s="1"/>
  <c r="E778" i="10"/>
  <c r="T777" i="10"/>
  <c r="O777" i="10"/>
  <c r="M777" i="10"/>
  <c r="K777" i="10"/>
  <c r="I777" i="10"/>
  <c r="G777" i="10"/>
  <c r="V777" i="10" s="1"/>
  <c r="E777" i="10"/>
  <c r="T776" i="10"/>
  <c r="O776" i="10"/>
  <c r="M776" i="10"/>
  <c r="K776" i="10"/>
  <c r="I776" i="10"/>
  <c r="T775" i="10"/>
  <c r="O775" i="10"/>
  <c r="M775" i="10"/>
  <c r="K775" i="10"/>
  <c r="I775" i="10"/>
  <c r="T774" i="10"/>
  <c r="O774" i="10"/>
  <c r="M774" i="10"/>
  <c r="K774" i="10"/>
  <c r="I774" i="10"/>
  <c r="T773" i="10"/>
  <c r="O773" i="10"/>
  <c r="M773" i="10"/>
  <c r="K773" i="10"/>
  <c r="I773" i="10"/>
  <c r="T772" i="10"/>
  <c r="O772" i="10"/>
  <c r="M772" i="10"/>
  <c r="K772" i="10"/>
  <c r="I772" i="10"/>
  <c r="T771" i="10"/>
  <c r="O771" i="10"/>
  <c r="M771" i="10"/>
  <c r="K771" i="10"/>
  <c r="I771" i="10"/>
  <c r="T770" i="10"/>
  <c r="O770" i="10"/>
  <c r="M770" i="10"/>
  <c r="K770" i="10"/>
  <c r="I770" i="10"/>
  <c r="T769" i="10"/>
  <c r="M769" i="10"/>
  <c r="K769" i="10"/>
  <c r="I769" i="10"/>
  <c r="G769" i="10"/>
  <c r="V769" i="10" s="1"/>
  <c r="T768" i="10"/>
  <c r="O768" i="10"/>
  <c r="M768" i="10"/>
  <c r="K768" i="10"/>
  <c r="I768" i="10"/>
  <c r="T767" i="10"/>
  <c r="O767" i="10"/>
  <c r="M767" i="10"/>
  <c r="K767" i="10"/>
  <c r="I767" i="10"/>
  <c r="G767" i="10"/>
  <c r="V767" i="10" s="1"/>
  <c r="E767" i="10"/>
  <c r="T766" i="10"/>
  <c r="O766" i="10"/>
  <c r="M766" i="10"/>
  <c r="K766" i="10"/>
  <c r="I766" i="10"/>
  <c r="T765" i="10"/>
  <c r="O765" i="10"/>
  <c r="M765" i="10"/>
  <c r="K765" i="10"/>
  <c r="I765" i="10"/>
  <c r="T764" i="10"/>
  <c r="O764" i="10"/>
  <c r="M764" i="10"/>
  <c r="K764" i="10"/>
  <c r="I764" i="10"/>
  <c r="T763" i="10"/>
  <c r="O763" i="10"/>
  <c r="M763" i="10"/>
  <c r="K763" i="10"/>
  <c r="I763" i="10"/>
  <c r="T762" i="10"/>
  <c r="O762" i="10"/>
  <c r="M762" i="10"/>
  <c r="K762" i="10"/>
  <c r="I762" i="10"/>
  <c r="G762" i="10"/>
  <c r="V762" i="10" s="1"/>
  <c r="E762" i="10"/>
  <c r="T761" i="10"/>
  <c r="O761" i="10"/>
  <c r="M761" i="10"/>
  <c r="K761" i="10"/>
  <c r="I761" i="10"/>
  <c r="G761" i="10"/>
  <c r="V761" i="10" s="1"/>
  <c r="E761" i="10"/>
  <c r="T760" i="10"/>
  <c r="O760" i="10"/>
  <c r="M760" i="10"/>
  <c r="K760" i="10"/>
  <c r="I760" i="10"/>
  <c r="G760" i="10"/>
  <c r="V760" i="10" s="1"/>
  <c r="E760" i="10"/>
  <c r="T759" i="10"/>
  <c r="O759" i="10"/>
  <c r="M759" i="10"/>
  <c r="K759" i="10"/>
  <c r="I759" i="10"/>
  <c r="G759" i="10"/>
  <c r="V759" i="10" s="1"/>
  <c r="E759" i="10"/>
  <c r="T758" i="10"/>
  <c r="O758" i="10"/>
  <c r="M758" i="10"/>
  <c r="K758" i="10"/>
  <c r="I758" i="10"/>
  <c r="T757" i="10"/>
  <c r="O757" i="10"/>
  <c r="M757" i="10"/>
  <c r="K757" i="10"/>
  <c r="I757" i="10"/>
  <c r="G757" i="10"/>
  <c r="V757" i="10" s="1"/>
  <c r="E757" i="10"/>
  <c r="T756" i="10"/>
  <c r="O756" i="10"/>
  <c r="M756" i="10"/>
  <c r="K756" i="10"/>
  <c r="I756" i="10"/>
  <c r="T755" i="10"/>
  <c r="O755" i="10"/>
  <c r="M755" i="10"/>
  <c r="K755" i="10"/>
  <c r="I755" i="10"/>
  <c r="G755" i="10"/>
  <c r="V755" i="10" s="1"/>
  <c r="E755" i="10"/>
  <c r="T754" i="10"/>
  <c r="O754" i="10"/>
  <c r="M754" i="10"/>
  <c r="K754" i="10"/>
  <c r="I754" i="10"/>
  <c r="G754" i="10"/>
  <c r="V754" i="10" s="1"/>
  <c r="T753" i="10"/>
  <c r="O753" i="10"/>
  <c r="M753" i="10"/>
  <c r="K753" i="10"/>
  <c r="I753" i="10"/>
  <c r="T752" i="10"/>
  <c r="O752" i="10"/>
  <c r="M752" i="10"/>
  <c r="K752" i="10"/>
  <c r="I752" i="10"/>
  <c r="T751" i="10"/>
  <c r="O751" i="10"/>
  <c r="M751" i="10"/>
  <c r="K751" i="10"/>
  <c r="I751" i="10"/>
  <c r="T750" i="10"/>
  <c r="O750" i="10"/>
  <c r="M750" i="10"/>
  <c r="K750" i="10"/>
  <c r="I750" i="10"/>
  <c r="T749" i="10"/>
  <c r="M749" i="10"/>
  <c r="K749" i="10"/>
  <c r="I749" i="10"/>
  <c r="E749" i="10"/>
  <c r="T748" i="10"/>
  <c r="O748" i="10"/>
  <c r="M748" i="10"/>
  <c r="K748" i="10"/>
  <c r="I748" i="10"/>
  <c r="T747" i="10"/>
  <c r="O747" i="10"/>
  <c r="M747" i="10"/>
  <c r="K747" i="10"/>
  <c r="I747" i="10"/>
  <c r="G747" i="10"/>
  <c r="V747" i="10" s="1"/>
  <c r="E747" i="10"/>
  <c r="T746" i="10"/>
  <c r="O746" i="10"/>
  <c r="M746" i="10"/>
  <c r="K746" i="10"/>
  <c r="I746" i="10"/>
  <c r="T745" i="10"/>
  <c r="O745" i="10"/>
  <c r="M745" i="10"/>
  <c r="K745" i="10"/>
  <c r="I745" i="10"/>
  <c r="T744" i="10"/>
  <c r="O744" i="10"/>
  <c r="M744" i="10"/>
  <c r="K744" i="10"/>
  <c r="I744" i="10"/>
  <c r="G744" i="10"/>
  <c r="V744" i="10" s="1"/>
  <c r="E744" i="10"/>
  <c r="T743" i="10"/>
  <c r="M743" i="10"/>
  <c r="K743" i="10"/>
  <c r="I743" i="10"/>
  <c r="T742" i="10"/>
  <c r="O742" i="10"/>
  <c r="M742" i="10"/>
  <c r="K742" i="10"/>
  <c r="I742" i="10"/>
  <c r="T741" i="10"/>
  <c r="O741" i="10"/>
  <c r="M741" i="10"/>
  <c r="K741" i="10"/>
  <c r="I741" i="10"/>
  <c r="G741" i="10"/>
  <c r="V741" i="10" s="1"/>
  <c r="E741" i="10"/>
  <c r="T740" i="10"/>
  <c r="O740" i="10"/>
  <c r="M740" i="10"/>
  <c r="K740" i="10"/>
  <c r="I740" i="10"/>
  <c r="G740" i="10"/>
  <c r="V740" i="10" s="1"/>
  <c r="E740" i="10"/>
  <c r="T739" i="10"/>
  <c r="O739" i="10"/>
  <c r="M739" i="10"/>
  <c r="K739" i="10"/>
  <c r="I739" i="10"/>
  <c r="G739" i="10"/>
  <c r="V739" i="10" s="1"/>
  <c r="E739" i="10"/>
  <c r="T738" i="10"/>
  <c r="O738" i="10"/>
  <c r="K738" i="10"/>
  <c r="I738" i="10"/>
  <c r="G738" i="10"/>
  <c r="V738" i="10" s="1"/>
  <c r="E738" i="10"/>
  <c r="T737" i="10"/>
  <c r="O737" i="10"/>
  <c r="M737" i="10"/>
  <c r="K737" i="10"/>
  <c r="I737" i="10"/>
  <c r="T736" i="10"/>
  <c r="O736" i="10"/>
  <c r="M736" i="10"/>
  <c r="K736" i="10"/>
  <c r="I736" i="10"/>
  <c r="G736" i="10"/>
  <c r="V736" i="10" s="1"/>
  <c r="E736" i="10"/>
  <c r="T735" i="10"/>
  <c r="O735" i="10"/>
  <c r="M735" i="10"/>
  <c r="K735" i="10"/>
  <c r="I735" i="10"/>
  <c r="T734" i="10"/>
  <c r="O734" i="10"/>
  <c r="M734" i="10"/>
  <c r="K734" i="10"/>
  <c r="I734" i="10"/>
  <c r="G734" i="10"/>
  <c r="V734" i="10" s="1"/>
  <c r="E734" i="10"/>
  <c r="T733" i="10"/>
  <c r="O733" i="10"/>
  <c r="M733" i="10"/>
  <c r="K733" i="10"/>
  <c r="I733" i="10"/>
  <c r="G733" i="10"/>
  <c r="V733" i="10" s="1"/>
  <c r="E733" i="10"/>
  <c r="T732" i="10"/>
  <c r="O732" i="10"/>
  <c r="M732" i="10"/>
  <c r="K732" i="10"/>
  <c r="I732" i="10"/>
  <c r="T731" i="10"/>
  <c r="O731" i="10"/>
  <c r="M731" i="10"/>
  <c r="K731" i="10"/>
  <c r="I731" i="10"/>
  <c r="G731" i="10"/>
  <c r="V731" i="10" s="1"/>
  <c r="E731" i="10"/>
  <c r="T730" i="10"/>
  <c r="O730" i="10"/>
  <c r="M730" i="10"/>
  <c r="K730" i="10"/>
  <c r="I730" i="10"/>
  <c r="G730" i="10"/>
  <c r="V730" i="10" s="1"/>
  <c r="E730" i="10"/>
  <c r="T729" i="10"/>
  <c r="O729" i="10"/>
  <c r="M729" i="10"/>
  <c r="K729" i="10"/>
  <c r="I729" i="10"/>
  <c r="T728" i="10"/>
  <c r="O728" i="10"/>
  <c r="M728" i="10"/>
  <c r="K728" i="10"/>
  <c r="I728" i="10"/>
  <c r="T727" i="10"/>
  <c r="O727" i="10"/>
  <c r="M727" i="10"/>
  <c r="K727" i="10"/>
  <c r="I727" i="10"/>
  <c r="T726" i="10"/>
  <c r="O726" i="10"/>
  <c r="M726" i="10"/>
  <c r="K726" i="10"/>
  <c r="I726" i="10"/>
  <c r="T725" i="10"/>
  <c r="M725" i="10"/>
  <c r="K725" i="10"/>
  <c r="I725" i="10"/>
  <c r="G725" i="10"/>
  <c r="V725" i="10" s="1"/>
  <c r="T724" i="10"/>
  <c r="O724" i="10"/>
  <c r="M724" i="10"/>
  <c r="K724" i="10"/>
  <c r="I724" i="10"/>
  <c r="T723" i="10"/>
  <c r="O723" i="10"/>
  <c r="M723" i="10"/>
  <c r="K723" i="10"/>
  <c r="I723" i="10"/>
  <c r="T722" i="10"/>
  <c r="O722" i="10"/>
  <c r="M722" i="10"/>
  <c r="K722" i="10"/>
  <c r="I722" i="10"/>
  <c r="T721" i="10"/>
  <c r="O721" i="10"/>
  <c r="M721" i="10"/>
  <c r="K721" i="10"/>
  <c r="I721" i="10"/>
  <c r="G721" i="10"/>
  <c r="V721" i="10" s="1"/>
  <c r="E721" i="10"/>
  <c r="T720" i="10"/>
  <c r="O720" i="10"/>
  <c r="M720" i="10"/>
  <c r="K720" i="10"/>
  <c r="I720" i="10"/>
  <c r="T719" i="10"/>
  <c r="O719" i="10"/>
  <c r="M719" i="10"/>
  <c r="K719" i="10"/>
  <c r="I719" i="10"/>
  <c r="T718" i="10"/>
  <c r="O718" i="10"/>
  <c r="M718" i="10"/>
  <c r="K718" i="10"/>
  <c r="I718" i="10"/>
  <c r="G718" i="10"/>
  <c r="V718" i="10" s="1"/>
  <c r="E718" i="10"/>
  <c r="T717" i="10"/>
  <c r="O717" i="10"/>
  <c r="M717" i="10"/>
  <c r="K717" i="10"/>
  <c r="G717" i="10"/>
  <c r="V717" i="10" s="1"/>
  <c r="T716" i="10"/>
  <c r="O716" i="10"/>
  <c r="M716" i="10"/>
  <c r="K716" i="10"/>
  <c r="G716" i="10"/>
  <c r="V716" i="10" s="1"/>
  <c r="T715" i="10"/>
  <c r="O715" i="10"/>
  <c r="M715" i="10"/>
  <c r="K715" i="10"/>
  <c r="G715" i="10"/>
  <c r="V715" i="10" s="1"/>
  <c r="T714" i="10"/>
  <c r="O714" i="10"/>
  <c r="M714" i="10"/>
  <c r="K714" i="10"/>
  <c r="G714" i="10"/>
  <c r="V714" i="10" s="1"/>
  <c r="T713" i="10"/>
  <c r="O713" i="10"/>
  <c r="M713" i="10"/>
  <c r="K713" i="10"/>
  <c r="G713" i="10"/>
  <c r="V713" i="10" s="1"/>
  <c r="T712" i="10"/>
  <c r="O712" i="10"/>
  <c r="M712" i="10"/>
  <c r="K712" i="10"/>
  <c r="G712" i="10"/>
  <c r="V712" i="10" s="1"/>
  <c r="T711" i="10"/>
  <c r="O711" i="10"/>
  <c r="M711" i="10"/>
  <c r="K711" i="10"/>
  <c r="G711" i="10"/>
  <c r="V711" i="10" s="1"/>
  <c r="T710" i="10"/>
  <c r="O710" i="10"/>
  <c r="M710" i="10"/>
  <c r="K710" i="10"/>
  <c r="G710" i="10"/>
  <c r="V710" i="10" s="1"/>
  <c r="T709" i="10"/>
  <c r="O709" i="10"/>
  <c r="M709" i="10"/>
  <c r="K709" i="10"/>
  <c r="G709" i="10"/>
  <c r="V709" i="10" s="1"/>
  <c r="T708" i="10"/>
  <c r="O708" i="10"/>
  <c r="M708" i="10"/>
  <c r="K708" i="10"/>
  <c r="G708" i="10"/>
  <c r="V708" i="10" s="1"/>
  <c r="T707" i="10"/>
  <c r="O707" i="10"/>
  <c r="M707" i="10"/>
  <c r="K707" i="10"/>
  <c r="I707" i="10"/>
  <c r="T706" i="10"/>
  <c r="O706" i="10"/>
  <c r="M706" i="10"/>
  <c r="K706" i="10"/>
  <c r="I706" i="10"/>
  <c r="G706" i="10"/>
  <c r="V706" i="10" s="1"/>
  <c r="E706" i="10"/>
  <c r="T705" i="10"/>
  <c r="O705" i="10"/>
  <c r="M705" i="10"/>
  <c r="K705" i="10"/>
  <c r="I705" i="10"/>
  <c r="G705" i="10"/>
  <c r="V705" i="10" s="1"/>
  <c r="E705" i="10"/>
  <c r="T704" i="10"/>
  <c r="O704" i="10"/>
  <c r="M704" i="10"/>
  <c r="K704" i="10"/>
  <c r="I704" i="10"/>
  <c r="G704" i="10"/>
  <c r="V704" i="10" s="1"/>
  <c r="E704" i="10"/>
  <c r="T703" i="10"/>
  <c r="O703" i="10"/>
  <c r="M703" i="10"/>
  <c r="K703" i="10"/>
  <c r="I703" i="10"/>
  <c r="T702" i="10"/>
  <c r="O702" i="10"/>
  <c r="M702" i="10"/>
  <c r="K702" i="10"/>
  <c r="I702" i="10"/>
  <c r="T701" i="10"/>
  <c r="O701" i="10"/>
  <c r="M701" i="10"/>
  <c r="K701" i="10"/>
  <c r="I701" i="10"/>
  <c r="G701" i="10"/>
  <c r="V701" i="10" s="1"/>
  <c r="E701" i="10"/>
  <c r="T700" i="10"/>
  <c r="O700" i="10"/>
  <c r="M700" i="10"/>
  <c r="K700" i="10"/>
  <c r="I700" i="10"/>
  <c r="T699" i="10"/>
  <c r="O699" i="10"/>
  <c r="M699" i="10"/>
  <c r="K699" i="10"/>
  <c r="I699" i="10"/>
  <c r="T698" i="10"/>
  <c r="O698" i="10"/>
  <c r="M698" i="10"/>
  <c r="K698" i="10"/>
  <c r="I698" i="10"/>
  <c r="T697" i="10"/>
  <c r="O697" i="10"/>
  <c r="M697" i="10"/>
  <c r="K697" i="10"/>
  <c r="I697" i="10"/>
  <c r="T696" i="10"/>
  <c r="O696" i="10"/>
  <c r="M696" i="10"/>
  <c r="K696" i="10"/>
  <c r="I696" i="10"/>
  <c r="T695" i="10"/>
  <c r="O695" i="10"/>
  <c r="M695" i="10"/>
  <c r="K695" i="10"/>
  <c r="I695" i="10"/>
  <c r="T694" i="10"/>
  <c r="O694" i="10"/>
  <c r="M694" i="10"/>
  <c r="K694" i="10"/>
  <c r="I694" i="10"/>
  <c r="G694" i="10"/>
  <c r="V694" i="10" s="1"/>
  <c r="E694" i="10"/>
  <c r="T693" i="10"/>
  <c r="O693" i="10"/>
  <c r="M693" i="10"/>
  <c r="K693" i="10"/>
  <c r="I693" i="10"/>
  <c r="T692" i="10"/>
  <c r="O692" i="10"/>
  <c r="M692" i="10"/>
  <c r="K692" i="10"/>
  <c r="I692" i="10"/>
  <c r="T691" i="10"/>
  <c r="O691" i="10"/>
  <c r="M691" i="10"/>
  <c r="K691" i="10"/>
  <c r="I691" i="10"/>
  <c r="T690" i="10"/>
  <c r="M690" i="10"/>
  <c r="K690" i="10"/>
  <c r="I690" i="10"/>
  <c r="T689" i="10"/>
  <c r="O689" i="10"/>
  <c r="M689" i="10"/>
  <c r="K689" i="10"/>
  <c r="I689" i="10"/>
  <c r="E689" i="10"/>
  <c r="T688" i="10"/>
  <c r="O688" i="10"/>
  <c r="M688" i="10"/>
  <c r="K688" i="10"/>
  <c r="I688" i="10"/>
  <c r="T687" i="10"/>
  <c r="O687" i="10"/>
  <c r="M687" i="10"/>
  <c r="K687" i="10"/>
  <c r="I687" i="10"/>
  <c r="T686" i="10"/>
  <c r="O686" i="10"/>
  <c r="M686" i="10"/>
  <c r="K686" i="10"/>
  <c r="I686" i="10"/>
  <c r="T685" i="10"/>
  <c r="O685" i="10"/>
  <c r="K685" i="10"/>
  <c r="I685" i="10"/>
  <c r="G685" i="10"/>
  <c r="V685" i="10" s="1"/>
  <c r="E685" i="10"/>
  <c r="T684" i="10"/>
  <c r="O684" i="10"/>
  <c r="M684" i="10"/>
  <c r="K684" i="10"/>
  <c r="I684" i="10"/>
  <c r="G684" i="10"/>
  <c r="V684" i="10" s="1"/>
  <c r="E684" i="10"/>
  <c r="T683" i="10"/>
  <c r="O683" i="10"/>
  <c r="M683" i="10"/>
  <c r="K683" i="10"/>
  <c r="I683" i="10"/>
  <c r="G683" i="10"/>
  <c r="V683" i="10" s="1"/>
  <c r="E683" i="10"/>
  <c r="T682" i="10"/>
  <c r="O682" i="10"/>
  <c r="M682" i="10"/>
  <c r="K682" i="10"/>
  <c r="I682" i="10"/>
  <c r="T681" i="10"/>
  <c r="O681" i="10"/>
  <c r="M681" i="10"/>
  <c r="K681" i="10"/>
  <c r="G681" i="10"/>
  <c r="V681" i="10" s="1"/>
  <c r="T680" i="10"/>
  <c r="O680" i="10"/>
  <c r="M680" i="10"/>
  <c r="K680" i="10"/>
  <c r="G680" i="10"/>
  <c r="V680" i="10" s="1"/>
  <c r="T679" i="10"/>
  <c r="O679" i="10"/>
  <c r="M679" i="10"/>
  <c r="K679" i="10"/>
  <c r="G679" i="10"/>
  <c r="V679" i="10" s="1"/>
  <c r="T678" i="10"/>
  <c r="O678" i="10"/>
  <c r="M678" i="10"/>
  <c r="K678" i="10"/>
  <c r="G678" i="10"/>
  <c r="V678" i="10" s="1"/>
  <c r="T677" i="10"/>
  <c r="O677" i="10"/>
  <c r="M677" i="10"/>
  <c r="K677" i="10"/>
  <c r="G677" i="10"/>
  <c r="V677" i="10" s="1"/>
  <c r="T676" i="10"/>
  <c r="O676" i="10"/>
  <c r="M676" i="10"/>
  <c r="K676" i="10"/>
  <c r="G676" i="10"/>
  <c r="V676" i="10" s="1"/>
  <c r="T675" i="10"/>
  <c r="O675" i="10"/>
  <c r="M675" i="10"/>
  <c r="K675" i="10"/>
  <c r="G675" i="10"/>
  <c r="V675" i="10" s="1"/>
  <c r="T674" i="10"/>
  <c r="O674" i="10"/>
  <c r="M674" i="10"/>
  <c r="K674" i="10"/>
  <c r="G674" i="10"/>
  <c r="V674" i="10" s="1"/>
  <c r="T673" i="10"/>
  <c r="O673" i="10"/>
  <c r="M673" i="10"/>
  <c r="K673" i="10"/>
  <c r="G673" i="10"/>
  <c r="V673" i="10" s="1"/>
  <c r="T672" i="10"/>
  <c r="O672" i="10"/>
  <c r="M672" i="10"/>
  <c r="K672" i="10"/>
  <c r="G672" i="10"/>
  <c r="V672" i="10" s="1"/>
  <c r="T671" i="10"/>
  <c r="O671" i="10"/>
  <c r="M671" i="10"/>
  <c r="K671" i="10"/>
  <c r="I671" i="10"/>
  <c r="G671" i="10"/>
  <c r="V671" i="10" s="1"/>
  <c r="E671" i="10"/>
  <c r="T670" i="10"/>
  <c r="O670" i="10"/>
  <c r="M670" i="10"/>
  <c r="K670" i="10"/>
  <c r="I670" i="10"/>
  <c r="G670" i="10"/>
  <c r="V670" i="10" s="1"/>
  <c r="E670" i="10"/>
  <c r="T669" i="10"/>
  <c r="O669" i="10"/>
  <c r="M669" i="10"/>
  <c r="K669" i="10"/>
  <c r="I669" i="10"/>
  <c r="T668" i="10"/>
  <c r="O668" i="10"/>
  <c r="M668" i="10"/>
  <c r="K668" i="10"/>
  <c r="I668" i="10"/>
  <c r="T667" i="10"/>
  <c r="M667" i="10"/>
  <c r="K667" i="10"/>
  <c r="I667" i="10"/>
  <c r="T666" i="10"/>
  <c r="O666" i="10"/>
  <c r="M666" i="10"/>
  <c r="K666" i="10"/>
  <c r="I666" i="10"/>
  <c r="T665" i="10"/>
  <c r="O665" i="10"/>
  <c r="M665" i="10"/>
  <c r="K665" i="10"/>
  <c r="I665" i="10"/>
  <c r="G665" i="10"/>
  <c r="V665" i="10" s="1"/>
  <c r="E665" i="10"/>
  <c r="T664" i="10"/>
  <c r="O664" i="10"/>
  <c r="M664" i="10"/>
  <c r="K664" i="10"/>
  <c r="I664" i="10"/>
  <c r="T663" i="10"/>
  <c r="O663" i="10"/>
  <c r="M663" i="10"/>
  <c r="K663" i="10"/>
  <c r="I663" i="10"/>
  <c r="T662" i="10"/>
  <c r="O662" i="10"/>
  <c r="M662" i="10"/>
  <c r="K662" i="10"/>
  <c r="I662" i="10"/>
  <c r="T661" i="10"/>
  <c r="O661" i="10"/>
  <c r="M661" i="10"/>
  <c r="K661" i="10"/>
  <c r="I661" i="10"/>
  <c r="T660" i="10"/>
  <c r="O660" i="10"/>
  <c r="M660" i="10"/>
  <c r="K660" i="10"/>
  <c r="I660" i="10"/>
  <c r="T659" i="10"/>
  <c r="O659" i="10"/>
  <c r="M659" i="10"/>
  <c r="K659" i="10"/>
  <c r="I659" i="10"/>
  <c r="T658" i="10"/>
  <c r="O658" i="10"/>
  <c r="M658" i="10"/>
  <c r="K658" i="10"/>
  <c r="I658" i="10"/>
  <c r="G658" i="10"/>
  <c r="V658" i="10" s="1"/>
  <c r="E658" i="10"/>
  <c r="T657" i="10"/>
  <c r="O657" i="10"/>
  <c r="M657" i="10"/>
  <c r="K657" i="10"/>
  <c r="I657" i="10"/>
  <c r="T656" i="10"/>
  <c r="O656" i="10"/>
  <c r="M656" i="10"/>
  <c r="K656" i="10"/>
  <c r="I656" i="10"/>
  <c r="G656" i="10"/>
  <c r="V656" i="10" s="1"/>
  <c r="E656" i="10"/>
  <c r="T655" i="10"/>
  <c r="O655" i="10"/>
  <c r="M655" i="10"/>
  <c r="K655" i="10"/>
  <c r="I655" i="10"/>
  <c r="T654" i="10"/>
  <c r="O654" i="10"/>
  <c r="M654" i="10"/>
  <c r="K654" i="10"/>
  <c r="I654" i="10"/>
  <c r="T653" i="10"/>
  <c r="O653" i="10"/>
  <c r="M653" i="10"/>
  <c r="K653" i="10"/>
  <c r="I653" i="10"/>
  <c r="G653" i="10"/>
  <c r="V653" i="10" s="1"/>
  <c r="E653" i="10"/>
  <c r="T652" i="10"/>
  <c r="O652" i="10"/>
  <c r="M652" i="10"/>
  <c r="K652" i="10"/>
  <c r="I652" i="10"/>
  <c r="T651" i="10"/>
  <c r="O651" i="10"/>
  <c r="M651" i="10"/>
  <c r="K651" i="10"/>
  <c r="I651" i="10"/>
  <c r="T650" i="10"/>
  <c r="O650" i="10"/>
  <c r="M650" i="10"/>
  <c r="K650" i="10"/>
  <c r="I650" i="10"/>
  <c r="T649" i="10"/>
  <c r="O649" i="10"/>
  <c r="M649" i="10"/>
  <c r="K649" i="10"/>
  <c r="I649" i="10"/>
  <c r="T648" i="10"/>
  <c r="O648" i="10"/>
  <c r="M648" i="10"/>
  <c r="K648" i="10"/>
  <c r="I648" i="10"/>
  <c r="T647" i="10"/>
  <c r="O647" i="10"/>
  <c r="M647" i="10"/>
  <c r="K647" i="10"/>
  <c r="I647" i="10"/>
  <c r="G647" i="10"/>
  <c r="V647" i="10" s="1"/>
  <c r="E647" i="10"/>
  <c r="T646" i="10"/>
  <c r="O646" i="10"/>
  <c r="M646" i="10"/>
  <c r="K646" i="10"/>
  <c r="I646" i="10"/>
  <c r="T174" i="10"/>
  <c r="O174" i="10"/>
  <c r="M174" i="10"/>
  <c r="K174" i="10"/>
  <c r="I174" i="10"/>
  <c r="T173" i="10"/>
  <c r="O173" i="10"/>
  <c r="M173" i="10"/>
  <c r="K173" i="10"/>
  <c r="I173" i="10"/>
  <c r="T172" i="10"/>
  <c r="O172" i="10"/>
  <c r="M172" i="10"/>
  <c r="K172" i="10"/>
  <c r="I172" i="10"/>
  <c r="G172" i="10"/>
  <c r="V172" i="10" s="1"/>
  <c r="E172" i="10"/>
  <c r="T171" i="10"/>
  <c r="O171" i="10"/>
  <c r="M171" i="10"/>
  <c r="K171" i="10"/>
  <c r="I171" i="10"/>
  <c r="T170" i="10"/>
  <c r="O170" i="10"/>
  <c r="M170" i="10"/>
  <c r="K170" i="10"/>
  <c r="I170" i="10"/>
  <c r="T169" i="10"/>
  <c r="O169" i="10"/>
  <c r="M169" i="10"/>
  <c r="K169" i="10"/>
  <c r="I169" i="10"/>
  <c r="T168" i="10"/>
  <c r="O168" i="10"/>
  <c r="M168" i="10"/>
  <c r="K168" i="10"/>
  <c r="I168" i="10"/>
  <c r="T167" i="10"/>
  <c r="O167" i="10"/>
  <c r="M167" i="10"/>
  <c r="K167" i="10"/>
  <c r="I167" i="10"/>
  <c r="T166" i="10"/>
  <c r="O166" i="10"/>
  <c r="M166" i="10"/>
  <c r="K166" i="10"/>
  <c r="I166" i="10"/>
  <c r="T165" i="10"/>
  <c r="O165" i="10"/>
  <c r="M165" i="10"/>
  <c r="K165" i="10"/>
  <c r="I165" i="10"/>
  <c r="T164" i="10"/>
  <c r="O164" i="10"/>
  <c r="M164" i="10"/>
  <c r="K164" i="10"/>
  <c r="I164" i="10"/>
  <c r="T163" i="10"/>
  <c r="O163" i="10"/>
  <c r="M163" i="10"/>
  <c r="K163" i="10"/>
  <c r="I163" i="10"/>
  <c r="T162" i="10"/>
  <c r="M162" i="10"/>
  <c r="K162" i="10"/>
  <c r="I162" i="10"/>
  <c r="E162" i="10"/>
  <c r="T161" i="10"/>
  <c r="O161" i="10"/>
  <c r="M161" i="10"/>
  <c r="K161" i="10"/>
  <c r="I161" i="10"/>
  <c r="T160" i="10"/>
  <c r="O160" i="10"/>
  <c r="M160" i="10"/>
  <c r="K160" i="10"/>
  <c r="I160" i="10"/>
  <c r="T159" i="10"/>
  <c r="O159" i="10"/>
  <c r="M159" i="10"/>
  <c r="K159" i="10"/>
  <c r="I159" i="10"/>
  <c r="T158" i="10"/>
  <c r="O158" i="10"/>
  <c r="M158" i="10"/>
  <c r="K158" i="10"/>
  <c r="I158" i="10"/>
  <c r="T157" i="10"/>
  <c r="O157" i="10"/>
  <c r="M157" i="10"/>
  <c r="K157" i="10"/>
  <c r="I157" i="10"/>
  <c r="G157" i="10"/>
  <c r="V157" i="10" s="1"/>
  <c r="E157" i="10"/>
  <c r="K2" i="10"/>
  <c r="M2" i="10"/>
  <c r="I2" i="10"/>
  <c r="AI42" i="10"/>
  <c r="CV1" i="22"/>
  <c r="CV248" i="22" s="1"/>
  <c r="AI41" i="10"/>
  <c r="CU1" i="22"/>
  <c r="CU298" i="22" s="1"/>
  <c r="AI40" i="10"/>
  <c r="AI39" i="10"/>
  <c r="AI38" i="10"/>
  <c r="CR1" i="22"/>
  <c r="CR42" i="22" s="1"/>
  <c r="CS340" i="22"/>
  <c r="CQ340" i="22"/>
  <c r="CP340" i="22"/>
  <c r="CO340" i="22"/>
  <c r="CN340" i="22"/>
  <c r="CM340" i="22"/>
  <c r="CL340" i="22"/>
  <c r="CK340" i="22"/>
  <c r="CJ340" i="22"/>
  <c r="CI340" i="22"/>
  <c r="CH340" i="22"/>
  <c r="CG340" i="22"/>
  <c r="CF340" i="22"/>
  <c r="CE340" i="22"/>
  <c r="CD340" i="22"/>
  <c r="CC340" i="22"/>
  <c r="CB340" i="22"/>
  <c r="CA340" i="22"/>
  <c r="BZ340" i="22"/>
  <c r="BY340" i="22"/>
  <c r="BX340" i="22"/>
  <c r="BW340" i="22"/>
  <c r="BV340" i="22"/>
  <c r="BU340" i="22"/>
  <c r="BT340" i="22"/>
  <c r="BS340" i="22"/>
  <c r="BR340" i="22"/>
  <c r="BQ340" i="22"/>
  <c r="BP340" i="22"/>
  <c r="BO340" i="22"/>
  <c r="BN340" i="22"/>
  <c r="BM340" i="22"/>
  <c r="BL340" i="22"/>
  <c r="BK340" i="22"/>
  <c r="BJ340" i="22"/>
  <c r="CS339" i="22"/>
  <c r="CQ339" i="22"/>
  <c r="CP339" i="22"/>
  <c r="CO339" i="22"/>
  <c r="CN339" i="22"/>
  <c r="CM339" i="22"/>
  <c r="CL339" i="22"/>
  <c r="CK339" i="22"/>
  <c r="CJ339" i="22"/>
  <c r="CI339" i="22"/>
  <c r="CH339" i="22"/>
  <c r="CG339" i="22"/>
  <c r="CF339" i="22"/>
  <c r="CE339" i="22"/>
  <c r="CD339" i="22"/>
  <c r="CC339" i="22"/>
  <c r="CB339" i="22"/>
  <c r="CA339" i="22"/>
  <c r="BZ339" i="22"/>
  <c r="BY339" i="22"/>
  <c r="BX339" i="22"/>
  <c r="BW339" i="22"/>
  <c r="BV339" i="22"/>
  <c r="BU339" i="22"/>
  <c r="BT339" i="22"/>
  <c r="BS339" i="22"/>
  <c r="BR339" i="22"/>
  <c r="BQ339" i="22"/>
  <c r="BP339" i="22"/>
  <c r="BO339" i="22"/>
  <c r="BN339" i="22"/>
  <c r="BM339" i="22"/>
  <c r="BL339" i="22"/>
  <c r="BK339" i="22"/>
  <c r="BJ339" i="22"/>
  <c r="CS338" i="22"/>
  <c r="CQ338" i="22"/>
  <c r="CP338" i="22"/>
  <c r="CO338" i="22"/>
  <c r="CN338" i="22"/>
  <c r="CM338" i="22"/>
  <c r="CL338" i="22"/>
  <c r="CK338" i="22"/>
  <c r="CJ338" i="22"/>
  <c r="CI338" i="22"/>
  <c r="CH338" i="22"/>
  <c r="CG338" i="22"/>
  <c r="CF338" i="22"/>
  <c r="CE338" i="22"/>
  <c r="CD338" i="22"/>
  <c r="CC338" i="22"/>
  <c r="CB338" i="22"/>
  <c r="CA338" i="22"/>
  <c r="BZ338" i="22"/>
  <c r="BY338" i="22"/>
  <c r="BX338" i="22"/>
  <c r="BW338" i="22"/>
  <c r="BV338" i="22"/>
  <c r="BU338" i="22"/>
  <c r="BT338" i="22"/>
  <c r="BS338" i="22"/>
  <c r="BR338" i="22"/>
  <c r="BQ338" i="22"/>
  <c r="BP338" i="22"/>
  <c r="BO338" i="22"/>
  <c r="BN338" i="22"/>
  <c r="BM338" i="22"/>
  <c r="BL338" i="22"/>
  <c r="BK338" i="22"/>
  <c r="BJ338" i="22"/>
  <c r="CS337" i="22"/>
  <c r="CQ337" i="22"/>
  <c r="CP337" i="22"/>
  <c r="CO337" i="22"/>
  <c r="CN337" i="22"/>
  <c r="CM337" i="22"/>
  <c r="CL337" i="22"/>
  <c r="CK337" i="22"/>
  <c r="CJ337" i="22"/>
  <c r="CI337" i="22"/>
  <c r="CH337" i="22"/>
  <c r="CG337" i="22"/>
  <c r="CF337" i="22"/>
  <c r="CE337" i="22"/>
  <c r="CD337" i="22"/>
  <c r="CC337" i="22"/>
  <c r="CB337" i="22"/>
  <c r="CA337" i="22"/>
  <c r="BZ337" i="22"/>
  <c r="BY337" i="22"/>
  <c r="BX337" i="22"/>
  <c r="BW337" i="22"/>
  <c r="BV337" i="22"/>
  <c r="BU337" i="22"/>
  <c r="BT337" i="22"/>
  <c r="BS337" i="22"/>
  <c r="BR337" i="22"/>
  <c r="BQ337" i="22"/>
  <c r="BP337" i="22"/>
  <c r="BO337" i="22"/>
  <c r="BN337" i="22"/>
  <c r="BM337" i="22"/>
  <c r="BL337" i="22"/>
  <c r="BK337" i="22"/>
  <c r="BJ337" i="22"/>
  <c r="CS336" i="22"/>
  <c r="CQ336" i="22"/>
  <c r="CP336" i="22"/>
  <c r="CO336" i="22"/>
  <c r="CN336" i="22"/>
  <c r="CM336" i="22"/>
  <c r="CL336" i="22"/>
  <c r="CK336" i="22"/>
  <c r="CJ336" i="22"/>
  <c r="CI336" i="22"/>
  <c r="CH336" i="22"/>
  <c r="CG336" i="22"/>
  <c r="CF336" i="22"/>
  <c r="CE336" i="22"/>
  <c r="CD336" i="22"/>
  <c r="CC336" i="22"/>
  <c r="CB336" i="22"/>
  <c r="CA336" i="22"/>
  <c r="BZ336" i="22"/>
  <c r="BY336" i="22"/>
  <c r="BX336" i="22"/>
  <c r="BW336" i="22"/>
  <c r="BV336" i="22"/>
  <c r="BU336" i="22"/>
  <c r="BT336" i="22"/>
  <c r="BS336" i="22"/>
  <c r="BR336" i="22"/>
  <c r="BQ336" i="22"/>
  <c r="BP336" i="22"/>
  <c r="BO336" i="22"/>
  <c r="BN336" i="22"/>
  <c r="BM336" i="22"/>
  <c r="BL336" i="22"/>
  <c r="BK336" i="22"/>
  <c r="BJ336" i="22"/>
  <c r="CS335" i="22"/>
  <c r="CQ335" i="22"/>
  <c r="CP335" i="22"/>
  <c r="CO335" i="22"/>
  <c r="CN335" i="22"/>
  <c r="CM335" i="22"/>
  <c r="CL335" i="22"/>
  <c r="CK335" i="22"/>
  <c r="CJ335" i="22"/>
  <c r="CI335" i="22"/>
  <c r="CH335" i="22"/>
  <c r="CG335" i="22"/>
  <c r="CF335" i="22"/>
  <c r="CE335" i="22"/>
  <c r="CD335" i="22"/>
  <c r="CC335" i="22"/>
  <c r="CB335" i="22"/>
  <c r="CA335" i="22"/>
  <c r="BZ335" i="22"/>
  <c r="BY335" i="22"/>
  <c r="BX335" i="22"/>
  <c r="BW335" i="22"/>
  <c r="BV335" i="22"/>
  <c r="BU335" i="22"/>
  <c r="BT335" i="22"/>
  <c r="BS335" i="22"/>
  <c r="BR335" i="22"/>
  <c r="BQ335" i="22"/>
  <c r="BP335" i="22"/>
  <c r="BO335" i="22"/>
  <c r="BN335" i="22"/>
  <c r="BM335" i="22"/>
  <c r="BL335" i="22"/>
  <c r="BK335" i="22"/>
  <c r="BJ335" i="22"/>
  <c r="CS334" i="22"/>
  <c r="CQ334" i="22"/>
  <c r="CP334" i="22"/>
  <c r="CO334" i="22"/>
  <c r="CN334" i="22"/>
  <c r="CM334" i="22"/>
  <c r="CL334" i="22"/>
  <c r="CK334" i="22"/>
  <c r="CJ334" i="22"/>
  <c r="CI334" i="22"/>
  <c r="CH334" i="22"/>
  <c r="CG334" i="22"/>
  <c r="CF334" i="22"/>
  <c r="CE334" i="22"/>
  <c r="CD334" i="22"/>
  <c r="CC334" i="22"/>
  <c r="CB334" i="22"/>
  <c r="CA334" i="22"/>
  <c r="BZ334" i="22"/>
  <c r="BY334" i="22"/>
  <c r="BX334" i="22"/>
  <c r="BW334" i="22"/>
  <c r="BV334" i="22"/>
  <c r="BU334" i="22"/>
  <c r="BT334" i="22"/>
  <c r="BS334" i="22"/>
  <c r="BR334" i="22"/>
  <c r="BQ334" i="22"/>
  <c r="BP334" i="22"/>
  <c r="BO334" i="22"/>
  <c r="BN334" i="22"/>
  <c r="BM334" i="22"/>
  <c r="BL334" i="22"/>
  <c r="BK334" i="22"/>
  <c r="BJ334" i="22"/>
  <c r="CS333" i="22"/>
  <c r="CQ333" i="22"/>
  <c r="CP333" i="22"/>
  <c r="CO333" i="22"/>
  <c r="CN333" i="22"/>
  <c r="CM333" i="22"/>
  <c r="CL333" i="22"/>
  <c r="CK333" i="22"/>
  <c r="CJ333" i="22"/>
  <c r="CI333" i="22"/>
  <c r="CH333" i="22"/>
  <c r="CG333" i="22"/>
  <c r="CF333" i="22"/>
  <c r="CE333" i="22"/>
  <c r="CD333" i="22"/>
  <c r="CC333" i="22"/>
  <c r="CB333" i="22"/>
  <c r="CA333" i="22"/>
  <c r="BZ333" i="22"/>
  <c r="BY333" i="22"/>
  <c r="BX333" i="22"/>
  <c r="BW333" i="22"/>
  <c r="BV333" i="22"/>
  <c r="BU333" i="22"/>
  <c r="BT333" i="22"/>
  <c r="BS333" i="22"/>
  <c r="BR333" i="22"/>
  <c r="BQ333" i="22"/>
  <c r="BP333" i="22"/>
  <c r="BO333" i="22"/>
  <c r="BN333" i="22"/>
  <c r="BM333" i="22"/>
  <c r="BL333" i="22"/>
  <c r="BK333" i="22"/>
  <c r="BJ333" i="22"/>
  <c r="CS332" i="22"/>
  <c r="CQ332" i="22"/>
  <c r="CP332" i="22"/>
  <c r="CO332" i="22"/>
  <c r="CN332" i="22"/>
  <c r="CM332" i="22"/>
  <c r="CL332" i="22"/>
  <c r="CK332" i="22"/>
  <c r="CJ332" i="22"/>
  <c r="CI332" i="22"/>
  <c r="CH332" i="22"/>
  <c r="CG332" i="22"/>
  <c r="CF332" i="22"/>
  <c r="CE332" i="22"/>
  <c r="CD332" i="22"/>
  <c r="CC332" i="22"/>
  <c r="CB332" i="22"/>
  <c r="CA332" i="22"/>
  <c r="BZ332" i="22"/>
  <c r="BY332" i="22"/>
  <c r="BX332" i="22"/>
  <c r="BW332" i="22"/>
  <c r="BV332" i="22"/>
  <c r="BU332" i="22"/>
  <c r="BT332" i="22"/>
  <c r="BS332" i="22"/>
  <c r="BR332" i="22"/>
  <c r="BQ332" i="22"/>
  <c r="BP332" i="22"/>
  <c r="BO332" i="22"/>
  <c r="BN332" i="22"/>
  <c r="BM332" i="22"/>
  <c r="BL332" i="22"/>
  <c r="BK332" i="22"/>
  <c r="BJ332" i="22"/>
  <c r="CS331" i="22"/>
  <c r="CQ331" i="22"/>
  <c r="CP331" i="22"/>
  <c r="CO331" i="22"/>
  <c r="CN331" i="22"/>
  <c r="CM331" i="22"/>
  <c r="CL331" i="22"/>
  <c r="CK331" i="22"/>
  <c r="CJ331" i="22"/>
  <c r="CI331" i="22"/>
  <c r="CH331" i="22"/>
  <c r="CG331" i="22"/>
  <c r="CF331" i="22"/>
  <c r="CE331" i="22"/>
  <c r="CD331" i="22"/>
  <c r="CC331" i="22"/>
  <c r="CB331" i="22"/>
  <c r="CA331" i="22"/>
  <c r="BZ331" i="22"/>
  <c r="BY331" i="22"/>
  <c r="BX331" i="22"/>
  <c r="BW331" i="22"/>
  <c r="BV331" i="22"/>
  <c r="BU331" i="22"/>
  <c r="BT331" i="22"/>
  <c r="BS331" i="22"/>
  <c r="BR331" i="22"/>
  <c r="BQ331" i="22"/>
  <c r="BP331" i="22"/>
  <c r="BO331" i="22"/>
  <c r="BN331" i="22"/>
  <c r="BM331" i="22"/>
  <c r="BL331" i="22"/>
  <c r="BK331" i="22"/>
  <c r="BJ331" i="22"/>
  <c r="CS330" i="22"/>
  <c r="CQ330" i="22"/>
  <c r="CP330" i="22"/>
  <c r="CO330" i="22"/>
  <c r="CN330" i="22"/>
  <c r="CM330" i="22"/>
  <c r="CL330" i="22"/>
  <c r="CK330" i="22"/>
  <c r="CJ330" i="22"/>
  <c r="CI330" i="22"/>
  <c r="CH330" i="22"/>
  <c r="CG330" i="22"/>
  <c r="CF330" i="22"/>
  <c r="CE330" i="22"/>
  <c r="CD330" i="22"/>
  <c r="CC330" i="22"/>
  <c r="CB330" i="22"/>
  <c r="CA330" i="22"/>
  <c r="BZ330" i="22"/>
  <c r="BY330" i="22"/>
  <c r="BX330" i="22"/>
  <c r="BW330" i="22"/>
  <c r="BV330" i="22"/>
  <c r="BU330" i="22"/>
  <c r="BT330" i="22"/>
  <c r="BS330" i="22"/>
  <c r="BR330" i="22"/>
  <c r="BQ330" i="22"/>
  <c r="BP330" i="22"/>
  <c r="BO330" i="22"/>
  <c r="BN330" i="22"/>
  <c r="BM330" i="22"/>
  <c r="BL330" i="22"/>
  <c r="BK330" i="22"/>
  <c r="BJ330" i="22"/>
  <c r="CS329" i="22"/>
  <c r="CQ329" i="22"/>
  <c r="CP329" i="22"/>
  <c r="CO329" i="22"/>
  <c r="CN329" i="22"/>
  <c r="CM329" i="22"/>
  <c r="CL329" i="22"/>
  <c r="CK329" i="22"/>
  <c r="CJ329" i="22"/>
  <c r="CI329" i="22"/>
  <c r="CH329" i="22"/>
  <c r="CG329" i="22"/>
  <c r="CF329" i="22"/>
  <c r="CE329" i="22"/>
  <c r="CD329" i="22"/>
  <c r="CC329" i="22"/>
  <c r="CB329" i="22"/>
  <c r="CA329" i="22"/>
  <c r="BZ329" i="22"/>
  <c r="BY329" i="22"/>
  <c r="BX329" i="22"/>
  <c r="BW329" i="22"/>
  <c r="BV329" i="22"/>
  <c r="BU329" i="22"/>
  <c r="BT329" i="22"/>
  <c r="BS329" i="22"/>
  <c r="BR329" i="22"/>
  <c r="BQ329" i="22"/>
  <c r="BP329" i="22"/>
  <c r="BO329" i="22"/>
  <c r="BN329" i="22"/>
  <c r="BM329" i="22"/>
  <c r="BL329" i="22"/>
  <c r="BK329" i="22"/>
  <c r="BJ329" i="22"/>
  <c r="CS328" i="22"/>
  <c r="CQ328" i="22"/>
  <c r="CP328" i="22"/>
  <c r="CO328" i="22"/>
  <c r="CN328" i="22"/>
  <c r="CM328" i="22"/>
  <c r="CL328" i="22"/>
  <c r="CK328" i="22"/>
  <c r="CJ328" i="22"/>
  <c r="CI328" i="22"/>
  <c r="CH328" i="22"/>
  <c r="CG328" i="22"/>
  <c r="CF328" i="22"/>
  <c r="CE328" i="22"/>
  <c r="CD328" i="22"/>
  <c r="CC328" i="22"/>
  <c r="CB328" i="22"/>
  <c r="CA328" i="22"/>
  <c r="BZ328" i="22"/>
  <c r="BY328" i="22"/>
  <c r="BX328" i="22"/>
  <c r="BW328" i="22"/>
  <c r="BV328" i="22"/>
  <c r="BU328" i="22"/>
  <c r="BT328" i="22"/>
  <c r="BS328" i="22"/>
  <c r="BR328" i="22"/>
  <c r="BQ328" i="22"/>
  <c r="BP328" i="22"/>
  <c r="BO328" i="22"/>
  <c r="BN328" i="22"/>
  <c r="BM328" i="22"/>
  <c r="BL328" i="22"/>
  <c r="BK328" i="22"/>
  <c r="BJ328" i="22"/>
  <c r="CS327" i="22"/>
  <c r="CQ327" i="22"/>
  <c r="CP327" i="22"/>
  <c r="CO327" i="22"/>
  <c r="CN327" i="22"/>
  <c r="CM327" i="22"/>
  <c r="CL327" i="22"/>
  <c r="CK327" i="22"/>
  <c r="CJ327" i="22"/>
  <c r="CI327" i="22"/>
  <c r="CH327" i="22"/>
  <c r="CG327" i="22"/>
  <c r="CF327" i="22"/>
  <c r="CE327" i="22"/>
  <c r="CD327" i="22"/>
  <c r="CC327" i="22"/>
  <c r="CB327" i="22"/>
  <c r="CA327" i="22"/>
  <c r="BZ327" i="22"/>
  <c r="BY327" i="22"/>
  <c r="BX327" i="22"/>
  <c r="BW327" i="22"/>
  <c r="BV327" i="22"/>
  <c r="BU327" i="22"/>
  <c r="BT327" i="22"/>
  <c r="BS327" i="22"/>
  <c r="BR327" i="22"/>
  <c r="BQ327" i="22"/>
  <c r="BP327" i="22"/>
  <c r="BO327" i="22"/>
  <c r="BN327" i="22"/>
  <c r="BM327" i="22"/>
  <c r="BL327" i="22"/>
  <c r="BK327" i="22"/>
  <c r="BJ327" i="22"/>
  <c r="CS326" i="22"/>
  <c r="CQ326" i="22"/>
  <c r="CP326" i="22"/>
  <c r="CO326" i="22"/>
  <c r="CN326" i="22"/>
  <c r="CM326" i="22"/>
  <c r="CL326" i="22"/>
  <c r="CK326" i="22"/>
  <c r="CJ326" i="22"/>
  <c r="CI326" i="22"/>
  <c r="CH326" i="22"/>
  <c r="CG326" i="22"/>
  <c r="CF326" i="22"/>
  <c r="CE326" i="22"/>
  <c r="CD326" i="22"/>
  <c r="CC326" i="22"/>
  <c r="CB326" i="22"/>
  <c r="CA326" i="22"/>
  <c r="BZ326" i="22"/>
  <c r="BY326" i="22"/>
  <c r="BX326" i="22"/>
  <c r="BW326" i="22"/>
  <c r="BV326" i="22"/>
  <c r="BU326" i="22"/>
  <c r="BT326" i="22"/>
  <c r="BS326" i="22"/>
  <c r="BR326" i="22"/>
  <c r="BQ326" i="22"/>
  <c r="BP326" i="22"/>
  <c r="BO326" i="22"/>
  <c r="BN326" i="22"/>
  <c r="BM326" i="22"/>
  <c r="BL326" i="22"/>
  <c r="BK326" i="22"/>
  <c r="BJ326" i="22"/>
  <c r="CS325" i="22"/>
  <c r="CQ325" i="22"/>
  <c r="CP325" i="22"/>
  <c r="CO325" i="22"/>
  <c r="CN325" i="22"/>
  <c r="CM325" i="22"/>
  <c r="CL325" i="22"/>
  <c r="CK325" i="22"/>
  <c r="CJ325" i="22"/>
  <c r="CI325" i="22"/>
  <c r="CH325" i="22"/>
  <c r="CG325" i="22"/>
  <c r="CF325" i="22"/>
  <c r="CE325" i="22"/>
  <c r="CD325" i="22"/>
  <c r="CC325" i="22"/>
  <c r="CB325" i="22"/>
  <c r="CA325" i="22"/>
  <c r="BZ325" i="22"/>
  <c r="BY325" i="22"/>
  <c r="BX325" i="22"/>
  <c r="BW325" i="22"/>
  <c r="BV325" i="22"/>
  <c r="BU325" i="22"/>
  <c r="BT325" i="22"/>
  <c r="BS325" i="22"/>
  <c r="BR325" i="22"/>
  <c r="BQ325" i="22"/>
  <c r="BP325" i="22"/>
  <c r="BO325" i="22"/>
  <c r="BN325" i="22"/>
  <c r="BM325" i="22"/>
  <c r="BL325" i="22"/>
  <c r="BK325" i="22"/>
  <c r="BJ325" i="22"/>
  <c r="CS324" i="22"/>
  <c r="CQ324" i="22"/>
  <c r="CP324" i="22"/>
  <c r="CO324" i="22"/>
  <c r="CN324" i="22"/>
  <c r="CM324" i="22"/>
  <c r="CL324" i="22"/>
  <c r="CK324" i="22"/>
  <c r="CJ324" i="22"/>
  <c r="CI324" i="22"/>
  <c r="CH324" i="22"/>
  <c r="CG324" i="22"/>
  <c r="CF324" i="22"/>
  <c r="CE324" i="22"/>
  <c r="CD324" i="22"/>
  <c r="CC324" i="22"/>
  <c r="CB324" i="22"/>
  <c r="CA324" i="22"/>
  <c r="BZ324" i="22"/>
  <c r="BY324" i="22"/>
  <c r="BX324" i="22"/>
  <c r="BW324" i="22"/>
  <c r="BV324" i="22"/>
  <c r="BU324" i="22"/>
  <c r="BT324" i="22"/>
  <c r="BS324" i="22"/>
  <c r="BR324" i="22"/>
  <c r="BQ324" i="22"/>
  <c r="BP324" i="22"/>
  <c r="BO324" i="22"/>
  <c r="BN324" i="22"/>
  <c r="BM324" i="22"/>
  <c r="BL324" i="22"/>
  <c r="BK324" i="22"/>
  <c r="BJ324" i="22"/>
  <c r="CS323" i="22"/>
  <c r="CQ323" i="22"/>
  <c r="CP323" i="22"/>
  <c r="CO323" i="22"/>
  <c r="CN323" i="22"/>
  <c r="CM323" i="22"/>
  <c r="CL323" i="22"/>
  <c r="CK323" i="22"/>
  <c r="CJ323" i="22"/>
  <c r="CI323" i="22"/>
  <c r="CH323" i="22"/>
  <c r="CG323" i="22"/>
  <c r="CF323" i="22"/>
  <c r="CE323" i="22"/>
  <c r="CD323" i="22"/>
  <c r="CC323" i="22"/>
  <c r="CB323" i="22"/>
  <c r="CA323" i="22"/>
  <c r="BZ323" i="22"/>
  <c r="BY323" i="22"/>
  <c r="BX323" i="22"/>
  <c r="BW323" i="22"/>
  <c r="BV323" i="22"/>
  <c r="BU323" i="22"/>
  <c r="BT323" i="22"/>
  <c r="BS323" i="22"/>
  <c r="BR323" i="22"/>
  <c r="BQ323" i="22"/>
  <c r="BP323" i="22"/>
  <c r="BO323" i="22"/>
  <c r="BN323" i="22"/>
  <c r="BM323" i="22"/>
  <c r="BL323" i="22"/>
  <c r="BK323" i="22"/>
  <c r="BJ323" i="22"/>
  <c r="CS322" i="22"/>
  <c r="CQ322" i="22"/>
  <c r="CP322" i="22"/>
  <c r="CO322" i="22"/>
  <c r="CN322" i="22"/>
  <c r="CM322" i="22"/>
  <c r="CL322" i="22"/>
  <c r="CK322" i="22"/>
  <c r="CJ322" i="22"/>
  <c r="CI322" i="22"/>
  <c r="CH322" i="22"/>
  <c r="CG322" i="22"/>
  <c r="CF322" i="22"/>
  <c r="CE322" i="22"/>
  <c r="CD322" i="22"/>
  <c r="CC322" i="22"/>
  <c r="CB322" i="22"/>
  <c r="CA322" i="22"/>
  <c r="BZ322" i="22"/>
  <c r="BY322" i="22"/>
  <c r="BX322" i="22"/>
  <c r="BW322" i="22"/>
  <c r="BV322" i="22"/>
  <c r="BU322" i="22"/>
  <c r="BT322" i="22"/>
  <c r="BS322" i="22"/>
  <c r="BR322" i="22"/>
  <c r="BQ322" i="22"/>
  <c r="BP322" i="22"/>
  <c r="BO322" i="22"/>
  <c r="BN322" i="22"/>
  <c r="BM322" i="22"/>
  <c r="BL322" i="22"/>
  <c r="BK322" i="22"/>
  <c r="BJ322" i="22"/>
  <c r="CS321" i="22"/>
  <c r="CQ321" i="22"/>
  <c r="CP321" i="22"/>
  <c r="CO321" i="22"/>
  <c r="CN321" i="22"/>
  <c r="CM321" i="22"/>
  <c r="CL321" i="22"/>
  <c r="CK321" i="22"/>
  <c r="CJ321" i="22"/>
  <c r="CI321" i="22"/>
  <c r="CH321" i="22"/>
  <c r="CG321" i="22"/>
  <c r="CF321" i="22"/>
  <c r="CE321" i="22"/>
  <c r="CD321" i="22"/>
  <c r="CC321" i="22"/>
  <c r="CB321" i="22"/>
  <c r="CA321" i="22"/>
  <c r="BZ321" i="22"/>
  <c r="BY321" i="22"/>
  <c r="BX321" i="22"/>
  <c r="BW321" i="22"/>
  <c r="BV321" i="22"/>
  <c r="BU321" i="22"/>
  <c r="BT321" i="22"/>
  <c r="BS321" i="22"/>
  <c r="BR321" i="22"/>
  <c r="BQ321" i="22"/>
  <c r="BP321" i="22"/>
  <c r="BO321" i="22"/>
  <c r="BN321" i="22"/>
  <c r="BM321" i="22"/>
  <c r="BL321" i="22"/>
  <c r="BK321" i="22"/>
  <c r="BJ321" i="22"/>
  <c r="CS320" i="22"/>
  <c r="CQ320" i="22"/>
  <c r="CP320" i="22"/>
  <c r="CO320" i="22"/>
  <c r="CN320" i="22"/>
  <c r="CM320" i="22"/>
  <c r="CL320" i="22"/>
  <c r="CK320" i="22"/>
  <c r="CJ320" i="22"/>
  <c r="CI320" i="22"/>
  <c r="CH320" i="22"/>
  <c r="CG320" i="22"/>
  <c r="CF320" i="22"/>
  <c r="CE320" i="22"/>
  <c r="CD320" i="22"/>
  <c r="CC320" i="22"/>
  <c r="CB320" i="22"/>
  <c r="CA320" i="22"/>
  <c r="BZ320" i="22"/>
  <c r="BY320" i="22"/>
  <c r="BX320" i="22"/>
  <c r="BW320" i="22"/>
  <c r="BV320" i="22"/>
  <c r="BU320" i="22"/>
  <c r="BT320" i="22"/>
  <c r="BS320" i="22"/>
  <c r="BR320" i="22"/>
  <c r="BQ320" i="22"/>
  <c r="BP320" i="22"/>
  <c r="BO320" i="22"/>
  <c r="BN320" i="22"/>
  <c r="BM320" i="22"/>
  <c r="BL320" i="22"/>
  <c r="BK320" i="22"/>
  <c r="BJ320" i="22"/>
  <c r="CS319" i="22"/>
  <c r="CQ319" i="22"/>
  <c r="CP319" i="22"/>
  <c r="CO319" i="22"/>
  <c r="CN319" i="22"/>
  <c r="CM319" i="22"/>
  <c r="CL319" i="22"/>
  <c r="CK319" i="22"/>
  <c r="CJ319" i="22"/>
  <c r="CI319" i="22"/>
  <c r="CH319" i="22"/>
  <c r="CG319" i="22"/>
  <c r="CF319" i="22"/>
  <c r="CE319" i="22"/>
  <c r="CD319" i="22"/>
  <c r="CC319" i="22"/>
  <c r="CB319" i="22"/>
  <c r="CA319" i="22"/>
  <c r="BZ319" i="22"/>
  <c r="BY319" i="22"/>
  <c r="BX319" i="22"/>
  <c r="BW319" i="22"/>
  <c r="BV319" i="22"/>
  <c r="BU319" i="22"/>
  <c r="BT319" i="22"/>
  <c r="BS319" i="22"/>
  <c r="BR319" i="22"/>
  <c r="BQ319" i="22"/>
  <c r="BP319" i="22"/>
  <c r="BO319" i="22"/>
  <c r="BN319" i="22"/>
  <c r="BM319" i="22"/>
  <c r="BL319" i="22"/>
  <c r="BK319" i="22"/>
  <c r="BJ319" i="22"/>
  <c r="CS318" i="22"/>
  <c r="CQ318" i="22"/>
  <c r="CP318" i="22"/>
  <c r="CO318" i="22"/>
  <c r="CN318" i="22"/>
  <c r="CM318" i="22"/>
  <c r="CL318" i="22"/>
  <c r="CK318" i="22"/>
  <c r="CJ318" i="22"/>
  <c r="CI318" i="22"/>
  <c r="CH318" i="22"/>
  <c r="CG318" i="22"/>
  <c r="CF318" i="22"/>
  <c r="CE318" i="22"/>
  <c r="CD318" i="22"/>
  <c r="CC318" i="22"/>
  <c r="CB318" i="22"/>
  <c r="CA318" i="22"/>
  <c r="BZ318" i="22"/>
  <c r="BY318" i="22"/>
  <c r="BX318" i="22"/>
  <c r="BW318" i="22"/>
  <c r="BV318" i="22"/>
  <c r="BU318" i="22"/>
  <c r="BT318" i="22"/>
  <c r="BS318" i="22"/>
  <c r="BR318" i="22"/>
  <c r="BQ318" i="22"/>
  <c r="BP318" i="22"/>
  <c r="BO318" i="22"/>
  <c r="BN318" i="22"/>
  <c r="BM318" i="22"/>
  <c r="BL318" i="22"/>
  <c r="BK318" i="22"/>
  <c r="BJ318" i="22"/>
  <c r="CS317" i="22"/>
  <c r="CQ317" i="22"/>
  <c r="CP317" i="22"/>
  <c r="CO317" i="22"/>
  <c r="CN317" i="22"/>
  <c r="CM317" i="22"/>
  <c r="CL317" i="22"/>
  <c r="CK317" i="22"/>
  <c r="CJ317" i="22"/>
  <c r="CI317" i="22"/>
  <c r="CH317" i="22"/>
  <c r="CG317" i="22"/>
  <c r="CF317" i="22"/>
  <c r="CE317" i="22"/>
  <c r="CD317" i="22"/>
  <c r="CC317" i="22"/>
  <c r="CB317" i="22"/>
  <c r="CA317" i="22"/>
  <c r="BZ317" i="22"/>
  <c r="BY317" i="22"/>
  <c r="BX317" i="22"/>
  <c r="BW317" i="22"/>
  <c r="BV317" i="22"/>
  <c r="BU317" i="22"/>
  <c r="BT317" i="22"/>
  <c r="BS317" i="22"/>
  <c r="BR317" i="22"/>
  <c r="BQ317" i="22"/>
  <c r="BP317" i="22"/>
  <c r="BO317" i="22"/>
  <c r="BN317" i="22"/>
  <c r="BM317" i="22"/>
  <c r="BL317" i="22"/>
  <c r="BK317" i="22"/>
  <c r="BJ317" i="22"/>
  <c r="CS316" i="22"/>
  <c r="CQ316" i="22"/>
  <c r="CP316" i="22"/>
  <c r="CO316" i="22"/>
  <c r="CN316" i="22"/>
  <c r="CM316" i="22"/>
  <c r="CL316" i="22"/>
  <c r="CK316" i="22"/>
  <c r="CJ316" i="22"/>
  <c r="CI316" i="22"/>
  <c r="CH316" i="22"/>
  <c r="CG316" i="22"/>
  <c r="CF316" i="22"/>
  <c r="CE316" i="22"/>
  <c r="CD316" i="22"/>
  <c r="CC316" i="22"/>
  <c r="CB316" i="22"/>
  <c r="CA316" i="22"/>
  <c r="BZ316" i="22"/>
  <c r="BY316" i="22"/>
  <c r="BX316" i="22"/>
  <c r="BW316" i="22"/>
  <c r="BV316" i="22"/>
  <c r="BU316" i="22"/>
  <c r="BT316" i="22"/>
  <c r="BS316" i="22"/>
  <c r="BR316" i="22"/>
  <c r="BQ316" i="22"/>
  <c r="BP316" i="22"/>
  <c r="BO316" i="22"/>
  <c r="BN316" i="22"/>
  <c r="BM316" i="22"/>
  <c r="BL316" i="22"/>
  <c r="BK316" i="22"/>
  <c r="BJ316" i="22"/>
  <c r="CS315" i="22"/>
  <c r="CQ315" i="22"/>
  <c r="CP315" i="22"/>
  <c r="CO315" i="22"/>
  <c r="CN315" i="22"/>
  <c r="CM315" i="22"/>
  <c r="CL315" i="22"/>
  <c r="CK315" i="22"/>
  <c r="CJ315" i="22"/>
  <c r="CI315" i="22"/>
  <c r="CH315" i="22"/>
  <c r="CG315" i="22"/>
  <c r="CF315" i="22"/>
  <c r="CE315" i="22"/>
  <c r="CD315" i="22"/>
  <c r="CC315" i="22"/>
  <c r="CB315" i="22"/>
  <c r="CA315" i="22"/>
  <c r="BZ315" i="22"/>
  <c r="BY315" i="22"/>
  <c r="BX315" i="22"/>
  <c r="BW315" i="22"/>
  <c r="BV315" i="22"/>
  <c r="BU315" i="22"/>
  <c r="BT315" i="22"/>
  <c r="BS315" i="22"/>
  <c r="BR315" i="22"/>
  <c r="BQ315" i="22"/>
  <c r="BP315" i="22"/>
  <c r="BO315" i="22"/>
  <c r="BN315" i="22"/>
  <c r="BM315" i="22"/>
  <c r="BL315" i="22"/>
  <c r="BK315" i="22"/>
  <c r="BJ315" i="22"/>
  <c r="CS314" i="22"/>
  <c r="CQ314" i="22"/>
  <c r="CP314" i="22"/>
  <c r="CO314" i="22"/>
  <c r="CN314" i="22"/>
  <c r="CM314" i="22"/>
  <c r="CL314" i="22"/>
  <c r="CK314" i="22"/>
  <c r="CJ314" i="22"/>
  <c r="CI314" i="22"/>
  <c r="CH314" i="22"/>
  <c r="CG314" i="22"/>
  <c r="CF314" i="22"/>
  <c r="CE314" i="22"/>
  <c r="CD314" i="22"/>
  <c r="CC314" i="22"/>
  <c r="CB314" i="22"/>
  <c r="CA314" i="22"/>
  <c r="BZ314" i="22"/>
  <c r="BY314" i="22"/>
  <c r="BX314" i="22"/>
  <c r="BW314" i="22"/>
  <c r="BV314" i="22"/>
  <c r="BU314" i="22"/>
  <c r="BT314" i="22"/>
  <c r="BS314" i="22"/>
  <c r="BR314" i="22"/>
  <c r="BQ314" i="22"/>
  <c r="BP314" i="22"/>
  <c r="BO314" i="22"/>
  <c r="BN314" i="22"/>
  <c r="BM314" i="22"/>
  <c r="BL314" i="22"/>
  <c r="BK314" i="22"/>
  <c r="BJ314" i="22"/>
  <c r="CS313" i="22"/>
  <c r="CQ313" i="22"/>
  <c r="CP313" i="22"/>
  <c r="CO313" i="22"/>
  <c r="CN313" i="22"/>
  <c r="CM313" i="22"/>
  <c r="CL313" i="22"/>
  <c r="CK313" i="22"/>
  <c r="CJ313" i="22"/>
  <c r="CI313" i="22"/>
  <c r="CH313" i="22"/>
  <c r="CG313" i="22"/>
  <c r="CF313" i="22"/>
  <c r="CE313" i="22"/>
  <c r="CD313" i="22"/>
  <c r="CC313" i="22"/>
  <c r="CB313" i="22"/>
  <c r="CA313" i="22"/>
  <c r="BZ313" i="22"/>
  <c r="BY313" i="22"/>
  <c r="BX313" i="22"/>
  <c r="BW313" i="22"/>
  <c r="BV313" i="22"/>
  <c r="BU313" i="22"/>
  <c r="BT313" i="22"/>
  <c r="BS313" i="22"/>
  <c r="BR313" i="22"/>
  <c r="BQ313" i="22"/>
  <c r="BP313" i="22"/>
  <c r="BO313" i="22"/>
  <c r="BN313" i="22"/>
  <c r="BM313" i="22"/>
  <c r="BL313" i="22"/>
  <c r="BK313" i="22"/>
  <c r="BJ313" i="22"/>
  <c r="CS312" i="22"/>
  <c r="CQ312" i="22"/>
  <c r="CP312" i="22"/>
  <c r="CO312" i="22"/>
  <c r="CN312" i="22"/>
  <c r="CM312" i="22"/>
  <c r="CL312" i="22"/>
  <c r="CK312" i="22"/>
  <c r="CJ312" i="22"/>
  <c r="CI312" i="22"/>
  <c r="CH312" i="22"/>
  <c r="CG312" i="22"/>
  <c r="CF312" i="22"/>
  <c r="CE312" i="22"/>
  <c r="CD312" i="22"/>
  <c r="CC312" i="22"/>
  <c r="CB312" i="22"/>
  <c r="CA312" i="22"/>
  <c r="BZ312" i="22"/>
  <c r="BY312" i="22"/>
  <c r="BX312" i="22"/>
  <c r="BW312" i="22"/>
  <c r="BV312" i="22"/>
  <c r="BU312" i="22"/>
  <c r="BT312" i="22"/>
  <c r="BS312" i="22"/>
  <c r="BR312" i="22"/>
  <c r="BQ312" i="22"/>
  <c r="BP312" i="22"/>
  <c r="BO312" i="22"/>
  <c r="BN312" i="22"/>
  <c r="BM312" i="22"/>
  <c r="BL312" i="22"/>
  <c r="BK312" i="22"/>
  <c r="BJ312" i="22"/>
  <c r="CS311" i="22"/>
  <c r="CQ311" i="22"/>
  <c r="CP311" i="22"/>
  <c r="CO311" i="22"/>
  <c r="CN311" i="22"/>
  <c r="CM311" i="22"/>
  <c r="CL311" i="22"/>
  <c r="CK311" i="22"/>
  <c r="CJ311" i="22"/>
  <c r="CI311" i="22"/>
  <c r="CH311" i="22"/>
  <c r="CG311" i="22"/>
  <c r="CF311" i="22"/>
  <c r="CE311" i="22"/>
  <c r="CD311" i="22"/>
  <c r="CC311" i="22"/>
  <c r="CB311" i="22"/>
  <c r="CA311" i="22"/>
  <c r="BZ311" i="22"/>
  <c r="BY311" i="22"/>
  <c r="BX311" i="22"/>
  <c r="BW311" i="22"/>
  <c r="BV311" i="22"/>
  <c r="BU311" i="22"/>
  <c r="BT311" i="22"/>
  <c r="BS311" i="22"/>
  <c r="BR311" i="22"/>
  <c r="BQ311" i="22"/>
  <c r="BP311" i="22"/>
  <c r="BO311" i="22"/>
  <c r="BN311" i="22"/>
  <c r="BM311" i="22"/>
  <c r="BL311" i="22"/>
  <c r="BK311" i="22"/>
  <c r="BJ311" i="22"/>
  <c r="CS310" i="22"/>
  <c r="CQ310" i="22"/>
  <c r="CP310" i="22"/>
  <c r="CO310" i="22"/>
  <c r="CN310" i="22"/>
  <c r="CM310" i="22"/>
  <c r="CL310" i="22"/>
  <c r="CK310" i="22"/>
  <c r="CJ310" i="22"/>
  <c r="CI310" i="22"/>
  <c r="CH310" i="22"/>
  <c r="CG310" i="22"/>
  <c r="CF310" i="22"/>
  <c r="CE310" i="22"/>
  <c r="CD310" i="22"/>
  <c r="CC310" i="22"/>
  <c r="CB310" i="22"/>
  <c r="CA310" i="22"/>
  <c r="BZ310" i="22"/>
  <c r="BY310" i="22"/>
  <c r="BX310" i="22"/>
  <c r="BW310" i="22"/>
  <c r="BV310" i="22"/>
  <c r="BU310" i="22"/>
  <c r="BT310" i="22"/>
  <c r="BS310" i="22"/>
  <c r="BR310" i="22"/>
  <c r="BQ310" i="22"/>
  <c r="BP310" i="22"/>
  <c r="BO310" i="22"/>
  <c r="BN310" i="22"/>
  <c r="BM310" i="22"/>
  <c r="BL310" i="22"/>
  <c r="BK310" i="22"/>
  <c r="BJ310" i="22"/>
  <c r="CS309" i="22"/>
  <c r="CQ309" i="22"/>
  <c r="CP309" i="22"/>
  <c r="CO309" i="22"/>
  <c r="CN309" i="22"/>
  <c r="CM309" i="22"/>
  <c r="CL309" i="22"/>
  <c r="CK309" i="22"/>
  <c r="CJ309" i="22"/>
  <c r="CI309" i="22"/>
  <c r="CH309" i="22"/>
  <c r="CG309" i="22"/>
  <c r="CF309" i="22"/>
  <c r="CE309" i="22"/>
  <c r="CD309" i="22"/>
  <c r="CC309" i="22"/>
  <c r="CB309" i="22"/>
  <c r="CA309" i="22"/>
  <c r="BZ309" i="22"/>
  <c r="BY309" i="22"/>
  <c r="BX309" i="22"/>
  <c r="BW309" i="22"/>
  <c r="BV309" i="22"/>
  <c r="BU309" i="22"/>
  <c r="BT309" i="22"/>
  <c r="BS309" i="22"/>
  <c r="BR309" i="22"/>
  <c r="BQ309" i="22"/>
  <c r="BP309" i="22"/>
  <c r="BO309" i="22"/>
  <c r="BN309" i="22"/>
  <c r="BM309" i="22"/>
  <c r="BL309" i="22"/>
  <c r="BK309" i="22"/>
  <c r="BJ309" i="22"/>
  <c r="CS308" i="22"/>
  <c r="CQ308" i="22"/>
  <c r="CP308" i="22"/>
  <c r="CO308" i="22"/>
  <c r="CN308" i="22"/>
  <c r="CM308" i="22"/>
  <c r="CL308" i="22"/>
  <c r="CK308" i="22"/>
  <c r="CJ308" i="22"/>
  <c r="CI308" i="22"/>
  <c r="CH308" i="22"/>
  <c r="CG308" i="22"/>
  <c r="CF308" i="22"/>
  <c r="CE308" i="22"/>
  <c r="CD308" i="22"/>
  <c r="CC308" i="22"/>
  <c r="CB308" i="22"/>
  <c r="CA308" i="22"/>
  <c r="BZ308" i="22"/>
  <c r="BY308" i="22"/>
  <c r="BX308" i="22"/>
  <c r="BW308" i="22"/>
  <c r="BV308" i="22"/>
  <c r="BU308" i="22"/>
  <c r="BT308" i="22"/>
  <c r="BS308" i="22"/>
  <c r="BR308" i="22"/>
  <c r="BQ308" i="22"/>
  <c r="BP308" i="22"/>
  <c r="BO308" i="22"/>
  <c r="BN308" i="22"/>
  <c r="BM308" i="22"/>
  <c r="BL308" i="22"/>
  <c r="BK308" i="22"/>
  <c r="BJ308" i="22"/>
  <c r="CS307" i="22"/>
  <c r="CQ307" i="22"/>
  <c r="CP307" i="22"/>
  <c r="CO307" i="22"/>
  <c r="CN307" i="22"/>
  <c r="CM307" i="22"/>
  <c r="CL307" i="22"/>
  <c r="CK307" i="22"/>
  <c r="CJ307" i="22"/>
  <c r="CI307" i="22"/>
  <c r="CH307" i="22"/>
  <c r="CG307" i="22"/>
  <c r="CF307" i="22"/>
  <c r="CE307" i="22"/>
  <c r="CD307" i="22"/>
  <c r="CC307" i="22"/>
  <c r="CB307" i="22"/>
  <c r="CA307" i="22"/>
  <c r="BZ307" i="22"/>
  <c r="BY307" i="22"/>
  <c r="BX307" i="22"/>
  <c r="BW307" i="22"/>
  <c r="BV307" i="22"/>
  <c r="BU307" i="22"/>
  <c r="BT307" i="22"/>
  <c r="BS307" i="22"/>
  <c r="BR307" i="22"/>
  <c r="BQ307" i="22"/>
  <c r="BP307" i="22"/>
  <c r="BO307" i="22"/>
  <c r="BN307" i="22"/>
  <c r="BM307" i="22"/>
  <c r="BL307" i="22"/>
  <c r="BK307" i="22"/>
  <c r="BJ307" i="22"/>
  <c r="CS306" i="22"/>
  <c r="CQ306" i="22"/>
  <c r="CP306" i="22"/>
  <c r="CO306" i="22"/>
  <c r="CN306" i="22"/>
  <c r="CM306" i="22"/>
  <c r="CL306" i="22"/>
  <c r="CK306" i="22"/>
  <c r="CJ306" i="22"/>
  <c r="CI306" i="22"/>
  <c r="CH306" i="22"/>
  <c r="CG306" i="22"/>
  <c r="CF306" i="22"/>
  <c r="CE306" i="22"/>
  <c r="CD306" i="22"/>
  <c r="CC306" i="22"/>
  <c r="CB306" i="22"/>
  <c r="CA306" i="22"/>
  <c r="BZ306" i="22"/>
  <c r="BY306" i="22"/>
  <c r="BX306" i="22"/>
  <c r="BW306" i="22"/>
  <c r="BV306" i="22"/>
  <c r="BU306" i="22"/>
  <c r="BT306" i="22"/>
  <c r="BS306" i="22"/>
  <c r="BR306" i="22"/>
  <c r="BQ306" i="22"/>
  <c r="BP306" i="22"/>
  <c r="BO306" i="22"/>
  <c r="BN306" i="22"/>
  <c r="BM306" i="22"/>
  <c r="BL306" i="22"/>
  <c r="BK306" i="22"/>
  <c r="BJ306" i="22"/>
  <c r="CS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CS304" i="22"/>
  <c r="CQ304" i="22"/>
  <c r="CP304" i="22"/>
  <c r="CO304" i="22"/>
  <c r="CN304" i="22"/>
  <c r="CM304" i="22"/>
  <c r="CL304" i="22"/>
  <c r="CK304" i="22"/>
  <c r="CJ304" i="22"/>
  <c r="CI304" i="22"/>
  <c r="CH304" i="22"/>
  <c r="CG304" i="22"/>
  <c r="CF304" i="22"/>
  <c r="CE304" i="22"/>
  <c r="CD304" i="22"/>
  <c r="CC304" i="22"/>
  <c r="CB304" i="22"/>
  <c r="CA304" i="22"/>
  <c r="BZ304" i="22"/>
  <c r="BY304" i="22"/>
  <c r="BX304" i="22"/>
  <c r="BW304" i="22"/>
  <c r="BV304" i="22"/>
  <c r="BU304" i="22"/>
  <c r="BT304" i="22"/>
  <c r="BS304" i="22"/>
  <c r="BR304" i="22"/>
  <c r="BQ304" i="22"/>
  <c r="BP304" i="22"/>
  <c r="BO304" i="22"/>
  <c r="BN304" i="22"/>
  <c r="BM304" i="22"/>
  <c r="BL304" i="22"/>
  <c r="BK304" i="22"/>
  <c r="BJ304" i="22"/>
  <c r="CS303" i="22"/>
  <c r="CQ303" i="22"/>
  <c r="CP303" i="22"/>
  <c r="CO303" i="22"/>
  <c r="CN303" i="22"/>
  <c r="CM303" i="22"/>
  <c r="CL303" i="22"/>
  <c r="CK303" i="22"/>
  <c r="CJ303" i="22"/>
  <c r="CI303" i="22"/>
  <c r="CH303" i="22"/>
  <c r="CG303" i="22"/>
  <c r="CF303" i="22"/>
  <c r="CE303" i="22"/>
  <c r="CD303" i="22"/>
  <c r="CC303" i="22"/>
  <c r="CB303" i="22"/>
  <c r="CA303" i="22"/>
  <c r="BZ303" i="22"/>
  <c r="BY303" i="22"/>
  <c r="BX303" i="22"/>
  <c r="BW303" i="22"/>
  <c r="BV303" i="22"/>
  <c r="BU303" i="22"/>
  <c r="BT303" i="22"/>
  <c r="BS303" i="22"/>
  <c r="BR303" i="22"/>
  <c r="BQ303" i="22"/>
  <c r="BP303" i="22"/>
  <c r="BO303" i="22"/>
  <c r="BN303" i="22"/>
  <c r="BM303" i="22"/>
  <c r="BL303" i="22"/>
  <c r="BK303" i="22"/>
  <c r="BJ303" i="22"/>
  <c r="CS302" i="22"/>
  <c r="CQ302" i="22"/>
  <c r="CP302" i="22"/>
  <c r="CO302" i="22"/>
  <c r="CN302" i="22"/>
  <c r="CM302" i="22"/>
  <c r="CL302" i="22"/>
  <c r="CK302" i="22"/>
  <c r="CJ302" i="22"/>
  <c r="CI302" i="22"/>
  <c r="CH302" i="22"/>
  <c r="CG302" i="22"/>
  <c r="CF302" i="22"/>
  <c r="CE302" i="22"/>
  <c r="CD302" i="22"/>
  <c r="CC302" i="22"/>
  <c r="CB302" i="22"/>
  <c r="CA302" i="22"/>
  <c r="BZ302" i="22"/>
  <c r="BY302" i="22"/>
  <c r="BX302" i="22"/>
  <c r="BW302" i="22"/>
  <c r="BV302" i="22"/>
  <c r="BU302" i="22"/>
  <c r="BT302" i="22"/>
  <c r="BS302" i="22"/>
  <c r="BR302" i="22"/>
  <c r="BQ302" i="22"/>
  <c r="BP302" i="22"/>
  <c r="BO302" i="22"/>
  <c r="BN302" i="22"/>
  <c r="BM302" i="22"/>
  <c r="BL302" i="22"/>
  <c r="BK302" i="22"/>
  <c r="BJ302" i="22"/>
  <c r="CS301" i="22"/>
  <c r="CQ301" i="22"/>
  <c r="CP301" i="22"/>
  <c r="CO301" i="22"/>
  <c r="CN301" i="22"/>
  <c r="CM301" i="22"/>
  <c r="CL301" i="22"/>
  <c r="CK301" i="22"/>
  <c r="CJ301" i="22"/>
  <c r="CI301" i="22"/>
  <c r="CH301" i="22"/>
  <c r="CG301" i="22"/>
  <c r="CF301" i="22"/>
  <c r="CE301" i="22"/>
  <c r="CD301" i="22"/>
  <c r="CC301" i="22"/>
  <c r="CB301" i="22"/>
  <c r="CA301" i="22"/>
  <c r="BZ301" i="22"/>
  <c r="BY301" i="22"/>
  <c r="BX301" i="22"/>
  <c r="BW301" i="22"/>
  <c r="BV301" i="22"/>
  <c r="BU301" i="22"/>
  <c r="BT301" i="22"/>
  <c r="BS301" i="22"/>
  <c r="BR301" i="22"/>
  <c r="BQ301" i="22"/>
  <c r="BP301" i="22"/>
  <c r="BO301" i="22"/>
  <c r="BN301" i="22"/>
  <c r="BM301" i="22"/>
  <c r="BL301" i="22"/>
  <c r="BK301" i="22"/>
  <c r="BJ301" i="22"/>
  <c r="CS300" i="22"/>
  <c r="CQ300" i="22"/>
  <c r="CP300" i="22"/>
  <c r="CO300" i="22"/>
  <c r="CN300" i="22"/>
  <c r="CM300" i="22"/>
  <c r="CL300" i="22"/>
  <c r="CK300" i="22"/>
  <c r="CJ300" i="22"/>
  <c r="CI300" i="22"/>
  <c r="CH300" i="22"/>
  <c r="CG300" i="22"/>
  <c r="CF300" i="22"/>
  <c r="CE300" i="22"/>
  <c r="CD300" i="22"/>
  <c r="CC300" i="22"/>
  <c r="CB300" i="22"/>
  <c r="CA300" i="22"/>
  <c r="BZ300" i="22"/>
  <c r="BY300" i="22"/>
  <c r="BX300" i="22"/>
  <c r="BW300" i="22"/>
  <c r="BV300" i="22"/>
  <c r="BU300" i="22"/>
  <c r="BT300" i="22"/>
  <c r="BS300" i="22"/>
  <c r="BR300" i="22"/>
  <c r="BQ300" i="22"/>
  <c r="BP300" i="22"/>
  <c r="BO300" i="22"/>
  <c r="BN300" i="22"/>
  <c r="BM300" i="22"/>
  <c r="BL300" i="22"/>
  <c r="BK300" i="22"/>
  <c r="BJ300" i="22"/>
  <c r="CS299" i="22"/>
  <c r="CQ299" i="22"/>
  <c r="CP299" i="22"/>
  <c r="CO299" i="22"/>
  <c r="CN299" i="22"/>
  <c r="CM299" i="22"/>
  <c r="CL299" i="22"/>
  <c r="CK299" i="22"/>
  <c r="CJ299" i="22"/>
  <c r="CI299" i="22"/>
  <c r="CH299" i="22"/>
  <c r="CG299" i="22"/>
  <c r="CF299" i="22"/>
  <c r="CE299" i="22"/>
  <c r="CD299" i="22"/>
  <c r="CC299" i="22"/>
  <c r="CB299" i="22"/>
  <c r="CA299" i="22"/>
  <c r="BZ299" i="22"/>
  <c r="BY299" i="22"/>
  <c r="BX299" i="22"/>
  <c r="BW299" i="22"/>
  <c r="BV299" i="22"/>
  <c r="BU299" i="22"/>
  <c r="BT299" i="22"/>
  <c r="BS299" i="22"/>
  <c r="BR299" i="22"/>
  <c r="BQ299" i="22"/>
  <c r="BP299" i="22"/>
  <c r="BO299" i="22"/>
  <c r="BN299" i="22"/>
  <c r="BM299" i="22"/>
  <c r="BL299" i="22"/>
  <c r="BK299" i="22"/>
  <c r="BJ299" i="22"/>
  <c r="CS298" i="22"/>
  <c r="CQ298" i="22"/>
  <c r="CP298" i="22"/>
  <c r="CO298" i="22"/>
  <c r="CN298" i="22"/>
  <c r="CM298" i="22"/>
  <c r="CL298" i="22"/>
  <c r="CK298" i="22"/>
  <c r="CJ298" i="22"/>
  <c r="CI298" i="22"/>
  <c r="CH298" i="22"/>
  <c r="CG298" i="22"/>
  <c r="CF298" i="22"/>
  <c r="CE298" i="22"/>
  <c r="CD298" i="22"/>
  <c r="CC298" i="22"/>
  <c r="CB298" i="22"/>
  <c r="CA298" i="22"/>
  <c r="BZ298" i="22"/>
  <c r="BY298" i="22"/>
  <c r="BX298" i="22"/>
  <c r="BW298" i="22"/>
  <c r="BV298" i="22"/>
  <c r="BU298" i="22"/>
  <c r="BT298" i="22"/>
  <c r="BS298" i="22"/>
  <c r="BR298" i="22"/>
  <c r="BQ298" i="22"/>
  <c r="BP298" i="22"/>
  <c r="BO298" i="22"/>
  <c r="BN298" i="22"/>
  <c r="BM298" i="22"/>
  <c r="BL298" i="22"/>
  <c r="BK298" i="22"/>
  <c r="BJ298" i="22"/>
  <c r="CS297" i="22"/>
  <c r="CQ297" i="22"/>
  <c r="CP297" i="22"/>
  <c r="CO297" i="22"/>
  <c r="CN297" i="22"/>
  <c r="CM297" i="22"/>
  <c r="CL297" i="22"/>
  <c r="CK297" i="22"/>
  <c r="CJ297" i="22"/>
  <c r="CI297" i="22"/>
  <c r="CH297" i="22"/>
  <c r="CG297" i="22"/>
  <c r="CF297" i="22"/>
  <c r="CE297" i="22"/>
  <c r="CD297" i="22"/>
  <c r="CC297" i="22"/>
  <c r="CB297" i="22"/>
  <c r="CA297" i="22"/>
  <c r="BZ297" i="22"/>
  <c r="BY297" i="22"/>
  <c r="BX297" i="22"/>
  <c r="BW297" i="22"/>
  <c r="BV297" i="22"/>
  <c r="BU297" i="22"/>
  <c r="BT297" i="22"/>
  <c r="BS297" i="22"/>
  <c r="BR297" i="22"/>
  <c r="BQ297" i="22"/>
  <c r="BP297" i="22"/>
  <c r="BO297" i="22"/>
  <c r="BN297" i="22"/>
  <c r="BM297" i="22"/>
  <c r="BL297" i="22"/>
  <c r="BK297" i="22"/>
  <c r="BJ297" i="22"/>
  <c r="CS296" i="22"/>
  <c r="CQ296" i="22"/>
  <c r="CP296" i="22"/>
  <c r="CO296" i="22"/>
  <c r="CN296" i="22"/>
  <c r="CM296" i="22"/>
  <c r="CL296" i="22"/>
  <c r="CK296" i="22"/>
  <c r="CJ296" i="22"/>
  <c r="CI296" i="22"/>
  <c r="CH296" i="22"/>
  <c r="CG296" i="22"/>
  <c r="CF296" i="22"/>
  <c r="CE296" i="22"/>
  <c r="CD296" i="22"/>
  <c r="CC296" i="22"/>
  <c r="CB296" i="22"/>
  <c r="CA296" i="22"/>
  <c r="BZ296" i="22"/>
  <c r="BY296" i="22"/>
  <c r="BX296" i="22"/>
  <c r="BW296" i="22"/>
  <c r="BV296" i="22"/>
  <c r="BU296" i="22"/>
  <c r="BT296" i="22"/>
  <c r="BS296" i="22"/>
  <c r="BR296" i="22"/>
  <c r="BQ296" i="22"/>
  <c r="BP296" i="22"/>
  <c r="BO296" i="22"/>
  <c r="BN296" i="22"/>
  <c r="BM296" i="22"/>
  <c r="BL296" i="22"/>
  <c r="BK296" i="22"/>
  <c r="BJ296" i="22"/>
  <c r="CS295" i="22"/>
  <c r="CQ295" i="22"/>
  <c r="CP295" i="22"/>
  <c r="CO295" i="22"/>
  <c r="CN295" i="22"/>
  <c r="CM295" i="22"/>
  <c r="CL295" i="22"/>
  <c r="CK295" i="22"/>
  <c r="CJ295" i="22"/>
  <c r="CI295" i="22"/>
  <c r="CH295" i="22"/>
  <c r="CG295" i="22"/>
  <c r="CF295" i="22"/>
  <c r="CE295" i="22"/>
  <c r="CD295" i="22"/>
  <c r="CC295" i="22"/>
  <c r="CB295" i="22"/>
  <c r="CA295" i="22"/>
  <c r="BZ295" i="22"/>
  <c r="BY295" i="22"/>
  <c r="BX295" i="22"/>
  <c r="BW295" i="22"/>
  <c r="BV295" i="22"/>
  <c r="BU295" i="22"/>
  <c r="BT295" i="22"/>
  <c r="BS295" i="22"/>
  <c r="BR295" i="22"/>
  <c r="BQ295" i="22"/>
  <c r="BP295" i="22"/>
  <c r="BO295" i="22"/>
  <c r="BN295" i="22"/>
  <c r="BM295" i="22"/>
  <c r="BL295" i="22"/>
  <c r="BK295" i="22"/>
  <c r="BJ295" i="22"/>
  <c r="CS294" i="22"/>
  <c r="CQ294" i="22"/>
  <c r="CP294" i="22"/>
  <c r="CO294" i="22"/>
  <c r="CN294" i="22"/>
  <c r="CM294" i="22"/>
  <c r="CL294" i="22"/>
  <c r="CK294" i="22"/>
  <c r="CJ294" i="22"/>
  <c r="CI294" i="22"/>
  <c r="CH294" i="22"/>
  <c r="CG294" i="22"/>
  <c r="CF294" i="22"/>
  <c r="CE294" i="22"/>
  <c r="CD294" i="22"/>
  <c r="CC294" i="22"/>
  <c r="CB294" i="22"/>
  <c r="CA294" i="22"/>
  <c r="BZ294" i="22"/>
  <c r="BY294" i="22"/>
  <c r="BX294" i="22"/>
  <c r="BW294" i="22"/>
  <c r="BV294" i="22"/>
  <c r="BU294" i="22"/>
  <c r="BT294" i="22"/>
  <c r="BS294" i="22"/>
  <c r="BR294" i="22"/>
  <c r="BQ294" i="22"/>
  <c r="BP294" i="22"/>
  <c r="BO294" i="22"/>
  <c r="BN294" i="22"/>
  <c r="BM294" i="22"/>
  <c r="BL294" i="22"/>
  <c r="BK294" i="22"/>
  <c r="BJ294" i="22"/>
  <c r="CS293" i="22"/>
  <c r="CQ293" i="22"/>
  <c r="CP293" i="22"/>
  <c r="CO293" i="22"/>
  <c r="CN293" i="22"/>
  <c r="CM293" i="22"/>
  <c r="CL293" i="22"/>
  <c r="CK293" i="22"/>
  <c r="CJ293" i="22"/>
  <c r="CI293" i="22"/>
  <c r="CH293" i="22"/>
  <c r="CG293" i="22"/>
  <c r="CF293" i="22"/>
  <c r="CE293" i="22"/>
  <c r="CD293" i="22"/>
  <c r="CC293" i="22"/>
  <c r="CB293" i="22"/>
  <c r="CA293" i="22"/>
  <c r="BZ293" i="22"/>
  <c r="BY293" i="22"/>
  <c r="BX293" i="22"/>
  <c r="BW293" i="22"/>
  <c r="BV293" i="22"/>
  <c r="BU293" i="22"/>
  <c r="BT293" i="22"/>
  <c r="BS293" i="22"/>
  <c r="BR293" i="22"/>
  <c r="BQ293" i="22"/>
  <c r="BP293" i="22"/>
  <c r="BO293" i="22"/>
  <c r="BN293" i="22"/>
  <c r="BM293" i="22"/>
  <c r="BL293" i="22"/>
  <c r="BK293" i="22"/>
  <c r="BJ293" i="22"/>
  <c r="CS292" i="22"/>
  <c r="CQ292" i="22"/>
  <c r="CP292" i="22"/>
  <c r="CO292" i="22"/>
  <c r="CN292" i="22"/>
  <c r="CM292" i="22"/>
  <c r="CL292" i="22"/>
  <c r="CK292" i="22"/>
  <c r="CJ292" i="22"/>
  <c r="CI292" i="22"/>
  <c r="CH292" i="22"/>
  <c r="CG292" i="22"/>
  <c r="CF292" i="22"/>
  <c r="CE292" i="22"/>
  <c r="CD292" i="22"/>
  <c r="CC292" i="22"/>
  <c r="CB292" i="22"/>
  <c r="CA292" i="22"/>
  <c r="BZ292" i="22"/>
  <c r="BY292" i="22"/>
  <c r="BX292" i="22"/>
  <c r="BW292" i="22"/>
  <c r="BV292" i="22"/>
  <c r="BU292" i="22"/>
  <c r="BT292" i="22"/>
  <c r="BS292" i="22"/>
  <c r="BR292" i="22"/>
  <c r="BQ292" i="22"/>
  <c r="BP292" i="22"/>
  <c r="BO292" i="22"/>
  <c r="BN292" i="22"/>
  <c r="BM292" i="22"/>
  <c r="BL292" i="22"/>
  <c r="BK292" i="22"/>
  <c r="BJ292" i="22"/>
  <c r="CS291" i="22"/>
  <c r="CQ291" i="22"/>
  <c r="CP291" i="22"/>
  <c r="CO291" i="22"/>
  <c r="CN291" i="22"/>
  <c r="CM291" i="22"/>
  <c r="CL291" i="22"/>
  <c r="CK291" i="22"/>
  <c r="CJ291" i="22"/>
  <c r="CI291" i="22"/>
  <c r="CH291" i="22"/>
  <c r="CG291" i="22"/>
  <c r="CF291" i="22"/>
  <c r="CE291" i="22"/>
  <c r="CD291" i="22"/>
  <c r="CC291" i="22"/>
  <c r="CB291" i="22"/>
  <c r="CA291" i="22"/>
  <c r="BZ291" i="22"/>
  <c r="BY291" i="22"/>
  <c r="BX291" i="22"/>
  <c r="BW291" i="22"/>
  <c r="BV291" i="22"/>
  <c r="BU291" i="22"/>
  <c r="BT291" i="22"/>
  <c r="BS291" i="22"/>
  <c r="BR291" i="22"/>
  <c r="BQ291" i="22"/>
  <c r="BP291" i="22"/>
  <c r="BO291" i="22"/>
  <c r="BN291" i="22"/>
  <c r="BM291" i="22"/>
  <c r="BL291" i="22"/>
  <c r="BK291" i="22"/>
  <c r="BJ291" i="22"/>
  <c r="CS290" i="22"/>
  <c r="CQ290" i="22"/>
  <c r="CP290" i="22"/>
  <c r="CO290" i="22"/>
  <c r="CN290" i="22"/>
  <c r="CM290" i="22"/>
  <c r="CL290" i="22"/>
  <c r="CK290" i="22"/>
  <c r="CJ290" i="22"/>
  <c r="CI290" i="22"/>
  <c r="CH290" i="22"/>
  <c r="CG290" i="22"/>
  <c r="CF290" i="22"/>
  <c r="CE290" i="22"/>
  <c r="CD290" i="22"/>
  <c r="CC290" i="22"/>
  <c r="CB290" i="22"/>
  <c r="CA290" i="22"/>
  <c r="BZ290" i="22"/>
  <c r="BY290" i="22"/>
  <c r="BX290" i="22"/>
  <c r="BW290" i="22"/>
  <c r="BV290" i="22"/>
  <c r="BU290" i="22"/>
  <c r="BT290" i="22"/>
  <c r="BS290" i="22"/>
  <c r="BR290" i="22"/>
  <c r="BQ290" i="22"/>
  <c r="BP290" i="22"/>
  <c r="BO290" i="22"/>
  <c r="BN290" i="22"/>
  <c r="BM290" i="22"/>
  <c r="BL290" i="22"/>
  <c r="BK290" i="22"/>
  <c r="BJ290" i="22"/>
  <c r="CS289" i="22"/>
  <c r="CQ289" i="22"/>
  <c r="CP289" i="22"/>
  <c r="CO289" i="22"/>
  <c r="CN289" i="22"/>
  <c r="CM289" i="22"/>
  <c r="CL289" i="22"/>
  <c r="CK289" i="22"/>
  <c r="CJ289" i="22"/>
  <c r="CI289" i="22"/>
  <c r="CH289" i="22"/>
  <c r="CG289" i="22"/>
  <c r="CF289" i="22"/>
  <c r="CE289" i="22"/>
  <c r="CD289" i="22"/>
  <c r="CC289" i="22"/>
  <c r="CB289" i="22"/>
  <c r="CA289" i="22"/>
  <c r="BZ289" i="22"/>
  <c r="BY289" i="22"/>
  <c r="BX289" i="22"/>
  <c r="BW289" i="22"/>
  <c r="BV289" i="22"/>
  <c r="BU289" i="22"/>
  <c r="BT289" i="22"/>
  <c r="BS289" i="22"/>
  <c r="BR289" i="22"/>
  <c r="BQ289" i="22"/>
  <c r="BP289" i="22"/>
  <c r="BO289" i="22"/>
  <c r="BN289" i="22"/>
  <c r="BM289" i="22"/>
  <c r="BL289" i="22"/>
  <c r="BK289" i="22"/>
  <c r="BJ289" i="22"/>
  <c r="CS288" i="22"/>
  <c r="CQ288" i="22"/>
  <c r="CP288" i="22"/>
  <c r="CO288" i="22"/>
  <c r="CN288" i="22"/>
  <c r="CM288" i="22"/>
  <c r="CL288" i="22"/>
  <c r="CK288" i="22"/>
  <c r="CJ288" i="22"/>
  <c r="CI288" i="22"/>
  <c r="CH288" i="22"/>
  <c r="CG288" i="22"/>
  <c r="CF288" i="22"/>
  <c r="CE288" i="22"/>
  <c r="CD288" i="22"/>
  <c r="CC288" i="22"/>
  <c r="CB288" i="22"/>
  <c r="CA288" i="22"/>
  <c r="BZ288" i="22"/>
  <c r="BY288" i="22"/>
  <c r="BX288" i="22"/>
  <c r="BW288" i="22"/>
  <c r="BV288" i="22"/>
  <c r="BU288" i="22"/>
  <c r="BT288" i="22"/>
  <c r="BS288" i="22"/>
  <c r="BR288" i="22"/>
  <c r="BQ288" i="22"/>
  <c r="BP288" i="22"/>
  <c r="BO288" i="22"/>
  <c r="BN288" i="22"/>
  <c r="BM288" i="22"/>
  <c r="BL288" i="22"/>
  <c r="BK288" i="22"/>
  <c r="BJ288" i="22"/>
  <c r="CS287" i="22"/>
  <c r="CQ287" i="22"/>
  <c r="CP287" i="22"/>
  <c r="CO287" i="22"/>
  <c r="CN287" i="22"/>
  <c r="CM287" i="22"/>
  <c r="CL287" i="22"/>
  <c r="CK287" i="22"/>
  <c r="CJ287" i="22"/>
  <c r="CI287" i="22"/>
  <c r="CH287" i="22"/>
  <c r="CG287" i="22"/>
  <c r="CF287" i="22"/>
  <c r="CE287" i="22"/>
  <c r="CD287" i="22"/>
  <c r="CC287" i="22"/>
  <c r="CB287" i="22"/>
  <c r="CA287" i="22"/>
  <c r="BZ287" i="22"/>
  <c r="BY287" i="22"/>
  <c r="BX287" i="22"/>
  <c r="BW287" i="22"/>
  <c r="BV287" i="22"/>
  <c r="BU287" i="22"/>
  <c r="BT287" i="22"/>
  <c r="BS287" i="22"/>
  <c r="BR287" i="22"/>
  <c r="BQ287" i="22"/>
  <c r="BP287" i="22"/>
  <c r="BO287" i="22"/>
  <c r="BN287" i="22"/>
  <c r="BM287" i="22"/>
  <c r="BL287" i="22"/>
  <c r="BK287" i="22"/>
  <c r="BJ287" i="22"/>
  <c r="CS286" i="22"/>
  <c r="CQ286" i="22"/>
  <c r="CP286" i="22"/>
  <c r="CO286" i="22"/>
  <c r="CN286" i="22"/>
  <c r="CM286" i="22"/>
  <c r="CL286" i="22"/>
  <c r="CK286" i="22"/>
  <c r="CJ286" i="22"/>
  <c r="CI286" i="22"/>
  <c r="CH286" i="22"/>
  <c r="CG286" i="22"/>
  <c r="CF286" i="22"/>
  <c r="CE286" i="22"/>
  <c r="CD286" i="22"/>
  <c r="CC286" i="22"/>
  <c r="CB286" i="22"/>
  <c r="CA286" i="22"/>
  <c r="BZ286" i="22"/>
  <c r="BY286" i="22"/>
  <c r="BX286" i="22"/>
  <c r="BW286" i="22"/>
  <c r="BV286" i="22"/>
  <c r="BU286" i="22"/>
  <c r="BT286" i="22"/>
  <c r="BS286" i="22"/>
  <c r="BR286" i="22"/>
  <c r="BQ286" i="22"/>
  <c r="BP286" i="22"/>
  <c r="BO286" i="22"/>
  <c r="BN286" i="22"/>
  <c r="BM286" i="22"/>
  <c r="BL286" i="22"/>
  <c r="BK286" i="22"/>
  <c r="BJ286" i="22"/>
  <c r="CS285" i="22"/>
  <c r="CQ285" i="22"/>
  <c r="CP285" i="22"/>
  <c r="CO285" i="22"/>
  <c r="CN285" i="22"/>
  <c r="CM285" i="22"/>
  <c r="CL285" i="22"/>
  <c r="CK285" i="22"/>
  <c r="CJ285" i="22"/>
  <c r="CI285" i="22"/>
  <c r="CH285" i="22"/>
  <c r="CG285" i="22"/>
  <c r="CF285" i="22"/>
  <c r="CE285" i="22"/>
  <c r="CD285" i="22"/>
  <c r="CC285" i="22"/>
  <c r="CB285" i="22"/>
  <c r="CA285" i="22"/>
  <c r="BZ285" i="22"/>
  <c r="BY285" i="22"/>
  <c r="BX285" i="22"/>
  <c r="BW285" i="22"/>
  <c r="BV285" i="22"/>
  <c r="BU285" i="22"/>
  <c r="BT285" i="22"/>
  <c r="BS285" i="22"/>
  <c r="BR285" i="22"/>
  <c r="BQ285" i="22"/>
  <c r="BP285" i="22"/>
  <c r="BO285" i="22"/>
  <c r="BN285" i="22"/>
  <c r="BM285" i="22"/>
  <c r="BL285" i="22"/>
  <c r="BK285" i="22"/>
  <c r="BJ285" i="22"/>
  <c r="CS284" i="22"/>
  <c r="CQ284" i="22"/>
  <c r="CP284" i="22"/>
  <c r="CO284" i="22"/>
  <c r="CN284" i="22"/>
  <c r="CM284" i="22"/>
  <c r="CL284" i="22"/>
  <c r="CK284" i="22"/>
  <c r="CJ284" i="22"/>
  <c r="CI284" i="22"/>
  <c r="CH284" i="22"/>
  <c r="CG284" i="22"/>
  <c r="CF284" i="22"/>
  <c r="CE284" i="22"/>
  <c r="CD284" i="22"/>
  <c r="CC284" i="22"/>
  <c r="CB284" i="22"/>
  <c r="CA284" i="22"/>
  <c r="BZ284" i="22"/>
  <c r="BY284" i="22"/>
  <c r="BX284" i="22"/>
  <c r="BW284" i="22"/>
  <c r="BV284" i="22"/>
  <c r="BU284" i="22"/>
  <c r="BT284" i="22"/>
  <c r="BS284" i="22"/>
  <c r="BR284" i="22"/>
  <c r="BQ284" i="22"/>
  <c r="BP284" i="22"/>
  <c r="BO284" i="22"/>
  <c r="BN284" i="22"/>
  <c r="BM284" i="22"/>
  <c r="BL284" i="22"/>
  <c r="BK284" i="22"/>
  <c r="BJ284" i="22"/>
  <c r="CS283" i="22"/>
  <c r="CQ283" i="22"/>
  <c r="CP283" i="22"/>
  <c r="CO283" i="22"/>
  <c r="CN283" i="22"/>
  <c r="CM283" i="22"/>
  <c r="CL283" i="22"/>
  <c r="CK283" i="22"/>
  <c r="CJ283" i="22"/>
  <c r="CI283" i="22"/>
  <c r="CH283" i="22"/>
  <c r="CG283" i="22"/>
  <c r="CF283" i="22"/>
  <c r="CE283" i="22"/>
  <c r="CD283" i="22"/>
  <c r="CC283" i="22"/>
  <c r="CB283" i="22"/>
  <c r="CA283" i="22"/>
  <c r="BZ283" i="22"/>
  <c r="BY283" i="22"/>
  <c r="BX283" i="22"/>
  <c r="BW283" i="22"/>
  <c r="BV283" i="22"/>
  <c r="BU283" i="22"/>
  <c r="BT283" i="22"/>
  <c r="BS283" i="22"/>
  <c r="BR283" i="22"/>
  <c r="BQ283" i="22"/>
  <c r="BP283" i="22"/>
  <c r="BO283" i="22"/>
  <c r="BN283" i="22"/>
  <c r="BM283" i="22"/>
  <c r="BL283" i="22"/>
  <c r="BK283" i="22"/>
  <c r="BJ283" i="22"/>
  <c r="CS282" i="22"/>
  <c r="CQ282" i="22"/>
  <c r="CP282" i="22"/>
  <c r="CO282" i="22"/>
  <c r="CN282" i="22"/>
  <c r="CM282" i="22"/>
  <c r="CL282" i="22"/>
  <c r="CK282" i="22"/>
  <c r="CJ282" i="22"/>
  <c r="CI282" i="22"/>
  <c r="CH282" i="22"/>
  <c r="CG282" i="22"/>
  <c r="CF282" i="22"/>
  <c r="CE282" i="22"/>
  <c r="CD282" i="22"/>
  <c r="CC282" i="22"/>
  <c r="CB282" i="22"/>
  <c r="CA282" i="22"/>
  <c r="BZ282" i="22"/>
  <c r="BY282" i="22"/>
  <c r="BX282" i="22"/>
  <c r="BW282" i="22"/>
  <c r="BV282" i="22"/>
  <c r="BU282" i="22"/>
  <c r="BT282" i="22"/>
  <c r="BS282" i="22"/>
  <c r="BR282" i="22"/>
  <c r="BQ282" i="22"/>
  <c r="BP282" i="22"/>
  <c r="BO282" i="22"/>
  <c r="BN282" i="22"/>
  <c r="BM282" i="22"/>
  <c r="BL282" i="22"/>
  <c r="BK282" i="22"/>
  <c r="BJ282" i="22"/>
  <c r="CS281" i="22"/>
  <c r="CQ281" i="22"/>
  <c r="CP281" i="22"/>
  <c r="CO281" i="22"/>
  <c r="CN281" i="22"/>
  <c r="CM281" i="22"/>
  <c r="CL281" i="22"/>
  <c r="CK281" i="22"/>
  <c r="CJ281" i="22"/>
  <c r="CI281" i="22"/>
  <c r="CH281" i="22"/>
  <c r="CG281" i="22"/>
  <c r="CF281" i="22"/>
  <c r="CE281" i="22"/>
  <c r="CD281" i="22"/>
  <c r="CC281" i="22"/>
  <c r="CB281" i="22"/>
  <c r="CA281" i="22"/>
  <c r="BZ281" i="22"/>
  <c r="BY281" i="22"/>
  <c r="BX281" i="22"/>
  <c r="BW281" i="22"/>
  <c r="BV281" i="22"/>
  <c r="BU281" i="22"/>
  <c r="BT281" i="22"/>
  <c r="BS281" i="22"/>
  <c r="BR281" i="22"/>
  <c r="BQ281" i="22"/>
  <c r="BP281" i="22"/>
  <c r="BO281" i="22"/>
  <c r="BN281" i="22"/>
  <c r="BM281" i="22"/>
  <c r="BL281" i="22"/>
  <c r="BK281" i="22"/>
  <c r="BJ281" i="22"/>
  <c r="CS280" i="22"/>
  <c r="CQ280" i="22"/>
  <c r="CP280" i="22"/>
  <c r="CO280" i="22"/>
  <c r="CN280" i="22"/>
  <c r="CM280" i="22"/>
  <c r="CL280" i="22"/>
  <c r="CK280" i="22"/>
  <c r="CJ280" i="22"/>
  <c r="CI280" i="22"/>
  <c r="CH280" i="22"/>
  <c r="CG280" i="22"/>
  <c r="CF280" i="22"/>
  <c r="CE280" i="22"/>
  <c r="CD280" i="22"/>
  <c r="CC280" i="22"/>
  <c r="CB280" i="22"/>
  <c r="CA280" i="22"/>
  <c r="BZ280" i="22"/>
  <c r="BY280" i="22"/>
  <c r="BX280" i="22"/>
  <c r="BW280" i="22"/>
  <c r="BV280" i="22"/>
  <c r="BU280" i="22"/>
  <c r="BT280" i="22"/>
  <c r="BS280" i="22"/>
  <c r="BR280" i="22"/>
  <c r="BQ280" i="22"/>
  <c r="BP280" i="22"/>
  <c r="BO280" i="22"/>
  <c r="BN280" i="22"/>
  <c r="BM280" i="22"/>
  <c r="BL280" i="22"/>
  <c r="BK280" i="22"/>
  <c r="BJ280" i="22"/>
  <c r="CS279" i="22"/>
  <c r="CQ279" i="22"/>
  <c r="CP279" i="22"/>
  <c r="CO279" i="22"/>
  <c r="CN279" i="22"/>
  <c r="CM279" i="22"/>
  <c r="CL279" i="22"/>
  <c r="CK279" i="22"/>
  <c r="CJ279" i="22"/>
  <c r="CI279" i="22"/>
  <c r="CH279" i="22"/>
  <c r="CG279" i="22"/>
  <c r="CF279" i="22"/>
  <c r="CE279" i="22"/>
  <c r="CD279" i="22"/>
  <c r="CC279" i="22"/>
  <c r="CB279" i="22"/>
  <c r="CA279" i="22"/>
  <c r="BZ279" i="22"/>
  <c r="BY279" i="22"/>
  <c r="BX279" i="22"/>
  <c r="BW279" i="22"/>
  <c r="BV279" i="22"/>
  <c r="BU279" i="22"/>
  <c r="BT279" i="22"/>
  <c r="BS279" i="22"/>
  <c r="BR279" i="22"/>
  <c r="BQ279" i="22"/>
  <c r="BP279" i="22"/>
  <c r="BO279" i="22"/>
  <c r="BN279" i="22"/>
  <c r="BM279" i="22"/>
  <c r="BL279" i="22"/>
  <c r="BK279" i="22"/>
  <c r="BJ279" i="22"/>
  <c r="CS278" i="22"/>
  <c r="CQ278" i="22"/>
  <c r="CP278" i="22"/>
  <c r="CO278" i="22"/>
  <c r="CN278" i="22"/>
  <c r="CM278" i="22"/>
  <c r="CL278" i="22"/>
  <c r="CK278" i="22"/>
  <c r="CJ278" i="22"/>
  <c r="CI278" i="22"/>
  <c r="CH278" i="22"/>
  <c r="CG278" i="22"/>
  <c r="CF278" i="22"/>
  <c r="CE278" i="22"/>
  <c r="CD278" i="22"/>
  <c r="CC278" i="22"/>
  <c r="CB278" i="22"/>
  <c r="CA278" i="22"/>
  <c r="BZ278" i="22"/>
  <c r="BY278" i="22"/>
  <c r="BX278" i="22"/>
  <c r="BW278" i="22"/>
  <c r="BV278" i="22"/>
  <c r="BU278" i="22"/>
  <c r="BT278" i="22"/>
  <c r="BS278" i="22"/>
  <c r="BR278" i="22"/>
  <c r="BQ278" i="22"/>
  <c r="BP278" i="22"/>
  <c r="BO278" i="22"/>
  <c r="BN278" i="22"/>
  <c r="BM278" i="22"/>
  <c r="BL278" i="22"/>
  <c r="BK278" i="22"/>
  <c r="BJ278" i="22"/>
  <c r="CS277" i="22"/>
  <c r="CQ277" i="22"/>
  <c r="CP277" i="22"/>
  <c r="CO277" i="22"/>
  <c r="CN277" i="22"/>
  <c r="CM277" i="22"/>
  <c r="CL277" i="22"/>
  <c r="CK277" i="22"/>
  <c r="CJ277" i="22"/>
  <c r="CI277" i="22"/>
  <c r="CH277" i="22"/>
  <c r="CG277" i="22"/>
  <c r="CF277" i="22"/>
  <c r="CE277" i="22"/>
  <c r="CD277" i="22"/>
  <c r="CC277" i="22"/>
  <c r="CB277" i="22"/>
  <c r="CA277" i="22"/>
  <c r="BZ277" i="22"/>
  <c r="BY277" i="22"/>
  <c r="BX277" i="22"/>
  <c r="BW277" i="22"/>
  <c r="BV277" i="22"/>
  <c r="BU277" i="22"/>
  <c r="BT277" i="22"/>
  <c r="BS277" i="22"/>
  <c r="BR277" i="22"/>
  <c r="BQ277" i="22"/>
  <c r="BP277" i="22"/>
  <c r="BO277" i="22"/>
  <c r="BN277" i="22"/>
  <c r="BM277" i="22"/>
  <c r="BL277" i="22"/>
  <c r="BK277" i="22"/>
  <c r="BJ277" i="22"/>
  <c r="CS276" i="22"/>
  <c r="CQ276" i="22"/>
  <c r="CP276" i="22"/>
  <c r="CO276" i="22"/>
  <c r="CN276" i="22"/>
  <c r="CM276" i="22"/>
  <c r="CL276" i="22"/>
  <c r="CK276" i="22"/>
  <c r="CJ276" i="22"/>
  <c r="CI276" i="22"/>
  <c r="CH276" i="22"/>
  <c r="CG276" i="22"/>
  <c r="CF276" i="22"/>
  <c r="CE276" i="22"/>
  <c r="CD276" i="22"/>
  <c r="CC276" i="22"/>
  <c r="CB276" i="22"/>
  <c r="CA276" i="22"/>
  <c r="BZ276" i="22"/>
  <c r="BY276" i="22"/>
  <c r="BX276" i="22"/>
  <c r="BW276" i="22"/>
  <c r="BV276" i="22"/>
  <c r="BU276" i="22"/>
  <c r="BT276" i="22"/>
  <c r="BS276" i="22"/>
  <c r="BR276" i="22"/>
  <c r="BQ276" i="22"/>
  <c r="BP276" i="22"/>
  <c r="BO276" i="22"/>
  <c r="BN276" i="22"/>
  <c r="BM276" i="22"/>
  <c r="BL276" i="22"/>
  <c r="BK276" i="22"/>
  <c r="BJ276" i="22"/>
  <c r="CS275" i="22"/>
  <c r="CQ275" i="22"/>
  <c r="CP275" i="22"/>
  <c r="CO275" i="22"/>
  <c r="CN275" i="22"/>
  <c r="CM275" i="22"/>
  <c r="CL275" i="22"/>
  <c r="CK275" i="22"/>
  <c r="CJ275" i="22"/>
  <c r="CI275" i="22"/>
  <c r="CH275" i="22"/>
  <c r="CG275" i="22"/>
  <c r="CF275" i="22"/>
  <c r="CE275" i="22"/>
  <c r="CD275" i="22"/>
  <c r="CC275" i="22"/>
  <c r="CB275" i="22"/>
  <c r="CA275" i="22"/>
  <c r="BZ275" i="22"/>
  <c r="BY275" i="22"/>
  <c r="BX275" i="22"/>
  <c r="BW275" i="22"/>
  <c r="BV275" i="22"/>
  <c r="BU275" i="22"/>
  <c r="BT275" i="22"/>
  <c r="BS275" i="22"/>
  <c r="BR275" i="22"/>
  <c r="BQ275" i="22"/>
  <c r="BP275" i="22"/>
  <c r="BO275" i="22"/>
  <c r="BN275" i="22"/>
  <c r="BM275" i="22"/>
  <c r="BL275" i="22"/>
  <c r="BK275" i="22"/>
  <c r="BJ275" i="22"/>
  <c r="CS274" i="22"/>
  <c r="CQ274" i="22"/>
  <c r="CP274" i="22"/>
  <c r="CO274" i="22"/>
  <c r="CN274" i="22"/>
  <c r="CM274" i="22"/>
  <c r="CL274" i="22"/>
  <c r="CK274" i="22"/>
  <c r="CJ274" i="22"/>
  <c r="CI274" i="22"/>
  <c r="CH274" i="22"/>
  <c r="CG274" i="22"/>
  <c r="CF274" i="22"/>
  <c r="CE274" i="22"/>
  <c r="CD274" i="22"/>
  <c r="CC274" i="22"/>
  <c r="CB274" i="22"/>
  <c r="CA274" i="22"/>
  <c r="BZ274" i="22"/>
  <c r="BY274" i="22"/>
  <c r="BX274" i="22"/>
  <c r="BW274" i="22"/>
  <c r="BV274" i="22"/>
  <c r="BU274" i="22"/>
  <c r="BT274" i="22"/>
  <c r="BS274" i="22"/>
  <c r="BR274" i="22"/>
  <c r="BQ274" i="22"/>
  <c r="BP274" i="22"/>
  <c r="BO274" i="22"/>
  <c r="BN274" i="22"/>
  <c r="BM274" i="22"/>
  <c r="BL274" i="22"/>
  <c r="BK274" i="22"/>
  <c r="BJ274" i="22"/>
  <c r="CS273" i="22"/>
  <c r="CQ273" i="22"/>
  <c r="CP273" i="22"/>
  <c r="CO273" i="22"/>
  <c r="CN273" i="22"/>
  <c r="CM273" i="22"/>
  <c r="CL273" i="22"/>
  <c r="CK273" i="22"/>
  <c r="CJ273" i="22"/>
  <c r="CI273" i="22"/>
  <c r="CH273" i="22"/>
  <c r="CG273" i="22"/>
  <c r="CF273" i="22"/>
  <c r="CE273" i="22"/>
  <c r="CD273" i="22"/>
  <c r="CC273" i="22"/>
  <c r="CB273" i="22"/>
  <c r="CA273" i="22"/>
  <c r="BZ273" i="22"/>
  <c r="BY273" i="22"/>
  <c r="BX273" i="22"/>
  <c r="BW273" i="22"/>
  <c r="BV273" i="22"/>
  <c r="BU273" i="22"/>
  <c r="BT273" i="22"/>
  <c r="BS273" i="22"/>
  <c r="BR273" i="22"/>
  <c r="BQ273" i="22"/>
  <c r="BP273" i="22"/>
  <c r="BO273" i="22"/>
  <c r="BN273" i="22"/>
  <c r="BM273" i="22"/>
  <c r="BL273" i="22"/>
  <c r="BK273" i="22"/>
  <c r="BJ273" i="22"/>
  <c r="CS272" i="22"/>
  <c r="CQ272" i="22"/>
  <c r="CP272" i="22"/>
  <c r="CO272" i="22"/>
  <c r="CN272" i="22"/>
  <c r="CM272" i="22"/>
  <c r="CL272" i="22"/>
  <c r="CK272" i="22"/>
  <c r="CJ272" i="22"/>
  <c r="CI272" i="22"/>
  <c r="CH272" i="22"/>
  <c r="CG272" i="22"/>
  <c r="CF272" i="22"/>
  <c r="CE272" i="22"/>
  <c r="CD272" i="22"/>
  <c r="CC272" i="22"/>
  <c r="CB272" i="22"/>
  <c r="CA272" i="22"/>
  <c r="BZ272" i="22"/>
  <c r="BY272" i="22"/>
  <c r="BX272" i="22"/>
  <c r="BW272" i="22"/>
  <c r="BV272" i="22"/>
  <c r="BU272" i="22"/>
  <c r="BT272" i="22"/>
  <c r="BS272" i="22"/>
  <c r="BR272" i="22"/>
  <c r="BQ272" i="22"/>
  <c r="BP272" i="22"/>
  <c r="BO272" i="22"/>
  <c r="BN272" i="22"/>
  <c r="BM272" i="22"/>
  <c r="BL272" i="22"/>
  <c r="BK272" i="22"/>
  <c r="BJ272" i="22"/>
  <c r="CS271" i="22"/>
  <c r="CQ271" i="22"/>
  <c r="CP271" i="22"/>
  <c r="CO271" i="22"/>
  <c r="CN271" i="22"/>
  <c r="CM271" i="22"/>
  <c r="CL271" i="22"/>
  <c r="CK271" i="22"/>
  <c r="CJ271" i="22"/>
  <c r="CI271" i="22"/>
  <c r="CH271" i="22"/>
  <c r="CG271" i="22"/>
  <c r="CF271" i="22"/>
  <c r="CE271" i="22"/>
  <c r="CD271" i="22"/>
  <c r="CC271" i="22"/>
  <c r="CB271" i="22"/>
  <c r="CA271" i="22"/>
  <c r="BZ271" i="22"/>
  <c r="BY271" i="22"/>
  <c r="BX271" i="22"/>
  <c r="BW271" i="22"/>
  <c r="BV271" i="22"/>
  <c r="BU271" i="22"/>
  <c r="BT271" i="22"/>
  <c r="BS271" i="22"/>
  <c r="BR271" i="22"/>
  <c r="BQ271" i="22"/>
  <c r="BP271" i="22"/>
  <c r="BO271" i="22"/>
  <c r="BN271" i="22"/>
  <c r="BM271" i="22"/>
  <c r="BL271" i="22"/>
  <c r="BK271" i="22"/>
  <c r="BJ271" i="22"/>
  <c r="CS270" i="22"/>
  <c r="CQ270" i="22"/>
  <c r="CP270" i="22"/>
  <c r="CO270" i="22"/>
  <c r="CN270" i="22"/>
  <c r="CM270" i="22"/>
  <c r="CL270" i="22"/>
  <c r="CK270" i="22"/>
  <c r="CJ270" i="22"/>
  <c r="CI270" i="22"/>
  <c r="CH270" i="22"/>
  <c r="CG270" i="22"/>
  <c r="CF270" i="22"/>
  <c r="CE270" i="22"/>
  <c r="CD270" i="22"/>
  <c r="CC270" i="22"/>
  <c r="CB270" i="22"/>
  <c r="CA270" i="22"/>
  <c r="BZ270" i="22"/>
  <c r="BY270" i="22"/>
  <c r="BX270" i="22"/>
  <c r="BW270" i="22"/>
  <c r="BV270" i="22"/>
  <c r="BU270" i="22"/>
  <c r="BT270" i="22"/>
  <c r="BS270" i="22"/>
  <c r="BR270" i="22"/>
  <c r="BQ270" i="22"/>
  <c r="BP270" i="22"/>
  <c r="BO270" i="22"/>
  <c r="BN270" i="22"/>
  <c r="BM270" i="22"/>
  <c r="BL270" i="22"/>
  <c r="BK270" i="22"/>
  <c r="BJ270" i="22"/>
  <c r="CS269" i="22"/>
  <c r="CQ269" i="22"/>
  <c r="CP269" i="22"/>
  <c r="CO269" i="22"/>
  <c r="CN269" i="22"/>
  <c r="CM269" i="22"/>
  <c r="CL269" i="22"/>
  <c r="CK269" i="22"/>
  <c r="CJ269" i="22"/>
  <c r="CI269" i="22"/>
  <c r="CH269" i="22"/>
  <c r="CG269" i="22"/>
  <c r="CF269" i="22"/>
  <c r="CE269" i="22"/>
  <c r="CD269" i="22"/>
  <c r="CC269" i="22"/>
  <c r="CB269" i="22"/>
  <c r="CA269" i="22"/>
  <c r="BZ269" i="22"/>
  <c r="BY269" i="22"/>
  <c r="BX269" i="22"/>
  <c r="BW269" i="22"/>
  <c r="BV269" i="22"/>
  <c r="BU269" i="22"/>
  <c r="BT269" i="22"/>
  <c r="BS269" i="22"/>
  <c r="BR269" i="22"/>
  <c r="BQ269" i="22"/>
  <c r="BP269" i="22"/>
  <c r="BO269" i="22"/>
  <c r="BN269" i="22"/>
  <c r="BM269" i="22"/>
  <c r="BL269" i="22"/>
  <c r="BK269" i="22"/>
  <c r="BJ269" i="22"/>
  <c r="CS268" i="22"/>
  <c r="CQ268" i="22"/>
  <c r="CP268" i="22"/>
  <c r="CO268" i="22"/>
  <c r="CN268" i="22"/>
  <c r="CM268" i="22"/>
  <c r="CL268" i="22"/>
  <c r="CK268" i="22"/>
  <c r="CJ268" i="22"/>
  <c r="CI268" i="22"/>
  <c r="CH268" i="22"/>
  <c r="CG268" i="22"/>
  <c r="CF268" i="22"/>
  <c r="CE268" i="22"/>
  <c r="CD268" i="22"/>
  <c r="CC268" i="22"/>
  <c r="CB268" i="22"/>
  <c r="CA268" i="22"/>
  <c r="BZ268" i="22"/>
  <c r="BY268" i="22"/>
  <c r="BX268" i="22"/>
  <c r="BW268" i="22"/>
  <c r="BV268" i="22"/>
  <c r="BU268" i="22"/>
  <c r="BT268" i="22"/>
  <c r="BS268" i="22"/>
  <c r="BR268" i="22"/>
  <c r="BQ268" i="22"/>
  <c r="BP268" i="22"/>
  <c r="BO268" i="22"/>
  <c r="BN268" i="22"/>
  <c r="BM268" i="22"/>
  <c r="BL268" i="22"/>
  <c r="BK268" i="22"/>
  <c r="BJ268" i="22"/>
  <c r="CS267" i="22"/>
  <c r="CQ267" i="22"/>
  <c r="CP267" i="22"/>
  <c r="CO267" i="22"/>
  <c r="CN267" i="22"/>
  <c r="CM267" i="22"/>
  <c r="CL267" i="22"/>
  <c r="CK267" i="22"/>
  <c r="CJ267" i="22"/>
  <c r="CI267" i="22"/>
  <c r="CH267" i="22"/>
  <c r="CG267" i="22"/>
  <c r="CF267" i="22"/>
  <c r="CE267" i="22"/>
  <c r="CD267" i="22"/>
  <c r="CC267" i="22"/>
  <c r="CB267" i="22"/>
  <c r="CA267" i="22"/>
  <c r="BZ267" i="22"/>
  <c r="BY267" i="22"/>
  <c r="BX267" i="22"/>
  <c r="BW267" i="22"/>
  <c r="BV267" i="22"/>
  <c r="BU267" i="22"/>
  <c r="BT267" i="22"/>
  <c r="BS267" i="22"/>
  <c r="BR267" i="22"/>
  <c r="BQ267" i="22"/>
  <c r="BP267" i="22"/>
  <c r="BO267" i="22"/>
  <c r="BN267" i="22"/>
  <c r="BM267" i="22"/>
  <c r="BL267" i="22"/>
  <c r="BK267" i="22"/>
  <c r="BJ267" i="22"/>
  <c r="CS266" i="22"/>
  <c r="CQ266" i="22"/>
  <c r="CP266" i="22"/>
  <c r="CO266" i="22"/>
  <c r="CN266" i="22"/>
  <c r="CM266" i="22"/>
  <c r="CL266" i="22"/>
  <c r="CK266" i="22"/>
  <c r="CJ266" i="22"/>
  <c r="CI266" i="22"/>
  <c r="CH266" i="22"/>
  <c r="CG266" i="22"/>
  <c r="CF266" i="22"/>
  <c r="CE266" i="22"/>
  <c r="CD266" i="22"/>
  <c r="CC266" i="22"/>
  <c r="CB266" i="22"/>
  <c r="CA266" i="22"/>
  <c r="BZ266" i="22"/>
  <c r="BY266" i="22"/>
  <c r="BX266" i="22"/>
  <c r="BW266" i="22"/>
  <c r="BV266" i="22"/>
  <c r="BU266" i="22"/>
  <c r="BT266" i="22"/>
  <c r="BS266" i="22"/>
  <c r="BR266" i="22"/>
  <c r="BQ266" i="22"/>
  <c r="BP266" i="22"/>
  <c r="BO266" i="22"/>
  <c r="BN266" i="22"/>
  <c r="BM266" i="22"/>
  <c r="BL266" i="22"/>
  <c r="BK266" i="22"/>
  <c r="BJ266" i="22"/>
  <c r="CS265" i="22"/>
  <c r="CQ265" i="22"/>
  <c r="CP265" i="22"/>
  <c r="CO265" i="22"/>
  <c r="CN265" i="22"/>
  <c r="CM265" i="22"/>
  <c r="CL265" i="22"/>
  <c r="CK265" i="22"/>
  <c r="CJ265" i="22"/>
  <c r="CI265" i="22"/>
  <c r="CH265" i="22"/>
  <c r="CG265" i="22"/>
  <c r="CF265" i="22"/>
  <c r="CE265" i="22"/>
  <c r="CD265" i="22"/>
  <c r="CC265" i="22"/>
  <c r="CB265" i="22"/>
  <c r="CA265" i="22"/>
  <c r="BZ265" i="22"/>
  <c r="BY265" i="22"/>
  <c r="BX265" i="22"/>
  <c r="BW265" i="22"/>
  <c r="BV265" i="22"/>
  <c r="BU265" i="22"/>
  <c r="BT265" i="22"/>
  <c r="BS265" i="22"/>
  <c r="BR265" i="22"/>
  <c r="BQ265" i="22"/>
  <c r="BP265" i="22"/>
  <c r="BO265" i="22"/>
  <c r="BN265" i="22"/>
  <c r="BM265" i="22"/>
  <c r="BL265" i="22"/>
  <c r="BK265" i="22"/>
  <c r="BJ265" i="22"/>
  <c r="CS264" i="22"/>
  <c r="CQ264" i="22"/>
  <c r="CP264" i="22"/>
  <c r="CO264" i="22"/>
  <c r="CN264" i="22"/>
  <c r="CM264" i="22"/>
  <c r="CL264" i="22"/>
  <c r="CK264" i="22"/>
  <c r="CJ264" i="22"/>
  <c r="CI264" i="22"/>
  <c r="CH264" i="22"/>
  <c r="CG264" i="22"/>
  <c r="CF264" i="22"/>
  <c r="CE264" i="22"/>
  <c r="CD264" i="22"/>
  <c r="CC264" i="22"/>
  <c r="CB264" i="22"/>
  <c r="CA264" i="22"/>
  <c r="BZ264" i="22"/>
  <c r="BY264" i="22"/>
  <c r="BX264" i="22"/>
  <c r="BW264" i="22"/>
  <c r="BV264" i="22"/>
  <c r="BU264" i="22"/>
  <c r="BT264" i="22"/>
  <c r="BS264" i="22"/>
  <c r="BR264" i="22"/>
  <c r="BQ264" i="22"/>
  <c r="BP264" i="22"/>
  <c r="BO264" i="22"/>
  <c r="BN264" i="22"/>
  <c r="BM264" i="22"/>
  <c r="BL264" i="22"/>
  <c r="BK264" i="22"/>
  <c r="BJ264" i="22"/>
  <c r="CS263" i="22"/>
  <c r="CQ263" i="22"/>
  <c r="CP263" i="22"/>
  <c r="CO263" i="22"/>
  <c r="CN263" i="22"/>
  <c r="CM263" i="22"/>
  <c r="CL263" i="22"/>
  <c r="CK263" i="22"/>
  <c r="CJ263" i="22"/>
  <c r="CI263" i="22"/>
  <c r="CH263" i="22"/>
  <c r="CG263" i="22"/>
  <c r="CF263" i="22"/>
  <c r="CE263" i="22"/>
  <c r="CD263" i="22"/>
  <c r="CC263" i="22"/>
  <c r="CB263" i="22"/>
  <c r="CA263" i="22"/>
  <c r="BZ263" i="22"/>
  <c r="BY263" i="22"/>
  <c r="BX263" i="22"/>
  <c r="BW263" i="22"/>
  <c r="BV263" i="22"/>
  <c r="BU263" i="22"/>
  <c r="BT263" i="22"/>
  <c r="BS263" i="22"/>
  <c r="BR263" i="22"/>
  <c r="BQ263" i="22"/>
  <c r="BP263" i="22"/>
  <c r="BO263" i="22"/>
  <c r="BN263" i="22"/>
  <c r="BM263" i="22"/>
  <c r="BL263" i="22"/>
  <c r="BK263" i="22"/>
  <c r="BJ263" i="22"/>
  <c r="CS262" i="22"/>
  <c r="CQ262" i="22"/>
  <c r="CP262" i="22"/>
  <c r="CO262" i="22"/>
  <c r="CN262" i="22"/>
  <c r="CM262" i="22"/>
  <c r="CL262" i="22"/>
  <c r="CK262" i="22"/>
  <c r="CJ262" i="22"/>
  <c r="CI262" i="22"/>
  <c r="CH262" i="22"/>
  <c r="CG262" i="22"/>
  <c r="CF262" i="22"/>
  <c r="CE262" i="22"/>
  <c r="CD262" i="22"/>
  <c r="CC262" i="22"/>
  <c r="CB262" i="22"/>
  <c r="CA262" i="22"/>
  <c r="BZ262" i="22"/>
  <c r="BY262" i="22"/>
  <c r="BX262" i="22"/>
  <c r="BW262" i="22"/>
  <c r="BV262" i="22"/>
  <c r="BU262" i="22"/>
  <c r="BT262" i="22"/>
  <c r="BS262" i="22"/>
  <c r="BR262" i="22"/>
  <c r="BQ262" i="22"/>
  <c r="BP262" i="22"/>
  <c r="BO262" i="22"/>
  <c r="BN262" i="22"/>
  <c r="BM262" i="22"/>
  <c r="BL262" i="22"/>
  <c r="BK262" i="22"/>
  <c r="BJ262" i="22"/>
  <c r="CS261" i="22"/>
  <c r="CQ261" i="22"/>
  <c r="CP261" i="22"/>
  <c r="CO261" i="22"/>
  <c r="CN261" i="22"/>
  <c r="CM261" i="22"/>
  <c r="CL261" i="22"/>
  <c r="CK261" i="22"/>
  <c r="CJ261" i="22"/>
  <c r="CI261" i="22"/>
  <c r="CH261" i="22"/>
  <c r="CG261" i="22"/>
  <c r="CF261" i="22"/>
  <c r="CE261" i="22"/>
  <c r="CD261" i="22"/>
  <c r="CC261" i="22"/>
  <c r="CB261" i="22"/>
  <c r="CA261" i="22"/>
  <c r="BZ261" i="22"/>
  <c r="BY261" i="22"/>
  <c r="BX261" i="22"/>
  <c r="BW261" i="22"/>
  <c r="BV261" i="22"/>
  <c r="BU261" i="22"/>
  <c r="BT261" i="22"/>
  <c r="BS261" i="22"/>
  <c r="BR261" i="22"/>
  <c r="BQ261" i="22"/>
  <c r="BP261" i="22"/>
  <c r="BO261" i="22"/>
  <c r="BN261" i="22"/>
  <c r="BM261" i="22"/>
  <c r="BL261" i="22"/>
  <c r="BK261" i="22"/>
  <c r="BJ261" i="22"/>
  <c r="CS260" i="22"/>
  <c r="CQ260" i="22"/>
  <c r="CP260" i="22"/>
  <c r="CO260" i="22"/>
  <c r="CN260" i="22"/>
  <c r="CM260" i="22"/>
  <c r="CL260" i="22"/>
  <c r="CK260" i="22"/>
  <c r="CJ260" i="22"/>
  <c r="CI260" i="22"/>
  <c r="CH260" i="22"/>
  <c r="CG260" i="22"/>
  <c r="CF260" i="22"/>
  <c r="CE260" i="22"/>
  <c r="CD260" i="22"/>
  <c r="CC260" i="22"/>
  <c r="CB260" i="22"/>
  <c r="CA260" i="22"/>
  <c r="BZ260" i="22"/>
  <c r="BY260" i="22"/>
  <c r="BX260" i="22"/>
  <c r="BW260" i="22"/>
  <c r="BV260" i="22"/>
  <c r="BU260" i="22"/>
  <c r="BT260" i="22"/>
  <c r="BS260" i="22"/>
  <c r="BR260" i="22"/>
  <c r="BQ260" i="22"/>
  <c r="BP260" i="22"/>
  <c r="BO260" i="22"/>
  <c r="BN260" i="22"/>
  <c r="BM260" i="22"/>
  <c r="BL260" i="22"/>
  <c r="BK260" i="22"/>
  <c r="BJ260" i="22"/>
  <c r="CS259" i="22"/>
  <c r="CQ259" i="22"/>
  <c r="CP259" i="22"/>
  <c r="CO259" i="22"/>
  <c r="CN259" i="22"/>
  <c r="CM259" i="22"/>
  <c r="CL259" i="22"/>
  <c r="CK259" i="22"/>
  <c r="CJ259" i="22"/>
  <c r="CI259" i="22"/>
  <c r="CH259" i="22"/>
  <c r="CG259" i="22"/>
  <c r="CF259" i="22"/>
  <c r="CE259" i="22"/>
  <c r="CD259" i="22"/>
  <c r="CC259" i="22"/>
  <c r="CB259" i="22"/>
  <c r="CA259" i="22"/>
  <c r="BZ259" i="22"/>
  <c r="BY259" i="22"/>
  <c r="BX259" i="22"/>
  <c r="BW259" i="22"/>
  <c r="BV259" i="22"/>
  <c r="BU259" i="22"/>
  <c r="BT259" i="22"/>
  <c r="BS259" i="22"/>
  <c r="BR259" i="22"/>
  <c r="BQ259" i="22"/>
  <c r="BP259" i="22"/>
  <c r="BO259" i="22"/>
  <c r="BN259" i="22"/>
  <c r="BM259" i="22"/>
  <c r="BL259" i="22"/>
  <c r="BK259" i="22"/>
  <c r="BJ259" i="22"/>
  <c r="CS258" i="22"/>
  <c r="CQ258" i="22"/>
  <c r="CP258" i="22"/>
  <c r="CO258" i="22"/>
  <c r="CN258" i="22"/>
  <c r="CM258" i="22"/>
  <c r="CL258" i="22"/>
  <c r="CK258" i="22"/>
  <c r="CJ258" i="22"/>
  <c r="CI258" i="22"/>
  <c r="CH258" i="22"/>
  <c r="CG258" i="22"/>
  <c r="CF258" i="22"/>
  <c r="CE258" i="22"/>
  <c r="CD258" i="22"/>
  <c r="CC258" i="22"/>
  <c r="CB258" i="22"/>
  <c r="CA258" i="22"/>
  <c r="BZ258" i="22"/>
  <c r="BY258" i="22"/>
  <c r="BX258" i="22"/>
  <c r="BW258" i="22"/>
  <c r="BV258" i="22"/>
  <c r="BU258" i="22"/>
  <c r="BT258" i="22"/>
  <c r="BS258" i="22"/>
  <c r="BR258" i="22"/>
  <c r="BQ258" i="22"/>
  <c r="BP258" i="22"/>
  <c r="BO258" i="22"/>
  <c r="BN258" i="22"/>
  <c r="BM258" i="22"/>
  <c r="BL258" i="22"/>
  <c r="BK258" i="22"/>
  <c r="BJ258" i="22"/>
  <c r="CS257" i="22"/>
  <c r="CQ257" i="22"/>
  <c r="CP257" i="22"/>
  <c r="CO257" i="22"/>
  <c r="CN257" i="22"/>
  <c r="CM257" i="22"/>
  <c r="CL257" i="22"/>
  <c r="CK257" i="22"/>
  <c r="CJ257" i="22"/>
  <c r="CI257" i="22"/>
  <c r="CH257" i="22"/>
  <c r="CG257" i="22"/>
  <c r="CF257" i="22"/>
  <c r="CE257" i="22"/>
  <c r="CD257" i="22"/>
  <c r="CC257" i="22"/>
  <c r="CB257" i="22"/>
  <c r="CA257" i="22"/>
  <c r="BZ257" i="22"/>
  <c r="BY257" i="22"/>
  <c r="BX257" i="22"/>
  <c r="BW257" i="22"/>
  <c r="BV257" i="22"/>
  <c r="BU257" i="22"/>
  <c r="BT257" i="22"/>
  <c r="BS257" i="22"/>
  <c r="BR257" i="22"/>
  <c r="BQ257" i="22"/>
  <c r="BP257" i="22"/>
  <c r="BO257" i="22"/>
  <c r="BN257" i="22"/>
  <c r="BM257" i="22"/>
  <c r="BL257" i="22"/>
  <c r="BK257" i="22"/>
  <c r="BJ257" i="22"/>
  <c r="CS256" i="22"/>
  <c r="CQ256" i="22"/>
  <c r="CP256" i="22"/>
  <c r="CO256" i="22"/>
  <c r="CN256" i="22"/>
  <c r="CM256" i="22"/>
  <c r="CL256" i="22"/>
  <c r="CK256" i="22"/>
  <c r="CJ256" i="22"/>
  <c r="CI256" i="22"/>
  <c r="CH256" i="22"/>
  <c r="CG256" i="22"/>
  <c r="CF256" i="22"/>
  <c r="CE256" i="22"/>
  <c r="CD256" i="22"/>
  <c r="CC256" i="22"/>
  <c r="CB256" i="22"/>
  <c r="CA256" i="22"/>
  <c r="BZ256" i="22"/>
  <c r="BY256" i="22"/>
  <c r="BX256" i="22"/>
  <c r="BW256" i="22"/>
  <c r="BV256" i="22"/>
  <c r="BU256" i="22"/>
  <c r="BT256" i="22"/>
  <c r="BS256" i="22"/>
  <c r="BR256" i="22"/>
  <c r="BQ256" i="22"/>
  <c r="BP256" i="22"/>
  <c r="BO256" i="22"/>
  <c r="BN256" i="22"/>
  <c r="BM256" i="22"/>
  <c r="BL256" i="22"/>
  <c r="BK256" i="22"/>
  <c r="BJ256" i="22"/>
  <c r="CS255" i="22"/>
  <c r="CQ255" i="22"/>
  <c r="CP255" i="22"/>
  <c r="CO255" i="22"/>
  <c r="CN255" i="22"/>
  <c r="CM255" i="22"/>
  <c r="CL255" i="22"/>
  <c r="CK255" i="22"/>
  <c r="CJ255" i="22"/>
  <c r="CI255" i="22"/>
  <c r="CH255" i="22"/>
  <c r="CG255" i="22"/>
  <c r="CF255" i="22"/>
  <c r="CE255" i="22"/>
  <c r="CD255" i="22"/>
  <c r="CC255" i="22"/>
  <c r="CB255" i="22"/>
  <c r="CA255" i="22"/>
  <c r="BZ255" i="22"/>
  <c r="BY255" i="22"/>
  <c r="BX255" i="22"/>
  <c r="BW255" i="22"/>
  <c r="BV255" i="22"/>
  <c r="BU255" i="22"/>
  <c r="BT255" i="22"/>
  <c r="BS255" i="22"/>
  <c r="BR255" i="22"/>
  <c r="BQ255" i="22"/>
  <c r="BP255" i="22"/>
  <c r="BO255" i="22"/>
  <c r="BN255" i="22"/>
  <c r="BM255" i="22"/>
  <c r="BL255" i="22"/>
  <c r="BK255" i="22"/>
  <c r="BJ255" i="22"/>
  <c r="CS254" i="22"/>
  <c r="CQ254" i="22"/>
  <c r="CP254" i="22"/>
  <c r="CO254" i="22"/>
  <c r="CN254" i="22"/>
  <c r="CM254" i="22"/>
  <c r="CL254" i="22"/>
  <c r="CK254" i="22"/>
  <c r="CJ254" i="22"/>
  <c r="CI254" i="22"/>
  <c r="CH254" i="22"/>
  <c r="CG254" i="22"/>
  <c r="CF254" i="22"/>
  <c r="CE254" i="22"/>
  <c r="CD254" i="22"/>
  <c r="CC254" i="22"/>
  <c r="CB254" i="22"/>
  <c r="CA254" i="22"/>
  <c r="BZ254" i="22"/>
  <c r="BY254" i="22"/>
  <c r="BX254" i="22"/>
  <c r="BW254" i="22"/>
  <c r="BV254" i="22"/>
  <c r="BU254" i="22"/>
  <c r="BT254" i="22"/>
  <c r="BS254" i="22"/>
  <c r="BR254" i="22"/>
  <c r="BQ254" i="22"/>
  <c r="BP254" i="22"/>
  <c r="BO254" i="22"/>
  <c r="BN254" i="22"/>
  <c r="BM254" i="22"/>
  <c r="BL254" i="22"/>
  <c r="BK254" i="22"/>
  <c r="BJ254" i="22"/>
  <c r="CS253" i="22"/>
  <c r="CQ253" i="22"/>
  <c r="CP253" i="22"/>
  <c r="CO253" i="22"/>
  <c r="CN253" i="22"/>
  <c r="CM253" i="22"/>
  <c r="CL253" i="22"/>
  <c r="CK253" i="22"/>
  <c r="CJ253" i="22"/>
  <c r="CI253" i="22"/>
  <c r="CH253" i="22"/>
  <c r="CG253" i="22"/>
  <c r="CF253" i="22"/>
  <c r="CE253" i="22"/>
  <c r="CD253" i="22"/>
  <c r="CC253" i="22"/>
  <c r="CB253" i="22"/>
  <c r="CA253" i="22"/>
  <c r="BZ253" i="22"/>
  <c r="BY253" i="22"/>
  <c r="BX253" i="22"/>
  <c r="BW253" i="22"/>
  <c r="BV253" i="22"/>
  <c r="BU253" i="22"/>
  <c r="BT253" i="22"/>
  <c r="BS253" i="22"/>
  <c r="BR253" i="22"/>
  <c r="BQ253" i="22"/>
  <c r="BP253" i="22"/>
  <c r="BO253" i="22"/>
  <c r="BN253" i="22"/>
  <c r="BM253" i="22"/>
  <c r="BL253" i="22"/>
  <c r="BK253" i="22"/>
  <c r="BJ253" i="22"/>
  <c r="CS252" i="22"/>
  <c r="CQ252" i="22"/>
  <c r="CP252" i="22"/>
  <c r="CO252" i="22"/>
  <c r="CN252" i="22"/>
  <c r="CM252" i="22"/>
  <c r="CL252" i="22"/>
  <c r="CK252" i="22"/>
  <c r="CJ252" i="22"/>
  <c r="CI252" i="22"/>
  <c r="CH252" i="22"/>
  <c r="CG252" i="22"/>
  <c r="CF252" i="22"/>
  <c r="CE252" i="22"/>
  <c r="CD252" i="22"/>
  <c r="CC252" i="22"/>
  <c r="CB252" i="22"/>
  <c r="CA252" i="22"/>
  <c r="BZ252" i="22"/>
  <c r="BY252" i="22"/>
  <c r="BX252" i="22"/>
  <c r="BW252" i="22"/>
  <c r="BV252" i="22"/>
  <c r="BU252" i="22"/>
  <c r="BT252" i="22"/>
  <c r="BS252" i="22"/>
  <c r="BR252" i="22"/>
  <c r="BQ252" i="22"/>
  <c r="BP252" i="22"/>
  <c r="BO252" i="22"/>
  <c r="BN252" i="22"/>
  <c r="BM252" i="22"/>
  <c r="BL252" i="22"/>
  <c r="BK252" i="22"/>
  <c r="BJ252" i="22"/>
  <c r="CS251" i="22"/>
  <c r="CQ251" i="22"/>
  <c r="CP251" i="22"/>
  <c r="CO251" i="22"/>
  <c r="CN251" i="22"/>
  <c r="CM251" i="22"/>
  <c r="CL251" i="22"/>
  <c r="CK251" i="22"/>
  <c r="CJ251" i="22"/>
  <c r="CI251" i="22"/>
  <c r="CH251" i="22"/>
  <c r="CG251" i="22"/>
  <c r="CF251" i="22"/>
  <c r="CE251" i="22"/>
  <c r="CD251" i="22"/>
  <c r="CC251" i="22"/>
  <c r="CB251" i="22"/>
  <c r="CA251" i="22"/>
  <c r="BZ251" i="22"/>
  <c r="BY251" i="22"/>
  <c r="BX251" i="22"/>
  <c r="BW251" i="22"/>
  <c r="BV251" i="22"/>
  <c r="BU251" i="22"/>
  <c r="BT251" i="22"/>
  <c r="BS251" i="22"/>
  <c r="BR251" i="22"/>
  <c r="BQ251" i="22"/>
  <c r="BP251" i="22"/>
  <c r="BO251" i="22"/>
  <c r="BN251" i="22"/>
  <c r="BM251" i="22"/>
  <c r="BL251" i="22"/>
  <c r="BK251" i="22"/>
  <c r="BJ251" i="22"/>
  <c r="CS250" i="22"/>
  <c r="CQ250" i="22"/>
  <c r="CP250" i="22"/>
  <c r="CO250" i="22"/>
  <c r="CN250" i="22"/>
  <c r="CM250" i="22"/>
  <c r="CL250" i="22"/>
  <c r="CK250" i="22"/>
  <c r="CJ250" i="22"/>
  <c r="CI250" i="22"/>
  <c r="CH250" i="22"/>
  <c r="CG250" i="22"/>
  <c r="CF250" i="22"/>
  <c r="CE250" i="22"/>
  <c r="CD250" i="22"/>
  <c r="CC250" i="22"/>
  <c r="CB250" i="22"/>
  <c r="CA250" i="22"/>
  <c r="BZ250" i="22"/>
  <c r="BY250" i="22"/>
  <c r="BX250" i="22"/>
  <c r="BW250" i="22"/>
  <c r="BV250" i="22"/>
  <c r="BU250" i="22"/>
  <c r="BT250" i="22"/>
  <c r="BS250" i="22"/>
  <c r="BR250" i="22"/>
  <c r="BQ250" i="22"/>
  <c r="BP250" i="22"/>
  <c r="BO250" i="22"/>
  <c r="BN250" i="22"/>
  <c r="BM250" i="22"/>
  <c r="BL250" i="22"/>
  <c r="BK250" i="22"/>
  <c r="BJ250" i="22"/>
  <c r="CS249" i="22"/>
  <c r="CQ249" i="22"/>
  <c r="CP249" i="22"/>
  <c r="CO249" i="22"/>
  <c r="CN249" i="22"/>
  <c r="CM249" i="22"/>
  <c r="CL249" i="22"/>
  <c r="CK249" i="22"/>
  <c r="CJ249" i="22"/>
  <c r="CI249" i="22"/>
  <c r="CH249" i="22"/>
  <c r="CG249" i="22"/>
  <c r="CF249" i="22"/>
  <c r="CE249" i="22"/>
  <c r="CD249" i="22"/>
  <c r="CC249" i="22"/>
  <c r="CB249" i="22"/>
  <c r="CA249" i="22"/>
  <c r="BZ249" i="22"/>
  <c r="BY249" i="22"/>
  <c r="BX249" i="22"/>
  <c r="BW249" i="22"/>
  <c r="BV249" i="22"/>
  <c r="BU249" i="22"/>
  <c r="BT249" i="22"/>
  <c r="BS249" i="22"/>
  <c r="BR249" i="22"/>
  <c r="BQ249" i="22"/>
  <c r="BP249" i="22"/>
  <c r="BO249" i="22"/>
  <c r="BN249" i="22"/>
  <c r="BM249" i="22"/>
  <c r="BL249" i="22"/>
  <c r="BK249" i="22"/>
  <c r="BJ249" i="22"/>
  <c r="CS248" i="22"/>
  <c r="CQ248" i="22"/>
  <c r="CP248" i="22"/>
  <c r="CO248" i="22"/>
  <c r="CN248" i="22"/>
  <c r="CM248" i="22"/>
  <c r="CL248" i="22"/>
  <c r="CK248" i="22"/>
  <c r="CJ248" i="22"/>
  <c r="CI248" i="22"/>
  <c r="CH248" i="22"/>
  <c r="CG248" i="22"/>
  <c r="CF248" i="22"/>
  <c r="CE248" i="22"/>
  <c r="CD248" i="22"/>
  <c r="CC248" i="22"/>
  <c r="CB248" i="22"/>
  <c r="CA248" i="22"/>
  <c r="BZ248" i="22"/>
  <c r="BY248" i="22"/>
  <c r="BX248" i="22"/>
  <c r="BW248" i="22"/>
  <c r="BV248" i="22"/>
  <c r="BU248" i="22"/>
  <c r="BT248" i="22"/>
  <c r="BS248" i="22"/>
  <c r="BR248" i="22"/>
  <c r="BQ248" i="22"/>
  <c r="BP248" i="22"/>
  <c r="BO248" i="22"/>
  <c r="BN248" i="22"/>
  <c r="BM248" i="22"/>
  <c r="BL248" i="22"/>
  <c r="BK248" i="22"/>
  <c r="BJ248" i="22"/>
  <c r="CS247" i="22"/>
  <c r="CQ247" i="22"/>
  <c r="CP247" i="22"/>
  <c r="CO247" i="22"/>
  <c r="CN247" i="22"/>
  <c r="CM247" i="22"/>
  <c r="CL247" i="22"/>
  <c r="CK247" i="22"/>
  <c r="CJ247" i="22"/>
  <c r="CI247" i="22"/>
  <c r="CH247" i="22"/>
  <c r="CG247" i="22"/>
  <c r="CF247" i="22"/>
  <c r="CE247" i="22"/>
  <c r="CD247" i="22"/>
  <c r="CC247" i="22"/>
  <c r="CB247" i="22"/>
  <c r="CA247" i="22"/>
  <c r="BZ247" i="22"/>
  <c r="BY247" i="22"/>
  <c r="BX247" i="22"/>
  <c r="BW247" i="22"/>
  <c r="BV247" i="22"/>
  <c r="BU247" i="22"/>
  <c r="BT247" i="22"/>
  <c r="BS247" i="22"/>
  <c r="BR247" i="22"/>
  <c r="BQ247" i="22"/>
  <c r="BP247" i="22"/>
  <c r="BO247" i="22"/>
  <c r="BN247" i="22"/>
  <c r="BM247" i="22"/>
  <c r="BL247" i="22"/>
  <c r="BK247" i="22"/>
  <c r="BJ247" i="22"/>
  <c r="CS246" i="22"/>
  <c r="CQ246" i="22"/>
  <c r="CP246" i="22"/>
  <c r="CO246" i="22"/>
  <c r="CN246" i="22"/>
  <c r="CM246" i="22"/>
  <c r="CL246" i="22"/>
  <c r="CK246" i="22"/>
  <c r="CJ246" i="22"/>
  <c r="CI246" i="22"/>
  <c r="CH246" i="22"/>
  <c r="CG246" i="22"/>
  <c r="CF246" i="22"/>
  <c r="CE246" i="22"/>
  <c r="CD246" i="22"/>
  <c r="CC246" i="22"/>
  <c r="CB246" i="22"/>
  <c r="CA246" i="22"/>
  <c r="BZ246" i="22"/>
  <c r="BY246" i="22"/>
  <c r="BX246" i="22"/>
  <c r="BW246" i="22"/>
  <c r="BV246" i="22"/>
  <c r="BU246" i="22"/>
  <c r="BT246" i="22"/>
  <c r="BS246" i="22"/>
  <c r="BR246" i="22"/>
  <c r="BQ246" i="22"/>
  <c r="BP246" i="22"/>
  <c r="BO246" i="22"/>
  <c r="BN246" i="22"/>
  <c r="BM246" i="22"/>
  <c r="BL246" i="22"/>
  <c r="BK246" i="22"/>
  <c r="BJ246" i="22"/>
  <c r="CS245" i="22"/>
  <c r="CQ245" i="22"/>
  <c r="CP245" i="22"/>
  <c r="CO245" i="22"/>
  <c r="CN245" i="22"/>
  <c r="CM245" i="22"/>
  <c r="CL245" i="22"/>
  <c r="CK245" i="22"/>
  <c r="CJ245" i="22"/>
  <c r="CI245" i="22"/>
  <c r="CH245" i="22"/>
  <c r="CG245" i="22"/>
  <c r="CF245" i="22"/>
  <c r="CE245" i="22"/>
  <c r="CD245" i="22"/>
  <c r="CC245" i="22"/>
  <c r="CB245" i="22"/>
  <c r="CA245" i="22"/>
  <c r="BZ245" i="22"/>
  <c r="BY245" i="22"/>
  <c r="BX245" i="22"/>
  <c r="BW245" i="22"/>
  <c r="BV245" i="22"/>
  <c r="BU245" i="22"/>
  <c r="BT245" i="22"/>
  <c r="BS245" i="22"/>
  <c r="BR245" i="22"/>
  <c r="BQ245" i="22"/>
  <c r="BP245" i="22"/>
  <c r="BO245" i="22"/>
  <c r="BN245" i="22"/>
  <c r="BM245" i="22"/>
  <c r="BL245" i="22"/>
  <c r="BK245" i="22"/>
  <c r="BJ245" i="22"/>
  <c r="CS244" i="22"/>
  <c r="CQ244" i="22"/>
  <c r="CP244" i="22"/>
  <c r="CO244" i="22"/>
  <c r="CN244" i="22"/>
  <c r="CM244" i="22"/>
  <c r="CL244" i="22"/>
  <c r="CK244" i="22"/>
  <c r="CJ244" i="22"/>
  <c r="CI244" i="22"/>
  <c r="CH244" i="22"/>
  <c r="CG244" i="22"/>
  <c r="CF244" i="22"/>
  <c r="CE244" i="22"/>
  <c r="CD244" i="22"/>
  <c r="CC244" i="22"/>
  <c r="CB244" i="22"/>
  <c r="CA244" i="22"/>
  <c r="BZ244" i="22"/>
  <c r="BY244" i="22"/>
  <c r="BX244" i="22"/>
  <c r="BW244" i="22"/>
  <c r="BV244" i="22"/>
  <c r="BU244" i="22"/>
  <c r="BT244" i="22"/>
  <c r="BS244" i="22"/>
  <c r="BR244" i="22"/>
  <c r="BQ244" i="22"/>
  <c r="BP244" i="22"/>
  <c r="BO244" i="22"/>
  <c r="BN244" i="22"/>
  <c r="BM244" i="22"/>
  <c r="BL244" i="22"/>
  <c r="BK244" i="22"/>
  <c r="BJ244" i="22"/>
  <c r="CS243" i="22"/>
  <c r="CQ243" i="22"/>
  <c r="CP243" i="22"/>
  <c r="CO243" i="22"/>
  <c r="CN243" i="22"/>
  <c r="CM243" i="22"/>
  <c r="CL243" i="22"/>
  <c r="CK243" i="22"/>
  <c r="CJ243" i="22"/>
  <c r="CI243" i="22"/>
  <c r="CH243" i="22"/>
  <c r="CG243" i="22"/>
  <c r="CF243" i="22"/>
  <c r="CE243" i="22"/>
  <c r="CD243" i="22"/>
  <c r="CC243" i="22"/>
  <c r="CB243" i="22"/>
  <c r="CA243" i="22"/>
  <c r="BZ243" i="22"/>
  <c r="BY243" i="22"/>
  <c r="BX243" i="22"/>
  <c r="BW243" i="22"/>
  <c r="BV243" i="22"/>
  <c r="BU243" i="22"/>
  <c r="BT243" i="22"/>
  <c r="BS243" i="22"/>
  <c r="BR243" i="22"/>
  <c r="BQ243" i="22"/>
  <c r="BP243" i="22"/>
  <c r="BO243" i="22"/>
  <c r="BN243" i="22"/>
  <c r="BM243" i="22"/>
  <c r="BL243" i="22"/>
  <c r="BK243" i="22"/>
  <c r="BJ243" i="22"/>
  <c r="CS242" i="22"/>
  <c r="CQ242" i="22"/>
  <c r="CP242" i="22"/>
  <c r="CO242" i="22"/>
  <c r="CN242" i="22"/>
  <c r="CM242" i="22"/>
  <c r="CL242" i="22"/>
  <c r="CK242" i="22"/>
  <c r="CJ242" i="22"/>
  <c r="CI242" i="22"/>
  <c r="CH242" i="22"/>
  <c r="CG242" i="22"/>
  <c r="CF242" i="22"/>
  <c r="CE242" i="22"/>
  <c r="CD242" i="22"/>
  <c r="CC242" i="22"/>
  <c r="CB242" i="22"/>
  <c r="CA242" i="22"/>
  <c r="BZ242" i="22"/>
  <c r="BY242" i="22"/>
  <c r="BX242" i="22"/>
  <c r="BW242" i="22"/>
  <c r="BV242" i="22"/>
  <c r="BU242" i="22"/>
  <c r="BT242" i="22"/>
  <c r="BS242" i="22"/>
  <c r="BR242" i="22"/>
  <c r="BQ242" i="22"/>
  <c r="BP242" i="22"/>
  <c r="BO242" i="22"/>
  <c r="BN242" i="22"/>
  <c r="BM242" i="22"/>
  <c r="BL242" i="22"/>
  <c r="BK242" i="22"/>
  <c r="BJ242" i="22"/>
  <c r="CS241" i="22"/>
  <c r="CQ241" i="22"/>
  <c r="CP241" i="22"/>
  <c r="CO241" i="22"/>
  <c r="CN241" i="22"/>
  <c r="CM241" i="22"/>
  <c r="CL241" i="22"/>
  <c r="CK241" i="22"/>
  <c r="CJ241" i="22"/>
  <c r="CI241" i="22"/>
  <c r="CH241" i="22"/>
  <c r="CG241" i="22"/>
  <c r="CF241" i="22"/>
  <c r="CE241" i="22"/>
  <c r="CD241" i="22"/>
  <c r="CC241" i="22"/>
  <c r="CB241" i="22"/>
  <c r="CA241" i="22"/>
  <c r="BZ241" i="22"/>
  <c r="BY241" i="22"/>
  <c r="BX241" i="22"/>
  <c r="BW241" i="22"/>
  <c r="BV241" i="22"/>
  <c r="BU241" i="22"/>
  <c r="BT241" i="22"/>
  <c r="BS241" i="22"/>
  <c r="BR241" i="22"/>
  <c r="BQ241" i="22"/>
  <c r="BP241" i="22"/>
  <c r="BO241" i="22"/>
  <c r="BN241" i="22"/>
  <c r="BM241" i="22"/>
  <c r="BL241" i="22"/>
  <c r="BK241" i="22"/>
  <c r="BJ241" i="22"/>
  <c r="CS240" i="22"/>
  <c r="CQ240" i="22"/>
  <c r="CP240" i="22"/>
  <c r="CO240" i="22"/>
  <c r="CN240" i="22"/>
  <c r="CM240" i="22"/>
  <c r="CL240" i="22"/>
  <c r="CK240" i="22"/>
  <c r="CJ240" i="22"/>
  <c r="CI240" i="22"/>
  <c r="CH240" i="22"/>
  <c r="CG240" i="22"/>
  <c r="CF240" i="22"/>
  <c r="CE240" i="22"/>
  <c r="CD240" i="22"/>
  <c r="CC240" i="22"/>
  <c r="CB240" i="22"/>
  <c r="CA240" i="22"/>
  <c r="BZ240" i="22"/>
  <c r="BY240" i="22"/>
  <c r="BX240" i="22"/>
  <c r="BW240" i="22"/>
  <c r="BV240" i="22"/>
  <c r="BU240" i="22"/>
  <c r="BT240" i="22"/>
  <c r="BS240" i="22"/>
  <c r="BR240" i="22"/>
  <c r="BQ240" i="22"/>
  <c r="BP240" i="22"/>
  <c r="BO240" i="22"/>
  <c r="BN240" i="22"/>
  <c r="BM240" i="22"/>
  <c r="BL240" i="22"/>
  <c r="BK240" i="22"/>
  <c r="BJ240" i="22"/>
  <c r="CS239" i="22"/>
  <c r="CQ239" i="22"/>
  <c r="CP239" i="22"/>
  <c r="CO239" i="22"/>
  <c r="CN239" i="22"/>
  <c r="CM239" i="22"/>
  <c r="CL239" i="22"/>
  <c r="CK239" i="22"/>
  <c r="CJ239" i="22"/>
  <c r="CI239" i="22"/>
  <c r="CH239" i="22"/>
  <c r="CG239" i="22"/>
  <c r="CF239" i="22"/>
  <c r="CE239" i="22"/>
  <c r="CD239" i="22"/>
  <c r="CC239" i="22"/>
  <c r="CB239" i="22"/>
  <c r="CA239" i="22"/>
  <c r="BZ239" i="22"/>
  <c r="BY239" i="22"/>
  <c r="BX239" i="22"/>
  <c r="BW239" i="22"/>
  <c r="BV239" i="22"/>
  <c r="BU239" i="22"/>
  <c r="BT239" i="22"/>
  <c r="BS239" i="22"/>
  <c r="BR239" i="22"/>
  <c r="BQ239" i="22"/>
  <c r="BP239" i="22"/>
  <c r="BO239" i="22"/>
  <c r="BN239" i="22"/>
  <c r="BM239" i="22"/>
  <c r="BL239" i="22"/>
  <c r="BK239" i="22"/>
  <c r="BJ239" i="22"/>
  <c r="CS238" i="22"/>
  <c r="CQ238" i="22"/>
  <c r="CP238" i="22"/>
  <c r="CO238" i="22"/>
  <c r="CN238" i="22"/>
  <c r="CM238" i="22"/>
  <c r="CL238" i="22"/>
  <c r="CK238" i="22"/>
  <c r="CJ238" i="22"/>
  <c r="CI238" i="22"/>
  <c r="CH238" i="22"/>
  <c r="CG238" i="22"/>
  <c r="CF238" i="22"/>
  <c r="CE238" i="22"/>
  <c r="CD238" i="22"/>
  <c r="CC238" i="22"/>
  <c r="CB238" i="22"/>
  <c r="CA238" i="22"/>
  <c r="BZ238" i="22"/>
  <c r="BY238" i="22"/>
  <c r="BX238" i="22"/>
  <c r="BW238" i="22"/>
  <c r="BV238" i="22"/>
  <c r="BU238" i="22"/>
  <c r="BT238" i="22"/>
  <c r="BS238" i="22"/>
  <c r="BR238" i="22"/>
  <c r="BQ238" i="22"/>
  <c r="BP238" i="22"/>
  <c r="BO238" i="22"/>
  <c r="BN238" i="22"/>
  <c r="BM238" i="22"/>
  <c r="BL238" i="22"/>
  <c r="BK238" i="22"/>
  <c r="BJ238" i="22"/>
  <c r="CS237" i="22"/>
  <c r="CQ237" i="22"/>
  <c r="CP237" i="22"/>
  <c r="CO237" i="22"/>
  <c r="CN237" i="22"/>
  <c r="CM237" i="22"/>
  <c r="CL237" i="22"/>
  <c r="CK237" i="22"/>
  <c r="CJ237" i="22"/>
  <c r="CI237" i="22"/>
  <c r="CH237" i="22"/>
  <c r="CG237" i="22"/>
  <c r="CF237" i="22"/>
  <c r="CE237" i="22"/>
  <c r="CD237" i="22"/>
  <c r="CC237" i="22"/>
  <c r="CB237" i="22"/>
  <c r="CA237" i="22"/>
  <c r="BZ237" i="22"/>
  <c r="BY237" i="22"/>
  <c r="BX237" i="22"/>
  <c r="BW237" i="22"/>
  <c r="BV237" i="22"/>
  <c r="BU237" i="22"/>
  <c r="BT237" i="22"/>
  <c r="BS237" i="22"/>
  <c r="BR237" i="22"/>
  <c r="BQ237" i="22"/>
  <c r="BP237" i="22"/>
  <c r="BO237" i="22"/>
  <c r="BN237" i="22"/>
  <c r="BM237" i="22"/>
  <c r="BL237" i="22"/>
  <c r="BK237" i="22"/>
  <c r="BJ237" i="22"/>
  <c r="CS236" i="22"/>
  <c r="CQ236" i="22"/>
  <c r="CP236" i="22"/>
  <c r="CO236" i="22"/>
  <c r="CN236" i="22"/>
  <c r="CM236" i="22"/>
  <c r="CL236" i="22"/>
  <c r="CK236" i="22"/>
  <c r="CJ236" i="22"/>
  <c r="CI236" i="22"/>
  <c r="CH236" i="22"/>
  <c r="CG236" i="22"/>
  <c r="CF236" i="22"/>
  <c r="CE236" i="22"/>
  <c r="CD236" i="22"/>
  <c r="CC236" i="22"/>
  <c r="CB236" i="22"/>
  <c r="CA236" i="22"/>
  <c r="BZ236" i="22"/>
  <c r="BY236" i="22"/>
  <c r="BX236" i="22"/>
  <c r="BW236" i="22"/>
  <c r="BV236" i="22"/>
  <c r="BU236" i="22"/>
  <c r="BT236" i="22"/>
  <c r="BS236" i="22"/>
  <c r="BR236" i="22"/>
  <c r="BQ236" i="22"/>
  <c r="BP236" i="22"/>
  <c r="BO236" i="22"/>
  <c r="BN236" i="22"/>
  <c r="BM236" i="22"/>
  <c r="BL236" i="22"/>
  <c r="BK236" i="22"/>
  <c r="BJ236" i="22"/>
  <c r="CS235" i="22"/>
  <c r="CQ235" i="22"/>
  <c r="CP235" i="22"/>
  <c r="CO235" i="22"/>
  <c r="CN235" i="22"/>
  <c r="CM235" i="22"/>
  <c r="CL235" i="22"/>
  <c r="CK235" i="22"/>
  <c r="CJ235" i="22"/>
  <c r="CI235" i="22"/>
  <c r="CH235" i="22"/>
  <c r="CG235" i="22"/>
  <c r="CF235" i="22"/>
  <c r="CE235" i="22"/>
  <c r="CD235" i="22"/>
  <c r="CC235" i="22"/>
  <c r="CB235" i="22"/>
  <c r="CA235" i="22"/>
  <c r="BZ235" i="22"/>
  <c r="BY235" i="22"/>
  <c r="BX235" i="22"/>
  <c r="BW235" i="22"/>
  <c r="BV235" i="22"/>
  <c r="BU235" i="22"/>
  <c r="BT235" i="22"/>
  <c r="BS235" i="22"/>
  <c r="BR235" i="22"/>
  <c r="BQ235" i="22"/>
  <c r="BP235" i="22"/>
  <c r="BO235" i="22"/>
  <c r="BN235" i="22"/>
  <c r="BM235" i="22"/>
  <c r="BL235" i="22"/>
  <c r="BK235" i="22"/>
  <c r="BJ235" i="22"/>
  <c r="CS234" i="22"/>
  <c r="CQ234" i="22"/>
  <c r="CP234" i="22"/>
  <c r="CO234" i="22"/>
  <c r="CN234" i="22"/>
  <c r="CM234" i="22"/>
  <c r="CL234" i="22"/>
  <c r="CK234" i="22"/>
  <c r="CJ234" i="22"/>
  <c r="CI234" i="22"/>
  <c r="CH234" i="22"/>
  <c r="CG234" i="22"/>
  <c r="CF234" i="22"/>
  <c r="CE234" i="22"/>
  <c r="CD234" i="22"/>
  <c r="CC234" i="22"/>
  <c r="CB234" i="22"/>
  <c r="CA234" i="22"/>
  <c r="BZ234" i="22"/>
  <c r="BY234" i="22"/>
  <c r="BX234" i="22"/>
  <c r="BW234" i="22"/>
  <c r="BV234" i="22"/>
  <c r="BU234" i="22"/>
  <c r="BT234" i="22"/>
  <c r="BS234" i="22"/>
  <c r="BR234" i="22"/>
  <c r="BQ234" i="22"/>
  <c r="BP234" i="22"/>
  <c r="BO234" i="22"/>
  <c r="BN234" i="22"/>
  <c r="BM234" i="22"/>
  <c r="BL234" i="22"/>
  <c r="BK234" i="22"/>
  <c r="BJ234" i="22"/>
  <c r="CS233" i="22"/>
  <c r="CQ233" i="22"/>
  <c r="CP233" i="22"/>
  <c r="CO233" i="22"/>
  <c r="CN233" i="22"/>
  <c r="CM233" i="22"/>
  <c r="CL233" i="22"/>
  <c r="CK233" i="22"/>
  <c r="CJ233" i="22"/>
  <c r="CI233" i="22"/>
  <c r="CH233" i="22"/>
  <c r="CG233" i="22"/>
  <c r="CF233" i="22"/>
  <c r="CE233" i="22"/>
  <c r="CD233" i="22"/>
  <c r="CC233" i="22"/>
  <c r="CB233" i="22"/>
  <c r="CA233" i="22"/>
  <c r="BZ233" i="22"/>
  <c r="BY233" i="22"/>
  <c r="BX233" i="22"/>
  <c r="BW233" i="22"/>
  <c r="BV233" i="22"/>
  <c r="BU233" i="22"/>
  <c r="BT233" i="22"/>
  <c r="BS233" i="22"/>
  <c r="BR233" i="22"/>
  <c r="BQ233" i="22"/>
  <c r="BP233" i="22"/>
  <c r="BO233" i="22"/>
  <c r="BN233" i="22"/>
  <c r="BM233" i="22"/>
  <c r="BL233" i="22"/>
  <c r="BK233" i="22"/>
  <c r="BJ233" i="22"/>
  <c r="CS232" i="22"/>
  <c r="CQ232" i="22"/>
  <c r="CP232" i="22"/>
  <c r="CO232" i="22"/>
  <c r="CN232" i="22"/>
  <c r="CM232" i="22"/>
  <c r="CL232" i="22"/>
  <c r="CK232" i="22"/>
  <c r="CJ232" i="22"/>
  <c r="CI232" i="22"/>
  <c r="CH232" i="22"/>
  <c r="CG232" i="22"/>
  <c r="CF232" i="22"/>
  <c r="CE232" i="22"/>
  <c r="CD232" i="22"/>
  <c r="CC232" i="22"/>
  <c r="CB232" i="22"/>
  <c r="CA232" i="22"/>
  <c r="BZ232" i="22"/>
  <c r="BY232" i="22"/>
  <c r="BX232" i="22"/>
  <c r="BW232" i="22"/>
  <c r="BV232" i="22"/>
  <c r="BU232" i="22"/>
  <c r="BT232" i="22"/>
  <c r="BS232" i="22"/>
  <c r="BR232" i="22"/>
  <c r="BQ232" i="22"/>
  <c r="BP232" i="22"/>
  <c r="BO232" i="22"/>
  <c r="BN232" i="22"/>
  <c r="BM232" i="22"/>
  <c r="BL232" i="22"/>
  <c r="BK232" i="22"/>
  <c r="BJ232" i="22"/>
  <c r="CS231" i="22"/>
  <c r="CQ231" i="22"/>
  <c r="CP231" i="22"/>
  <c r="CO231" i="22"/>
  <c r="CN231" i="22"/>
  <c r="CM231" i="22"/>
  <c r="CL231" i="22"/>
  <c r="CK231" i="22"/>
  <c r="CJ231" i="22"/>
  <c r="CI231" i="22"/>
  <c r="CH231" i="22"/>
  <c r="CG231" i="22"/>
  <c r="CF231" i="22"/>
  <c r="CE231" i="22"/>
  <c r="CD231" i="22"/>
  <c r="CC231" i="22"/>
  <c r="CB231" i="22"/>
  <c r="CA231" i="22"/>
  <c r="BZ231" i="22"/>
  <c r="BY231" i="22"/>
  <c r="BX231" i="22"/>
  <c r="BW231" i="22"/>
  <c r="BV231" i="22"/>
  <c r="BU231" i="22"/>
  <c r="BT231" i="22"/>
  <c r="BS231" i="22"/>
  <c r="BR231" i="22"/>
  <c r="BQ231" i="22"/>
  <c r="BP231" i="22"/>
  <c r="BO231" i="22"/>
  <c r="BN231" i="22"/>
  <c r="BM231" i="22"/>
  <c r="BL231" i="22"/>
  <c r="BK231" i="22"/>
  <c r="BJ231" i="22"/>
  <c r="CS230" i="22"/>
  <c r="CQ230" i="22"/>
  <c r="CP230" i="22"/>
  <c r="CO230" i="22"/>
  <c r="CN230" i="22"/>
  <c r="CM230" i="22"/>
  <c r="CL230" i="22"/>
  <c r="CK230" i="22"/>
  <c r="CJ230" i="22"/>
  <c r="CI230" i="22"/>
  <c r="CH230" i="22"/>
  <c r="CG230" i="22"/>
  <c r="CF230" i="22"/>
  <c r="CE230" i="22"/>
  <c r="CD230" i="22"/>
  <c r="CC230" i="22"/>
  <c r="CB230" i="22"/>
  <c r="CA230" i="22"/>
  <c r="BZ230" i="22"/>
  <c r="BY230" i="22"/>
  <c r="BX230" i="22"/>
  <c r="BW230" i="22"/>
  <c r="BV230" i="22"/>
  <c r="BU230" i="22"/>
  <c r="BT230" i="22"/>
  <c r="BS230" i="22"/>
  <c r="BR230" i="22"/>
  <c r="BQ230" i="22"/>
  <c r="BP230" i="22"/>
  <c r="BO230" i="22"/>
  <c r="BN230" i="22"/>
  <c r="BM230" i="22"/>
  <c r="BL230" i="22"/>
  <c r="BK230" i="22"/>
  <c r="BJ230" i="22"/>
  <c r="CS229" i="22"/>
  <c r="CQ229" i="22"/>
  <c r="CP229" i="22"/>
  <c r="CO229" i="22"/>
  <c r="CN229" i="22"/>
  <c r="CM229" i="22"/>
  <c r="CL229" i="22"/>
  <c r="CK229" i="22"/>
  <c r="CJ229" i="22"/>
  <c r="CI229" i="22"/>
  <c r="CH229" i="22"/>
  <c r="CG229" i="22"/>
  <c r="CF229" i="22"/>
  <c r="CE229" i="22"/>
  <c r="CD229" i="22"/>
  <c r="CC229" i="22"/>
  <c r="CB229" i="22"/>
  <c r="CA229" i="22"/>
  <c r="BZ229" i="22"/>
  <c r="BY229" i="22"/>
  <c r="BX229" i="22"/>
  <c r="BW229" i="22"/>
  <c r="BV229" i="22"/>
  <c r="BU229" i="22"/>
  <c r="BT229" i="22"/>
  <c r="BS229" i="22"/>
  <c r="BR229" i="22"/>
  <c r="BQ229" i="22"/>
  <c r="BP229" i="22"/>
  <c r="BO229" i="22"/>
  <c r="BN229" i="22"/>
  <c r="BM229" i="22"/>
  <c r="BL229" i="22"/>
  <c r="BK229" i="22"/>
  <c r="BJ229" i="22"/>
  <c r="CS228" i="22"/>
  <c r="CQ228" i="22"/>
  <c r="CP228" i="22"/>
  <c r="CO228" i="22"/>
  <c r="CN228" i="22"/>
  <c r="CM228" i="22"/>
  <c r="CL228" i="22"/>
  <c r="CK228" i="22"/>
  <c r="CJ228" i="22"/>
  <c r="CI228" i="22"/>
  <c r="CH228" i="22"/>
  <c r="CG228" i="22"/>
  <c r="CF228" i="22"/>
  <c r="CE228" i="22"/>
  <c r="CD228" i="22"/>
  <c r="CC228" i="22"/>
  <c r="CB228" i="22"/>
  <c r="CA228" i="22"/>
  <c r="BZ228" i="22"/>
  <c r="BY228" i="22"/>
  <c r="BX228" i="22"/>
  <c r="BW228" i="22"/>
  <c r="BV228" i="22"/>
  <c r="BU228" i="22"/>
  <c r="BT228" i="22"/>
  <c r="BS228" i="22"/>
  <c r="BR228" i="22"/>
  <c r="BQ228" i="22"/>
  <c r="BP228" i="22"/>
  <c r="BO228" i="22"/>
  <c r="BN228" i="22"/>
  <c r="BM228" i="22"/>
  <c r="BL228" i="22"/>
  <c r="BK228" i="22"/>
  <c r="BJ228" i="22"/>
  <c r="CS227" i="22"/>
  <c r="CQ227" i="22"/>
  <c r="CP227" i="22"/>
  <c r="CO227" i="22"/>
  <c r="CN227" i="22"/>
  <c r="CM227" i="22"/>
  <c r="CL227" i="22"/>
  <c r="CK227" i="22"/>
  <c r="CJ227" i="22"/>
  <c r="CI227" i="22"/>
  <c r="CH227" i="22"/>
  <c r="CG227" i="22"/>
  <c r="CF227" i="22"/>
  <c r="CE227" i="22"/>
  <c r="CD227" i="22"/>
  <c r="CC227" i="22"/>
  <c r="CB227" i="22"/>
  <c r="CA227" i="22"/>
  <c r="BZ227" i="22"/>
  <c r="BY227" i="22"/>
  <c r="BX227" i="22"/>
  <c r="BW227" i="22"/>
  <c r="BV227" i="22"/>
  <c r="BU227" i="22"/>
  <c r="BT227" i="22"/>
  <c r="BS227" i="22"/>
  <c r="BR227" i="22"/>
  <c r="BQ227" i="22"/>
  <c r="BP227" i="22"/>
  <c r="BO227" i="22"/>
  <c r="BN227" i="22"/>
  <c r="BM227" i="22"/>
  <c r="BL227" i="22"/>
  <c r="BK227" i="22"/>
  <c r="BJ227" i="22"/>
  <c r="CS226" i="22"/>
  <c r="CQ226" i="22"/>
  <c r="CP226" i="22"/>
  <c r="CO226" i="22"/>
  <c r="CN226" i="22"/>
  <c r="CM226" i="22"/>
  <c r="CL226" i="22"/>
  <c r="CK226" i="22"/>
  <c r="CJ226" i="22"/>
  <c r="CI226" i="22"/>
  <c r="CH226" i="22"/>
  <c r="CG226" i="22"/>
  <c r="CF226" i="22"/>
  <c r="CE226" i="22"/>
  <c r="CD226" i="22"/>
  <c r="CC226" i="22"/>
  <c r="CB226" i="22"/>
  <c r="CA226" i="22"/>
  <c r="BZ226" i="22"/>
  <c r="BY226" i="22"/>
  <c r="BX226" i="22"/>
  <c r="BW226" i="22"/>
  <c r="BV226" i="22"/>
  <c r="BU226" i="22"/>
  <c r="BT226" i="22"/>
  <c r="BS226" i="22"/>
  <c r="BR226" i="22"/>
  <c r="BQ226" i="22"/>
  <c r="BP226" i="22"/>
  <c r="BO226" i="22"/>
  <c r="BN226" i="22"/>
  <c r="BM226" i="22"/>
  <c r="BL226" i="22"/>
  <c r="BK226" i="22"/>
  <c r="BJ226" i="22"/>
  <c r="CS225" i="22"/>
  <c r="CQ225" i="22"/>
  <c r="CP225" i="22"/>
  <c r="CO225" i="22"/>
  <c r="CN225" i="22"/>
  <c r="CM225" i="22"/>
  <c r="CL225" i="22"/>
  <c r="CK225" i="22"/>
  <c r="CJ225" i="22"/>
  <c r="CI225" i="22"/>
  <c r="CH225" i="22"/>
  <c r="CG225" i="22"/>
  <c r="CF225" i="22"/>
  <c r="CE225" i="22"/>
  <c r="CD225" i="22"/>
  <c r="CC225" i="22"/>
  <c r="CB225" i="22"/>
  <c r="CA225" i="22"/>
  <c r="BZ225" i="22"/>
  <c r="BY225" i="22"/>
  <c r="BX225" i="22"/>
  <c r="BW225" i="22"/>
  <c r="BV225" i="22"/>
  <c r="BU225" i="22"/>
  <c r="BT225" i="22"/>
  <c r="BS225" i="22"/>
  <c r="BR225" i="22"/>
  <c r="BQ225" i="22"/>
  <c r="BP225" i="22"/>
  <c r="BO225" i="22"/>
  <c r="BN225" i="22"/>
  <c r="BM225" i="22"/>
  <c r="BL225" i="22"/>
  <c r="BK225" i="22"/>
  <c r="BJ225" i="22"/>
  <c r="CS224" i="22"/>
  <c r="CQ224" i="22"/>
  <c r="CP224" i="22"/>
  <c r="CO224" i="22"/>
  <c r="CN224" i="22"/>
  <c r="CM224" i="22"/>
  <c r="CL224" i="22"/>
  <c r="CK224" i="22"/>
  <c r="CJ224" i="22"/>
  <c r="CI224" i="22"/>
  <c r="CH224" i="22"/>
  <c r="CG224" i="22"/>
  <c r="CF224" i="22"/>
  <c r="CE224" i="22"/>
  <c r="CD224" i="22"/>
  <c r="CC224" i="22"/>
  <c r="CB224" i="22"/>
  <c r="CA224" i="22"/>
  <c r="BZ224" i="22"/>
  <c r="BY224" i="22"/>
  <c r="BX224" i="22"/>
  <c r="BW224" i="22"/>
  <c r="BV224" i="22"/>
  <c r="BU224" i="22"/>
  <c r="BT224" i="22"/>
  <c r="BS224" i="22"/>
  <c r="BR224" i="22"/>
  <c r="BQ224" i="22"/>
  <c r="BP224" i="22"/>
  <c r="BO224" i="22"/>
  <c r="BN224" i="22"/>
  <c r="BM224" i="22"/>
  <c r="BL224" i="22"/>
  <c r="BK224" i="22"/>
  <c r="BJ224" i="22"/>
  <c r="CS223" i="22"/>
  <c r="CQ223" i="22"/>
  <c r="CP223" i="22"/>
  <c r="CO223" i="22"/>
  <c r="CN223" i="22"/>
  <c r="CM223" i="22"/>
  <c r="CL223" i="22"/>
  <c r="CK223" i="22"/>
  <c r="CJ223" i="22"/>
  <c r="CI223" i="22"/>
  <c r="CH223" i="22"/>
  <c r="CG223" i="22"/>
  <c r="CF223" i="22"/>
  <c r="CE223" i="22"/>
  <c r="CD223" i="22"/>
  <c r="CC223" i="22"/>
  <c r="CB223" i="22"/>
  <c r="CA223" i="22"/>
  <c r="BZ223" i="22"/>
  <c r="BY223" i="22"/>
  <c r="BX223" i="22"/>
  <c r="BW223" i="22"/>
  <c r="BV223" i="22"/>
  <c r="BU223" i="22"/>
  <c r="BT223" i="22"/>
  <c r="BS223" i="22"/>
  <c r="BR223" i="22"/>
  <c r="BQ223" i="22"/>
  <c r="BP223" i="22"/>
  <c r="BO223" i="22"/>
  <c r="BN223" i="22"/>
  <c r="BM223" i="22"/>
  <c r="BL223" i="22"/>
  <c r="BK223" i="22"/>
  <c r="BJ223" i="22"/>
  <c r="CS222" i="22"/>
  <c r="CQ222" i="22"/>
  <c r="CP222" i="22"/>
  <c r="CO222" i="22"/>
  <c r="CN222" i="22"/>
  <c r="CM222" i="22"/>
  <c r="CL222" i="22"/>
  <c r="CK222" i="22"/>
  <c r="CJ222" i="22"/>
  <c r="CI222" i="22"/>
  <c r="CH222" i="22"/>
  <c r="CG222" i="22"/>
  <c r="CF222" i="22"/>
  <c r="CE222" i="22"/>
  <c r="CD222" i="22"/>
  <c r="CC222" i="22"/>
  <c r="CB222" i="22"/>
  <c r="CA222" i="22"/>
  <c r="BZ222" i="22"/>
  <c r="BY222" i="22"/>
  <c r="BX222" i="22"/>
  <c r="BW222" i="22"/>
  <c r="BV222" i="22"/>
  <c r="BU222" i="22"/>
  <c r="BT222" i="22"/>
  <c r="BS222" i="22"/>
  <c r="BR222" i="22"/>
  <c r="BQ222" i="22"/>
  <c r="BP222" i="22"/>
  <c r="BO222" i="22"/>
  <c r="BN222" i="22"/>
  <c r="BM222" i="22"/>
  <c r="BL222" i="22"/>
  <c r="BK222" i="22"/>
  <c r="BJ222" i="22"/>
  <c r="CS221" i="22"/>
  <c r="CQ221" i="22"/>
  <c r="CP221" i="22"/>
  <c r="CO221" i="22"/>
  <c r="CN221" i="22"/>
  <c r="CM221" i="22"/>
  <c r="CL221" i="22"/>
  <c r="CK221" i="22"/>
  <c r="CJ221" i="22"/>
  <c r="CI221" i="22"/>
  <c r="CH221" i="22"/>
  <c r="CG221" i="22"/>
  <c r="CF221" i="22"/>
  <c r="CE221" i="22"/>
  <c r="CD221" i="22"/>
  <c r="CC221" i="22"/>
  <c r="CB221" i="22"/>
  <c r="CA221" i="22"/>
  <c r="BZ221" i="22"/>
  <c r="BY221" i="22"/>
  <c r="BX221" i="22"/>
  <c r="BW221" i="22"/>
  <c r="BV221" i="22"/>
  <c r="BU221" i="22"/>
  <c r="BT221" i="22"/>
  <c r="BS221" i="22"/>
  <c r="BR221" i="22"/>
  <c r="BQ221" i="22"/>
  <c r="BP221" i="22"/>
  <c r="BO221" i="22"/>
  <c r="BN221" i="22"/>
  <c r="BM221" i="22"/>
  <c r="BL221" i="22"/>
  <c r="BK221" i="22"/>
  <c r="BJ221" i="22"/>
  <c r="CS220" i="22"/>
  <c r="CQ220" i="22"/>
  <c r="CP220" i="22"/>
  <c r="CO220" i="22"/>
  <c r="CN220" i="22"/>
  <c r="CM220" i="22"/>
  <c r="CL220" i="22"/>
  <c r="CK220" i="22"/>
  <c r="CJ220" i="22"/>
  <c r="CI220" i="22"/>
  <c r="CH220" i="22"/>
  <c r="CG220" i="22"/>
  <c r="CF220" i="22"/>
  <c r="CE220" i="22"/>
  <c r="CD220" i="22"/>
  <c r="CC220" i="22"/>
  <c r="CB220" i="22"/>
  <c r="CA220" i="22"/>
  <c r="BZ220" i="22"/>
  <c r="BY220" i="22"/>
  <c r="BX220" i="22"/>
  <c r="BW220" i="22"/>
  <c r="BV220" i="22"/>
  <c r="BU220" i="22"/>
  <c r="BT220" i="22"/>
  <c r="BS220" i="22"/>
  <c r="BR220" i="22"/>
  <c r="BQ220" i="22"/>
  <c r="BP220" i="22"/>
  <c r="BO220" i="22"/>
  <c r="BN220" i="22"/>
  <c r="BM220" i="22"/>
  <c r="BL220" i="22"/>
  <c r="BK220" i="22"/>
  <c r="BJ220" i="22"/>
  <c r="CS219" i="22"/>
  <c r="CQ219" i="22"/>
  <c r="CP219" i="22"/>
  <c r="CO219" i="22"/>
  <c r="CN219" i="22"/>
  <c r="CM219" i="22"/>
  <c r="CL219" i="22"/>
  <c r="CK219" i="22"/>
  <c r="CJ219" i="22"/>
  <c r="CI219" i="22"/>
  <c r="CH219" i="22"/>
  <c r="CG219" i="22"/>
  <c r="CF219" i="22"/>
  <c r="CE219" i="22"/>
  <c r="CD219" i="22"/>
  <c r="CC219" i="22"/>
  <c r="CB219" i="22"/>
  <c r="CA219" i="22"/>
  <c r="BZ219" i="22"/>
  <c r="BY219" i="22"/>
  <c r="BX219" i="22"/>
  <c r="BW219" i="22"/>
  <c r="BV219" i="22"/>
  <c r="BU219" i="22"/>
  <c r="BT219" i="22"/>
  <c r="BS219" i="22"/>
  <c r="BR219" i="22"/>
  <c r="BQ219" i="22"/>
  <c r="BP219" i="22"/>
  <c r="BO219" i="22"/>
  <c r="BN219" i="22"/>
  <c r="BM219" i="22"/>
  <c r="BL219" i="22"/>
  <c r="BK219" i="22"/>
  <c r="BJ219" i="22"/>
  <c r="CS218" i="22"/>
  <c r="CQ218" i="22"/>
  <c r="CP218" i="22"/>
  <c r="CO218" i="22"/>
  <c r="CN218" i="22"/>
  <c r="CM218" i="22"/>
  <c r="CL218" i="22"/>
  <c r="CK218" i="22"/>
  <c r="CJ218" i="22"/>
  <c r="CI218" i="22"/>
  <c r="CH218" i="22"/>
  <c r="CG218" i="22"/>
  <c r="CF218" i="22"/>
  <c r="CE218" i="22"/>
  <c r="CD218" i="22"/>
  <c r="CC218" i="22"/>
  <c r="CB218" i="22"/>
  <c r="CA218" i="22"/>
  <c r="BZ218" i="22"/>
  <c r="BY218" i="22"/>
  <c r="BX218" i="22"/>
  <c r="BW218" i="22"/>
  <c r="BV218" i="22"/>
  <c r="BU218" i="22"/>
  <c r="BT218" i="22"/>
  <c r="BS218" i="22"/>
  <c r="BR218" i="22"/>
  <c r="BQ218" i="22"/>
  <c r="BP218" i="22"/>
  <c r="BO218" i="22"/>
  <c r="BN218" i="22"/>
  <c r="BM218" i="22"/>
  <c r="BL218" i="22"/>
  <c r="BK218" i="22"/>
  <c r="BJ218" i="22"/>
  <c r="CS217" i="22"/>
  <c r="CQ217" i="22"/>
  <c r="CP217" i="22"/>
  <c r="CO217" i="22"/>
  <c r="CN217" i="22"/>
  <c r="CM217" i="22"/>
  <c r="CL217" i="22"/>
  <c r="CK217" i="22"/>
  <c r="CJ217" i="22"/>
  <c r="CI217" i="22"/>
  <c r="CH217" i="22"/>
  <c r="CG217" i="22"/>
  <c r="CF217" i="22"/>
  <c r="CE217" i="22"/>
  <c r="CD217" i="22"/>
  <c r="CC217" i="22"/>
  <c r="CB217" i="22"/>
  <c r="CA217" i="22"/>
  <c r="BZ217" i="22"/>
  <c r="BY217" i="22"/>
  <c r="BX217" i="22"/>
  <c r="BW217" i="22"/>
  <c r="BV217" i="22"/>
  <c r="BU217" i="22"/>
  <c r="BT217" i="22"/>
  <c r="BS217" i="22"/>
  <c r="BR217" i="22"/>
  <c r="BQ217" i="22"/>
  <c r="BP217" i="22"/>
  <c r="BO217" i="22"/>
  <c r="BN217" i="22"/>
  <c r="BM217" i="22"/>
  <c r="BL217" i="22"/>
  <c r="BK217" i="22"/>
  <c r="BJ217" i="22"/>
  <c r="CS216" i="22"/>
  <c r="CQ216" i="22"/>
  <c r="CP216" i="22"/>
  <c r="CO216" i="22"/>
  <c r="CN216" i="22"/>
  <c r="CM216" i="22"/>
  <c r="CL216" i="22"/>
  <c r="CK216" i="22"/>
  <c r="CJ216" i="22"/>
  <c r="CI216" i="22"/>
  <c r="CH216" i="22"/>
  <c r="CG216" i="22"/>
  <c r="CF216" i="22"/>
  <c r="CE216" i="22"/>
  <c r="CD216" i="22"/>
  <c r="CC216" i="22"/>
  <c r="CB216" i="22"/>
  <c r="CA216" i="22"/>
  <c r="BZ216" i="22"/>
  <c r="BY216" i="22"/>
  <c r="BX216" i="22"/>
  <c r="BW216" i="22"/>
  <c r="BV216" i="22"/>
  <c r="BU216" i="22"/>
  <c r="BT216" i="22"/>
  <c r="BS216" i="22"/>
  <c r="BR216" i="22"/>
  <c r="BQ216" i="22"/>
  <c r="BP216" i="22"/>
  <c r="BO216" i="22"/>
  <c r="BN216" i="22"/>
  <c r="BM216" i="22"/>
  <c r="BL216" i="22"/>
  <c r="BK216" i="22"/>
  <c r="BJ216" i="22"/>
  <c r="CS215" i="22"/>
  <c r="CQ215" i="22"/>
  <c r="CP215" i="22"/>
  <c r="CO215" i="22"/>
  <c r="CN215" i="22"/>
  <c r="CM215" i="22"/>
  <c r="CL215" i="22"/>
  <c r="CK215" i="22"/>
  <c r="CJ215" i="22"/>
  <c r="CI215" i="22"/>
  <c r="CH215" i="22"/>
  <c r="CG215" i="22"/>
  <c r="CF215" i="22"/>
  <c r="CE215" i="22"/>
  <c r="CD215" i="22"/>
  <c r="CC215" i="22"/>
  <c r="CB215" i="22"/>
  <c r="CA215" i="22"/>
  <c r="BZ215" i="22"/>
  <c r="BY215" i="22"/>
  <c r="BX215" i="22"/>
  <c r="BW215" i="22"/>
  <c r="BV215" i="22"/>
  <c r="BU215" i="22"/>
  <c r="BT215" i="22"/>
  <c r="BS215" i="22"/>
  <c r="BR215" i="22"/>
  <c r="BQ215" i="22"/>
  <c r="BP215" i="22"/>
  <c r="BO215" i="22"/>
  <c r="BN215" i="22"/>
  <c r="BM215" i="22"/>
  <c r="BL215" i="22"/>
  <c r="BK215" i="22"/>
  <c r="BJ215" i="22"/>
  <c r="CS214" i="22"/>
  <c r="CQ214" i="22"/>
  <c r="CP214" i="22"/>
  <c r="CO214" i="22"/>
  <c r="CN214" i="22"/>
  <c r="CM214" i="22"/>
  <c r="CL214" i="22"/>
  <c r="CK214" i="22"/>
  <c r="CJ214" i="22"/>
  <c r="CI214" i="22"/>
  <c r="CH214" i="22"/>
  <c r="CG214" i="22"/>
  <c r="CF214" i="22"/>
  <c r="CE214" i="22"/>
  <c r="CD214" i="22"/>
  <c r="CC214" i="22"/>
  <c r="CB214" i="22"/>
  <c r="CA214" i="22"/>
  <c r="BZ214" i="22"/>
  <c r="BY214" i="22"/>
  <c r="BX214" i="22"/>
  <c r="BW214" i="22"/>
  <c r="BV214" i="22"/>
  <c r="BU214" i="22"/>
  <c r="BT214" i="22"/>
  <c r="BS214" i="22"/>
  <c r="BR214" i="22"/>
  <c r="BQ214" i="22"/>
  <c r="BP214" i="22"/>
  <c r="BO214" i="22"/>
  <c r="BN214" i="22"/>
  <c r="BM214" i="22"/>
  <c r="BL214" i="22"/>
  <c r="BK214" i="22"/>
  <c r="BJ214" i="22"/>
  <c r="CS213" i="22"/>
  <c r="CQ213" i="22"/>
  <c r="CP213" i="22"/>
  <c r="CO213" i="22"/>
  <c r="CN213" i="22"/>
  <c r="CM213" i="22"/>
  <c r="CL213" i="22"/>
  <c r="CK213" i="22"/>
  <c r="CJ213" i="22"/>
  <c r="CI213" i="22"/>
  <c r="CH213" i="22"/>
  <c r="CG213" i="22"/>
  <c r="CF213" i="22"/>
  <c r="CE213" i="22"/>
  <c r="CD213" i="22"/>
  <c r="CC213" i="22"/>
  <c r="CB213" i="22"/>
  <c r="CA213" i="22"/>
  <c r="BZ213" i="22"/>
  <c r="BY213" i="22"/>
  <c r="BX213" i="22"/>
  <c r="BW213" i="22"/>
  <c r="BV213" i="22"/>
  <c r="BU213" i="22"/>
  <c r="BT213" i="22"/>
  <c r="BS213" i="22"/>
  <c r="BR213" i="22"/>
  <c r="BQ213" i="22"/>
  <c r="BP213" i="22"/>
  <c r="BO213" i="22"/>
  <c r="BN213" i="22"/>
  <c r="BM213" i="22"/>
  <c r="BL213" i="22"/>
  <c r="BK213" i="22"/>
  <c r="BJ213" i="22"/>
  <c r="CS212" i="22"/>
  <c r="CQ212" i="22"/>
  <c r="CP212" i="22"/>
  <c r="CO212" i="22"/>
  <c r="CN212" i="22"/>
  <c r="CM212" i="22"/>
  <c r="CL212" i="22"/>
  <c r="CK212" i="22"/>
  <c r="CJ212" i="22"/>
  <c r="CI212" i="22"/>
  <c r="CH212" i="22"/>
  <c r="CG212" i="22"/>
  <c r="CF212" i="22"/>
  <c r="CE212" i="22"/>
  <c r="CD212" i="22"/>
  <c r="CC212" i="22"/>
  <c r="CB212" i="22"/>
  <c r="CA212" i="22"/>
  <c r="BZ212" i="22"/>
  <c r="BY212" i="22"/>
  <c r="BX212" i="22"/>
  <c r="BW212" i="22"/>
  <c r="BV212" i="22"/>
  <c r="BU212" i="22"/>
  <c r="BT212" i="22"/>
  <c r="BS212" i="22"/>
  <c r="BR212" i="22"/>
  <c r="BQ212" i="22"/>
  <c r="BP212" i="22"/>
  <c r="BO212" i="22"/>
  <c r="BN212" i="22"/>
  <c r="BM212" i="22"/>
  <c r="BL212" i="22"/>
  <c r="BK212" i="22"/>
  <c r="BJ212" i="22"/>
  <c r="CS211" i="22"/>
  <c r="CQ211" i="22"/>
  <c r="CP211" i="22"/>
  <c r="CO211" i="22"/>
  <c r="CN211" i="22"/>
  <c r="CM211" i="22"/>
  <c r="CL211" i="22"/>
  <c r="CK211" i="22"/>
  <c r="CJ211" i="22"/>
  <c r="CI211" i="22"/>
  <c r="CH211" i="22"/>
  <c r="CG211" i="22"/>
  <c r="CF211" i="22"/>
  <c r="CE211" i="22"/>
  <c r="CD211" i="22"/>
  <c r="CC211" i="22"/>
  <c r="CB211" i="22"/>
  <c r="CA211" i="22"/>
  <c r="BZ211" i="22"/>
  <c r="BY211" i="22"/>
  <c r="BX211" i="22"/>
  <c r="BW211" i="22"/>
  <c r="BV211" i="22"/>
  <c r="BU211" i="22"/>
  <c r="BT211" i="22"/>
  <c r="BS211" i="22"/>
  <c r="BR211" i="22"/>
  <c r="BQ211" i="22"/>
  <c r="BP211" i="22"/>
  <c r="BO211" i="22"/>
  <c r="BN211" i="22"/>
  <c r="BM211" i="22"/>
  <c r="BL211" i="22"/>
  <c r="BK211" i="22"/>
  <c r="BJ211" i="22"/>
  <c r="CS210" i="22"/>
  <c r="CQ210" i="22"/>
  <c r="CP210" i="22"/>
  <c r="CO210" i="22"/>
  <c r="CN210" i="22"/>
  <c r="CM210" i="22"/>
  <c r="CL210" i="22"/>
  <c r="CK210" i="22"/>
  <c r="CJ210" i="22"/>
  <c r="CI210" i="22"/>
  <c r="CH210" i="22"/>
  <c r="CG210" i="22"/>
  <c r="CF210" i="22"/>
  <c r="CE210" i="22"/>
  <c r="CD210" i="22"/>
  <c r="CC210" i="22"/>
  <c r="CB210" i="22"/>
  <c r="CA210" i="22"/>
  <c r="BZ210" i="22"/>
  <c r="BY210" i="22"/>
  <c r="BX210" i="22"/>
  <c r="BW210" i="22"/>
  <c r="BV210" i="22"/>
  <c r="BU210" i="22"/>
  <c r="BT210" i="22"/>
  <c r="BS210" i="22"/>
  <c r="BR210" i="22"/>
  <c r="BQ210" i="22"/>
  <c r="BP210" i="22"/>
  <c r="BO210" i="22"/>
  <c r="BN210" i="22"/>
  <c r="BM210" i="22"/>
  <c r="BL210" i="22"/>
  <c r="BK210" i="22"/>
  <c r="BJ210" i="22"/>
  <c r="CS209" i="22"/>
  <c r="CQ209" i="22"/>
  <c r="CP209" i="22"/>
  <c r="CO209" i="22"/>
  <c r="CN209" i="22"/>
  <c r="CM209" i="22"/>
  <c r="CL209" i="22"/>
  <c r="CK209" i="22"/>
  <c r="CJ209" i="22"/>
  <c r="CI209" i="22"/>
  <c r="CH209" i="22"/>
  <c r="CG209" i="22"/>
  <c r="CF209" i="22"/>
  <c r="CE209" i="22"/>
  <c r="CD209" i="22"/>
  <c r="CC209" i="22"/>
  <c r="CB209" i="22"/>
  <c r="CA209" i="22"/>
  <c r="BZ209" i="22"/>
  <c r="BY209" i="22"/>
  <c r="BX209" i="22"/>
  <c r="BW209" i="22"/>
  <c r="BV209" i="22"/>
  <c r="BU209" i="22"/>
  <c r="BT209" i="22"/>
  <c r="BS209" i="22"/>
  <c r="BR209" i="22"/>
  <c r="BQ209" i="22"/>
  <c r="BP209" i="22"/>
  <c r="BO209" i="22"/>
  <c r="BN209" i="22"/>
  <c r="BM209" i="22"/>
  <c r="BL209" i="22"/>
  <c r="BK209" i="22"/>
  <c r="BJ209" i="22"/>
  <c r="CS208" i="22"/>
  <c r="CQ208" i="22"/>
  <c r="CP208" i="22"/>
  <c r="CO208" i="22"/>
  <c r="CN208" i="22"/>
  <c r="CM208" i="22"/>
  <c r="CL208" i="22"/>
  <c r="CK208" i="22"/>
  <c r="CJ208" i="22"/>
  <c r="CI208" i="22"/>
  <c r="CH208" i="22"/>
  <c r="CG208" i="22"/>
  <c r="CF208" i="22"/>
  <c r="CE208" i="22"/>
  <c r="CD208" i="22"/>
  <c r="CC208" i="22"/>
  <c r="CB208" i="22"/>
  <c r="CA208" i="22"/>
  <c r="BZ208" i="22"/>
  <c r="BY208" i="22"/>
  <c r="BX208" i="22"/>
  <c r="BW208" i="22"/>
  <c r="BV208" i="22"/>
  <c r="BU208" i="22"/>
  <c r="BT208" i="22"/>
  <c r="BS208" i="22"/>
  <c r="BR208" i="22"/>
  <c r="BQ208" i="22"/>
  <c r="BP208" i="22"/>
  <c r="BO208" i="22"/>
  <c r="BN208" i="22"/>
  <c r="BM208" i="22"/>
  <c r="BL208" i="22"/>
  <c r="BK208" i="22"/>
  <c r="BJ208" i="22"/>
  <c r="CS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CS206" i="22"/>
  <c r="CQ206" i="22"/>
  <c r="CP206" i="22"/>
  <c r="CO206" i="22"/>
  <c r="CN206" i="22"/>
  <c r="CM206" i="22"/>
  <c r="CL206" i="22"/>
  <c r="CK206" i="22"/>
  <c r="CJ206" i="22"/>
  <c r="CI206" i="22"/>
  <c r="CH206" i="22"/>
  <c r="CG206" i="22"/>
  <c r="CF206" i="22"/>
  <c r="CE206" i="22"/>
  <c r="CD206" i="22"/>
  <c r="CC206" i="22"/>
  <c r="CB206" i="22"/>
  <c r="CA206" i="22"/>
  <c r="BZ206" i="22"/>
  <c r="BY206" i="22"/>
  <c r="BX206" i="22"/>
  <c r="BW206" i="22"/>
  <c r="BV206" i="22"/>
  <c r="BU206" i="22"/>
  <c r="BT206" i="22"/>
  <c r="BS206" i="22"/>
  <c r="BR206" i="22"/>
  <c r="BQ206" i="22"/>
  <c r="BP206" i="22"/>
  <c r="BO206" i="22"/>
  <c r="BN206" i="22"/>
  <c r="BM206" i="22"/>
  <c r="BL206" i="22"/>
  <c r="BK206" i="22"/>
  <c r="BJ206" i="22"/>
  <c r="CS205" i="22"/>
  <c r="CQ205" i="22"/>
  <c r="CP205" i="22"/>
  <c r="CO205" i="22"/>
  <c r="CN205" i="22"/>
  <c r="CM205" i="22"/>
  <c r="CL205" i="22"/>
  <c r="CK205" i="22"/>
  <c r="CJ205" i="22"/>
  <c r="CI205" i="22"/>
  <c r="CH205" i="22"/>
  <c r="CG205" i="22"/>
  <c r="CF205" i="22"/>
  <c r="CE205" i="22"/>
  <c r="CD205" i="22"/>
  <c r="CC205" i="22"/>
  <c r="CB205" i="22"/>
  <c r="CA205" i="22"/>
  <c r="BZ205" i="22"/>
  <c r="BY205" i="22"/>
  <c r="BX205" i="22"/>
  <c r="BW205" i="22"/>
  <c r="BV205" i="22"/>
  <c r="BU205" i="22"/>
  <c r="BT205" i="22"/>
  <c r="BS205" i="22"/>
  <c r="BR205" i="22"/>
  <c r="BQ205" i="22"/>
  <c r="BP205" i="22"/>
  <c r="BO205" i="22"/>
  <c r="BN205" i="22"/>
  <c r="BM205" i="22"/>
  <c r="BL205" i="22"/>
  <c r="BK205" i="22"/>
  <c r="BJ205" i="22"/>
  <c r="CS204" i="22"/>
  <c r="CQ204" i="22"/>
  <c r="CP204" i="22"/>
  <c r="CO204" i="22"/>
  <c r="CN204" i="22"/>
  <c r="CM204" i="22"/>
  <c r="CL204" i="22"/>
  <c r="CK204" i="22"/>
  <c r="CJ204" i="22"/>
  <c r="CI204" i="22"/>
  <c r="CH204" i="22"/>
  <c r="CG204" i="22"/>
  <c r="CF204" i="22"/>
  <c r="CE204" i="22"/>
  <c r="CD204" i="22"/>
  <c r="CC204" i="22"/>
  <c r="CB204" i="22"/>
  <c r="CA204" i="22"/>
  <c r="BZ204" i="22"/>
  <c r="BY204" i="22"/>
  <c r="BX204" i="22"/>
  <c r="BW204" i="22"/>
  <c r="BV204" i="22"/>
  <c r="BU204" i="22"/>
  <c r="BT204" i="22"/>
  <c r="BS204" i="22"/>
  <c r="BR204" i="22"/>
  <c r="BQ204" i="22"/>
  <c r="BP204" i="22"/>
  <c r="BO204" i="22"/>
  <c r="BN204" i="22"/>
  <c r="BM204" i="22"/>
  <c r="BL204" i="22"/>
  <c r="BK204" i="22"/>
  <c r="BJ204" i="22"/>
  <c r="CS203" i="22"/>
  <c r="CQ203" i="22"/>
  <c r="CP203" i="22"/>
  <c r="CO203" i="22"/>
  <c r="CN203" i="22"/>
  <c r="CM203" i="22"/>
  <c r="CL203" i="22"/>
  <c r="CK203" i="22"/>
  <c r="CJ203" i="22"/>
  <c r="CI203" i="22"/>
  <c r="CH203" i="22"/>
  <c r="CG203" i="22"/>
  <c r="CF203" i="22"/>
  <c r="CE203" i="22"/>
  <c r="CD203" i="22"/>
  <c r="CC203" i="22"/>
  <c r="CB203" i="22"/>
  <c r="CA203" i="22"/>
  <c r="BZ203" i="22"/>
  <c r="BY203" i="22"/>
  <c r="BX203" i="22"/>
  <c r="BW203" i="22"/>
  <c r="BV203" i="22"/>
  <c r="BU203" i="22"/>
  <c r="BT203" i="22"/>
  <c r="BS203" i="22"/>
  <c r="BR203" i="22"/>
  <c r="BQ203" i="22"/>
  <c r="BP203" i="22"/>
  <c r="BO203" i="22"/>
  <c r="BN203" i="22"/>
  <c r="BM203" i="22"/>
  <c r="BL203" i="22"/>
  <c r="BK203" i="22"/>
  <c r="BJ203" i="22"/>
  <c r="CS202" i="22"/>
  <c r="CQ202" i="22"/>
  <c r="CP202" i="22"/>
  <c r="CO202" i="22"/>
  <c r="CN202" i="22"/>
  <c r="CM202" i="22"/>
  <c r="CL202" i="22"/>
  <c r="CK202" i="22"/>
  <c r="CJ202" i="22"/>
  <c r="CI202" i="22"/>
  <c r="CH202" i="22"/>
  <c r="CG202" i="22"/>
  <c r="CF202" i="22"/>
  <c r="CE202" i="22"/>
  <c r="CD202" i="22"/>
  <c r="CC202" i="22"/>
  <c r="CB202" i="22"/>
  <c r="CA202" i="22"/>
  <c r="BZ202" i="22"/>
  <c r="BY202" i="22"/>
  <c r="BX202" i="22"/>
  <c r="BW202" i="22"/>
  <c r="BV202" i="22"/>
  <c r="BU202" i="22"/>
  <c r="BT202" i="22"/>
  <c r="BS202" i="22"/>
  <c r="BR202" i="22"/>
  <c r="BQ202" i="22"/>
  <c r="BP202" i="22"/>
  <c r="BO202" i="22"/>
  <c r="BN202" i="22"/>
  <c r="BM202" i="22"/>
  <c r="BL202" i="22"/>
  <c r="BK202" i="22"/>
  <c r="BJ202" i="22"/>
  <c r="CS201" i="22"/>
  <c r="CQ201" i="22"/>
  <c r="CP201" i="22"/>
  <c r="CO201" i="22"/>
  <c r="CN201" i="22"/>
  <c r="CM201" i="22"/>
  <c r="CL201" i="22"/>
  <c r="CK201" i="22"/>
  <c r="CJ201" i="22"/>
  <c r="CI201" i="22"/>
  <c r="CH201" i="22"/>
  <c r="CG201" i="22"/>
  <c r="CF201" i="22"/>
  <c r="CE201" i="22"/>
  <c r="CD201" i="22"/>
  <c r="CC201" i="22"/>
  <c r="CB201" i="22"/>
  <c r="CA201" i="22"/>
  <c r="BZ201" i="22"/>
  <c r="BY201" i="22"/>
  <c r="BX201" i="22"/>
  <c r="BW201" i="22"/>
  <c r="BV201" i="22"/>
  <c r="BU201" i="22"/>
  <c r="BT201" i="22"/>
  <c r="BS201" i="22"/>
  <c r="BR201" i="22"/>
  <c r="BQ201" i="22"/>
  <c r="BP201" i="22"/>
  <c r="BO201" i="22"/>
  <c r="BN201" i="22"/>
  <c r="BM201" i="22"/>
  <c r="BL201" i="22"/>
  <c r="BK201" i="22"/>
  <c r="BJ201" i="22"/>
  <c r="CS200" i="22"/>
  <c r="CQ200" i="22"/>
  <c r="CP200" i="22"/>
  <c r="CO200" i="22"/>
  <c r="CN200" i="22"/>
  <c r="CM200" i="22"/>
  <c r="CL200" i="22"/>
  <c r="CK200" i="22"/>
  <c r="CJ200" i="22"/>
  <c r="CI200" i="22"/>
  <c r="CH200" i="22"/>
  <c r="CG200" i="22"/>
  <c r="CF200" i="22"/>
  <c r="CE200" i="22"/>
  <c r="CD200" i="22"/>
  <c r="CC200" i="22"/>
  <c r="CB200" i="22"/>
  <c r="CA200" i="22"/>
  <c r="BZ200" i="22"/>
  <c r="BY200" i="22"/>
  <c r="BX200" i="22"/>
  <c r="BW200" i="22"/>
  <c r="BV200" i="22"/>
  <c r="BU200" i="22"/>
  <c r="BT200" i="22"/>
  <c r="BS200" i="22"/>
  <c r="BR200" i="22"/>
  <c r="BQ200" i="22"/>
  <c r="BP200" i="22"/>
  <c r="BO200" i="22"/>
  <c r="BN200" i="22"/>
  <c r="BM200" i="22"/>
  <c r="BL200" i="22"/>
  <c r="BK200" i="22"/>
  <c r="BJ200" i="22"/>
  <c r="CS199" i="22"/>
  <c r="CQ199" i="22"/>
  <c r="CP199" i="22"/>
  <c r="CO199" i="22"/>
  <c r="CN199" i="22"/>
  <c r="CM199" i="22"/>
  <c r="CL199" i="22"/>
  <c r="CK199" i="22"/>
  <c r="CJ199" i="22"/>
  <c r="CI199" i="22"/>
  <c r="CH199" i="22"/>
  <c r="CG199" i="22"/>
  <c r="CF199" i="22"/>
  <c r="CE199" i="22"/>
  <c r="CD199" i="22"/>
  <c r="CC199" i="22"/>
  <c r="CB199" i="22"/>
  <c r="CA199" i="22"/>
  <c r="BZ199" i="22"/>
  <c r="BY199" i="22"/>
  <c r="BX199" i="22"/>
  <c r="BW199" i="22"/>
  <c r="BV199" i="22"/>
  <c r="BU199" i="22"/>
  <c r="BT199" i="22"/>
  <c r="BS199" i="22"/>
  <c r="BR199" i="22"/>
  <c r="BQ199" i="22"/>
  <c r="BP199" i="22"/>
  <c r="BO199" i="22"/>
  <c r="BN199" i="22"/>
  <c r="BM199" i="22"/>
  <c r="BL199" i="22"/>
  <c r="BK199" i="22"/>
  <c r="BJ199" i="22"/>
  <c r="CS198" i="22"/>
  <c r="CQ198" i="22"/>
  <c r="CP198" i="22"/>
  <c r="CO198" i="22"/>
  <c r="CN198" i="22"/>
  <c r="CM198" i="22"/>
  <c r="CL198" i="22"/>
  <c r="CK198" i="22"/>
  <c r="CJ198" i="22"/>
  <c r="CI198" i="22"/>
  <c r="CH198" i="22"/>
  <c r="CG198" i="22"/>
  <c r="CF198" i="22"/>
  <c r="CE198" i="22"/>
  <c r="CD198" i="22"/>
  <c r="CC198" i="22"/>
  <c r="CB198" i="22"/>
  <c r="CA198" i="22"/>
  <c r="BZ198" i="22"/>
  <c r="BY198" i="22"/>
  <c r="BX198" i="22"/>
  <c r="BW198" i="22"/>
  <c r="BV198" i="22"/>
  <c r="BU198" i="22"/>
  <c r="BT198" i="22"/>
  <c r="BS198" i="22"/>
  <c r="BR198" i="22"/>
  <c r="BQ198" i="22"/>
  <c r="BP198" i="22"/>
  <c r="BO198" i="22"/>
  <c r="BN198" i="22"/>
  <c r="BM198" i="22"/>
  <c r="BL198" i="22"/>
  <c r="BK198" i="22"/>
  <c r="BJ198" i="22"/>
  <c r="CS197" i="22"/>
  <c r="CQ197" i="22"/>
  <c r="CP197" i="22"/>
  <c r="CO197" i="22"/>
  <c r="CN197" i="22"/>
  <c r="CM197" i="22"/>
  <c r="CL197" i="22"/>
  <c r="CK197" i="22"/>
  <c r="CJ197" i="22"/>
  <c r="CI197" i="22"/>
  <c r="CH197" i="22"/>
  <c r="CG197" i="22"/>
  <c r="CF197" i="22"/>
  <c r="CE197" i="22"/>
  <c r="CD197" i="22"/>
  <c r="CC197" i="22"/>
  <c r="CB197" i="22"/>
  <c r="CA197" i="22"/>
  <c r="BZ197" i="22"/>
  <c r="BY197" i="22"/>
  <c r="BX197" i="22"/>
  <c r="BW197" i="22"/>
  <c r="BV197" i="22"/>
  <c r="BU197" i="22"/>
  <c r="BT197" i="22"/>
  <c r="BS197" i="22"/>
  <c r="BR197" i="22"/>
  <c r="BQ197" i="22"/>
  <c r="BP197" i="22"/>
  <c r="BO197" i="22"/>
  <c r="BN197" i="22"/>
  <c r="BM197" i="22"/>
  <c r="BL197" i="22"/>
  <c r="BK197" i="22"/>
  <c r="BJ197" i="22"/>
  <c r="CS196" i="22"/>
  <c r="CQ196" i="22"/>
  <c r="CP196" i="22"/>
  <c r="CO196" i="22"/>
  <c r="CN196" i="22"/>
  <c r="CM196" i="22"/>
  <c r="CL196" i="22"/>
  <c r="CK196" i="22"/>
  <c r="CJ196" i="22"/>
  <c r="CI196" i="22"/>
  <c r="CH196" i="22"/>
  <c r="CG196" i="22"/>
  <c r="CF196" i="22"/>
  <c r="CE196" i="22"/>
  <c r="CD196" i="22"/>
  <c r="CC196" i="22"/>
  <c r="CB196" i="22"/>
  <c r="CA196" i="22"/>
  <c r="BZ196" i="22"/>
  <c r="BY196" i="22"/>
  <c r="BX196" i="22"/>
  <c r="BW196" i="22"/>
  <c r="BV196" i="22"/>
  <c r="BU196" i="22"/>
  <c r="BT196" i="22"/>
  <c r="BS196" i="22"/>
  <c r="BR196" i="22"/>
  <c r="BQ196" i="22"/>
  <c r="BP196" i="22"/>
  <c r="BO196" i="22"/>
  <c r="BN196" i="22"/>
  <c r="BM196" i="22"/>
  <c r="BL196" i="22"/>
  <c r="BK196" i="22"/>
  <c r="BJ196" i="22"/>
  <c r="CS195" i="22"/>
  <c r="CQ195" i="22"/>
  <c r="CP195" i="22"/>
  <c r="CO195" i="22"/>
  <c r="CN195" i="22"/>
  <c r="CM195" i="22"/>
  <c r="CL195" i="22"/>
  <c r="CK195" i="22"/>
  <c r="CJ195" i="22"/>
  <c r="CI195" i="22"/>
  <c r="CH195" i="22"/>
  <c r="CG195" i="22"/>
  <c r="CF195" i="22"/>
  <c r="CE195" i="22"/>
  <c r="CD195" i="22"/>
  <c r="CC195" i="22"/>
  <c r="CB195" i="22"/>
  <c r="CA195" i="22"/>
  <c r="BZ195" i="22"/>
  <c r="BY195" i="22"/>
  <c r="BX195" i="22"/>
  <c r="BW195" i="22"/>
  <c r="BV195" i="22"/>
  <c r="BU195" i="22"/>
  <c r="BT195" i="22"/>
  <c r="BS195" i="22"/>
  <c r="BR195" i="22"/>
  <c r="BQ195" i="22"/>
  <c r="BP195" i="22"/>
  <c r="BO195" i="22"/>
  <c r="BN195" i="22"/>
  <c r="BM195" i="22"/>
  <c r="BL195" i="22"/>
  <c r="BK195" i="22"/>
  <c r="BJ195" i="22"/>
  <c r="CS194" i="22"/>
  <c r="CQ194" i="22"/>
  <c r="CP194" i="22"/>
  <c r="CO194" i="22"/>
  <c r="CN194" i="22"/>
  <c r="CM194" i="22"/>
  <c r="CL194" i="22"/>
  <c r="CK194" i="22"/>
  <c r="CJ194" i="22"/>
  <c r="CI194" i="22"/>
  <c r="CH194" i="22"/>
  <c r="CG194" i="22"/>
  <c r="CF194" i="22"/>
  <c r="CE194" i="22"/>
  <c r="CD194" i="22"/>
  <c r="CC194" i="22"/>
  <c r="CB194" i="22"/>
  <c r="CA194" i="22"/>
  <c r="BZ194" i="22"/>
  <c r="BY194" i="22"/>
  <c r="BX194" i="22"/>
  <c r="BW194" i="22"/>
  <c r="BV194" i="22"/>
  <c r="BU194" i="22"/>
  <c r="BT194" i="22"/>
  <c r="BS194" i="22"/>
  <c r="BR194" i="22"/>
  <c r="BQ194" i="22"/>
  <c r="BP194" i="22"/>
  <c r="BO194" i="22"/>
  <c r="BN194" i="22"/>
  <c r="BM194" i="22"/>
  <c r="BL194" i="22"/>
  <c r="BK194" i="22"/>
  <c r="BJ194" i="22"/>
  <c r="CS193" i="22"/>
  <c r="CQ193" i="22"/>
  <c r="CP193" i="22"/>
  <c r="CO193" i="22"/>
  <c r="CN193" i="22"/>
  <c r="CM193" i="22"/>
  <c r="CL193" i="22"/>
  <c r="CK193" i="22"/>
  <c r="CJ193" i="22"/>
  <c r="CI193" i="22"/>
  <c r="CH193" i="22"/>
  <c r="CG193" i="22"/>
  <c r="CF193" i="22"/>
  <c r="CE193" i="22"/>
  <c r="CD193" i="22"/>
  <c r="CC193" i="22"/>
  <c r="CB193" i="22"/>
  <c r="CA193" i="22"/>
  <c r="BZ193" i="22"/>
  <c r="BY193" i="22"/>
  <c r="BX193" i="22"/>
  <c r="BW193" i="22"/>
  <c r="BV193" i="22"/>
  <c r="BU193" i="22"/>
  <c r="BT193" i="22"/>
  <c r="BS193" i="22"/>
  <c r="BR193" i="22"/>
  <c r="BQ193" i="22"/>
  <c r="BP193" i="22"/>
  <c r="BO193" i="22"/>
  <c r="BN193" i="22"/>
  <c r="BM193" i="22"/>
  <c r="BL193" i="22"/>
  <c r="BK193" i="22"/>
  <c r="BJ193" i="22"/>
  <c r="CS192" i="22"/>
  <c r="CQ192" i="22"/>
  <c r="CP192" i="22"/>
  <c r="CO192" i="22"/>
  <c r="CN192" i="22"/>
  <c r="CM192" i="22"/>
  <c r="CL192" i="22"/>
  <c r="CK192" i="22"/>
  <c r="CJ192" i="22"/>
  <c r="CI192" i="22"/>
  <c r="CH192" i="22"/>
  <c r="CG192" i="22"/>
  <c r="CF192" i="22"/>
  <c r="CE192" i="22"/>
  <c r="CD192" i="22"/>
  <c r="CC192" i="22"/>
  <c r="CB192" i="22"/>
  <c r="CA192" i="22"/>
  <c r="BZ192" i="22"/>
  <c r="BY192" i="22"/>
  <c r="BX192" i="22"/>
  <c r="BW192" i="22"/>
  <c r="BV192" i="22"/>
  <c r="BU192" i="22"/>
  <c r="BT192" i="22"/>
  <c r="BS192" i="22"/>
  <c r="BR192" i="22"/>
  <c r="BQ192" i="22"/>
  <c r="BP192" i="22"/>
  <c r="BO192" i="22"/>
  <c r="BN192" i="22"/>
  <c r="BM192" i="22"/>
  <c r="BL192" i="22"/>
  <c r="BK192" i="22"/>
  <c r="BJ192" i="22"/>
  <c r="CS191" i="22"/>
  <c r="CQ191" i="22"/>
  <c r="CP191" i="22"/>
  <c r="CO191" i="22"/>
  <c r="CN191" i="22"/>
  <c r="CM191" i="22"/>
  <c r="CL191" i="22"/>
  <c r="CK191" i="22"/>
  <c r="CJ191" i="22"/>
  <c r="CI191" i="22"/>
  <c r="CH191" i="22"/>
  <c r="CG191" i="22"/>
  <c r="CF191" i="22"/>
  <c r="CE191" i="22"/>
  <c r="CD191" i="22"/>
  <c r="CC191" i="22"/>
  <c r="CB191" i="22"/>
  <c r="CA191" i="22"/>
  <c r="BZ191" i="22"/>
  <c r="BY191" i="22"/>
  <c r="BX191" i="22"/>
  <c r="BW191" i="22"/>
  <c r="BV191" i="22"/>
  <c r="BU191" i="22"/>
  <c r="BT191" i="22"/>
  <c r="BS191" i="22"/>
  <c r="BR191" i="22"/>
  <c r="BQ191" i="22"/>
  <c r="BP191" i="22"/>
  <c r="BO191" i="22"/>
  <c r="BN191" i="22"/>
  <c r="BM191" i="22"/>
  <c r="BL191" i="22"/>
  <c r="BK191" i="22"/>
  <c r="BJ191" i="22"/>
  <c r="CS190" i="22"/>
  <c r="CQ190" i="22"/>
  <c r="CP190" i="22"/>
  <c r="CO190" i="22"/>
  <c r="CN190" i="22"/>
  <c r="CM190" i="22"/>
  <c r="CL190" i="22"/>
  <c r="CK190" i="22"/>
  <c r="CJ190" i="22"/>
  <c r="CI190" i="22"/>
  <c r="CH190" i="22"/>
  <c r="CG190" i="22"/>
  <c r="CF190" i="22"/>
  <c r="CE190" i="22"/>
  <c r="CD190" i="22"/>
  <c r="CC190" i="22"/>
  <c r="CB190" i="22"/>
  <c r="CA190" i="22"/>
  <c r="BZ190" i="22"/>
  <c r="BY190" i="22"/>
  <c r="BX190" i="22"/>
  <c r="BW190" i="22"/>
  <c r="BV190" i="22"/>
  <c r="BU190" i="22"/>
  <c r="BT190" i="22"/>
  <c r="BS190" i="22"/>
  <c r="BR190" i="22"/>
  <c r="BQ190" i="22"/>
  <c r="BP190" i="22"/>
  <c r="BO190" i="22"/>
  <c r="BN190" i="22"/>
  <c r="BM190" i="22"/>
  <c r="BL190" i="22"/>
  <c r="BK190" i="22"/>
  <c r="BJ190" i="22"/>
  <c r="CS189" i="22"/>
  <c r="CQ189" i="22"/>
  <c r="CP189" i="22"/>
  <c r="CO189" i="22"/>
  <c r="CN189" i="22"/>
  <c r="CM189" i="22"/>
  <c r="CL189" i="22"/>
  <c r="CK189" i="22"/>
  <c r="CJ189" i="22"/>
  <c r="CI189" i="22"/>
  <c r="CH189" i="22"/>
  <c r="CG189" i="22"/>
  <c r="CF189" i="22"/>
  <c r="CE189" i="22"/>
  <c r="CD189" i="22"/>
  <c r="CC189" i="22"/>
  <c r="CB189" i="22"/>
  <c r="CA189" i="22"/>
  <c r="BZ189" i="22"/>
  <c r="BY189" i="22"/>
  <c r="BX189" i="22"/>
  <c r="BW189" i="22"/>
  <c r="BV189" i="22"/>
  <c r="BU189" i="22"/>
  <c r="BT189" i="22"/>
  <c r="BS189" i="22"/>
  <c r="BR189" i="22"/>
  <c r="BQ189" i="22"/>
  <c r="BP189" i="22"/>
  <c r="BO189" i="22"/>
  <c r="BN189" i="22"/>
  <c r="BM189" i="22"/>
  <c r="BL189" i="22"/>
  <c r="BK189" i="22"/>
  <c r="BJ189" i="22"/>
  <c r="CS188" i="22"/>
  <c r="CQ188" i="22"/>
  <c r="CP188" i="22"/>
  <c r="CO188" i="22"/>
  <c r="CN188" i="22"/>
  <c r="CM188" i="22"/>
  <c r="CL188" i="22"/>
  <c r="CK188" i="22"/>
  <c r="CJ188" i="22"/>
  <c r="CI188" i="22"/>
  <c r="CH188" i="22"/>
  <c r="CG188" i="22"/>
  <c r="CF188" i="22"/>
  <c r="CE188" i="22"/>
  <c r="CD188" i="22"/>
  <c r="CC188" i="22"/>
  <c r="CB188" i="22"/>
  <c r="CA188" i="22"/>
  <c r="BZ188" i="22"/>
  <c r="BY188" i="22"/>
  <c r="BX188" i="22"/>
  <c r="BW188" i="22"/>
  <c r="BV188" i="22"/>
  <c r="BU188" i="22"/>
  <c r="BT188" i="22"/>
  <c r="BS188" i="22"/>
  <c r="BR188" i="22"/>
  <c r="BQ188" i="22"/>
  <c r="BP188" i="22"/>
  <c r="BO188" i="22"/>
  <c r="BN188" i="22"/>
  <c r="BM188" i="22"/>
  <c r="BL188" i="22"/>
  <c r="BK188" i="22"/>
  <c r="BJ188" i="22"/>
  <c r="CS187" i="22"/>
  <c r="CQ187" i="22"/>
  <c r="CP187" i="22"/>
  <c r="CO187" i="22"/>
  <c r="CN187" i="22"/>
  <c r="CM187" i="22"/>
  <c r="CL187" i="22"/>
  <c r="CK187" i="22"/>
  <c r="CJ187" i="22"/>
  <c r="CI187" i="22"/>
  <c r="CH187" i="22"/>
  <c r="CG187" i="22"/>
  <c r="CF187" i="22"/>
  <c r="CE187" i="22"/>
  <c r="CD187" i="22"/>
  <c r="CC187" i="22"/>
  <c r="CB187" i="22"/>
  <c r="CA187" i="22"/>
  <c r="BZ187" i="22"/>
  <c r="BY187" i="22"/>
  <c r="BX187" i="22"/>
  <c r="BW187" i="22"/>
  <c r="BV187" i="22"/>
  <c r="BU187" i="22"/>
  <c r="BT187" i="22"/>
  <c r="BS187" i="22"/>
  <c r="BR187" i="22"/>
  <c r="BQ187" i="22"/>
  <c r="BP187" i="22"/>
  <c r="BO187" i="22"/>
  <c r="BN187" i="22"/>
  <c r="BM187" i="22"/>
  <c r="BL187" i="22"/>
  <c r="BK187" i="22"/>
  <c r="BJ187" i="22"/>
  <c r="CS186" i="22"/>
  <c r="CQ186" i="22"/>
  <c r="CP186" i="22"/>
  <c r="CO186" i="22"/>
  <c r="CN186" i="22"/>
  <c r="CM186" i="22"/>
  <c r="CL186" i="22"/>
  <c r="CK186" i="22"/>
  <c r="CJ186" i="22"/>
  <c r="CI186" i="22"/>
  <c r="CH186" i="22"/>
  <c r="CG186" i="22"/>
  <c r="CF186" i="22"/>
  <c r="CE186" i="22"/>
  <c r="CD186" i="22"/>
  <c r="CC186" i="22"/>
  <c r="CB186" i="22"/>
  <c r="CA186" i="22"/>
  <c r="BZ186" i="22"/>
  <c r="BY186" i="22"/>
  <c r="BX186" i="22"/>
  <c r="BW186" i="22"/>
  <c r="BV186" i="22"/>
  <c r="BU186" i="22"/>
  <c r="BT186" i="22"/>
  <c r="BS186" i="22"/>
  <c r="BR186" i="22"/>
  <c r="BQ186" i="22"/>
  <c r="BP186" i="22"/>
  <c r="BO186" i="22"/>
  <c r="BN186" i="22"/>
  <c r="BM186" i="22"/>
  <c r="BL186" i="22"/>
  <c r="BK186" i="22"/>
  <c r="BJ186" i="22"/>
  <c r="CS185" i="22"/>
  <c r="CQ185" i="22"/>
  <c r="CP185" i="22"/>
  <c r="CO185" i="22"/>
  <c r="CN185" i="22"/>
  <c r="CM185" i="22"/>
  <c r="CL185" i="22"/>
  <c r="CK185" i="22"/>
  <c r="CJ185" i="22"/>
  <c r="CI185" i="22"/>
  <c r="CH185" i="22"/>
  <c r="CG185" i="22"/>
  <c r="CF185" i="22"/>
  <c r="CE185" i="22"/>
  <c r="CD185" i="22"/>
  <c r="CC185" i="22"/>
  <c r="CB185" i="22"/>
  <c r="CA185" i="22"/>
  <c r="BZ185" i="22"/>
  <c r="BY185" i="22"/>
  <c r="BX185" i="22"/>
  <c r="BW185" i="22"/>
  <c r="BV185" i="22"/>
  <c r="BU185" i="22"/>
  <c r="BT185" i="22"/>
  <c r="BS185" i="22"/>
  <c r="BR185" i="22"/>
  <c r="BQ185" i="22"/>
  <c r="BP185" i="22"/>
  <c r="BO185" i="22"/>
  <c r="BN185" i="22"/>
  <c r="BM185" i="22"/>
  <c r="BL185" i="22"/>
  <c r="BK185" i="22"/>
  <c r="BJ185" i="22"/>
  <c r="CS184" i="22"/>
  <c r="CQ184" i="22"/>
  <c r="CP184" i="22"/>
  <c r="CO184" i="22"/>
  <c r="CN184" i="22"/>
  <c r="CM184" i="22"/>
  <c r="CL184" i="22"/>
  <c r="CK184" i="22"/>
  <c r="CJ184" i="22"/>
  <c r="CI184" i="22"/>
  <c r="CH184" i="22"/>
  <c r="CG184" i="22"/>
  <c r="CF184" i="22"/>
  <c r="CE184" i="22"/>
  <c r="CD184" i="22"/>
  <c r="CC184" i="22"/>
  <c r="CB184" i="22"/>
  <c r="CA184" i="22"/>
  <c r="BZ184" i="22"/>
  <c r="BY184" i="22"/>
  <c r="BX184" i="22"/>
  <c r="BW184" i="22"/>
  <c r="BV184" i="22"/>
  <c r="BU184" i="22"/>
  <c r="BT184" i="22"/>
  <c r="BS184" i="22"/>
  <c r="BR184" i="22"/>
  <c r="BQ184" i="22"/>
  <c r="BP184" i="22"/>
  <c r="BO184" i="22"/>
  <c r="BN184" i="22"/>
  <c r="BM184" i="22"/>
  <c r="BL184" i="22"/>
  <c r="BK184" i="22"/>
  <c r="BJ184" i="22"/>
  <c r="CS183" i="22"/>
  <c r="CQ183" i="22"/>
  <c r="CP183" i="22"/>
  <c r="CO183" i="22"/>
  <c r="CN183" i="22"/>
  <c r="CM183" i="22"/>
  <c r="CL183" i="22"/>
  <c r="CK183" i="22"/>
  <c r="CJ183" i="22"/>
  <c r="CI183" i="22"/>
  <c r="CH183" i="22"/>
  <c r="CG183" i="22"/>
  <c r="CF183" i="22"/>
  <c r="CE183" i="22"/>
  <c r="CD183" i="22"/>
  <c r="CC183" i="22"/>
  <c r="CB183" i="22"/>
  <c r="CA183" i="22"/>
  <c r="BZ183" i="22"/>
  <c r="BY183" i="22"/>
  <c r="BX183" i="22"/>
  <c r="BW183" i="22"/>
  <c r="BV183" i="22"/>
  <c r="BU183" i="22"/>
  <c r="BT183" i="22"/>
  <c r="BS183" i="22"/>
  <c r="BR183" i="22"/>
  <c r="BQ183" i="22"/>
  <c r="BP183" i="22"/>
  <c r="BO183" i="22"/>
  <c r="BN183" i="22"/>
  <c r="BM183" i="22"/>
  <c r="BL183" i="22"/>
  <c r="BK183" i="22"/>
  <c r="BJ183" i="22"/>
  <c r="CS182" i="22"/>
  <c r="CQ182" i="22"/>
  <c r="CP182" i="22"/>
  <c r="CO182" i="22"/>
  <c r="CN182" i="22"/>
  <c r="CM182" i="22"/>
  <c r="CL182" i="22"/>
  <c r="CK182" i="22"/>
  <c r="CJ182" i="22"/>
  <c r="CI182" i="22"/>
  <c r="CH182" i="22"/>
  <c r="CG182" i="22"/>
  <c r="CF182" i="22"/>
  <c r="CE182" i="22"/>
  <c r="CD182" i="22"/>
  <c r="CC182" i="22"/>
  <c r="CB182" i="22"/>
  <c r="CA182" i="22"/>
  <c r="BZ182" i="22"/>
  <c r="BY182" i="22"/>
  <c r="BX182" i="22"/>
  <c r="BW182" i="22"/>
  <c r="BV182" i="22"/>
  <c r="BU182" i="22"/>
  <c r="BT182" i="22"/>
  <c r="BS182" i="22"/>
  <c r="BR182" i="22"/>
  <c r="BQ182" i="22"/>
  <c r="BP182" i="22"/>
  <c r="BO182" i="22"/>
  <c r="BN182" i="22"/>
  <c r="BM182" i="22"/>
  <c r="BL182" i="22"/>
  <c r="BK182" i="22"/>
  <c r="BJ182" i="22"/>
  <c r="CS181" i="22"/>
  <c r="CQ181" i="22"/>
  <c r="CP181" i="22"/>
  <c r="CO181" i="22"/>
  <c r="CN181" i="22"/>
  <c r="CM181" i="22"/>
  <c r="CL181" i="22"/>
  <c r="CK181" i="22"/>
  <c r="CJ181" i="22"/>
  <c r="CI181" i="22"/>
  <c r="CH181" i="22"/>
  <c r="CG181" i="22"/>
  <c r="CF181" i="22"/>
  <c r="CE181" i="22"/>
  <c r="CD181" i="22"/>
  <c r="CC181" i="22"/>
  <c r="CB181" i="22"/>
  <c r="CA181" i="22"/>
  <c r="BZ181" i="22"/>
  <c r="BY181" i="22"/>
  <c r="BX181" i="22"/>
  <c r="BW181" i="22"/>
  <c r="BV181" i="22"/>
  <c r="BU181" i="22"/>
  <c r="BT181" i="22"/>
  <c r="BS181" i="22"/>
  <c r="BR181" i="22"/>
  <c r="BQ181" i="22"/>
  <c r="BP181" i="22"/>
  <c r="BO181" i="22"/>
  <c r="BN181" i="22"/>
  <c r="BM181" i="22"/>
  <c r="BL181" i="22"/>
  <c r="BK181" i="22"/>
  <c r="BJ181" i="22"/>
  <c r="CS180" i="22"/>
  <c r="CQ180" i="22"/>
  <c r="CP180" i="22"/>
  <c r="CO180" i="22"/>
  <c r="CN180" i="22"/>
  <c r="CM180" i="22"/>
  <c r="CL180" i="22"/>
  <c r="CK180" i="22"/>
  <c r="CJ180" i="22"/>
  <c r="CI180" i="22"/>
  <c r="CH180" i="22"/>
  <c r="CG180" i="22"/>
  <c r="CF180" i="22"/>
  <c r="CE180" i="22"/>
  <c r="CD180" i="22"/>
  <c r="CC180" i="22"/>
  <c r="CB180" i="22"/>
  <c r="CA180" i="22"/>
  <c r="BZ180" i="22"/>
  <c r="BY180" i="22"/>
  <c r="BX180" i="22"/>
  <c r="BW180" i="22"/>
  <c r="BV180" i="22"/>
  <c r="BU180" i="22"/>
  <c r="BT180" i="22"/>
  <c r="BS180" i="22"/>
  <c r="BR180" i="22"/>
  <c r="BQ180" i="22"/>
  <c r="BP180" i="22"/>
  <c r="BO180" i="22"/>
  <c r="BN180" i="22"/>
  <c r="BM180" i="22"/>
  <c r="BL180" i="22"/>
  <c r="BK180" i="22"/>
  <c r="BJ180" i="22"/>
  <c r="CS179" i="22"/>
  <c r="CQ179" i="22"/>
  <c r="CP179" i="22"/>
  <c r="CO179" i="22"/>
  <c r="CN179" i="22"/>
  <c r="CM179" i="22"/>
  <c r="CL179" i="22"/>
  <c r="CK179" i="22"/>
  <c r="CJ179" i="22"/>
  <c r="CI179" i="22"/>
  <c r="CH179" i="22"/>
  <c r="CG179" i="22"/>
  <c r="CF179" i="22"/>
  <c r="CE179" i="22"/>
  <c r="CD179" i="22"/>
  <c r="CC179" i="22"/>
  <c r="CB179" i="22"/>
  <c r="CA179" i="22"/>
  <c r="BZ179" i="22"/>
  <c r="BY179" i="22"/>
  <c r="BX179" i="22"/>
  <c r="BW179" i="22"/>
  <c r="BV179" i="22"/>
  <c r="BU179" i="22"/>
  <c r="BT179" i="22"/>
  <c r="BS179" i="22"/>
  <c r="BR179" i="22"/>
  <c r="BQ179" i="22"/>
  <c r="BP179" i="22"/>
  <c r="BO179" i="22"/>
  <c r="BN179" i="22"/>
  <c r="BM179" i="22"/>
  <c r="BL179" i="22"/>
  <c r="BK179" i="22"/>
  <c r="BJ179" i="22"/>
  <c r="CS178" i="22"/>
  <c r="CQ178" i="22"/>
  <c r="CP178" i="22"/>
  <c r="CO178" i="22"/>
  <c r="CN178" i="22"/>
  <c r="CM178" i="22"/>
  <c r="CL178" i="22"/>
  <c r="CK178" i="22"/>
  <c r="CJ178" i="22"/>
  <c r="CI178" i="22"/>
  <c r="CH178" i="22"/>
  <c r="CG178" i="22"/>
  <c r="CF178" i="22"/>
  <c r="CE178" i="22"/>
  <c r="CD178" i="22"/>
  <c r="CC178" i="22"/>
  <c r="CB178" i="22"/>
  <c r="CA178" i="22"/>
  <c r="BZ178" i="22"/>
  <c r="BY178" i="22"/>
  <c r="BX178" i="22"/>
  <c r="BW178" i="22"/>
  <c r="BV178" i="22"/>
  <c r="BU178" i="22"/>
  <c r="BT178" i="22"/>
  <c r="BS178" i="22"/>
  <c r="BR178" i="22"/>
  <c r="BQ178" i="22"/>
  <c r="BP178" i="22"/>
  <c r="BO178" i="22"/>
  <c r="BN178" i="22"/>
  <c r="BM178" i="22"/>
  <c r="BL178" i="22"/>
  <c r="BK178" i="22"/>
  <c r="BJ178" i="22"/>
  <c r="CS177" i="22"/>
  <c r="CQ177" i="22"/>
  <c r="CP177" i="22"/>
  <c r="CO177" i="22"/>
  <c r="CN177" i="22"/>
  <c r="CM177" i="22"/>
  <c r="CL177" i="22"/>
  <c r="CK177" i="22"/>
  <c r="CJ177" i="22"/>
  <c r="CI177" i="22"/>
  <c r="CH177" i="22"/>
  <c r="CG177" i="22"/>
  <c r="CF177" i="22"/>
  <c r="CE177" i="22"/>
  <c r="CD177" i="22"/>
  <c r="CC177" i="22"/>
  <c r="CB177" i="22"/>
  <c r="CA177" i="22"/>
  <c r="BZ177" i="22"/>
  <c r="BY177" i="22"/>
  <c r="BX177" i="22"/>
  <c r="BW177" i="22"/>
  <c r="BV177" i="22"/>
  <c r="BU177" i="22"/>
  <c r="BT177" i="22"/>
  <c r="BS177" i="22"/>
  <c r="BR177" i="22"/>
  <c r="BQ177" i="22"/>
  <c r="BP177" i="22"/>
  <c r="BO177" i="22"/>
  <c r="BN177" i="22"/>
  <c r="BM177" i="22"/>
  <c r="BL177" i="22"/>
  <c r="BK177" i="22"/>
  <c r="BJ177" i="22"/>
  <c r="CS176" i="22"/>
  <c r="CQ176" i="22"/>
  <c r="CP176" i="22"/>
  <c r="CO176" i="22"/>
  <c r="CN176" i="22"/>
  <c r="CM176" i="22"/>
  <c r="CL176" i="22"/>
  <c r="CK176" i="22"/>
  <c r="CJ176" i="22"/>
  <c r="CI176" i="22"/>
  <c r="CH176" i="22"/>
  <c r="CG176" i="22"/>
  <c r="CF176" i="22"/>
  <c r="CE176" i="22"/>
  <c r="CD176" i="22"/>
  <c r="CC176" i="22"/>
  <c r="CB176" i="22"/>
  <c r="CA176" i="22"/>
  <c r="BZ176" i="22"/>
  <c r="BY176" i="22"/>
  <c r="BX176" i="22"/>
  <c r="BW176" i="22"/>
  <c r="BV176" i="22"/>
  <c r="BU176" i="22"/>
  <c r="BT176" i="22"/>
  <c r="BS176" i="22"/>
  <c r="BR176" i="22"/>
  <c r="BQ176" i="22"/>
  <c r="BP176" i="22"/>
  <c r="BO176" i="22"/>
  <c r="BN176" i="22"/>
  <c r="BM176" i="22"/>
  <c r="BL176" i="22"/>
  <c r="BK176" i="22"/>
  <c r="BJ176" i="22"/>
  <c r="CS175" i="22"/>
  <c r="CQ175" i="22"/>
  <c r="CP175" i="22"/>
  <c r="CO175" i="22"/>
  <c r="CN175" i="22"/>
  <c r="CM175" i="22"/>
  <c r="CL175" i="22"/>
  <c r="CK175" i="22"/>
  <c r="CJ175" i="22"/>
  <c r="CI175" i="22"/>
  <c r="CH175" i="22"/>
  <c r="CG175" i="22"/>
  <c r="CF175" i="22"/>
  <c r="CE175" i="22"/>
  <c r="CD175" i="22"/>
  <c r="CC175" i="22"/>
  <c r="CB175" i="22"/>
  <c r="CA175" i="22"/>
  <c r="BZ175" i="22"/>
  <c r="BY175" i="22"/>
  <c r="BX175" i="22"/>
  <c r="BW175" i="22"/>
  <c r="BV175" i="22"/>
  <c r="BU175" i="22"/>
  <c r="BT175" i="22"/>
  <c r="BS175" i="22"/>
  <c r="BR175" i="22"/>
  <c r="BQ175" i="22"/>
  <c r="BP175" i="22"/>
  <c r="BO175" i="22"/>
  <c r="BN175" i="22"/>
  <c r="BM175" i="22"/>
  <c r="BL175" i="22"/>
  <c r="BK175" i="22"/>
  <c r="BJ175" i="22"/>
  <c r="CS174" i="22"/>
  <c r="CQ174" i="22"/>
  <c r="CP174" i="22"/>
  <c r="CO174" i="22"/>
  <c r="CN174" i="22"/>
  <c r="CM174" i="22"/>
  <c r="CL174" i="22"/>
  <c r="CK174" i="22"/>
  <c r="CJ174" i="22"/>
  <c r="CI174" i="22"/>
  <c r="CH174" i="22"/>
  <c r="CG174" i="22"/>
  <c r="CF174" i="22"/>
  <c r="CE174" i="22"/>
  <c r="CD174" i="22"/>
  <c r="CC174" i="22"/>
  <c r="CB174" i="22"/>
  <c r="CA174" i="22"/>
  <c r="BZ174" i="22"/>
  <c r="BY174" i="22"/>
  <c r="BX174" i="22"/>
  <c r="BW174" i="22"/>
  <c r="BV174" i="22"/>
  <c r="BU174" i="22"/>
  <c r="BT174" i="22"/>
  <c r="BS174" i="22"/>
  <c r="BR174" i="22"/>
  <c r="BQ174" i="22"/>
  <c r="BP174" i="22"/>
  <c r="BO174" i="22"/>
  <c r="BN174" i="22"/>
  <c r="BM174" i="22"/>
  <c r="BL174" i="22"/>
  <c r="BK174" i="22"/>
  <c r="BJ174" i="22"/>
  <c r="CS173" i="22"/>
  <c r="CQ173" i="22"/>
  <c r="CP173" i="22"/>
  <c r="CO173" i="22"/>
  <c r="CN173" i="22"/>
  <c r="CM173" i="22"/>
  <c r="CL173" i="22"/>
  <c r="CK173" i="22"/>
  <c r="CJ173" i="22"/>
  <c r="CI173" i="22"/>
  <c r="CH173" i="22"/>
  <c r="CG173" i="22"/>
  <c r="CF173" i="22"/>
  <c r="CE173" i="22"/>
  <c r="CD173" i="22"/>
  <c r="CC173" i="22"/>
  <c r="CB173" i="22"/>
  <c r="CA173" i="22"/>
  <c r="BZ173" i="22"/>
  <c r="BY173" i="22"/>
  <c r="BX173" i="22"/>
  <c r="BW173" i="22"/>
  <c r="BV173" i="22"/>
  <c r="BU173" i="22"/>
  <c r="BT173" i="22"/>
  <c r="BS173" i="22"/>
  <c r="BR173" i="22"/>
  <c r="BQ173" i="22"/>
  <c r="BP173" i="22"/>
  <c r="BO173" i="22"/>
  <c r="BN173" i="22"/>
  <c r="BM173" i="22"/>
  <c r="BL173" i="22"/>
  <c r="BK173" i="22"/>
  <c r="BJ173" i="22"/>
  <c r="CS172" i="22"/>
  <c r="CQ172" i="22"/>
  <c r="CP172" i="22"/>
  <c r="CO172" i="22"/>
  <c r="CN172" i="22"/>
  <c r="CM172" i="22"/>
  <c r="CL172" i="22"/>
  <c r="CK172" i="22"/>
  <c r="CJ172" i="22"/>
  <c r="CI172" i="22"/>
  <c r="CH172" i="22"/>
  <c r="CG172" i="22"/>
  <c r="CF172" i="22"/>
  <c r="CE172" i="22"/>
  <c r="CD172" i="22"/>
  <c r="CC172" i="22"/>
  <c r="CB172" i="22"/>
  <c r="CA172" i="22"/>
  <c r="BZ172" i="22"/>
  <c r="BY172" i="22"/>
  <c r="BX172" i="22"/>
  <c r="BW172" i="22"/>
  <c r="BV172" i="22"/>
  <c r="BU172" i="22"/>
  <c r="BT172" i="22"/>
  <c r="BS172" i="22"/>
  <c r="BR172" i="22"/>
  <c r="BQ172" i="22"/>
  <c r="BP172" i="22"/>
  <c r="BO172" i="22"/>
  <c r="BN172" i="22"/>
  <c r="BM172" i="22"/>
  <c r="BL172" i="22"/>
  <c r="BK172" i="22"/>
  <c r="BJ172" i="22"/>
  <c r="CS171" i="22"/>
  <c r="CQ171" i="22"/>
  <c r="CP171" i="22"/>
  <c r="CO171" i="22"/>
  <c r="CN171" i="22"/>
  <c r="CM171" i="22"/>
  <c r="CL171" i="22"/>
  <c r="CK171" i="22"/>
  <c r="CJ171" i="22"/>
  <c r="CI171" i="22"/>
  <c r="CH171" i="22"/>
  <c r="CG171" i="22"/>
  <c r="CF171" i="22"/>
  <c r="CE171" i="22"/>
  <c r="CD171" i="22"/>
  <c r="CC171" i="22"/>
  <c r="CB171" i="22"/>
  <c r="CA171" i="22"/>
  <c r="BZ171" i="22"/>
  <c r="BY171" i="22"/>
  <c r="BX171" i="22"/>
  <c r="BW171" i="22"/>
  <c r="BV171" i="22"/>
  <c r="BU171" i="22"/>
  <c r="BT171" i="22"/>
  <c r="BS171" i="22"/>
  <c r="BR171" i="22"/>
  <c r="BQ171" i="22"/>
  <c r="BP171" i="22"/>
  <c r="BO171" i="22"/>
  <c r="BN171" i="22"/>
  <c r="BM171" i="22"/>
  <c r="BL171" i="22"/>
  <c r="BK171" i="22"/>
  <c r="BJ171" i="22"/>
  <c r="CS170" i="22"/>
  <c r="CQ170" i="22"/>
  <c r="CP170" i="22"/>
  <c r="CO170" i="22"/>
  <c r="CN170" i="22"/>
  <c r="CM170" i="22"/>
  <c r="CL170" i="22"/>
  <c r="CK170" i="22"/>
  <c r="CJ170" i="22"/>
  <c r="CI170" i="22"/>
  <c r="CH170" i="22"/>
  <c r="CG170" i="22"/>
  <c r="CF170" i="22"/>
  <c r="CE170" i="22"/>
  <c r="CD170" i="22"/>
  <c r="CC170" i="22"/>
  <c r="CB170" i="22"/>
  <c r="CA170" i="22"/>
  <c r="BZ170" i="22"/>
  <c r="BY170" i="22"/>
  <c r="BX170" i="22"/>
  <c r="BW170" i="22"/>
  <c r="BV170" i="22"/>
  <c r="BU170" i="22"/>
  <c r="BT170" i="22"/>
  <c r="BS170" i="22"/>
  <c r="BR170" i="22"/>
  <c r="BQ170" i="22"/>
  <c r="BP170" i="22"/>
  <c r="BO170" i="22"/>
  <c r="BN170" i="22"/>
  <c r="BM170" i="22"/>
  <c r="BL170" i="22"/>
  <c r="BK170" i="22"/>
  <c r="BJ170" i="22"/>
  <c r="CS169" i="22"/>
  <c r="CQ169" i="22"/>
  <c r="CP169" i="22"/>
  <c r="CO169" i="22"/>
  <c r="CN169" i="22"/>
  <c r="CM169" i="22"/>
  <c r="CL169" i="22"/>
  <c r="CK169" i="22"/>
  <c r="CJ169" i="22"/>
  <c r="CI169" i="22"/>
  <c r="CH169" i="22"/>
  <c r="CG169" i="22"/>
  <c r="CF169" i="22"/>
  <c r="CE169" i="22"/>
  <c r="CD169" i="22"/>
  <c r="CC169" i="22"/>
  <c r="CB169" i="22"/>
  <c r="CA169" i="22"/>
  <c r="BZ169" i="22"/>
  <c r="BY169" i="22"/>
  <c r="BX169" i="22"/>
  <c r="BW169" i="22"/>
  <c r="BV169" i="22"/>
  <c r="BU169" i="22"/>
  <c r="BT169" i="22"/>
  <c r="BS169" i="22"/>
  <c r="BR169" i="22"/>
  <c r="BQ169" i="22"/>
  <c r="BP169" i="22"/>
  <c r="BO169" i="22"/>
  <c r="BN169" i="22"/>
  <c r="BM169" i="22"/>
  <c r="BL169" i="22"/>
  <c r="BK169" i="22"/>
  <c r="BJ169" i="22"/>
  <c r="CS168" i="22"/>
  <c r="CQ168" i="22"/>
  <c r="CP168" i="22"/>
  <c r="CO168" i="22"/>
  <c r="CN168" i="22"/>
  <c r="CM168" i="22"/>
  <c r="CL168" i="22"/>
  <c r="CK168" i="22"/>
  <c r="CJ168" i="22"/>
  <c r="CI168" i="22"/>
  <c r="CH168" i="22"/>
  <c r="CG168" i="22"/>
  <c r="CF168" i="22"/>
  <c r="CE168" i="22"/>
  <c r="CD168" i="22"/>
  <c r="CC168" i="22"/>
  <c r="CB168" i="22"/>
  <c r="CA168" i="22"/>
  <c r="BZ168" i="22"/>
  <c r="BY168" i="22"/>
  <c r="BX168" i="22"/>
  <c r="BW168" i="22"/>
  <c r="BV168" i="22"/>
  <c r="BU168" i="22"/>
  <c r="BT168" i="22"/>
  <c r="BS168" i="22"/>
  <c r="BR168" i="22"/>
  <c r="BQ168" i="22"/>
  <c r="BP168" i="22"/>
  <c r="BO168" i="22"/>
  <c r="BN168" i="22"/>
  <c r="BM168" i="22"/>
  <c r="BL168" i="22"/>
  <c r="BK168" i="22"/>
  <c r="BJ168" i="22"/>
  <c r="CS167" i="22"/>
  <c r="CQ167" i="22"/>
  <c r="CP167" i="22"/>
  <c r="CO167" i="22"/>
  <c r="CN167" i="22"/>
  <c r="CM167" i="22"/>
  <c r="CL167" i="22"/>
  <c r="CK167" i="22"/>
  <c r="CJ167" i="22"/>
  <c r="CI167" i="22"/>
  <c r="CH167" i="22"/>
  <c r="CG167" i="22"/>
  <c r="CF167" i="22"/>
  <c r="CE167" i="22"/>
  <c r="CD167" i="22"/>
  <c r="CC167" i="22"/>
  <c r="CB167" i="22"/>
  <c r="CA167" i="22"/>
  <c r="BZ167" i="22"/>
  <c r="BY167" i="22"/>
  <c r="BX167" i="22"/>
  <c r="BW167" i="22"/>
  <c r="BV167" i="22"/>
  <c r="BU167" i="22"/>
  <c r="BT167" i="22"/>
  <c r="BS167" i="22"/>
  <c r="BR167" i="22"/>
  <c r="BQ167" i="22"/>
  <c r="BP167" i="22"/>
  <c r="BO167" i="22"/>
  <c r="BN167" i="22"/>
  <c r="BM167" i="22"/>
  <c r="BL167" i="22"/>
  <c r="BK167" i="22"/>
  <c r="BJ167" i="22"/>
  <c r="CS166" i="22"/>
  <c r="CQ166" i="22"/>
  <c r="CP166" i="22"/>
  <c r="CO166" i="22"/>
  <c r="CN166" i="22"/>
  <c r="CM166" i="22"/>
  <c r="CL166" i="22"/>
  <c r="CK166" i="22"/>
  <c r="CJ166" i="22"/>
  <c r="CI166" i="22"/>
  <c r="CH166" i="22"/>
  <c r="CG166" i="22"/>
  <c r="CF166" i="22"/>
  <c r="CE166" i="22"/>
  <c r="CD166" i="22"/>
  <c r="CC166" i="22"/>
  <c r="CB166" i="22"/>
  <c r="CA166" i="22"/>
  <c r="BZ166" i="22"/>
  <c r="BY166" i="22"/>
  <c r="BX166" i="22"/>
  <c r="BW166" i="22"/>
  <c r="BV166" i="22"/>
  <c r="BU166" i="22"/>
  <c r="BT166" i="22"/>
  <c r="BS166" i="22"/>
  <c r="BR166" i="22"/>
  <c r="BQ166" i="22"/>
  <c r="BP166" i="22"/>
  <c r="BO166" i="22"/>
  <c r="BN166" i="22"/>
  <c r="BM166" i="22"/>
  <c r="BL166" i="22"/>
  <c r="BK166" i="22"/>
  <c r="BJ166" i="22"/>
  <c r="CS165" i="22"/>
  <c r="CQ165" i="22"/>
  <c r="CP165" i="22"/>
  <c r="CO165" i="22"/>
  <c r="CN165" i="22"/>
  <c r="CM165" i="22"/>
  <c r="CL165" i="22"/>
  <c r="CK165" i="22"/>
  <c r="CJ165" i="22"/>
  <c r="CI165" i="22"/>
  <c r="CH165" i="22"/>
  <c r="CG165" i="22"/>
  <c r="CF165" i="22"/>
  <c r="CE165" i="22"/>
  <c r="CD165" i="22"/>
  <c r="CC165" i="22"/>
  <c r="CB165" i="22"/>
  <c r="CA165" i="22"/>
  <c r="BZ165" i="22"/>
  <c r="BY165" i="22"/>
  <c r="BX165" i="22"/>
  <c r="BW165" i="22"/>
  <c r="BV165" i="22"/>
  <c r="BU165" i="22"/>
  <c r="BT165" i="22"/>
  <c r="BS165" i="22"/>
  <c r="BR165" i="22"/>
  <c r="BQ165" i="22"/>
  <c r="BP165" i="22"/>
  <c r="BO165" i="22"/>
  <c r="BN165" i="22"/>
  <c r="BM165" i="22"/>
  <c r="BL165" i="22"/>
  <c r="BK165" i="22"/>
  <c r="BJ165" i="22"/>
  <c r="CS164" i="22"/>
  <c r="CQ164" i="22"/>
  <c r="CP164" i="22"/>
  <c r="CO164" i="22"/>
  <c r="CN164" i="22"/>
  <c r="CM164" i="22"/>
  <c r="CL164" i="22"/>
  <c r="CK164" i="22"/>
  <c r="CJ164" i="22"/>
  <c r="CI164" i="22"/>
  <c r="CH164" i="22"/>
  <c r="CG164" i="22"/>
  <c r="CF164" i="22"/>
  <c r="CE164" i="22"/>
  <c r="CD164" i="22"/>
  <c r="CC164" i="22"/>
  <c r="CB164" i="22"/>
  <c r="CA164" i="22"/>
  <c r="BZ164" i="22"/>
  <c r="BY164" i="22"/>
  <c r="BX164" i="22"/>
  <c r="BW164" i="22"/>
  <c r="BV164" i="22"/>
  <c r="BU164" i="22"/>
  <c r="BT164" i="22"/>
  <c r="BS164" i="22"/>
  <c r="BR164" i="22"/>
  <c r="BQ164" i="22"/>
  <c r="BP164" i="22"/>
  <c r="BO164" i="22"/>
  <c r="BN164" i="22"/>
  <c r="BM164" i="22"/>
  <c r="BL164" i="22"/>
  <c r="BK164" i="22"/>
  <c r="BJ164" i="22"/>
  <c r="CS163" i="22"/>
  <c r="CQ163" i="22"/>
  <c r="CP163" i="22"/>
  <c r="CO163" i="22"/>
  <c r="CN163" i="22"/>
  <c r="CM163" i="22"/>
  <c r="CL163" i="22"/>
  <c r="CK163" i="22"/>
  <c r="CJ163" i="22"/>
  <c r="CI163" i="22"/>
  <c r="CH163" i="22"/>
  <c r="CG163" i="22"/>
  <c r="CF163" i="22"/>
  <c r="CE163" i="22"/>
  <c r="CD163" i="22"/>
  <c r="CC163" i="22"/>
  <c r="CB163" i="22"/>
  <c r="CA163" i="22"/>
  <c r="BZ163" i="22"/>
  <c r="BY163" i="22"/>
  <c r="BX163" i="22"/>
  <c r="BW163" i="22"/>
  <c r="BV163" i="22"/>
  <c r="BU163" i="22"/>
  <c r="BT163" i="22"/>
  <c r="BS163" i="22"/>
  <c r="BR163" i="22"/>
  <c r="BQ163" i="22"/>
  <c r="BP163" i="22"/>
  <c r="BO163" i="22"/>
  <c r="BN163" i="22"/>
  <c r="BM163" i="22"/>
  <c r="BL163" i="22"/>
  <c r="BK163" i="22"/>
  <c r="BJ163" i="22"/>
  <c r="CS162" i="22"/>
  <c r="CQ162" i="22"/>
  <c r="CP162" i="22"/>
  <c r="CO162" i="22"/>
  <c r="CN162" i="22"/>
  <c r="CM162" i="22"/>
  <c r="CL162" i="22"/>
  <c r="CK162" i="22"/>
  <c r="CJ162" i="22"/>
  <c r="CI162" i="22"/>
  <c r="CH162" i="22"/>
  <c r="CG162" i="22"/>
  <c r="CF162" i="22"/>
  <c r="CE162" i="22"/>
  <c r="CD162" i="22"/>
  <c r="CC162" i="22"/>
  <c r="CB162" i="22"/>
  <c r="CA162" i="22"/>
  <c r="BZ162" i="22"/>
  <c r="BY162" i="22"/>
  <c r="BX162" i="22"/>
  <c r="BW162" i="22"/>
  <c r="BV162" i="22"/>
  <c r="BU162" i="22"/>
  <c r="BT162" i="22"/>
  <c r="BS162" i="22"/>
  <c r="BR162" i="22"/>
  <c r="BQ162" i="22"/>
  <c r="BP162" i="22"/>
  <c r="BO162" i="22"/>
  <c r="BN162" i="22"/>
  <c r="BM162" i="22"/>
  <c r="BL162" i="22"/>
  <c r="BK162" i="22"/>
  <c r="BJ162" i="22"/>
  <c r="CS161" i="22"/>
  <c r="CQ161" i="22"/>
  <c r="CP161" i="22"/>
  <c r="CO161" i="22"/>
  <c r="CN161" i="22"/>
  <c r="CM161" i="22"/>
  <c r="CL161" i="22"/>
  <c r="CK161" i="22"/>
  <c r="CJ161" i="22"/>
  <c r="CI161" i="22"/>
  <c r="CH161" i="22"/>
  <c r="CG161" i="22"/>
  <c r="CF161" i="22"/>
  <c r="CE161" i="22"/>
  <c r="CD161" i="22"/>
  <c r="CC161" i="22"/>
  <c r="CB161" i="22"/>
  <c r="CA161" i="22"/>
  <c r="BZ161" i="22"/>
  <c r="BY161" i="22"/>
  <c r="BX161" i="22"/>
  <c r="BW161" i="22"/>
  <c r="BV161" i="22"/>
  <c r="BU161" i="22"/>
  <c r="BT161" i="22"/>
  <c r="BS161" i="22"/>
  <c r="BR161" i="22"/>
  <c r="BQ161" i="22"/>
  <c r="BP161" i="22"/>
  <c r="BO161" i="22"/>
  <c r="BN161" i="22"/>
  <c r="BM161" i="22"/>
  <c r="BL161" i="22"/>
  <c r="BK161" i="22"/>
  <c r="BJ161" i="22"/>
  <c r="CS160" i="22"/>
  <c r="CQ160" i="22"/>
  <c r="CP160" i="22"/>
  <c r="CO160" i="22"/>
  <c r="CN160" i="22"/>
  <c r="CM160" i="22"/>
  <c r="CL160" i="22"/>
  <c r="CK160" i="22"/>
  <c r="CJ160" i="22"/>
  <c r="CI160" i="22"/>
  <c r="CH160" i="22"/>
  <c r="CG160" i="22"/>
  <c r="CF160" i="22"/>
  <c r="CE160" i="22"/>
  <c r="CD160" i="22"/>
  <c r="CC160" i="22"/>
  <c r="CB160" i="22"/>
  <c r="CA160" i="22"/>
  <c r="BZ160" i="22"/>
  <c r="BY160" i="22"/>
  <c r="BX160" i="22"/>
  <c r="BW160" i="22"/>
  <c r="BV160" i="22"/>
  <c r="BU160" i="22"/>
  <c r="BT160" i="22"/>
  <c r="BS160" i="22"/>
  <c r="BR160" i="22"/>
  <c r="BQ160" i="22"/>
  <c r="BP160" i="22"/>
  <c r="BO160" i="22"/>
  <c r="BN160" i="22"/>
  <c r="BM160" i="22"/>
  <c r="BL160" i="22"/>
  <c r="BK160" i="22"/>
  <c r="BJ160" i="22"/>
  <c r="CS159" i="22"/>
  <c r="CQ159" i="22"/>
  <c r="CP159" i="22"/>
  <c r="CO159" i="22"/>
  <c r="CN159" i="22"/>
  <c r="CM159" i="22"/>
  <c r="CL159" i="22"/>
  <c r="CK159" i="22"/>
  <c r="CJ159" i="22"/>
  <c r="CI159" i="22"/>
  <c r="CH159" i="22"/>
  <c r="CG159" i="22"/>
  <c r="CF159" i="22"/>
  <c r="CE159" i="22"/>
  <c r="CD159" i="22"/>
  <c r="CC159" i="22"/>
  <c r="CB159" i="22"/>
  <c r="CA159" i="22"/>
  <c r="BZ159" i="22"/>
  <c r="BY159" i="22"/>
  <c r="BX159" i="22"/>
  <c r="BW159" i="22"/>
  <c r="BV159" i="22"/>
  <c r="BU159" i="22"/>
  <c r="BT159" i="22"/>
  <c r="BS159" i="22"/>
  <c r="BR159" i="22"/>
  <c r="BQ159" i="22"/>
  <c r="BP159" i="22"/>
  <c r="BO159" i="22"/>
  <c r="BN159" i="22"/>
  <c r="BM159" i="22"/>
  <c r="BL159" i="22"/>
  <c r="BK159" i="22"/>
  <c r="BJ159" i="22"/>
  <c r="CS158" i="22"/>
  <c r="CQ158" i="22"/>
  <c r="CP158" i="22"/>
  <c r="CO158" i="22"/>
  <c r="CN158" i="22"/>
  <c r="CM158" i="22"/>
  <c r="CL158" i="22"/>
  <c r="CK158" i="22"/>
  <c r="CJ158" i="22"/>
  <c r="CI158" i="22"/>
  <c r="CH158" i="22"/>
  <c r="CG158" i="22"/>
  <c r="CF158" i="22"/>
  <c r="CE158" i="22"/>
  <c r="CD158" i="22"/>
  <c r="CC158" i="22"/>
  <c r="CB158" i="22"/>
  <c r="CA158" i="22"/>
  <c r="BZ158" i="22"/>
  <c r="BY158" i="22"/>
  <c r="BX158" i="22"/>
  <c r="BW158" i="22"/>
  <c r="BV158" i="22"/>
  <c r="BU158" i="22"/>
  <c r="BT158" i="22"/>
  <c r="BS158" i="22"/>
  <c r="BR158" i="22"/>
  <c r="BQ158" i="22"/>
  <c r="BP158" i="22"/>
  <c r="BO158" i="22"/>
  <c r="BN158" i="22"/>
  <c r="BM158" i="22"/>
  <c r="BL158" i="22"/>
  <c r="BK158" i="22"/>
  <c r="BJ158" i="22"/>
  <c r="CS157" i="22"/>
  <c r="CQ157" i="22"/>
  <c r="CP157" i="22"/>
  <c r="CO157" i="22"/>
  <c r="CN157" i="22"/>
  <c r="CM157" i="22"/>
  <c r="CL157" i="22"/>
  <c r="CK157" i="22"/>
  <c r="CJ157" i="22"/>
  <c r="CI157" i="22"/>
  <c r="CH157" i="22"/>
  <c r="CG157" i="22"/>
  <c r="CF157" i="22"/>
  <c r="CE157" i="22"/>
  <c r="CD157" i="22"/>
  <c r="CC157" i="22"/>
  <c r="CB157" i="22"/>
  <c r="CA157" i="22"/>
  <c r="BZ157" i="22"/>
  <c r="BY157" i="22"/>
  <c r="BX157" i="22"/>
  <c r="BW157" i="22"/>
  <c r="BV157" i="22"/>
  <c r="BU157" i="22"/>
  <c r="BT157" i="22"/>
  <c r="BS157" i="22"/>
  <c r="BR157" i="22"/>
  <c r="BQ157" i="22"/>
  <c r="BP157" i="22"/>
  <c r="BO157" i="22"/>
  <c r="BN157" i="22"/>
  <c r="BM157" i="22"/>
  <c r="BL157" i="22"/>
  <c r="BK157" i="22"/>
  <c r="BJ157" i="22"/>
  <c r="CS156" i="22"/>
  <c r="CQ156" i="22"/>
  <c r="CP156" i="22"/>
  <c r="CO156" i="22"/>
  <c r="CN156" i="22"/>
  <c r="CM156" i="22"/>
  <c r="CL156" i="22"/>
  <c r="CK156" i="22"/>
  <c r="CJ156" i="22"/>
  <c r="CI156" i="22"/>
  <c r="CH156" i="22"/>
  <c r="CG156" i="22"/>
  <c r="CF156" i="22"/>
  <c r="CE156" i="22"/>
  <c r="CD156" i="22"/>
  <c r="CC156" i="22"/>
  <c r="CB156" i="22"/>
  <c r="CA156" i="22"/>
  <c r="BZ156" i="22"/>
  <c r="BY156" i="22"/>
  <c r="BX156" i="22"/>
  <c r="BW156" i="22"/>
  <c r="BV156" i="22"/>
  <c r="BU156" i="22"/>
  <c r="BT156" i="22"/>
  <c r="BS156" i="22"/>
  <c r="BR156" i="22"/>
  <c r="BQ156" i="22"/>
  <c r="BP156" i="22"/>
  <c r="BO156" i="22"/>
  <c r="BN156" i="22"/>
  <c r="BM156" i="22"/>
  <c r="BL156" i="22"/>
  <c r="BK156" i="22"/>
  <c r="BJ156" i="22"/>
  <c r="CS155" i="22"/>
  <c r="CQ155" i="22"/>
  <c r="CP155" i="22"/>
  <c r="CO155" i="22"/>
  <c r="CN155" i="22"/>
  <c r="CM155" i="22"/>
  <c r="CL155" i="22"/>
  <c r="CK155" i="22"/>
  <c r="CJ155" i="22"/>
  <c r="CI155" i="22"/>
  <c r="CH155" i="22"/>
  <c r="CG155" i="22"/>
  <c r="CF155" i="22"/>
  <c r="CE155" i="22"/>
  <c r="CD155" i="22"/>
  <c r="CC155" i="22"/>
  <c r="CB155" i="22"/>
  <c r="CA155" i="22"/>
  <c r="BZ155" i="22"/>
  <c r="BY155" i="22"/>
  <c r="BX155" i="22"/>
  <c r="BW155" i="22"/>
  <c r="BV155" i="22"/>
  <c r="BU155" i="22"/>
  <c r="BT155" i="22"/>
  <c r="BS155" i="22"/>
  <c r="BR155" i="22"/>
  <c r="BQ155" i="22"/>
  <c r="BP155" i="22"/>
  <c r="BO155" i="22"/>
  <c r="BN155" i="22"/>
  <c r="BM155" i="22"/>
  <c r="BL155" i="22"/>
  <c r="BK155" i="22"/>
  <c r="BJ155" i="22"/>
  <c r="CS154" i="22"/>
  <c r="CQ154" i="22"/>
  <c r="CP154" i="22"/>
  <c r="CO154" i="22"/>
  <c r="CN154" i="22"/>
  <c r="CM154" i="22"/>
  <c r="CL154" i="22"/>
  <c r="CK154" i="22"/>
  <c r="CJ154" i="22"/>
  <c r="CI154" i="22"/>
  <c r="CH154" i="22"/>
  <c r="CG154" i="22"/>
  <c r="CF154" i="22"/>
  <c r="CE154" i="22"/>
  <c r="CD154" i="22"/>
  <c r="CC154" i="22"/>
  <c r="CB154" i="22"/>
  <c r="CA154" i="22"/>
  <c r="BZ154" i="22"/>
  <c r="BY154" i="22"/>
  <c r="BX154" i="22"/>
  <c r="BW154" i="22"/>
  <c r="BV154" i="22"/>
  <c r="BU154" i="22"/>
  <c r="BT154" i="22"/>
  <c r="BS154" i="22"/>
  <c r="BR154" i="22"/>
  <c r="BQ154" i="22"/>
  <c r="BP154" i="22"/>
  <c r="BO154" i="22"/>
  <c r="BN154" i="22"/>
  <c r="BM154" i="22"/>
  <c r="BL154" i="22"/>
  <c r="BK154" i="22"/>
  <c r="BJ154" i="22"/>
  <c r="CS153" i="22"/>
  <c r="CQ153" i="22"/>
  <c r="CP153" i="22"/>
  <c r="CO153" i="22"/>
  <c r="CN153" i="22"/>
  <c r="CM153" i="22"/>
  <c r="CL153" i="22"/>
  <c r="CK153" i="22"/>
  <c r="CJ153" i="22"/>
  <c r="CI153" i="22"/>
  <c r="CH153" i="22"/>
  <c r="CG153" i="22"/>
  <c r="CF153" i="22"/>
  <c r="CE153" i="22"/>
  <c r="CD153" i="22"/>
  <c r="CC153" i="22"/>
  <c r="CB153" i="22"/>
  <c r="CA153" i="22"/>
  <c r="BZ153" i="22"/>
  <c r="BY153" i="22"/>
  <c r="BX153" i="22"/>
  <c r="BW153" i="22"/>
  <c r="BV153" i="22"/>
  <c r="BU153" i="22"/>
  <c r="BT153" i="22"/>
  <c r="BS153" i="22"/>
  <c r="BR153" i="22"/>
  <c r="BQ153" i="22"/>
  <c r="BP153" i="22"/>
  <c r="BO153" i="22"/>
  <c r="BN153" i="22"/>
  <c r="BM153" i="22"/>
  <c r="BL153" i="22"/>
  <c r="BK153" i="22"/>
  <c r="BJ153" i="22"/>
  <c r="CS152" i="22"/>
  <c r="CQ152" i="22"/>
  <c r="CP152" i="22"/>
  <c r="CO152" i="22"/>
  <c r="CN152" i="22"/>
  <c r="CM152" i="22"/>
  <c r="CL152" i="22"/>
  <c r="CK152" i="22"/>
  <c r="CJ152" i="22"/>
  <c r="CI152" i="22"/>
  <c r="CH152" i="22"/>
  <c r="CG152" i="22"/>
  <c r="CF152" i="22"/>
  <c r="CE152" i="22"/>
  <c r="CD152" i="22"/>
  <c r="CC152" i="22"/>
  <c r="CB152" i="22"/>
  <c r="CA152" i="22"/>
  <c r="BZ152" i="22"/>
  <c r="BY152" i="22"/>
  <c r="BX152" i="22"/>
  <c r="BW152" i="22"/>
  <c r="BV152" i="22"/>
  <c r="BU152" i="22"/>
  <c r="BT152" i="22"/>
  <c r="BS152" i="22"/>
  <c r="BR152" i="22"/>
  <c r="BQ152" i="22"/>
  <c r="BP152" i="22"/>
  <c r="BO152" i="22"/>
  <c r="BN152" i="22"/>
  <c r="BM152" i="22"/>
  <c r="BL152" i="22"/>
  <c r="BK152" i="22"/>
  <c r="BJ152" i="22"/>
  <c r="CS151" i="22"/>
  <c r="CQ151" i="22"/>
  <c r="CP151" i="22"/>
  <c r="CO151" i="22"/>
  <c r="CN151" i="22"/>
  <c r="CM151" i="22"/>
  <c r="CL151" i="22"/>
  <c r="CK151" i="22"/>
  <c r="CJ151" i="22"/>
  <c r="CI151" i="22"/>
  <c r="CH151" i="22"/>
  <c r="CG151" i="22"/>
  <c r="CF151" i="22"/>
  <c r="CE151" i="22"/>
  <c r="CD151" i="22"/>
  <c r="CC151" i="22"/>
  <c r="CB151" i="22"/>
  <c r="CA151" i="22"/>
  <c r="BZ151" i="22"/>
  <c r="BY151" i="22"/>
  <c r="BX151" i="22"/>
  <c r="BW151" i="22"/>
  <c r="BV151" i="22"/>
  <c r="BU151" i="22"/>
  <c r="BT151" i="22"/>
  <c r="BS151" i="22"/>
  <c r="BR151" i="22"/>
  <c r="BQ151" i="22"/>
  <c r="BP151" i="22"/>
  <c r="BO151" i="22"/>
  <c r="BN151" i="22"/>
  <c r="BM151" i="22"/>
  <c r="BL151" i="22"/>
  <c r="BK151" i="22"/>
  <c r="BJ151" i="22"/>
  <c r="CS150" i="22"/>
  <c r="CQ150" i="22"/>
  <c r="CP150" i="22"/>
  <c r="CO150" i="22"/>
  <c r="CN150" i="22"/>
  <c r="CM150" i="22"/>
  <c r="CL150" i="22"/>
  <c r="CK150" i="22"/>
  <c r="CJ150" i="22"/>
  <c r="CI150" i="22"/>
  <c r="CH150" i="22"/>
  <c r="CG150" i="22"/>
  <c r="CF150" i="22"/>
  <c r="CE150" i="22"/>
  <c r="CD150" i="22"/>
  <c r="CC150" i="22"/>
  <c r="CB150" i="22"/>
  <c r="CA150" i="22"/>
  <c r="BZ150" i="22"/>
  <c r="BY150" i="22"/>
  <c r="BX150" i="22"/>
  <c r="BW150" i="22"/>
  <c r="BV150" i="22"/>
  <c r="BU150" i="22"/>
  <c r="BT150" i="22"/>
  <c r="BS150" i="22"/>
  <c r="BR150" i="22"/>
  <c r="BQ150" i="22"/>
  <c r="BP150" i="22"/>
  <c r="BO150" i="22"/>
  <c r="BN150" i="22"/>
  <c r="BM150" i="22"/>
  <c r="BL150" i="22"/>
  <c r="BK150" i="22"/>
  <c r="BJ150" i="22"/>
  <c r="CS149" i="22"/>
  <c r="CQ149" i="22"/>
  <c r="CP149" i="22"/>
  <c r="CO149" i="22"/>
  <c r="CN149" i="22"/>
  <c r="CM149" i="22"/>
  <c r="CL149" i="22"/>
  <c r="CK149" i="22"/>
  <c r="CJ149" i="22"/>
  <c r="CI149" i="22"/>
  <c r="CH149" i="22"/>
  <c r="CG149" i="22"/>
  <c r="CF149" i="22"/>
  <c r="CE149" i="22"/>
  <c r="CD149" i="22"/>
  <c r="CC149" i="22"/>
  <c r="CB149" i="22"/>
  <c r="CA149" i="22"/>
  <c r="BZ149" i="22"/>
  <c r="BY149" i="22"/>
  <c r="BX149" i="22"/>
  <c r="BW149" i="22"/>
  <c r="BV149" i="22"/>
  <c r="BU149" i="22"/>
  <c r="BT149" i="22"/>
  <c r="BS149" i="22"/>
  <c r="BR149" i="22"/>
  <c r="BQ149" i="22"/>
  <c r="BP149" i="22"/>
  <c r="BO149" i="22"/>
  <c r="BN149" i="22"/>
  <c r="BM149" i="22"/>
  <c r="BL149" i="22"/>
  <c r="BK149" i="22"/>
  <c r="BJ149" i="22"/>
  <c r="CS148" i="22"/>
  <c r="CQ148" i="22"/>
  <c r="CP148" i="22"/>
  <c r="CO148" i="22"/>
  <c r="CN148" i="22"/>
  <c r="CM148" i="22"/>
  <c r="CL148" i="22"/>
  <c r="CK148" i="22"/>
  <c r="CJ148" i="22"/>
  <c r="CI148" i="22"/>
  <c r="CH148" i="22"/>
  <c r="CG148" i="22"/>
  <c r="CF148" i="22"/>
  <c r="CE148" i="22"/>
  <c r="CD148" i="22"/>
  <c r="CC148" i="22"/>
  <c r="CB148" i="22"/>
  <c r="CA148" i="22"/>
  <c r="BZ148" i="22"/>
  <c r="BY148" i="22"/>
  <c r="BX148" i="22"/>
  <c r="BW148" i="22"/>
  <c r="BV148" i="22"/>
  <c r="BU148" i="22"/>
  <c r="BT148" i="22"/>
  <c r="BS148" i="22"/>
  <c r="BR148" i="22"/>
  <c r="BQ148" i="22"/>
  <c r="BP148" i="22"/>
  <c r="BO148" i="22"/>
  <c r="BN148" i="22"/>
  <c r="BM148" i="22"/>
  <c r="BL148" i="22"/>
  <c r="BK148" i="22"/>
  <c r="BJ148" i="22"/>
  <c r="CS147" i="22"/>
  <c r="CQ147" i="22"/>
  <c r="CP147" i="22"/>
  <c r="CO147" i="22"/>
  <c r="CN147" i="22"/>
  <c r="CM147" i="22"/>
  <c r="CL147" i="22"/>
  <c r="CK147" i="22"/>
  <c r="CJ147" i="22"/>
  <c r="CI147" i="22"/>
  <c r="CH147" i="22"/>
  <c r="CG147" i="22"/>
  <c r="CF147" i="22"/>
  <c r="CE147" i="22"/>
  <c r="CD147" i="22"/>
  <c r="CC147" i="22"/>
  <c r="CB147" i="22"/>
  <c r="CA147" i="22"/>
  <c r="BZ147" i="22"/>
  <c r="BY147" i="22"/>
  <c r="BX147" i="22"/>
  <c r="BW147" i="22"/>
  <c r="BV147" i="22"/>
  <c r="BU147" i="22"/>
  <c r="BT147" i="22"/>
  <c r="BS147" i="22"/>
  <c r="BR147" i="22"/>
  <c r="BQ147" i="22"/>
  <c r="BP147" i="22"/>
  <c r="BO147" i="22"/>
  <c r="BN147" i="22"/>
  <c r="BM147" i="22"/>
  <c r="BL147" i="22"/>
  <c r="BK147" i="22"/>
  <c r="BJ147" i="22"/>
  <c r="CS146" i="22"/>
  <c r="CQ146" i="22"/>
  <c r="CP146" i="22"/>
  <c r="CO146" i="22"/>
  <c r="CN146" i="22"/>
  <c r="CM146" i="22"/>
  <c r="CL146" i="22"/>
  <c r="CK146" i="22"/>
  <c r="CJ146" i="22"/>
  <c r="CI146" i="22"/>
  <c r="CH146" i="22"/>
  <c r="CG146" i="22"/>
  <c r="CF146" i="22"/>
  <c r="CE146" i="22"/>
  <c r="CD146" i="22"/>
  <c r="CC146" i="22"/>
  <c r="CB146" i="22"/>
  <c r="CA146" i="22"/>
  <c r="BZ146" i="22"/>
  <c r="BY146" i="22"/>
  <c r="BX146" i="22"/>
  <c r="BW146" i="22"/>
  <c r="BV146" i="22"/>
  <c r="BU146" i="22"/>
  <c r="BT146" i="22"/>
  <c r="BS146" i="22"/>
  <c r="BR146" i="22"/>
  <c r="BQ146" i="22"/>
  <c r="BP146" i="22"/>
  <c r="BO146" i="22"/>
  <c r="BN146" i="22"/>
  <c r="BM146" i="22"/>
  <c r="BL146" i="22"/>
  <c r="BK146" i="22"/>
  <c r="BJ146" i="22"/>
  <c r="CS145" i="22"/>
  <c r="CQ145" i="22"/>
  <c r="CP145" i="22"/>
  <c r="CO145" i="22"/>
  <c r="CN145" i="22"/>
  <c r="CM145" i="22"/>
  <c r="CL145" i="22"/>
  <c r="CK145" i="22"/>
  <c r="CJ145" i="22"/>
  <c r="CI145" i="22"/>
  <c r="CH145" i="22"/>
  <c r="CG145" i="22"/>
  <c r="CF145" i="22"/>
  <c r="CE145" i="22"/>
  <c r="CD145" i="22"/>
  <c r="CC145" i="22"/>
  <c r="CB145" i="22"/>
  <c r="CA145" i="22"/>
  <c r="BZ145" i="22"/>
  <c r="BY145" i="22"/>
  <c r="BX145" i="22"/>
  <c r="BW145" i="22"/>
  <c r="BV145" i="22"/>
  <c r="BU145" i="22"/>
  <c r="BT145" i="22"/>
  <c r="BS145" i="22"/>
  <c r="BR145" i="22"/>
  <c r="BQ145" i="22"/>
  <c r="BP145" i="22"/>
  <c r="BO145" i="22"/>
  <c r="BN145" i="22"/>
  <c r="BM145" i="22"/>
  <c r="BL145" i="22"/>
  <c r="BK145" i="22"/>
  <c r="BJ145" i="22"/>
  <c r="CS144" i="22"/>
  <c r="CQ144" i="22"/>
  <c r="CP144" i="22"/>
  <c r="CO144" i="22"/>
  <c r="CN144" i="22"/>
  <c r="CM144" i="22"/>
  <c r="CL144" i="22"/>
  <c r="CK144" i="22"/>
  <c r="CJ144" i="22"/>
  <c r="CI144" i="22"/>
  <c r="CH144" i="22"/>
  <c r="CG144" i="22"/>
  <c r="CF144" i="22"/>
  <c r="CE144" i="22"/>
  <c r="CD144" i="22"/>
  <c r="CC144" i="22"/>
  <c r="CB144" i="22"/>
  <c r="CA144" i="22"/>
  <c r="BZ144" i="22"/>
  <c r="BY144" i="22"/>
  <c r="BX144" i="22"/>
  <c r="BW144" i="22"/>
  <c r="BV144" i="22"/>
  <c r="BU144" i="22"/>
  <c r="BT144" i="22"/>
  <c r="BS144" i="22"/>
  <c r="BR144" i="22"/>
  <c r="BQ144" i="22"/>
  <c r="BP144" i="22"/>
  <c r="BO144" i="22"/>
  <c r="BN144" i="22"/>
  <c r="BM144" i="22"/>
  <c r="BL144" i="22"/>
  <c r="BK144" i="22"/>
  <c r="BJ144" i="22"/>
  <c r="CS143" i="22"/>
  <c r="CQ143" i="22"/>
  <c r="CP143" i="22"/>
  <c r="CO143" i="22"/>
  <c r="CN143" i="22"/>
  <c r="CM143" i="22"/>
  <c r="CL143" i="22"/>
  <c r="CK143" i="22"/>
  <c r="CJ143" i="22"/>
  <c r="CI143" i="22"/>
  <c r="CH143" i="22"/>
  <c r="CG143" i="22"/>
  <c r="CF143" i="22"/>
  <c r="CE143" i="22"/>
  <c r="CD143" i="22"/>
  <c r="CC143" i="22"/>
  <c r="CB143" i="22"/>
  <c r="CA143" i="22"/>
  <c r="BZ143" i="22"/>
  <c r="BY143" i="22"/>
  <c r="BX143" i="22"/>
  <c r="BW143" i="22"/>
  <c r="BV143" i="22"/>
  <c r="BU143" i="22"/>
  <c r="BT143" i="22"/>
  <c r="BS143" i="22"/>
  <c r="BR143" i="22"/>
  <c r="BQ143" i="22"/>
  <c r="BP143" i="22"/>
  <c r="BO143" i="22"/>
  <c r="BN143" i="22"/>
  <c r="BM143" i="22"/>
  <c r="BL143" i="22"/>
  <c r="BK143" i="22"/>
  <c r="BJ143" i="22"/>
  <c r="CS142" i="22"/>
  <c r="CQ142" i="22"/>
  <c r="CP142" i="22"/>
  <c r="CO142" i="22"/>
  <c r="CN142" i="22"/>
  <c r="CM142" i="22"/>
  <c r="CL142" i="22"/>
  <c r="CK142" i="22"/>
  <c r="CJ142" i="22"/>
  <c r="CI142" i="22"/>
  <c r="CH142" i="22"/>
  <c r="CG142" i="22"/>
  <c r="CF142" i="22"/>
  <c r="CE142" i="22"/>
  <c r="CD142" i="22"/>
  <c r="CC142" i="22"/>
  <c r="CB142" i="22"/>
  <c r="CA142" i="22"/>
  <c r="BZ142" i="22"/>
  <c r="BY142" i="22"/>
  <c r="BX142" i="22"/>
  <c r="BW142" i="22"/>
  <c r="BV142" i="22"/>
  <c r="BU142" i="22"/>
  <c r="BT142" i="22"/>
  <c r="BS142" i="22"/>
  <c r="BR142" i="22"/>
  <c r="BQ142" i="22"/>
  <c r="BP142" i="22"/>
  <c r="BO142" i="22"/>
  <c r="BN142" i="22"/>
  <c r="BM142" i="22"/>
  <c r="BL142" i="22"/>
  <c r="BK142" i="22"/>
  <c r="BJ142" i="22"/>
  <c r="CS141" i="22"/>
  <c r="CQ141" i="22"/>
  <c r="CP141" i="22"/>
  <c r="CO141" i="22"/>
  <c r="CN141" i="22"/>
  <c r="CM141" i="22"/>
  <c r="CL141" i="22"/>
  <c r="CK141" i="22"/>
  <c r="CJ141" i="22"/>
  <c r="CI141" i="22"/>
  <c r="CH141" i="22"/>
  <c r="CG141" i="22"/>
  <c r="CF141" i="22"/>
  <c r="CE141" i="22"/>
  <c r="CD141" i="22"/>
  <c r="CC141" i="22"/>
  <c r="CB141" i="22"/>
  <c r="CA141" i="22"/>
  <c r="BZ141" i="22"/>
  <c r="BY141" i="22"/>
  <c r="BX141" i="22"/>
  <c r="BW141" i="22"/>
  <c r="BV141" i="22"/>
  <c r="BU141" i="22"/>
  <c r="BT141" i="22"/>
  <c r="BS141" i="22"/>
  <c r="BR141" i="22"/>
  <c r="BQ141" i="22"/>
  <c r="BP141" i="22"/>
  <c r="BO141" i="22"/>
  <c r="BN141" i="22"/>
  <c r="BM141" i="22"/>
  <c r="BL141" i="22"/>
  <c r="BK141" i="22"/>
  <c r="BJ141" i="22"/>
  <c r="CS140" i="22"/>
  <c r="CQ140" i="22"/>
  <c r="CP140" i="22"/>
  <c r="CO140" i="22"/>
  <c r="CN140" i="22"/>
  <c r="CM140" i="22"/>
  <c r="CL140" i="22"/>
  <c r="CK140" i="22"/>
  <c r="CJ140" i="22"/>
  <c r="CI140" i="22"/>
  <c r="CH140" i="22"/>
  <c r="CG140" i="22"/>
  <c r="CF140" i="22"/>
  <c r="CE140" i="22"/>
  <c r="CD140" i="22"/>
  <c r="CC140" i="22"/>
  <c r="CB140" i="22"/>
  <c r="CA140" i="22"/>
  <c r="BZ140" i="22"/>
  <c r="BY140" i="22"/>
  <c r="BX140" i="22"/>
  <c r="BW140" i="22"/>
  <c r="BV140" i="22"/>
  <c r="BU140" i="22"/>
  <c r="BT140" i="22"/>
  <c r="BS140" i="22"/>
  <c r="BR140" i="22"/>
  <c r="BQ140" i="22"/>
  <c r="BP140" i="22"/>
  <c r="BO140" i="22"/>
  <c r="BN140" i="22"/>
  <c r="BM140" i="22"/>
  <c r="BL140" i="22"/>
  <c r="BK140" i="22"/>
  <c r="BJ140" i="22"/>
  <c r="CS139" i="22"/>
  <c r="CQ139" i="22"/>
  <c r="CP139" i="22"/>
  <c r="CO139" i="22"/>
  <c r="CN139" i="22"/>
  <c r="CM139" i="22"/>
  <c r="CL139" i="22"/>
  <c r="CK139" i="22"/>
  <c r="CJ139" i="22"/>
  <c r="CI139" i="22"/>
  <c r="CH139" i="22"/>
  <c r="CG139" i="22"/>
  <c r="CF139" i="22"/>
  <c r="CE139" i="22"/>
  <c r="CD139" i="22"/>
  <c r="CC139" i="22"/>
  <c r="CB139" i="22"/>
  <c r="CA139" i="22"/>
  <c r="BZ139" i="22"/>
  <c r="BY139" i="22"/>
  <c r="BX139" i="22"/>
  <c r="BW139" i="22"/>
  <c r="BV139" i="22"/>
  <c r="BU139" i="22"/>
  <c r="BT139" i="22"/>
  <c r="BS139" i="22"/>
  <c r="BR139" i="22"/>
  <c r="BQ139" i="22"/>
  <c r="BP139" i="22"/>
  <c r="BO139" i="22"/>
  <c r="BN139" i="22"/>
  <c r="BM139" i="22"/>
  <c r="BL139" i="22"/>
  <c r="BK139" i="22"/>
  <c r="BJ139" i="22"/>
  <c r="CS138" i="22"/>
  <c r="CQ138" i="22"/>
  <c r="CP138" i="22"/>
  <c r="CO138" i="22"/>
  <c r="CN138" i="22"/>
  <c r="CM138" i="22"/>
  <c r="CL138" i="22"/>
  <c r="CK138" i="22"/>
  <c r="CJ138" i="22"/>
  <c r="CI138" i="22"/>
  <c r="CH138" i="22"/>
  <c r="CG138" i="22"/>
  <c r="CF138" i="22"/>
  <c r="CE138" i="22"/>
  <c r="CD138" i="22"/>
  <c r="CC138" i="22"/>
  <c r="CB138" i="22"/>
  <c r="CA138" i="22"/>
  <c r="BZ138" i="22"/>
  <c r="BY138" i="22"/>
  <c r="BX138" i="22"/>
  <c r="BW138" i="22"/>
  <c r="BV138" i="22"/>
  <c r="BU138" i="22"/>
  <c r="BT138" i="22"/>
  <c r="BS138" i="22"/>
  <c r="BR138" i="22"/>
  <c r="BQ138" i="22"/>
  <c r="BP138" i="22"/>
  <c r="BO138" i="22"/>
  <c r="BN138" i="22"/>
  <c r="BM138" i="22"/>
  <c r="BL138" i="22"/>
  <c r="BK138" i="22"/>
  <c r="BJ138" i="22"/>
  <c r="CS137" i="22"/>
  <c r="CQ137" i="22"/>
  <c r="CP137" i="22"/>
  <c r="CO137" i="22"/>
  <c r="CN137" i="22"/>
  <c r="CM137" i="22"/>
  <c r="CL137" i="22"/>
  <c r="CK137" i="22"/>
  <c r="CJ137" i="22"/>
  <c r="CI137" i="22"/>
  <c r="CH137" i="22"/>
  <c r="CG137" i="22"/>
  <c r="CF137" i="22"/>
  <c r="CE137" i="22"/>
  <c r="CD137" i="22"/>
  <c r="CC137" i="22"/>
  <c r="CB137" i="22"/>
  <c r="CA137" i="22"/>
  <c r="BZ137" i="22"/>
  <c r="BY137" i="22"/>
  <c r="BX137" i="22"/>
  <c r="BW137" i="22"/>
  <c r="BV137" i="22"/>
  <c r="BU137" i="22"/>
  <c r="BT137" i="22"/>
  <c r="BS137" i="22"/>
  <c r="BR137" i="22"/>
  <c r="BQ137" i="22"/>
  <c r="BP137" i="22"/>
  <c r="BO137" i="22"/>
  <c r="BN137" i="22"/>
  <c r="BM137" i="22"/>
  <c r="BL137" i="22"/>
  <c r="BK137" i="22"/>
  <c r="BJ137" i="22"/>
  <c r="CS136" i="22"/>
  <c r="CQ136" i="22"/>
  <c r="CP136" i="22"/>
  <c r="CO136" i="22"/>
  <c r="CN136" i="22"/>
  <c r="CM136" i="22"/>
  <c r="CL136" i="22"/>
  <c r="CK136" i="22"/>
  <c r="CJ136" i="22"/>
  <c r="CI136" i="22"/>
  <c r="CH136" i="22"/>
  <c r="CG136" i="22"/>
  <c r="CF136" i="22"/>
  <c r="CE136" i="22"/>
  <c r="CD136" i="22"/>
  <c r="CC136" i="22"/>
  <c r="CB136" i="22"/>
  <c r="CA136" i="22"/>
  <c r="BZ136" i="22"/>
  <c r="BY136" i="22"/>
  <c r="BX136" i="22"/>
  <c r="BW136" i="22"/>
  <c r="BV136" i="22"/>
  <c r="BU136" i="22"/>
  <c r="BT136" i="22"/>
  <c r="BS136" i="22"/>
  <c r="BR136" i="22"/>
  <c r="BQ136" i="22"/>
  <c r="BP136" i="22"/>
  <c r="BO136" i="22"/>
  <c r="BN136" i="22"/>
  <c r="BM136" i="22"/>
  <c r="BL136" i="22"/>
  <c r="BK136" i="22"/>
  <c r="BJ136" i="22"/>
  <c r="CS135" i="22"/>
  <c r="CQ135" i="22"/>
  <c r="CP135" i="22"/>
  <c r="CO135" i="22"/>
  <c r="CN135" i="22"/>
  <c r="CM135" i="22"/>
  <c r="CL135" i="22"/>
  <c r="CK135" i="22"/>
  <c r="CJ135" i="22"/>
  <c r="CI135" i="22"/>
  <c r="CH135" i="22"/>
  <c r="CG135" i="22"/>
  <c r="CF135" i="22"/>
  <c r="CE135" i="22"/>
  <c r="CD135" i="22"/>
  <c r="CC135" i="22"/>
  <c r="CB135" i="22"/>
  <c r="CA135" i="22"/>
  <c r="BZ135" i="22"/>
  <c r="BY135" i="22"/>
  <c r="BX135" i="22"/>
  <c r="BW135" i="22"/>
  <c r="BV135" i="22"/>
  <c r="BU135" i="22"/>
  <c r="BT135" i="22"/>
  <c r="BS135" i="22"/>
  <c r="BR135" i="22"/>
  <c r="BQ135" i="22"/>
  <c r="BP135" i="22"/>
  <c r="BO135" i="22"/>
  <c r="BN135" i="22"/>
  <c r="BM135" i="22"/>
  <c r="BL135" i="22"/>
  <c r="BK135" i="22"/>
  <c r="BJ135" i="22"/>
  <c r="CS134" i="22"/>
  <c r="CQ134" i="22"/>
  <c r="CP134" i="22"/>
  <c r="CO134" i="22"/>
  <c r="CN134" i="22"/>
  <c r="CM134" i="22"/>
  <c r="CL134" i="22"/>
  <c r="CK134" i="22"/>
  <c r="CJ134" i="22"/>
  <c r="CI134" i="22"/>
  <c r="CH134" i="22"/>
  <c r="CG134" i="22"/>
  <c r="CF134" i="22"/>
  <c r="CE134" i="22"/>
  <c r="CD134" i="22"/>
  <c r="CC134" i="22"/>
  <c r="CB134" i="22"/>
  <c r="CA134" i="22"/>
  <c r="BZ134" i="22"/>
  <c r="BY134" i="22"/>
  <c r="BX134" i="22"/>
  <c r="BW134" i="22"/>
  <c r="BV134" i="22"/>
  <c r="BU134" i="22"/>
  <c r="BT134" i="22"/>
  <c r="BS134" i="22"/>
  <c r="BR134" i="22"/>
  <c r="BQ134" i="22"/>
  <c r="BP134" i="22"/>
  <c r="BO134" i="22"/>
  <c r="BN134" i="22"/>
  <c r="BM134" i="22"/>
  <c r="BL134" i="22"/>
  <c r="BK134" i="22"/>
  <c r="BJ134" i="22"/>
  <c r="CS133" i="22"/>
  <c r="CQ133" i="22"/>
  <c r="CP133" i="22"/>
  <c r="CO133" i="22"/>
  <c r="CN133" i="22"/>
  <c r="CM133" i="22"/>
  <c r="CL133" i="22"/>
  <c r="CK133" i="22"/>
  <c r="CJ133" i="22"/>
  <c r="CI133" i="22"/>
  <c r="CH133" i="22"/>
  <c r="CG133" i="22"/>
  <c r="CF133" i="22"/>
  <c r="CE133" i="22"/>
  <c r="CD133" i="22"/>
  <c r="CC133" i="22"/>
  <c r="CB133" i="22"/>
  <c r="CA133" i="22"/>
  <c r="BZ133" i="22"/>
  <c r="BY133" i="22"/>
  <c r="BX133" i="22"/>
  <c r="BW133" i="22"/>
  <c r="BV133" i="22"/>
  <c r="BU133" i="22"/>
  <c r="BT133" i="22"/>
  <c r="BS133" i="22"/>
  <c r="BR133" i="22"/>
  <c r="BQ133" i="22"/>
  <c r="BP133" i="22"/>
  <c r="BO133" i="22"/>
  <c r="BN133" i="22"/>
  <c r="BM133" i="22"/>
  <c r="BL133" i="22"/>
  <c r="BK133" i="22"/>
  <c r="BJ133" i="22"/>
  <c r="CS132" i="22"/>
  <c r="CQ132" i="22"/>
  <c r="CP132" i="22"/>
  <c r="CO132" i="22"/>
  <c r="CN132" i="22"/>
  <c r="CM132" i="22"/>
  <c r="CL132" i="22"/>
  <c r="CK132" i="22"/>
  <c r="CJ132" i="22"/>
  <c r="CI132" i="22"/>
  <c r="CH132" i="22"/>
  <c r="CG132" i="22"/>
  <c r="CF132" i="22"/>
  <c r="CE132" i="22"/>
  <c r="CD132" i="22"/>
  <c r="CC132" i="22"/>
  <c r="CB132" i="22"/>
  <c r="CA132" i="22"/>
  <c r="BZ132" i="22"/>
  <c r="BY132" i="22"/>
  <c r="BX132" i="22"/>
  <c r="BW132" i="22"/>
  <c r="BV132" i="22"/>
  <c r="BU132" i="22"/>
  <c r="BT132" i="22"/>
  <c r="BS132" i="22"/>
  <c r="BR132" i="22"/>
  <c r="BQ132" i="22"/>
  <c r="BP132" i="22"/>
  <c r="BO132" i="22"/>
  <c r="BN132" i="22"/>
  <c r="BM132" i="22"/>
  <c r="BL132" i="22"/>
  <c r="BK132" i="22"/>
  <c r="BJ132" i="22"/>
  <c r="CS131" i="22"/>
  <c r="CQ131" i="22"/>
  <c r="CP131" i="22"/>
  <c r="CO131" i="22"/>
  <c r="CN131" i="22"/>
  <c r="CM131" i="22"/>
  <c r="CL131" i="22"/>
  <c r="CK131" i="22"/>
  <c r="CJ131" i="22"/>
  <c r="CI131" i="22"/>
  <c r="CH131" i="22"/>
  <c r="CG131" i="22"/>
  <c r="CF131" i="22"/>
  <c r="CE131" i="22"/>
  <c r="CD131" i="22"/>
  <c r="CC131" i="22"/>
  <c r="CB131" i="22"/>
  <c r="CA131" i="22"/>
  <c r="BZ131" i="22"/>
  <c r="BY131" i="22"/>
  <c r="BX131" i="22"/>
  <c r="BW131" i="22"/>
  <c r="BV131" i="22"/>
  <c r="BU131" i="22"/>
  <c r="BT131" i="22"/>
  <c r="BS131" i="22"/>
  <c r="BR131" i="22"/>
  <c r="BQ131" i="22"/>
  <c r="BP131" i="22"/>
  <c r="BO131" i="22"/>
  <c r="BN131" i="22"/>
  <c r="BM131" i="22"/>
  <c r="BL131" i="22"/>
  <c r="BK131" i="22"/>
  <c r="BJ131" i="22"/>
  <c r="CS130" i="22"/>
  <c r="CQ130" i="22"/>
  <c r="CP130" i="22"/>
  <c r="CO130" i="22"/>
  <c r="CN130" i="22"/>
  <c r="CM130" i="22"/>
  <c r="CL130" i="22"/>
  <c r="CK130" i="22"/>
  <c r="CJ130" i="22"/>
  <c r="CI130" i="22"/>
  <c r="CH130" i="22"/>
  <c r="CG130" i="22"/>
  <c r="CF130" i="22"/>
  <c r="CE130" i="22"/>
  <c r="CD130" i="22"/>
  <c r="CC130" i="22"/>
  <c r="CB130" i="22"/>
  <c r="CA130" i="22"/>
  <c r="BZ130" i="22"/>
  <c r="BY130" i="22"/>
  <c r="BX130" i="22"/>
  <c r="BW130" i="22"/>
  <c r="BV130" i="22"/>
  <c r="BU130" i="22"/>
  <c r="BT130" i="22"/>
  <c r="BS130" i="22"/>
  <c r="BR130" i="22"/>
  <c r="BQ130" i="22"/>
  <c r="BP130" i="22"/>
  <c r="BO130" i="22"/>
  <c r="BN130" i="22"/>
  <c r="BM130" i="22"/>
  <c r="BL130" i="22"/>
  <c r="BK130" i="22"/>
  <c r="BJ130" i="22"/>
  <c r="CS129" i="22"/>
  <c r="CQ129" i="22"/>
  <c r="CP129" i="22"/>
  <c r="CO129" i="22"/>
  <c r="CN129" i="22"/>
  <c r="CM129" i="22"/>
  <c r="CL129" i="22"/>
  <c r="CK129" i="22"/>
  <c r="CJ129" i="22"/>
  <c r="CI129" i="22"/>
  <c r="CH129" i="22"/>
  <c r="CG129" i="22"/>
  <c r="CF129" i="22"/>
  <c r="CE129" i="22"/>
  <c r="CD129" i="22"/>
  <c r="CC129" i="22"/>
  <c r="CB129" i="22"/>
  <c r="CA129" i="22"/>
  <c r="BZ129" i="22"/>
  <c r="BY129" i="22"/>
  <c r="BX129" i="22"/>
  <c r="BW129" i="22"/>
  <c r="BV129" i="22"/>
  <c r="BU129" i="22"/>
  <c r="BT129" i="22"/>
  <c r="BS129" i="22"/>
  <c r="BR129" i="22"/>
  <c r="BQ129" i="22"/>
  <c r="BP129" i="22"/>
  <c r="BO129" i="22"/>
  <c r="BN129" i="22"/>
  <c r="BM129" i="22"/>
  <c r="BL129" i="22"/>
  <c r="BK129" i="22"/>
  <c r="BJ129" i="22"/>
  <c r="CS128" i="22"/>
  <c r="CQ128" i="22"/>
  <c r="CP128" i="22"/>
  <c r="CO128" i="22"/>
  <c r="CN128" i="22"/>
  <c r="CM128" i="22"/>
  <c r="CL128" i="22"/>
  <c r="CK128" i="22"/>
  <c r="CJ128" i="22"/>
  <c r="CI128" i="22"/>
  <c r="CH128" i="22"/>
  <c r="CG128" i="22"/>
  <c r="CF128" i="22"/>
  <c r="CE128" i="22"/>
  <c r="CD128" i="22"/>
  <c r="CC128" i="22"/>
  <c r="CB128" i="22"/>
  <c r="CA128" i="22"/>
  <c r="BZ128" i="22"/>
  <c r="BY128" i="22"/>
  <c r="BX128" i="22"/>
  <c r="BW128" i="22"/>
  <c r="BV128" i="22"/>
  <c r="BU128" i="22"/>
  <c r="BT128" i="22"/>
  <c r="BS128" i="22"/>
  <c r="BR128" i="22"/>
  <c r="BQ128" i="22"/>
  <c r="BP128" i="22"/>
  <c r="BO128" i="22"/>
  <c r="BN128" i="22"/>
  <c r="BM128" i="22"/>
  <c r="BL128" i="22"/>
  <c r="BK128" i="22"/>
  <c r="BJ128" i="22"/>
  <c r="CS127" i="22"/>
  <c r="CQ127" i="22"/>
  <c r="CP127" i="22"/>
  <c r="CO127" i="22"/>
  <c r="CN127" i="22"/>
  <c r="CM127" i="22"/>
  <c r="CL127" i="22"/>
  <c r="CK127" i="22"/>
  <c r="CJ127" i="22"/>
  <c r="CI127" i="22"/>
  <c r="CH127" i="22"/>
  <c r="CG127" i="22"/>
  <c r="CF127" i="22"/>
  <c r="CE127" i="22"/>
  <c r="CD127" i="22"/>
  <c r="CC127" i="22"/>
  <c r="CB127" i="22"/>
  <c r="CA127" i="22"/>
  <c r="BZ127" i="22"/>
  <c r="BY127" i="22"/>
  <c r="BX127" i="22"/>
  <c r="BW127" i="22"/>
  <c r="BV127" i="22"/>
  <c r="BU127" i="22"/>
  <c r="BT127" i="22"/>
  <c r="BS127" i="22"/>
  <c r="BR127" i="22"/>
  <c r="BQ127" i="22"/>
  <c r="BP127" i="22"/>
  <c r="BO127" i="22"/>
  <c r="BN127" i="22"/>
  <c r="BM127" i="22"/>
  <c r="BL127" i="22"/>
  <c r="BK127" i="22"/>
  <c r="BJ127" i="22"/>
  <c r="CS126" i="22"/>
  <c r="CQ126" i="22"/>
  <c r="CP126" i="22"/>
  <c r="CO126" i="22"/>
  <c r="CN126" i="22"/>
  <c r="CM126" i="22"/>
  <c r="CL126" i="22"/>
  <c r="CK126" i="22"/>
  <c r="CJ126" i="22"/>
  <c r="CI126" i="22"/>
  <c r="CH126" i="22"/>
  <c r="CG126" i="22"/>
  <c r="CF126" i="22"/>
  <c r="CE126" i="22"/>
  <c r="CD126" i="22"/>
  <c r="CC126" i="22"/>
  <c r="CB126" i="22"/>
  <c r="CA126" i="22"/>
  <c r="BZ126" i="22"/>
  <c r="BY126" i="22"/>
  <c r="BX126" i="22"/>
  <c r="BW126" i="22"/>
  <c r="BV126" i="22"/>
  <c r="BU126" i="22"/>
  <c r="BT126" i="22"/>
  <c r="BS126" i="22"/>
  <c r="BR126" i="22"/>
  <c r="BQ126" i="22"/>
  <c r="BP126" i="22"/>
  <c r="BO126" i="22"/>
  <c r="BN126" i="22"/>
  <c r="BM126" i="22"/>
  <c r="BL126" i="22"/>
  <c r="BK126" i="22"/>
  <c r="BJ126" i="22"/>
  <c r="CS125" i="22"/>
  <c r="CQ125" i="22"/>
  <c r="CP125" i="22"/>
  <c r="CO125" i="22"/>
  <c r="CN125" i="22"/>
  <c r="CM125" i="22"/>
  <c r="CL125" i="22"/>
  <c r="CK125" i="22"/>
  <c r="CJ125" i="22"/>
  <c r="CI125" i="22"/>
  <c r="CH125" i="22"/>
  <c r="CG125" i="22"/>
  <c r="CF125" i="22"/>
  <c r="CE125" i="22"/>
  <c r="CD125" i="22"/>
  <c r="CC125" i="22"/>
  <c r="CB125" i="22"/>
  <c r="CA125" i="22"/>
  <c r="BZ125" i="22"/>
  <c r="BY125" i="22"/>
  <c r="BX125" i="22"/>
  <c r="BW125" i="22"/>
  <c r="BV125" i="22"/>
  <c r="BU125" i="22"/>
  <c r="BT125" i="22"/>
  <c r="BS125" i="22"/>
  <c r="BR125" i="22"/>
  <c r="BQ125" i="22"/>
  <c r="BP125" i="22"/>
  <c r="BO125" i="22"/>
  <c r="BN125" i="22"/>
  <c r="BM125" i="22"/>
  <c r="BL125" i="22"/>
  <c r="BK125" i="22"/>
  <c r="BJ125" i="22"/>
  <c r="CS124" i="22"/>
  <c r="CQ124" i="22"/>
  <c r="CP124" i="22"/>
  <c r="CO124" i="22"/>
  <c r="CN124" i="22"/>
  <c r="CM124" i="22"/>
  <c r="CL124" i="22"/>
  <c r="CK124" i="22"/>
  <c r="CJ124" i="22"/>
  <c r="CI124" i="22"/>
  <c r="CH124" i="22"/>
  <c r="CG124"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CS123" i="22"/>
  <c r="CQ123" i="22"/>
  <c r="CP123" i="22"/>
  <c r="CO123" i="22"/>
  <c r="CN123" i="22"/>
  <c r="CM123" i="22"/>
  <c r="CL123" i="22"/>
  <c r="CK123" i="22"/>
  <c r="CJ123" i="22"/>
  <c r="CI123" i="22"/>
  <c r="CH123" i="22"/>
  <c r="CG123"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CS122" i="22"/>
  <c r="CQ122" i="22"/>
  <c r="CP122" i="22"/>
  <c r="CO122" i="22"/>
  <c r="CN122" i="22"/>
  <c r="CM122" i="22"/>
  <c r="CL122" i="22"/>
  <c r="CK122" i="22"/>
  <c r="CJ122" i="22"/>
  <c r="CI122" i="22"/>
  <c r="CH122" i="22"/>
  <c r="CG122"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CS121" i="22"/>
  <c r="CQ121" i="22"/>
  <c r="CP121" i="22"/>
  <c r="CO121" i="22"/>
  <c r="CN121" i="22"/>
  <c r="CM121" i="22"/>
  <c r="CL121" i="22"/>
  <c r="CK121" i="22"/>
  <c r="CJ121" i="22"/>
  <c r="CI121" i="22"/>
  <c r="CH121" i="22"/>
  <c r="CG121" i="22"/>
  <c r="CF121" i="22"/>
  <c r="CE121" i="22"/>
  <c r="CD121" i="22"/>
  <c r="CC121" i="22"/>
  <c r="CB121" i="22"/>
  <c r="CA121" i="22"/>
  <c r="BZ121" i="22"/>
  <c r="BY121" i="22"/>
  <c r="BX121" i="22"/>
  <c r="BW121" i="22"/>
  <c r="BV121" i="22"/>
  <c r="BU121" i="22"/>
  <c r="BT121" i="22"/>
  <c r="BS121" i="22"/>
  <c r="BR121" i="22"/>
  <c r="BQ121" i="22"/>
  <c r="BP121" i="22"/>
  <c r="BO121" i="22"/>
  <c r="BN121" i="22"/>
  <c r="BM121" i="22"/>
  <c r="BL121" i="22"/>
  <c r="BK121" i="22"/>
  <c r="BJ121" i="22"/>
  <c r="CS120" i="22"/>
  <c r="CQ120" i="22"/>
  <c r="CP120" i="22"/>
  <c r="CO120" i="22"/>
  <c r="CN120" i="22"/>
  <c r="CM120" i="22"/>
  <c r="CL120" i="22"/>
  <c r="CK120" i="22"/>
  <c r="CJ120" i="22"/>
  <c r="CI120" i="22"/>
  <c r="CH120" i="22"/>
  <c r="CG120" i="22"/>
  <c r="CF120" i="22"/>
  <c r="CE120" i="22"/>
  <c r="CD120" i="22"/>
  <c r="CC120" i="22"/>
  <c r="CB120" i="22"/>
  <c r="CA120" i="22"/>
  <c r="BZ120" i="22"/>
  <c r="BY120" i="22"/>
  <c r="BX120" i="22"/>
  <c r="BW120" i="22"/>
  <c r="BV120" i="22"/>
  <c r="BU120" i="22"/>
  <c r="BT120" i="22"/>
  <c r="BS120" i="22"/>
  <c r="BR120" i="22"/>
  <c r="BQ120" i="22"/>
  <c r="BP120" i="22"/>
  <c r="BO120" i="22"/>
  <c r="BN120" i="22"/>
  <c r="BM120" i="22"/>
  <c r="BL120" i="22"/>
  <c r="BK120" i="22"/>
  <c r="BJ120" i="22"/>
  <c r="CS119" i="22"/>
  <c r="CQ119" i="22"/>
  <c r="CP119" i="22"/>
  <c r="CO119" i="22"/>
  <c r="CN119" i="22"/>
  <c r="CM119" i="22"/>
  <c r="CL119" i="22"/>
  <c r="CK119" i="22"/>
  <c r="CJ119" i="22"/>
  <c r="CI119" i="22"/>
  <c r="CH119" i="22"/>
  <c r="CG119" i="22"/>
  <c r="CF119" i="22"/>
  <c r="CE119" i="22"/>
  <c r="CD119" i="22"/>
  <c r="CC119" i="22"/>
  <c r="CB119" i="22"/>
  <c r="CA119" i="22"/>
  <c r="BZ119" i="22"/>
  <c r="BY119" i="22"/>
  <c r="BX119" i="22"/>
  <c r="BW119" i="22"/>
  <c r="BV119" i="22"/>
  <c r="BU119" i="22"/>
  <c r="BT119" i="22"/>
  <c r="BS119" i="22"/>
  <c r="BR119" i="22"/>
  <c r="BQ119" i="22"/>
  <c r="BP119" i="22"/>
  <c r="BO119" i="22"/>
  <c r="BN119" i="22"/>
  <c r="BM119" i="22"/>
  <c r="BL119" i="22"/>
  <c r="BK119" i="22"/>
  <c r="BJ119" i="22"/>
  <c r="CS118" i="22"/>
  <c r="CQ118" i="22"/>
  <c r="CP118" i="22"/>
  <c r="CO118" i="22"/>
  <c r="CN118" i="22"/>
  <c r="CM118" i="22"/>
  <c r="CL118" i="22"/>
  <c r="CK118" i="22"/>
  <c r="CJ118" i="22"/>
  <c r="CI118" i="22"/>
  <c r="CH118" i="22"/>
  <c r="CG118" i="22"/>
  <c r="CF118" i="22"/>
  <c r="CE118" i="22"/>
  <c r="CD118" i="22"/>
  <c r="CC118" i="22"/>
  <c r="CB118" i="22"/>
  <c r="CA118" i="22"/>
  <c r="BZ118" i="22"/>
  <c r="BY118" i="22"/>
  <c r="BX118" i="22"/>
  <c r="BW118" i="22"/>
  <c r="BV118" i="22"/>
  <c r="BU118" i="22"/>
  <c r="BT118" i="22"/>
  <c r="BS118" i="22"/>
  <c r="BR118" i="22"/>
  <c r="BQ118" i="22"/>
  <c r="BP118" i="22"/>
  <c r="BO118" i="22"/>
  <c r="BN118" i="22"/>
  <c r="BM118" i="22"/>
  <c r="BL118" i="22"/>
  <c r="BK118" i="22"/>
  <c r="BJ118" i="22"/>
  <c r="CS117" i="22"/>
  <c r="CQ117" i="22"/>
  <c r="CP117" i="22"/>
  <c r="CO117" i="22"/>
  <c r="CN117" i="22"/>
  <c r="CM117" i="22"/>
  <c r="CL117" i="22"/>
  <c r="CK117" i="22"/>
  <c r="CJ117" i="22"/>
  <c r="CI117" i="22"/>
  <c r="CH117" i="22"/>
  <c r="CG117" i="22"/>
  <c r="CF117" i="22"/>
  <c r="CE117" i="22"/>
  <c r="CD117" i="22"/>
  <c r="CC117" i="22"/>
  <c r="CB117" i="22"/>
  <c r="CA117" i="22"/>
  <c r="BZ117" i="22"/>
  <c r="BY117" i="22"/>
  <c r="BX117" i="22"/>
  <c r="BW117" i="22"/>
  <c r="BV117" i="22"/>
  <c r="BU117" i="22"/>
  <c r="BT117" i="22"/>
  <c r="BS117" i="22"/>
  <c r="BR117" i="22"/>
  <c r="BQ117" i="22"/>
  <c r="BP117" i="22"/>
  <c r="BO117" i="22"/>
  <c r="BN117" i="22"/>
  <c r="BM117" i="22"/>
  <c r="BL117" i="22"/>
  <c r="BK117" i="22"/>
  <c r="BJ117" i="22"/>
  <c r="CS116" i="22"/>
  <c r="CQ116" i="22"/>
  <c r="CP116" i="22"/>
  <c r="CO116" i="22"/>
  <c r="CN116" i="22"/>
  <c r="CM116" i="22"/>
  <c r="CL116" i="22"/>
  <c r="CK116" i="22"/>
  <c r="CJ116" i="22"/>
  <c r="CI116" i="22"/>
  <c r="CH116" i="22"/>
  <c r="CG116" i="22"/>
  <c r="CF116" i="22"/>
  <c r="CE116" i="22"/>
  <c r="CD116" i="22"/>
  <c r="CC116" i="22"/>
  <c r="CB116" i="22"/>
  <c r="CA116" i="22"/>
  <c r="BZ116" i="22"/>
  <c r="BY116" i="22"/>
  <c r="BX116" i="22"/>
  <c r="BW116" i="22"/>
  <c r="BV116" i="22"/>
  <c r="BU116" i="22"/>
  <c r="BT116" i="22"/>
  <c r="BS116" i="22"/>
  <c r="BR116" i="22"/>
  <c r="BQ116" i="22"/>
  <c r="BP116" i="22"/>
  <c r="BO116" i="22"/>
  <c r="BN116" i="22"/>
  <c r="BM116" i="22"/>
  <c r="BL116" i="22"/>
  <c r="BK116" i="22"/>
  <c r="BJ116" i="22"/>
  <c r="CS115" i="22"/>
  <c r="CQ115" i="22"/>
  <c r="CP115" i="22"/>
  <c r="CO115" i="22"/>
  <c r="CN115" i="22"/>
  <c r="CM115" i="22"/>
  <c r="CL115" i="22"/>
  <c r="CK115" i="22"/>
  <c r="CJ115" i="22"/>
  <c r="CI115" i="22"/>
  <c r="CH115" i="22"/>
  <c r="CG115" i="22"/>
  <c r="CF115" i="22"/>
  <c r="CE115" i="22"/>
  <c r="CD115" i="22"/>
  <c r="CC115" i="22"/>
  <c r="CB115" i="22"/>
  <c r="CA115" i="22"/>
  <c r="BZ115" i="22"/>
  <c r="BY115" i="22"/>
  <c r="BX115" i="22"/>
  <c r="BW115" i="22"/>
  <c r="BV115" i="22"/>
  <c r="BU115" i="22"/>
  <c r="BT115" i="22"/>
  <c r="BS115" i="22"/>
  <c r="BR115" i="22"/>
  <c r="BQ115" i="22"/>
  <c r="BP115" i="22"/>
  <c r="BO115" i="22"/>
  <c r="BN115" i="22"/>
  <c r="BM115" i="22"/>
  <c r="BL115" i="22"/>
  <c r="BK115" i="22"/>
  <c r="BJ115" i="22"/>
  <c r="CS114" i="22"/>
  <c r="CQ114" i="22"/>
  <c r="CP114" i="22"/>
  <c r="CO114" i="22"/>
  <c r="CN114" i="22"/>
  <c r="CM114" i="22"/>
  <c r="CL114" i="22"/>
  <c r="CK114" i="22"/>
  <c r="CJ114" i="22"/>
  <c r="CI114" i="22"/>
  <c r="CH114" i="22"/>
  <c r="CG114" i="22"/>
  <c r="CF114" i="22"/>
  <c r="CE114" i="22"/>
  <c r="CD114" i="22"/>
  <c r="CC114" i="22"/>
  <c r="CB114" i="22"/>
  <c r="CA114" i="22"/>
  <c r="BZ114" i="22"/>
  <c r="BY114" i="22"/>
  <c r="BX114" i="22"/>
  <c r="BW114" i="22"/>
  <c r="BV114" i="22"/>
  <c r="BU114" i="22"/>
  <c r="BT114" i="22"/>
  <c r="BS114" i="22"/>
  <c r="BR114" i="22"/>
  <c r="BQ114" i="22"/>
  <c r="BP114" i="22"/>
  <c r="BO114" i="22"/>
  <c r="BN114" i="22"/>
  <c r="BM114" i="22"/>
  <c r="BL114" i="22"/>
  <c r="BK114" i="22"/>
  <c r="BJ114" i="22"/>
  <c r="CS113" i="22"/>
  <c r="CQ113" i="22"/>
  <c r="CP113" i="22"/>
  <c r="CO113" i="22"/>
  <c r="CN113" i="22"/>
  <c r="CM113" i="22"/>
  <c r="CL113" i="22"/>
  <c r="CK113" i="22"/>
  <c r="CJ113" i="22"/>
  <c r="CI113" i="22"/>
  <c r="CH113" i="22"/>
  <c r="CG113" i="22"/>
  <c r="CF113" i="22"/>
  <c r="CE113" i="22"/>
  <c r="CD113" i="22"/>
  <c r="CC113" i="22"/>
  <c r="CB113" i="22"/>
  <c r="CA113" i="22"/>
  <c r="BZ113" i="22"/>
  <c r="BY113" i="22"/>
  <c r="BX113" i="22"/>
  <c r="BW113" i="22"/>
  <c r="BV113" i="22"/>
  <c r="BU113" i="22"/>
  <c r="BT113" i="22"/>
  <c r="BS113" i="22"/>
  <c r="BR113" i="22"/>
  <c r="BQ113" i="22"/>
  <c r="BP113" i="22"/>
  <c r="BO113" i="22"/>
  <c r="BN113" i="22"/>
  <c r="BM113" i="22"/>
  <c r="BL113" i="22"/>
  <c r="BK113" i="22"/>
  <c r="BJ113" i="22"/>
  <c r="CS112" i="22"/>
  <c r="CQ112" i="22"/>
  <c r="CP112" i="22"/>
  <c r="CO112" i="22"/>
  <c r="CN112" i="22"/>
  <c r="CM112" i="22"/>
  <c r="CL112" i="22"/>
  <c r="CK112" i="22"/>
  <c r="CJ112" i="22"/>
  <c r="CI112" i="22"/>
  <c r="CH112" i="22"/>
  <c r="CG112" i="22"/>
  <c r="CF112" i="22"/>
  <c r="CE112" i="22"/>
  <c r="CD112" i="22"/>
  <c r="CC112" i="22"/>
  <c r="CB112" i="22"/>
  <c r="CA112" i="22"/>
  <c r="BZ112" i="22"/>
  <c r="BY112" i="22"/>
  <c r="BX112" i="22"/>
  <c r="BW112" i="22"/>
  <c r="BV112" i="22"/>
  <c r="BU112" i="22"/>
  <c r="BT112" i="22"/>
  <c r="BS112" i="22"/>
  <c r="BR112" i="22"/>
  <c r="BQ112" i="22"/>
  <c r="BP112" i="22"/>
  <c r="BO112" i="22"/>
  <c r="BN112" i="22"/>
  <c r="BM112" i="22"/>
  <c r="BL112" i="22"/>
  <c r="BK112" i="22"/>
  <c r="BJ112" i="22"/>
  <c r="CS111" i="22"/>
  <c r="CQ111" i="22"/>
  <c r="CP111" i="22"/>
  <c r="CO111" i="22"/>
  <c r="CN111" i="22"/>
  <c r="CM111" i="22"/>
  <c r="CL111" i="22"/>
  <c r="CK111" i="22"/>
  <c r="CJ111" i="22"/>
  <c r="CI111" i="22"/>
  <c r="CH111" i="22"/>
  <c r="CG111" i="22"/>
  <c r="CF111" i="22"/>
  <c r="CE111" i="22"/>
  <c r="CD111" i="22"/>
  <c r="CC111" i="22"/>
  <c r="CB111" i="22"/>
  <c r="CA111" i="22"/>
  <c r="BZ111" i="22"/>
  <c r="BY111" i="22"/>
  <c r="BX111" i="22"/>
  <c r="BW111" i="22"/>
  <c r="BV111" i="22"/>
  <c r="BU111" i="22"/>
  <c r="BT111" i="22"/>
  <c r="BS111" i="22"/>
  <c r="BR111" i="22"/>
  <c r="BQ111" i="22"/>
  <c r="BP111" i="22"/>
  <c r="BO111" i="22"/>
  <c r="BN111" i="22"/>
  <c r="BM111" i="22"/>
  <c r="BL111" i="22"/>
  <c r="BK111" i="22"/>
  <c r="BJ111" i="22"/>
  <c r="CS110" i="22"/>
  <c r="CQ110" i="22"/>
  <c r="CP110" i="22"/>
  <c r="CO110" i="22"/>
  <c r="CN110" i="22"/>
  <c r="CM110" i="22"/>
  <c r="CL110" i="22"/>
  <c r="CK110" i="22"/>
  <c r="CJ110" i="22"/>
  <c r="CI110" i="22"/>
  <c r="CH110" i="22"/>
  <c r="CG110" i="22"/>
  <c r="CF110" i="22"/>
  <c r="CE110" i="22"/>
  <c r="CD110" i="22"/>
  <c r="CC110" i="22"/>
  <c r="CB110" i="22"/>
  <c r="CA110" i="22"/>
  <c r="BZ110" i="22"/>
  <c r="BY110" i="22"/>
  <c r="BX110" i="22"/>
  <c r="BW110" i="22"/>
  <c r="BV110" i="22"/>
  <c r="BU110" i="22"/>
  <c r="BT110" i="22"/>
  <c r="BS110" i="22"/>
  <c r="BR110" i="22"/>
  <c r="BQ110" i="22"/>
  <c r="BP110" i="22"/>
  <c r="BO110" i="22"/>
  <c r="BN110" i="22"/>
  <c r="BM110" i="22"/>
  <c r="BL110" i="22"/>
  <c r="BK110" i="22"/>
  <c r="BJ110" i="22"/>
  <c r="CS109" i="22"/>
  <c r="CQ109" i="22"/>
  <c r="CP109" i="22"/>
  <c r="CO109" i="22"/>
  <c r="CN109" i="22"/>
  <c r="CM109" i="22"/>
  <c r="CL109" i="22"/>
  <c r="CK109" i="22"/>
  <c r="CJ109" i="22"/>
  <c r="CI109" i="22"/>
  <c r="CH109" i="22"/>
  <c r="CG109" i="22"/>
  <c r="CF109" i="22"/>
  <c r="CE109" i="22"/>
  <c r="CD109" i="22"/>
  <c r="CC109" i="22"/>
  <c r="CB109" i="22"/>
  <c r="CA109" i="22"/>
  <c r="BZ109" i="22"/>
  <c r="BY109" i="22"/>
  <c r="BX109" i="22"/>
  <c r="BW109" i="22"/>
  <c r="BV109" i="22"/>
  <c r="BU109" i="22"/>
  <c r="BT109" i="22"/>
  <c r="BS109" i="22"/>
  <c r="BR109" i="22"/>
  <c r="BQ109" i="22"/>
  <c r="BP109" i="22"/>
  <c r="BO109" i="22"/>
  <c r="BN109" i="22"/>
  <c r="BM109" i="22"/>
  <c r="BL109" i="22"/>
  <c r="BK109" i="22"/>
  <c r="BJ109" i="22"/>
  <c r="CS108" i="22"/>
  <c r="CQ108" i="22"/>
  <c r="CP108" i="22"/>
  <c r="CO108" i="22"/>
  <c r="CN108" i="22"/>
  <c r="CM108" i="22"/>
  <c r="CL108" i="22"/>
  <c r="CK108" i="22"/>
  <c r="CJ108" i="22"/>
  <c r="CI108" i="22"/>
  <c r="CH108" i="22"/>
  <c r="CG108" i="22"/>
  <c r="CF108" i="22"/>
  <c r="CE108" i="22"/>
  <c r="CD108" i="22"/>
  <c r="CC108" i="22"/>
  <c r="CB108" i="22"/>
  <c r="CA108" i="22"/>
  <c r="BZ108" i="22"/>
  <c r="BY108" i="22"/>
  <c r="BX108" i="22"/>
  <c r="BW108" i="22"/>
  <c r="BV108" i="22"/>
  <c r="BU108" i="22"/>
  <c r="BT108" i="22"/>
  <c r="BS108" i="22"/>
  <c r="BR108" i="22"/>
  <c r="BQ108" i="22"/>
  <c r="BP108" i="22"/>
  <c r="BO108" i="22"/>
  <c r="BN108" i="22"/>
  <c r="BM108" i="22"/>
  <c r="BL108" i="22"/>
  <c r="BK108" i="22"/>
  <c r="BJ108" i="22"/>
  <c r="CS107" i="22"/>
  <c r="CQ107" i="22"/>
  <c r="CP107" i="22"/>
  <c r="CO107" i="22"/>
  <c r="CN107" i="22"/>
  <c r="CM107" i="22"/>
  <c r="CL107" i="22"/>
  <c r="CK107" i="22"/>
  <c r="CJ107" i="22"/>
  <c r="CI107" i="22"/>
  <c r="CH107" i="22"/>
  <c r="CG107" i="22"/>
  <c r="CF107" i="22"/>
  <c r="CE107" i="22"/>
  <c r="CD107" i="22"/>
  <c r="CC107" i="22"/>
  <c r="CB107" i="22"/>
  <c r="CA107" i="22"/>
  <c r="BZ107" i="22"/>
  <c r="BY107" i="22"/>
  <c r="BX107" i="22"/>
  <c r="BW107" i="22"/>
  <c r="BV107" i="22"/>
  <c r="BU107" i="22"/>
  <c r="BT107" i="22"/>
  <c r="BS107" i="22"/>
  <c r="BR107" i="22"/>
  <c r="BQ107" i="22"/>
  <c r="BP107" i="22"/>
  <c r="BO107" i="22"/>
  <c r="BN107" i="22"/>
  <c r="BM107" i="22"/>
  <c r="BL107" i="22"/>
  <c r="BK107" i="22"/>
  <c r="BJ107" i="22"/>
  <c r="CS106" i="22"/>
  <c r="CQ106" i="22"/>
  <c r="CP106" i="22"/>
  <c r="CO106" i="22"/>
  <c r="CN106" i="22"/>
  <c r="CM106" i="22"/>
  <c r="CL106" i="22"/>
  <c r="CK106" i="22"/>
  <c r="CJ106" i="22"/>
  <c r="CI106" i="22"/>
  <c r="CH106" i="22"/>
  <c r="CG106" i="22"/>
  <c r="CF106" i="22"/>
  <c r="CE106" i="22"/>
  <c r="CD106" i="22"/>
  <c r="CC106" i="22"/>
  <c r="CB106" i="22"/>
  <c r="CA106" i="22"/>
  <c r="BZ106" i="22"/>
  <c r="BY106" i="22"/>
  <c r="BX106" i="22"/>
  <c r="BW106" i="22"/>
  <c r="BV106" i="22"/>
  <c r="BU106" i="22"/>
  <c r="BT106" i="22"/>
  <c r="BS106" i="22"/>
  <c r="BR106" i="22"/>
  <c r="BQ106" i="22"/>
  <c r="BP106" i="22"/>
  <c r="BO106" i="22"/>
  <c r="BN106" i="22"/>
  <c r="BM106" i="22"/>
  <c r="BL106" i="22"/>
  <c r="BK106" i="22"/>
  <c r="BJ106" i="22"/>
  <c r="CS105" i="22"/>
  <c r="CQ105" i="22"/>
  <c r="CP105" i="22"/>
  <c r="CO105" i="22"/>
  <c r="CN105" i="22"/>
  <c r="CM105" i="22"/>
  <c r="CL105" i="22"/>
  <c r="CK105" i="22"/>
  <c r="CJ105" i="22"/>
  <c r="CI105" i="22"/>
  <c r="CH105" i="22"/>
  <c r="CG105" i="22"/>
  <c r="CF105" i="22"/>
  <c r="CE105" i="22"/>
  <c r="CD105" i="22"/>
  <c r="CC105" i="22"/>
  <c r="CB105" i="22"/>
  <c r="CA105" i="22"/>
  <c r="BZ105" i="22"/>
  <c r="BY105" i="22"/>
  <c r="BX105" i="22"/>
  <c r="BW105" i="22"/>
  <c r="BV105" i="22"/>
  <c r="BU105" i="22"/>
  <c r="BT105" i="22"/>
  <c r="BS105" i="22"/>
  <c r="BR105" i="22"/>
  <c r="BQ105" i="22"/>
  <c r="BP105" i="22"/>
  <c r="BO105" i="22"/>
  <c r="BN105" i="22"/>
  <c r="BM105" i="22"/>
  <c r="BL105" i="22"/>
  <c r="BK105" i="22"/>
  <c r="BJ105" i="22"/>
  <c r="CS104" i="22"/>
  <c r="CQ104" i="22"/>
  <c r="CP104" i="22"/>
  <c r="CO104" i="22"/>
  <c r="CN104" i="22"/>
  <c r="CM104" i="22"/>
  <c r="CL104" i="22"/>
  <c r="CK104" i="22"/>
  <c r="CJ104" i="22"/>
  <c r="CI104" i="22"/>
  <c r="CH104" i="22"/>
  <c r="CG104" i="22"/>
  <c r="CF104" i="22"/>
  <c r="CE104" i="22"/>
  <c r="CD104" i="22"/>
  <c r="CC104" i="22"/>
  <c r="CB104" i="22"/>
  <c r="CA104" i="22"/>
  <c r="BZ104" i="22"/>
  <c r="BY104" i="22"/>
  <c r="BX104" i="22"/>
  <c r="BW104" i="22"/>
  <c r="BV104" i="22"/>
  <c r="BU104" i="22"/>
  <c r="BT104" i="22"/>
  <c r="BS104" i="22"/>
  <c r="BR104" i="22"/>
  <c r="BQ104" i="22"/>
  <c r="BP104" i="22"/>
  <c r="BO104" i="22"/>
  <c r="BN104" i="22"/>
  <c r="BM104" i="22"/>
  <c r="BL104" i="22"/>
  <c r="BK104" i="22"/>
  <c r="BJ104" i="22"/>
  <c r="CS103" i="22"/>
  <c r="CQ103" i="22"/>
  <c r="CP103" i="22"/>
  <c r="CO103" i="22"/>
  <c r="CN103" i="22"/>
  <c r="CM103" i="22"/>
  <c r="CL103" i="22"/>
  <c r="CK103" i="22"/>
  <c r="CJ103" i="22"/>
  <c r="CI103" i="22"/>
  <c r="CH103" i="22"/>
  <c r="CG103" i="22"/>
  <c r="CF103" i="22"/>
  <c r="CE103" i="22"/>
  <c r="CD103" i="22"/>
  <c r="CC103" i="22"/>
  <c r="CB103" i="22"/>
  <c r="CA103" i="22"/>
  <c r="BZ103" i="22"/>
  <c r="BY103" i="22"/>
  <c r="BX103" i="22"/>
  <c r="BW103" i="22"/>
  <c r="BV103" i="22"/>
  <c r="BU103" i="22"/>
  <c r="BT103" i="22"/>
  <c r="BS103" i="22"/>
  <c r="BR103" i="22"/>
  <c r="BQ103" i="22"/>
  <c r="BP103" i="22"/>
  <c r="BO103" i="22"/>
  <c r="BN103" i="22"/>
  <c r="BM103" i="22"/>
  <c r="BL103" i="22"/>
  <c r="BK103" i="22"/>
  <c r="BJ103" i="22"/>
  <c r="CS102" i="22"/>
  <c r="CQ102" i="22"/>
  <c r="CP102" i="22"/>
  <c r="CO102" i="22"/>
  <c r="CN102" i="22"/>
  <c r="CM102" i="22"/>
  <c r="CL102" i="22"/>
  <c r="CK102" i="22"/>
  <c r="CJ102" i="22"/>
  <c r="CI102" i="22"/>
  <c r="CH102" i="22"/>
  <c r="CG102" i="22"/>
  <c r="CF102" i="22"/>
  <c r="CE102" i="22"/>
  <c r="CD102" i="22"/>
  <c r="CC102" i="22"/>
  <c r="CB102" i="22"/>
  <c r="CA102" i="22"/>
  <c r="BZ102" i="22"/>
  <c r="BY102" i="22"/>
  <c r="BX102" i="22"/>
  <c r="BW102" i="22"/>
  <c r="BV102" i="22"/>
  <c r="BU102" i="22"/>
  <c r="BT102" i="22"/>
  <c r="BS102" i="22"/>
  <c r="BR102" i="22"/>
  <c r="BQ102" i="22"/>
  <c r="BP102" i="22"/>
  <c r="BO102" i="22"/>
  <c r="BN102" i="22"/>
  <c r="BM102" i="22"/>
  <c r="BL102" i="22"/>
  <c r="BK102" i="22"/>
  <c r="BJ102" i="22"/>
  <c r="CS101" i="22"/>
  <c r="CQ101" i="22"/>
  <c r="CP101" i="22"/>
  <c r="CO101" i="22"/>
  <c r="CN101" i="22"/>
  <c r="CM101" i="22"/>
  <c r="CL101" i="22"/>
  <c r="CK101" i="22"/>
  <c r="CJ101" i="22"/>
  <c r="CI101" i="22"/>
  <c r="CH101" i="22"/>
  <c r="CG101" i="22"/>
  <c r="CF101" i="22"/>
  <c r="CE101" i="22"/>
  <c r="CD101" i="22"/>
  <c r="CC101" i="22"/>
  <c r="CB101" i="22"/>
  <c r="CA101" i="22"/>
  <c r="BZ101" i="22"/>
  <c r="BY101" i="22"/>
  <c r="BX101" i="22"/>
  <c r="BW101" i="22"/>
  <c r="BV101" i="22"/>
  <c r="BU101" i="22"/>
  <c r="BT101" i="22"/>
  <c r="BS101" i="22"/>
  <c r="BR101" i="22"/>
  <c r="BQ101" i="22"/>
  <c r="BP101" i="22"/>
  <c r="BO101" i="22"/>
  <c r="BN101" i="22"/>
  <c r="BM101" i="22"/>
  <c r="BL101" i="22"/>
  <c r="BK101" i="22"/>
  <c r="BJ101" i="22"/>
  <c r="CS100" i="22"/>
  <c r="CQ100" i="22"/>
  <c r="CP100" i="22"/>
  <c r="CO100" i="22"/>
  <c r="CN100" i="22"/>
  <c r="CM100" i="22"/>
  <c r="CL100" i="22"/>
  <c r="CK100" i="22"/>
  <c r="CJ100" i="22"/>
  <c r="CI100" i="22"/>
  <c r="CH100" i="22"/>
  <c r="CG100" i="22"/>
  <c r="CF100" i="22"/>
  <c r="CE100" i="22"/>
  <c r="CD100" i="22"/>
  <c r="CC100" i="22"/>
  <c r="CB100" i="22"/>
  <c r="CA100" i="22"/>
  <c r="BZ100" i="22"/>
  <c r="BY100" i="22"/>
  <c r="BX100" i="22"/>
  <c r="BW100" i="22"/>
  <c r="BV100" i="22"/>
  <c r="BU100" i="22"/>
  <c r="BT100" i="22"/>
  <c r="BS100" i="22"/>
  <c r="BR100" i="22"/>
  <c r="BQ100" i="22"/>
  <c r="BP100" i="22"/>
  <c r="BO100" i="22"/>
  <c r="BN100" i="22"/>
  <c r="BM100" i="22"/>
  <c r="BL100" i="22"/>
  <c r="BK100" i="22"/>
  <c r="BJ100" i="22"/>
  <c r="CS99" i="22"/>
  <c r="CQ99" i="22"/>
  <c r="CP99" i="22"/>
  <c r="CO99" i="22"/>
  <c r="CN99" i="22"/>
  <c r="CM99" i="22"/>
  <c r="CL99" i="22"/>
  <c r="CK99" i="22"/>
  <c r="CJ99" i="22"/>
  <c r="CI99" i="22"/>
  <c r="CH99" i="22"/>
  <c r="CG99" i="22"/>
  <c r="CF99" i="22"/>
  <c r="CE99" i="22"/>
  <c r="CD99" i="22"/>
  <c r="CC99" i="22"/>
  <c r="CB99" i="22"/>
  <c r="CA99" i="22"/>
  <c r="BZ99" i="22"/>
  <c r="BY99" i="22"/>
  <c r="BX99" i="22"/>
  <c r="BW99" i="22"/>
  <c r="BV99" i="22"/>
  <c r="BU99" i="22"/>
  <c r="BT99" i="22"/>
  <c r="BS99" i="22"/>
  <c r="BR99" i="22"/>
  <c r="BQ99" i="22"/>
  <c r="BP99" i="22"/>
  <c r="BO99" i="22"/>
  <c r="BN99" i="22"/>
  <c r="BM99" i="22"/>
  <c r="BL99" i="22"/>
  <c r="BK99" i="22"/>
  <c r="BJ99" i="22"/>
  <c r="CS98" i="22"/>
  <c r="CQ98" i="22"/>
  <c r="CP98" i="22"/>
  <c r="CO98" i="22"/>
  <c r="CN98" i="22"/>
  <c r="CM98" i="22"/>
  <c r="CL98" i="22"/>
  <c r="CK98" i="22"/>
  <c r="CJ98" i="22"/>
  <c r="CI98" i="22"/>
  <c r="CH98" i="22"/>
  <c r="CG98" i="22"/>
  <c r="CF98" i="22"/>
  <c r="CE98" i="22"/>
  <c r="CD98" i="22"/>
  <c r="CC98" i="22"/>
  <c r="CB98" i="22"/>
  <c r="CA98" i="22"/>
  <c r="BZ98" i="22"/>
  <c r="BY98" i="22"/>
  <c r="BX98" i="22"/>
  <c r="BW98" i="22"/>
  <c r="BV98" i="22"/>
  <c r="BU98" i="22"/>
  <c r="BT98" i="22"/>
  <c r="BS98" i="22"/>
  <c r="BR98" i="22"/>
  <c r="BQ98" i="22"/>
  <c r="BP98" i="22"/>
  <c r="BO98" i="22"/>
  <c r="BN98" i="22"/>
  <c r="BM98" i="22"/>
  <c r="BL98" i="22"/>
  <c r="BK98" i="22"/>
  <c r="BJ98" i="22"/>
  <c r="CS97" i="22"/>
  <c r="CQ97" i="22"/>
  <c r="CP97" i="22"/>
  <c r="CO97" i="22"/>
  <c r="CN97" i="22"/>
  <c r="CM97" i="22"/>
  <c r="CL97" i="22"/>
  <c r="CK97" i="22"/>
  <c r="CJ97" i="22"/>
  <c r="CI97" i="22"/>
  <c r="CH97" i="22"/>
  <c r="CG97" i="22"/>
  <c r="CF97" i="22"/>
  <c r="CE97" i="22"/>
  <c r="CD97" i="22"/>
  <c r="CC97" i="22"/>
  <c r="CB97" i="22"/>
  <c r="CA97" i="22"/>
  <c r="BZ97" i="22"/>
  <c r="BY97" i="22"/>
  <c r="BX97" i="22"/>
  <c r="BW97" i="22"/>
  <c r="BV97" i="22"/>
  <c r="BU97" i="22"/>
  <c r="BT97" i="22"/>
  <c r="BS97" i="22"/>
  <c r="BR97" i="22"/>
  <c r="BQ97" i="22"/>
  <c r="BP97" i="22"/>
  <c r="BO97" i="22"/>
  <c r="BN97" i="22"/>
  <c r="BM97" i="22"/>
  <c r="BL97" i="22"/>
  <c r="BK97" i="22"/>
  <c r="BJ97" i="22"/>
  <c r="CS96" i="22"/>
  <c r="CQ96" i="22"/>
  <c r="CP96" i="22"/>
  <c r="CO96" i="22"/>
  <c r="CN96" i="22"/>
  <c r="CM96" i="22"/>
  <c r="CL96" i="22"/>
  <c r="CK96" i="22"/>
  <c r="CJ96" i="22"/>
  <c r="CI96" i="22"/>
  <c r="CH96" i="22"/>
  <c r="CG96" i="22"/>
  <c r="CF96" i="22"/>
  <c r="CE96" i="22"/>
  <c r="CD96" i="22"/>
  <c r="CC96" i="22"/>
  <c r="CB96" i="22"/>
  <c r="CA96" i="22"/>
  <c r="BZ96" i="22"/>
  <c r="BY96" i="22"/>
  <c r="BX96" i="22"/>
  <c r="BW96" i="22"/>
  <c r="BV96" i="22"/>
  <c r="BU96" i="22"/>
  <c r="BT96" i="22"/>
  <c r="BS96" i="22"/>
  <c r="BR96" i="22"/>
  <c r="BQ96" i="22"/>
  <c r="BP96" i="22"/>
  <c r="BO96" i="22"/>
  <c r="BN96" i="22"/>
  <c r="BM96" i="22"/>
  <c r="BL96" i="22"/>
  <c r="BK96" i="22"/>
  <c r="BJ96" i="22"/>
  <c r="CS95" i="22"/>
  <c r="CQ95" i="22"/>
  <c r="CP95" i="22"/>
  <c r="CO95" i="22"/>
  <c r="CN95" i="22"/>
  <c r="CM95" i="22"/>
  <c r="CL95" i="22"/>
  <c r="CK95" i="22"/>
  <c r="CJ95" i="22"/>
  <c r="CI95" i="22"/>
  <c r="CH95" i="22"/>
  <c r="CG95" i="22"/>
  <c r="CF95" i="22"/>
  <c r="CE95" i="22"/>
  <c r="CD95" i="22"/>
  <c r="CC95" i="22"/>
  <c r="CB95" i="22"/>
  <c r="CA95" i="22"/>
  <c r="BZ95" i="22"/>
  <c r="BY95" i="22"/>
  <c r="BX95" i="22"/>
  <c r="BW95" i="22"/>
  <c r="BV95" i="22"/>
  <c r="BU95" i="22"/>
  <c r="BT95" i="22"/>
  <c r="BS95" i="22"/>
  <c r="BR95" i="22"/>
  <c r="BQ95" i="22"/>
  <c r="BP95" i="22"/>
  <c r="BO95" i="22"/>
  <c r="BN95" i="22"/>
  <c r="BM95" i="22"/>
  <c r="BL95" i="22"/>
  <c r="BK95" i="22"/>
  <c r="BJ95" i="22"/>
  <c r="CS94" i="22"/>
  <c r="CQ94" i="22"/>
  <c r="CP94" i="22"/>
  <c r="CO94" i="22"/>
  <c r="CN94" i="22"/>
  <c r="CM94" i="22"/>
  <c r="CL94" i="22"/>
  <c r="CK94" i="22"/>
  <c r="CJ94" i="22"/>
  <c r="CI94" i="22"/>
  <c r="CH94" i="22"/>
  <c r="CG94" i="22"/>
  <c r="CF94" i="22"/>
  <c r="CE94" i="22"/>
  <c r="CD94" i="22"/>
  <c r="CC94" i="22"/>
  <c r="CB94" i="22"/>
  <c r="CA94" i="22"/>
  <c r="BZ94" i="22"/>
  <c r="BY94" i="22"/>
  <c r="BX94" i="22"/>
  <c r="BW94" i="22"/>
  <c r="BV94" i="22"/>
  <c r="BU94" i="22"/>
  <c r="BT94" i="22"/>
  <c r="BS94" i="22"/>
  <c r="BR94" i="22"/>
  <c r="BQ94" i="22"/>
  <c r="BP94" i="22"/>
  <c r="BO94" i="22"/>
  <c r="BN94" i="22"/>
  <c r="BM94" i="22"/>
  <c r="BL94" i="22"/>
  <c r="BK94" i="22"/>
  <c r="BJ94" i="22"/>
  <c r="CS93" i="22"/>
  <c r="CQ93" i="22"/>
  <c r="CP93" i="22"/>
  <c r="CO93" i="22"/>
  <c r="CN93" i="22"/>
  <c r="CM93" i="22"/>
  <c r="CL93" i="22"/>
  <c r="CK93" i="22"/>
  <c r="CJ93" i="22"/>
  <c r="CI93" i="22"/>
  <c r="CH93" i="22"/>
  <c r="CG93" i="22"/>
  <c r="CF93" i="22"/>
  <c r="CE93" i="22"/>
  <c r="CD93" i="22"/>
  <c r="CC93" i="22"/>
  <c r="CB93" i="22"/>
  <c r="CA93" i="22"/>
  <c r="BZ93" i="22"/>
  <c r="BY93" i="22"/>
  <c r="BX93" i="22"/>
  <c r="BW93" i="22"/>
  <c r="BV93" i="22"/>
  <c r="BU93" i="22"/>
  <c r="BT93" i="22"/>
  <c r="BS93" i="22"/>
  <c r="BR93" i="22"/>
  <c r="BQ93" i="22"/>
  <c r="BP93" i="22"/>
  <c r="BO93" i="22"/>
  <c r="BN93" i="22"/>
  <c r="BM93" i="22"/>
  <c r="BL93" i="22"/>
  <c r="BK93" i="22"/>
  <c r="BJ93" i="22"/>
  <c r="CS92" i="22"/>
  <c r="CQ92" i="22"/>
  <c r="CP92" i="22"/>
  <c r="CO92" i="22"/>
  <c r="CN92" i="22"/>
  <c r="CM92" i="22"/>
  <c r="CL92" i="22"/>
  <c r="CK92" i="22"/>
  <c r="CJ92" i="22"/>
  <c r="CI92" i="22"/>
  <c r="CH92" i="22"/>
  <c r="CG92" i="22"/>
  <c r="CF92" i="22"/>
  <c r="CE92" i="22"/>
  <c r="CD92" i="22"/>
  <c r="CC92" i="22"/>
  <c r="CB92" i="22"/>
  <c r="CA92" i="22"/>
  <c r="BZ92" i="22"/>
  <c r="BY92" i="22"/>
  <c r="BX92" i="22"/>
  <c r="BW92" i="22"/>
  <c r="BV92" i="22"/>
  <c r="BU92" i="22"/>
  <c r="BT92" i="22"/>
  <c r="BS92" i="22"/>
  <c r="BR92" i="22"/>
  <c r="BQ92" i="22"/>
  <c r="BP92" i="22"/>
  <c r="BO92" i="22"/>
  <c r="BN92" i="22"/>
  <c r="BM92" i="22"/>
  <c r="BL92" i="22"/>
  <c r="BK92" i="22"/>
  <c r="BJ92" i="22"/>
  <c r="CS91" i="22"/>
  <c r="CQ91" i="22"/>
  <c r="CP91" i="22"/>
  <c r="CO91" i="22"/>
  <c r="CN91" i="22"/>
  <c r="CM91" i="22"/>
  <c r="CL91" i="22"/>
  <c r="CK91" i="22"/>
  <c r="CJ91" i="22"/>
  <c r="CI91" i="22"/>
  <c r="CH91" i="22"/>
  <c r="CG91" i="22"/>
  <c r="CF91" i="22"/>
  <c r="CE91" i="22"/>
  <c r="CD91" i="22"/>
  <c r="CC91" i="22"/>
  <c r="CB91" i="22"/>
  <c r="CA91" i="22"/>
  <c r="BZ91" i="22"/>
  <c r="BY91" i="22"/>
  <c r="BX91" i="22"/>
  <c r="BW91" i="22"/>
  <c r="BV91" i="22"/>
  <c r="BU91" i="22"/>
  <c r="BT91" i="22"/>
  <c r="BS91" i="22"/>
  <c r="BR91" i="22"/>
  <c r="BQ91" i="22"/>
  <c r="BP91" i="22"/>
  <c r="BO91" i="22"/>
  <c r="BN91" i="22"/>
  <c r="BM91" i="22"/>
  <c r="BL91" i="22"/>
  <c r="BK91" i="22"/>
  <c r="BJ91" i="22"/>
  <c r="CS90" i="22"/>
  <c r="CQ90" i="22"/>
  <c r="CP90" i="22"/>
  <c r="CO90" i="22"/>
  <c r="CN90" i="22"/>
  <c r="CM90" i="22"/>
  <c r="CL90" i="22"/>
  <c r="CK90" i="22"/>
  <c r="CJ90" i="22"/>
  <c r="CI90" i="22"/>
  <c r="CH90" i="22"/>
  <c r="CG90" i="22"/>
  <c r="CF90" i="22"/>
  <c r="CE90" i="22"/>
  <c r="CD90" i="22"/>
  <c r="CC90" i="22"/>
  <c r="CB90" i="22"/>
  <c r="CA90" i="22"/>
  <c r="BZ90" i="22"/>
  <c r="BY90" i="22"/>
  <c r="BX90" i="22"/>
  <c r="BW90" i="22"/>
  <c r="BV90" i="22"/>
  <c r="BU90" i="22"/>
  <c r="BT90" i="22"/>
  <c r="BS90" i="22"/>
  <c r="BR90" i="22"/>
  <c r="BQ90" i="22"/>
  <c r="BP90" i="22"/>
  <c r="BO90" i="22"/>
  <c r="BN90" i="22"/>
  <c r="BM90" i="22"/>
  <c r="BL90" i="22"/>
  <c r="BK90" i="22"/>
  <c r="BJ90" i="22"/>
  <c r="CS89" i="22"/>
  <c r="CQ89" i="22"/>
  <c r="CP89" i="22"/>
  <c r="CO89" i="22"/>
  <c r="CN89" i="22"/>
  <c r="CM89" i="22"/>
  <c r="CL89" i="22"/>
  <c r="CK89" i="22"/>
  <c r="CJ89" i="22"/>
  <c r="CI89" i="22"/>
  <c r="CH89" i="22"/>
  <c r="CG89" i="22"/>
  <c r="CF89" i="22"/>
  <c r="CE89" i="22"/>
  <c r="CD89" i="22"/>
  <c r="CC89" i="22"/>
  <c r="CB89" i="22"/>
  <c r="CA89" i="22"/>
  <c r="BZ89" i="22"/>
  <c r="BY89" i="22"/>
  <c r="BX89" i="22"/>
  <c r="BW89" i="22"/>
  <c r="BV89" i="22"/>
  <c r="BU89" i="22"/>
  <c r="BT89" i="22"/>
  <c r="BS89" i="22"/>
  <c r="BR89" i="22"/>
  <c r="BQ89" i="22"/>
  <c r="BP89" i="22"/>
  <c r="BO89" i="22"/>
  <c r="BN89" i="22"/>
  <c r="BM89" i="22"/>
  <c r="BL89" i="22"/>
  <c r="BK89" i="22"/>
  <c r="BJ89" i="22"/>
  <c r="CS88" i="22"/>
  <c r="CQ88" i="22"/>
  <c r="CP88" i="22"/>
  <c r="CO88" i="22"/>
  <c r="CN88" i="22"/>
  <c r="CM88" i="22"/>
  <c r="CL88" i="22"/>
  <c r="CK88" i="22"/>
  <c r="CJ88" i="22"/>
  <c r="CI88" i="22"/>
  <c r="CH88" i="22"/>
  <c r="CG88" i="22"/>
  <c r="CF88" i="22"/>
  <c r="CE88" i="22"/>
  <c r="CD88" i="22"/>
  <c r="CC88" i="22"/>
  <c r="CB88" i="22"/>
  <c r="CA88" i="22"/>
  <c r="BZ88" i="22"/>
  <c r="BY88" i="22"/>
  <c r="BX88" i="22"/>
  <c r="BW88" i="22"/>
  <c r="BV88" i="22"/>
  <c r="BU88" i="22"/>
  <c r="BT88" i="22"/>
  <c r="BS88" i="22"/>
  <c r="BR88" i="22"/>
  <c r="BQ88" i="22"/>
  <c r="BP88" i="22"/>
  <c r="BO88" i="22"/>
  <c r="BN88" i="22"/>
  <c r="BM88" i="22"/>
  <c r="BL88" i="22"/>
  <c r="BK88" i="22"/>
  <c r="BJ88" i="22"/>
  <c r="CS87" i="22"/>
  <c r="CQ87" i="22"/>
  <c r="CP87" i="22"/>
  <c r="CO87" i="22"/>
  <c r="CN87" i="22"/>
  <c r="CM87" i="22"/>
  <c r="CL87" i="22"/>
  <c r="CK87" i="22"/>
  <c r="CJ87" i="22"/>
  <c r="CI87" i="22"/>
  <c r="CH87" i="22"/>
  <c r="CG87" i="22"/>
  <c r="CF87" i="22"/>
  <c r="CE87" i="22"/>
  <c r="CD87" i="22"/>
  <c r="CC87" i="22"/>
  <c r="CB87" i="22"/>
  <c r="CA87" i="22"/>
  <c r="BZ87" i="22"/>
  <c r="BY87" i="22"/>
  <c r="BX87" i="22"/>
  <c r="BW87" i="22"/>
  <c r="BV87" i="22"/>
  <c r="BU87" i="22"/>
  <c r="BT87" i="22"/>
  <c r="BS87" i="22"/>
  <c r="BR87" i="22"/>
  <c r="BQ87" i="22"/>
  <c r="BP87" i="22"/>
  <c r="BO87" i="22"/>
  <c r="BN87" i="22"/>
  <c r="BM87" i="22"/>
  <c r="BL87" i="22"/>
  <c r="BK87" i="22"/>
  <c r="BJ87" i="22"/>
  <c r="CS86" i="22"/>
  <c r="CQ86" i="22"/>
  <c r="CP86" i="22"/>
  <c r="CO86" i="22"/>
  <c r="CN86" i="22"/>
  <c r="CM86" i="22"/>
  <c r="CL86" i="22"/>
  <c r="CK86" i="22"/>
  <c r="CJ86" i="22"/>
  <c r="CI86" i="22"/>
  <c r="CH86" i="22"/>
  <c r="CG86" i="22"/>
  <c r="CF86" i="22"/>
  <c r="CE86" i="22"/>
  <c r="CD86" i="22"/>
  <c r="CC86" i="22"/>
  <c r="CB86" i="22"/>
  <c r="CA86" i="22"/>
  <c r="BZ86" i="22"/>
  <c r="BY86" i="22"/>
  <c r="BX86" i="22"/>
  <c r="BW86" i="22"/>
  <c r="BV86" i="22"/>
  <c r="BU86" i="22"/>
  <c r="BT86" i="22"/>
  <c r="BS86" i="22"/>
  <c r="BR86" i="22"/>
  <c r="BQ86" i="22"/>
  <c r="BP86" i="22"/>
  <c r="BO86" i="22"/>
  <c r="BN86" i="22"/>
  <c r="BM86" i="22"/>
  <c r="BL86" i="22"/>
  <c r="BK86" i="22"/>
  <c r="BJ86" i="22"/>
  <c r="CS85" i="22"/>
  <c r="CQ85" i="22"/>
  <c r="CP85" i="22"/>
  <c r="CO85" i="22"/>
  <c r="CN85" i="22"/>
  <c r="CM85" i="22"/>
  <c r="CL85" i="22"/>
  <c r="CK85" i="22"/>
  <c r="CJ85" i="22"/>
  <c r="CI85" i="22"/>
  <c r="CH85" i="22"/>
  <c r="CG85" i="22"/>
  <c r="CF85" i="22"/>
  <c r="CE85" i="22"/>
  <c r="CD85" i="22"/>
  <c r="CC85" i="22"/>
  <c r="CB85" i="22"/>
  <c r="CA85" i="22"/>
  <c r="BZ85" i="22"/>
  <c r="BY85" i="22"/>
  <c r="BX85" i="22"/>
  <c r="BW85" i="22"/>
  <c r="BV85" i="22"/>
  <c r="BU85" i="22"/>
  <c r="BT85" i="22"/>
  <c r="BS85" i="22"/>
  <c r="BR85" i="22"/>
  <c r="BQ85" i="22"/>
  <c r="BP85" i="22"/>
  <c r="BO85" i="22"/>
  <c r="BN85" i="22"/>
  <c r="BM85" i="22"/>
  <c r="BL85" i="22"/>
  <c r="BK85" i="22"/>
  <c r="BJ85" i="22"/>
  <c r="CS84" i="22"/>
  <c r="CQ84" i="22"/>
  <c r="CP84" i="22"/>
  <c r="CO84" i="22"/>
  <c r="CN84" i="22"/>
  <c r="CM84" i="22"/>
  <c r="CL84" i="22"/>
  <c r="CK84" i="22"/>
  <c r="CJ84" i="22"/>
  <c r="CI84" i="22"/>
  <c r="CH84" i="22"/>
  <c r="CG84" i="22"/>
  <c r="CF84" i="22"/>
  <c r="CE84" i="22"/>
  <c r="CD84" i="22"/>
  <c r="CC84" i="22"/>
  <c r="CB84" i="22"/>
  <c r="CA84" i="22"/>
  <c r="BZ84" i="22"/>
  <c r="BY84" i="22"/>
  <c r="BX84" i="22"/>
  <c r="BW84" i="22"/>
  <c r="BV84" i="22"/>
  <c r="BU84" i="22"/>
  <c r="BT84" i="22"/>
  <c r="BS84" i="22"/>
  <c r="BR84" i="22"/>
  <c r="BQ84" i="22"/>
  <c r="BP84" i="22"/>
  <c r="BO84" i="22"/>
  <c r="BN84" i="22"/>
  <c r="BM84" i="22"/>
  <c r="BL84" i="22"/>
  <c r="BK84" i="22"/>
  <c r="BJ84" i="22"/>
  <c r="CS83" i="22"/>
  <c r="CQ83" i="22"/>
  <c r="CP83" i="22"/>
  <c r="CO83" i="22"/>
  <c r="CN83" i="22"/>
  <c r="CM83" i="22"/>
  <c r="CL83" i="22"/>
  <c r="CK83" i="22"/>
  <c r="CJ83" i="22"/>
  <c r="CI83" i="22"/>
  <c r="CH83" i="22"/>
  <c r="CG83" i="22"/>
  <c r="CF83" i="22"/>
  <c r="CE83" i="22"/>
  <c r="CD83" i="22"/>
  <c r="CC83" i="22"/>
  <c r="CB83" i="22"/>
  <c r="CA83" i="22"/>
  <c r="BZ83" i="22"/>
  <c r="BY83" i="22"/>
  <c r="BX83" i="22"/>
  <c r="BW83" i="22"/>
  <c r="BV83" i="22"/>
  <c r="BU83" i="22"/>
  <c r="BT83" i="22"/>
  <c r="BS83" i="22"/>
  <c r="BR83" i="22"/>
  <c r="BQ83" i="22"/>
  <c r="BP83" i="22"/>
  <c r="BO83" i="22"/>
  <c r="BN83" i="22"/>
  <c r="BM83" i="22"/>
  <c r="BL83" i="22"/>
  <c r="BK83" i="22"/>
  <c r="BJ83" i="22"/>
  <c r="CS82" i="22"/>
  <c r="CQ82" i="22"/>
  <c r="CP82" i="22"/>
  <c r="CO82" i="22"/>
  <c r="CN82" i="22"/>
  <c r="CM82" i="22"/>
  <c r="CL82" i="22"/>
  <c r="CK82" i="22"/>
  <c r="CJ82" i="22"/>
  <c r="CI82" i="22"/>
  <c r="CH82" i="22"/>
  <c r="CG82" i="22"/>
  <c r="CF82" i="22"/>
  <c r="CE82" i="22"/>
  <c r="CD82" i="22"/>
  <c r="CC82" i="22"/>
  <c r="CB82" i="22"/>
  <c r="CA82" i="22"/>
  <c r="BZ82" i="22"/>
  <c r="BY82" i="22"/>
  <c r="BX82" i="22"/>
  <c r="BW82" i="22"/>
  <c r="BV82" i="22"/>
  <c r="BU82" i="22"/>
  <c r="BT82" i="22"/>
  <c r="BS82" i="22"/>
  <c r="BR82" i="22"/>
  <c r="BQ82" i="22"/>
  <c r="BP82" i="22"/>
  <c r="BO82" i="22"/>
  <c r="BN82" i="22"/>
  <c r="BM82" i="22"/>
  <c r="BL82" i="22"/>
  <c r="BK82" i="22"/>
  <c r="BJ82" i="22"/>
  <c r="CS81" i="22"/>
  <c r="CQ81" i="22"/>
  <c r="CP81" i="22"/>
  <c r="CO81" i="22"/>
  <c r="CN81" i="22"/>
  <c r="CM81" i="22"/>
  <c r="CL81" i="22"/>
  <c r="CK81" i="22"/>
  <c r="CJ81" i="22"/>
  <c r="CI81" i="22"/>
  <c r="CH81" i="22"/>
  <c r="CG81" i="22"/>
  <c r="CF81" i="22"/>
  <c r="CE81" i="22"/>
  <c r="CD81" i="22"/>
  <c r="CC81" i="22"/>
  <c r="CB81" i="22"/>
  <c r="CA81" i="22"/>
  <c r="BZ81" i="22"/>
  <c r="BY81" i="22"/>
  <c r="BX81" i="22"/>
  <c r="BW81" i="22"/>
  <c r="BV81" i="22"/>
  <c r="BU81" i="22"/>
  <c r="BT81" i="22"/>
  <c r="BS81" i="22"/>
  <c r="BR81" i="22"/>
  <c r="BQ81" i="22"/>
  <c r="BP81" i="22"/>
  <c r="BO81" i="22"/>
  <c r="BN81" i="22"/>
  <c r="BM81" i="22"/>
  <c r="BL81" i="22"/>
  <c r="BK81" i="22"/>
  <c r="BJ81" i="22"/>
  <c r="CS80" i="22"/>
  <c r="CQ80" i="22"/>
  <c r="CP80" i="22"/>
  <c r="CO80" i="22"/>
  <c r="CN80" i="22"/>
  <c r="CM80" i="22"/>
  <c r="CL80" i="22"/>
  <c r="CK80" i="22"/>
  <c r="CJ80" i="22"/>
  <c r="CI80" i="22"/>
  <c r="CH80" i="22"/>
  <c r="CG80" i="22"/>
  <c r="CF80" i="22"/>
  <c r="CE80" i="22"/>
  <c r="CD80" i="22"/>
  <c r="CC80" i="22"/>
  <c r="CB80" i="22"/>
  <c r="CA80" i="22"/>
  <c r="BZ80" i="22"/>
  <c r="BY80" i="22"/>
  <c r="BX80" i="22"/>
  <c r="BW80" i="22"/>
  <c r="BV80" i="22"/>
  <c r="BU80" i="22"/>
  <c r="BT80" i="22"/>
  <c r="BS80" i="22"/>
  <c r="BR80" i="22"/>
  <c r="BQ80" i="22"/>
  <c r="BP80" i="22"/>
  <c r="BO80" i="22"/>
  <c r="BN80" i="22"/>
  <c r="BM80" i="22"/>
  <c r="BL80" i="22"/>
  <c r="BK80" i="22"/>
  <c r="BJ80" i="22"/>
  <c r="CS79" i="22"/>
  <c r="CQ79" i="22"/>
  <c r="CP79" i="22"/>
  <c r="CO79" i="22"/>
  <c r="CN79" i="22"/>
  <c r="CM79" i="22"/>
  <c r="CL79" i="22"/>
  <c r="CK79" i="22"/>
  <c r="CJ79" i="22"/>
  <c r="CI79" i="22"/>
  <c r="CH79" i="22"/>
  <c r="CG79" i="22"/>
  <c r="CF79" i="22"/>
  <c r="CE79" i="22"/>
  <c r="CD79" i="22"/>
  <c r="CC79" i="22"/>
  <c r="CB79" i="22"/>
  <c r="CA79" i="22"/>
  <c r="BZ79" i="22"/>
  <c r="BY79" i="22"/>
  <c r="BX79" i="22"/>
  <c r="BW79" i="22"/>
  <c r="BV79" i="22"/>
  <c r="BU79" i="22"/>
  <c r="BT79" i="22"/>
  <c r="BS79" i="22"/>
  <c r="BR79" i="22"/>
  <c r="BQ79" i="22"/>
  <c r="BP79" i="22"/>
  <c r="BO79" i="22"/>
  <c r="BN79" i="22"/>
  <c r="BM79" i="22"/>
  <c r="BL79" i="22"/>
  <c r="BK79" i="22"/>
  <c r="BJ79" i="22"/>
  <c r="CS78" i="22"/>
  <c r="CQ78" i="22"/>
  <c r="CP78" i="22"/>
  <c r="CO78" i="22"/>
  <c r="CN78" i="22"/>
  <c r="CM78" i="22"/>
  <c r="CL78" i="22"/>
  <c r="CK78" i="22"/>
  <c r="CJ78" i="22"/>
  <c r="CI78" i="22"/>
  <c r="CH78" i="22"/>
  <c r="CG78" i="22"/>
  <c r="CF78" i="22"/>
  <c r="CE78" i="22"/>
  <c r="CD78" i="22"/>
  <c r="CC78" i="22"/>
  <c r="CB78" i="22"/>
  <c r="CA78" i="22"/>
  <c r="BZ78" i="22"/>
  <c r="BY78" i="22"/>
  <c r="BX78" i="22"/>
  <c r="BW78" i="22"/>
  <c r="BV78" i="22"/>
  <c r="BU78" i="22"/>
  <c r="BT78" i="22"/>
  <c r="BS78" i="22"/>
  <c r="BR78" i="22"/>
  <c r="BQ78" i="22"/>
  <c r="BP78" i="22"/>
  <c r="BO78" i="22"/>
  <c r="BN78" i="22"/>
  <c r="BM78" i="22"/>
  <c r="BL78" i="22"/>
  <c r="BK78" i="22"/>
  <c r="BJ78" i="22"/>
  <c r="CS77" i="22"/>
  <c r="CQ77" i="22"/>
  <c r="CP77" i="22"/>
  <c r="CO77" i="22"/>
  <c r="CN77" i="22"/>
  <c r="CM77" i="22"/>
  <c r="CL77" i="22"/>
  <c r="CK77" i="22"/>
  <c r="CJ77" i="22"/>
  <c r="CI77" i="22"/>
  <c r="CH77" i="22"/>
  <c r="CG77"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CS76" i="22"/>
  <c r="CQ76" i="22"/>
  <c r="CP76" i="22"/>
  <c r="CO76" i="22"/>
  <c r="CN76" i="22"/>
  <c r="CM76" i="22"/>
  <c r="CL76" i="22"/>
  <c r="CK76" i="22"/>
  <c r="CJ76" i="22"/>
  <c r="CI76" i="22"/>
  <c r="CH76" i="22"/>
  <c r="CG76" i="22"/>
  <c r="CF76" i="22"/>
  <c r="CE76" i="22"/>
  <c r="CD76" i="22"/>
  <c r="CC76" i="22"/>
  <c r="CB76" i="22"/>
  <c r="CA76" i="22"/>
  <c r="BZ76" i="22"/>
  <c r="BY76" i="22"/>
  <c r="BX76" i="22"/>
  <c r="BW76" i="22"/>
  <c r="BV76" i="22"/>
  <c r="BU76" i="22"/>
  <c r="BT76" i="22"/>
  <c r="BS76" i="22"/>
  <c r="BR76" i="22"/>
  <c r="BQ76" i="22"/>
  <c r="BP76" i="22"/>
  <c r="BO76" i="22"/>
  <c r="BN76" i="22"/>
  <c r="BM76" i="22"/>
  <c r="BL76" i="22"/>
  <c r="BK76" i="22"/>
  <c r="BJ76" i="22"/>
  <c r="CS75" i="22"/>
  <c r="CQ75" i="22"/>
  <c r="CP75" i="22"/>
  <c r="CO75" i="22"/>
  <c r="CN75" i="22"/>
  <c r="CM75" i="22"/>
  <c r="CL75" i="22"/>
  <c r="CK75" i="22"/>
  <c r="CJ75" i="22"/>
  <c r="CI75" i="22"/>
  <c r="CH75" i="22"/>
  <c r="CG75" i="22"/>
  <c r="CF75" i="22"/>
  <c r="CE75" i="22"/>
  <c r="CD75" i="22"/>
  <c r="CC75" i="22"/>
  <c r="CB75" i="22"/>
  <c r="CA75" i="22"/>
  <c r="BZ75" i="22"/>
  <c r="BY75" i="22"/>
  <c r="BX75" i="22"/>
  <c r="BW75" i="22"/>
  <c r="BV75" i="22"/>
  <c r="BU75" i="22"/>
  <c r="BT75" i="22"/>
  <c r="BS75" i="22"/>
  <c r="BR75" i="22"/>
  <c r="BQ75" i="22"/>
  <c r="BP75" i="22"/>
  <c r="BO75" i="22"/>
  <c r="BN75" i="22"/>
  <c r="BM75" i="22"/>
  <c r="BL75" i="22"/>
  <c r="BK75" i="22"/>
  <c r="BJ75" i="22"/>
  <c r="CS74" i="22"/>
  <c r="CQ74" i="22"/>
  <c r="CP74" i="22"/>
  <c r="CO74" i="22"/>
  <c r="CN74" i="22"/>
  <c r="CM74" i="22"/>
  <c r="CL74" i="22"/>
  <c r="CK74" i="22"/>
  <c r="CJ74" i="22"/>
  <c r="CI74" i="22"/>
  <c r="CH74" i="22"/>
  <c r="CG74" i="22"/>
  <c r="CF74" i="22"/>
  <c r="CE74" i="22"/>
  <c r="CD74" i="22"/>
  <c r="CC74" i="22"/>
  <c r="CB74" i="22"/>
  <c r="CA74" i="22"/>
  <c r="BZ74" i="22"/>
  <c r="BY74" i="22"/>
  <c r="BX74" i="22"/>
  <c r="BW74" i="22"/>
  <c r="BV74" i="22"/>
  <c r="BU74" i="22"/>
  <c r="BT74" i="22"/>
  <c r="BS74" i="22"/>
  <c r="BR74" i="22"/>
  <c r="BQ74" i="22"/>
  <c r="BP74" i="22"/>
  <c r="BO74" i="22"/>
  <c r="BN74" i="22"/>
  <c r="BM74" i="22"/>
  <c r="BL74" i="22"/>
  <c r="BK74" i="22"/>
  <c r="BJ74" i="22"/>
  <c r="CS73" i="22"/>
  <c r="CQ73" i="22"/>
  <c r="CP73" i="22"/>
  <c r="CO73" i="22"/>
  <c r="CN73" i="22"/>
  <c r="CM73" i="22"/>
  <c r="CL73" i="22"/>
  <c r="CK73" i="22"/>
  <c r="CJ73" i="22"/>
  <c r="CI73" i="22"/>
  <c r="CH73" i="22"/>
  <c r="CG73" i="22"/>
  <c r="CF73" i="22"/>
  <c r="CE73" i="22"/>
  <c r="CD73" i="22"/>
  <c r="CC73" i="22"/>
  <c r="CB73" i="22"/>
  <c r="CA73" i="22"/>
  <c r="BZ73" i="22"/>
  <c r="BY73" i="22"/>
  <c r="BX73" i="22"/>
  <c r="BW73" i="22"/>
  <c r="BV73" i="22"/>
  <c r="BU73" i="22"/>
  <c r="BT73" i="22"/>
  <c r="BS73" i="22"/>
  <c r="BR73" i="22"/>
  <c r="BQ73" i="22"/>
  <c r="BP73" i="22"/>
  <c r="BO73" i="22"/>
  <c r="BN73" i="22"/>
  <c r="BM73" i="22"/>
  <c r="BL73" i="22"/>
  <c r="BK73" i="22"/>
  <c r="BJ73" i="22"/>
  <c r="CS72" i="22"/>
  <c r="CQ72" i="22"/>
  <c r="CP72" i="22"/>
  <c r="CO72" i="22"/>
  <c r="CN72" i="22"/>
  <c r="CM72" i="22"/>
  <c r="CL72" i="22"/>
  <c r="CK72" i="22"/>
  <c r="CJ72" i="22"/>
  <c r="CI72" i="22"/>
  <c r="CH72" i="22"/>
  <c r="CG72" i="22"/>
  <c r="CF72" i="22"/>
  <c r="CE72" i="22"/>
  <c r="CD72" i="22"/>
  <c r="CC72" i="22"/>
  <c r="CB72" i="22"/>
  <c r="CA72" i="22"/>
  <c r="BZ72" i="22"/>
  <c r="BY72" i="22"/>
  <c r="BX72" i="22"/>
  <c r="BW72" i="22"/>
  <c r="BV72" i="22"/>
  <c r="BU72" i="22"/>
  <c r="BT72" i="22"/>
  <c r="BS72" i="22"/>
  <c r="BR72" i="22"/>
  <c r="BQ72" i="22"/>
  <c r="BP72" i="22"/>
  <c r="BO72" i="22"/>
  <c r="BN72" i="22"/>
  <c r="BM72" i="22"/>
  <c r="BL72" i="22"/>
  <c r="BK72" i="22"/>
  <c r="BJ72" i="22"/>
  <c r="CS71" i="22"/>
  <c r="CQ71" i="22"/>
  <c r="CP71" i="22"/>
  <c r="CO71" i="22"/>
  <c r="CN71" i="22"/>
  <c r="CM71" i="22"/>
  <c r="CL71" i="22"/>
  <c r="CK71" i="22"/>
  <c r="CJ71" i="22"/>
  <c r="CI71" i="22"/>
  <c r="CH71" i="22"/>
  <c r="CG71"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CS70" i="22"/>
  <c r="CQ70" i="22"/>
  <c r="CP70" i="22"/>
  <c r="CO70" i="22"/>
  <c r="CN70" i="22"/>
  <c r="CM70" i="22"/>
  <c r="CL70" i="22"/>
  <c r="CK70" i="22"/>
  <c r="CJ70" i="22"/>
  <c r="CI70" i="22"/>
  <c r="CH70" i="22"/>
  <c r="CG70" i="22"/>
  <c r="CF70" i="22"/>
  <c r="CE70" i="22"/>
  <c r="CD70" i="22"/>
  <c r="CC70" i="22"/>
  <c r="CB70" i="22"/>
  <c r="CA70" i="22"/>
  <c r="BZ70" i="22"/>
  <c r="BY70" i="22"/>
  <c r="BX70" i="22"/>
  <c r="BW70" i="22"/>
  <c r="BV70" i="22"/>
  <c r="BU70" i="22"/>
  <c r="BT70" i="22"/>
  <c r="BS70" i="22"/>
  <c r="BR70" i="22"/>
  <c r="BQ70" i="22"/>
  <c r="BP70" i="22"/>
  <c r="BO70" i="22"/>
  <c r="BN70" i="22"/>
  <c r="BM70" i="22"/>
  <c r="BL70" i="22"/>
  <c r="BK70" i="22"/>
  <c r="BJ70" i="22"/>
  <c r="CS69" i="22"/>
  <c r="CQ69" i="22"/>
  <c r="CP69" i="22"/>
  <c r="CO69" i="22"/>
  <c r="CN69" i="22"/>
  <c r="CM69" i="22"/>
  <c r="CL69" i="22"/>
  <c r="CK69" i="22"/>
  <c r="CJ69" i="22"/>
  <c r="CI69" i="22"/>
  <c r="CH69" i="22"/>
  <c r="CG69" i="22"/>
  <c r="CF69" i="22"/>
  <c r="CE69" i="22"/>
  <c r="CD69" i="22"/>
  <c r="CC69" i="22"/>
  <c r="CB69" i="22"/>
  <c r="CA69" i="22"/>
  <c r="BZ69" i="22"/>
  <c r="BY69" i="22"/>
  <c r="BX69" i="22"/>
  <c r="BW69" i="22"/>
  <c r="BV69" i="22"/>
  <c r="BU69" i="22"/>
  <c r="BT69" i="22"/>
  <c r="BS69" i="22"/>
  <c r="BR69" i="22"/>
  <c r="BQ69" i="22"/>
  <c r="BP69" i="22"/>
  <c r="BO69" i="22"/>
  <c r="BN69" i="22"/>
  <c r="BM69" i="22"/>
  <c r="BL69" i="22"/>
  <c r="BK69" i="22"/>
  <c r="BJ69" i="22"/>
  <c r="CS68" i="22"/>
  <c r="CQ68" i="22"/>
  <c r="CP68" i="22"/>
  <c r="CO68" i="22"/>
  <c r="CN68" i="22"/>
  <c r="CM68" i="22"/>
  <c r="CL68" i="22"/>
  <c r="CK68" i="22"/>
  <c r="CJ68" i="22"/>
  <c r="CI68" i="22"/>
  <c r="CH68" i="22"/>
  <c r="CG68"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CS67" i="22"/>
  <c r="CQ67" i="22"/>
  <c r="CP67" i="22"/>
  <c r="CO67" i="22"/>
  <c r="CN67" i="22"/>
  <c r="CM67" i="22"/>
  <c r="CL67" i="22"/>
  <c r="CK67" i="22"/>
  <c r="CJ67" i="22"/>
  <c r="CI67" i="22"/>
  <c r="CH67" i="22"/>
  <c r="CG67" i="22"/>
  <c r="CF67" i="22"/>
  <c r="CE67" i="22"/>
  <c r="CD67" i="22"/>
  <c r="CC67" i="22"/>
  <c r="CB67" i="22"/>
  <c r="CA67" i="22"/>
  <c r="BZ67" i="22"/>
  <c r="BY67" i="22"/>
  <c r="BX67" i="22"/>
  <c r="BW67" i="22"/>
  <c r="BV67" i="22"/>
  <c r="BU67" i="22"/>
  <c r="BT67" i="22"/>
  <c r="BS67" i="22"/>
  <c r="BR67" i="22"/>
  <c r="BQ67" i="22"/>
  <c r="BP67" i="22"/>
  <c r="BO67" i="22"/>
  <c r="BN67" i="22"/>
  <c r="BM67" i="22"/>
  <c r="BL67" i="22"/>
  <c r="BK67" i="22"/>
  <c r="BJ67" i="22"/>
  <c r="CS66" i="22"/>
  <c r="CQ66" i="22"/>
  <c r="CP66" i="22"/>
  <c r="CO66" i="22"/>
  <c r="CN66" i="22"/>
  <c r="CM66" i="22"/>
  <c r="CL66" i="22"/>
  <c r="CK66" i="22"/>
  <c r="CJ66" i="22"/>
  <c r="CI66" i="22"/>
  <c r="CH66" i="22"/>
  <c r="CG66"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CS65" i="22"/>
  <c r="CQ65" i="22"/>
  <c r="CP65" i="22"/>
  <c r="CO65" i="22"/>
  <c r="CN65" i="22"/>
  <c r="CM65" i="22"/>
  <c r="CL65" i="22"/>
  <c r="CK65" i="22"/>
  <c r="CJ65" i="22"/>
  <c r="CI65" i="22"/>
  <c r="CH65" i="22"/>
  <c r="CG65" i="22"/>
  <c r="CF65" i="22"/>
  <c r="CE65" i="22"/>
  <c r="CD65" i="22"/>
  <c r="CC65" i="22"/>
  <c r="CB65" i="22"/>
  <c r="CA65" i="22"/>
  <c r="BZ65" i="22"/>
  <c r="BY65" i="22"/>
  <c r="BX65" i="22"/>
  <c r="BW65" i="22"/>
  <c r="BV65" i="22"/>
  <c r="BU65" i="22"/>
  <c r="BT65" i="22"/>
  <c r="BS65" i="22"/>
  <c r="BR65" i="22"/>
  <c r="BQ65" i="22"/>
  <c r="BP65" i="22"/>
  <c r="BO65" i="22"/>
  <c r="BN65" i="22"/>
  <c r="BM65" i="22"/>
  <c r="BL65" i="22"/>
  <c r="BK65" i="22"/>
  <c r="BJ65" i="22"/>
  <c r="CS64" i="22"/>
  <c r="CQ64" i="22"/>
  <c r="CP64" i="22"/>
  <c r="CO64" i="22"/>
  <c r="CN64" i="22"/>
  <c r="CM64" i="22"/>
  <c r="CL64" i="22"/>
  <c r="CK64" i="22"/>
  <c r="CJ64" i="22"/>
  <c r="CI64" i="22"/>
  <c r="CH64" i="22"/>
  <c r="CG64" i="22"/>
  <c r="CF64" i="22"/>
  <c r="CE64" i="22"/>
  <c r="CD64" i="22"/>
  <c r="CC64" i="22"/>
  <c r="CB64" i="22"/>
  <c r="CA64" i="22"/>
  <c r="BZ64" i="22"/>
  <c r="BY64" i="22"/>
  <c r="BX64" i="22"/>
  <c r="BW64" i="22"/>
  <c r="BV64" i="22"/>
  <c r="BU64" i="22"/>
  <c r="BT64" i="22"/>
  <c r="BS64" i="22"/>
  <c r="BR64" i="22"/>
  <c r="BQ64" i="22"/>
  <c r="BP64" i="22"/>
  <c r="BO64" i="22"/>
  <c r="BN64" i="22"/>
  <c r="BM64" i="22"/>
  <c r="BL64" i="22"/>
  <c r="BK64" i="22"/>
  <c r="BJ64" i="22"/>
  <c r="CS63" i="22"/>
  <c r="CQ63" i="22"/>
  <c r="CP63" i="22"/>
  <c r="CO63" i="22"/>
  <c r="CN63" i="22"/>
  <c r="CM63" i="22"/>
  <c r="CL63" i="22"/>
  <c r="CK63" i="22"/>
  <c r="CJ63" i="22"/>
  <c r="CI63" i="22"/>
  <c r="CH63" i="22"/>
  <c r="CG63" i="22"/>
  <c r="CF63" i="22"/>
  <c r="CE63" i="22"/>
  <c r="CD63" i="22"/>
  <c r="CC63" i="22"/>
  <c r="CB63" i="22"/>
  <c r="CA63" i="22"/>
  <c r="BZ63" i="22"/>
  <c r="BY63" i="22"/>
  <c r="BX63" i="22"/>
  <c r="BW63" i="22"/>
  <c r="BV63" i="22"/>
  <c r="BU63" i="22"/>
  <c r="BT63" i="22"/>
  <c r="BS63" i="22"/>
  <c r="BR63" i="22"/>
  <c r="BQ63" i="22"/>
  <c r="BP63" i="22"/>
  <c r="BO63" i="22"/>
  <c r="BN63" i="22"/>
  <c r="BM63" i="22"/>
  <c r="BL63" i="22"/>
  <c r="BK63" i="22"/>
  <c r="BJ63" i="22"/>
  <c r="CS62" i="22"/>
  <c r="CQ62" i="22"/>
  <c r="CP62" i="22"/>
  <c r="CO62" i="22"/>
  <c r="CN62" i="22"/>
  <c r="CM62" i="22"/>
  <c r="CL62" i="22"/>
  <c r="CK62" i="22"/>
  <c r="CJ62" i="22"/>
  <c r="CI62" i="22"/>
  <c r="CH62" i="22"/>
  <c r="CG62"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CS61" i="22"/>
  <c r="CQ61" i="22"/>
  <c r="CP61" i="22"/>
  <c r="CO61" i="22"/>
  <c r="CN61" i="22"/>
  <c r="CM61" i="22"/>
  <c r="CL61" i="22"/>
  <c r="CK61" i="22"/>
  <c r="CJ61" i="22"/>
  <c r="CI61" i="22"/>
  <c r="CH61" i="22"/>
  <c r="CG61" i="22"/>
  <c r="CF61" i="22"/>
  <c r="CE61" i="22"/>
  <c r="CD61" i="22"/>
  <c r="CC61" i="22"/>
  <c r="CB61" i="22"/>
  <c r="CA61" i="22"/>
  <c r="BZ61" i="22"/>
  <c r="BY61" i="22"/>
  <c r="BX61" i="22"/>
  <c r="BW61" i="22"/>
  <c r="BV61" i="22"/>
  <c r="BU61" i="22"/>
  <c r="BT61" i="22"/>
  <c r="BS61" i="22"/>
  <c r="BR61" i="22"/>
  <c r="BQ61" i="22"/>
  <c r="BP61" i="22"/>
  <c r="BO61" i="22"/>
  <c r="BN61" i="22"/>
  <c r="BM61" i="22"/>
  <c r="BL61" i="22"/>
  <c r="BK61" i="22"/>
  <c r="BJ61" i="22"/>
  <c r="CS60" i="22"/>
  <c r="CQ60" i="22"/>
  <c r="CP60" i="22"/>
  <c r="CO60" i="22"/>
  <c r="CN60" i="22"/>
  <c r="CM60" i="22"/>
  <c r="CL60" i="22"/>
  <c r="CK60" i="22"/>
  <c r="CJ60" i="22"/>
  <c r="CI60" i="22"/>
  <c r="CH60" i="22"/>
  <c r="CG60" i="22"/>
  <c r="CF60" i="22"/>
  <c r="CE60" i="22"/>
  <c r="CD60" i="22"/>
  <c r="CC60" i="22"/>
  <c r="CB60" i="22"/>
  <c r="CA60" i="22"/>
  <c r="BZ60" i="22"/>
  <c r="BY60" i="22"/>
  <c r="BX60" i="22"/>
  <c r="BW60" i="22"/>
  <c r="BV60" i="22"/>
  <c r="BU60" i="22"/>
  <c r="BT60" i="22"/>
  <c r="BS60" i="22"/>
  <c r="BR60" i="22"/>
  <c r="BQ60" i="22"/>
  <c r="BP60" i="22"/>
  <c r="BO60" i="22"/>
  <c r="BN60" i="22"/>
  <c r="BM60" i="22"/>
  <c r="BL60" i="22"/>
  <c r="BK60" i="22"/>
  <c r="BJ60" i="22"/>
  <c r="CS59" i="22"/>
  <c r="CQ59" i="22"/>
  <c r="CP59" i="22"/>
  <c r="CO59" i="22"/>
  <c r="CN59" i="22"/>
  <c r="CM59" i="22"/>
  <c r="CL59" i="22"/>
  <c r="CK59" i="22"/>
  <c r="CJ59" i="22"/>
  <c r="CI59" i="22"/>
  <c r="CH59" i="22"/>
  <c r="CG59" i="22"/>
  <c r="CF59" i="22"/>
  <c r="CE59" i="22"/>
  <c r="CD59" i="22"/>
  <c r="CC59" i="22"/>
  <c r="CB59" i="22"/>
  <c r="CA59" i="22"/>
  <c r="BZ59" i="22"/>
  <c r="BY59" i="22"/>
  <c r="BX59" i="22"/>
  <c r="BW59" i="22"/>
  <c r="BV59" i="22"/>
  <c r="BU59" i="22"/>
  <c r="BT59" i="22"/>
  <c r="BS59" i="22"/>
  <c r="BR59" i="22"/>
  <c r="BQ59" i="22"/>
  <c r="BP59" i="22"/>
  <c r="BO59" i="22"/>
  <c r="BN59" i="22"/>
  <c r="BM59" i="22"/>
  <c r="BL59" i="22"/>
  <c r="BK59" i="22"/>
  <c r="BJ59" i="22"/>
  <c r="CS58" i="22"/>
  <c r="CQ58" i="22"/>
  <c r="CP58" i="22"/>
  <c r="CO58" i="22"/>
  <c r="CN58" i="22"/>
  <c r="CM58" i="22"/>
  <c r="CL58" i="22"/>
  <c r="CK58" i="22"/>
  <c r="CJ58" i="22"/>
  <c r="CI58" i="22"/>
  <c r="CH58" i="22"/>
  <c r="CG58" i="22"/>
  <c r="CF58" i="22"/>
  <c r="CE58" i="22"/>
  <c r="CD58" i="22"/>
  <c r="CC58" i="22"/>
  <c r="CB58" i="22"/>
  <c r="CA58" i="22"/>
  <c r="BZ58" i="22"/>
  <c r="BY58" i="22"/>
  <c r="BX58" i="22"/>
  <c r="BW58" i="22"/>
  <c r="BV58" i="22"/>
  <c r="BU58" i="22"/>
  <c r="BT58" i="22"/>
  <c r="BS58" i="22"/>
  <c r="BR58" i="22"/>
  <c r="BQ58" i="22"/>
  <c r="BP58" i="22"/>
  <c r="BO58" i="22"/>
  <c r="BN58" i="22"/>
  <c r="BM58" i="22"/>
  <c r="BL58" i="22"/>
  <c r="BK58" i="22"/>
  <c r="BJ58" i="22"/>
  <c r="CS57" i="22"/>
  <c r="CQ57" i="22"/>
  <c r="CP57" i="22"/>
  <c r="CO57" i="22"/>
  <c r="CN57" i="22"/>
  <c r="CM57" i="22"/>
  <c r="CL57" i="22"/>
  <c r="CK57" i="22"/>
  <c r="CJ57" i="22"/>
  <c r="CI57" i="22"/>
  <c r="CH57" i="22"/>
  <c r="CG57" i="22"/>
  <c r="CF57" i="22"/>
  <c r="CE57" i="22"/>
  <c r="CD57" i="22"/>
  <c r="CC57" i="22"/>
  <c r="CB57" i="22"/>
  <c r="CA57" i="22"/>
  <c r="BZ57" i="22"/>
  <c r="BY57" i="22"/>
  <c r="BX57" i="22"/>
  <c r="BW57" i="22"/>
  <c r="BV57" i="22"/>
  <c r="BU57" i="22"/>
  <c r="BT57" i="22"/>
  <c r="BS57" i="22"/>
  <c r="BR57" i="22"/>
  <c r="BQ57" i="22"/>
  <c r="BP57" i="22"/>
  <c r="BO57" i="22"/>
  <c r="BN57" i="22"/>
  <c r="BM57" i="22"/>
  <c r="BL57" i="22"/>
  <c r="BK57" i="22"/>
  <c r="BJ57" i="22"/>
  <c r="CS56" i="22"/>
  <c r="CQ56" i="22"/>
  <c r="CP56" i="22"/>
  <c r="CO56" i="22"/>
  <c r="CN56" i="22"/>
  <c r="CM56" i="22"/>
  <c r="CL56" i="22"/>
  <c r="CK56" i="22"/>
  <c r="CJ56" i="22"/>
  <c r="CI56" i="22"/>
  <c r="CH56" i="22"/>
  <c r="CG56"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CS55" i="22"/>
  <c r="CQ55" i="22"/>
  <c r="CP55" i="22"/>
  <c r="CO55" i="22"/>
  <c r="CN55" i="22"/>
  <c r="CM55" i="22"/>
  <c r="CL55" i="22"/>
  <c r="CK55" i="22"/>
  <c r="CJ55" i="22"/>
  <c r="CI55" i="22"/>
  <c r="CH55" i="22"/>
  <c r="CG55" i="22"/>
  <c r="CF55" i="22"/>
  <c r="CE55" i="22"/>
  <c r="CD55" i="22"/>
  <c r="CC55" i="22"/>
  <c r="CB55" i="22"/>
  <c r="CA55" i="22"/>
  <c r="BZ55" i="22"/>
  <c r="BY55" i="22"/>
  <c r="BX55" i="22"/>
  <c r="BW55" i="22"/>
  <c r="BV55" i="22"/>
  <c r="BU55" i="22"/>
  <c r="BT55" i="22"/>
  <c r="BS55" i="22"/>
  <c r="BR55" i="22"/>
  <c r="BQ55" i="22"/>
  <c r="BP55" i="22"/>
  <c r="BO55" i="22"/>
  <c r="BN55" i="22"/>
  <c r="BM55" i="22"/>
  <c r="BL55" i="22"/>
  <c r="BK55" i="22"/>
  <c r="BJ55" i="22"/>
  <c r="CS54" i="22"/>
  <c r="CQ54" i="22"/>
  <c r="CP54" i="22"/>
  <c r="CO54" i="22"/>
  <c r="CN54" i="22"/>
  <c r="CM54" i="22"/>
  <c r="CL54" i="22"/>
  <c r="CK54" i="22"/>
  <c r="CJ54" i="22"/>
  <c r="CI54" i="22"/>
  <c r="CH54" i="22"/>
  <c r="CG54"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CS53" i="22"/>
  <c r="CQ53" i="22"/>
  <c r="CP53" i="22"/>
  <c r="CO53" i="22"/>
  <c r="CN53" i="22"/>
  <c r="CM53" i="22"/>
  <c r="CL53" i="22"/>
  <c r="CK53" i="22"/>
  <c r="CJ53" i="22"/>
  <c r="CI53" i="22"/>
  <c r="CH53" i="22"/>
  <c r="CG53" i="22"/>
  <c r="CF53" i="22"/>
  <c r="CE53" i="22"/>
  <c r="CD53" i="22"/>
  <c r="CC53" i="22"/>
  <c r="CB53" i="22"/>
  <c r="CA53" i="22"/>
  <c r="BZ53" i="22"/>
  <c r="BY53" i="22"/>
  <c r="BX53" i="22"/>
  <c r="BW53" i="22"/>
  <c r="BV53" i="22"/>
  <c r="BU53" i="22"/>
  <c r="BT53" i="22"/>
  <c r="BS53" i="22"/>
  <c r="BR53" i="22"/>
  <c r="BQ53" i="22"/>
  <c r="BP53" i="22"/>
  <c r="BO53" i="22"/>
  <c r="BN53" i="22"/>
  <c r="BM53" i="22"/>
  <c r="BL53" i="22"/>
  <c r="BK53" i="22"/>
  <c r="BJ53" i="22"/>
  <c r="CS52" i="22"/>
  <c r="CQ52" i="22"/>
  <c r="CP52" i="22"/>
  <c r="CO52" i="22"/>
  <c r="CN52" i="22"/>
  <c r="CM52" i="22"/>
  <c r="CL52" i="22"/>
  <c r="CK52" i="22"/>
  <c r="CJ52" i="22"/>
  <c r="CI52" i="22"/>
  <c r="CH52" i="22"/>
  <c r="CG52"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CS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CS50" i="22"/>
  <c r="CQ50" i="22"/>
  <c r="CP50" i="22"/>
  <c r="CO50" i="22"/>
  <c r="CN50" i="22"/>
  <c r="CM50" i="22"/>
  <c r="CL50" i="22"/>
  <c r="CK50" i="22"/>
  <c r="CJ50" i="22"/>
  <c r="CI50" i="22"/>
  <c r="CH50" i="22"/>
  <c r="CG50" i="22"/>
  <c r="CF50" i="22"/>
  <c r="CE50" i="22"/>
  <c r="CD50" i="22"/>
  <c r="CC50" i="22"/>
  <c r="CB50" i="22"/>
  <c r="CA50" i="22"/>
  <c r="BZ50" i="22"/>
  <c r="BY50" i="22"/>
  <c r="BX50" i="22"/>
  <c r="BW50" i="22"/>
  <c r="BV50" i="22"/>
  <c r="BU50" i="22"/>
  <c r="BT50" i="22"/>
  <c r="BS50" i="22"/>
  <c r="BR50" i="22"/>
  <c r="BQ50" i="22"/>
  <c r="BP50" i="22"/>
  <c r="BO50" i="22"/>
  <c r="BN50" i="22"/>
  <c r="BM50" i="22"/>
  <c r="BL50" i="22"/>
  <c r="BK50" i="22"/>
  <c r="BJ50" i="22"/>
  <c r="CS49" i="22"/>
  <c r="CQ49" i="22"/>
  <c r="CP49" i="22"/>
  <c r="CO49" i="22"/>
  <c r="CN49" i="22"/>
  <c r="CM49" i="22"/>
  <c r="CL49" i="22"/>
  <c r="CK49" i="22"/>
  <c r="CJ49" i="22"/>
  <c r="CI49" i="22"/>
  <c r="CH49" i="22"/>
  <c r="CG49" i="22"/>
  <c r="CF49" i="22"/>
  <c r="CE49" i="22"/>
  <c r="CD49" i="22"/>
  <c r="CC49" i="22"/>
  <c r="CB49" i="22"/>
  <c r="CA49" i="22"/>
  <c r="BZ49" i="22"/>
  <c r="BY49" i="22"/>
  <c r="BX49" i="22"/>
  <c r="BW49" i="22"/>
  <c r="BV49" i="22"/>
  <c r="BU49" i="22"/>
  <c r="BT49" i="22"/>
  <c r="BS49" i="22"/>
  <c r="BR49" i="22"/>
  <c r="BQ49" i="22"/>
  <c r="BP49" i="22"/>
  <c r="BO49" i="22"/>
  <c r="BN49" i="22"/>
  <c r="BM49" i="22"/>
  <c r="BL49" i="22"/>
  <c r="BK49" i="22"/>
  <c r="BJ49" i="22"/>
  <c r="CS48" i="22"/>
  <c r="CQ48" i="22"/>
  <c r="CP48" i="22"/>
  <c r="CO48" i="22"/>
  <c r="CN48" i="22"/>
  <c r="CM48" i="22"/>
  <c r="CL48" i="22"/>
  <c r="CK48" i="22"/>
  <c r="CJ48" i="22"/>
  <c r="CI48" i="22"/>
  <c r="CH48" i="22"/>
  <c r="CG48" i="22"/>
  <c r="CF48" i="22"/>
  <c r="CE48" i="22"/>
  <c r="CD48" i="22"/>
  <c r="CC48" i="22"/>
  <c r="CB48" i="22"/>
  <c r="CA48" i="22"/>
  <c r="BZ48" i="22"/>
  <c r="BY48" i="22"/>
  <c r="BX48" i="22"/>
  <c r="BW48" i="22"/>
  <c r="BV48" i="22"/>
  <c r="BU48" i="22"/>
  <c r="BT48" i="22"/>
  <c r="BS48" i="22"/>
  <c r="BR48" i="22"/>
  <c r="BQ48" i="22"/>
  <c r="BP48" i="22"/>
  <c r="BO48" i="22"/>
  <c r="BN48" i="22"/>
  <c r="BM48" i="22"/>
  <c r="BL48" i="22"/>
  <c r="BK48" i="22"/>
  <c r="BJ48" i="22"/>
  <c r="CS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CS46" i="22"/>
  <c r="CQ46" i="22"/>
  <c r="CP46" i="22"/>
  <c r="CO46" i="22"/>
  <c r="CN46" i="22"/>
  <c r="CM46" i="22"/>
  <c r="CL46" i="22"/>
  <c r="CK46" i="22"/>
  <c r="CJ46" i="22"/>
  <c r="CI46" i="22"/>
  <c r="CH46" i="22"/>
  <c r="CG46" i="22"/>
  <c r="CF46" i="22"/>
  <c r="CE46" i="22"/>
  <c r="CD46" i="22"/>
  <c r="CC46" i="22"/>
  <c r="CB46" i="22"/>
  <c r="CA46" i="22"/>
  <c r="BZ46" i="22"/>
  <c r="BY46" i="22"/>
  <c r="BX46" i="22"/>
  <c r="BW46" i="22"/>
  <c r="BV46" i="22"/>
  <c r="BU46" i="22"/>
  <c r="BT46" i="22"/>
  <c r="BS46" i="22"/>
  <c r="BR46" i="22"/>
  <c r="BQ46" i="22"/>
  <c r="BP46" i="22"/>
  <c r="BO46" i="22"/>
  <c r="BN46" i="22"/>
  <c r="BM46" i="22"/>
  <c r="BL46" i="22"/>
  <c r="BK46" i="22"/>
  <c r="BJ46" i="22"/>
  <c r="CS45" i="22"/>
  <c r="CQ45" i="22"/>
  <c r="CP45" i="22"/>
  <c r="CO45" i="22"/>
  <c r="CN45" i="22"/>
  <c r="CM45" i="22"/>
  <c r="CL45" i="22"/>
  <c r="CK45" i="22"/>
  <c r="CJ45" i="22"/>
  <c r="CI45" i="22"/>
  <c r="CH45" i="22"/>
  <c r="CG45" i="22"/>
  <c r="CF45" i="22"/>
  <c r="CE45" i="22"/>
  <c r="CD45" i="22"/>
  <c r="CC45" i="22"/>
  <c r="CB45" i="22"/>
  <c r="CA45" i="22"/>
  <c r="BZ45" i="22"/>
  <c r="BY45" i="22"/>
  <c r="BX45" i="22"/>
  <c r="BW45" i="22"/>
  <c r="BV45" i="22"/>
  <c r="BU45" i="22"/>
  <c r="BT45" i="22"/>
  <c r="BS45" i="22"/>
  <c r="BR45" i="22"/>
  <c r="BQ45" i="22"/>
  <c r="BP45" i="22"/>
  <c r="BO45" i="22"/>
  <c r="BN45" i="22"/>
  <c r="BM45" i="22"/>
  <c r="BL45" i="22"/>
  <c r="BK45" i="22"/>
  <c r="BJ45" i="22"/>
  <c r="CS44" i="22"/>
  <c r="CQ44" i="22"/>
  <c r="CP44" i="22"/>
  <c r="CO44" i="22"/>
  <c r="CN44" i="22"/>
  <c r="CM44" i="22"/>
  <c r="CL44" i="22"/>
  <c r="CK44" i="22"/>
  <c r="CJ44" i="22"/>
  <c r="CI44" i="22"/>
  <c r="CH44" i="22"/>
  <c r="CG44"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CS43" i="22"/>
  <c r="CQ43" i="22"/>
  <c r="CP43" i="22"/>
  <c r="CO43" i="22"/>
  <c r="CN43" i="22"/>
  <c r="CM43" i="22"/>
  <c r="CL43" i="22"/>
  <c r="CK43" i="22"/>
  <c r="CJ43" i="22"/>
  <c r="CI43" i="22"/>
  <c r="CH43" i="22"/>
  <c r="CG43" i="22"/>
  <c r="CF43" i="22"/>
  <c r="CE43" i="22"/>
  <c r="CD43" i="22"/>
  <c r="CC43" i="22"/>
  <c r="CB43" i="22"/>
  <c r="CA43" i="22"/>
  <c r="BZ43" i="22"/>
  <c r="BY43" i="22"/>
  <c r="BX43" i="22"/>
  <c r="BW43" i="22"/>
  <c r="BV43" i="22"/>
  <c r="BU43" i="22"/>
  <c r="BT43" i="22"/>
  <c r="BS43" i="22"/>
  <c r="BR43" i="22"/>
  <c r="BQ43" i="22"/>
  <c r="BP43" i="22"/>
  <c r="BO43" i="22"/>
  <c r="BN43" i="22"/>
  <c r="BM43" i="22"/>
  <c r="BL43" i="22"/>
  <c r="BK43" i="22"/>
  <c r="BJ43" i="22"/>
  <c r="CS42" i="22"/>
  <c r="CQ42" i="22"/>
  <c r="CP42" i="22"/>
  <c r="CO42" i="22"/>
  <c r="CN42" i="22"/>
  <c r="CM42" i="22"/>
  <c r="CL42" i="22"/>
  <c r="CK42" i="22"/>
  <c r="CJ42" i="22"/>
  <c r="CI42" i="22"/>
  <c r="CH42" i="22"/>
  <c r="CG42"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CS41" i="22"/>
  <c r="CQ41" i="22"/>
  <c r="CP41" i="22"/>
  <c r="CO41" i="22"/>
  <c r="CN41" i="22"/>
  <c r="CM41" i="22"/>
  <c r="CL41" i="22"/>
  <c r="CK41" i="22"/>
  <c r="CJ41" i="22"/>
  <c r="CI41" i="22"/>
  <c r="CH41" i="22"/>
  <c r="CG41" i="22"/>
  <c r="CF41" i="22"/>
  <c r="CE41" i="22"/>
  <c r="CD41" i="22"/>
  <c r="CC41" i="22"/>
  <c r="CB41" i="22"/>
  <c r="CA41" i="22"/>
  <c r="BZ41" i="22"/>
  <c r="BY41" i="22"/>
  <c r="BX41" i="22"/>
  <c r="BW41" i="22"/>
  <c r="BV41" i="22"/>
  <c r="BU41" i="22"/>
  <c r="BT41" i="22"/>
  <c r="BS41" i="22"/>
  <c r="BR41" i="22"/>
  <c r="BQ41" i="22"/>
  <c r="BP41" i="22"/>
  <c r="BO41" i="22"/>
  <c r="BN41" i="22"/>
  <c r="BM41" i="22"/>
  <c r="BL41" i="22"/>
  <c r="BK41" i="22"/>
  <c r="BJ41" i="22"/>
  <c r="CS40" i="22"/>
  <c r="CQ40" i="22"/>
  <c r="CP40" i="22"/>
  <c r="CO40" i="22"/>
  <c r="CN40" i="22"/>
  <c r="CM40" i="22"/>
  <c r="CL40" i="22"/>
  <c r="CK40" i="22"/>
  <c r="CJ40" i="22"/>
  <c r="CI40" i="22"/>
  <c r="CH40" i="22"/>
  <c r="CG40" i="22"/>
  <c r="CF40" i="22"/>
  <c r="CE40" i="22"/>
  <c r="CD40" i="22"/>
  <c r="CC40" i="22"/>
  <c r="CB40" i="22"/>
  <c r="CA40" i="22"/>
  <c r="BZ40" i="22"/>
  <c r="BY40" i="22"/>
  <c r="BX40" i="22"/>
  <c r="BW40" i="22"/>
  <c r="BV40" i="22"/>
  <c r="BU40" i="22"/>
  <c r="BT40" i="22"/>
  <c r="BS40" i="22"/>
  <c r="BR40" i="22"/>
  <c r="BQ40" i="22"/>
  <c r="BP40" i="22"/>
  <c r="BO40" i="22"/>
  <c r="BN40" i="22"/>
  <c r="BM40" i="22"/>
  <c r="BL40" i="22"/>
  <c r="BK40" i="22"/>
  <c r="BJ40" i="22"/>
  <c r="CS39" i="22"/>
  <c r="CQ39" i="22"/>
  <c r="CP39" i="22"/>
  <c r="CO39" i="22"/>
  <c r="CN39" i="22"/>
  <c r="CM39" i="22"/>
  <c r="CL39" i="22"/>
  <c r="CK39" i="22"/>
  <c r="CJ39" i="22"/>
  <c r="CI39" i="22"/>
  <c r="CH39" i="22"/>
  <c r="CG39" i="22"/>
  <c r="CF39" i="22"/>
  <c r="CE39" i="22"/>
  <c r="CD39" i="22"/>
  <c r="CC39" i="22"/>
  <c r="CB39" i="22"/>
  <c r="CA39" i="22"/>
  <c r="BZ39" i="22"/>
  <c r="BY39" i="22"/>
  <c r="BX39" i="22"/>
  <c r="BW39" i="22"/>
  <c r="BV39" i="22"/>
  <c r="BU39" i="22"/>
  <c r="BT39" i="22"/>
  <c r="BS39" i="22"/>
  <c r="BR39" i="22"/>
  <c r="BQ39" i="22"/>
  <c r="BP39" i="22"/>
  <c r="BO39" i="22"/>
  <c r="BN39" i="22"/>
  <c r="BM39" i="22"/>
  <c r="BL39" i="22"/>
  <c r="BK39" i="22"/>
  <c r="BJ39" i="22"/>
  <c r="CS38" i="22"/>
  <c r="CQ38" i="22"/>
  <c r="CP38" i="22"/>
  <c r="CO38" i="22"/>
  <c r="CN38" i="22"/>
  <c r="CM38" i="22"/>
  <c r="CL38" i="22"/>
  <c r="CK38" i="22"/>
  <c r="CJ38" i="22"/>
  <c r="CI38" i="22"/>
  <c r="CH38" i="22"/>
  <c r="CG38" i="22"/>
  <c r="CF38" i="22"/>
  <c r="CE38" i="22"/>
  <c r="CD38" i="22"/>
  <c r="CC38" i="22"/>
  <c r="CB38" i="22"/>
  <c r="CA38" i="22"/>
  <c r="BZ38" i="22"/>
  <c r="BY38" i="22"/>
  <c r="BX38" i="22"/>
  <c r="BW38" i="22"/>
  <c r="BV38" i="22"/>
  <c r="BU38" i="22"/>
  <c r="BT38" i="22"/>
  <c r="BS38" i="22"/>
  <c r="BR38" i="22"/>
  <c r="BQ38" i="22"/>
  <c r="BP38" i="22"/>
  <c r="BO38" i="22"/>
  <c r="BN38" i="22"/>
  <c r="BM38" i="22"/>
  <c r="BL38" i="22"/>
  <c r="BK38" i="22"/>
  <c r="BJ38" i="22"/>
  <c r="CS37" i="22"/>
  <c r="CQ37" i="22"/>
  <c r="CP37" i="22"/>
  <c r="CO37" i="22"/>
  <c r="CN37" i="22"/>
  <c r="CM37" i="22"/>
  <c r="CL37" i="22"/>
  <c r="CK37" i="22"/>
  <c r="CJ37" i="22"/>
  <c r="CI37" i="22"/>
  <c r="CH37" i="22"/>
  <c r="CG37"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CS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CS35" i="22"/>
  <c r="CQ35" i="22"/>
  <c r="CP35" i="22"/>
  <c r="CO35" i="22"/>
  <c r="CN35" i="22"/>
  <c r="CM35" i="22"/>
  <c r="CL35" i="22"/>
  <c r="CK35" i="22"/>
  <c r="CJ35" i="22"/>
  <c r="CI35" i="22"/>
  <c r="CH35" i="22"/>
  <c r="CG35" i="22"/>
  <c r="CF35" i="22"/>
  <c r="CE35" i="22"/>
  <c r="CD35" i="22"/>
  <c r="CC35" i="22"/>
  <c r="CB35" i="22"/>
  <c r="CA35" i="22"/>
  <c r="BZ35" i="22"/>
  <c r="BY35" i="22"/>
  <c r="BX35" i="22"/>
  <c r="BW35" i="22"/>
  <c r="BV35" i="22"/>
  <c r="BU35" i="22"/>
  <c r="BT35" i="22"/>
  <c r="BS35" i="22"/>
  <c r="BR35" i="22"/>
  <c r="BQ35" i="22"/>
  <c r="BP35" i="22"/>
  <c r="BO35" i="22"/>
  <c r="BN35" i="22"/>
  <c r="BM35" i="22"/>
  <c r="BL35" i="22"/>
  <c r="BK35" i="22"/>
  <c r="BJ35" i="22"/>
  <c r="CS34" i="22"/>
  <c r="CQ34" i="22"/>
  <c r="CP34" i="22"/>
  <c r="CO34" i="22"/>
  <c r="CN34" i="22"/>
  <c r="CM34" i="22"/>
  <c r="CL34" i="22"/>
  <c r="CK34" i="22"/>
  <c r="CJ34" i="22"/>
  <c r="CI34" i="22"/>
  <c r="CH34" i="22"/>
  <c r="CG34" i="22"/>
  <c r="CF34" i="22"/>
  <c r="CE34" i="22"/>
  <c r="CD34" i="22"/>
  <c r="CC34" i="22"/>
  <c r="CB34" i="22"/>
  <c r="CA34" i="22"/>
  <c r="BZ34" i="22"/>
  <c r="BY34" i="22"/>
  <c r="BX34" i="22"/>
  <c r="BW34" i="22"/>
  <c r="BV34" i="22"/>
  <c r="BU34" i="22"/>
  <c r="BT34" i="22"/>
  <c r="BS34" i="22"/>
  <c r="BR34" i="22"/>
  <c r="BQ34" i="22"/>
  <c r="BP34" i="22"/>
  <c r="BO34" i="22"/>
  <c r="BN34" i="22"/>
  <c r="BM34" i="22"/>
  <c r="BL34" i="22"/>
  <c r="BK34" i="22"/>
  <c r="BJ34" i="22"/>
  <c r="CS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CS32" i="22"/>
  <c r="CQ32" i="22"/>
  <c r="CP32" i="22"/>
  <c r="CO32" i="22"/>
  <c r="CN32" i="22"/>
  <c r="CM32" i="22"/>
  <c r="CL32" i="22"/>
  <c r="CK32" i="22"/>
  <c r="CJ32" i="22"/>
  <c r="CI32" i="22"/>
  <c r="CH32" i="22"/>
  <c r="CG32" i="22"/>
  <c r="CF32" i="22"/>
  <c r="CE32" i="22"/>
  <c r="CD32" i="22"/>
  <c r="CC32" i="22"/>
  <c r="CB32" i="22"/>
  <c r="CA32" i="22"/>
  <c r="BZ32" i="22"/>
  <c r="BY32" i="22"/>
  <c r="BX32" i="22"/>
  <c r="BW32" i="22"/>
  <c r="BV32" i="22"/>
  <c r="BU32" i="22"/>
  <c r="BT32" i="22"/>
  <c r="BS32" i="22"/>
  <c r="BR32" i="22"/>
  <c r="BQ32" i="22"/>
  <c r="BP32" i="22"/>
  <c r="BO32" i="22"/>
  <c r="BN32" i="22"/>
  <c r="BM32" i="22"/>
  <c r="BL32" i="22"/>
  <c r="BK32" i="22"/>
  <c r="BJ32" i="22"/>
  <c r="CS31" i="22"/>
  <c r="CQ31" i="22"/>
  <c r="CP31" i="22"/>
  <c r="CO31" i="22"/>
  <c r="CN31" i="22"/>
  <c r="CM31" i="22"/>
  <c r="CL31" i="22"/>
  <c r="CK31" i="22"/>
  <c r="CJ31" i="22"/>
  <c r="CI31" i="22"/>
  <c r="CH31" i="22"/>
  <c r="CG31" i="22"/>
  <c r="CF31" i="22"/>
  <c r="CE31" i="22"/>
  <c r="CD31" i="22"/>
  <c r="CC31" i="22"/>
  <c r="CB31" i="22"/>
  <c r="CA31" i="22"/>
  <c r="BZ31" i="22"/>
  <c r="BY31" i="22"/>
  <c r="BX31" i="22"/>
  <c r="BW31" i="22"/>
  <c r="BV31" i="22"/>
  <c r="BU31" i="22"/>
  <c r="BT31" i="22"/>
  <c r="BS31" i="22"/>
  <c r="BR31" i="22"/>
  <c r="BQ31" i="22"/>
  <c r="BP31" i="22"/>
  <c r="BO31" i="22"/>
  <c r="BN31" i="22"/>
  <c r="BM31" i="22"/>
  <c r="BL31" i="22"/>
  <c r="BK31" i="22"/>
  <c r="BJ31" i="22"/>
  <c r="CS30" i="22"/>
  <c r="CQ30" i="22"/>
  <c r="CP30" i="22"/>
  <c r="CO30" i="22"/>
  <c r="CN30" i="22"/>
  <c r="CM30" i="22"/>
  <c r="CL30" i="22"/>
  <c r="CK30" i="22"/>
  <c r="CJ30" i="22"/>
  <c r="CI30" i="22"/>
  <c r="CH30" i="22"/>
  <c r="CG30" i="22"/>
  <c r="CF30" i="22"/>
  <c r="CE30" i="22"/>
  <c r="CD30" i="22"/>
  <c r="CC30" i="22"/>
  <c r="CB30" i="22"/>
  <c r="CA30" i="22"/>
  <c r="BZ30" i="22"/>
  <c r="BY30" i="22"/>
  <c r="BX30" i="22"/>
  <c r="BW30" i="22"/>
  <c r="BV30" i="22"/>
  <c r="BU30" i="22"/>
  <c r="BT30" i="22"/>
  <c r="BS30" i="22"/>
  <c r="BR30" i="22"/>
  <c r="BQ30" i="22"/>
  <c r="BP30" i="22"/>
  <c r="BO30" i="22"/>
  <c r="BN30" i="22"/>
  <c r="BM30" i="22"/>
  <c r="BL30" i="22"/>
  <c r="BK30" i="22"/>
  <c r="BJ30" i="22"/>
  <c r="CS29" i="22"/>
  <c r="CQ29" i="22"/>
  <c r="CP29" i="22"/>
  <c r="CO29" i="22"/>
  <c r="CN29" i="22"/>
  <c r="CM29" i="22"/>
  <c r="CL29" i="22"/>
  <c r="CK29" i="22"/>
  <c r="CJ29" i="22"/>
  <c r="CI29" i="22"/>
  <c r="CH29" i="22"/>
  <c r="CG29" i="22"/>
  <c r="CF29" i="22"/>
  <c r="CE29" i="22"/>
  <c r="CD29" i="22"/>
  <c r="CC29" i="22"/>
  <c r="CB29" i="22"/>
  <c r="CA29" i="22"/>
  <c r="BZ29" i="22"/>
  <c r="BY29" i="22"/>
  <c r="BX29" i="22"/>
  <c r="BW29" i="22"/>
  <c r="BV29" i="22"/>
  <c r="BU29" i="22"/>
  <c r="BT29" i="22"/>
  <c r="BS29" i="22"/>
  <c r="BR29" i="22"/>
  <c r="BQ29" i="22"/>
  <c r="BP29" i="22"/>
  <c r="BO29" i="22"/>
  <c r="BN29" i="22"/>
  <c r="BM29" i="22"/>
  <c r="BL29" i="22"/>
  <c r="BK29" i="22"/>
  <c r="BJ29" i="22"/>
  <c r="CS28" i="22"/>
  <c r="CQ28" i="22"/>
  <c r="CP28" i="22"/>
  <c r="CO28" i="22"/>
  <c r="CN28" i="22"/>
  <c r="CM28" i="22"/>
  <c r="CL28" i="22"/>
  <c r="CK28" i="22"/>
  <c r="CJ28" i="22"/>
  <c r="CI28" i="22"/>
  <c r="CH28" i="22"/>
  <c r="CG28" i="22"/>
  <c r="CF28" i="22"/>
  <c r="CE28" i="22"/>
  <c r="CD28" i="22"/>
  <c r="CC28" i="22"/>
  <c r="CB28" i="22"/>
  <c r="CA28" i="22"/>
  <c r="BZ28" i="22"/>
  <c r="BY28" i="22"/>
  <c r="BX28" i="22"/>
  <c r="BW28" i="22"/>
  <c r="BV28" i="22"/>
  <c r="BU28" i="22"/>
  <c r="BT28" i="22"/>
  <c r="BS28" i="22"/>
  <c r="BR28" i="22"/>
  <c r="BQ28" i="22"/>
  <c r="BP28" i="22"/>
  <c r="BO28" i="22"/>
  <c r="BN28" i="22"/>
  <c r="BM28" i="22"/>
  <c r="BL28" i="22"/>
  <c r="BK28" i="22"/>
  <c r="BJ28" i="22"/>
  <c r="CS27" i="22"/>
  <c r="CQ27" i="22"/>
  <c r="CP27" i="22"/>
  <c r="CO27" i="22"/>
  <c r="CN27" i="22"/>
  <c r="CM27" i="22"/>
  <c r="CL27" i="22"/>
  <c r="CK27" i="22"/>
  <c r="CJ27" i="22"/>
  <c r="CI27" i="22"/>
  <c r="CH27" i="22"/>
  <c r="CG27"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CS26" i="22"/>
  <c r="CQ26" i="22"/>
  <c r="CP26" i="22"/>
  <c r="CO26" i="22"/>
  <c r="CN26" i="22"/>
  <c r="CM26" i="22"/>
  <c r="CL26" i="22"/>
  <c r="CK26" i="22"/>
  <c r="CJ26" i="22"/>
  <c r="CI26" i="22"/>
  <c r="CH26" i="22"/>
  <c r="CG26"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CS25" i="22"/>
  <c r="CQ25" i="22"/>
  <c r="CP25" i="22"/>
  <c r="CO25" i="22"/>
  <c r="CN25" i="22"/>
  <c r="CM25" i="22"/>
  <c r="CL25" i="22"/>
  <c r="CK25" i="22"/>
  <c r="CJ25" i="22"/>
  <c r="CI25" i="22"/>
  <c r="CH25" i="22"/>
  <c r="CG25" i="22"/>
  <c r="CF25" i="22"/>
  <c r="CE25" i="22"/>
  <c r="CD25" i="22"/>
  <c r="CC25" i="22"/>
  <c r="CB25" i="22"/>
  <c r="CA25" i="22"/>
  <c r="BZ25" i="22"/>
  <c r="BY25" i="22"/>
  <c r="BX25" i="22"/>
  <c r="BW25" i="22"/>
  <c r="BV25" i="22"/>
  <c r="BU25" i="22"/>
  <c r="BT25" i="22"/>
  <c r="BS25" i="22"/>
  <c r="BR25" i="22"/>
  <c r="BQ25" i="22"/>
  <c r="BP25" i="22"/>
  <c r="BO25" i="22"/>
  <c r="BN25" i="22"/>
  <c r="BM25" i="22"/>
  <c r="BL25" i="22"/>
  <c r="BK25" i="22"/>
  <c r="BJ25" i="22"/>
  <c r="CS24" i="22"/>
  <c r="CQ24" i="22"/>
  <c r="CP24" i="22"/>
  <c r="CO24" i="22"/>
  <c r="CN24" i="22"/>
  <c r="CM24" i="22"/>
  <c r="CL24" i="22"/>
  <c r="CK24" i="22"/>
  <c r="CJ24" i="22"/>
  <c r="CI24" i="22"/>
  <c r="CH24" i="22"/>
  <c r="CG24"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CS23" i="22"/>
  <c r="CQ23" i="22"/>
  <c r="CP23" i="22"/>
  <c r="CO23" i="22"/>
  <c r="CN23" i="22"/>
  <c r="CM23" i="22"/>
  <c r="CL23" i="22"/>
  <c r="CK23" i="22"/>
  <c r="CJ23" i="22"/>
  <c r="CI23" i="22"/>
  <c r="CH23" i="22"/>
  <c r="CG23" i="22"/>
  <c r="CF23" i="22"/>
  <c r="CE23" i="22"/>
  <c r="CD23" i="22"/>
  <c r="CC23" i="22"/>
  <c r="CB23" i="22"/>
  <c r="CA23" i="22"/>
  <c r="BZ23" i="22"/>
  <c r="BY23" i="22"/>
  <c r="BX23" i="22"/>
  <c r="BW23" i="22"/>
  <c r="BV23" i="22"/>
  <c r="BU23" i="22"/>
  <c r="BT23" i="22"/>
  <c r="BS23" i="22"/>
  <c r="BR23" i="22"/>
  <c r="BQ23" i="22"/>
  <c r="BP23" i="22"/>
  <c r="BO23" i="22"/>
  <c r="BN23" i="22"/>
  <c r="BM23" i="22"/>
  <c r="BL23" i="22"/>
  <c r="BK23" i="22"/>
  <c r="BJ23" i="22"/>
  <c r="CS22" i="22"/>
  <c r="CQ22" i="22"/>
  <c r="CP22" i="22"/>
  <c r="CO22" i="22"/>
  <c r="CN22" i="22"/>
  <c r="CM22" i="22"/>
  <c r="CL22" i="22"/>
  <c r="CK22" i="22"/>
  <c r="CJ22" i="22"/>
  <c r="CI22" i="22"/>
  <c r="CH22" i="22"/>
  <c r="CG22" i="22"/>
  <c r="CF22" i="22"/>
  <c r="CE22" i="22"/>
  <c r="CD22" i="22"/>
  <c r="CC22" i="22"/>
  <c r="CB22" i="22"/>
  <c r="CA22" i="22"/>
  <c r="BZ22" i="22"/>
  <c r="BY22" i="22"/>
  <c r="BX22" i="22"/>
  <c r="BW22" i="22"/>
  <c r="BV22" i="22"/>
  <c r="BU22" i="22"/>
  <c r="BT22" i="22"/>
  <c r="BS22" i="22"/>
  <c r="BR22" i="22"/>
  <c r="BQ22" i="22"/>
  <c r="BP22" i="22"/>
  <c r="BO22" i="22"/>
  <c r="BN22" i="22"/>
  <c r="BM22" i="22"/>
  <c r="BL22" i="22"/>
  <c r="BK22" i="22"/>
  <c r="BJ22" i="22"/>
  <c r="CS21" i="22"/>
  <c r="CQ21" i="22"/>
  <c r="CP21" i="22"/>
  <c r="CO21" i="22"/>
  <c r="CN21" i="22"/>
  <c r="CM21" i="22"/>
  <c r="CL21" i="22"/>
  <c r="CK21" i="22"/>
  <c r="CJ21" i="22"/>
  <c r="CI21" i="22"/>
  <c r="CH21" i="22"/>
  <c r="CG21" i="22"/>
  <c r="CF21" i="22"/>
  <c r="CE21" i="22"/>
  <c r="CD21" i="22"/>
  <c r="CC21" i="22"/>
  <c r="CB21" i="22"/>
  <c r="CA21" i="22"/>
  <c r="BZ21" i="22"/>
  <c r="BY21" i="22"/>
  <c r="BX21" i="22"/>
  <c r="BW21" i="22"/>
  <c r="BV21" i="22"/>
  <c r="BU21" i="22"/>
  <c r="BT21" i="22"/>
  <c r="BS21" i="22"/>
  <c r="BR21" i="22"/>
  <c r="BQ21" i="22"/>
  <c r="BP21" i="22"/>
  <c r="BO21" i="22"/>
  <c r="BN21" i="22"/>
  <c r="BM21" i="22"/>
  <c r="BL21" i="22"/>
  <c r="BK21" i="22"/>
  <c r="BJ21" i="22"/>
  <c r="CS20" i="22"/>
  <c r="CQ20" i="22"/>
  <c r="CP20" i="22"/>
  <c r="CO20" i="22"/>
  <c r="CN20" i="22"/>
  <c r="CM20" i="22"/>
  <c r="CL20" i="22"/>
  <c r="CK20" i="22"/>
  <c r="CJ20" i="22"/>
  <c r="CI20" i="22"/>
  <c r="CH20" i="22"/>
  <c r="CG20"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CS19" i="22"/>
  <c r="CQ19" i="22"/>
  <c r="CP19" i="22"/>
  <c r="CO19" i="22"/>
  <c r="CN19" i="22"/>
  <c r="CM19" i="22"/>
  <c r="CL19" i="22"/>
  <c r="CK19" i="22"/>
  <c r="CJ19" i="22"/>
  <c r="CI19" i="22"/>
  <c r="CH19" i="22"/>
  <c r="CG19" i="22"/>
  <c r="CF19" i="22"/>
  <c r="CE19" i="22"/>
  <c r="CD19" i="22"/>
  <c r="CC19" i="22"/>
  <c r="CB19" i="22"/>
  <c r="CA19" i="22"/>
  <c r="BZ19" i="22"/>
  <c r="BY19" i="22"/>
  <c r="BX19" i="22"/>
  <c r="BW19" i="22"/>
  <c r="BV19" i="22"/>
  <c r="BU19" i="22"/>
  <c r="BT19" i="22"/>
  <c r="BS19" i="22"/>
  <c r="BR19" i="22"/>
  <c r="BQ19" i="22"/>
  <c r="BP19" i="22"/>
  <c r="BO19" i="22"/>
  <c r="BN19" i="22"/>
  <c r="BM19" i="22"/>
  <c r="BL19" i="22"/>
  <c r="BK19" i="22"/>
  <c r="BJ19" i="22"/>
  <c r="CS18" i="22"/>
  <c r="CQ18" i="22"/>
  <c r="CP18" i="22"/>
  <c r="CO18" i="22"/>
  <c r="CN18" i="22"/>
  <c r="CM18" i="22"/>
  <c r="CL18" i="22"/>
  <c r="CK18" i="22"/>
  <c r="CJ18" i="22"/>
  <c r="CI18" i="22"/>
  <c r="CH18" i="22"/>
  <c r="CG18"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CS17" i="22"/>
  <c r="CQ17" i="22"/>
  <c r="CP17" i="22"/>
  <c r="CO17" i="22"/>
  <c r="CN17" i="22"/>
  <c r="CM17" i="22"/>
  <c r="CL17" i="22"/>
  <c r="CK17" i="22"/>
  <c r="CJ17" i="22"/>
  <c r="CI17" i="22"/>
  <c r="CH17" i="22"/>
  <c r="CG17" i="22"/>
  <c r="CF17" i="22"/>
  <c r="CE17" i="22"/>
  <c r="CD17" i="22"/>
  <c r="CC17" i="22"/>
  <c r="CB17" i="22"/>
  <c r="CA17" i="22"/>
  <c r="BZ17" i="22"/>
  <c r="BY17" i="22"/>
  <c r="BX17" i="22"/>
  <c r="BW17" i="22"/>
  <c r="BV17" i="22"/>
  <c r="BU17" i="22"/>
  <c r="BT17" i="22"/>
  <c r="BS17" i="22"/>
  <c r="BR17" i="22"/>
  <c r="BQ17" i="22"/>
  <c r="BP17" i="22"/>
  <c r="BO17" i="22"/>
  <c r="BN17" i="22"/>
  <c r="BM17" i="22"/>
  <c r="BL17" i="22"/>
  <c r="BK17" i="22"/>
  <c r="BJ17" i="22"/>
  <c r="CS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CS15" i="22"/>
  <c r="CQ15" i="22"/>
  <c r="CP15" i="22"/>
  <c r="CO15" i="22"/>
  <c r="CN15" i="22"/>
  <c r="CM15" i="22"/>
  <c r="CL15" i="22"/>
  <c r="CK15" i="22"/>
  <c r="CJ15" i="22"/>
  <c r="CI15" i="22"/>
  <c r="CH15" i="22"/>
  <c r="CG15"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CS14" i="22"/>
  <c r="CQ14" i="22"/>
  <c r="CP14"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CS13" i="22"/>
  <c r="CQ13" i="22"/>
  <c r="CP13" i="22"/>
  <c r="CO13" i="22"/>
  <c r="CN13" i="22"/>
  <c r="CM13" i="22"/>
  <c r="CL13" i="22"/>
  <c r="CK13" i="22"/>
  <c r="CJ13" i="22"/>
  <c r="CI13" i="22"/>
  <c r="CH13" i="22"/>
  <c r="CG13"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CS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340" i="22"/>
  <c r="BI339" i="22"/>
  <c r="BI338" i="22"/>
  <c r="BI337" i="22"/>
  <c r="BI336" i="22"/>
  <c r="BI335" i="22"/>
  <c r="BI334" i="22"/>
  <c r="BI333" i="22"/>
  <c r="BI332" i="22"/>
  <c r="BI331" i="22"/>
  <c r="BI330" i="22"/>
  <c r="BI329" i="22"/>
  <c r="BI328" i="22"/>
  <c r="BI327" i="22"/>
  <c r="BI326" i="22"/>
  <c r="BI325" i="22"/>
  <c r="BI324" i="22"/>
  <c r="BI323" i="22"/>
  <c r="BI322" i="22"/>
  <c r="BI321" i="22"/>
  <c r="BI320" i="22"/>
  <c r="BI319" i="22"/>
  <c r="BI318" i="22"/>
  <c r="BI317" i="22"/>
  <c r="BI316" i="22"/>
  <c r="BI315" i="22"/>
  <c r="BI314" i="22"/>
  <c r="BI313" i="22"/>
  <c r="BI312" i="22"/>
  <c r="BI311" i="22"/>
  <c r="BI310" i="22"/>
  <c r="BI309" i="22"/>
  <c r="BI308" i="22"/>
  <c r="BI307" i="22"/>
  <c r="BI306" i="22"/>
  <c r="BI305" i="22"/>
  <c r="BI304" i="22"/>
  <c r="BI303" i="22"/>
  <c r="BI302" i="22"/>
  <c r="BI301" i="22"/>
  <c r="BI300" i="22"/>
  <c r="BI299" i="22"/>
  <c r="BI298" i="22"/>
  <c r="BI297" i="22"/>
  <c r="BI296" i="22"/>
  <c r="BI295" i="22"/>
  <c r="BI294" i="22"/>
  <c r="BI293" i="22"/>
  <c r="BI292" i="22"/>
  <c r="BI291" i="22"/>
  <c r="BI290" i="22"/>
  <c r="BI289" i="22"/>
  <c r="BI288" i="22"/>
  <c r="BI287" i="22"/>
  <c r="BI286" i="22"/>
  <c r="BI285" i="22"/>
  <c r="BI284" i="22"/>
  <c r="BI283" i="22"/>
  <c r="BI282" i="22"/>
  <c r="BI281" i="22"/>
  <c r="BI280" i="22"/>
  <c r="BI279" i="22"/>
  <c r="BI278" i="22"/>
  <c r="BI277" i="22"/>
  <c r="BI276" i="22"/>
  <c r="BI275" i="22"/>
  <c r="BI274" i="22"/>
  <c r="BI273" i="22"/>
  <c r="BI272" i="22"/>
  <c r="BI271" i="22"/>
  <c r="BI270" i="22"/>
  <c r="BI269" i="22"/>
  <c r="BI268" i="22"/>
  <c r="BI267" i="22"/>
  <c r="BI266" i="22"/>
  <c r="BI265" i="22"/>
  <c r="BI264" i="22"/>
  <c r="BI263" i="22"/>
  <c r="BI262" i="22"/>
  <c r="BI261" i="22"/>
  <c r="BI260" i="22"/>
  <c r="BI259" i="22"/>
  <c r="BI258" i="22"/>
  <c r="BI257" i="22"/>
  <c r="BI256" i="22"/>
  <c r="BI255" i="22"/>
  <c r="BI254" i="22"/>
  <c r="BI253" i="22"/>
  <c r="BI252" i="22"/>
  <c r="BI251" i="22"/>
  <c r="BI250" i="22"/>
  <c r="BI249" i="22"/>
  <c r="BI248" i="22"/>
  <c r="BI247" i="22"/>
  <c r="BI246" i="22"/>
  <c r="BI245" i="22"/>
  <c r="BI244" i="22"/>
  <c r="BI243" i="22"/>
  <c r="BI242" i="22"/>
  <c r="BI241" i="22"/>
  <c r="BI240" i="22"/>
  <c r="BI239" i="22"/>
  <c r="BI238" i="22"/>
  <c r="BI237" i="22"/>
  <c r="BI236" i="22"/>
  <c r="BI235" i="22"/>
  <c r="BI234" i="22"/>
  <c r="BI233" i="22"/>
  <c r="BI232" i="22"/>
  <c r="BI231" i="22"/>
  <c r="BI230" i="22"/>
  <c r="BI229" i="22"/>
  <c r="BI228" i="22"/>
  <c r="BI227" i="22"/>
  <c r="BI226" i="22"/>
  <c r="BI225" i="22"/>
  <c r="BI224" i="22"/>
  <c r="BI223" i="22"/>
  <c r="BI222" i="22"/>
  <c r="BI221" i="22"/>
  <c r="BI220" i="22"/>
  <c r="BI219" i="22"/>
  <c r="BI218" i="22"/>
  <c r="BI217" i="22"/>
  <c r="BI216" i="22"/>
  <c r="BI215" i="22"/>
  <c r="BI214" i="22"/>
  <c r="BI213" i="22"/>
  <c r="BI212" i="22"/>
  <c r="BI211" i="22"/>
  <c r="BI210" i="22"/>
  <c r="BI209" i="22"/>
  <c r="BI208" i="22"/>
  <c r="BI207" i="22"/>
  <c r="BI206" i="22"/>
  <c r="BI205" i="22"/>
  <c r="BI204" i="22"/>
  <c r="BI203" i="22"/>
  <c r="BI202" i="22"/>
  <c r="BI201" i="22"/>
  <c r="BI200" i="22"/>
  <c r="BI199" i="22"/>
  <c r="BI198" i="22"/>
  <c r="BI197" i="22"/>
  <c r="BI196" i="22"/>
  <c r="BI195" i="22"/>
  <c r="BI194" i="22"/>
  <c r="BI193" i="22"/>
  <c r="BI192" i="22"/>
  <c r="BI191" i="22"/>
  <c r="BI190" i="22"/>
  <c r="BI189" i="22"/>
  <c r="BI188" i="22"/>
  <c r="BI187" i="22"/>
  <c r="BI186" i="22"/>
  <c r="BI185" i="22"/>
  <c r="BI184" i="22"/>
  <c r="BI183" i="22"/>
  <c r="BI182" i="22"/>
  <c r="BI181" i="22"/>
  <c r="BI180" i="22"/>
  <c r="BI179" i="22"/>
  <c r="BI178" i="22"/>
  <c r="BI177" i="22"/>
  <c r="BI176" i="22"/>
  <c r="BI175" i="22"/>
  <c r="BI174" i="22"/>
  <c r="BI173" i="22"/>
  <c r="BI172" i="22"/>
  <c r="BI171" i="22"/>
  <c r="BI170" i="22"/>
  <c r="BI169" i="22"/>
  <c r="BI168" i="22"/>
  <c r="BI167" i="22"/>
  <c r="BI166" i="22"/>
  <c r="BI165" i="22"/>
  <c r="BI164" i="22"/>
  <c r="BI163" i="22"/>
  <c r="BI162" i="22"/>
  <c r="BI161" i="22"/>
  <c r="BI160" i="22"/>
  <c r="BI159" i="22"/>
  <c r="BI158" i="22"/>
  <c r="BI157" i="22"/>
  <c r="BI156" i="22"/>
  <c r="BI155" i="22"/>
  <c r="BI154" i="22"/>
  <c r="BI153" i="22"/>
  <c r="BI152" i="22"/>
  <c r="BI151" i="22"/>
  <c r="BI150" i="22"/>
  <c r="BI149" i="22"/>
  <c r="BI148" i="22"/>
  <c r="BI147" i="22"/>
  <c r="BI146" i="22"/>
  <c r="BI145" i="22"/>
  <c r="BI144" i="22"/>
  <c r="BI143" i="22"/>
  <c r="BI142" i="22"/>
  <c r="BI141" i="22"/>
  <c r="BI140" i="22"/>
  <c r="BI139" i="22"/>
  <c r="BI138" i="22"/>
  <c r="BI137" i="22"/>
  <c r="BI136" i="22"/>
  <c r="BI135" i="22"/>
  <c r="BI134" i="22"/>
  <c r="BI133" i="22"/>
  <c r="BI132" i="22"/>
  <c r="BI131" i="22"/>
  <c r="BI130" i="22"/>
  <c r="BI129" i="22"/>
  <c r="BI128" i="22"/>
  <c r="BI127" i="22"/>
  <c r="BI126" i="22"/>
  <c r="BI125" i="22"/>
  <c r="BI124" i="22"/>
  <c r="BI123" i="22"/>
  <c r="BI122" i="22"/>
  <c r="BI121" i="22"/>
  <c r="BI120" i="22"/>
  <c r="BI119" i="22"/>
  <c r="BI118" i="22"/>
  <c r="BI117" i="22"/>
  <c r="BI116" i="22"/>
  <c r="BI115" i="22"/>
  <c r="BI114" i="22"/>
  <c r="BI113" i="22"/>
  <c r="BI112" i="22"/>
  <c r="BI111" i="22"/>
  <c r="BI110" i="22"/>
  <c r="BI109" i="22"/>
  <c r="BI108" i="22"/>
  <c r="BI107" i="22"/>
  <c r="BI106" i="22"/>
  <c r="BI105" i="22"/>
  <c r="BI104" i="22"/>
  <c r="BI103" i="22"/>
  <c r="BI102" i="22"/>
  <c r="BI101" i="22"/>
  <c r="BI100" i="22"/>
  <c r="BI99" i="22"/>
  <c r="BI98" i="22"/>
  <c r="BI97" i="22"/>
  <c r="BI96" i="22"/>
  <c r="BI95" i="22"/>
  <c r="BI94" i="22"/>
  <c r="BI93" i="22"/>
  <c r="BI92" i="22"/>
  <c r="BI91" i="22"/>
  <c r="BI90" i="22"/>
  <c r="BI89" i="22"/>
  <c r="BI88" i="22"/>
  <c r="BI87" i="22"/>
  <c r="BI86" i="22"/>
  <c r="BI85" i="22"/>
  <c r="BI84" i="22"/>
  <c r="BI83" i="22"/>
  <c r="BI82" i="22"/>
  <c r="BI81" i="22"/>
  <c r="BI80" i="22"/>
  <c r="BI79" i="22"/>
  <c r="BI78" i="22"/>
  <c r="BI77" i="22"/>
  <c r="BI76" i="22"/>
  <c r="BI75" i="22"/>
  <c r="BI74" i="22"/>
  <c r="BI73" i="22"/>
  <c r="BI72" i="22"/>
  <c r="BI71" i="22"/>
  <c r="BI70" i="22"/>
  <c r="BI69" i="22"/>
  <c r="BI68" i="22"/>
  <c r="BI67" i="22"/>
  <c r="BI66" i="22"/>
  <c r="BI65" i="22"/>
  <c r="BI64" i="22"/>
  <c r="BI63" i="22"/>
  <c r="BI62" i="22"/>
  <c r="BI61" i="22"/>
  <c r="BI60" i="22"/>
  <c r="BI59" i="22"/>
  <c r="BI58" i="22"/>
  <c r="BI57" i="22"/>
  <c r="BI56" i="22"/>
  <c r="BI55" i="22"/>
  <c r="BI54" i="22"/>
  <c r="BI53" i="22"/>
  <c r="BI52" i="22"/>
  <c r="BI51" i="22"/>
  <c r="BI50" i="22"/>
  <c r="BI49" i="22"/>
  <c r="BI48" i="22"/>
  <c r="BI47" i="22"/>
  <c r="BI46" i="22"/>
  <c r="BI45" i="22"/>
  <c r="BI44" i="22"/>
  <c r="BI43" i="22"/>
  <c r="BI42" i="22"/>
  <c r="BI41" i="22"/>
  <c r="BI40" i="22"/>
  <c r="BI39" i="22"/>
  <c r="BI38" i="22"/>
  <c r="BI37" i="22"/>
  <c r="BI36" i="22"/>
  <c r="BI35" i="22"/>
  <c r="BI34" i="22"/>
  <c r="BI33" i="22"/>
  <c r="BI32" i="22"/>
  <c r="BI31" i="22"/>
  <c r="BI30" i="22"/>
  <c r="BI29" i="22"/>
  <c r="BI28" i="22"/>
  <c r="BI27" i="22"/>
  <c r="BI26" i="22"/>
  <c r="BI25" i="22"/>
  <c r="BI24" i="22"/>
  <c r="BI23" i="22"/>
  <c r="BI22" i="22"/>
  <c r="BI21" i="22"/>
  <c r="BI20" i="22"/>
  <c r="BI19" i="22"/>
  <c r="BI18" i="22"/>
  <c r="BI17" i="22"/>
  <c r="BI16" i="22"/>
  <c r="BI15" i="22"/>
  <c r="BI14" i="22"/>
  <c r="BI13" i="22"/>
  <c r="BI12" i="22"/>
  <c r="CT1" i="22"/>
  <c r="CT241" i="22" s="1"/>
  <c r="BH21" i="1"/>
  <c r="BE21" i="1"/>
  <c r="BH20" i="1"/>
  <c r="BE20" i="1"/>
  <c r="BH19" i="1"/>
  <c r="BE19" i="1"/>
  <c r="BH18" i="1"/>
  <c r="BE18" i="1"/>
  <c r="BH17" i="1"/>
  <c r="BE17" i="1"/>
  <c r="BH16" i="1"/>
  <c r="BE16" i="1"/>
  <c r="BH15" i="1"/>
  <c r="BE15" i="1"/>
  <c r="BH14" i="1"/>
  <c r="BE14" i="1"/>
  <c r="BH13" i="1"/>
  <c r="BE13" i="1"/>
  <c r="BH12" i="1"/>
  <c r="BE12" i="1"/>
  <c r="BH11" i="1"/>
  <c r="BE11" i="1"/>
  <c r="BH10" i="1"/>
  <c r="BE10" i="1"/>
  <c r="BH9" i="1"/>
  <c r="BE9" i="1"/>
  <c r="BH8" i="1"/>
  <c r="BE8" i="1"/>
  <c r="BH7" i="1"/>
  <c r="BE7" i="1"/>
  <c r="BH6" i="1"/>
  <c r="BE6" i="1"/>
  <c r="BH5" i="1"/>
  <c r="BE5" i="1"/>
  <c r="BH4" i="1"/>
  <c r="BE4" i="1"/>
  <c r="C12" i="25"/>
  <c r="AT27" i="22"/>
  <c r="AH23" i="10" s="1"/>
  <c r="AS4" i="22"/>
  <c r="AT4" i="22" s="1"/>
  <c r="AS6" i="22"/>
  <c r="AT6" i="22" s="1"/>
  <c r="AS7" i="22"/>
  <c r="AT7" i="22" s="1"/>
  <c r="G54" i="1" s="1"/>
  <c r="AS8" i="22"/>
  <c r="AT8" i="22" s="1"/>
  <c r="AS9" i="22"/>
  <c r="AT9" i="22" s="1"/>
  <c r="AS10" i="22"/>
  <c r="AT10" i="22" s="1"/>
  <c r="AS11" i="22"/>
  <c r="AT11" i="22" s="1"/>
  <c r="G58" i="1" s="1"/>
  <c r="AS12" i="22"/>
  <c r="AS13" i="22"/>
  <c r="AT13" i="22" s="1"/>
  <c r="AS14" i="22"/>
  <c r="AT14" i="22" s="1"/>
  <c r="AS15" i="22"/>
  <c r="AT15" i="22" s="1"/>
  <c r="AA4" i="16" s="1"/>
  <c r="AS16" i="22"/>
  <c r="AT16" i="22" s="1"/>
  <c r="AS17" i="22"/>
  <c r="AS18" i="22"/>
  <c r="AS19" i="22"/>
  <c r="AT19" i="22" s="1"/>
  <c r="O56" i="1" s="1"/>
  <c r="AS20" i="22"/>
  <c r="AT20" i="22" s="1"/>
  <c r="AS21" i="22"/>
  <c r="AT21" i="22" s="1"/>
  <c r="AS22" i="22"/>
  <c r="AT22" i="22" s="1"/>
  <c r="AS23" i="22"/>
  <c r="AT23" i="22" s="1"/>
  <c r="O60" i="1" s="1"/>
  <c r="AS24" i="22"/>
  <c r="AT24" i="22" s="1"/>
  <c r="AH4" i="10" s="1"/>
  <c r="AS25" i="22"/>
  <c r="AT25" i="22" s="1"/>
  <c r="AH9" i="10" s="1"/>
  <c r="AS26" i="22"/>
  <c r="AT26" i="22" s="1"/>
  <c r="AH10" i="10" s="1"/>
  <c r="AS27" i="22"/>
  <c r="P4" i="10" l="1"/>
  <c r="B462" i="28" s="1"/>
  <c r="P3" i="10"/>
  <c r="B461" i="28" s="1"/>
  <c r="CU90" i="22"/>
  <c r="AH14" i="10"/>
  <c r="G60" i="1"/>
  <c r="G57" i="1"/>
  <c r="AH11" i="10"/>
  <c r="AH24" i="10"/>
  <c r="O58" i="1"/>
  <c r="O59" i="1"/>
  <c r="AH25" i="10"/>
  <c r="G51" i="1"/>
  <c r="AH2" i="10"/>
  <c r="O51" i="1"/>
  <c r="AH15" i="10"/>
  <c r="G53" i="1"/>
  <c r="AH5" i="10"/>
  <c r="AH22" i="10"/>
  <c r="O57" i="1"/>
  <c r="AH17" i="10"/>
  <c r="O53" i="1"/>
  <c r="AH7" i="10"/>
  <c r="G55" i="1"/>
  <c r="AA2" i="16"/>
  <c r="AH8" i="10"/>
  <c r="G56" i="1"/>
  <c r="AT12" i="22"/>
  <c r="AH6" i="10"/>
  <c r="AH12" i="10"/>
  <c r="AH16" i="10"/>
  <c r="AH21" i="10"/>
  <c r="AH26" i="10"/>
  <c r="AA5" i="16"/>
  <c r="AT18" i="22"/>
  <c r="O52" i="1"/>
  <c r="AT17" i="22"/>
  <c r="CV72" i="22"/>
  <c r="T2" i="10"/>
  <c r="CU70" i="22"/>
  <c r="CU58" i="22"/>
  <c r="CU63" i="22"/>
  <c r="CR21" i="22"/>
  <c r="CR56" i="22"/>
  <c r="CU15" i="22"/>
  <c r="CU20" i="22"/>
  <c r="CU22" i="22"/>
  <c r="CU43" i="22"/>
  <c r="CR94" i="22"/>
  <c r="CR122" i="22"/>
  <c r="CU99" i="22"/>
  <c r="CU244" i="22"/>
  <c r="CU281" i="22"/>
  <c r="CR196" i="22"/>
  <c r="CU92" i="22"/>
  <c r="CR110" i="22"/>
  <c r="CU120" i="22"/>
  <c r="CU193" i="22"/>
  <c r="CU221" i="22"/>
  <c r="CU144" i="22"/>
  <c r="CU175" i="22"/>
  <c r="CU274" i="22"/>
  <c r="CU71" i="22"/>
  <c r="CU81" i="22"/>
  <c r="CU308" i="22"/>
  <c r="CU16" i="22"/>
  <c r="CU96" i="22"/>
  <c r="CU106" i="22"/>
  <c r="CU217" i="22"/>
  <c r="CU28" i="22"/>
  <c r="CU55" i="22"/>
  <c r="CU67" i="22"/>
  <c r="CU150" i="22"/>
  <c r="CU171" i="22"/>
  <c r="CU194" i="22"/>
  <c r="CU285" i="22"/>
  <c r="CV283" i="22"/>
  <c r="CV80" i="22"/>
  <c r="CU235" i="22"/>
  <c r="CV266" i="22"/>
  <c r="CV307" i="22"/>
  <c r="CR317" i="22"/>
  <c r="CV76" i="22"/>
  <c r="CV90" i="22"/>
  <c r="CV101" i="22"/>
  <c r="CV113" i="22"/>
  <c r="CV128" i="22"/>
  <c r="CR200" i="22"/>
  <c r="CV78" i="22"/>
  <c r="CV235" i="22"/>
  <c r="CV13" i="22"/>
  <c r="CR86" i="22"/>
  <c r="CV97" i="22"/>
  <c r="CV99" i="22"/>
  <c r="CV111" i="22"/>
  <c r="CV223" i="22"/>
  <c r="CV54" i="22"/>
  <c r="CV158" i="22"/>
  <c r="CV64" i="22"/>
  <c r="CR315" i="22"/>
  <c r="CV84" i="22"/>
  <c r="CV124" i="22"/>
  <c r="CV140" i="22"/>
  <c r="CV156" i="22"/>
  <c r="CV23" i="22"/>
  <c r="CV48" i="22"/>
  <c r="CV58" i="22"/>
  <c r="CV106" i="22"/>
  <c r="CV122" i="22"/>
  <c r="CV298" i="22"/>
  <c r="CV67" i="22"/>
  <c r="CV96" i="22"/>
  <c r="CR208" i="22"/>
  <c r="CV247" i="22"/>
  <c r="CV272" i="22"/>
  <c r="CV303" i="22"/>
  <c r="CR39" i="22"/>
  <c r="CV41" i="22"/>
  <c r="CV100" i="22"/>
  <c r="CV110" i="22"/>
  <c r="CV112" i="22"/>
  <c r="CV127" i="22"/>
  <c r="CV194" i="22"/>
  <c r="CV18" i="22"/>
  <c r="CV30" i="22"/>
  <c r="CR45" i="22"/>
  <c r="CT51" i="22"/>
  <c r="CV55" i="22"/>
  <c r="CV81" i="22"/>
  <c r="CV83" i="22"/>
  <c r="CV85" i="22"/>
  <c r="CV87" i="22"/>
  <c r="CV91" i="22"/>
  <c r="CR107" i="22"/>
  <c r="CV121" i="22"/>
  <c r="CV125" i="22"/>
  <c r="CV139" i="22"/>
  <c r="CV148" i="22"/>
  <c r="CV150" i="22"/>
  <c r="CV164" i="22"/>
  <c r="CV175" i="22"/>
  <c r="CV213" i="22"/>
  <c r="CV227" i="22"/>
  <c r="CV323" i="22"/>
  <c r="CV328" i="22"/>
  <c r="CV138" i="22"/>
  <c r="CV165" i="22"/>
  <c r="CV293" i="22"/>
  <c r="CV44" i="22"/>
  <c r="CV46" i="22"/>
  <c r="CV56" i="22"/>
  <c r="CV92" i="22"/>
  <c r="CV104" i="22"/>
  <c r="CV198" i="22"/>
  <c r="CV231" i="22"/>
  <c r="CV34" i="22"/>
  <c r="CV69" i="22"/>
  <c r="CR83" i="22"/>
  <c r="CR164" i="22"/>
  <c r="CV203" i="22"/>
  <c r="CV16" i="22"/>
  <c r="CV63" i="22"/>
  <c r="CV71" i="22"/>
  <c r="CV77" i="22"/>
  <c r="CV134" i="22"/>
  <c r="CT148" i="22"/>
  <c r="CV20" i="22"/>
  <c r="CV24" i="22"/>
  <c r="CV26" i="22"/>
  <c r="CV37" i="22"/>
  <c r="CV43" i="22"/>
  <c r="CV47" i="22"/>
  <c r="CV93" i="22"/>
  <c r="CV95" i="22"/>
  <c r="CR97" i="22"/>
  <c r="CV169" i="22"/>
  <c r="CV180" i="22"/>
  <c r="CV211" i="22"/>
  <c r="CV239" i="22"/>
  <c r="CV250" i="22"/>
  <c r="CV275" i="22"/>
  <c r="CV287" i="22"/>
  <c r="CR302" i="22"/>
  <c r="CV17" i="22"/>
  <c r="CV19" i="22"/>
  <c r="CV29" i="22"/>
  <c r="CV42" i="22"/>
  <c r="CV50" i="22"/>
  <c r="CV52" i="22"/>
  <c r="CV60" i="22"/>
  <c r="CV176" i="22"/>
  <c r="CV242" i="22"/>
  <c r="CV256" i="22"/>
  <c r="CV25" i="22"/>
  <c r="CV118" i="22"/>
  <c r="CV170" i="22"/>
  <c r="CV181" i="22"/>
  <c r="CV205" i="22"/>
  <c r="CV219" i="22"/>
  <c r="CV240" i="22"/>
  <c r="CT75" i="22"/>
  <c r="CR91" i="22"/>
  <c r="CT108" i="22"/>
  <c r="CV116" i="22"/>
  <c r="CV296" i="22"/>
  <c r="CV315" i="22"/>
  <c r="CV12" i="22"/>
  <c r="CV32" i="22"/>
  <c r="CV75" i="22"/>
  <c r="CV79" i="22"/>
  <c r="CV108" i="22"/>
  <c r="CV114" i="22"/>
  <c r="CV129" i="22"/>
  <c r="CV215" i="22"/>
  <c r="CV236" i="22"/>
  <c r="CR17" i="22"/>
  <c r="CV35" i="22"/>
  <c r="CV68" i="22"/>
  <c r="CV74" i="22"/>
  <c r="CV107" i="22"/>
  <c r="CV144" i="22"/>
  <c r="CV153" i="22"/>
  <c r="CV160" i="22"/>
  <c r="CV171" i="22"/>
  <c r="CV246" i="22"/>
  <c r="CR340" i="22"/>
  <c r="CR329" i="22"/>
  <c r="CR324" i="22"/>
  <c r="CR313" i="22"/>
  <c r="CR308" i="22"/>
  <c r="CR297" i="22"/>
  <c r="CR292" i="22"/>
  <c r="CR281" i="22"/>
  <c r="CR276" i="22"/>
  <c r="CR265" i="22"/>
  <c r="CR335" i="22"/>
  <c r="CR330" i="22"/>
  <c r="CR325" i="22"/>
  <c r="CR319" i="22"/>
  <c r="CR314" i="22"/>
  <c r="CR309" i="22"/>
  <c r="CR303" i="22"/>
  <c r="CR298" i="22"/>
  <c r="CR293" i="22"/>
  <c r="CR287" i="22"/>
  <c r="CR282" i="22"/>
  <c r="CR277" i="22"/>
  <c r="CR271" i="22"/>
  <c r="CR266" i="22"/>
  <c r="CR337" i="22"/>
  <c r="CR332" i="22"/>
  <c r="CR321" i="22"/>
  <c r="CR316" i="22"/>
  <c r="CR305" i="22"/>
  <c r="CR300" i="22"/>
  <c r="CR289" i="22"/>
  <c r="CR284" i="22"/>
  <c r="CR273" i="22"/>
  <c r="CR268" i="22"/>
  <c r="CR257" i="22"/>
  <c r="CR252" i="22"/>
  <c r="CR241" i="22"/>
  <c r="CR236" i="22"/>
  <c r="CR225" i="22"/>
  <c r="CR220" i="22"/>
  <c r="CR209" i="22"/>
  <c r="CR204" i="22"/>
  <c r="CR193" i="22"/>
  <c r="CR188" i="22"/>
  <c r="CR333" i="22"/>
  <c r="CR331" i="22"/>
  <c r="CR328" i="22"/>
  <c r="CR318" i="22"/>
  <c r="CR290" i="22"/>
  <c r="CR288" i="22"/>
  <c r="CR278" i="22"/>
  <c r="CR275" i="22"/>
  <c r="CR255" i="22"/>
  <c r="CR251" i="22"/>
  <c r="CR247" i="22"/>
  <c r="CR243" i="22"/>
  <c r="CR218" i="22"/>
  <c r="CR214" i="22"/>
  <c r="CR210" i="22"/>
  <c r="CR206" i="22"/>
  <c r="CR185" i="22"/>
  <c r="CR181" i="22"/>
  <c r="CR338" i="22"/>
  <c r="CR336" i="22"/>
  <c r="CR326" i="22"/>
  <c r="CR323" i="22"/>
  <c r="CR263" i="22"/>
  <c r="CR260" i="22"/>
  <c r="CR239" i="22"/>
  <c r="CR235" i="22"/>
  <c r="CR231" i="22"/>
  <c r="CR227" i="22"/>
  <c r="CR202" i="22"/>
  <c r="CR198" i="22"/>
  <c r="CR194" i="22"/>
  <c r="CR190" i="22"/>
  <c r="CR311" i="22"/>
  <c r="CR301" i="22"/>
  <c r="CR299" i="22"/>
  <c r="CR296" i="22"/>
  <c r="CR286" i="22"/>
  <c r="CR256" i="22"/>
  <c r="CR248" i="22"/>
  <c r="CR244" i="22"/>
  <c r="CR223" i="22"/>
  <c r="CR219" i="22"/>
  <c r="CR215" i="22"/>
  <c r="CR211" i="22"/>
  <c r="CR186" i="22"/>
  <c r="CR182" i="22"/>
  <c r="CR176" i="22"/>
  <c r="CR171" i="22"/>
  <c r="CR166" i="22"/>
  <c r="CR160" i="22"/>
  <c r="CR155" i="22"/>
  <c r="CR150" i="22"/>
  <c r="CR144" i="22"/>
  <c r="CR139" i="22"/>
  <c r="CR134" i="22"/>
  <c r="CR128" i="22"/>
  <c r="CR123" i="22"/>
  <c r="CR118" i="22"/>
  <c r="CR339" i="22"/>
  <c r="CR279" i="22"/>
  <c r="CR269" i="22"/>
  <c r="CR267" i="22"/>
  <c r="CR264" i="22"/>
  <c r="CR249" i="22"/>
  <c r="CR245" i="22"/>
  <c r="CR237" i="22"/>
  <c r="CR224" i="22"/>
  <c r="CR216" i="22"/>
  <c r="CR212" i="22"/>
  <c r="CR191" i="22"/>
  <c r="CR187" i="22"/>
  <c r="CR183" i="22"/>
  <c r="CR178" i="22"/>
  <c r="CR173" i="22"/>
  <c r="CR167" i="22"/>
  <c r="CR162" i="22"/>
  <c r="CR157" i="22"/>
  <c r="CR151" i="22"/>
  <c r="CR146" i="22"/>
  <c r="CR141" i="22"/>
  <c r="CR135" i="22"/>
  <c r="CR130" i="22"/>
  <c r="CR125" i="22"/>
  <c r="CR119" i="22"/>
  <c r="CR114" i="22"/>
  <c r="CR109" i="22"/>
  <c r="CR103" i="22"/>
  <c r="CR98" i="22"/>
  <c r="CR93" i="22"/>
  <c r="CR87" i="22"/>
  <c r="CR82" i="22"/>
  <c r="CR77" i="22"/>
  <c r="CR71" i="22"/>
  <c r="CR66" i="22"/>
  <c r="CR60" i="22"/>
  <c r="CR54" i="22"/>
  <c r="CR48" i="22"/>
  <c r="CR37" i="22"/>
  <c r="CR25" i="22"/>
  <c r="CR320" i="22"/>
  <c r="CR310" i="22"/>
  <c r="CR304" i="22"/>
  <c r="CR258" i="22"/>
  <c r="CR240" i="22"/>
  <c r="CR233" i="22"/>
  <c r="CR217" i="22"/>
  <c r="CR199" i="22"/>
  <c r="CR165" i="22"/>
  <c r="CR159" i="22"/>
  <c r="CR153" i="22"/>
  <c r="CR142" i="22"/>
  <c r="CR136" i="22"/>
  <c r="CR121" i="22"/>
  <c r="CR108" i="22"/>
  <c r="CR100" i="22"/>
  <c r="CR92" i="22"/>
  <c r="CR84" i="22"/>
  <c r="CR76" i="22"/>
  <c r="CR68" i="22"/>
  <c r="CR63" i="22"/>
  <c r="CR59" i="22"/>
  <c r="CR55" i="22"/>
  <c r="CR51" i="22"/>
  <c r="CR38" i="22"/>
  <c r="CR322" i="22"/>
  <c r="CR312" i="22"/>
  <c r="CR306" i="22"/>
  <c r="CR294" i="22"/>
  <c r="CR274" i="22"/>
  <c r="CR272" i="22"/>
  <c r="CR270" i="22"/>
  <c r="CR261" i="22"/>
  <c r="CR238" i="22"/>
  <c r="CR226" i="22"/>
  <c r="CR222" i="22"/>
  <c r="CR213" i="22"/>
  <c r="CR148" i="22"/>
  <c r="CR140" i="22"/>
  <c r="CR131" i="22"/>
  <c r="CR112" i="22"/>
  <c r="CR104" i="22"/>
  <c r="CR96" i="22"/>
  <c r="CR88" i="22"/>
  <c r="CR80" i="22"/>
  <c r="CR72" i="22"/>
  <c r="CR64" i="22"/>
  <c r="CR47" i="22"/>
  <c r="CR43" i="22"/>
  <c r="CR34" i="22"/>
  <c r="CR15" i="22"/>
  <c r="CR327" i="22"/>
  <c r="CR295" i="22"/>
  <c r="CR250" i="22"/>
  <c r="CR246" i="22"/>
  <c r="CR234" i="22"/>
  <c r="CR232" i="22"/>
  <c r="CR203" i="22"/>
  <c r="CR201" i="22"/>
  <c r="CR192" i="22"/>
  <c r="CR174" i="22"/>
  <c r="CR169" i="22"/>
  <c r="CR156" i="22"/>
  <c r="CR149" i="22"/>
  <c r="CR132" i="22"/>
  <c r="CR127" i="22"/>
  <c r="CR117" i="22"/>
  <c r="CR111" i="22"/>
  <c r="CR105" i="22"/>
  <c r="CR75" i="22"/>
  <c r="CR61" i="22"/>
  <c r="CR44" i="22"/>
  <c r="CR35" i="22"/>
  <c r="CR16" i="22"/>
  <c r="CR259" i="22"/>
  <c r="CR230" i="22"/>
  <c r="CR228" i="22"/>
  <c r="CR197" i="22"/>
  <c r="CR177" i="22"/>
  <c r="CR161" i="22"/>
  <c r="CR163" i="22"/>
  <c r="CR137" i="22"/>
  <c r="CR14" i="22"/>
  <c r="CR28" i="22"/>
  <c r="CU29" i="22"/>
  <c r="CU32" i="22"/>
  <c r="CU37" i="22"/>
  <c r="CU51" i="22"/>
  <c r="CT59" i="22"/>
  <c r="CU64" i="22"/>
  <c r="CR69" i="22"/>
  <c r="CU72" i="22"/>
  <c r="CR74" i="22"/>
  <c r="CU75" i="22"/>
  <c r="CT80" i="22"/>
  <c r="CR102" i="22"/>
  <c r="CU108" i="22"/>
  <c r="CU113" i="22"/>
  <c r="CR115" i="22"/>
  <c r="CU152" i="22"/>
  <c r="CR154" i="22"/>
  <c r="CR168" i="22"/>
  <c r="CU185" i="22"/>
  <c r="CU198" i="22"/>
  <c r="CT204" i="22"/>
  <c r="CU230" i="22"/>
  <c r="CR253" i="22"/>
  <c r="CR307" i="22"/>
  <c r="CT313" i="22"/>
  <c r="CU338" i="22"/>
  <c r="CR20" i="22"/>
  <c r="CU21" i="22"/>
  <c r="CR24" i="22"/>
  <c r="CT25" i="22"/>
  <c r="CR31" i="22"/>
  <c r="CR41" i="22"/>
  <c r="CU42" i="22"/>
  <c r="CU45" i="22"/>
  <c r="CR50" i="22"/>
  <c r="CR53" i="22"/>
  <c r="CR58" i="22"/>
  <c r="CU59" i="22"/>
  <c r="CU80" i="22"/>
  <c r="CU83" i="22"/>
  <c r="CU86" i="22"/>
  <c r="CR90" i="22"/>
  <c r="CT91" i="22"/>
  <c r="CU97" i="22"/>
  <c r="CR99" i="22"/>
  <c r="CR106" i="22"/>
  <c r="CT107" i="22"/>
  <c r="CR124" i="22"/>
  <c r="CU127" i="22"/>
  <c r="CR129" i="22"/>
  <c r="CR133" i="22"/>
  <c r="CR158" i="22"/>
  <c r="CT164" i="22"/>
  <c r="CR170" i="22"/>
  <c r="CU181" i="22"/>
  <c r="CT196" i="22"/>
  <c r="CT200" i="22"/>
  <c r="CT251" i="22"/>
  <c r="CR283" i="22"/>
  <c r="CR285" i="22"/>
  <c r="CU313" i="22"/>
  <c r="CU317" i="22"/>
  <c r="CR13" i="22"/>
  <c r="CT14" i="22"/>
  <c r="CR19" i="22"/>
  <c r="CR23" i="22"/>
  <c r="CU25" i="22"/>
  <c r="CT28" i="22"/>
  <c r="CU34" i="22"/>
  <c r="CR36" i="22"/>
  <c r="CT63" i="22"/>
  <c r="CU66" i="22"/>
  <c r="CU74" i="22"/>
  <c r="CR79" i="22"/>
  <c r="CR85" i="22"/>
  <c r="CU88" i="22"/>
  <c r="CT96" i="22"/>
  <c r="CU102" i="22"/>
  <c r="CU104" i="22"/>
  <c r="CU107" i="22"/>
  <c r="CT112" i="22"/>
  <c r="CU117" i="22"/>
  <c r="CU131" i="22"/>
  <c r="CR143" i="22"/>
  <c r="CR147" i="22"/>
  <c r="CU156" i="22"/>
  <c r="CR180" i="22"/>
  <c r="CT193" i="22"/>
  <c r="CT235" i="22"/>
  <c r="CU239" i="22"/>
  <c r="CR262" i="22"/>
  <c r="CR334" i="22"/>
  <c r="CT47" i="22"/>
  <c r="CT124" i="22"/>
  <c r="CR184" i="22"/>
  <c r="CR207" i="22"/>
  <c r="CT233" i="22"/>
  <c r="CU336" i="22"/>
  <c r="CU331" i="22"/>
  <c r="CU320" i="22"/>
  <c r="CU315" i="22"/>
  <c r="CU304" i="22"/>
  <c r="CU299" i="22"/>
  <c r="CU288" i="22"/>
  <c r="CU283" i="22"/>
  <c r="CU272" i="22"/>
  <c r="CU267" i="22"/>
  <c r="CU337" i="22"/>
  <c r="CU332" i="22"/>
  <c r="CU326" i="22"/>
  <c r="CU321" i="22"/>
  <c r="CU316" i="22"/>
  <c r="CU310" i="22"/>
  <c r="CU305" i="22"/>
  <c r="CU300" i="22"/>
  <c r="CU294" i="22"/>
  <c r="CU289" i="22"/>
  <c r="CU284" i="22"/>
  <c r="CU278" i="22"/>
  <c r="CU273" i="22"/>
  <c r="CU268" i="22"/>
  <c r="CU262" i="22"/>
  <c r="CU339" i="22"/>
  <c r="CU328" i="22"/>
  <c r="CU323" i="22"/>
  <c r="CU312" i="22"/>
  <c r="CU307" i="22"/>
  <c r="CU296" i="22"/>
  <c r="CU291" i="22"/>
  <c r="CU280" i="22"/>
  <c r="CU275" i="22"/>
  <c r="CU264" i="22"/>
  <c r="CU259" i="22"/>
  <c r="CU248" i="22"/>
  <c r="CU243" i="22"/>
  <c r="CU232" i="22"/>
  <c r="CU227" i="22"/>
  <c r="CU216" i="22"/>
  <c r="CU211" i="22"/>
  <c r="CU200" i="22"/>
  <c r="CU195" i="22"/>
  <c r="CU184" i="22"/>
  <c r="CU329" i="22"/>
  <c r="CU311" i="22"/>
  <c r="CU301" i="22"/>
  <c r="CU286" i="22"/>
  <c r="CU276" i="22"/>
  <c r="CU266" i="22"/>
  <c r="CU240" i="22"/>
  <c r="CU236" i="22"/>
  <c r="CU228" i="22"/>
  <c r="CU223" i="22"/>
  <c r="CU215" i="22"/>
  <c r="CU203" i="22"/>
  <c r="CU186" i="22"/>
  <c r="CU182" i="22"/>
  <c r="CU177" i="22"/>
  <c r="CU334" i="22"/>
  <c r="CU324" i="22"/>
  <c r="CU314" i="22"/>
  <c r="CU306" i="22"/>
  <c r="CU271" i="22"/>
  <c r="CU261" i="22"/>
  <c r="CU257" i="22"/>
  <c r="CU253" i="22"/>
  <c r="CU249" i="22"/>
  <c r="CU224" i="22"/>
  <c r="CU220" i="22"/>
  <c r="CU212" i="22"/>
  <c r="CU207" i="22"/>
  <c r="CU199" i="22"/>
  <c r="CU187" i="22"/>
  <c r="CU319" i="22"/>
  <c r="CU309" i="22"/>
  <c r="CU297" i="22"/>
  <c r="CU279" i="22"/>
  <c r="CU269" i="22"/>
  <c r="CU245" i="22"/>
  <c r="CU241" i="22"/>
  <c r="CU237" i="22"/>
  <c r="CU233" i="22"/>
  <c r="CU208" i="22"/>
  <c r="CU204" i="22"/>
  <c r="CU196" i="22"/>
  <c r="CU191" i="22"/>
  <c r="CU183" i="22"/>
  <c r="CU178" i="22"/>
  <c r="CU173" i="22"/>
  <c r="CU167" i="22"/>
  <c r="CU162" i="22"/>
  <c r="CU157" i="22"/>
  <c r="CU151" i="22"/>
  <c r="CU146" i="22"/>
  <c r="CU141" i="22"/>
  <c r="CU135" i="22"/>
  <c r="CU130" i="22"/>
  <c r="CU125" i="22"/>
  <c r="CU119" i="22"/>
  <c r="CU114" i="22"/>
  <c r="CU340" i="22"/>
  <c r="CU330" i="22"/>
  <c r="CU322" i="22"/>
  <c r="CU287" i="22"/>
  <c r="CU277" i="22"/>
  <c r="CU265" i="22"/>
  <c r="CU250" i="22"/>
  <c r="CU246" i="22"/>
  <c r="CU242" i="22"/>
  <c r="CU238" i="22"/>
  <c r="CU213" i="22"/>
  <c r="CU209" i="22"/>
  <c r="CU205" i="22"/>
  <c r="CU201" i="22"/>
  <c r="CU180" i="22"/>
  <c r="CU174" i="22"/>
  <c r="CU169" i="22"/>
  <c r="CU164" i="22"/>
  <c r="CU158" i="22"/>
  <c r="CU153" i="22"/>
  <c r="CU148" i="22"/>
  <c r="CU142" i="22"/>
  <c r="CU137" i="22"/>
  <c r="CU132" i="22"/>
  <c r="CU126" i="22"/>
  <c r="CU121" i="22"/>
  <c r="CU116" i="22"/>
  <c r="CU110" i="22"/>
  <c r="CU105" i="22"/>
  <c r="CU100" i="22"/>
  <c r="CU94" i="22"/>
  <c r="CU89" i="22"/>
  <c r="CU84" i="22"/>
  <c r="CU78" i="22"/>
  <c r="CU73" i="22"/>
  <c r="CU68" i="22"/>
  <c r="CU56" i="22"/>
  <c r="CU50" i="22"/>
  <c r="CU38" i="22"/>
  <c r="CU33" i="22"/>
  <c r="CU27" i="22"/>
  <c r="CU14" i="22"/>
  <c r="CU302" i="22"/>
  <c r="CU282" i="22"/>
  <c r="CU263" i="22"/>
  <c r="CU254" i="22"/>
  <c r="CU247" i="22"/>
  <c r="CU231" i="22"/>
  <c r="CU197" i="22"/>
  <c r="CU192" i="22"/>
  <c r="CU190" i="22"/>
  <c r="CU179" i="22"/>
  <c r="CU168" i="22"/>
  <c r="CU160" i="22"/>
  <c r="CU154" i="22"/>
  <c r="CU129" i="22"/>
  <c r="CU122" i="22"/>
  <c r="CU109" i="22"/>
  <c r="CU101" i="22"/>
  <c r="CU93" i="22"/>
  <c r="CU85" i="22"/>
  <c r="CU77" i="22"/>
  <c r="CU69" i="22"/>
  <c r="CU48" i="22"/>
  <c r="CU44" i="22"/>
  <c r="CU39" i="22"/>
  <c r="CU35" i="22"/>
  <c r="CU30" i="22"/>
  <c r="CU292" i="22"/>
  <c r="CU290" i="22"/>
  <c r="CU234" i="22"/>
  <c r="CU229" i="22"/>
  <c r="CU202" i="22"/>
  <c r="CU188" i="22"/>
  <c r="CU172" i="22"/>
  <c r="CU166" i="22"/>
  <c r="CU163" i="22"/>
  <c r="CU149" i="22"/>
  <c r="CU143" i="22"/>
  <c r="CU61" i="22"/>
  <c r="CU57" i="22"/>
  <c r="CU53" i="22"/>
  <c r="CU49" i="22"/>
  <c r="CU36" i="22"/>
  <c r="CU31" i="22"/>
  <c r="CU17" i="22"/>
  <c r="CU12" i="22"/>
  <c r="CU303" i="22"/>
  <c r="CU222" i="22"/>
  <c r="CU170" i="22"/>
  <c r="CU147" i="22"/>
  <c r="CU140" i="22"/>
  <c r="CU128" i="22"/>
  <c r="CU115" i="22"/>
  <c r="CU112" i="22"/>
  <c r="CU91" i="22"/>
  <c r="CU79" i="22"/>
  <c r="CU41" i="22"/>
  <c r="CU26" i="22"/>
  <c r="CU335" i="22"/>
  <c r="CU333" i="22"/>
  <c r="CU255" i="22"/>
  <c r="CU251" i="22"/>
  <c r="CU226" i="22"/>
  <c r="CU218" i="22"/>
  <c r="CU210" i="22"/>
  <c r="CU206" i="22"/>
  <c r="CU189" i="22"/>
  <c r="CU159" i="22"/>
  <c r="CU145" i="22"/>
  <c r="CU133" i="22"/>
  <c r="CU214" i="22"/>
  <c r="CU13" i="22"/>
  <c r="CR18" i="22"/>
  <c r="CR33" i="22"/>
  <c r="CR57" i="22"/>
  <c r="CR62" i="22"/>
  <c r="CU258" i="22"/>
  <c r="CT336" i="22"/>
  <c r="CT331" i="22"/>
  <c r="CT320" i="22"/>
  <c r="CT315" i="22"/>
  <c r="CT304" i="22"/>
  <c r="CT299" i="22"/>
  <c r="CT288" i="22"/>
  <c r="CT283" i="22"/>
  <c r="CT272" i="22"/>
  <c r="CT267" i="22"/>
  <c r="CT337" i="22"/>
  <c r="CT332" i="22"/>
  <c r="CT321" i="22"/>
  <c r="CT316" i="22"/>
  <c r="CT305" i="22"/>
  <c r="CT300" i="22"/>
  <c r="CT289" i="22"/>
  <c r="CT284" i="22"/>
  <c r="CT273" i="22"/>
  <c r="CT268" i="22"/>
  <c r="CT296" i="22"/>
  <c r="CT281" i="22"/>
  <c r="CT256" i="22"/>
  <c r="CT252" i="22"/>
  <c r="CT248" i="22"/>
  <c r="CT244" i="22"/>
  <c r="CT219" i="22"/>
  <c r="CT211" i="22"/>
  <c r="CT176" i="22"/>
  <c r="CT329" i="22"/>
  <c r="CT291" i="22"/>
  <c r="CT276" i="22"/>
  <c r="CT240" i="22"/>
  <c r="CT236" i="22"/>
  <c r="CT232" i="22"/>
  <c r="CT228" i="22"/>
  <c r="CT203" i="22"/>
  <c r="CT195" i="22"/>
  <c r="CT177" i="22"/>
  <c r="CT172" i="22"/>
  <c r="CT161" i="22"/>
  <c r="CT156" i="22"/>
  <c r="CT145" i="22"/>
  <c r="CT140" i="22"/>
  <c r="CT129" i="22"/>
  <c r="CT339" i="22"/>
  <c r="CT324" i="22"/>
  <c r="CT264" i="22"/>
  <c r="CT257" i="22"/>
  <c r="CT249" i="22"/>
  <c r="CT224" i="22"/>
  <c r="CT220" i="22"/>
  <c r="CT216" i="22"/>
  <c r="CT212" i="22"/>
  <c r="CT187" i="22"/>
  <c r="CT307" i="22"/>
  <c r="CT292" i="22"/>
  <c r="CT225" i="22"/>
  <c r="CT217" i="22"/>
  <c r="CT192" i="22"/>
  <c r="CT188" i="22"/>
  <c r="CT184" i="22"/>
  <c r="CT179" i="22"/>
  <c r="CT168" i="22"/>
  <c r="CT163" i="22"/>
  <c r="CT152" i="22"/>
  <c r="CT147" i="22"/>
  <c r="CT136" i="22"/>
  <c r="CT131" i="22"/>
  <c r="CT120" i="22"/>
  <c r="CT115" i="22"/>
  <c r="CT104" i="22"/>
  <c r="CT99" i="22"/>
  <c r="CT88" i="22"/>
  <c r="CT83" i="22"/>
  <c r="CT72" i="22"/>
  <c r="CT67" i="22"/>
  <c r="CT55" i="22"/>
  <c r="CT44" i="22"/>
  <c r="CT32" i="22"/>
  <c r="CT20" i="22"/>
  <c r="CT328" i="22"/>
  <c r="CT280" i="22"/>
  <c r="CT171" i="22"/>
  <c r="CT116" i="22"/>
  <c r="CT113" i="22"/>
  <c r="CT97" i="22"/>
  <c r="CT81" i="22"/>
  <c r="CT65" i="22"/>
  <c r="CT60" i="22"/>
  <c r="CT56" i="22"/>
  <c r="CT52" i="22"/>
  <c r="CT265" i="22"/>
  <c r="CT259" i="22"/>
  <c r="CT243" i="22"/>
  <c r="CT209" i="22"/>
  <c r="CT160" i="22"/>
  <c r="CT137" i="22"/>
  <c r="CT105" i="22"/>
  <c r="CT89" i="22"/>
  <c r="CT73" i="22"/>
  <c r="CT48" i="22"/>
  <c r="CT39" i="22"/>
  <c r="CT35" i="22"/>
  <c r="CT16" i="22"/>
  <c r="CT340" i="22"/>
  <c r="CT275" i="22"/>
  <c r="CT208" i="22"/>
  <c r="CT185" i="22"/>
  <c r="CT144" i="22"/>
  <c r="CT100" i="22"/>
  <c r="CT76" i="22"/>
  <c r="CT64" i="22"/>
  <c r="CT17" i="22"/>
  <c r="CT128" i="22"/>
  <c r="CT41" i="22"/>
  <c r="CR95" i="22"/>
  <c r="CR101" i="22"/>
  <c r="CT121" i="22"/>
  <c r="CT139" i="22"/>
  <c r="CR172" i="22"/>
  <c r="CR195" i="22"/>
  <c r="CR205" i="22"/>
  <c r="CR12" i="22"/>
  <c r="CR22" i="22"/>
  <c r="CR46" i="22"/>
  <c r="CU47" i="22"/>
  <c r="CR65" i="22"/>
  <c r="CR73" i="22"/>
  <c r="CR116" i="22"/>
  <c r="CU124" i="22"/>
  <c r="CU139" i="22"/>
  <c r="CT227" i="22"/>
  <c r="CR254" i="22"/>
  <c r="CU327" i="22"/>
  <c r="CU19" i="22"/>
  <c r="CU23" i="22"/>
  <c r="CT27" i="22"/>
  <c r="CT40" i="22"/>
  <c r="CU52" i="22"/>
  <c r="CU60" i="22"/>
  <c r="CR67" i="22"/>
  <c r="CR70" i="22"/>
  <c r="CU76" i="22"/>
  <c r="CR78" i="22"/>
  <c r="CR81" i="22"/>
  <c r="CU87" i="22"/>
  <c r="CR89" i="22"/>
  <c r="CU95" i="22"/>
  <c r="CU111" i="22"/>
  <c r="CR120" i="22"/>
  <c r="CT123" i="22"/>
  <c r="CT155" i="22"/>
  <c r="CT169" i="22"/>
  <c r="CR175" i="22"/>
  <c r="CT201" i="22"/>
  <c r="CR221" i="22"/>
  <c r="CU225" i="22"/>
  <c r="CU252" i="22"/>
  <c r="CU270" i="22"/>
  <c r="CU318" i="22"/>
  <c r="CT323" i="22"/>
  <c r="CU325" i="22"/>
  <c r="CT24" i="22"/>
  <c r="CR27" i="22"/>
  <c r="CT31" i="22"/>
  <c r="CR40" i="22"/>
  <c r="CR52" i="22"/>
  <c r="CR145" i="22"/>
  <c r="CR229" i="22"/>
  <c r="CT260" i="22"/>
  <c r="CT19" i="22"/>
  <c r="CT23" i="22"/>
  <c r="CU24" i="22"/>
  <c r="CR30" i="22"/>
  <c r="CT36" i="22"/>
  <c r="CR49" i="22"/>
  <c r="CT68" i="22"/>
  <c r="CU82" i="22"/>
  <c r="CR126" i="22"/>
  <c r="CR138" i="22"/>
  <c r="CT153" i="22"/>
  <c r="CU176" i="22"/>
  <c r="CT180" i="22"/>
  <c r="CR189" i="22"/>
  <c r="CU256" i="22"/>
  <c r="CU260" i="22"/>
  <c r="CT312" i="22"/>
  <c r="CT12" i="22"/>
  <c r="CT15" i="22"/>
  <c r="CU18" i="22"/>
  <c r="CT22" i="22"/>
  <c r="CR26" i="22"/>
  <c r="CR29" i="22"/>
  <c r="CR32" i="22"/>
  <c r="CT33" i="22"/>
  <c r="CU40" i="22"/>
  <c r="CT43" i="22"/>
  <c r="CU46" i="22"/>
  <c r="CT49" i="22"/>
  <c r="CU54" i="22"/>
  <c r="CT57" i="22"/>
  <c r="CU62" i="22"/>
  <c r="CU65" i="22"/>
  <c r="CT84" i="22"/>
  <c r="CT92" i="22"/>
  <c r="CU98" i="22"/>
  <c r="CU103" i="22"/>
  <c r="CR113" i="22"/>
  <c r="CU118" i="22"/>
  <c r="CU123" i="22"/>
  <c r="CT132" i="22"/>
  <c r="CU134" i="22"/>
  <c r="CU136" i="22"/>
  <c r="CU138" i="22"/>
  <c r="CR152" i="22"/>
  <c r="CU155" i="22"/>
  <c r="CU161" i="22"/>
  <c r="CU165" i="22"/>
  <c r="CR179" i="22"/>
  <c r="CU219" i="22"/>
  <c r="CR242" i="22"/>
  <c r="CR280" i="22"/>
  <c r="CR291" i="22"/>
  <c r="CU293" i="22"/>
  <c r="CU295" i="22"/>
  <c r="CT297" i="22"/>
  <c r="CT308" i="22"/>
  <c r="CV337" i="22"/>
  <c r="CV332" i="22"/>
  <c r="CV326" i="22"/>
  <c r="CV321" i="22"/>
  <c r="CV316" i="22"/>
  <c r="CV310" i="22"/>
  <c r="CV305" i="22"/>
  <c r="CV300" i="22"/>
  <c r="CV294" i="22"/>
  <c r="CV289" i="22"/>
  <c r="CV284" i="22"/>
  <c r="CV278" i="22"/>
  <c r="CV273" i="22"/>
  <c r="CV268" i="22"/>
  <c r="CV262" i="22"/>
  <c r="CV338" i="22"/>
  <c r="CV333" i="22"/>
  <c r="CV327" i="22"/>
  <c r="CV322" i="22"/>
  <c r="CV317" i="22"/>
  <c r="CV311" i="22"/>
  <c r="CV306" i="22"/>
  <c r="CV301" i="22"/>
  <c r="CV295" i="22"/>
  <c r="CV290" i="22"/>
  <c r="CV285" i="22"/>
  <c r="CV279" i="22"/>
  <c r="CV274" i="22"/>
  <c r="CV269" i="22"/>
  <c r="CV263" i="22"/>
  <c r="CV340" i="22"/>
  <c r="CV334" i="22"/>
  <c r="CV329" i="22"/>
  <c r="CV324" i="22"/>
  <c r="CV318" i="22"/>
  <c r="CV313" i="22"/>
  <c r="CV308" i="22"/>
  <c r="CV302" i="22"/>
  <c r="CV297" i="22"/>
  <c r="CV292" i="22"/>
  <c r="CV286" i="22"/>
  <c r="CV281" i="22"/>
  <c r="CV276" i="22"/>
  <c r="CV270" i="22"/>
  <c r="CV265" i="22"/>
  <c r="CV260" i="22"/>
  <c r="CV254" i="22"/>
  <c r="CV249" i="22"/>
  <c r="CV244" i="22"/>
  <c r="CV238" i="22"/>
  <c r="CV233" i="22"/>
  <c r="CV228" i="22"/>
  <c r="CV222" i="22"/>
  <c r="CV217" i="22"/>
  <c r="CV212" i="22"/>
  <c r="CV206" i="22"/>
  <c r="CV201" i="22"/>
  <c r="CV196" i="22"/>
  <c r="CV190" i="22"/>
  <c r="CV185" i="22"/>
  <c r="CV314" i="22"/>
  <c r="CV299" i="22"/>
  <c r="CV291" i="22"/>
  <c r="CV271" i="22"/>
  <c r="CV261" i="22"/>
  <c r="CV257" i="22"/>
  <c r="CV253" i="22"/>
  <c r="CV232" i="22"/>
  <c r="CV224" i="22"/>
  <c r="CV220" i="22"/>
  <c r="CV207" i="22"/>
  <c r="CV199" i="22"/>
  <c r="CV195" i="22"/>
  <c r="CV187" i="22"/>
  <c r="CV339" i="22"/>
  <c r="CV319" i="22"/>
  <c r="CV309" i="22"/>
  <c r="CV304" i="22"/>
  <c r="CV264" i="22"/>
  <c r="CV245" i="22"/>
  <c r="CV241" i="22"/>
  <c r="CV237" i="22"/>
  <c r="CV216" i="22"/>
  <c r="CV208" i="22"/>
  <c r="CV204" i="22"/>
  <c r="CV191" i="22"/>
  <c r="CV183" i="22"/>
  <c r="CV178" i="22"/>
  <c r="CV173" i="22"/>
  <c r="CV167" i="22"/>
  <c r="CV162" i="22"/>
  <c r="CV157" i="22"/>
  <c r="CV151" i="22"/>
  <c r="CV146" i="22"/>
  <c r="CV141" i="22"/>
  <c r="CV135" i="22"/>
  <c r="CV130" i="22"/>
  <c r="CV312" i="22"/>
  <c r="CV282" i="22"/>
  <c r="CV267" i="22"/>
  <c r="CV258" i="22"/>
  <c r="CV229" i="22"/>
  <c r="CV225" i="22"/>
  <c r="CV221" i="22"/>
  <c r="CV200" i="22"/>
  <c r="CV192" i="22"/>
  <c r="CV188" i="22"/>
  <c r="CV179" i="22"/>
  <c r="CV168" i="22"/>
  <c r="CV163" i="22"/>
  <c r="CV152" i="22"/>
  <c r="CV147" i="22"/>
  <c r="CV136" i="22"/>
  <c r="CV131" i="22"/>
  <c r="CV120" i="22"/>
  <c r="CV115" i="22"/>
  <c r="CV335" i="22"/>
  <c r="CV325" i="22"/>
  <c r="CV320" i="22"/>
  <c r="CV280" i="22"/>
  <c r="CV259" i="22"/>
  <c r="CV251" i="22"/>
  <c r="CV234" i="22"/>
  <c r="CV230" i="22"/>
  <c r="CV226" i="22"/>
  <c r="CV197" i="22"/>
  <c r="CV193" i="22"/>
  <c r="CV189" i="22"/>
  <c r="CV62" i="22"/>
  <c r="CV57" i="22"/>
  <c r="CV51" i="22"/>
  <c r="CV45" i="22"/>
  <c r="CV39" i="22"/>
  <c r="CV28" i="22"/>
  <c r="CV21" i="22"/>
  <c r="CV15" i="22"/>
  <c r="CV330" i="22"/>
  <c r="CV288" i="22"/>
  <c r="CV243" i="22"/>
  <c r="CV209" i="22"/>
  <c r="CV202" i="22"/>
  <c r="CV186" i="22"/>
  <c r="CV177" i="22"/>
  <c r="CV174" i="22"/>
  <c r="CV172" i="22"/>
  <c r="CV166" i="22"/>
  <c r="CV149" i="22"/>
  <c r="CV143" i="22"/>
  <c r="CV137" i="22"/>
  <c r="CV119" i="22"/>
  <c r="CV105" i="22"/>
  <c r="CV89" i="22"/>
  <c r="CV73" i="22"/>
  <c r="CV61" i="22"/>
  <c r="CV53" i="22"/>
  <c r="CV49" i="22"/>
  <c r="CV36" i="22"/>
  <c r="CV31" i="22"/>
  <c r="CV336" i="22"/>
  <c r="CV252" i="22"/>
  <c r="CV218" i="22"/>
  <c r="CV184" i="22"/>
  <c r="CV182" i="22"/>
  <c r="CV161" i="22"/>
  <c r="CV155" i="22"/>
  <c r="CV132" i="22"/>
  <c r="CV126" i="22"/>
  <c r="CV123" i="22"/>
  <c r="CV117" i="22"/>
  <c r="CV102" i="22"/>
  <c r="CV98" i="22"/>
  <c r="CV86" i="22"/>
  <c r="CV82" i="22"/>
  <c r="CV70" i="22"/>
  <c r="CV66" i="22"/>
  <c r="CV40" i="22"/>
  <c r="CV27" i="22"/>
  <c r="CV22" i="22"/>
  <c r="CV14" i="22"/>
  <c r="CV33" i="22"/>
  <c r="CV38" i="22"/>
  <c r="CV59" i="22"/>
  <c r="CV65" i="22"/>
  <c r="CV88" i="22"/>
  <c r="CV94" i="22"/>
  <c r="CV103" i="22"/>
  <c r="CV109" i="22"/>
  <c r="CV133" i="22"/>
  <c r="CV142" i="22"/>
  <c r="CV145" i="22"/>
  <c r="CV154" i="22"/>
  <c r="CV159" i="22"/>
  <c r="CV210" i="22"/>
  <c r="CV214" i="22"/>
  <c r="CV255" i="22"/>
  <c r="CV277" i="22"/>
  <c r="CV331" i="22"/>
  <c r="P65" i="10"/>
  <c r="B523" i="28" s="1"/>
  <c r="CT13" i="22"/>
  <c r="CT21" i="22"/>
  <c r="CT29" i="22"/>
  <c r="CT37" i="22"/>
  <c r="CT45" i="22"/>
  <c r="CT53" i="22"/>
  <c r="CT61" i="22"/>
  <c r="CT69" i="22"/>
  <c r="CT77" i="22"/>
  <c r="CT85" i="22"/>
  <c r="CT93" i="22"/>
  <c r="CT101" i="22"/>
  <c r="CT109" i="22"/>
  <c r="CT117" i="22"/>
  <c r="CT125" i="22"/>
  <c r="CT133" i="22"/>
  <c r="CT141" i="22"/>
  <c r="CT149" i="22"/>
  <c r="CT157" i="22"/>
  <c r="CT165" i="22"/>
  <c r="CT173" i="22"/>
  <c r="CT181" i="22"/>
  <c r="CT189" i="22"/>
  <c r="CT197" i="22"/>
  <c r="CT205" i="22"/>
  <c r="CT213" i="22"/>
  <c r="CT221" i="22"/>
  <c r="CT229" i="22"/>
  <c r="CT237" i="22"/>
  <c r="CT245" i="22"/>
  <c r="CT253" i="22"/>
  <c r="CT261" i="22"/>
  <c r="CT269" i="22"/>
  <c r="CT277" i="22"/>
  <c r="CT285" i="22"/>
  <c r="CT293" i="22"/>
  <c r="CT301" i="22"/>
  <c r="CT309" i="22"/>
  <c r="CT317" i="22"/>
  <c r="CT325" i="22"/>
  <c r="CT333" i="22"/>
  <c r="CT18" i="22"/>
  <c r="CT26" i="22"/>
  <c r="CT34" i="22"/>
  <c r="CT42" i="22"/>
  <c r="CT50" i="22"/>
  <c r="CT58" i="22"/>
  <c r="CT66" i="22"/>
  <c r="CT74" i="22"/>
  <c r="CT82" i="22"/>
  <c r="CT90" i="22"/>
  <c r="CT98" i="22"/>
  <c r="CT106" i="22"/>
  <c r="CT114" i="22"/>
  <c r="CT122" i="22"/>
  <c r="CT130" i="22"/>
  <c r="CT138" i="22"/>
  <c r="CT146" i="22"/>
  <c r="CT154" i="22"/>
  <c r="CT162" i="22"/>
  <c r="CT170" i="22"/>
  <c r="CT178" i="22"/>
  <c r="CT186" i="22"/>
  <c r="CT194" i="22"/>
  <c r="CT202" i="22"/>
  <c r="CT210" i="22"/>
  <c r="CT218" i="22"/>
  <c r="CT226" i="22"/>
  <c r="CT234" i="22"/>
  <c r="CT242" i="22"/>
  <c r="CT250" i="22"/>
  <c r="CT258" i="22"/>
  <c r="CT266" i="22"/>
  <c r="CT274" i="22"/>
  <c r="CT282" i="22"/>
  <c r="CT290" i="22"/>
  <c r="CT298" i="22"/>
  <c r="CT306" i="22"/>
  <c r="CT314" i="22"/>
  <c r="CT322" i="22"/>
  <c r="CT330" i="22"/>
  <c r="CT338" i="22"/>
  <c r="CT71" i="22"/>
  <c r="CT79" i="22"/>
  <c r="CT87" i="22"/>
  <c r="CT95" i="22"/>
  <c r="CT103" i="22"/>
  <c r="CT111" i="22"/>
  <c r="CT119" i="22"/>
  <c r="CT127" i="22"/>
  <c r="CT135" i="22"/>
  <c r="CT143" i="22"/>
  <c r="CT151" i="22"/>
  <c r="CT159" i="22"/>
  <c r="CT167" i="22"/>
  <c r="CT175" i="22"/>
  <c r="CT183" i="22"/>
  <c r="CT191" i="22"/>
  <c r="CT199" i="22"/>
  <c r="CT207" i="22"/>
  <c r="CT215" i="22"/>
  <c r="CT223" i="22"/>
  <c r="CT231" i="22"/>
  <c r="CT239" i="22"/>
  <c r="CT247" i="22"/>
  <c r="CT255" i="22"/>
  <c r="CT263" i="22"/>
  <c r="CT271" i="22"/>
  <c r="CT279" i="22"/>
  <c r="CT287" i="22"/>
  <c r="CT295" i="22"/>
  <c r="CT303" i="22"/>
  <c r="CT311" i="22"/>
  <c r="CT319" i="22"/>
  <c r="CT327" i="22"/>
  <c r="CT335" i="22"/>
  <c r="CT30" i="22"/>
  <c r="CT38" i="22"/>
  <c r="CT46" i="22"/>
  <c r="CT54" i="22"/>
  <c r="CT62" i="22"/>
  <c r="CT70" i="22"/>
  <c r="CT78" i="22"/>
  <c r="CT86" i="22"/>
  <c r="CT94" i="22"/>
  <c r="CT102" i="22"/>
  <c r="CT110" i="22"/>
  <c r="CT118" i="22"/>
  <c r="CT126" i="22"/>
  <c r="CT134" i="22"/>
  <c r="CT142" i="22"/>
  <c r="CT150" i="22"/>
  <c r="CT158" i="22"/>
  <c r="CT166" i="22"/>
  <c r="CT174" i="22"/>
  <c r="CT182" i="22"/>
  <c r="CT190" i="22"/>
  <c r="CT198" i="22"/>
  <c r="CT206" i="22"/>
  <c r="CT214" i="22"/>
  <c r="CT222" i="22"/>
  <c r="CT230" i="22"/>
  <c r="CT238" i="22"/>
  <c r="CT246" i="22"/>
  <c r="CT254" i="22"/>
  <c r="CT262" i="22"/>
  <c r="CT270" i="22"/>
  <c r="CT278" i="22"/>
  <c r="CT286" i="22"/>
  <c r="CT294" i="22"/>
  <c r="CT302" i="22"/>
  <c r="CT310" i="22"/>
  <c r="CT318" i="22"/>
  <c r="CT326" i="22"/>
  <c r="CT334" i="22"/>
  <c r="P86" i="10"/>
  <c r="B544" i="28" s="1"/>
  <c r="P23" i="10"/>
  <c r="B481" i="28" s="1"/>
  <c r="P44" i="10"/>
  <c r="B502" i="28" s="1"/>
  <c r="I186" i="23"/>
  <c r="I185" i="23"/>
  <c r="I184" i="23"/>
  <c r="I178" i="23"/>
  <c r="I177" i="23"/>
  <c r="I176" i="23"/>
  <c r="I170" i="23"/>
  <c r="I169" i="23"/>
  <c r="I168" i="23"/>
  <c r="I162" i="23"/>
  <c r="I161" i="23"/>
  <c r="I160" i="23"/>
  <c r="I154" i="23"/>
  <c r="I153" i="23"/>
  <c r="I152" i="23"/>
  <c r="I146" i="23"/>
  <c r="I145" i="23"/>
  <c r="I144" i="23"/>
  <c r="I138" i="23"/>
  <c r="I137" i="23"/>
  <c r="I136" i="23"/>
  <c r="I130" i="23"/>
  <c r="I129" i="23"/>
  <c r="I128" i="23"/>
  <c r="I122" i="23"/>
  <c r="I121" i="23"/>
  <c r="I120" i="23"/>
  <c r="I114" i="23"/>
  <c r="I113" i="23"/>
  <c r="I112" i="23"/>
  <c r="I105" i="23"/>
  <c r="I104" i="23"/>
  <c r="I103" i="23"/>
  <c r="I97" i="23"/>
  <c r="I96" i="23"/>
  <c r="I95" i="23"/>
  <c r="I89" i="23"/>
  <c r="I88" i="23"/>
  <c r="I87" i="23"/>
  <c r="I81" i="23"/>
  <c r="I80" i="23"/>
  <c r="I79" i="23"/>
  <c r="I73" i="23"/>
  <c r="I72" i="23"/>
  <c r="I71" i="23"/>
  <c r="I65" i="23"/>
  <c r="I64" i="23"/>
  <c r="I63" i="23"/>
  <c r="I57" i="23"/>
  <c r="I56" i="23"/>
  <c r="I55" i="23"/>
  <c r="I49" i="23"/>
  <c r="I48" i="23"/>
  <c r="I47" i="23"/>
  <c r="I41" i="23"/>
  <c r="I40" i="23"/>
  <c r="I39" i="23"/>
  <c r="I33" i="23"/>
  <c r="I32" i="23"/>
  <c r="I31" i="23"/>
  <c r="I25" i="23"/>
  <c r="I17" i="23"/>
  <c r="I16" i="23"/>
  <c r="I15" i="23"/>
  <c r="I9" i="23"/>
  <c r="I8" i="23"/>
  <c r="I7" i="23"/>
  <c r="I191" i="23"/>
  <c r="I190" i="23"/>
  <c r="I189" i="23"/>
  <c r="I188" i="23"/>
  <c r="I187" i="23"/>
  <c r="I183" i="23"/>
  <c r="I182" i="23"/>
  <c r="I181" i="23"/>
  <c r="I180" i="23"/>
  <c r="I179" i="23"/>
  <c r="I175" i="23"/>
  <c r="I174" i="23"/>
  <c r="I173" i="23"/>
  <c r="I172" i="23"/>
  <c r="I171" i="23"/>
  <c r="I167" i="23"/>
  <c r="I166" i="23"/>
  <c r="I165" i="23"/>
  <c r="I164" i="23"/>
  <c r="I163" i="23"/>
  <c r="I159" i="23"/>
  <c r="I158" i="23"/>
  <c r="I157" i="23"/>
  <c r="I156" i="23"/>
  <c r="I155" i="23"/>
  <c r="I151" i="23"/>
  <c r="I150" i="23"/>
  <c r="I149" i="23"/>
  <c r="I148" i="23"/>
  <c r="I147" i="23"/>
  <c r="I143" i="23"/>
  <c r="I142" i="23"/>
  <c r="I141" i="23"/>
  <c r="I140" i="23"/>
  <c r="I139" i="23"/>
  <c r="I135" i="23"/>
  <c r="I134" i="23"/>
  <c r="I133" i="23"/>
  <c r="I132" i="23"/>
  <c r="I131" i="23"/>
  <c r="I127" i="23"/>
  <c r="I126" i="23"/>
  <c r="I125" i="23"/>
  <c r="I124" i="23"/>
  <c r="I123" i="23"/>
  <c r="I119" i="23"/>
  <c r="I118" i="23"/>
  <c r="I117" i="23"/>
  <c r="I116" i="23"/>
  <c r="I115" i="23"/>
  <c r="I111" i="23"/>
  <c r="I110" i="23"/>
  <c r="I108" i="23"/>
  <c r="I107" i="23"/>
  <c r="I106" i="23"/>
  <c r="I102" i="23"/>
  <c r="I101" i="23"/>
  <c r="I100" i="23"/>
  <c r="I99" i="23"/>
  <c r="I98" i="23"/>
  <c r="I94" i="23"/>
  <c r="I93" i="23"/>
  <c r="I92" i="23"/>
  <c r="I91" i="23"/>
  <c r="I90" i="23"/>
  <c r="I86" i="23"/>
  <c r="I85" i="23"/>
  <c r="I84" i="23"/>
  <c r="I83" i="23"/>
  <c r="I82" i="23"/>
  <c r="I78" i="23"/>
  <c r="I77" i="23"/>
  <c r="I76" i="23"/>
  <c r="I75" i="23"/>
  <c r="I74" i="23"/>
  <c r="I70" i="23"/>
  <c r="I69" i="23"/>
  <c r="I68" i="23"/>
  <c r="I67" i="23"/>
  <c r="I66" i="23"/>
  <c r="I62" i="23"/>
  <c r="I61" i="23"/>
  <c r="I60" i="23"/>
  <c r="I59" i="23"/>
  <c r="I58" i="23"/>
  <c r="I54" i="23"/>
  <c r="I53" i="23"/>
  <c r="I52" i="23"/>
  <c r="I51" i="23"/>
  <c r="I50" i="23"/>
  <c r="I46" i="23"/>
  <c r="I45" i="23"/>
  <c r="I44" i="23"/>
  <c r="I43" i="23"/>
  <c r="I42" i="23"/>
  <c r="I38" i="23"/>
  <c r="I37" i="23"/>
  <c r="I36" i="23"/>
  <c r="I35" i="23"/>
  <c r="I34" i="23"/>
  <c r="I30" i="23"/>
  <c r="I29" i="23"/>
  <c r="I28" i="23"/>
  <c r="I27" i="23"/>
  <c r="I26" i="23"/>
  <c r="I22" i="23"/>
  <c r="I21" i="23"/>
  <c r="I20" i="23"/>
  <c r="I19" i="23"/>
  <c r="I18" i="23"/>
  <c r="I14" i="23"/>
  <c r="I13" i="23"/>
  <c r="I12" i="23"/>
  <c r="I11" i="23"/>
  <c r="I10" i="23"/>
  <c r="I6" i="23"/>
  <c r="I5" i="23"/>
  <c r="I4" i="23"/>
  <c r="O55" i="1" l="1"/>
  <c r="AH20" i="10"/>
  <c r="AA3" i="16"/>
  <c r="AH18" i="10"/>
  <c r="O54" i="1"/>
  <c r="AH13" i="10"/>
  <c r="G59" i="1"/>
  <c r="B2" i="22"/>
  <c r="B3" i="22" s="1"/>
  <c r="B4" i="22" s="1"/>
  <c r="B5" i="22" s="1"/>
  <c r="B6" i="22" s="1"/>
  <c r="B7" i="22" s="1"/>
  <c r="B8" i="22" s="1"/>
  <c r="B9" i="22" s="1"/>
  <c r="B10" i="22" s="1"/>
  <c r="B11" i="22" s="1"/>
  <c r="CE40" i="24"/>
  <c r="CD40" i="24"/>
  <c r="CC34" i="24"/>
  <c r="CB21" i="24"/>
  <c r="BZ28" i="24"/>
  <c r="BZ27" i="24"/>
  <c r="T2" i="22" l="1"/>
  <c r="T5" i="22"/>
  <c r="S21" i="1"/>
  <c r="S20" i="1"/>
  <c r="S19" i="1"/>
  <c r="S18" i="1"/>
  <c r="S17" i="1"/>
  <c r="S16" i="1"/>
  <c r="S15" i="1"/>
  <c r="S14" i="1"/>
  <c r="S13" i="1"/>
  <c r="S12" i="1"/>
  <c r="M21" i="1"/>
  <c r="M20" i="1"/>
  <c r="M19" i="1"/>
  <c r="M18" i="1"/>
  <c r="M17" i="1"/>
  <c r="M16" i="1"/>
  <c r="M15" i="1"/>
  <c r="M14" i="1"/>
  <c r="M13" i="1"/>
  <c r="M12" i="1"/>
  <c r="Q51" i="1"/>
  <c r="EX27" i="4" l="1"/>
  <c r="W51" i="1"/>
  <c r="S1" i="1"/>
  <c r="E2" i="1"/>
  <c r="E1" i="1"/>
  <c r="A95" i="30" s="1"/>
  <c r="A189" i="30" l="1"/>
  <c r="A283" i="30"/>
  <c r="A330" i="30"/>
  <c r="A142" i="30"/>
  <c r="A236" i="30"/>
  <c r="A1" i="30"/>
  <c r="A377" i="30"/>
  <c r="A48" i="30"/>
  <c r="A424" i="30"/>
  <c r="BN8" i="1"/>
  <c r="BL7" i="1"/>
  <c r="BK6" i="1"/>
  <c r="D41" i="1"/>
  <c r="D40" i="1"/>
  <c r="D39" i="1"/>
  <c r="D38" i="1"/>
  <c r="J30" i="1"/>
  <c r="BX38" i="15"/>
  <c r="BX37" i="15"/>
  <c r="BX36" i="15"/>
  <c r="BX35" i="15"/>
  <c r="BX34" i="15"/>
  <c r="BX33" i="15"/>
  <c r="BX32" i="15"/>
  <c r="BX31" i="15"/>
  <c r="BX30" i="15"/>
  <c r="BX28" i="15"/>
  <c r="BX27" i="15"/>
  <c r="BX26" i="15"/>
  <c r="BX25" i="15"/>
  <c r="BX24" i="15"/>
  <c r="BX23" i="15"/>
  <c r="BX22" i="15"/>
  <c r="BX21" i="15"/>
  <c r="BX20" i="15"/>
  <c r="BX19" i="15"/>
  <c r="BX18" i="15"/>
  <c r="BX17" i="15"/>
  <c r="BX15" i="15"/>
  <c r="BX14" i="15"/>
  <c r="BX13" i="15"/>
  <c r="BX12" i="15"/>
  <c r="BX11" i="15"/>
  <c r="BX10" i="15"/>
  <c r="BX9" i="15"/>
  <c r="BX8" i="15"/>
  <c r="BX7" i="15"/>
  <c r="BX6" i="15"/>
  <c r="BX5" i="15"/>
  <c r="BX4" i="15"/>
  <c r="BX3" i="15"/>
  <c r="BX2" i="15"/>
  <c r="BV37" i="15"/>
  <c r="BV36" i="15"/>
  <c r="BV35" i="15"/>
  <c r="BV34" i="15"/>
  <c r="BV33" i="15"/>
  <c r="BV32" i="15"/>
  <c r="BV31" i="15"/>
  <c r="BV30" i="15"/>
  <c r="BV29" i="15"/>
  <c r="BV28" i="15"/>
  <c r="BV27" i="15"/>
  <c r="BV26" i="15"/>
  <c r="BV25" i="15"/>
  <c r="BV23" i="15"/>
  <c r="BV22" i="15"/>
  <c r="BV21" i="15"/>
  <c r="BV20" i="15"/>
  <c r="BV19" i="15"/>
  <c r="BV18" i="15"/>
  <c r="BV17" i="15"/>
  <c r="BV16" i="15"/>
  <c r="BV15" i="15"/>
  <c r="BV14" i="15"/>
  <c r="BV13" i="15"/>
  <c r="BV12" i="15"/>
  <c r="BV10" i="15"/>
  <c r="BV9" i="15"/>
  <c r="BV8" i="15"/>
  <c r="BV7" i="15"/>
  <c r="BV6" i="15"/>
  <c r="BV5" i="15"/>
  <c r="BV4" i="15"/>
  <c r="BV3" i="15"/>
  <c r="BV2" i="15"/>
  <c r="BX38" i="3"/>
  <c r="BX37" i="3"/>
  <c r="BX36" i="3"/>
  <c r="BX35" i="3"/>
  <c r="BX28" i="3"/>
  <c r="BX27" i="3"/>
  <c r="BX26" i="3"/>
  <c r="BX34" i="3"/>
  <c r="BX33" i="3"/>
  <c r="BX25" i="3"/>
  <c r="BX31" i="3"/>
  <c r="BX23" i="3"/>
  <c r="BX15" i="3"/>
  <c r="BX14" i="3"/>
  <c r="BX12" i="3"/>
  <c r="BX11" i="3"/>
  <c r="BX32" i="3"/>
  <c r="BX24" i="3"/>
  <c r="BX13" i="3"/>
  <c r="BX22" i="3"/>
  <c r="BX21" i="3"/>
  <c r="BX10" i="3"/>
  <c r="BV37" i="3"/>
  <c r="BV36" i="3"/>
  <c r="BV35" i="3"/>
  <c r="BV34" i="3"/>
  <c r="BX20" i="3"/>
  <c r="BX9" i="3"/>
  <c r="BX19" i="3"/>
  <c r="BX8" i="3"/>
  <c r="BV33" i="3"/>
  <c r="BX30" i="3"/>
  <c r="BX18" i="3"/>
  <c r="BX7" i="3"/>
  <c r="BV32" i="3"/>
  <c r="BX17" i="3"/>
  <c r="BX6" i="3"/>
  <c r="BV31" i="3"/>
  <c r="BV23" i="3"/>
  <c r="BV22" i="3"/>
  <c r="BV21" i="3"/>
  <c r="BV20" i="3"/>
  <c r="BV19" i="3"/>
  <c r="BX3" i="3"/>
  <c r="BV28" i="3"/>
  <c r="BV17" i="3"/>
  <c r="BV16" i="3"/>
  <c r="BX5" i="3"/>
  <c r="BX4" i="3"/>
  <c r="BX2" i="3"/>
  <c r="BV30" i="3"/>
  <c r="BV29" i="3"/>
  <c r="BV27" i="3"/>
  <c r="BV26" i="3"/>
  <c r="BV25" i="3"/>
  <c r="BV18" i="3"/>
  <c r="BV15" i="3"/>
  <c r="BV14" i="3"/>
  <c r="BV13" i="3"/>
  <c r="BV12" i="3"/>
  <c r="BV10" i="3"/>
  <c r="BV9" i="3"/>
  <c r="BV8" i="3"/>
  <c r="BV7" i="3"/>
  <c r="BV6" i="3"/>
  <c r="BV5" i="3"/>
  <c r="BV4" i="3"/>
  <c r="BV3" i="3"/>
  <c r="BV2" i="3"/>
  <c r="BZ9" i="3"/>
  <c r="BZ8" i="3"/>
  <c r="BZ7" i="3"/>
  <c r="BZ6" i="3"/>
  <c r="BZ5" i="3"/>
  <c r="BZ4" i="3"/>
  <c r="AF40" i="2" l="1"/>
  <c r="AF38" i="2"/>
  <c r="Q33" i="2" l="1"/>
  <c r="Q32" i="2"/>
  <c r="Q31" i="2"/>
  <c r="Q30" i="2"/>
  <c r="Q29" i="2"/>
  <c r="Q28" i="2"/>
  <c r="BI12" i="2"/>
  <c r="BI11" i="2"/>
  <c r="BI10" i="2"/>
  <c r="BI9" i="2"/>
  <c r="BI8" i="2"/>
  <c r="BI7" i="2"/>
  <c r="BI6" i="2"/>
  <c r="BI5" i="2"/>
  <c r="BI4" i="2"/>
  <c r="Y23" i="2"/>
  <c r="I60" i="1" s="1"/>
  <c r="Y22" i="2"/>
  <c r="Y21" i="2"/>
  <c r="Y20" i="2"/>
  <c r="I57" i="1" s="1"/>
  <c r="Y19" i="2"/>
  <c r="I56" i="1" s="1"/>
  <c r="Y18" i="2"/>
  <c r="Y17" i="2"/>
  <c r="Y16" i="2"/>
  <c r="Y15" i="2"/>
  <c r="Y14" i="2"/>
  <c r="Y13" i="2"/>
  <c r="A60" i="1" s="1"/>
  <c r="Y12" i="2"/>
  <c r="Y11" i="2"/>
  <c r="A58" i="1" s="1"/>
  <c r="Y10" i="2"/>
  <c r="A57" i="1" s="1"/>
  <c r="Y9" i="2"/>
  <c r="A56" i="1" s="1"/>
  <c r="Y8" i="2"/>
  <c r="Y7" i="2"/>
  <c r="A54" i="1" s="1"/>
  <c r="Y6" i="2"/>
  <c r="A53" i="1" s="1"/>
  <c r="Y5" i="2"/>
  <c r="A52" i="1" s="1"/>
  <c r="Y4" i="2"/>
  <c r="A51" i="1" s="1"/>
  <c r="B27" i="11"/>
  <c r="B26" i="11"/>
  <c r="B24" i="11"/>
  <c r="B25" i="11"/>
  <c r="C10" i="25"/>
  <c r="AB5" i="16" l="1"/>
  <c r="AB4" i="16"/>
  <c r="AB3" i="16"/>
  <c r="AB2" i="16"/>
  <c r="A55" i="1"/>
  <c r="I7" i="1"/>
  <c r="BU8" i="15"/>
  <c r="BU8" i="3"/>
  <c r="Q6" i="1"/>
  <c r="BU10" i="3"/>
  <c r="BU10" i="15"/>
  <c r="Q7" i="1"/>
  <c r="BU11" i="15"/>
  <c r="BU11" i="3"/>
  <c r="A6" i="1"/>
  <c r="BU4" i="15"/>
  <c r="BU4" i="3"/>
  <c r="Q8" i="1"/>
  <c r="BU12" i="15"/>
  <c r="BU12" i="3"/>
  <c r="A7" i="1"/>
  <c r="BU5" i="15"/>
  <c r="BU5" i="3"/>
  <c r="A8" i="1"/>
  <c r="BU6" i="15"/>
  <c r="BU6" i="3"/>
  <c r="I6" i="1"/>
  <c r="BU7" i="15"/>
  <c r="BU7" i="3"/>
  <c r="I8" i="1"/>
  <c r="BU9" i="3"/>
  <c r="BU9" i="15"/>
  <c r="BU5" i="2"/>
  <c r="BU10" i="2"/>
  <c r="U28" i="2"/>
  <c r="BU6" i="2"/>
  <c r="BU8" i="2"/>
  <c r="BU7" i="2"/>
  <c r="BU9" i="2"/>
  <c r="BU11" i="2"/>
  <c r="BU4" i="2"/>
  <c r="BU12" i="2"/>
  <c r="I59" i="1"/>
  <c r="I58" i="1"/>
  <c r="I55" i="1"/>
  <c r="I54" i="1"/>
  <c r="I53" i="1"/>
  <c r="I52" i="1"/>
  <c r="I51" i="1"/>
  <c r="A59" i="1"/>
  <c r="H340" i="22" l="1"/>
  <c r="H339" i="22"/>
  <c r="H338" i="22"/>
  <c r="H337" i="22"/>
  <c r="H336" i="22"/>
  <c r="H335" i="22"/>
  <c r="H334" i="22"/>
  <c r="H333" i="22"/>
  <c r="H332" i="22"/>
  <c r="H331" i="22"/>
  <c r="H330" i="22"/>
  <c r="H329" i="22"/>
  <c r="H328" i="22"/>
  <c r="H327" i="22"/>
  <c r="H326" i="22"/>
  <c r="H325" i="22"/>
  <c r="H324" i="22"/>
  <c r="H323" i="22"/>
  <c r="H322" i="22"/>
  <c r="H321" i="22"/>
  <c r="H320" i="22"/>
  <c r="H319" i="22"/>
  <c r="H318" i="22"/>
  <c r="H307" i="22"/>
  <c r="H306" i="22"/>
  <c r="H305" i="22"/>
  <c r="H304" i="22"/>
  <c r="H303" i="22"/>
  <c r="H302" i="22"/>
  <c r="H301" i="22"/>
  <c r="H300" i="22"/>
  <c r="H299" i="22"/>
  <c r="H298" i="22"/>
  <c r="H297" i="22"/>
  <c r="H296" i="22"/>
  <c r="H295" i="22"/>
  <c r="H294" i="22"/>
  <c r="H293" i="22"/>
  <c r="H292" i="22"/>
  <c r="H291" i="22"/>
  <c r="H290" i="22"/>
  <c r="H289" i="22"/>
  <c r="H288" i="22"/>
  <c r="H287" i="22"/>
  <c r="H286" i="22"/>
  <c r="H285" i="22"/>
  <c r="H284" i="22"/>
  <c r="H283" i="22"/>
  <c r="H282" i="22"/>
  <c r="H281" i="22"/>
  <c r="H280" i="22"/>
  <c r="H279" i="22"/>
  <c r="H278" i="22"/>
  <c r="H277" i="22"/>
  <c r="H276" i="22"/>
  <c r="H275" i="22"/>
  <c r="H274" i="22"/>
  <c r="H272" i="22"/>
  <c r="H271" i="22"/>
  <c r="H270" i="22"/>
  <c r="H269" i="22"/>
  <c r="H268" i="22"/>
  <c r="H267" i="22"/>
  <c r="H266" i="22"/>
  <c r="H265" i="22"/>
  <c r="H264" i="22"/>
  <c r="H263" i="22"/>
  <c r="H262" i="22"/>
  <c r="H261" i="22"/>
  <c r="H260" i="22"/>
  <c r="H258" i="22"/>
  <c r="H257" i="22"/>
  <c r="H256" i="22"/>
  <c r="H255" i="22"/>
  <c r="H254" i="22"/>
  <c r="H253" i="22"/>
  <c r="H252" i="22"/>
  <c r="H251" i="22"/>
  <c r="H250" i="22"/>
  <c r="H249" i="22"/>
  <c r="H248" i="22"/>
  <c r="H247" i="22"/>
  <c r="H246" i="22"/>
  <c r="H245" i="22"/>
  <c r="H244" i="22"/>
  <c r="H243" i="22"/>
  <c r="H241" i="22"/>
  <c r="H240" i="22"/>
  <c r="H239" i="22"/>
  <c r="H238" i="22"/>
  <c r="H237" i="22"/>
  <c r="H236" i="22"/>
  <c r="H235" i="22"/>
  <c r="H234" i="22"/>
  <c r="H233" i="22"/>
  <c r="H232" i="22"/>
  <c r="H231" i="22"/>
  <c r="H230" i="22"/>
  <c r="H228" i="22"/>
  <c r="H227" i="22"/>
  <c r="H226" i="22"/>
  <c r="H225" i="22"/>
  <c r="H224" i="22"/>
  <c r="H223" i="22"/>
  <c r="H222" i="22"/>
  <c r="H221" i="22"/>
  <c r="H220" i="22"/>
  <c r="H219" i="22"/>
  <c r="H218" i="22"/>
  <c r="H216" i="22"/>
  <c r="H215" i="22"/>
  <c r="H214" i="22"/>
  <c r="H213" i="22"/>
  <c r="H212" i="22"/>
  <c r="H211" i="22"/>
  <c r="H210" i="22"/>
  <c r="H209" i="22"/>
  <c r="H208" i="22"/>
  <c r="H207" i="22"/>
  <c r="H206" i="22"/>
  <c r="H205" i="22"/>
  <c r="H204" i="22"/>
  <c r="H202" i="22"/>
  <c r="H201" i="22"/>
  <c r="H200" i="22"/>
  <c r="H199" i="22"/>
  <c r="H198" i="22"/>
  <c r="H197" i="22"/>
  <c r="H196" i="22"/>
  <c r="H195" i="22"/>
  <c r="H194" i="22"/>
  <c r="H193" i="22"/>
  <c r="H192" i="22"/>
  <c r="H191" i="22"/>
  <c r="H190" i="22"/>
  <c r="H189" i="22"/>
  <c r="H187" i="22"/>
  <c r="H186" i="22"/>
  <c r="H185" i="22"/>
  <c r="H184" i="22"/>
  <c r="H183" i="22"/>
  <c r="H182" i="22"/>
  <c r="H181" i="22"/>
  <c r="H180" i="22"/>
  <c r="H179" i="22"/>
  <c r="H177" i="22"/>
  <c r="H176" i="22"/>
  <c r="H175" i="22"/>
  <c r="H174" i="22"/>
  <c r="H172" i="22"/>
  <c r="H171" i="22"/>
  <c r="H170" i="22"/>
  <c r="H169" i="22"/>
  <c r="H168" i="22"/>
  <c r="H167" i="22"/>
  <c r="H166" i="22"/>
  <c r="H165" i="22"/>
  <c r="H164" i="22"/>
  <c r="H163" i="22"/>
  <c r="H162" i="22"/>
  <c r="H161" i="22"/>
  <c r="H160" i="22"/>
  <c r="H159" i="22"/>
  <c r="H158" i="22"/>
  <c r="H157" i="22"/>
  <c r="H156" i="22"/>
  <c r="H155" i="22"/>
  <c r="H154" i="22"/>
  <c r="H153" i="22"/>
  <c r="H152" i="22"/>
  <c r="H151" i="22"/>
  <c r="H150" i="22"/>
  <c r="H149" i="22"/>
  <c r="H147" i="22"/>
  <c r="H146" i="22"/>
  <c r="H145" i="22"/>
  <c r="H144" i="22"/>
  <c r="H143" i="22"/>
  <c r="H142" i="22"/>
  <c r="H141" i="22"/>
  <c r="H140" i="22"/>
  <c r="H139" i="22"/>
  <c r="H138" i="22"/>
  <c r="H137" i="22"/>
  <c r="H136" i="22"/>
  <c r="H135" i="22"/>
  <c r="H134" i="22"/>
  <c r="H132" i="22"/>
  <c r="H131" i="22"/>
  <c r="H130" i="22"/>
  <c r="H129" i="22"/>
  <c r="H128" i="22"/>
  <c r="H127" i="22"/>
  <c r="H126" i="22"/>
  <c r="H125" i="22"/>
  <c r="H124" i="22"/>
  <c r="H123" i="22"/>
  <c r="H122" i="22"/>
  <c r="H121" i="22"/>
  <c r="H120" i="22"/>
  <c r="H119" i="22"/>
  <c r="H117" i="22"/>
  <c r="H116" i="22"/>
  <c r="H115" i="22"/>
  <c r="H114" i="22"/>
  <c r="H113" i="22"/>
  <c r="H112" i="22"/>
  <c r="H111" i="22"/>
  <c r="H110" i="22"/>
  <c r="H109" i="22"/>
  <c r="H108" i="22"/>
  <c r="H107" i="22"/>
  <c r="H106" i="22"/>
  <c r="H104" i="22"/>
  <c r="H103" i="22"/>
  <c r="H102" i="22"/>
  <c r="H101" i="22"/>
  <c r="H100" i="22"/>
  <c r="H99" i="22"/>
  <c r="H98" i="22"/>
  <c r="H97" i="22"/>
  <c r="H96" i="22"/>
  <c r="H95" i="22"/>
  <c r="H94" i="22"/>
  <c r="H93" i="22"/>
  <c r="H91" i="22"/>
  <c r="H90" i="22"/>
  <c r="H89" i="22"/>
  <c r="H88" i="22"/>
  <c r="H87" i="22"/>
  <c r="H86" i="22"/>
  <c r="H85" i="22"/>
  <c r="H84" i="22"/>
  <c r="H83" i="22"/>
  <c r="H82" i="22"/>
  <c r="H81" i="22"/>
  <c r="H80" i="22"/>
  <c r="H79" i="22"/>
  <c r="H77" i="22"/>
  <c r="H76" i="22"/>
  <c r="H75" i="22"/>
  <c r="H74" i="22"/>
  <c r="H73" i="22"/>
  <c r="H72" i="22"/>
  <c r="H71" i="22"/>
  <c r="H70" i="22"/>
  <c r="H69" i="22"/>
  <c r="H68" i="22"/>
  <c r="H67" i="22"/>
  <c r="H66" i="22"/>
  <c r="H65" i="22"/>
  <c r="H64" i="22"/>
  <c r="H62" i="22"/>
  <c r="H61" i="22"/>
  <c r="H60" i="22"/>
  <c r="H59" i="22"/>
  <c r="H58" i="22"/>
  <c r="H57" i="22"/>
  <c r="H56" i="22"/>
  <c r="H55" i="22"/>
  <c r="H54" i="22"/>
  <c r="H53" i="22"/>
  <c r="H52" i="22"/>
  <c r="H51" i="22"/>
  <c r="H49" i="22"/>
  <c r="H48" i="22"/>
  <c r="H47" i="22"/>
  <c r="H46" i="22"/>
  <c r="H45" i="22"/>
  <c r="H44" i="22"/>
  <c r="H43" i="22"/>
  <c r="H42" i="22"/>
  <c r="H41" i="22"/>
  <c r="H40" i="22"/>
  <c r="H39" i="22"/>
  <c r="H38" i="22"/>
  <c r="H37" i="22"/>
  <c r="H35" i="22"/>
  <c r="H34" i="22"/>
  <c r="H33" i="22"/>
  <c r="H32" i="22"/>
  <c r="H31" i="22"/>
  <c r="H30" i="22"/>
  <c r="H29" i="22"/>
  <c r="H28" i="22"/>
  <c r="H27" i="22"/>
  <c r="H26" i="22"/>
  <c r="H25" i="22"/>
  <c r="H24" i="22"/>
  <c r="H23" i="22"/>
  <c r="H21" i="22"/>
  <c r="H20" i="22"/>
  <c r="H19" i="22"/>
  <c r="H18" i="22"/>
  <c r="H17" i="22"/>
  <c r="H16" i="22"/>
  <c r="H15" i="22"/>
  <c r="H14" i="22"/>
  <c r="H13" i="22"/>
  <c r="H12" i="22"/>
  <c r="AS5" i="22"/>
  <c r="AT5" i="22" s="1"/>
  <c r="AH3" i="10" l="1"/>
  <c r="G52" i="1"/>
  <c r="D36" i="1"/>
  <c r="D35" i="1"/>
  <c r="Q60" i="1"/>
  <c r="W60" i="1" s="1"/>
  <c r="Q59" i="1"/>
  <c r="W59" i="1" s="1"/>
  <c r="Q58" i="1"/>
  <c r="W58" i="1" s="1"/>
  <c r="Q57" i="1"/>
  <c r="W57" i="1" s="1"/>
  <c r="Q56" i="1"/>
  <c r="W56" i="1" s="1"/>
  <c r="Q55" i="1"/>
  <c r="W55" i="1" s="1"/>
  <c r="Q54" i="1"/>
  <c r="W54" i="1" s="1"/>
  <c r="Q53" i="1"/>
  <c r="Q52" i="1"/>
  <c r="BF2" i="22"/>
  <c r="C9" i="25"/>
  <c r="C8" i="25"/>
  <c r="C7" i="25"/>
  <c r="EX28" i="4" l="1"/>
  <c r="W52" i="1"/>
  <c r="EX29" i="4"/>
  <c r="W53" i="1"/>
  <c r="BB13" i="22"/>
  <c r="AZ13" i="22"/>
  <c r="AX13" i="22"/>
  <c r="AV13" i="22"/>
  <c r="BB12" i="22"/>
  <c r="AZ12" i="22"/>
  <c r="AX12" i="22"/>
  <c r="AV12" i="22"/>
  <c r="BB11" i="22"/>
  <c r="AZ11" i="22"/>
  <c r="AX11" i="22"/>
  <c r="AV11" i="22"/>
  <c r="BB10" i="22"/>
  <c r="AZ10" i="22"/>
  <c r="AX10" i="22"/>
  <c r="AV10" i="22"/>
  <c r="BB9" i="22"/>
  <c r="AZ9" i="22"/>
  <c r="AX9" i="22"/>
  <c r="AV9" i="22"/>
  <c r="BB8" i="22"/>
  <c r="AZ8" i="22"/>
  <c r="AX8" i="22"/>
  <c r="AV8" i="22"/>
  <c r="AZ7" i="22"/>
  <c r="AX7" i="22"/>
  <c r="AV7" i="22"/>
  <c r="BB6" i="22"/>
  <c r="AX6" i="22"/>
  <c r="AV6" i="22"/>
  <c r="BB5" i="22"/>
  <c r="AZ5" i="22"/>
  <c r="AV5" i="22"/>
  <c r="BB4" i="22"/>
  <c r="AZ4" i="22"/>
  <c r="AX4" i="22"/>
  <c r="A8" i="14"/>
  <c r="BF3" i="22" l="1"/>
  <c r="BF4" i="22"/>
  <c r="BZ36" i="24"/>
  <c r="BZ26" i="24"/>
  <c r="BF6" i="22" l="1"/>
  <c r="BF5" i="22"/>
  <c r="CE41" i="24"/>
  <c r="BZ42" i="24"/>
  <c r="BZ38" i="24"/>
  <c r="BZ37" i="24"/>
  <c r="BZ35" i="24"/>
  <c r="BZ32" i="24"/>
  <c r="CC36" i="24"/>
  <c r="CC35" i="24"/>
  <c r="A15" i="14"/>
  <c r="A119" i="11"/>
  <c r="A60" i="11"/>
  <c r="A54" i="11"/>
  <c r="A49" i="11"/>
  <c r="A57" i="11"/>
  <c r="CA9" i="24"/>
  <c r="CA8" i="24"/>
  <c r="CA7" i="24"/>
  <c r="BZ39" i="24"/>
  <c r="BZ22" i="24"/>
  <c r="BZ25" i="24"/>
  <c r="CD2" i="24"/>
  <c r="CE5" i="24"/>
  <c r="CD38" i="24"/>
  <c r="BZ46" i="24"/>
  <c r="BZ43" i="24"/>
  <c r="BZ41" i="24"/>
  <c r="BZ24" i="24"/>
  <c r="BZ31" i="24"/>
  <c r="CD35" i="24"/>
  <c r="CD33" i="24"/>
  <c r="CC30" i="24"/>
  <c r="CC29" i="24"/>
  <c r="CC27" i="24"/>
  <c r="CC26" i="24"/>
  <c r="CC25" i="24"/>
  <c r="CC22" i="24"/>
  <c r="CC19" i="24"/>
  <c r="CE14" i="24"/>
  <c r="CE13" i="24"/>
  <c r="CE12" i="24"/>
  <c r="CE11" i="24"/>
  <c r="CE10" i="24"/>
  <c r="CD8" i="24"/>
  <c r="CD7" i="24"/>
  <c r="CD6" i="24"/>
  <c r="CA6" i="24"/>
  <c r="CD10" i="24"/>
  <c r="CD9" i="24"/>
  <c r="CE8" i="24"/>
  <c r="CD4" i="24"/>
  <c r="CE2" i="24"/>
  <c r="BZ44" i="24"/>
  <c r="BZ29" i="24"/>
  <c r="A14" i="14"/>
  <c r="A13" i="14"/>
  <c r="A9" i="14"/>
  <c r="A4" i="14"/>
  <c r="AF42" i="2" s="1"/>
  <c r="C13" i="25"/>
  <c r="I115" i="16"/>
  <c r="I112" i="16"/>
  <c r="I110" i="16"/>
  <c r="I104" i="16"/>
  <c r="I97" i="16"/>
  <c r="I94" i="16"/>
  <c r="I92" i="16"/>
  <c r="I88" i="16"/>
  <c r="I85" i="16"/>
  <c r="I81" i="16"/>
  <c r="I79" i="16"/>
  <c r="I77" i="16"/>
  <c r="I76" i="16"/>
  <c r="I75" i="16"/>
  <c r="I74" i="16"/>
  <c r="I72" i="16"/>
  <c r="I70" i="16"/>
  <c r="I69" i="16"/>
  <c r="I68" i="16"/>
  <c r="I67" i="16"/>
  <c r="I66" i="16"/>
  <c r="I63" i="16"/>
  <c r="I60" i="16"/>
  <c r="I59" i="16"/>
  <c r="I58" i="16"/>
  <c r="I56" i="16"/>
  <c r="I46" i="16"/>
  <c r="I43" i="16"/>
  <c r="I41" i="16"/>
  <c r="I39" i="16"/>
  <c r="I38" i="16"/>
  <c r="I36" i="16"/>
  <c r="I35" i="16"/>
  <c r="I33" i="16"/>
  <c r="I32" i="16"/>
  <c r="I30" i="16"/>
  <c r="I28" i="16"/>
  <c r="I27" i="16"/>
  <c r="I26" i="16"/>
  <c r="I25" i="16"/>
  <c r="I24" i="16"/>
  <c r="I22" i="16"/>
  <c r="I21" i="16"/>
  <c r="I20" i="16"/>
  <c r="I19" i="16"/>
  <c r="I18" i="16"/>
  <c r="I14" i="16"/>
  <c r="I13" i="16"/>
  <c r="I12" i="16"/>
  <c r="I11" i="16"/>
  <c r="I9" i="16"/>
  <c r="I8" i="16"/>
  <c r="I7" i="16"/>
  <c r="I5" i="16"/>
  <c r="I4" i="16"/>
  <c r="I2" i="16"/>
  <c r="BD6" i="1"/>
  <c r="BD5" i="1"/>
  <c r="BD4" i="1"/>
  <c r="BD21" i="1"/>
  <c r="BD20" i="1"/>
  <c r="BD19" i="1"/>
  <c r="BD18" i="1"/>
  <c r="BD17" i="1"/>
  <c r="BD16" i="1"/>
  <c r="BD15" i="1"/>
  <c r="BD14" i="1"/>
  <c r="BD13" i="1"/>
  <c r="BD12" i="1"/>
  <c r="BD11" i="1"/>
  <c r="BD10" i="1"/>
  <c r="BD9" i="1"/>
  <c r="BD8" i="1"/>
  <c r="BD7" i="1"/>
  <c r="Q22" i="2" l="1"/>
  <c r="G28" i="11"/>
  <c r="Q20" i="2"/>
  <c r="Q21" i="2"/>
  <c r="Q19" i="2"/>
  <c r="BV192" i="24"/>
  <c r="BU192" i="24"/>
  <c r="BT192" i="24"/>
  <c r="BS192" i="24"/>
  <c r="BR192" i="24"/>
  <c r="BQ192" i="24"/>
  <c r="BP192" i="24"/>
  <c r="BO192" i="24"/>
  <c r="BN192" i="24"/>
  <c r="BM192" i="24"/>
  <c r="BL192" i="24"/>
  <c r="BK192" i="24"/>
  <c r="BJ192" i="24"/>
  <c r="BI192" i="24"/>
  <c r="BH192" i="24"/>
  <c r="BG192" i="24"/>
  <c r="BF192" i="24"/>
  <c r="BE192" i="24"/>
  <c r="BD192" i="24"/>
  <c r="BC192" i="24"/>
  <c r="BB192" i="24"/>
  <c r="BA192" i="24"/>
  <c r="AZ192" i="24"/>
  <c r="AY192" i="24"/>
  <c r="AX192" i="24"/>
  <c r="AW192" i="24"/>
  <c r="AV192" i="24"/>
  <c r="AU192" i="24"/>
  <c r="AT192" i="24"/>
  <c r="AS192" i="24"/>
  <c r="AR192" i="24"/>
  <c r="AQ192" i="24"/>
  <c r="AP192" i="24"/>
  <c r="AO192" i="24"/>
  <c r="AN192" i="24"/>
  <c r="AM192" i="24"/>
  <c r="AL192" i="24"/>
  <c r="AK192" i="24"/>
  <c r="AJ192" i="24"/>
  <c r="AI192" i="24"/>
  <c r="AH192" i="24"/>
  <c r="AG192" i="24"/>
  <c r="AF192" i="24"/>
  <c r="AE192" i="24"/>
  <c r="AD192" i="24"/>
  <c r="AC192" i="24"/>
  <c r="AB192" i="24"/>
  <c r="AA192" i="24"/>
  <c r="Z192" i="24"/>
  <c r="Y192" i="24"/>
  <c r="X192" i="24"/>
  <c r="W192" i="24"/>
  <c r="V192" i="24"/>
  <c r="U192" i="24"/>
  <c r="T192" i="24"/>
  <c r="S192" i="24"/>
  <c r="R192" i="24"/>
  <c r="Q192" i="24"/>
  <c r="P192" i="24"/>
  <c r="O192" i="24"/>
  <c r="N192" i="24"/>
  <c r="M192" i="24"/>
  <c r="L192" i="24"/>
  <c r="K192" i="24"/>
  <c r="J192" i="24"/>
  <c r="I192" i="24"/>
  <c r="H192" i="24"/>
  <c r="G192" i="24"/>
  <c r="F192" i="24"/>
  <c r="E192" i="24"/>
  <c r="D192" i="24"/>
  <c r="BV191" i="24"/>
  <c r="BU191" i="24"/>
  <c r="BT191" i="24"/>
  <c r="BS191" i="24"/>
  <c r="BR191" i="24"/>
  <c r="BQ191" i="24"/>
  <c r="BP191" i="24"/>
  <c r="BO191" i="24"/>
  <c r="BN191" i="24"/>
  <c r="BM191" i="24"/>
  <c r="BL191" i="24"/>
  <c r="BK191" i="24"/>
  <c r="BJ191" i="24"/>
  <c r="BI191" i="24"/>
  <c r="BH191" i="24"/>
  <c r="BG191" i="24"/>
  <c r="BF191" i="24"/>
  <c r="BE191" i="24"/>
  <c r="BD191" i="24"/>
  <c r="BC191" i="24"/>
  <c r="BB191" i="24"/>
  <c r="BA191" i="24"/>
  <c r="AZ191" i="24"/>
  <c r="AY191" i="24"/>
  <c r="AX191" i="24"/>
  <c r="AW191" i="24"/>
  <c r="AV191" i="24"/>
  <c r="AU191" i="24"/>
  <c r="AT191" i="24"/>
  <c r="AS191" i="24"/>
  <c r="AR191" i="24"/>
  <c r="AQ191" i="24"/>
  <c r="AP191" i="24"/>
  <c r="AO191" i="24"/>
  <c r="AN191" i="24"/>
  <c r="AM191" i="24"/>
  <c r="AL191" i="24"/>
  <c r="AK191" i="24"/>
  <c r="AJ191" i="24"/>
  <c r="AI191" i="24"/>
  <c r="AH191" i="24"/>
  <c r="AG191" i="24"/>
  <c r="AF191" i="24"/>
  <c r="AE191" i="24"/>
  <c r="AD191" i="24"/>
  <c r="AC191" i="24"/>
  <c r="AB191" i="24"/>
  <c r="AA191" i="24"/>
  <c r="Z191" i="24"/>
  <c r="Y191" i="24"/>
  <c r="X191" i="24"/>
  <c r="W191" i="24"/>
  <c r="V191" i="24"/>
  <c r="U191" i="24"/>
  <c r="T191" i="24"/>
  <c r="S191" i="24"/>
  <c r="R191" i="24"/>
  <c r="Q191" i="24"/>
  <c r="P191" i="24"/>
  <c r="O191" i="24"/>
  <c r="N191" i="24"/>
  <c r="M191" i="24"/>
  <c r="L191" i="24"/>
  <c r="K191" i="24"/>
  <c r="J191" i="24"/>
  <c r="I191" i="24"/>
  <c r="H191" i="24"/>
  <c r="G191" i="24"/>
  <c r="F191" i="24"/>
  <c r="E191" i="24"/>
  <c r="D191" i="24"/>
  <c r="BV190" i="24"/>
  <c r="BU190" i="24"/>
  <c r="BT190" i="24"/>
  <c r="BS190" i="24"/>
  <c r="BR190" i="24"/>
  <c r="BQ190" i="24"/>
  <c r="BP190" i="24"/>
  <c r="BO190" i="24"/>
  <c r="BN190" i="24"/>
  <c r="BM190" i="24"/>
  <c r="BL190" i="24"/>
  <c r="BK190" i="24"/>
  <c r="BJ190" i="24"/>
  <c r="BI190" i="24"/>
  <c r="BH190" i="24"/>
  <c r="BG190" i="24"/>
  <c r="BF190" i="24"/>
  <c r="BE190" i="24"/>
  <c r="BD190" i="24"/>
  <c r="BC190" i="24"/>
  <c r="BB190" i="24"/>
  <c r="BA190" i="24"/>
  <c r="AZ190" i="24"/>
  <c r="AY190" i="24"/>
  <c r="AX190" i="24"/>
  <c r="AW190" i="24"/>
  <c r="AV190" i="24"/>
  <c r="AU190" i="24"/>
  <c r="AT190" i="24"/>
  <c r="AS190" i="24"/>
  <c r="AR190" i="24"/>
  <c r="AQ190" i="24"/>
  <c r="AP190" i="24"/>
  <c r="AO190" i="24"/>
  <c r="AN190" i="24"/>
  <c r="AM190" i="24"/>
  <c r="AL190" i="24"/>
  <c r="AK190" i="24"/>
  <c r="AJ190" i="24"/>
  <c r="AI190" i="24"/>
  <c r="AH190" i="24"/>
  <c r="AG190" i="24"/>
  <c r="AF190" i="24"/>
  <c r="AE190" i="24"/>
  <c r="AD190" i="24"/>
  <c r="AC190" i="24"/>
  <c r="AB190" i="24"/>
  <c r="AA190" i="24"/>
  <c r="Z190" i="24"/>
  <c r="Y190" i="24"/>
  <c r="X190" i="24"/>
  <c r="W190" i="24"/>
  <c r="V190" i="24"/>
  <c r="U190" i="24"/>
  <c r="T190" i="24"/>
  <c r="S190" i="24"/>
  <c r="R190" i="24"/>
  <c r="Q190" i="24"/>
  <c r="P190" i="24"/>
  <c r="O190" i="24"/>
  <c r="N190" i="24"/>
  <c r="M190" i="24"/>
  <c r="L190" i="24"/>
  <c r="K190" i="24"/>
  <c r="J190" i="24"/>
  <c r="I190" i="24"/>
  <c r="H190" i="24"/>
  <c r="G190" i="24"/>
  <c r="F190" i="24"/>
  <c r="E190" i="24"/>
  <c r="D190" i="24"/>
  <c r="BV189" i="24"/>
  <c r="BU189" i="24"/>
  <c r="BT189" i="24"/>
  <c r="BS189" i="24"/>
  <c r="BR189" i="24"/>
  <c r="BQ189" i="24"/>
  <c r="BP189" i="24"/>
  <c r="BO189" i="24"/>
  <c r="BN189" i="24"/>
  <c r="BM189" i="24"/>
  <c r="BL189" i="24"/>
  <c r="BK189" i="24"/>
  <c r="BJ189" i="24"/>
  <c r="BI189" i="24"/>
  <c r="BH189" i="24"/>
  <c r="BG189" i="24"/>
  <c r="BF189" i="24"/>
  <c r="BE189" i="24"/>
  <c r="BD189" i="24"/>
  <c r="BC189" i="24"/>
  <c r="BB189" i="24"/>
  <c r="BA189" i="24"/>
  <c r="AZ189" i="24"/>
  <c r="AY189" i="24"/>
  <c r="AX189" i="24"/>
  <c r="AW189" i="24"/>
  <c r="AV189" i="24"/>
  <c r="AU189" i="24"/>
  <c r="AT189" i="24"/>
  <c r="AS189" i="24"/>
  <c r="AR189" i="24"/>
  <c r="AQ189" i="24"/>
  <c r="AP189" i="24"/>
  <c r="AO189" i="24"/>
  <c r="AN189" i="24"/>
  <c r="AM189" i="24"/>
  <c r="AL189" i="24"/>
  <c r="AK189" i="24"/>
  <c r="AJ189" i="24"/>
  <c r="AI189" i="24"/>
  <c r="AH189" i="24"/>
  <c r="AG189" i="24"/>
  <c r="AF189" i="24"/>
  <c r="AE189" i="24"/>
  <c r="AD189" i="24"/>
  <c r="AC189" i="24"/>
  <c r="AB189" i="24"/>
  <c r="AA189" i="24"/>
  <c r="Z189" i="24"/>
  <c r="Y189" i="24"/>
  <c r="X189" i="24"/>
  <c r="W189" i="24"/>
  <c r="V189" i="24"/>
  <c r="U189" i="24"/>
  <c r="T189" i="24"/>
  <c r="S189" i="24"/>
  <c r="R189" i="24"/>
  <c r="Q189" i="24"/>
  <c r="P189" i="24"/>
  <c r="O189" i="24"/>
  <c r="N189" i="24"/>
  <c r="M189" i="24"/>
  <c r="L189" i="24"/>
  <c r="K189" i="24"/>
  <c r="J189" i="24"/>
  <c r="I189" i="24"/>
  <c r="H189" i="24"/>
  <c r="G189" i="24"/>
  <c r="F189" i="24"/>
  <c r="E189" i="24"/>
  <c r="D189" i="24"/>
  <c r="BV188" i="24"/>
  <c r="BU188" i="24"/>
  <c r="BT188" i="24"/>
  <c r="BS188" i="24"/>
  <c r="BR188" i="24"/>
  <c r="BQ188" i="24"/>
  <c r="BP188" i="24"/>
  <c r="BO188" i="24"/>
  <c r="BN188" i="24"/>
  <c r="BM188" i="24"/>
  <c r="BL188" i="24"/>
  <c r="BK188" i="24"/>
  <c r="BJ188" i="24"/>
  <c r="BI188" i="24"/>
  <c r="BH188" i="24"/>
  <c r="BG188" i="24"/>
  <c r="BF188" i="24"/>
  <c r="BE188" i="24"/>
  <c r="BD188" i="24"/>
  <c r="BC188" i="24"/>
  <c r="BB188" i="24"/>
  <c r="BA188" i="24"/>
  <c r="AZ188" i="24"/>
  <c r="AY188" i="24"/>
  <c r="AX188" i="24"/>
  <c r="AW188" i="24"/>
  <c r="AV188" i="24"/>
  <c r="AU188" i="24"/>
  <c r="AT188" i="24"/>
  <c r="AS188" i="24"/>
  <c r="AR188" i="24"/>
  <c r="AQ188" i="24"/>
  <c r="AP188" i="24"/>
  <c r="AO188" i="24"/>
  <c r="AN188" i="24"/>
  <c r="AM188" i="24"/>
  <c r="AL188" i="24"/>
  <c r="AK188" i="24"/>
  <c r="AJ188" i="24"/>
  <c r="AI188" i="24"/>
  <c r="AH188" i="24"/>
  <c r="AG188" i="24"/>
  <c r="AF188" i="24"/>
  <c r="AE188" i="24"/>
  <c r="AD188" i="24"/>
  <c r="AC188" i="24"/>
  <c r="AB188" i="24"/>
  <c r="AA188" i="24"/>
  <c r="Z188" i="24"/>
  <c r="Y188" i="24"/>
  <c r="X188" i="24"/>
  <c r="W188" i="24"/>
  <c r="V188" i="24"/>
  <c r="U188" i="24"/>
  <c r="T188" i="24"/>
  <c r="S188" i="24"/>
  <c r="R188" i="24"/>
  <c r="Q188" i="24"/>
  <c r="P188" i="24"/>
  <c r="O188" i="24"/>
  <c r="N188" i="24"/>
  <c r="M188" i="24"/>
  <c r="L188" i="24"/>
  <c r="K188" i="24"/>
  <c r="J188" i="24"/>
  <c r="I188" i="24"/>
  <c r="H188" i="24"/>
  <c r="G188" i="24"/>
  <c r="F188" i="24"/>
  <c r="E188" i="24"/>
  <c r="D188" i="24"/>
  <c r="BV187" i="24"/>
  <c r="BU187" i="24"/>
  <c r="BT187" i="24"/>
  <c r="BS187" i="24"/>
  <c r="BR187" i="24"/>
  <c r="BQ187" i="24"/>
  <c r="BP187" i="24"/>
  <c r="BO187" i="24"/>
  <c r="BN187" i="24"/>
  <c r="BM187" i="24"/>
  <c r="BL187" i="24"/>
  <c r="BK187" i="24"/>
  <c r="BJ187" i="24"/>
  <c r="BI187" i="24"/>
  <c r="BH187" i="24"/>
  <c r="BG187" i="24"/>
  <c r="BF187" i="24"/>
  <c r="BE187" i="24"/>
  <c r="BD187" i="24"/>
  <c r="BC187" i="24"/>
  <c r="BB187" i="24"/>
  <c r="BA187" i="24"/>
  <c r="AZ187" i="24"/>
  <c r="AY187" i="24"/>
  <c r="AX187" i="24"/>
  <c r="AW187" i="24"/>
  <c r="AV187" i="24"/>
  <c r="AU187" i="24"/>
  <c r="AT187" i="24"/>
  <c r="AS187" i="24"/>
  <c r="AR187" i="24"/>
  <c r="AQ187" i="24"/>
  <c r="AP187" i="24"/>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E187" i="24"/>
  <c r="D187" i="24"/>
  <c r="CF7" i="24"/>
  <c r="CF6" i="24"/>
  <c r="CF5" i="24"/>
  <c r="CF4" i="24"/>
  <c r="CF3" i="24"/>
  <c r="CF2" i="24"/>
  <c r="A614" i="28"/>
  <c r="A613" i="28"/>
  <c r="A612" i="28"/>
  <c r="A611" i="28"/>
  <c r="A610" i="28"/>
  <c r="A609" i="28"/>
  <c r="A608" i="28"/>
  <c r="A607" i="28"/>
  <c r="A606" i="28"/>
  <c r="A605" i="28"/>
  <c r="A604" i="28"/>
  <c r="A603" i="28"/>
  <c r="A602" i="28"/>
  <c r="A601" i="28"/>
  <c r="A600" i="28"/>
  <c r="A599" i="28"/>
  <c r="A598" i="28"/>
  <c r="A597" i="28"/>
  <c r="A596" i="28"/>
  <c r="A595" i="28"/>
  <c r="A594" i="28"/>
  <c r="A593" i="28"/>
  <c r="A592" i="28"/>
  <c r="A591" i="28"/>
  <c r="A590" i="28"/>
  <c r="A589" i="28"/>
  <c r="A588" i="28"/>
  <c r="A587" i="28"/>
  <c r="A586" i="28"/>
  <c r="A585" i="28"/>
  <c r="A584" i="28"/>
  <c r="A583" i="28"/>
  <c r="A582" i="28"/>
  <c r="A581" i="28"/>
  <c r="A580" i="28"/>
  <c r="A579" i="28"/>
  <c r="A578" i="28"/>
  <c r="A577" i="28"/>
  <c r="A576" i="28"/>
  <c r="A575" i="28"/>
  <c r="A574" i="28"/>
  <c r="A573" i="28"/>
  <c r="A572" i="28"/>
  <c r="A571" i="28"/>
  <c r="A570" i="28"/>
  <c r="A569" i="28"/>
  <c r="A568" i="28"/>
  <c r="A567" i="28"/>
  <c r="A566" i="28"/>
  <c r="A565" i="28"/>
  <c r="A564" i="28"/>
  <c r="A563" i="28"/>
  <c r="A562" i="28"/>
  <c r="A561" i="28"/>
  <c r="A560" i="28"/>
  <c r="A559" i="28"/>
  <c r="A558" i="28"/>
  <c r="A557" i="28"/>
  <c r="A556" i="28"/>
  <c r="A555" i="28"/>
  <c r="A554" i="28"/>
  <c r="A553" i="28"/>
  <c r="A552" i="28"/>
  <c r="A551" i="28"/>
  <c r="A550" i="28"/>
  <c r="A549" i="28"/>
  <c r="A548" i="28"/>
  <c r="A547" i="28"/>
  <c r="A546" i="28"/>
  <c r="A545" i="28"/>
  <c r="A544" i="28"/>
  <c r="A543" i="28"/>
  <c r="A542" i="28"/>
  <c r="A541" i="28"/>
  <c r="A540" i="28"/>
  <c r="A539" i="28"/>
  <c r="A538" i="28"/>
  <c r="A537" i="28"/>
  <c r="A536" i="28"/>
  <c r="A535" i="28"/>
  <c r="A534" i="28"/>
  <c r="A533" i="28"/>
  <c r="A532" i="28"/>
  <c r="A531" i="28"/>
  <c r="A530" i="28"/>
  <c r="A529" i="28"/>
  <c r="A528" i="28"/>
  <c r="A527" i="28"/>
  <c r="A526" i="28"/>
  <c r="A525" i="28"/>
  <c r="A524" i="28"/>
  <c r="A523" i="28"/>
  <c r="A522" i="28"/>
  <c r="A521" i="28"/>
  <c r="A520" i="28"/>
  <c r="A519" i="28"/>
  <c r="A518" i="28"/>
  <c r="A517" i="28"/>
  <c r="A516" i="28"/>
  <c r="A515" i="28"/>
  <c r="A514" i="28"/>
  <c r="A513" i="28"/>
  <c r="A512" i="28"/>
  <c r="A511" i="28"/>
  <c r="A510" i="28"/>
  <c r="A509" i="28"/>
  <c r="A508" i="28"/>
  <c r="A507" i="28"/>
  <c r="A506" i="28"/>
  <c r="A505" i="28"/>
  <c r="A504" i="28"/>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464" i="28"/>
  <c r="A463" i="28"/>
  <c r="A462" i="28"/>
  <c r="A461" i="28"/>
  <c r="A460" i="28"/>
  <c r="D495" i="22"/>
  <c r="D494" i="22"/>
  <c r="D493" i="22"/>
  <c r="D492" i="22"/>
  <c r="D491" i="22"/>
  <c r="D490" i="22"/>
  <c r="D489" i="22"/>
  <c r="D488" i="22"/>
  <c r="D487" i="22"/>
  <c r="D486" i="22"/>
  <c r="D485" i="22"/>
  <c r="D484" i="22"/>
  <c r="D483" i="22"/>
  <c r="D482" i="22"/>
  <c r="D481" i="22"/>
  <c r="D480" i="22"/>
  <c r="D479" i="22"/>
  <c r="D478" i="22"/>
  <c r="D477" i="22"/>
  <c r="D476" i="22"/>
  <c r="D475" i="22"/>
  <c r="D474" i="22"/>
  <c r="D473" i="22"/>
  <c r="D472" i="22"/>
  <c r="D471" i="22"/>
  <c r="D470" i="22"/>
  <c r="D469" i="22"/>
  <c r="D468" i="22"/>
  <c r="D467" i="22"/>
  <c r="D466" i="22"/>
  <c r="D465" i="22"/>
  <c r="D464" i="22"/>
  <c r="D463" i="22"/>
  <c r="D462" i="22"/>
  <c r="D461" i="22"/>
  <c r="D460" i="22"/>
  <c r="D459" i="22"/>
  <c r="D458" i="22"/>
  <c r="D457" i="22"/>
  <c r="D456" i="22"/>
  <c r="D455" i="22"/>
  <c r="D454" i="22"/>
  <c r="D453" i="22"/>
  <c r="D452" i="22"/>
  <c r="D451" i="22"/>
  <c r="D450" i="22"/>
  <c r="D449" i="22"/>
  <c r="D448" i="22"/>
  <c r="D447" i="22"/>
  <c r="D445" i="22"/>
  <c r="D444" i="22"/>
  <c r="D443" i="22"/>
  <c r="D442" i="22"/>
  <c r="D441" i="22"/>
  <c r="D440" i="22"/>
  <c r="D439" i="22"/>
  <c r="D438" i="22"/>
  <c r="D437" i="22"/>
  <c r="D436" i="22"/>
  <c r="D435" i="22"/>
  <c r="D434" i="22"/>
  <c r="D433" i="22"/>
  <c r="D432" i="22"/>
  <c r="D431" i="22"/>
  <c r="D430" i="22"/>
  <c r="D429" i="22"/>
  <c r="D428" i="22"/>
  <c r="D427" i="22"/>
  <c r="D426" i="22"/>
  <c r="D425" i="22"/>
  <c r="D424" i="22"/>
  <c r="D423" i="22"/>
  <c r="D422" i="22"/>
  <c r="D421" i="22"/>
  <c r="D420" i="22"/>
  <c r="D419" i="22"/>
  <c r="D418" i="22"/>
  <c r="D417" i="22"/>
  <c r="D416" i="22"/>
  <c r="D415" i="22"/>
  <c r="D414" i="22"/>
  <c r="D413" i="22"/>
  <c r="D412" i="22"/>
  <c r="D411" i="22"/>
  <c r="D410" i="22"/>
  <c r="D409" i="22"/>
  <c r="D408" i="22"/>
  <c r="D407" i="22"/>
  <c r="D406" i="22"/>
  <c r="D405" i="22"/>
  <c r="D404" i="22"/>
  <c r="D403" i="22"/>
  <c r="D402" i="22"/>
  <c r="D401" i="22"/>
  <c r="D400" i="22"/>
  <c r="D399" i="22"/>
  <c r="D398" i="22"/>
  <c r="D397" i="22"/>
  <c r="D396" i="22"/>
  <c r="D395" i="22"/>
  <c r="D394" i="22"/>
  <c r="D393" i="22"/>
  <c r="D392" i="22"/>
  <c r="D391" i="22"/>
  <c r="D390" i="22"/>
  <c r="D389" i="22"/>
  <c r="D388" i="22"/>
  <c r="D387" i="22"/>
  <c r="D386" i="22"/>
  <c r="D385" i="22"/>
  <c r="D384" i="22"/>
  <c r="D383" i="22"/>
  <c r="D382" i="22"/>
  <c r="D381" i="22"/>
  <c r="D380" i="22"/>
  <c r="D379" i="22"/>
  <c r="D378" i="22"/>
  <c r="D377" i="22"/>
  <c r="D376" i="22"/>
  <c r="D375" i="22"/>
  <c r="D374" i="22"/>
  <c r="D373" i="22"/>
  <c r="D372" i="22"/>
  <c r="D371" i="22"/>
  <c r="D370" i="22"/>
  <c r="D369" i="22"/>
  <c r="D368" i="22"/>
  <c r="D367" i="22"/>
  <c r="D366" i="22"/>
  <c r="D365" i="22"/>
  <c r="D364" i="22"/>
  <c r="D363" i="22"/>
  <c r="D362" i="22"/>
  <c r="D361" i="22"/>
  <c r="D360" i="22"/>
  <c r="D359" i="22"/>
  <c r="D358" i="22"/>
  <c r="D357" i="22"/>
  <c r="D356" i="22"/>
  <c r="D355" i="22"/>
  <c r="D354" i="22"/>
  <c r="D353" i="22"/>
  <c r="D352" i="22"/>
  <c r="D351" i="22"/>
  <c r="D350" i="22"/>
  <c r="D349" i="22"/>
  <c r="D348" i="22"/>
  <c r="D347" i="22"/>
  <c r="D346" i="22"/>
  <c r="D345" i="22"/>
  <c r="D344" i="22"/>
  <c r="D343" i="22"/>
  <c r="D342" i="22"/>
  <c r="D341" i="22"/>
  <c r="C156" i="10"/>
  <c r="B156" i="10"/>
  <c r="A156" i="10"/>
  <c r="C155" i="10"/>
  <c r="B155" i="10"/>
  <c r="A155" i="10"/>
  <c r="C154" i="10"/>
  <c r="B154" i="10"/>
  <c r="A154" i="10"/>
  <c r="C153" i="10"/>
  <c r="B153" i="10"/>
  <c r="A153" i="10"/>
  <c r="C152" i="10"/>
  <c r="B152" i="10"/>
  <c r="A152" i="10"/>
  <c r="C151" i="10"/>
  <c r="B151" i="10"/>
  <c r="A151" i="10"/>
  <c r="C150" i="10"/>
  <c r="B150" i="10"/>
  <c r="A150" i="10"/>
  <c r="C149" i="10"/>
  <c r="B149" i="10"/>
  <c r="A149" i="10"/>
  <c r="C148" i="10"/>
  <c r="B148" i="10"/>
  <c r="A148" i="10"/>
  <c r="C147" i="10"/>
  <c r="B147" i="10"/>
  <c r="A147" i="10"/>
  <c r="C146" i="10"/>
  <c r="B146" i="10"/>
  <c r="A146" i="10"/>
  <c r="C145" i="10"/>
  <c r="B145" i="10"/>
  <c r="A145" i="10"/>
  <c r="C144" i="10"/>
  <c r="B144" i="10"/>
  <c r="A144" i="10"/>
  <c r="C143" i="10"/>
  <c r="B143" i="10"/>
  <c r="A143" i="10"/>
  <c r="C142" i="10"/>
  <c r="B142" i="10"/>
  <c r="A142" i="10"/>
  <c r="C141" i="10"/>
  <c r="B141" i="10"/>
  <c r="A141" i="10"/>
  <c r="C140" i="10"/>
  <c r="B140" i="10"/>
  <c r="A140" i="10"/>
  <c r="C139" i="10"/>
  <c r="B139" i="10"/>
  <c r="A139" i="10"/>
  <c r="C138" i="10"/>
  <c r="B138" i="10"/>
  <c r="A138" i="10"/>
  <c r="C137" i="10"/>
  <c r="B137" i="10"/>
  <c r="A137" i="10"/>
  <c r="C136" i="10"/>
  <c r="B136" i="10"/>
  <c r="A136" i="10"/>
  <c r="C135" i="10"/>
  <c r="B135" i="10"/>
  <c r="A135" i="10"/>
  <c r="C134" i="10"/>
  <c r="B134" i="10"/>
  <c r="A134" i="10"/>
  <c r="C133" i="10"/>
  <c r="B133" i="10"/>
  <c r="A133" i="10"/>
  <c r="C132" i="10"/>
  <c r="B132" i="10"/>
  <c r="A132" i="10"/>
  <c r="C131" i="10"/>
  <c r="B131" i="10"/>
  <c r="A131" i="10"/>
  <c r="C130" i="10"/>
  <c r="B130" i="10"/>
  <c r="A130" i="10"/>
  <c r="C129" i="10"/>
  <c r="B129" i="10"/>
  <c r="A129" i="10"/>
  <c r="C128" i="10"/>
  <c r="B128" i="10"/>
  <c r="A128" i="10"/>
  <c r="C127" i="10"/>
  <c r="B127" i="10"/>
  <c r="A127" i="10"/>
  <c r="C126" i="10"/>
  <c r="B126" i="10"/>
  <c r="A126" i="10"/>
  <c r="C125" i="10"/>
  <c r="B125" i="10"/>
  <c r="A125" i="10"/>
  <c r="C124" i="10"/>
  <c r="B124" i="10"/>
  <c r="A124" i="10"/>
  <c r="C123" i="10"/>
  <c r="B123" i="10"/>
  <c r="A123" i="10"/>
  <c r="C122" i="10"/>
  <c r="B122" i="10"/>
  <c r="A122" i="10"/>
  <c r="C121" i="10"/>
  <c r="B121" i="10"/>
  <c r="A121" i="10"/>
  <c r="C120" i="10"/>
  <c r="B120" i="10"/>
  <c r="A120" i="10"/>
  <c r="C119" i="10"/>
  <c r="B119" i="10"/>
  <c r="A119" i="10"/>
  <c r="C118" i="10"/>
  <c r="B118" i="10"/>
  <c r="A118" i="10"/>
  <c r="C117" i="10"/>
  <c r="B117" i="10"/>
  <c r="A117" i="10"/>
  <c r="C116" i="10"/>
  <c r="B116" i="10"/>
  <c r="A116" i="10"/>
  <c r="C115" i="10"/>
  <c r="B115" i="10"/>
  <c r="A115" i="10"/>
  <c r="C114" i="10"/>
  <c r="B114" i="10"/>
  <c r="A114" i="10"/>
  <c r="C113" i="10"/>
  <c r="B113" i="10"/>
  <c r="A113" i="10"/>
  <c r="C112" i="10"/>
  <c r="B112" i="10"/>
  <c r="A112" i="10"/>
  <c r="C111" i="10"/>
  <c r="B111" i="10"/>
  <c r="A111" i="10"/>
  <c r="C110" i="10"/>
  <c r="B110" i="10"/>
  <c r="A110" i="10"/>
  <c r="C109" i="10"/>
  <c r="B109" i="10"/>
  <c r="A109" i="10"/>
  <c r="C108" i="10"/>
  <c r="B108" i="10"/>
  <c r="A108"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C107" i="10"/>
  <c r="A107" i="10"/>
  <c r="B107" i="10"/>
  <c r="C106" i="10"/>
  <c r="A106" i="10"/>
  <c r="C105" i="10"/>
  <c r="A105" i="10"/>
  <c r="C104" i="10"/>
  <c r="A104" i="10"/>
  <c r="C103" i="10"/>
  <c r="A103" i="10"/>
  <c r="C102" i="10"/>
  <c r="A102" i="10"/>
  <c r="C101" i="10"/>
  <c r="A101" i="10"/>
  <c r="C100" i="10"/>
  <c r="A100" i="10"/>
  <c r="C99" i="10"/>
  <c r="A99" i="10"/>
  <c r="C98" i="10"/>
  <c r="A98" i="10"/>
  <c r="C97" i="10"/>
  <c r="A97" i="10"/>
  <c r="C96" i="10"/>
  <c r="A96" i="10"/>
  <c r="C95" i="10"/>
  <c r="A95" i="10"/>
  <c r="C94" i="10"/>
  <c r="A94" i="10"/>
  <c r="C93" i="10"/>
  <c r="A93" i="10"/>
  <c r="C92" i="10"/>
  <c r="A92" i="10"/>
  <c r="C91" i="10"/>
  <c r="A91" i="10"/>
  <c r="C90" i="10"/>
  <c r="A90" i="10"/>
  <c r="C89" i="10"/>
  <c r="A89" i="10"/>
  <c r="C88" i="10"/>
  <c r="A88" i="10"/>
  <c r="C87" i="10"/>
  <c r="A87" i="10"/>
  <c r="C86" i="10"/>
  <c r="A86" i="10"/>
  <c r="C85" i="10"/>
  <c r="A85" i="10"/>
  <c r="C84" i="10"/>
  <c r="A84" i="10"/>
  <c r="C83" i="10"/>
  <c r="A83" i="10"/>
  <c r="C82" i="10"/>
  <c r="A82" i="10"/>
  <c r="C81" i="10"/>
  <c r="A81" i="10"/>
  <c r="C80" i="10"/>
  <c r="A80" i="10"/>
  <c r="C79" i="10"/>
  <c r="A79" i="10"/>
  <c r="C78" i="10"/>
  <c r="A78" i="10"/>
  <c r="C77" i="10"/>
  <c r="A77" i="10"/>
  <c r="C76" i="10"/>
  <c r="A76" i="10"/>
  <c r="C75" i="10"/>
  <c r="A75" i="10"/>
  <c r="C74" i="10"/>
  <c r="A74" i="10"/>
  <c r="C73" i="10"/>
  <c r="A73" i="10"/>
  <c r="C72" i="10"/>
  <c r="A72" i="10"/>
  <c r="C71" i="10"/>
  <c r="A71" i="10"/>
  <c r="C70" i="10"/>
  <c r="A70" i="10"/>
  <c r="C69" i="10"/>
  <c r="A69" i="10"/>
  <c r="C68" i="10"/>
  <c r="A68" i="10"/>
  <c r="C67" i="10"/>
  <c r="A67" i="10"/>
  <c r="C66" i="10"/>
  <c r="A66" i="10"/>
  <c r="C65" i="10"/>
  <c r="A65" i="10"/>
  <c r="C64" i="10"/>
  <c r="A64" i="10"/>
  <c r="C63" i="10"/>
  <c r="A63" i="10"/>
  <c r="C62" i="10"/>
  <c r="A62" i="10"/>
  <c r="C61" i="10"/>
  <c r="A61" i="10"/>
  <c r="C60" i="10"/>
  <c r="A60" i="10"/>
  <c r="C59" i="10"/>
  <c r="A59" i="10"/>
  <c r="C58" i="10"/>
  <c r="A58" i="10"/>
  <c r="C57" i="10"/>
  <c r="A57" i="10"/>
  <c r="C56" i="10"/>
  <c r="A56" i="10"/>
  <c r="C55" i="10"/>
  <c r="A55" i="10"/>
  <c r="C54" i="10"/>
  <c r="A54" i="10"/>
  <c r="C53" i="10"/>
  <c r="A53" i="10"/>
  <c r="C52" i="10"/>
  <c r="A52" i="10"/>
  <c r="C51" i="10"/>
  <c r="A51" i="10"/>
  <c r="C50" i="10"/>
  <c r="A50" i="10"/>
  <c r="C49" i="10"/>
  <c r="A49" i="10"/>
  <c r="C48" i="10"/>
  <c r="A48" i="10"/>
  <c r="C47" i="10"/>
  <c r="A47" i="10"/>
  <c r="C46" i="10"/>
  <c r="A46" i="10"/>
  <c r="C45" i="10"/>
  <c r="A45" i="10"/>
  <c r="C44" i="10"/>
  <c r="A44" i="10"/>
  <c r="C43" i="10"/>
  <c r="A43" i="10"/>
  <c r="C42" i="10"/>
  <c r="A42" i="10"/>
  <c r="C41" i="10"/>
  <c r="A41" i="10"/>
  <c r="C40" i="10"/>
  <c r="A40" i="10"/>
  <c r="C39" i="10"/>
  <c r="A39" i="10"/>
  <c r="C38" i="10"/>
  <c r="A38" i="10"/>
  <c r="C37" i="10"/>
  <c r="A37" i="10"/>
  <c r="C36" i="10"/>
  <c r="A36" i="10"/>
  <c r="C35" i="10"/>
  <c r="A35" i="10"/>
  <c r="C34" i="10"/>
  <c r="A34" i="10"/>
  <c r="C33" i="10"/>
  <c r="A33" i="10"/>
  <c r="C32" i="10"/>
  <c r="A32" i="10"/>
  <c r="C31" i="10"/>
  <c r="A31" i="10"/>
  <c r="C30" i="10"/>
  <c r="A30" i="10"/>
  <c r="C29" i="10"/>
  <c r="A29" i="10"/>
  <c r="C28" i="10"/>
  <c r="A28" i="10"/>
  <c r="C27" i="10"/>
  <c r="A27" i="10"/>
  <c r="C26" i="10"/>
  <c r="A26" i="10"/>
  <c r="C25" i="10"/>
  <c r="A25" i="10"/>
  <c r="C24" i="10"/>
  <c r="A24" i="10"/>
  <c r="C23" i="10"/>
  <c r="A23" i="10"/>
  <c r="C22" i="10"/>
  <c r="A22" i="10"/>
  <c r="C21" i="10"/>
  <c r="A21" i="10"/>
  <c r="C20" i="10"/>
  <c r="A20" i="10"/>
  <c r="C19" i="10"/>
  <c r="A19" i="10"/>
  <c r="C18" i="10"/>
  <c r="A18" i="10"/>
  <c r="C17" i="10"/>
  <c r="A17" i="10"/>
  <c r="C16" i="10"/>
  <c r="A16" i="10"/>
  <c r="C15" i="10"/>
  <c r="A15" i="10"/>
  <c r="C14" i="10"/>
  <c r="A14" i="10"/>
  <c r="C13" i="10"/>
  <c r="A13" i="10"/>
  <c r="C12" i="10"/>
  <c r="A12" i="10"/>
  <c r="C11" i="10"/>
  <c r="A11" i="10"/>
  <c r="C10" i="10"/>
  <c r="A10" i="10"/>
  <c r="C9" i="10"/>
  <c r="A9" i="10"/>
  <c r="C8" i="10"/>
  <c r="A8" i="10"/>
  <c r="C7" i="10"/>
  <c r="A7" i="10"/>
  <c r="C6" i="10"/>
  <c r="A6" i="10"/>
  <c r="C5" i="10"/>
  <c r="A5" i="10"/>
  <c r="C4" i="10"/>
  <c r="A4" i="10"/>
  <c r="C3" i="10"/>
  <c r="A3" i="10"/>
  <c r="E2" i="10"/>
  <c r="C2" i="10"/>
  <c r="A2" i="10"/>
  <c r="CU361" i="22" l="1"/>
  <c r="CM361" i="22"/>
  <c r="CS361" i="22"/>
  <c r="CJ361" i="22"/>
  <c r="CB361" i="22"/>
  <c r="BT361" i="22"/>
  <c r="BL361" i="22"/>
  <c r="CQ361" i="22"/>
  <c r="CH361" i="22"/>
  <c r="BZ361" i="22"/>
  <c r="BR361" i="22"/>
  <c r="BJ361" i="22"/>
  <c r="CL361" i="22"/>
  <c r="CA361" i="22"/>
  <c r="BP361" i="22"/>
  <c r="CK361" i="22"/>
  <c r="BY361" i="22"/>
  <c r="BO361" i="22"/>
  <c r="CR361" i="22"/>
  <c r="CF361" i="22"/>
  <c r="BV361" i="22"/>
  <c r="BK361" i="22"/>
  <c r="CN361" i="22"/>
  <c r="CC361" i="22"/>
  <c r="BQ361" i="22"/>
  <c r="BI361" i="22"/>
  <c r="CO361" i="22"/>
  <c r="BS361" i="22"/>
  <c r="CP361" i="22"/>
  <c r="CI361" i="22"/>
  <c r="BN361" i="22"/>
  <c r="CG361" i="22"/>
  <c r="BM361" i="22"/>
  <c r="CE361" i="22"/>
  <c r="BW361" i="22"/>
  <c r="BU361" i="22"/>
  <c r="CD361" i="22"/>
  <c r="CV361" i="22"/>
  <c r="BX361" i="22"/>
  <c r="CT361" i="22"/>
  <c r="CU393" i="22"/>
  <c r="CM393" i="22"/>
  <c r="CE393" i="22"/>
  <c r="BW393" i="22"/>
  <c r="BO393" i="22"/>
  <c r="CS393" i="22"/>
  <c r="CJ393" i="22"/>
  <c r="CA393" i="22"/>
  <c r="BR393" i="22"/>
  <c r="CQ393" i="22"/>
  <c r="CH393" i="22"/>
  <c r="BY393" i="22"/>
  <c r="BP393" i="22"/>
  <c r="CV393" i="22"/>
  <c r="CI393" i="22"/>
  <c r="BV393" i="22"/>
  <c r="BK393" i="22"/>
  <c r="CT393" i="22"/>
  <c r="CG393" i="22"/>
  <c r="BU393" i="22"/>
  <c r="BJ393" i="22"/>
  <c r="CR393" i="22"/>
  <c r="CF393" i="22"/>
  <c r="BT393" i="22"/>
  <c r="CK393" i="22"/>
  <c r="BX393" i="22"/>
  <c r="BL393" i="22"/>
  <c r="CO393" i="22"/>
  <c r="BQ393" i="22"/>
  <c r="BM393" i="22"/>
  <c r="CN393" i="22"/>
  <c r="BN393" i="22"/>
  <c r="CC393" i="22"/>
  <c r="CP393" i="22"/>
  <c r="BS393" i="22"/>
  <c r="BI393" i="22"/>
  <c r="CL393" i="22"/>
  <c r="CB393" i="22"/>
  <c r="BZ393" i="22"/>
  <c r="CD393" i="22"/>
  <c r="CV417" i="22"/>
  <c r="CN417" i="22"/>
  <c r="CF417" i="22"/>
  <c r="BX417" i="22"/>
  <c r="BP417" i="22"/>
  <c r="CM417" i="22"/>
  <c r="CD417" i="22"/>
  <c r="BU417" i="22"/>
  <c r="BL417" i="22"/>
  <c r="CP417" i="22"/>
  <c r="CE417" i="22"/>
  <c r="BT417" i="22"/>
  <c r="BJ417" i="22"/>
  <c r="CO417" i="22"/>
  <c r="CC417" i="22"/>
  <c r="BS417" i="22"/>
  <c r="CU417" i="22"/>
  <c r="CK417" i="22"/>
  <c r="CA417" i="22"/>
  <c r="BQ417" i="22"/>
  <c r="CR417" i="22"/>
  <c r="BZ417" i="22"/>
  <c r="BK417" i="22"/>
  <c r="CL417" i="22"/>
  <c r="BW417" i="22"/>
  <c r="CI417" i="22"/>
  <c r="BN417" i="22"/>
  <c r="CH417" i="22"/>
  <c r="BM417" i="22"/>
  <c r="CG417" i="22"/>
  <c r="CJ417" i="22"/>
  <c r="BO417" i="22"/>
  <c r="CT417" i="22"/>
  <c r="CS417" i="22"/>
  <c r="BY417" i="22"/>
  <c r="BI417" i="22"/>
  <c r="CQ417" i="22"/>
  <c r="BV417" i="22"/>
  <c r="BR417" i="22"/>
  <c r="CB417" i="22"/>
  <c r="CR450" i="22"/>
  <c r="CJ450" i="22"/>
  <c r="CB450" i="22"/>
  <c r="BT450" i="22"/>
  <c r="BL450" i="22"/>
  <c r="CU450" i="22"/>
  <c r="CL450" i="22"/>
  <c r="CC450" i="22"/>
  <c r="BS450" i="22"/>
  <c r="BJ450" i="22"/>
  <c r="CQ450" i="22"/>
  <c r="CH450" i="22"/>
  <c r="BY450" i="22"/>
  <c r="BP450" i="22"/>
  <c r="CS450" i="22"/>
  <c r="CF450" i="22"/>
  <c r="BU450" i="22"/>
  <c r="CP450" i="22"/>
  <c r="CE450" i="22"/>
  <c r="BR450" i="22"/>
  <c r="CM450" i="22"/>
  <c r="BW450" i="22"/>
  <c r="CK450" i="22"/>
  <c r="BV450" i="22"/>
  <c r="CG450" i="22"/>
  <c r="BO450" i="22"/>
  <c r="CV450" i="22"/>
  <c r="BX450" i="22"/>
  <c r="CT450" i="22"/>
  <c r="BQ450" i="22"/>
  <c r="CN450" i="22"/>
  <c r="BM450" i="22"/>
  <c r="CI450" i="22"/>
  <c r="CD450" i="22"/>
  <c r="CA450" i="22"/>
  <c r="CO450" i="22"/>
  <c r="BN450" i="22"/>
  <c r="BK450" i="22"/>
  <c r="BZ450" i="22"/>
  <c r="BI450" i="22"/>
  <c r="CS482" i="22"/>
  <c r="CK482" i="22"/>
  <c r="CC482" i="22"/>
  <c r="BU482" i="22"/>
  <c r="BM482" i="22"/>
  <c r="CN482" i="22"/>
  <c r="CE482" i="22"/>
  <c r="BV482" i="22"/>
  <c r="BL482" i="22"/>
  <c r="CT482" i="22"/>
  <c r="CI482" i="22"/>
  <c r="BY482" i="22"/>
  <c r="BO482" i="22"/>
  <c r="CO482" i="22"/>
  <c r="CB482" i="22"/>
  <c r="BQ482" i="22"/>
  <c r="CP482" i="22"/>
  <c r="CD482" i="22"/>
  <c r="BR482" i="22"/>
  <c r="CR482" i="22"/>
  <c r="CA482" i="22"/>
  <c r="BK482" i="22"/>
  <c r="CL482" i="22"/>
  <c r="BW482" i="22"/>
  <c r="CV482" i="22"/>
  <c r="CG482" i="22"/>
  <c r="BP482" i="22"/>
  <c r="BZ482" i="22"/>
  <c r="BX482" i="22"/>
  <c r="BS482" i="22"/>
  <c r="CM482" i="22"/>
  <c r="CJ482" i="22"/>
  <c r="CH482" i="22"/>
  <c r="CF482" i="22"/>
  <c r="CU482" i="22"/>
  <c r="CQ482" i="22"/>
  <c r="BN482" i="22"/>
  <c r="BT482" i="22"/>
  <c r="BJ482" i="22"/>
  <c r="BI482" i="22"/>
  <c r="CU356" i="22"/>
  <c r="CM356" i="22"/>
  <c r="CE356" i="22"/>
  <c r="BW356" i="22"/>
  <c r="BO356" i="22"/>
  <c r="CS356" i="22"/>
  <c r="CK356" i="22"/>
  <c r="CC356" i="22"/>
  <c r="BU356" i="22"/>
  <c r="BM356" i="22"/>
  <c r="CO356" i="22"/>
  <c r="CD356" i="22"/>
  <c r="BS356" i="22"/>
  <c r="CN356" i="22"/>
  <c r="CB356" i="22"/>
  <c r="BR356" i="22"/>
  <c r="CT356" i="22"/>
  <c r="CI356" i="22"/>
  <c r="BY356" i="22"/>
  <c r="BN356" i="22"/>
  <c r="BI356" i="22"/>
  <c r="CP356" i="22"/>
  <c r="CF356" i="22"/>
  <c r="BT356" i="22"/>
  <c r="BJ356" i="22"/>
  <c r="CQ356" i="22"/>
  <c r="BV356" i="22"/>
  <c r="CL356" i="22"/>
  <c r="BQ356" i="22"/>
  <c r="CJ356" i="22"/>
  <c r="BP356" i="22"/>
  <c r="BX356" i="22"/>
  <c r="CH356" i="22"/>
  <c r="BL356" i="22"/>
  <c r="CV356" i="22"/>
  <c r="CR356" i="22"/>
  <c r="CG356" i="22"/>
  <c r="BK356" i="22"/>
  <c r="CA356" i="22"/>
  <c r="BZ356" i="22"/>
  <c r="CR380" i="22"/>
  <c r="CJ380" i="22"/>
  <c r="CB380" i="22"/>
  <c r="BT380" i="22"/>
  <c r="BL380" i="22"/>
  <c r="CP380" i="22"/>
  <c r="CH380" i="22"/>
  <c r="BZ380" i="22"/>
  <c r="BR380" i="22"/>
  <c r="BJ380" i="22"/>
  <c r="CV380" i="22"/>
  <c r="CL380" i="22"/>
  <c r="CA380" i="22"/>
  <c r="BP380" i="22"/>
  <c r="CT380" i="22"/>
  <c r="CI380" i="22"/>
  <c r="BX380" i="22"/>
  <c r="BN380" i="22"/>
  <c r="CN380" i="22"/>
  <c r="BY380" i="22"/>
  <c r="BK380" i="22"/>
  <c r="CM380" i="22"/>
  <c r="BW380" i="22"/>
  <c r="CU380" i="22"/>
  <c r="CF380" i="22"/>
  <c r="BS380" i="22"/>
  <c r="BI380" i="22"/>
  <c r="CO380" i="22"/>
  <c r="CC380" i="22"/>
  <c r="BM380" i="22"/>
  <c r="CQ380" i="22"/>
  <c r="BO380" i="22"/>
  <c r="CS380" i="22"/>
  <c r="CK380" i="22"/>
  <c r="CG380" i="22"/>
  <c r="CE380" i="22"/>
  <c r="BU380" i="22"/>
  <c r="BQ380" i="22"/>
  <c r="CD380" i="22"/>
  <c r="BV380" i="22"/>
  <c r="CP404" i="22"/>
  <c r="CH404" i="22"/>
  <c r="BZ404" i="22"/>
  <c r="BR404" i="22"/>
  <c r="BJ404" i="22"/>
  <c r="CT404" i="22"/>
  <c r="CK404" i="22"/>
  <c r="CB404" i="22"/>
  <c r="BS404" i="22"/>
  <c r="CR404" i="22"/>
  <c r="CI404" i="22"/>
  <c r="BY404" i="22"/>
  <c r="BP404" i="22"/>
  <c r="CS404" i="22"/>
  <c r="CF404" i="22"/>
  <c r="BU404" i="22"/>
  <c r="CQ404" i="22"/>
  <c r="CE404" i="22"/>
  <c r="BT404" i="22"/>
  <c r="CO404" i="22"/>
  <c r="CD404" i="22"/>
  <c r="BQ404" i="22"/>
  <c r="CU404" i="22"/>
  <c r="CG404" i="22"/>
  <c r="BV404" i="22"/>
  <c r="BK404" i="22"/>
  <c r="CA404" i="22"/>
  <c r="BX404" i="22"/>
  <c r="CV404" i="22"/>
  <c r="CM404" i="22"/>
  <c r="BN404" i="22"/>
  <c r="BI404" i="22"/>
  <c r="CC404" i="22"/>
  <c r="BW404" i="22"/>
  <c r="CL404" i="22"/>
  <c r="CJ404" i="22"/>
  <c r="BO404" i="22"/>
  <c r="BM404" i="22"/>
  <c r="CN404" i="22"/>
  <c r="BL404" i="22"/>
  <c r="CQ428" i="22"/>
  <c r="CI428" i="22"/>
  <c r="CA428" i="22"/>
  <c r="BS428" i="22"/>
  <c r="BK428" i="22"/>
  <c r="CO428" i="22"/>
  <c r="CF428" i="22"/>
  <c r="BW428" i="22"/>
  <c r="BN428" i="22"/>
  <c r="CN428" i="22"/>
  <c r="CE428" i="22"/>
  <c r="BV428" i="22"/>
  <c r="BM428" i="22"/>
  <c r="CV428" i="22"/>
  <c r="CK428" i="22"/>
  <c r="BY428" i="22"/>
  <c r="BL428" i="22"/>
  <c r="CU428" i="22"/>
  <c r="CJ428" i="22"/>
  <c r="BX428" i="22"/>
  <c r="BJ428" i="22"/>
  <c r="CS428" i="22"/>
  <c r="CG428" i="22"/>
  <c r="BT428" i="22"/>
  <c r="CH428" i="22"/>
  <c r="BP428" i="22"/>
  <c r="CD428" i="22"/>
  <c r="BO428" i="22"/>
  <c r="CT428" i="22"/>
  <c r="CB428" i="22"/>
  <c r="BR428" i="22"/>
  <c r="CR428" i="22"/>
  <c r="BQ428" i="22"/>
  <c r="CP428" i="22"/>
  <c r="BU428" i="22"/>
  <c r="CL428" i="22"/>
  <c r="BI428" i="22"/>
  <c r="BZ428" i="22"/>
  <c r="CM428" i="22"/>
  <c r="CC428" i="22"/>
  <c r="CU453" i="22"/>
  <c r="CM453" i="22"/>
  <c r="CE453" i="22"/>
  <c r="BW453" i="22"/>
  <c r="BO453" i="22"/>
  <c r="CN453" i="22"/>
  <c r="CD453" i="22"/>
  <c r="BU453" i="22"/>
  <c r="BL453" i="22"/>
  <c r="CS453" i="22"/>
  <c r="CJ453" i="22"/>
  <c r="CA453" i="22"/>
  <c r="BR453" i="22"/>
  <c r="CK453" i="22"/>
  <c r="BY453" i="22"/>
  <c r="BM453" i="22"/>
  <c r="CV453" i="22"/>
  <c r="CI453" i="22"/>
  <c r="BX453" i="22"/>
  <c r="BK453" i="22"/>
  <c r="CH453" i="22"/>
  <c r="BS453" i="22"/>
  <c r="CG453" i="22"/>
  <c r="BQ453" i="22"/>
  <c r="CR453" i="22"/>
  <c r="CC453" i="22"/>
  <c r="BN453" i="22"/>
  <c r="CL453" i="22"/>
  <c r="CF453" i="22"/>
  <c r="BZ453" i="22"/>
  <c r="CQ453" i="22"/>
  <c r="CP453" i="22"/>
  <c r="CO453" i="22"/>
  <c r="CT453" i="22"/>
  <c r="BJ453" i="22"/>
  <c r="BV453" i="22"/>
  <c r="BI453" i="22"/>
  <c r="BT453" i="22"/>
  <c r="CB453" i="22"/>
  <c r="BP453" i="22"/>
  <c r="CV477" i="22"/>
  <c r="CN477" i="22"/>
  <c r="CF477" i="22"/>
  <c r="BX477" i="22"/>
  <c r="BP477" i="22"/>
  <c r="CS477" i="22"/>
  <c r="CJ477" i="22"/>
  <c r="CA477" i="22"/>
  <c r="BR477" i="22"/>
  <c r="CU477" i="22"/>
  <c r="CK477" i="22"/>
  <c r="BZ477" i="22"/>
  <c r="BO477" i="22"/>
  <c r="CL477" i="22"/>
  <c r="CB477" i="22"/>
  <c r="CI477" i="22"/>
  <c r="BV477" i="22"/>
  <c r="BK477" i="22"/>
  <c r="CR477" i="22"/>
  <c r="CE477" i="22"/>
  <c r="BS477" i="22"/>
  <c r="CO477" i="22"/>
  <c r="BY477" i="22"/>
  <c r="BM477" i="22"/>
  <c r="CT477" i="22"/>
  <c r="BW477" i="22"/>
  <c r="CQ477" i="22"/>
  <c r="BT477" i="22"/>
  <c r="CH477" i="22"/>
  <c r="BL477" i="22"/>
  <c r="BQ477" i="22"/>
  <c r="BN477" i="22"/>
  <c r="CP477" i="22"/>
  <c r="BJ477" i="22"/>
  <c r="CD477" i="22"/>
  <c r="CC477" i="22"/>
  <c r="CM477" i="22"/>
  <c r="CG477" i="22"/>
  <c r="BU477" i="22"/>
  <c r="BI477" i="22"/>
  <c r="CV357" i="22"/>
  <c r="CN357" i="22"/>
  <c r="CF357" i="22"/>
  <c r="BX357" i="22"/>
  <c r="BP357" i="22"/>
  <c r="CT357" i="22"/>
  <c r="CL357" i="22"/>
  <c r="CD357" i="22"/>
  <c r="BV357" i="22"/>
  <c r="BN357" i="22"/>
  <c r="CR357" i="22"/>
  <c r="CH357" i="22"/>
  <c r="BW357" i="22"/>
  <c r="BL357" i="22"/>
  <c r="CQ357" i="22"/>
  <c r="CG357" i="22"/>
  <c r="BU357" i="22"/>
  <c r="BK357" i="22"/>
  <c r="CM357" i="22"/>
  <c r="CB357" i="22"/>
  <c r="BR357" i="22"/>
  <c r="CS357" i="22"/>
  <c r="CI357" i="22"/>
  <c r="BY357" i="22"/>
  <c r="BM357" i="22"/>
  <c r="CU357" i="22"/>
  <c r="BZ357" i="22"/>
  <c r="CA357" i="22"/>
  <c r="CP357" i="22"/>
  <c r="BT357" i="22"/>
  <c r="CO357" i="22"/>
  <c r="BS357" i="22"/>
  <c r="CK357" i="22"/>
  <c r="BQ357" i="22"/>
  <c r="CJ357" i="22"/>
  <c r="BO357" i="22"/>
  <c r="CE357" i="22"/>
  <c r="BJ357" i="22"/>
  <c r="CC357" i="22"/>
  <c r="BI357" i="22"/>
  <c r="CS373" i="22"/>
  <c r="CK373" i="22"/>
  <c r="CC373" i="22"/>
  <c r="BU373" i="22"/>
  <c r="BM373" i="22"/>
  <c r="CQ373" i="22"/>
  <c r="CI373" i="22"/>
  <c r="CA373" i="22"/>
  <c r="BS373" i="22"/>
  <c r="BK373" i="22"/>
  <c r="CR373" i="22"/>
  <c r="CG373" i="22"/>
  <c r="BW373" i="22"/>
  <c r="BL373" i="22"/>
  <c r="CO373" i="22"/>
  <c r="CE373" i="22"/>
  <c r="BT373" i="22"/>
  <c r="CP373" i="22"/>
  <c r="CB373" i="22"/>
  <c r="BO373" i="22"/>
  <c r="CN373" i="22"/>
  <c r="BZ373" i="22"/>
  <c r="BN373" i="22"/>
  <c r="CJ373" i="22"/>
  <c r="BV373" i="22"/>
  <c r="CT373" i="22"/>
  <c r="CD373" i="22"/>
  <c r="BP373" i="22"/>
  <c r="CF373" i="22"/>
  <c r="BI373" i="22"/>
  <c r="BY373" i="22"/>
  <c r="BX373" i="22"/>
  <c r="CH373" i="22"/>
  <c r="CV373" i="22"/>
  <c r="BR373" i="22"/>
  <c r="CL373" i="22"/>
  <c r="CU373" i="22"/>
  <c r="BQ373" i="22"/>
  <c r="CM373" i="22"/>
  <c r="BJ373" i="22"/>
  <c r="CQ405" i="22"/>
  <c r="CI405" i="22"/>
  <c r="CA405" i="22"/>
  <c r="BS405" i="22"/>
  <c r="BK405" i="22"/>
  <c r="CR405" i="22"/>
  <c r="CH405" i="22"/>
  <c r="BY405" i="22"/>
  <c r="BP405" i="22"/>
  <c r="CO405" i="22"/>
  <c r="CF405" i="22"/>
  <c r="BW405" i="22"/>
  <c r="BN405" i="22"/>
  <c r="CP405" i="22"/>
  <c r="CD405" i="22"/>
  <c r="BR405" i="22"/>
  <c r="CN405" i="22"/>
  <c r="CC405" i="22"/>
  <c r="BQ405" i="22"/>
  <c r="CM405" i="22"/>
  <c r="CB405" i="22"/>
  <c r="BO405" i="22"/>
  <c r="CS405" i="22"/>
  <c r="CE405" i="22"/>
  <c r="BT405" i="22"/>
  <c r="CK405" i="22"/>
  <c r="BL405" i="22"/>
  <c r="CG405" i="22"/>
  <c r="CJ405" i="22"/>
  <c r="BJ405" i="22"/>
  <c r="CV405" i="22"/>
  <c r="BX405" i="22"/>
  <c r="CL405" i="22"/>
  <c r="BM405" i="22"/>
  <c r="CU405" i="22"/>
  <c r="BI405" i="22"/>
  <c r="CT405" i="22"/>
  <c r="BU405" i="22"/>
  <c r="BZ405" i="22"/>
  <c r="BV405" i="22"/>
  <c r="CR429" i="22"/>
  <c r="CJ429" i="22"/>
  <c r="CB429" i="22"/>
  <c r="BT429" i="22"/>
  <c r="BL429" i="22"/>
  <c r="CV429" i="22"/>
  <c r="CM429" i="22"/>
  <c r="CD429" i="22"/>
  <c r="BU429" i="22"/>
  <c r="BK429" i="22"/>
  <c r="CU429" i="22"/>
  <c r="CL429" i="22"/>
  <c r="CC429" i="22"/>
  <c r="BS429" i="22"/>
  <c r="BJ429" i="22"/>
  <c r="CT429" i="22"/>
  <c r="CH429" i="22"/>
  <c r="BW429" i="22"/>
  <c r="CS429" i="22"/>
  <c r="CG429" i="22"/>
  <c r="BV429" i="22"/>
  <c r="CP429" i="22"/>
  <c r="CE429" i="22"/>
  <c r="BQ429" i="22"/>
  <c r="CI429" i="22"/>
  <c r="BO429" i="22"/>
  <c r="CF429" i="22"/>
  <c r="BN429" i="22"/>
  <c r="BZ429" i="22"/>
  <c r="CO429" i="22"/>
  <c r="BM429" i="22"/>
  <c r="CN429" i="22"/>
  <c r="CK429" i="22"/>
  <c r="CQ429" i="22"/>
  <c r="BP429" i="22"/>
  <c r="BY429" i="22"/>
  <c r="BX429" i="22"/>
  <c r="CA429" i="22"/>
  <c r="BR429" i="22"/>
  <c r="BI429" i="22"/>
  <c r="CT462" i="22"/>
  <c r="CL462" i="22"/>
  <c r="CD462" i="22"/>
  <c r="BV462" i="22"/>
  <c r="BN462" i="22"/>
  <c r="CQ462" i="22"/>
  <c r="CI462" i="22"/>
  <c r="CA462" i="22"/>
  <c r="BS462" i="22"/>
  <c r="BK462" i="22"/>
  <c r="CV462" i="22"/>
  <c r="CK462" i="22"/>
  <c r="BZ462" i="22"/>
  <c r="BP462" i="22"/>
  <c r="CU462" i="22"/>
  <c r="CH462" i="22"/>
  <c r="BW462" i="22"/>
  <c r="BJ462" i="22"/>
  <c r="CP462" i="22"/>
  <c r="CE462" i="22"/>
  <c r="BR462" i="22"/>
  <c r="CJ462" i="22"/>
  <c r="BT462" i="22"/>
  <c r="CG462" i="22"/>
  <c r="BQ462" i="22"/>
  <c r="CN462" i="22"/>
  <c r="BO462" i="22"/>
  <c r="CM462" i="22"/>
  <c r="BM462" i="22"/>
  <c r="CC462" i="22"/>
  <c r="CR462" i="22"/>
  <c r="CO462" i="22"/>
  <c r="CB462" i="22"/>
  <c r="BY462" i="22"/>
  <c r="BX462" i="22"/>
  <c r="BU462" i="22"/>
  <c r="CF462" i="22"/>
  <c r="BL462" i="22"/>
  <c r="BI462" i="22"/>
  <c r="CS462" i="22"/>
  <c r="CP486" i="22"/>
  <c r="CH486" i="22"/>
  <c r="BZ486" i="22"/>
  <c r="BR486" i="22"/>
  <c r="BJ486" i="22"/>
  <c r="CN486" i="22"/>
  <c r="CE486" i="22"/>
  <c r="BV486" i="22"/>
  <c r="BM486" i="22"/>
  <c r="CU486" i="22"/>
  <c r="CK486" i="22"/>
  <c r="CA486" i="22"/>
  <c r="BP486" i="22"/>
  <c r="CO486" i="22"/>
  <c r="CC486" i="22"/>
  <c r="BQ486" i="22"/>
  <c r="CQ486" i="22"/>
  <c r="CD486" i="22"/>
  <c r="BS486" i="22"/>
  <c r="CV486" i="22"/>
  <c r="CG486" i="22"/>
  <c r="BO486" i="22"/>
  <c r="CR486" i="22"/>
  <c r="BY486" i="22"/>
  <c r="BK486" i="22"/>
  <c r="CJ486" i="22"/>
  <c r="BU486" i="22"/>
  <c r="BX486" i="22"/>
  <c r="CT486" i="22"/>
  <c r="BW486" i="22"/>
  <c r="CI486" i="22"/>
  <c r="BT486" i="22"/>
  <c r="BN486" i="22"/>
  <c r="BL486" i="22"/>
  <c r="CL486" i="22"/>
  <c r="CF486" i="22"/>
  <c r="CM486" i="22"/>
  <c r="CS486" i="22"/>
  <c r="CB486" i="22"/>
  <c r="BI486" i="22"/>
  <c r="CV344" i="22"/>
  <c r="CN344" i="22"/>
  <c r="CF344" i="22"/>
  <c r="BX344" i="22"/>
  <c r="BP344" i="22"/>
  <c r="BI344" i="22"/>
  <c r="CU344" i="22"/>
  <c r="CM344" i="22"/>
  <c r="CE344" i="22"/>
  <c r="BW344" i="22"/>
  <c r="BO344" i="22"/>
  <c r="CJ344" i="22"/>
  <c r="CB344" i="22"/>
  <c r="BT344" i="22"/>
  <c r="BL344" i="22"/>
  <c r="CO344" i="22"/>
  <c r="CG344" i="22"/>
  <c r="BY344" i="22"/>
  <c r="BQ344" i="22"/>
  <c r="CP344" i="22"/>
  <c r="BZ344" i="22"/>
  <c r="BJ344" i="22"/>
  <c r="CQ344" i="22"/>
  <c r="CL344" i="22"/>
  <c r="BV344" i="22"/>
  <c r="CK344" i="22"/>
  <c r="BU344" i="22"/>
  <c r="BK344" i="22"/>
  <c r="CI344" i="22"/>
  <c r="BS344" i="22"/>
  <c r="CT344" i="22"/>
  <c r="CC344" i="22"/>
  <c r="CH344" i="22"/>
  <c r="BR344" i="22"/>
  <c r="CD344" i="22"/>
  <c r="BN344" i="22"/>
  <c r="CS344" i="22"/>
  <c r="BM344" i="22"/>
  <c r="CA344" i="22"/>
  <c r="CQ352" i="22"/>
  <c r="CI352" i="22"/>
  <c r="CA352" i="22"/>
  <c r="BS352" i="22"/>
  <c r="BK352" i="22"/>
  <c r="CO352" i="22"/>
  <c r="CG352" i="22"/>
  <c r="BY352" i="22"/>
  <c r="BQ352" i="22"/>
  <c r="CU352" i="22"/>
  <c r="CK352" i="22"/>
  <c r="BZ352" i="22"/>
  <c r="BO352" i="22"/>
  <c r="BI352" i="22"/>
  <c r="CT352" i="22"/>
  <c r="CJ352" i="22"/>
  <c r="BX352" i="22"/>
  <c r="BN352" i="22"/>
  <c r="CP352" i="22"/>
  <c r="CE352" i="22"/>
  <c r="BU352" i="22"/>
  <c r="BJ352" i="22"/>
  <c r="CV352" i="22"/>
  <c r="CL352" i="22"/>
  <c r="CB352" i="22"/>
  <c r="BP352" i="22"/>
  <c r="CC352" i="22"/>
  <c r="CS352" i="22"/>
  <c r="BW352" i="22"/>
  <c r="CR352" i="22"/>
  <c r="BV352" i="22"/>
  <c r="CN352" i="22"/>
  <c r="BT352" i="22"/>
  <c r="BL352" i="22"/>
  <c r="CD352" i="22"/>
  <c r="CM352" i="22"/>
  <c r="BR352" i="22"/>
  <c r="CH352" i="22"/>
  <c r="BM352" i="22"/>
  <c r="CF352" i="22"/>
  <c r="CQ360" i="22"/>
  <c r="CI360" i="22"/>
  <c r="CA360" i="22"/>
  <c r="BS360" i="22"/>
  <c r="BK360" i="22"/>
  <c r="CO360" i="22"/>
  <c r="CG360" i="22"/>
  <c r="BY360" i="22"/>
  <c r="BQ360" i="22"/>
  <c r="CS360" i="22"/>
  <c r="CH360" i="22"/>
  <c r="BW360" i="22"/>
  <c r="BM360" i="22"/>
  <c r="BI360" i="22"/>
  <c r="CR360" i="22"/>
  <c r="CF360" i="22"/>
  <c r="BV360" i="22"/>
  <c r="BL360" i="22"/>
  <c r="CM360" i="22"/>
  <c r="CC360" i="22"/>
  <c r="BR360" i="22"/>
  <c r="CT360" i="22"/>
  <c r="CJ360" i="22"/>
  <c r="BX360" i="22"/>
  <c r="BN360" i="22"/>
  <c r="CK360" i="22"/>
  <c r="BO360" i="22"/>
  <c r="CE360" i="22"/>
  <c r="BJ360" i="22"/>
  <c r="CD360" i="22"/>
  <c r="CL360" i="22"/>
  <c r="CV360" i="22"/>
  <c r="CB360" i="22"/>
  <c r="BT360" i="22"/>
  <c r="CU360" i="22"/>
  <c r="BZ360" i="22"/>
  <c r="CP360" i="22"/>
  <c r="BU360" i="22"/>
  <c r="CN360" i="22"/>
  <c r="BP360" i="22"/>
  <c r="CV368" i="22"/>
  <c r="CN368" i="22"/>
  <c r="CF368" i="22"/>
  <c r="BX368" i="22"/>
  <c r="BP368" i="22"/>
  <c r="CT368" i="22"/>
  <c r="CL368" i="22"/>
  <c r="CD368" i="22"/>
  <c r="BV368" i="22"/>
  <c r="BN368" i="22"/>
  <c r="CU368" i="22"/>
  <c r="CJ368" i="22"/>
  <c r="BZ368" i="22"/>
  <c r="BO368" i="22"/>
  <c r="CR368" i="22"/>
  <c r="CH368" i="22"/>
  <c r="BW368" i="22"/>
  <c r="BL368" i="22"/>
  <c r="CM368" i="22"/>
  <c r="BY368" i="22"/>
  <c r="BJ368" i="22"/>
  <c r="BI368" i="22"/>
  <c r="CK368" i="22"/>
  <c r="BU368" i="22"/>
  <c r="CS368" i="22"/>
  <c r="CE368" i="22"/>
  <c r="BR368" i="22"/>
  <c r="CO368" i="22"/>
  <c r="CA368" i="22"/>
  <c r="BK368" i="22"/>
  <c r="CB368" i="22"/>
  <c r="BS368" i="22"/>
  <c r="BT368" i="22"/>
  <c r="CQ368" i="22"/>
  <c r="BQ368" i="22"/>
  <c r="CC368" i="22"/>
  <c r="CP368" i="22"/>
  <c r="BM368" i="22"/>
  <c r="CI368" i="22"/>
  <c r="CG368" i="22"/>
  <c r="CV376" i="22"/>
  <c r="CN376" i="22"/>
  <c r="CF376" i="22"/>
  <c r="BX376" i="22"/>
  <c r="BP376" i="22"/>
  <c r="CT376" i="22"/>
  <c r="CL376" i="22"/>
  <c r="CD376" i="22"/>
  <c r="BV376" i="22"/>
  <c r="BN376" i="22"/>
  <c r="CR376" i="22"/>
  <c r="CH376" i="22"/>
  <c r="BW376" i="22"/>
  <c r="BL376" i="22"/>
  <c r="CP376" i="22"/>
  <c r="CE376" i="22"/>
  <c r="BT376" i="22"/>
  <c r="BJ376" i="22"/>
  <c r="CM376" i="22"/>
  <c r="BZ376" i="22"/>
  <c r="BK376" i="22"/>
  <c r="BI376" i="22"/>
  <c r="CK376" i="22"/>
  <c r="BY376" i="22"/>
  <c r="CU376" i="22"/>
  <c r="CG376" i="22"/>
  <c r="BR376" i="22"/>
  <c r="CO376" i="22"/>
  <c r="CA376" i="22"/>
  <c r="BM376" i="22"/>
  <c r="CB376" i="22"/>
  <c r="BU376" i="22"/>
  <c r="BS376" i="22"/>
  <c r="CS376" i="22"/>
  <c r="BQ376" i="22"/>
  <c r="CI376" i="22"/>
  <c r="CQ376" i="22"/>
  <c r="BO376" i="22"/>
  <c r="CJ376" i="22"/>
  <c r="CC376" i="22"/>
  <c r="CV384" i="22"/>
  <c r="CN384" i="22"/>
  <c r="CF384" i="22"/>
  <c r="BX384" i="22"/>
  <c r="BP384" i="22"/>
  <c r="CT384" i="22"/>
  <c r="CL384" i="22"/>
  <c r="CD384" i="22"/>
  <c r="BV384" i="22"/>
  <c r="BN384" i="22"/>
  <c r="CP384" i="22"/>
  <c r="CE384" i="22"/>
  <c r="BT384" i="22"/>
  <c r="BJ384" i="22"/>
  <c r="CM384" i="22"/>
  <c r="CB384" i="22"/>
  <c r="BR384" i="22"/>
  <c r="CQ384" i="22"/>
  <c r="CG384" i="22"/>
  <c r="BU384" i="22"/>
  <c r="BK384" i="22"/>
  <c r="CO384" i="22"/>
  <c r="BY384" i="22"/>
  <c r="BI384" i="22"/>
  <c r="CJ384" i="22"/>
  <c r="CK384" i="22"/>
  <c r="BW384" i="22"/>
  <c r="BS384" i="22"/>
  <c r="CH384" i="22"/>
  <c r="BO384" i="22"/>
  <c r="CR384" i="22"/>
  <c r="BZ384" i="22"/>
  <c r="BL384" i="22"/>
  <c r="BM384" i="22"/>
  <c r="CU384" i="22"/>
  <c r="CS384" i="22"/>
  <c r="CI384" i="22"/>
  <c r="BQ384" i="22"/>
  <c r="CC384" i="22"/>
  <c r="CA384" i="22"/>
  <c r="CV392" i="22"/>
  <c r="CN392" i="22"/>
  <c r="CF392" i="22"/>
  <c r="BX392" i="22"/>
  <c r="BP392" i="22"/>
  <c r="CT392" i="22"/>
  <c r="CL392" i="22"/>
  <c r="CD392" i="22"/>
  <c r="BV392" i="22"/>
  <c r="BN392" i="22"/>
  <c r="CM392" i="22"/>
  <c r="CB392" i="22"/>
  <c r="BR392" i="22"/>
  <c r="CK392" i="22"/>
  <c r="CA392" i="22"/>
  <c r="BQ392" i="22"/>
  <c r="CU392" i="22"/>
  <c r="CJ392" i="22"/>
  <c r="BZ392" i="22"/>
  <c r="BO392" i="22"/>
  <c r="CO392" i="22"/>
  <c r="CC392" i="22"/>
  <c r="BS392" i="22"/>
  <c r="CH392" i="22"/>
  <c r="BL392" i="22"/>
  <c r="BI392" i="22"/>
  <c r="CG392" i="22"/>
  <c r="BK392" i="22"/>
  <c r="BJ392" i="22"/>
  <c r="CR392" i="22"/>
  <c r="BW392" i="22"/>
  <c r="CI392" i="22"/>
  <c r="BM392" i="22"/>
  <c r="CE392" i="22"/>
  <c r="CS392" i="22"/>
  <c r="CQ392" i="22"/>
  <c r="CP392" i="22"/>
  <c r="BY392" i="22"/>
  <c r="BU392" i="22"/>
  <c r="BT392" i="22"/>
  <c r="CT400" i="22"/>
  <c r="CL400" i="22"/>
  <c r="CD400" i="22"/>
  <c r="BV400" i="22"/>
  <c r="BN400" i="22"/>
  <c r="CU400" i="22"/>
  <c r="CK400" i="22"/>
  <c r="CB400" i="22"/>
  <c r="BS400" i="22"/>
  <c r="BJ400" i="22"/>
  <c r="CR400" i="22"/>
  <c r="CI400" i="22"/>
  <c r="BZ400" i="22"/>
  <c r="BQ400" i="22"/>
  <c r="CP400" i="22"/>
  <c r="CE400" i="22"/>
  <c r="BR400" i="22"/>
  <c r="CO400" i="22"/>
  <c r="CC400" i="22"/>
  <c r="BP400" i="22"/>
  <c r="CN400" i="22"/>
  <c r="CA400" i="22"/>
  <c r="BO400" i="22"/>
  <c r="CQ400" i="22"/>
  <c r="CF400" i="22"/>
  <c r="BT400" i="22"/>
  <c r="CJ400" i="22"/>
  <c r="BL400" i="22"/>
  <c r="BI400" i="22"/>
  <c r="CH400" i="22"/>
  <c r="BK400" i="22"/>
  <c r="BX400" i="22"/>
  <c r="CM400" i="22"/>
  <c r="BM400" i="22"/>
  <c r="CG400" i="22"/>
  <c r="CV400" i="22"/>
  <c r="CS400" i="22"/>
  <c r="BY400" i="22"/>
  <c r="BW400" i="22"/>
  <c r="BU400" i="22"/>
  <c r="CT408" i="22"/>
  <c r="CL408" i="22"/>
  <c r="CD408" i="22"/>
  <c r="BV408" i="22"/>
  <c r="BN408" i="22"/>
  <c r="CR408" i="22"/>
  <c r="CI408" i="22"/>
  <c r="BZ408" i="22"/>
  <c r="BQ408" i="22"/>
  <c r="CP408" i="22"/>
  <c r="CF408" i="22"/>
  <c r="BU408" i="22"/>
  <c r="BK408" i="22"/>
  <c r="CN408" i="22"/>
  <c r="CC408" i="22"/>
  <c r="BS408" i="22"/>
  <c r="CO408" i="22"/>
  <c r="CA408" i="22"/>
  <c r="BM408" i="22"/>
  <c r="CM408" i="22"/>
  <c r="BY408" i="22"/>
  <c r="BL408" i="22"/>
  <c r="CK408" i="22"/>
  <c r="BX408" i="22"/>
  <c r="BJ408" i="22"/>
  <c r="CQ408" i="22"/>
  <c r="CB408" i="22"/>
  <c r="BO408" i="22"/>
  <c r="CV408" i="22"/>
  <c r="BT408" i="22"/>
  <c r="BI408" i="22"/>
  <c r="CS408" i="22"/>
  <c r="CU408" i="22"/>
  <c r="BR408" i="22"/>
  <c r="CH408" i="22"/>
  <c r="BW408" i="22"/>
  <c r="BP408" i="22"/>
  <c r="CE408" i="22"/>
  <c r="CG408" i="22"/>
  <c r="CJ408" i="22"/>
  <c r="CU416" i="22"/>
  <c r="CM416" i="22"/>
  <c r="CE416" i="22"/>
  <c r="BW416" i="22"/>
  <c r="BO416" i="22"/>
  <c r="CP416" i="22"/>
  <c r="CG416" i="22"/>
  <c r="BX416" i="22"/>
  <c r="BN416" i="22"/>
  <c r="CL416" i="22"/>
  <c r="CB416" i="22"/>
  <c r="BR416" i="22"/>
  <c r="CV416" i="22"/>
  <c r="CK416" i="22"/>
  <c r="CA416" i="22"/>
  <c r="BQ416" i="22"/>
  <c r="CS416" i="22"/>
  <c r="CI416" i="22"/>
  <c r="BY416" i="22"/>
  <c r="BM416" i="22"/>
  <c r="CF416" i="22"/>
  <c r="BP416" i="22"/>
  <c r="CR416" i="22"/>
  <c r="CC416" i="22"/>
  <c r="BK416" i="22"/>
  <c r="CD416" i="22"/>
  <c r="BZ416" i="22"/>
  <c r="CT416" i="22"/>
  <c r="BV416" i="22"/>
  <c r="CH416" i="22"/>
  <c r="BJ416" i="22"/>
  <c r="CO416" i="22"/>
  <c r="BI416" i="22"/>
  <c r="CN416" i="22"/>
  <c r="CJ416" i="22"/>
  <c r="BT416" i="22"/>
  <c r="CQ416" i="22"/>
  <c r="BU416" i="22"/>
  <c r="BS416" i="22"/>
  <c r="BL416" i="22"/>
  <c r="CU424" i="22"/>
  <c r="CM424" i="22"/>
  <c r="CE424" i="22"/>
  <c r="BW424" i="22"/>
  <c r="BO424" i="22"/>
  <c r="CO424" i="22"/>
  <c r="CF424" i="22"/>
  <c r="BV424" i="22"/>
  <c r="BM424" i="22"/>
  <c r="CN424" i="22"/>
  <c r="CC424" i="22"/>
  <c r="BS424" i="22"/>
  <c r="CL424" i="22"/>
  <c r="CB424" i="22"/>
  <c r="BR424" i="22"/>
  <c r="CT424" i="22"/>
  <c r="CJ424" i="22"/>
  <c r="BZ424" i="22"/>
  <c r="BP424" i="22"/>
  <c r="CK424" i="22"/>
  <c r="BU424" i="22"/>
  <c r="CH424" i="22"/>
  <c r="BQ424" i="22"/>
  <c r="CD424" i="22"/>
  <c r="BJ424" i="22"/>
  <c r="CV424" i="22"/>
  <c r="CA424" i="22"/>
  <c r="CS424" i="22"/>
  <c r="BY424" i="22"/>
  <c r="CG424" i="22"/>
  <c r="BK424" i="22"/>
  <c r="CQ424" i="22"/>
  <c r="CP424" i="22"/>
  <c r="BT424" i="22"/>
  <c r="CR424" i="22"/>
  <c r="BI424" i="22"/>
  <c r="CI424" i="22"/>
  <c r="BN424" i="22"/>
  <c r="BX424" i="22"/>
  <c r="BL424" i="22"/>
  <c r="CU432" i="22"/>
  <c r="CM432" i="22"/>
  <c r="CE432" i="22"/>
  <c r="BW432" i="22"/>
  <c r="BO432" i="22"/>
  <c r="CO432" i="22"/>
  <c r="CF432" i="22"/>
  <c r="BV432" i="22"/>
  <c r="BM432" i="22"/>
  <c r="CN432" i="22"/>
  <c r="CD432" i="22"/>
  <c r="BU432" i="22"/>
  <c r="BL432" i="22"/>
  <c r="CL432" i="22"/>
  <c r="CA432" i="22"/>
  <c r="BP432" i="22"/>
  <c r="CK432" i="22"/>
  <c r="BZ432" i="22"/>
  <c r="BN432" i="22"/>
  <c r="CT432" i="22"/>
  <c r="CI432" i="22"/>
  <c r="BX432" i="22"/>
  <c r="BJ432" i="22"/>
  <c r="CH432" i="22"/>
  <c r="BQ432" i="22"/>
  <c r="CG432" i="22"/>
  <c r="BK432" i="22"/>
  <c r="CS432" i="22"/>
  <c r="CB432" i="22"/>
  <c r="CV432" i="22"/>
  <c r="BS432" i="22"/>
  <c r="CR432" i="22"/>
  <c r="BR432" i="22"/>
  <c r="CQ432" i="22"/>
  <c r="BT432" i="22"/>
  <c r="CJ432" i="22"/>
  <c r="BI432" i="22"/>
  <c r="CC432" i="22"/>
  <c r="BY432" i="22"/>
  <c r="CP432" i="22"/>
  <c r="CP440" i="22"/>
  <c r="CH440" i="22"/>
  <c r="CR440" i="22"/>
  <c r="CI440" i="22"/>
  <c r="BZ440" i="22"/>
  <c r="BR440" i="22"/>
  <c r="BJ440" i="22"/>
  <c r="CN440" i="22"/>
  <c r="CE440" i="22"/>
  <c r="BW440" i="22"/>
  <c r="BO440" i="22"/>
  <c r="CS440" i="22"/>
  <c r="CF440" i="22"/>
  <c r="BU440" i="22"/>
  <c r="BK440" i="22"/>
  <c r="CQ440" i="22"/>
  <c r="CD440" i="22"/>
  <c r="BT440" i="22"/>
  <c r="CL440" i="22"/>
  <c r="BX440" i="22"/>
  <c r="CK440" i="22"/>
  <c r="BV440" i="22"/>
  <c r="CV440" i="22"/>
  <c r="CG440" i="22"/>
  <c r="BQ440" i="22"/>
  <c r="CU440" i="22"/>
  <c r="BY440" i="22"/>
  <c r="CT440" i="22"/>
  <c r="BS440" i="22"/>
  <c r="CM440" i="22"/>
  <c r="BN440" i="22"/>
  <c r="BM440" i="22"/>
  <c r="BL440" i="22"/>
  <c r="CO440" i="22"/>
  <c r="BP440" i="22"/>
  <c r="BI440" i="22"/>
  <c r="CC440" i="22"/>
  <c r="CB440" i="22"/>
  <c r="CJ440" i="22"/>
  <c r="CA440" i="22"/>
  <c r="CQ449" i="22"/>
  <c r="CI449" i="22"/>
  <c r="CA449" i="22"/>
  <c r="BS449" i="22"/>
  <c r="BK449" i="22"/>
  <c r="CN449" i="22"/>
  <c r="CE449" i="22"/>
  <c r="BV449" i="22"/>
  <c r="BM449" i="22"/>
  <c r="CT449" i="22"/>
  <c r="CK449" i="22"/>
  <c r="CB449" i="22"/>
  <c r="BR449" i="22"/>
  <c r="CU449" i="22"/>
  <c r="CH449" i="22"/>
  <c r="BW449" i="22"/>
  <c r="BJ449" i="22"/>
  <c r="CS449" i="22"/>
  <c r="CG449" i="22"/>
  <c r="BU449" i="22"/>
  <c r="CR449" i="22"/>
  <c r="CC449" i="22"/>
  <c r="BN449" i="22"/>
  <c r="CP449" i="22"/>
  <c r="BZ449" i="22"/>
  <c r="BL449" i="22"/>
  <c r="CM449" i="22"/>
  <c r="BX449" i="22"/>
  <c r="CJ449" i="22"/>
  <c r="CF449" i="22"/>
  <c r="BY449" i="22"/>
  <c r="CL449" i="22"/>
  <c r="CD449" i="22"/>
  <c r="BT449" i="22"/>
  <c r="CO449" i="22"/>
  <c r="BP449" i="22"/>
  <c r="BI449" i="22"/>
  <c r="CV449" i="22"/>
  <c r="BQ449" i="22"/>
  <c r="BO449" i="22"/>
  <c r="CO457" i="22"/>
  <c r="CG457" i="22"/>
  <c r="BY457" i="22"/>
  <c r="BQ457" i="22"/>
  <c r="CP457" i="22"/>
  <c r="CF457" i="22"/>
  <c r="BW457" i="22"/>
  <c r="BN457" i="22"/>
  <c r="CT457" i="22"/>
  <c r="CJ457" i="22"/>
  <c r="BZ457" i="22"/>
  <c r="BO457" i="22"/>
  <c r="CQ457" i="22"/>
  <c r="CE457" i="22"/>
  <c r="BU457" i="22"/>
  <c r="BK457" i="22"/>
  <c r="CU457" i="22"/>
  <c r="CH457" i="22"/>
  <c r="BS457" i="22"/>
  <c r="CS457" i="22"/>
  <c r="CD457" i="22"/>
  <c r="BR457" i="22"/>
  <c r="CC457" i="22"/>
  <c r="BL457" i="22"/>
  <c r="CV457" i="22"/>
  <c r="CB457" i="22"/>
  <c r="BJ457" i="22"/>
  <c r="CN457" i="22"/>
  <c r="BX457" i="22"/>
  <c r="CM457" i="22"/>
  <c r="BM457" i="22"/>
  <c r="CL457" i="22"/>
  <c r="CI457" i="22"/>
  <c r="BT457" i="22"/>
  <c r="BP457" i="22"/>
  <c r="BV457" i="22"/>
  <c r="CR457" i="22"/>
  <c r="BI457" i="22"/>
  <c r="CK457" i="22"/>
  <c r="CA457" i="22"/>
  <c r="CO465" i="22"/>
  <c r="CG465" i="22"/>
  <c r="BY465" i="22"/>
  <c r="BQ465" i="22"/>
  <c r="CT465" i="22"/>
  <c r="CL465" i="22"/>
  <c r="CD465" i="22"/>
  <c r="BV465" i="22"/>
  <c r="BN465" i="22"/>
  <c r="CV465" i="22"/>
  <c r="CK465" i="22"/>
  <c r="CA465" i="22"/>
  <c r="BP465" i="22"/>
  <c r="CN465" i="22"/>
  <c r="CB465" i="22"/>
  <c r="BO465" i="22"/>
  <c r="CU465" i="22"/>
  <c r="CI465" i="22"/>
  <c r="BW465" i="22"/>
  <c r="BK465" i="22"/>
  <c r="CH465" i="22"/>
  <c r="BS465" i="22"/>
  <c r="CF465" i="22"/>
  <c r="BR465" i="22"/>
  <c r="CS465" i="22"/>
  <c r="CE465" i="22"/>
  <c r="BM465" i="22"/>
  <c r="CM465" i="22"/>
  <c r="BJ465" i="22"/>
  <c r="CJ465" i="22"/>
  <c r="BZ465" i="22"/>
  <c r="CP465" i="22"/>
  <c r="CC465" i="22"/>
  <c r="BU465" i="22"/>
  <c r="BX465" i="22"/>
  <c r="BT465" i="22"/>
  <c r="BL465" i="22"/>
  <c r="CQ465" i="22"/>
  <c r="BI465" i="22"/>
  <c r="CR465" i="22"/>
  <c r="CR473" i="22"/>
  <c r="CJ473" i="22"/>
  <c r="CB473" i="22"/>
  <c r="BT473" i="22"/>
  <c r="BL473" i="22"/>
  <c r="CU473" i="22"/>
  <c r="CL473" i="22"/>
  <c r="CC473" i="22"/>
  <c r="BS473" i="22"/>
  <c r="BJ473" i="22"/>
  <c r="CV473" i="22"/>
  <c r="CK473" i="22"/>
  <c r="BZ473" i="22"/>
  <c r="BP473" i="22"/>
  <c r="CQ473" i="22"/>
  <c r="CG473" i="22"/>
  <c r="BW473" i="22"/>
  <c r="BM473" i="22"/>
  <c r="CN473" i="22"/>
  <c r="CD473" i="22"/>
  <c r="BR473" i="22"/>
  <c r="CT473" i="22"/>
  <c r="CE473" i="22"/>
  <c r="BN473" i="22"/>
  <c r="CS473" i="22"/>
  <c r="BY473" i="22"/>
  <c r="CM473" i="22"/>
  <c r="BU473" i="22"/>
  <c r="CF473" i="22"/>
  <c r="CA473" i="22"/>
  <c r="BX473" i="22"/>
  <c r="CP473" i="22"/>
  <c r="CO473" i="22"/>
  <c r="CH473" i="22"/>
  <c r="BK473" i="22"/>
  <c r="BV473" i="22"/>
  <c r="BO473" i="22"/>
  <c r="BQ473" i="22"/>
  <c r="CI473" i="22"/>
  <c r="BI473" i="22"/>
  <c r="CR481" i="22"/>
  <c r="CJ481" i="22"/>
  <c r="CB481" i="22"/>
  <c r="BT481" i="22"/>
  <c r="BL481" i="22"/>
  <c r="CP481" i="22"/>
  <c r="CG481" i="22"/>
  <c r="BX481" i="22"/>
  <c r="BO481" i="22"/>
  <c r="CQ481" i="22"/>
  <c r="CF481" i="22"/>
  <c r="BV481" i="22"/>
  <c r="BK481" i="22"/>
  <c r="CS481" i="22"/>
  <c r="CE481" i="22"/>
  <c r="BS481" i="22"/>
  <c r="CT481" i="22"/>
  <c r="CH481" i="22"/>
  <c r="BU481" i="22"/>
  <c r="CK481" i="22"/>
  <c r="BR481" i="22"/>
  <c r="CU481" i="22"/>
  <c r="CC481" i="22"/>
  <c r="BN481" i="22"/>
  <c r="CM481" i="22"/>
  <c r="BY481" i="22"/>
  <c r="CN481" i="22"/>
  <c r="BP481" i="22"/>
  <c r="CL481" i="22"/>
  <c r="BM481" i="22"/>
  <c r="BZ481" i="22"/>
  <c r="CV481" i="22"/>
  <c r="BJ481" i="22"/>
  <c r="CD481" i="22"/>
  <c r="CA481" i="22"/>
  <c r="BW481" i="22"/>
  <c r="CO481" i="22"/>
  <c r="CI481" i="22"/>
  <c r="BQ481" i="22"/>
  <c r="BI481" i="22"/>
  <c r="CT489" i="22"/>
  <c r="CK489" i="22"/>
  <c r="CC489" i="22"/>
  <c r="BU489" i="22"/>
  <c r="BM489" i="22"/>
  <c r="CP489" i="22"/>
  <c r="CG489" i="22"/>
  <c r="BX489" i="22"/>
  <c r="BO489" i="22"/>
  <c r="CU489" i="22"/>
  <c r="CI489" i="22"/>
  <c r="BY489" i="22"/>
  <c r="BN489" i="22"/>
  <c r="CQ489" i="22"/>
  <c r="CE489" i="22"/>
  <c r="BS489" i="22"/>
  <c r="CS489" i="22"/>
  <c r="CF489" i="22"/>
  <c r="BT489" i="22"/>
  <c r="CO489" i="22"/>
  <c r="CA489" i="22"/>
  <c r="BK489" i="22"/>
  <c r="CL489" i="22"/>
  <c r="BV489" i="22"/>
  <c r="CD489" i="22"/>
  <c r="BP489" i="22"/>
  <c r="CJ489" i="22"/>
  <c r="BJ489" i="22"/>
  <c r="CH489" i="22"/>
  <c r="BR489" i="22"/>
  <c r="CN489" i="22"/>
  <c r="CM489" i="22"/>
  <c r="CB489" i="22"/>
  <c r="BZ489" i="22"/>
  <c r="CV489" i="22"/>
  <c r="BW489" i="22"/>
  <c r="BQ489" i="22"/>
  <c r="BL489" i="22"/>
  <c r="BI489" i="22"/>
  <c r="CR489" i="22"/>
  <c r="CR353" i="22"/>
  <c r="CJ353" i="22"/>
  <c r="CB353" i="22"/>
  <c r="BT353" i="22"/>
  <c r="BL353" i="22"/>
  <c r="CP353" i="22"/>
  <c r="CH353" i="22"/>
  <c r="BZ353" i="22"/>
  <c r="BR353" i="22"/>
  <c r="BJ353" i="22"/>
  <c r="CN353" i="22"/>
  <c r="CD353" i="22"/>
  <c r="BS353" i="22"/>
  <c r="CM353" i="22"/>
  <c r="CC353" i="22"/>
  <c r="BQ353" i="22"/>
  <c r="CT353" i="22"/>
  <c r="CI353" i="22"/>
  <c r="BX353" i="22"/>
  <c r="BN353" i="22"/>
  <c r="CO353" i="22"/>
  <c r="CE353" i="22"/>
  <c r="BU353" i="22"/>
  <c r="BI353" i="22"/>
  <c r="CF353" i="22"/>
  <c r="BK353" i="22"/>
  <c r="BO353" i="22"/>
  <c r="CG353" i="22"/>
  <c r="CV353" i="22"/>
  <c r="CA353" i="22"/>
  <c r="CU353" i="22"/>
  <c r="BY353" i="22"/>
  <c r="CS353" i="22"/>
  <c r="BW353" i="22"/>
  <c r="CK353" i="22"/>
  <c r="CQ353" i="22"/>
  <c r="BV353" i="22"/>
  <c r="CL353" i="22"/>
  <c r="BP353" i="22"/>
  <c r="BM353" i="22"/>
  <c r="CO377" i="22"/>
  <c r="CG377" i="22"/>
  <c r="BY377" i="22"/>
  <c r="BQ377" i="22"/>
  <c r="CU377" i="22"/>
  <c r="CM377" i="22"/>
  <c r="CE377" i="22"/>
  <c r="BW377" i="22"/>
  <c r="BO377" i="22"/>
  <c r="CV377" i="22"/>
  <c r="CK377" i="22"/>
  <c r="CA377" i="22"/>
  <c r="BP377" i="22"/>
  <c r="CS377" i="22"/>
  <c r="CI377" i="22"/>
  <c r="BX377" i="22"/>
  <c r="BM377" i="22"/>
  <c r="CQ377" i="22"/>
  <c r="CC377" i="22"/>
  <c r="BN377" i="22"/>
  <c r="CP377" i="22"/>
  <c r="CB377" i="22"/>
  <c r="BL377" i="22"/>
  <c r="CJ377" i="22"/>
  <c r="BU377" i="22"/>
  <c r="CR377" i="22"/>
  <c r="CD377" i="22"/>
  <c r="BR377" i="22"/>
  <c r="BI377" i="22"/>
  <c r="CT377" i="22"/>
  <c r="BS377" i="22"/>
  <c r="CN377" i="22"/>
  <c r="BK377" i="22"/>
  <c r="CL377" i="22"/>
  <c r="BJ377" i="22"/>
  <c r="CH377" i="22"/>
  <c r="BV377" i="22"/>
  <c r="BT377" i="22"/>
  <c r="CF377" i="22"/>
  <c r="BZ377" i="22"/>
  <c r="CU409" i="22"/>
  <c r="CM409" i="22"/>
  <c r="CE409" i="22"/>
  <c r="BW409" i="22"/>
  <c r="BO409" i="22"/>
  <c r="CP409" i="22"/>
  <c r="CG409" i="22"/>
  <c r="BX409" i="22"/>
  <c r="BN409" i="22"/>
  <c r="CS409" i="22"/>
  <c r="CI409" i="22"/>
  <c r="BY409" i="22"/>
  <c r="BM409" i="22"/>
  <c r="CQ409" i="22"/>
  <c r="CF409" i="22"/>
  <c r="BU409" i="22"/>
  <c r="BK409" i="22"/>
  <c r="CR409" i="22"/>
  <c r="CC409" i="22"/>
  <c r="BQ409" i="22"/>
  <c r="CO409" i="22"/>
  <c r="CB409" i="22"/>
  <c r="BP409" i="22"/>
  <c r="CN409" i="22"/>
  <c r="CA409" i="22"/>
  <c r="BL409" i="22"/>
  <c r="CT409" i="22"/>
  <c r="CD409" i="22"/>
  <c r="BR409" i="22"/>
  <c r="CK409" i="22"/>
  <c r="CJ409" i="22"/>
  <c r="CH409" i="22"/>
  <c r="BV409" i="22"/>
  <c r="CL409" i="22"/>
  <c r="BJ409" i="22"/>
  <c r="BI409" i="22"/>
  <c r="CV409" i="22"/>
  <c r="BZ409" i="22"/>
  <c r="BT409" i="22"/>
  <c r="BS409" i="22"/>
  <c r="CQ441" i="22"/>
  <c r="CI441" i="22"/>
  <c r="CA441" i="22"/>
  <c r="BS441" i="22"/>
  <c r="BK441" i="22"/>
  <c r="CO441" i="22"/>
  <c r="CF441" i="22"/>
  <c r="BW441" i="22"/>
  <c r="BN441" i="22"/>
  <c r="CU441" i="22"/>
  <c r="CL441" i="22"/>
  <c r="CC441" i="22"/>
  <c r="BT441" i="22"/>
  <c r="BJ441" i="22"/>
  <c r="CP441" i="22"/>
  <c r="CD441" i="22"/>
  <c r="BQ441" i="22"/>
  <c r="CN441" i="22"/>
  <c r="CB441" i="22"/>
  <c r="BP441" i="22"/>
  <c r="CV441" i="22"/>
  <c r="CG441" i="22"/>
  <c r="BO441" i="22"/>
  <c r="CT441" i="22"/>
  <c r="CE441" i="22"/>
  <c r="BM441" i="22"/>
  <c r="CR441" i="22"/>
  <c r="BY441" i="22"/>
  <c r="CJ441" i="22"/>
  <c r="CH441" i="22"/>
  <c r="BX441" i="22"/>
  <c r="BR441" i="22"/>
  <c r="BL441" i="22"/>
  <c r="CS441" i="22"/>
  <c r="BU441" i="22"/>
  <c r="CK441" i="22"/>
  <c r="BV441" i="22"/>
  <c r="BZ441" i="22"/>
  <c r="CM441" i="22"/>
  <c r="BI441" i="22"/>
  <c r="CS474" i="22"/>
  <c r="CK474" i="22"/>
  <c r="CC474" i="22"/>
  <c r="BU474" i="22"/>
  <c r="BM474" i="22"/>
  <c r="CQ474" i="22"/>
  <c r="CH474" i="22"/>
  <c r="BY474" i="22"/>
  <c r="BP474" i="22"/>
  <c r="CM474" i="22"/>
  <c r="CB474" i="22"/>
  <c r="BR474" i="22"/>
  <c r="CR474" i="22"/>
  <c r="CF474" i="22"/>
  <c r="BT474" i="22"/>
  <c r="CN474" i="22"/>
  <c r="CA474" i="22"/>
  <c r="BO474" i="22"/>
  <c r="CU474" i="22"/>
  <c r="CI474" i="22"/>
  <c r="BW474" i="22"/>
  <c r="BK474" i="22"/>
  <c r="CT474" i="22"/>
  <c r="BZ474" i="22"/>
  <c r="CD474" i="22"/>
  <c r="CO474" i="22"/>
  <c r="BS474" i="22"/>
  <c r="CV474" i="22"/>
  <c r="BQ474" i="22"/>
  <c r="CP474" i="22"/>
  <c r="BN474" i="22"/>
  <c r="CL474" i="22"/>
  <c r="BL474" i="22"/>
  <c r="CG474" i="22"/>
  <c r="CE474" i="22"/>
  <c r="BX474" i="22"/>
  <c r="BJ474" i="22"/>
  <c r="CJ474" i="22"/>
  <c r="BV474" i="22"/>
  <c r="BI474" i="22"/>
  <c r="CP346" i="22"/>
  <c r="CH346" i="22"/>
  <c r="BZ346" i="22"/>
  <c r="BR346" i="22"/>
  <c r="BJ346" i="22"/>
  <c r="CO346" i="22"/>
  <c r="CG346" i="22"/>
  <c r="BY346" i="22"/>
  <c r="BQ346" i="22"/>
  <c r="CT346" i="22"/>
  <c r="CL346" i="22"/>
  <c r="CD346" i="22"/>
  <c r="BV346" i="22"/>
  <c r="BN346" i="22"/>
  <c r="CQ346" i="22"/>
  <c r="CI346" i="22"/>
  <c r="CA346" i="22"/>
  <c r="BS346" i="22"/>
  <c r="BK346" i="22"/>
  <c r="CR346" i="22"/>
  <c r="CB346" i="22"/>
  <c r="BL346" i="22"/>
  <c r="CC346" i="22"/>
  <c r="CN346" i="22"/>
  <c r="BX346" i="22"/>
  <c r="CM346" i="22"/>
  <c r="BW346" i="22"/>
  <c r="CS346" i="22"/>
  <c r="CK346" i="22"/>
  <c r="BU346" i="22"/>
  <c r="CU346" i="22"/>
  <c r="BO346" i="22"/>
  <c r="CJ346" i="22"/>
  <c r="BT346" i="22"/>
  <c r="CV346" i="22"/>
  <c r="CF346" i="22"/>
  <c r="BP346" i="22"/>
  <c r="BI346" i="22"/>
  <c r="CE346" i="22"/>
  <c r="BM346" i="22"/>
  <c r="CS354" i="22"/>
  <c r="CK354" i="22"/>
  <c r="CC354" i="22"/>
  <c r="BU354" i="22"/>
  <c r="BM354" i="22"/>
  <c r="CQ354" i="22"/>
  <c r="CI354" i="22"/>
  <c r="CA354" i="22"/>
  <c r="BS354" i="22"/>
  <c r="BK354" i="22"/>
  <c r="CR354" i="22"/>
  <c r="CG354" i="22"/>
  <c r="BW354" i="22"/>
  <c r="BL354" i="22"/>
  <c r="CP354" i="22"/>
  <c r="CF354" i="22"/>
  <c r="BV354" i="22"/>
  <c r="BJ354" i="22"/>
  <c r="CM354" i="22"/>
  <c r="CB354" i="22"/>
  <c r="BQ354" i="22"/>
  <c r="CT354" i="22"/>
  <c r="CH354" i="22"/>
  <c r="BX354" i="22"/>
  <c r="BN354" i="22"/>
  <c r="CJ354" i="22"/>
  <c r="BO354" i="22"/>
  <c r="CE354" i="22"/>
  <c r="BI354" i="22"/>
  <c r="CD354" i="22"/>
  <c r="BP354" i="22"/>
  <c r="CV354" i="22"/>
  <c r="BZ354" i="22"/>
  <c r="CN354" i="22"/>
  <c r="CL354" i="22"/>
  <c r="CU354" i="22"/>
  <c r="BY354" i="22"/>
  <c r="CO354" i="22"/>
  <c r="BT354" i="22"/>
  <c r="BR354" i="22"/>
  <c r="CV362" i="22"/>
  <c r="CN362" i="22"/>
  <c r="CF362" i="22"/>
  <c r="BX362" i="22"/>
  <c r="BP362" i="22"/>
  <c r="CQ362" i="22"/>
  <c r="CH362" i="22"/>
  <c r="BY362" i="22"/>
  <c r="BO362" i="22"/>
  <c r="CO362" i="22"/>
  <c r="CE362" i="22"/>
  <c r="BV362" i="22"/>
  <c r="BM362" i="22"/>
  <c r="CU362" i="22"/>
  <c r="CJ362" i="22"/>
  <c r="BW362" i="22"/>
  <c r="BK362" i="22"/>
  <c r="CT362" i="22"/>
  <c r="CI362" i="22"/>
  <c r="BU362" i="22"/>
  <c r="BJ362" i="22"/>
  <c r="CP362" i="22"/>
  <c r="CC362" i="22"/>
  <c r="BR362" i="22"/>
  <c r="CK362" i="22"/>
  <c r="BZ362" i="22"/>
  <c r="BL362" i="22"/>
  <c r="CA362" i="22"/>
  <c r="CS362" i="22"/>
  <c r="BT362" i="22"/>
  <c r="CR362" i="22"/>
  <c r="BS362" i="22"/>
  <c r="CB362" i="22"/>
  <c r="CM362" i="22"/>
  <c r="BQ362" i="22"/>
  <c r="BI362" i="22"/>
  <c r="CD362" i="22"/>
  <c r="CL362" i="22"/>
  <c r="BN362" i="22"/>
  <c r="CG362" i="22"/>
  <c r="CP370" i="22"/>
  <c r="CH370" i="22"/>
  <c r="BZ370" i="22"/>
  <c r="BR370" i="22"/>
  <c r="BJ370" i="22"/>
  <c r="CV370" i="22"/>
  <c r="CN370" i="22"/>
  <c r="CF370" i="22"/>
  <c r="BX370" i="22"/>
  <c r="BP370" i="22"/>
  <c r="CR370" i="22"/>
  <c r="CG370" i="22"/>
  <c r="BV370" i="22"/>
  <c r="BL370" i="22"/>
  <c r="CO370" i="22"/>
  <c r="CD370" i="22"/>
  <c r="BT370" i="22"/>
  <c r="CT370" i="22"/>
  <c r="CE370" i="22"/>
  <c r="BQ370" i="22"/>
  <c r="CS370" i="22"/>
  <c r="CC370" i="22"/>
  <c r="BO370" i="22"/>
  <c r="CL370" i="22"/>
  <c r="BY370" i="22"/>
  <c r="BK370" i="22"/>
  <c r="CU370" i="22"/>
  <c r="CI370" i="22"/>
  <c r="BS370" i="22"/>
  <c r="CJ370" i="22"/>
  <c r="CB370" i="22"/>
  <c r="BI370" i="22"/>
  <c r="CA370" i="22"/>
  <c r="CK370" i="22"/>
  <c r="BW370" i="22"/>
  <c r="CM370" i="22"/>
  <c r="BU370" i="22"/>
  <c r="CQ370" i="22"/>
  <c r="BN370" i="22"/>
  <c r="BM370" i="22"/>
  <c r="CP378" i="22"/>
  <c r="CH378" i="22"/>
  <c r="BZ378" i="22"/>
  <c r="BR378" i="22"/>
  <c r="BJ378" i="22"/>
  <c r="CV378" i="22"/>
  <c r="CN378" i="22"/>
  <c r="CF378" i="22"/>
  <c r="BX378" i="22"/>
  <c r="BP378" i="22"/>
  <c r="CO378" i="22"/>
  <c r="CD378" i="22"/>
  <c r="BT378" i="22"/>
  <c r="CL378" i="22"/>
  <c r="CB378" i="22"/>
  <c r="BQ378" i="22"/>
  <c r="CT378" i="22"/>
  <c r="CG378" i="22"/>
  <c r="BS378" i="22"/>
  <c r="CS378" i="22"/>
  <c r="CE378" i="22"/>
  <c r="BO378" i="22"/>
  <c r="CM378" i="22"/>
  <c r="BY378" i="22"/>
  <c r="BL378" i="22"/>
  <c r="CU378" i="22"/>
  <c r="CI378" i="22"/>
  <c r="BU378" i="22"/>
  <c r="CJ378" i="22"/>
  <c r="BK378" i="22"/>
  <c r="CC378" i="22"/>
  <c r="CA378" i="22"/>
  <c r="CK378" i="22"/>
  <c r="BW378" i="22"/>
  <c r="CQ378" i="22"/>
  <c r="BV378" i="22"/>
  <c r="CR378" i="22"/>
  <c r="BN378" i="22"/>
  <c r="BI378" i="22"/>
  <c r="BM378" i="22"/>
  <c r="CP386" i="22"/>
  <c r="CH386" i="22"/>
  <c r="BZ386" i="22"/>
  <c r="BR386" i="22"/>
  <c r="BJ386" i="22"/>
  <c r="CV386" i="22"/>
  <c r="CN386" i="22"/>
  <c r="CF386" i="22"/>
  <c r="BX386" i="22"/>
  <c r="BP386" i="22"/>
  <c r="CL386" i="22"/>
  <c r="CB386" i="22"/>
  <c r="BQ386" i="22"/>
  <c r="CT386" i="22"/>
  <c r="CJ386" i="22"/>
  <c r="BY386" i="22"/>
  <c r="BN386" i="22"/>
  <c r="CM386" i="22"/>
  <c r="CC386" i="22"/>
  <c r="BS386" i="22"/>
  <c r="CU386" i="22"/>
  <c r="CE386" i="22"/>
  <c r="BM386" i="22"/>
  <c r="CA386" i="22"/>
  <c r="CS386" i="22"/>
  <c r="CD386" i="22"/>
  <c r="BL386" i="22"/>
  <c r="CR386" i="22"/>
  <c r="CO386" i="22"/>
  <c r="BV386" i="22"/>
  <c r="CG386" i="22"/>
  <c r="BO386" i="22"/>
  <c r="BK386" i="22"/>
  <c r="BU386" i="22"/>
  <c r="BT386" i="22"/>
  <c r="BI386" i="22"/>
  <c r="CQ386" i="22"/>
  <c r="CK386" i="22"/>
  <c r="CI386" i="22"/>
  <c r="BW386" i="22"/>
  <c r="CV394" i="22"/>
  <c r="CN394" i="22"/>
  <c r="CF394" i="22"/>
  <c r="BX394" i="22"/>
  <c r="BP394" i="22"/>
  <c r="CQ394" i="22"/>
  <c r="CH394" i="22"/>
  <c r="BY394" i="22"/>
  <c r="BO394" i="22"/>
  <c r="CO394" i="22"/>
  <c r="CE394" i="22"/>
  <c r="BV394" i="22"/>
  <c r="BM394" i="22"/>
  <c r="CS394" i="22"/>
  <c r="CG394" i="22"/>
  <c r="BT394" i="22"/>
  <c r="CR394" i="22"/>
  <c r="CD394" i="22"/>
  <c r="BS394" i="22"/>
  <c r="CP394" i="22"/>
  <c r="CC394" i="22"/>
  <c r="BR394" i="22"/>
  <c r="CT394" i="22"/>
  <c r="CI394" i="22"/>
  <c r="BU394" i="22"/>
  <c r="BJ394" i="22"/>
  <c r="CA394" i="22"/>
  <c r="CU394" i="22"/>
  <c r="BZ394" i="22"/>
  <c r="BW394" i="22"/>
  <c r="CL394" i="22"/>
  <c r="BN394" i="22"/>
  <c r="CB394" i="22"/>
  <c r="CK394" i="22"/>
  <c r="CM394" i="22"/>
  <c r="CJ394" i="22"/>
  <c r="BQ394" i="22"/>
  <c r="BL394" i="22"/>
  <c r="BK394" i="22"/>
  <c r="BI394" i="22"/>
  <c r="CV402" i="22"/>
  <c r="CN402" i="22"/>
  <c r="CF402" i="22"/>
  <c r="BX402" i="22"/>
  <c r="BP402" i="22"/>
  <c r="CP402" i="22"/>
  <c r="CG402" i="22"/>
  <c r="BW402" i="22"/>
  <c r="BN402" i="22"/>
  <c r="CM402" i="22"/>
  <c r="CD402" i="22"/>
  <c r="BU402" i="22"/>
  <c r="BL402" i="22"/>
  <c r="CK402" i="22"/>
  <c r="BZ402" i="22"/>
  <c r="BM402" i="22"/>
  <c r="CU402" i="22"/>
  <c r="CJ402" i="22"/>
  <c r="BY402" i="22"/>
  <c r="BK402" i="22"/>
  <c r="CT402" i="22"/>
  <c r="CI402" i="22"/>
  <c r="BV402" i="22"/>
  <c r="BJ402" i="22"/>
  <c r="CL402" i="22"/>
  <c r="CA402" i="22"/>
  <c r="BO402" i="22"/>
  <c r="CE402" i="22"/>
  <c r="CC402" i="22"/>
  <c r="CB402" i="22"/>
  <c r="CR402" i="22"/>
  <c r="BS402" i="22"/>
  <c r="CH402" i="22"/>
  <c r="CS402" i="22"/>
  <c r="CQ402" i="22"/>
  <c r="BI402" i="22"/>
  <c r="CO402" i="22"/>
  <c r="BT402" i="22"/>
  <c r="BR402" i="22"/>
  <c r="BQ402" i="22"/>
  <c r="CV410" i="22"/>
  <c r="CN410" i="22"/>
  <c r="CF410" i="22"/>
  <c r="BX410" i="22"/>
  <c r="BP410" i="22"/>
  <c r="CM410" i="22"/>
  <c r="CD410" i="22"/>
  <c r="BU410" i="22"/>
  <c r="BL410" i="22"/>
  <c r="CU410" i="22"/>
  <c r="CK410" i="22"/>
  <c r="CA410" i="22"/>
  <c r="BQ410" i="22"/>
  <c r="CS410" i="22"/>
  <c r="CI410" i="22"/>
  <c r="BY410" i="22"/>
  <c r="BN410" i="22"/>
  <c r="CT410" i="22"/>
  <c r="CG410" i="22"/>
  <c r="BS410" i="22"/>
  <c r="CR410" i="22"/>
  <c r="CE410" i="22"/>
  <c r="BR410" i="22"/>
  <c r="CQ410" i="22"/>
  <c r="CC410" i="22"/>
  <c r="BO410" i="22"/>
  <c r="CH410" i="22"/>
  <c r="BT410" i="22"/>
  <c r="BZ410" i="22"/>
  <c r="BW410" i="22"/>
  <c r="CO410" i="22"/>
  <c r="BK410" i="22"/>
  <c r="CB410" i="22"/>
  <c r="BV410" i="22"/>
  <c r="BJ410" i="22"/>
  <c r="BI410" i="22"/>
  <c r="CJ410" i="22"/>
  <c r="CP410" i="22"/>
  <c r="CL410" i="22"/>
  <c r="BM410" i="22"/>
  <c r="CO418" i="22"/>
  <c r="CG418" i="22"/>
  <c r="BY418" i="22"/>
  <c r="BQ418" i="22"/>
  <c r="CT418" i="22"/>
  <c r="CK418" i="22"/>
  <c r="CB418" i="22"/>
  <c r="BS418" i="22"/>
  <c r="BJ418" i="22"/>
  <c r="CR418" i="22"/>
  <c r="CH418" i="22"/>
  <c r="BW418" i="22"/>
  <c r="BM418" i="22"/>
  <c r="CQ418" i="22"/>
  <c r="CF418" i="22"/>
  <c r="BV418" i="22"/>
  <c r="BL418" i="22"/>
  <c r="CN418" i="22"/>
  <c r="CD418" i="22"/>
  <c r="BT418" i="22"/>
  <c r="CL418" i="22"/>
  <c r="BU418" i="22"/>
  <c r="CI418" i="22"/>
  <c r="BP418" i="22"/>
  <c r="CP418" i="22"/>
  <c r="BR418" i="22"/>
  <c r="CM418" i="22"/>
  <c r="BO418" i="22"/>
  <c r="CJ418" i="22"/>
  <c r="BN418" i="22"/>
  <c r="CS418" i="22"/>
  <c r="BX418" i="22"/>
  <c r="CU418" i="22"/>
  <c r="CV418" i="22"/>
  <c r="CC418" i="22"/>
  <c r="BK418" i="22"/>
  <c r="BI418" i="22"/>
  <c r="BZ418" i="22"/>
  <c r="CE418" i="22"/>
  <c r="CA418" i="22"/>
  <c r="CO426" i="22"/>
  <c r="CG426" i="22"/>
  <c r="BY426" i="22"/>
  <c r="BQ426" i="22"/>
  <c r="CT426" i="22"/>
  <c r="CK426" i="22"/>
  <c r="CB426" i="22"/>
  <c r="BS426" i="22"/>
  <c r="BJ426" i="22"/>
  <c r="CS426" i="22"/>
  <c r="CJ426" i="22"/>
  <c r="CA426" i="22"/>
  <c r="BR426" i="22"/>
  <c r="CP426" i="22"/>
  <c r="CD426" i="22"/>
  <c r="BP426" i="22"/>
  <c r="CN426" i="22"/>
  <c r="CC426" i="22"/>
  <c r="BO426" i="22"/>
  <c r="CL426" i="22"/>
  <c r="BX426" i="22"/>
  <c r="BM426" i="22"/>
  <c r="CH426" i="22"/>
  <c r="BN426" i="22"/>
  <c r="CF426" i="22"/>
  <c r="BL426" i="22"/>
  <c r="CU426" i="22"/>
  <c r="BZ426" i="22"/>
  <c r="CI426" i="22"/>
  <c r="CE426" i="22"/>
  <c r="BW426" i="22"/>
  <c r="CM426" i="22"/>
  <c r="BU426" i="22"/>
  <c r="BK426" i="22"/>
  <c r="BT426" i="22"/>
  <c r="CV426" i="22"/>
  <c r="BV426" i="22"/>
  <c r="CR426" i="22"/>
  <c r="CQ426" i="22"/>
  <c r="BI426" i="22"/>
  <c r="CO434" i="22"/>
  <c r="CG434" i="22"/>
  <c r="BY434" i="22"/>
  <c r="BQ434" i="22"/>
  <c r="CS434" i="22"/>
  <c r="CJ434" i="22"/>
  <c r="CA434" i="22"/>
  <c r="BR434" i="22"/>
  <c r="CR434" i="22"/>
  <c r="CI434" i="22"/>
  <c r="BZ434" i="22"/>
  <c r="BP434" i="22"/>
  <c r="CU434" i="22"/>
  <c r="CH434" i="22"/>
  <c r="BV434" i="22"/>
  <c r="BK434" i="22"/>
  <c r="CT434" i="22"/>
  <c r="CF434" i="22"/>
  <c r="BU434" i="22"/>
  <c r="BJ434" i="22"/>
  <c r="CP434" i="22"/>
  <c r="CD434" i="22"/>
  <c r="BS434" i="22"/>
  <c r="CK434" i="22"/>
  <c r="BN434" i="22"/>
  <c r="CE434" i="22"/>
  <c r="BM434" i="22"/>
  <c r="CV434" i="22"/>
  <c r="CB434" i="22"/>
  <c r="CL434" i="22"/>
  <c r="CC434" i="22"/>
  <c r="BX434" i="22"/>
  <c r="CM434" i="22"/>
  <c r="BT434" i="22"/>
  <c r="BO434" i="22"/>
  <c r="BW434" i="22"/>
  <c r="BL434" i="22"/>
  <c r="CQ434" i="22"/>
  <c r="BI434" i="22"/>
  <c r="CN434" i="22"/>
  <c r="CR442" i="22"/>
  <c r="CJ442" i="22"/>
  <c r="CB442" i="22"/>
  <c r="BT442" i="22"/>
  <c r="BL442" i="22"/>
  <c r="CV442" i="22"/>
  <c r="CM442" i="22"/>
  <c r="CD442" i="22"/>
  <c r="BU442" i="22"/>
  <c r="BK442" i="22"/>
  <c r="CS442" i="22"/>
  <c r="CI442" i="22"/>
  <c r="BZ442" i="22"/>
  <c r="BQ442" i="22"/>
  <c r="CN442" i="22"/>
  <c r="CA442" i="22"/>
  <c r="BO442" i="22"/>
  <c r="CL442" i="22"/>
  <c r="BY442" i="22"/>
  <c r="BN442" i="22"/>
  <c r="CP442" i="22"/>
  <c r="BX442" i="22"/>
  <c r="CO442" i="22"/>
  <c r="BW442" i="22"/>
  <c r="CH442" i="22"/>
  <c r="BS442" i="22"/>
  <c r="CU442" i="22"/>
  <c r="BV442" i="22"/>
  <c r="CT442" i="22"/>
  <c r="BR442" i="22"/>
  <c r="CK442" i="22"/>
  <c r="BM442" i="22"/>
  <c r="BP442" i="22"/>
  <c r="BJ442" i="22"/>
  <c r="CC442" i="22"/>
  <c r="CG442" i="22"/>
  <c r="CE442" i="22"/>
  <c r="CQ442" i="22"/>
  <c r="CF442" i="22"/>
  <c r="BI442" i="22"/>
  <c r="CS451" i="22"/>
  <c r="CK451" i="22"/>
  <c r="CC451" i="22"/>
  <c r="BU451" i="22"/>
  <c r="BM451" i="22"/>
  <c r="CR451" i="22"/>
  <c r="CI451" i="22"/>
  <c r="BZ451" i="22"/>
  <c r="BQ451" i="22"/>
  <c r="CO451" i="22"/>
  <c r="CF451" i="22"/>
  <c r="BW451" i="22"/>
  <c r="BN451" i="22"/>
  <c r="CP451" i="22"/>
  <c r="CD451" i="22"/>
  <c r="BR451" i="22"/>
  <c r="CN451" i="22"/>
  <c r="CB451" i="22"/>
  <c r="BP451" i="22"/>
  <c r="CV451" i="22"/>
  <c r="CG451" i="22"/>
  <c r="BO451" i="22"/>
  <c r="CU451" i="22"/>
  <c r="CE451" i="22"/>
  <c r="BL451" i="22"/>
  <c r="CQ451" i="22"/>
  <c r="BY451" i="22"/>
  <c r="BJ451" i="22"/>
  <c r="CJ451" i="22"/>
  <c r="CH451" i="22"/>
  <c r="BX451" i="22"/>
  <c r="CM451" i="22"/>
  <c r="CL451" i="22"/>
  <c r="CA451" i="22"/>
  <c r="CT451" i="22"/>
  <c r="BT451" i="22"/>
  <c r="BV451" i="22"/>
  <c r="BI451" i="22"/>
  <c r="BS451" i="22"/>
  <c r="BK451" i="22"/>
  <c r="CQ459" i="22"/>
  <c r="CI459" i="22"/>
  <c r="CA459" i="22"/>
  <c r="BS459" i="22"/>
  <c r="BK459" i="22"/>
  <c r="CV459" i="22"/>
  <c r="CN459" i="22"/>
  <c r="CU459" i="22"/>
  <c r="CK459" i="22"/>
  <c r="CB459" i="22"/>
  <c r="BR459" i="22"/>
  <c r="CP459" i="22"/>
  <c r="CE459" i="22"/>
  <c r="BU459" i="22"/>
  <c r="BJ459" i="22"/>
  <c r="CL459" i="22"/>
  <c r="BZ459" i="22"/>
  <c r="BP459" i="22"/>
  <c r="CM459" i="22"/>
  <c r="BX459" i="22"/>
  <c r="BL459" i="22"/>
  <c r="CJ459" i="22"/>
  <c r="BW459" i="22"/>
  <c r="CT459" i="22"/>
  <c r="CC459" i="22"/>
  <c r="CS459" i="22"/>
  <c r="BY459" i="22"/>
  <c r="CO459" i="22"/>
  <c r="BT459" i="22"/>
  <c r="BV459" i="22"/>
  <c r="BQ459" i="22"/>
  <c r="CR459" i="22"/>
  <c r="BN459" i="22"/>
  <c r="CG459" i="22"/>
  <c r="CF459" i="22"/>
  <c r="CD459" i="22"/>
  <c r="CH459" i="22"/>
  <c r="BM459" i="22"/>
  <c r="BO459" i="22"/>
  <c r="BI459" i="22"/>
  <c r="CT467" i="22"/>
  <c r="CL467" i="22"/>
  <c r="CD467" i="22"/>
  <c r="BV467" i="22"/>
  <c r="BN467" i="22"/>
  <c r="CV467" i="22"/>
  <c r="CM467" i="22"/>
  <c r="CC467" i="22"/>
  <c r="CR467" i="22"/>
  <c r="CI467" i="22"/>
  <c r="BZ467" i="22"/>
  <c r="BQ467" i="22"/>
  <c r="CO467" i="22"/>
  <c r="CF467" i="22"/>
  <c r="BW467" i="22"/>
  <c r="BM467" i="22"/>
  <c r="CU467" i="22"/>
  <c r="CG467" i="22"/>
  <c r="BS467" i="22"/>
  <c r="CE467" i="22"/>
  <c r="BP467" i="22"/>
  <c r="CP467" i="22"/>
  <c r="BY467" i="22"/>
  <c r="BK467" i="22"/>
  <c r="CB467" i="22"/>
  <c r="BJ467" i="22"/>
  <c r="CA467" i="22"/>
  <c r="CS467" i="22"/>
  <c r="BX467" i="22"/>
  <c r="BR467" i="22"/>
  <c r="CQ467" i="22"/>
  <c r="BO467" i="22"/>
  <c r="CK467" i="22"/>
  <c r="CJ467" i="22"/>
  <c r="BU467" i="22"/>
  <c r="BT467" i="22"/>
  <c r="BL467" i="22"/>
  <c r="CH467" i="22"/>
  <c r="CN467" i="22"/>
  <c r="BI467" i="22"/>
  <c r="CT475" i="22"/>
  <c r="CL475" i="22"/>
  <c r="CD475" i="22"/>
  <c r="BV475" i="22"/>
  <c r="BN475" i="22"/>
  <c r="CO475" i="22"/>
  <c r="CF475" i="22"/>
  <c r="BW475" i="22"/>
  <c r="BM475" i="22"/>
  <c r="CP475" i="22"/>
  <c r="CE475" i="22"/>
  <c r="BT475" i="22"/>
  <c r="BJ475" i="22"/>
  <c r="CN475" i="22"/>
  <c r="CB475" i="22"/>
  <c r="BQ475" i="22"/>
  <c r="CV475" i="22"/>
  <c r="CJ475" i="22"/>
  <c r="BY475" i="22"/>
  <c r="BL475" i="22"/>
  <c r="CR475" i="22"/>
  <c r="CG475" i="22"/>
  <c r="BS475" i="22"/>
  <c r="CS475" i="22"/>
  <c r="BZ475" i="22"/>
  <c r="CH475" i="22"/>
  <c r="BK475" i="22"/>
  <c r="CU475" i="22"/>
  <c r="BX475" i="22"/>
  <c r="CK475" i="22"/>
  <c r="CI475" i="22"/>
  <c r="CC475" i="22"/>
  <c r="BP475" i="22"/>
  <c r="BO475" i="22"/>
  <c r="CQ475" i="22"/>
  <c r="CM475" i="22"/>
  <c r="BR475" i="22"/>
  <c r="BU475" i="22"/>
  <c r="CA475" i="22"/>
  <c r="BI475" i="22"/>
  <c r="CU483" i="22"/>
  <c r="CL483" i="22"/>
  <c r="CD483" i="22"/>
  <c r="BV483" i="22"/>
  <c r="BN483" i="22"/>
  <c r="CV483" i="22"/>
  <c r="CK483" i="22"/>
  <c r="CB483" i="22"/>
  <c r="BS483" i="22"/>
  <c r="BJ483" i="22"/>
  <c r="CM483" i="22"/>
  <c r="CA483" i="22"/>
  <c r="BQ483" i="22"/>
  <c r="CJ483" i="22"/>
  <c r="BY483" i="22"/>
  <c r="BM483" i="22"/>
  <c r="CN483" i="22"/>
  <c r="BZ483" i="22"/>
  <c r="BO483" i="22"/>
  <c r="CI483" i="22"/>
  <c r="BU483" i="22"/>
  <c r="CT483" i="22"/>
  <c r="CF483" i="22"/>
  <c r="BP483" i="22"/>
  <c r="CP483" i="22"/>
  <c r="BX483" i="22"/>
  <c r="CO483" i="22"/>
  <c r="BL483" i="22"/>
  <c r="CH483" i="22"/>
  <c r="BK483" i="22"/>
  <c r="BR483" i="22"/>
  <c r="CG483" i="22"/>
  <c r="CS483" i="22"/>
  <c r="CQ483" i="22"/>
  <c r="CE483" i="22"/>
  <c r="CC483" i="22"/>
  <c r="BT483" i="22"/>
  <c r="BW483" i="22"/>
  <c r="BI483" i="22"/>
  <c r="CR483" i="22"/>
  <c r="CO491" i="22"/>
  <c r="CG491" i="22"/>
  <c r="BY491" i="22"/>
  <c r="BQ491" i="22"/>
  <c r="CV491" i="22"/>
  <c r="CM491" i="22"/>
  <c r="CE491" i="22"/>
  <c r="BW491" i="22"/>
  <c r="BO491" i="22"/>
  <c r="CP491" i="22"/>
  <c r="CD491" i="22"/>
  <c r="BT491" i="22"/>
  <c r="BJ491" i="22"/>
  <c r="CK491" i="22"/>
  <c r="BZ491" i="22"/>
  <c r="BM491" i="22"/>
  <c r="CN491" i="22"/>
  <c r="CA491" i="22"/>
  <c r="BL491" i="22"/>
  <c r="CH491" i="22"/>
  <c r="BR491" i="22"/>
  <c r="CI491" i="22"/>
  <c r="BS491" i="22"/>
  <c r="CL491" i="22"/>
  <c r="BP491" i="22"/>
  <c r="CC491" i="22"/>
  <c r="CS491" i="22"/>
  <c r="BV491" i="22"/>
  <c r="CT491" i="22"/>
  <c r="BK491" i="22"/>
  <c r="CQ491" i="22"/>
  <c r="BN491" i="22"/>
  <c r="CJ491" i="22"/>
  <c r="CF491" i="22"/>
  <c r="BU491" i="22"/>
  <c r="CU491" i="22"/>
  <c r="CB491" i="22"/>
  <c r="BX491" i="22"/>
  <c r="BI491" i="22"/>
  <c r="CR491" i="22"/>
  <c r="CQ347" i="22"/>
  <c r="CI347" i="22"/>
  <c r="CA347" i="22"/>
  <c r="BS347" i="22"/>
  <c r="BK347" i="22"/>
  <c r="CP347" i="22"/>
  <c r="CH347" i="22"/>
  <c r="BZ347" i="22"/>
  <c r="BR347" i="22"/>
  <c r="BJ347" i="22"/>
  <c r="CU347" i="22"/>
  <c r="CM347" i="22"/>
  <c r="CE347" i="22"/>
  <c r="BW347" i="22"/>
  <c r="BO347" i="22"/>
  <c r="CR347" i="22"/>
  <c r="CJ347" i="22"/>
  <c r="CB347" i="22"/>
  <c r="BT347" i="22"/>
  <c r="BL347" i="22"/>
  <c r="CK347" i="22"/>
  <c r="BU347" i="22"/>
  <c r="CG347" i="22"/>
  <c r="BQ347" i="22"/>
  <c r="CV347" i="22"/>
  <c r="CF347" i="22"/>
  <c r="BP347" i="22"/>
  <c r="CT347" i="22"/>
  <c r="CD347" i="22"/>
  <c r="BN347" i="22"/>
  <c r="CN347" i="22"/>
  <c r="BV347" i="22"/>
  <c r="CS347" i="22"/>
  <c r="CC347" i="22"/>
  <c r="BM347" i="22"/>
  <c r="BI347" i="22"/>
  <c r="CO347" i="22"/>
  <c r="BY347" i="22"/>
  <c r="BX347" i="22"/>
  <c r="CL347" i="22"/>
  <c r="CT355" i="22"/>
  <c r="CL355" i="22"/>
  <c r="CD355" i="22"/>
  <c r="BV355" i="22"/>
  <c r="BN355" i="22"/>
  <c r="CR355" i="22"/>
  <c r="CJ355" i="22"/>
  <c r="CB355" i="22"/>
  <c r="BT355" i="22"/>
  <c r="BL355" i="22"/>
  <c r="CV355" i="22"/>
  <c r="CK355" i="22"/>
  <c r="BZ355" i="22"/>
  <c r="BP355" i="22"/>
  <c r="CU355" i="22"/>
  <c r="CI355" i="22"/>
  <c r="BY355" i="22"/>
  <c r="BO355" i="22"/>
  <c r="CP355" i="22"/>
  <c r="CF355" i="22"/>
  <c r="BU355" i="22"/>
  <c r="BJ355" i="22"/>
  <c r="CM355" i="22"/>
  <c r="CA355" i="22"/>
  <c r="BQ355" i="22"/>
  <c r="CN355" i="22"/>
  <c r="BR355" i="22"/>
  <c r="BI355" i="22"/>
  <c r="CO355" i="22"/>
  <c r="CH355" i="22"/>
  <c r="BM355" i="22"/>
  <c r="CG355" i="22"/>
  <c r="BK355" i="22"/>
  <c r="CE355" i="22"/>
  <c r="CQ355" i="22"/>
  <c r="CC355" i="22"/>
  <c r="CS355" i="22"/>
  <c r="BX355" i="22"/>
  <c r="BW355" i="22"/>
  <c r="BS355" i="22"/>
  <c r="CO363" i="22"/>
  <c r="CG363" i="22"/>
  <c r="BY363" i="22"/>
  <c r="BQ363" i="22"/>
  <c r="CN363" i="22"/>
  <c r="CE363" i="22"/>
  <c r="BV363" i="22"/>
  <c r="BM363" i="22"/>
  <c r="CU363" i="22"/>
  <c r="CL363" i="22"/>
  <c r="CC363" i="22"/>
  <c r="BT363" i="22"/>
  <c r="BK363" i="22"/>
  <c r="CS363" i="22"/>
  <c r="CH363" i="22"/>
  <c r="BU363" i="22"/>
  <c r="CR363" i="22"/>
  <c r="CF363" i="22"/>
  <c r="BS363" i="22"/>
  <c r="CM363" i="22"/>
  <c r="CA363" i="22"/>
  <c r="BO363" i="22"/>
  <c r="CT363" i="22"/>
  <c r="CI363" i="22"/>
  <c r="BW363" i="22"/>
  <c r="BJ363" i="22"/>
  <c r="CJ363" i="22"/>
  <c r="BL363" i="22"/>
  <c r="CD363" i="22"/>
  <c r="CB363" i="22"/>
  <c r="BZ363" i="22"/>
  <c r="CP363" i="22"/>
  <c r="CK363" i="22"/>
  <c r="CV363" i="22"/>
  <c r="BX363" i="22"/>
  <c r="BI363" i="22"/>
  <c r="CQ363" i="22"/>
  <c r="BR363" i="22"/>
  <c r="BP363" i="22"/>
  <c r="BN363" i="22"/>
  <c r="CQ371" i="22"/>
  <c r="CI371" i="22"/>
  <c r="CA371" i="22"/>
  <c r="BS371" i="22"/>
  <c r="BK371" i="22"/>
  <c r="CO371" i="22"/>
  <c r="CG371" i="22"/>
  <c r="BY371" i="22"/>
  <c r="BQ371" i="22"/>
  <c r="CU371" i="22"/>
  <c r="CK371" i="22"/>
  <c r="BZ371" i="22"/>
  <c r="BO371" i="22"/>
  <c r="CS371" i="22"/>
  <c r="CH371" i="22"/>
  <c r="BW371" i="22"/>
  <c r="BM371" i="22"/>
  <c r="CJ371" i="22"/>
  <c r="BU371" i="22"/>
  <c r="CV371" i="22"/>
  <c r="CF371" i="22"/>
  <c r="BT371" i="22"/>
  <c r="CP371" i="22"/>
  <c r="CC371" i="22"/>
  <c r="BN371" i="22"/>
  <c r="CL371" i="22"/>
  <c r="BV371" i="22"/>
  <c r="BX371" i="22"/>
  <c r="BI371" i="22"/>
  <c r="CT371" i="22"/>
  <c r="BR371" i="22"/>
  <c r="CR371" i="22"/>
  <c r="BP371" i="22"/>
  <c r="CN371" i="22"/>
  <c r="BL371" i="22"/>
  <c r="CB371" i="22"/>
  <c r="CM371" i="22"/>
  <c r="BJ371" i="22"/>
  <c r="CE371" i="22"/>
  <c r="CD371" i="22"/>
  <c r="CQ379" i="22"/>
  <c r="CI379" i="22"/>
  <c r="CA379" i="22"/>
  <c r="BS379" i="22"/>
  <c r="BK379" i="22"/>
  <c r="CO379" i="22"/>
  <c r="CG379" i="22"/>
  <c r="BY379" i="22"/>
  <c r="BQ379" i="22"/>
  <c r="CS379" i="22"/>
  <c r="CH379" i="22"/>
  <c r="BW379" i="22"/>
  <c r="BM379" i="22"/>
  <c r="CP379" i="22"/>
  <c r="CE379" i="22"/>
  <c r="BU379" i="22"/>
  <c r="BJ379" i="22"/>
  <c r="CK379" i="22"/>
  <c r="BV379" i="22"/>
  <c r="CV379" i="22"/>
  <c r="CJ379" i="22"/>
  <c r="BT379" i="22"/>
  <c r="CR379" i="22"/>
  <c r="CC379" i="22"/>
  <c r="BO379" i="22"/>
  <c r="CL379" i="22"/>
  <c r="BX379" i="22"/>
  <c r="BZ379" i="22"/>
  <c r="CU379" i="22"/>
  <c r="BR379" i="22"/>
  <c r="CT379" i="22"/>
  <c r="BP379" i="22"/>
  <c r="CN379" i="22"/>
  <c r="BN379" i="22"/>
  <c r="CD379" i="22"/>
  <c r="CM379" i="22"/>
  <c r="BL379" i="22"/>
  <c r="BI379" i="22"/>
  <c r="CF379" i="22"/>
  <c r="CB379" i="22"/>
  <c r="CQ387" i="22"/>
  <c r="CI387" i="22"/>
  <c r="CA387" i="22"/>
  <c r="BS387" i="22"/>
  <c r="BK387" i="22"/>
  <c r="CO387" i="22"/>
  <c r="CG387" i="22"/>
  <c r="BY387" i="22"/>
  <c r="BQ387" i="22"/>
  <c r="CP387" i="22"/>
  <c r="CE387" i="22"/>
  <c r="BU387" i="22"/>
  <c r="BJ387" i="22"/>
  <c r="CM387" i="22"/>
  <c r="CC387" i="22"/>
  <c r="BR387" i="22"/>
  <c r="CR387" i="22"/>
  <c r="CF387" i="22"/>
  <c r="BV387" i="22"/>
  <c r="BL387" i="22"/>
  <c r="CS387" i="22"/>
  <c r="BZ387" i="22"/>
  <c r="CL387" i="22"/>
  <c r="CN387" i="22"/>
  <c r="BX387" i="22"/>
  <c r="CJ387" i="22"/>
  <c r="BP387" i="22"/>
  <c r="CT387" i="22"/>
  <c r="CB387" i="22"/>
  <c r="BM387" i="22"/>
  <c r="BW387" i="22"/>
  <c r="CD387" i="22"/>
  <c r="BI387" i="22"/>
  <c r="BT387" i="22"/>
  <c r="BO387" i="22"/>
  <c r="BN387" i="22"/>
  <c r="CK387" i="22"/>
  <c r="CH387" i="22"/>
  <c r="CV387" i="22"/>
  <c r="CU387" i="22"/>
  <c r="CO395" i="22"/>
  <c r="CG395" i="22"/>
  <c r="BY395" i="22"/>
  <c r="BQ395" i="22"/>
  <c r="CN395" i="22"/>
  <c r="CE395" i="22"/>
  <c r="BV395" i="22"/>
  <c r="BM395" i="22"/>
  <c r="CU395" i="22"/>
  <c r="CL395" i="22"/>
  <c r="CC395" i="22"/>
  <c r="BT395" i="22"/>
  <c r="BK395" i="22"/>
  <c r="CQ395" i="22"/>
  <c r="CD395" i="22"/>
  <c r="BR395" i="22"/>
  <c r="CP395" i="22"/>
  <c r="CB395" i="22"/>
  <c r="BP395" i="22"/>
  <c r="CM395" i="22"/>
  <c r="CA395" i="22"/>
  <c r="BO395" i="22"/>
  <c r="CR395" i="22"/>
  <c r="CF395" i="22"/>
  <c r="BS395" i="22"/>
  <c r="CJ395" i="22"/>
  <c r="BL395" i="22"/>
  <c r="CI395" i="22"/>
  <c r="BJ395" i="22"/>
  <c r="CV395" i="22"/>
  <c r="BX395" i="22"/>
  <c r="CK395" i="22"/>
  <c r="BN395" i="22"/>
  <c r="CH395" i="22"/>
  <c r="CT395" i="22"/>
  <c r="CS395" i="22"/>
  <c r="BU395" i="22"/>
  <c r="BZ395" i="22"/>
  <c r="BI395" i="22"/>
  <c r="BW395" i="22"/>
  <c r="CO403" i="22"/>
  <c r="CG403" i="22"/>
  <c r="BY403" i="22"/>
  <c r="BQ403" i="22"/>
  <c r="CV403" i="22"/>
  <c r="CM403" i="22"/>
  <c r="CD403" i="22"/>
  <c r="BU403" i="22"/>
  <c r="BL403" i="22"/>
  <c r="CT403" i="22"/>
  <c r="CK403" i="22"/>
  <c r="CB403" i="22"/>
  <c r="BS403" i="22"/>
  <c r="BJ403" i="22"/>
  <c r="CU403" i="22"/>
  <c r="CI403" i="22"/>
  <c r="BW403" i="22"/>
  <c r="BK403" i="22"/>
  <c r="CS403" i="22"/>
  <c r="CH403" i="22"/>
  <c r="BV403" i="22"/>
  <c r="CR403" i="22"/>
  <c r="CF403" i="22"/>
  <c r="BT403" i="22"/>
  <c r="CJ403" i="22"/>
  <c r="BX403" i="22"/>
  <c r="BM403" i="22"/>
  <c r="CP403" i="22"/>
  <c r="BP403" i="22"/>
  <c r="CL403" i="22"/>
  <c r="CN403" i="22"/>
  <c r="BO403" i="22"/>
  <c r="CC403" i="22"/>
  <c r="CQ403" i="22"/>
  <c r="BR403" i="22"/>
  <c r="BN403" i="22"/>
  <c r="BI403" i="22"/>
  <c r="BZ403" i="22"/>
  <c r="CA403" i="22"/>
  <c r="CE403" i="22"/>
  <c r="CO411" i="22"/>
  <c r="CG411" i="22"/>
  <c r="BY411" i="22"/>
  <c r="BQ411" i="22"/>
  <c r="CT411" i="22"/>
  <c r="CK411" i="22"/>
  <c r="CB411" i="22"/>
  <c r="BS411" i="22"/>
  <c r="BJ411" i="22"/>
  <c r="CN411" i="22"/>
  <c r="CD411" i="22"/>
  <c r="BT411" i="22"/>
  <c r="CV411" i="22"/>
  <c r="CL411" i="22"/>
  <c r="CA411" i="22"/>
  <c r="BP411" i="22"/>
  <c r="CI411" i="22"/>
  <c r="BV411" i="22"/>
  <c r="CU411" i="22"/>
  <c r="CH411" i="22"/>
  <c r="BU411" i="22"/>
  <c r="CS411" i="22"/>
  <c r="CF411" i="22"/>
  <c r="BR411" i="22"/>
  <c r="CJ411" i="22"/>
  <c r="BW411" i="22"/>
  <c r="BK411" i="22"/>
  <c r="CQ411" i="22"/>
  <c r="BN411" i="22"/>
  <c r="BL411" i="22"/>
  <c r="CP411" i="22"/>
  <c r="BM411" i="22"/>
  <c r="CC411" i="22"/>
  <c r="CR411" i="22"/>
  <c r="BO411" i="22"/>
  <c r="CM411" i="22"/>
  <c r="CE411" i="22"/>
  <c r="BZ411" i="22"/>
  <c r="BX411" i="22"/>
  <c r="BI411" i="22"/>
  <c r="CP419" i="22"/>
  <c r="CH419" i="22"/>
  <c r="BZ419" i="22"/>
  <c r="BR419" i="22"/>
  <c r="BJ419" i="22"/>
  <c r="CR419" i="22"/>
  <c r="CI419" i="22"/>
  <c r="BY419" i="22"/>
  <c r="BP419" i="22"/>
  <c r="CU419" i="22"/>
  <c r="CK419" i="22"/>
  <c r="CA419" i="22"/>
  <c r="BO419" i="22"/>
  <c r="CT419" i="22"/>
  <c r="CJ419" i="22"/>
  <c r="BX419" i="22"/>
  <c r="BN419" i="22"/>
  <c r="CQ419" i="22"/>
  <c r="CF419" i="22"/>
  <c r="BV419" i="22"/>
  <c r="BL419" i="22"/>
  <c r="CE419" i="22"/>
  <c r="BQ419" i="22"/>
  <c r="CS419" i="22"/>
  <c r="CC419" i="22"/>
  <c r="BK419" i="22"/>
  <c r="CV419" i="22"/>
  <c r="BW419" i="22"/>
  <c r="CO419" i="22"/>
  <c r="BU419" i="22"/>
  <c r="CN419" i="22"/>
  <c r="BT419" i="22"/>
  <c r="CB419" i="22"/>
  <c r="BM419" i="22"/>
  <c r="CL419" i="22"/>
  <c r="BS419" i="22"/>
  <c r="BI419" i="22"/>
  <c r="CM419" i="22"/>
  <c r="CG419" i="22"/>
  <c r="CD419" i="22"/>
  <c r="CP427" i="22"/>
  <c r="CH427" i="22"/>
  <c r="BZ427" i="22"/>
  <c r="BR427" i="22"/>
  <c r="BJ427" i="22"/>
  <c r="CR427" i="22"/>
  <c r="CI427" i="22"/>
  <c r="BY427" i="22"/>
  <c r="BP427" i="22"/>
  <c r="CQ427" i="22"/>
  <c r="CG427" i="22"/>
  <c r="BX427" i="22"/>
  <c r="BO427" i="22"/>
  <c r="CM427" i="22"/>
  <c r="CB427" i="22"/>
  <c r="BN427" i="22"/>
  <c r="CL427" i="22"/>
  <c r="CA427" i="22"/>
  <c r="BM427" i="22"/>
  <c r="CU427" i="22"/>
  <c r="CJ427" i="22"/>
  <c r="BV427" i="22"/>
  <c r="BK427" i="22"/>
  <c r="CF427" i="22"/>
  <c r="BQ427" i="22"/>
  <c r="CE427" i="22"/>
  <c r="BL427" i="22"/>
  <c r="CT427" i="22"/>
  <c r="CC427" i="22"/>
  <c r="BW427" i="22"/>
  <c r="BU427" i="22"/>
  <c r="CV427" i="22"/>
  <c r="BT427" i="22"/>
  <c r="CD427" i="22"/>
  <c r="CO427" i="22"/>
  <c r="CN427" i="22"/>
  <c r="CK427" i="22"/>
  <c r="CS427" i="22"/>
  <c r="BS427" i="22"/>
  <c r="BI427" i="22"/>
  <c r="CS435" i="22"/>
  <c r="CK435" i="22"/>
  <c r="CC435" i="22"/>
  <c r="CP435" i="22"/>
  <c r="CH435" i="22"/>
  <c r="BZ435" i="22"/>
  <c r="BR435" i="22"/>
  <c r="BJ435" i="22"/>
  <c r="CT435" i="22"/>
  <c r="CI435" i="22"/>
  <c r="BX435" i="22"/>
  <c r="BO435" i="22"/>
  <c r="CR435" i="22"/>
  <c r="CG435" i="22"/>
  <c r="BW435" i="22"/>
  <c r="BN435" i="22"/>
  <c r="CV435" i="22"/>
  <c r="CF435" i="22"/>
  <c r="BT435" i="22"/>
  <c r="CU435" i="22"/>
  <c r="CE435" i="22"/>
  <c r="BS435" i="22"/>
  <c r="CO435" i="22"/>
  <c r="CB435" i="22"/>
  <c r="BP435" i="22"/>
  <c r="CL435" i="22"/>
  <c r="BM435" i="22"/>
  <c r="CJ435" i="22"/>
  <c r="BL435" i="22"/>
  <c r="CA435" i="22"/>
  <c r="BY435" i="22"/>
  <c r="BV435" i="22"/>
  <c r="BU435" i="22"/>
  <c r="CD435" i="22"/>
  <c r="CQ435" i="22"/>
  <c r="CM435" i="22"/>
  <c r="CN435" i="22"/>
  <c r="BK435" i="22"/>
  <c r="BQ435" i="22"/>
  <c r="BI435" i="22"/>
  <c r="CS443" i="22"/>
  <c r="CK443" i="22"/>
  <c r="CC443" i="22"/>
  <c r="BU443" i="22"/>
  <c r="BM443" i="22"/>
  <c r="CT443" i="22"/>
  <c r="CJ443" i="22"/>
  <c r="CA443" i="22"/>
  <c r="BR443" i="22"/>
  <c r="CP443" i="22"/>
  <c r="CG443" i="22"/>
  <c r="BX443" i="22"/>
  <c r="BO443" i="22"/>
  <c r="CL443" i="22"/>
  <c r="BY443" i="22"/>
  <c r="BL443" i="22"/>
  <c r="CV443" i="22"/>
  <c r="CI443" i="22"/>
  <c r="BW443" i="22"/>
  <c r="BK443" i="22"/>
  <c r="CH443" i="22"/>
  <c r="BS443" i="22"/>
  <c r="CF443" i="22"/>
  <c r="BQ443" i="22"/>
  <c r="CR443" i="22"/>
  <c r="CD443" i="22"/>
  <c r="BN443" i="22"/>
  <c r="CM443" i="22"/>
  <c r="CE443" i="22"/>
  <c r="BZ443" i="22"/>
  <c r="BT443" i="22"/>
  <c r="BP443" i="22"/>
  <c r="CU443" i="22"/>
  <c r="BJ443" i="22"/>
  <c r="BV443" i="22"/>
  <c r="CO443" i="22"/>
  <c r="CN443" i="22"/>
  <c r="CQ443" i="22"/>
  <c r="CB443" i="22"/>
  <c r="BI443" i="22"/>
  <c r="CT452" i="22"/>
  <c r="CL452" i="22"/>
  <c r="CD452" i="22"/>
  <c r="BV452" i="22"/>
  <c r="BN452" i="22"/>
  <c r="CP452" i="22"/>
  <c r="CG452" i="22"/>
  <c r="BX452" i="22"/>
  <c r="BO452" i="22"/>
  <c r="CV452" i="22"/>
  <c r="CM452" i="22"/>
  <c r="CC452" i="22"/>
  <c r="BT452" i="22"/>
  <c r="BK452" i="22"/>
  <c r="CN452" i="22"/>
  <c r="CA452" i="22"/>
  <c r="BP452" i="22"/>
  <c r="CK452" i="22"/>
  <c r="BZ452" i="22"/>
  <c r="BM452" i="22"/>
  <c r="CQ452" i="22"/>
  <c r="BY452" i="22"/>
  <c r="CO452" i="22"/>
  <c r="BW452" i="22"/>
  <c r="CI452" i="22"/>
  <c r="BS452" i="22"/>
  <c r="CU452" i="22"/>
  <c r="BU452" i="22"/>
  <c r="CS452" i="22"/>
  <c r="BR452" i="22"/>
  <c r="CJ452" i="22"/>
  <c r="BL452" i="22"/>
  <c r="CR452" i="22"/>
  <c r="CH452" i="22"/>
  <c r="CF452" i="22"/>
  <c r="CB452" i="22"/>
  <c r="BQ452" i="22"/>
  <c r="BJ452" i="22"/>
  <c r="BI452" i="22"/>
  <c r="CE452" i="22"/>
  <c r="CR460" i="22"/>
  <c r="CJ460" i="22"/>
  <c r="CB460" i="22"/>
  <c r="BT460" i="22"/>
  <c r="BL460" i="22"/>
  <c r="CO460" i="22"/>
  <c r="CG460" i="22"/>
  <c r="BY460" i="22"/>
  <c r="BQ460" i="22"/>
  <c r="CN460" i="22"/>
  <c r="CD460" i="22"/>
  <c r="BS460" i="22"/>
  <c r="CM460" i="22"/>
  <c r="CA460" i="22"/>
  <c r="BO460" i="22"/>
  <c r="CU460" i="22"/>
  <c r="CI460" i="22"/>
  <c r="BW460" i="22"/>
  <c r="BK460" i="22"/>
  <c r="CV460" i="22"/>
  <c r="CF460" i="22"/>
  <c r="BP460" i="22"/>
  <c r="CT460" i="22"/>
  <c r="CE460" i="22"/>
  <c r="BN460" i="22"/>
  <c r="CC460" i="22"/>
  <c r="BZ460" i="22"/>
  <c r="CQ460" i="22"/>
  <c r="BV460" i="22"/>
  <c r="BR460" i="22"/>
  <c r="CS460" i="22"/>
  <c r="BM460" i="22"/>
  <c r="CL460" i="22"/>
  <c r="CP460" i="22"/>
  <c r="CK460" i="22"/>
  <c r="BX460" i="22"/>
  <c r="BI460" i="22"/>
  <c r="BJ460" i="22"/>
  <c r="CH460" i="22"/>
  <c r="BU460" i="22"/>
  <c r="CU468" i="22"/>
  <c r="CM468" i="22"/>
  <c r="CE468" i="22"/>
  <c r="BW468" i="22"/>
  <c r="BO468" i="22"/>
  <c r="CS468" i="22"/>
  <c r="CJ468" i="22"/>
  <c r="CA468" i="22"/>
  <c r="BR468" i="22"/>
  <c r="CP468" i="22"/>
  <c r="CG468" i="22"/>
  <c r="BX468" i="22"/>
  <c r="BN468" i="22"/>
  <c r="CV468" i="22"/>
  <c r="CL468" i="22"/>
  <c r="CC468" i="22"/>
  <c r="BT468" i="22"/>
  <c r="BK468" i="22"/>
  <c r="CK468" i="22"/>
  <c r="BV468" i="22"/>
  <c r="CQ468" i="22"/>
  <c r="BZ468" i="22"/>
  <c r="BJ468" i="22"/>
  <c r="CI468" i="22"/>
  <c r="BS468" i="22"/>
  <c r="CH468" i="22"/>
  <c r="BM468" i="22"/>
  <c r="CF468" i="22"/>
  <c r="BL468" i="22"/>
  <c r="CD468" i="22"/>
  <c r="CT468" i="22"/>
  <c r="BP468" i="22"/>
  <c r="CR468" i="22"/>
  <c r="CN468" i="22"/>
  <c r="BU468" i="22"/>
  <c r="BQ468" i="22"/>
  <c r="CB468" i="22"/>
  <c r="BY468" i="22"/>
  <c r="BI468" i="22"/>
  <c r="CO468" i="22"/>
  <c r="CU476" i="22"/>
  <c r="CM476" i="22"/>
  <c r="CE476" i="22"/>
  <c r="BW476" i="22"/>
  <c r="BO476" i="22"/>
  <c r="CV476" i="22"/>
  <c r="CL476" i="22"/>
  <c r="CC476" i="22"/>
  <c r="BT476" i="22"/>
  <c r="BK476" i="22"/>
  <c r="CR476" i="22"/>
  <c r="CH476" i="22"/>
  <c r="BX476" i="22"/>
  <c r="BM476" i="22"/>
  <c r="CK476" i="22"/>
  <c r="BZ476" i="22"/>
  <c r="BN476" i="22"/>
  <c r="CS476" i="22"/>
  <c r="CG476" i="22"/>
  <c r="BU476" i="22"/>
  <c r="CO476" i="22"/>
  <c r="CB476" i="22"/>
  <c r="BQ476" i="22"/>
  <c r="CQ476" i="22"/>
  <c r="BY476" i="22"/>
  <c r="CJ476" i="22"/>
  <c r="BP476" i="22"/>
  <c r="CD476" i="22"/>
  <c r="CA476" i="22"/>
  <c r="BV476" i="22"/>
  <c r="BS476" i="22"/>
  <c r="BR476" i="22"/>
  <c r="BL476" i="22"/>
  <c r="CT476" i="22"/>
  <c r="CI476" i="22"/>
  <c r="CF476" i="22"/>
  <c r="CN476" i="22"/>
  <c r="BI476" i="22"/>
  <c r="CP476" i="22"/>
  <c r="BJ476" i="22"/>
  <c r="CV484" i="22"/>
  <c r="CN484" i="22"/>
  <c r="CF484" i="22"/>
  <c r="BX484" i="22"/>
  <c r="BP484" i="22"/>
  <c r="CS484" i="22"/>
  <c r="CJ484" i="22"/>
  <c r="CA484" i="22"/>
  <c r="BR484" i="22"/>
  <c r="CP484" i="22"/>
  <c r="CE484" i="22"/>
  <c r="BU484" i="22"/>
  <c r="BK484" i="22"/>
  <c r="CU484" i="22"/>
  <c r="CI484" i="22"/>
  <c r="BW484" i="22"/>
  <c r="BL484" i="22"/>
  <c r="CK484" i="22"/>
  <c r="BY484" i="22"/>
  <c r="BM484" i="22"/>
  <c r="CT484" i="22"/>
  <c r="CD484" i="22"/>
  <c r="BO484" i="22"/>
  <c r="CO484" i="22"/>
  <c r="BZ484" i="22"/>
  <c r="CH484" i="22"/>
  <c r="BS484" i="22"/>
  <c r="CB484" i="22"/>
  <c r="BV484" i="22"/>
  <c r="CQ484" i="22"/>
  <c r="BJ484" i="22"/>
  <c r="CG484" i="22"/>
  <c r="CR484" i="22"/>
  <c r="CM484" i="22"/>
  <c r="CL484" i="22"/>
  <c r="CC484" i="22"/>
  <c r="BQ484" i="22"/>
  <c r="BT484" i="22"/>
  <c r="BI484" i="22"/>
  <c r="BN484" i="22"/>
  <c r="CQ492" i="22"/>
  <c r="CI492" i="22"/>
  <c r="CA492" i="22"/>
  <c r="BS492" i="22"/>
  <c r="BK492" i="22"/>
  <c r="CO492" i="22"/>
  <c r="CG492" i="22"/>
  <c r="BY492" i="22"/>
  <c r="BQ492" i="22"/>
  <c r="CT492" i="22"/>
  <c r="CJ492" i="22"/>
  <c r="BX492" i="22"/>
  <c r="BN492" i="22"/>
  <c r="CV492" i="22"/>
  <c r="CK492" i="22"/>
  <c r="BW492" i="22"/>
  <c r="BL492" i="22"/>
  <c r="CR492" i="22"/>
  <c r="CD492" i="22"/>
  <c r="BP492" i="22"/>
  <c r="CP492" i="22"/>
  <c r="CB492" i="22"/>
  <c r="BJ492" i="22"/>
  <c r="CS492" i="22"/>
  <c r="CC492" i="22"/>
  <c r="BM492" i="22"/>
  <c r="CN492" i="22"/>
  <c r="BU492" i="22"/>
  <c r="CH492" i="22"/>
  <c r="BO492" i="22"/>
  <c r="BZ492" i="22"/>
  <c r="CM492" i="22"/>
  <c r="CL492" i="22"/>
  <c r="BT492" i="22"/>
  <c r="CE492" i="22"/>
  <c r="BV492" i="22"/>
  <c r="BR492" i="22"/>
  <c r="CU492" i="22"/>
  <c r="CF492" i="22"/>
  <c r="BI492" i="22"/>
  <c r="CO369" i="22"/>
  <c r="CG369" i="22"/>
  <c r="BY369" i="22"/>
  <c r="BQ369" i="22"/>
  <c r="CU369" i="22"/>
  <c r="CM369" i="22"/>
  <c r="CE369" i="22"/>
  <c r="BW369" i="22"/>
  <c r="BO369" i="22"/>
  <c r="CN369" i="22"/>
  <c r="CC369" i="22"/>
  <c r="BS369" i="22"/>
  <c r="CV369" i="22"/>
  <c r="CK369" i="22"/>
  <c r="CA369" i="22"/>
  <c r="BP369" i="22"/>
  <c r="CQ369" i="22"/>
  <c r="CB369" i="22"/>
  <c r="BM369" i="22"/>
  <c r="CP369" i="22"/>
  <c r="BZ369" i="22"/>
  <c r="BL369" i="22"/>
  <c r="CI369" i="22"/>
  <c r="BU369" i="22"/>
  <c r="CR369" i="22"/>
  <c r="CD369" i="22"/>
  <c r="BN369" i="22"/>
  <c r="BI369" i="22"/>
  <c r="CS369" i="22"/>
  <c r="BR369" i="22"/>
  <c r="CT369" i="22"/>
  <c r="CL369" i="22"/>
  <c r="BK369" i="22"/>
  <c r="CJ369" i="22"/>
  <c r="BJ369" i="22"/>
  <c r="CH369" i="22"/>
  <c r="BV369" i="22"/>
  <c r="CF369" i="22"/>
  <c r="BX369" i="22"/>
  <c r="BT369" i="22"/>
  <c r="CU401" i="22"/>
  <c r="CM401" i="22"/>
  <c r="CE401" i="22"/>
  <c r="BW401" i="22"/>
  <c r="BO401" i="22"/>
  <c r="CR401" i="22"/>
  <c r="CI401" i="22"/>
  <c r="BZ401" i="22"/>
  <c r="BQ401" i="22"/>
  <c r="CP401" i="22"/>
  <c r="CG401" i="22"/>
  <c r="BX401" i="22"/>
  <c r="BN401" i="22"/>
  <c r="CN401" i="22"/>
  <c r="CB401" i="22"/>
  <c r="BP401" i="22"/>
  <c r="CL401" i="22"/>
  <c r="CA401" i="22"/>
  <c r="BM401" i="22"/>
  <c r="CK401" i="22"/>
  <c r="BY401" i="22"/>
  <c r="BL401" i="22"/>
  <c r="CO401" i="22"/>
  <c r="CC401" i="22"/>
  <c r="BR401" i="22"/>
  <c r="CT401" i="22"/>
  <c r="BU401" i="22"/>
  <c r="BS401" i="22"/>
  <c r="CS401" i="22"/>
  <c r="BT401" i="22"/>
  <c r="CH401" i="22"/>
  <c r="BJ401" i="22"/>
  <c r="CV401" i="22"/>
  <c r="BV401" i="22"/>
  <c r="BI401" i="22"/>
  <c r="CQ401" i="22"/>
  <c r="CD401" i="22"/>
  <c r="CF401" i="22"/>
  <c r="BK401" i="22"/>
  <c r="CJ401" i="22"/>
  <c r="CV433" i="22"/>
  <c r="CN433" i="22"/>
  <c r="CF433" i="22"/>
  <c r="BX433" i="22"/>
  <c r="BP433" i="22"/>
  <c r="CU433" i="22"/>
  <c r="CL433" i="22"/>
  <c r="CC433" i="22"/>
  <c r="BT433" i="22"/>
  <c r="BK433" i="22"/>
  <c r="CT433" i="22"/>
  <c r="CK433" i="22"/>
  <c r="CB433" i="22"/>
  <c r="BS433" i="22"/>
  <c r="BJ433" i="22"/>
  <c r="CJ433" i="22"/>
  <c r="BY433" i="22"/>
  <c r="BM433" i="22"/>
  <c r="CI433" i="22"/>
  <c r="BW433" i="22"/>
  <c r="BL433" i="22"/>
  <c r="CR433" i="22"/>
  <c r="CG433" i="22"/>
  <c r="BU433" i="22"/>
  <c r="CH433" i="22"/>
  <c r="BO433" i="22"/>
  <c r="CE433" i="22"/>
  <c r="BN433" i="22"/>
  <c r="CS433" i="22"/>
  <c r="CA433" i="22"/>
  <c r="CP433" i="22"/>
  <c r="CO433" i="22"/>
  <c r="CM433" i="22"/>
  <c r="CQ433" i="22"/>
  <c r="BQ433" i="22"/>
  <c r="BZ433" i="22"/>
  <c r="BI433" i="22"/>
  <c r="CD433" i="22"/>
  <c r="BR433" i="22"/>
  <c r="BV433" i="22"/>
  <c r="CP458" i="22"/>
  <c r="CH458" i="22"/>
  <c r="BZ458" i="22"/>
  <c r="BR458" i="22"/>
  <c r="BJ458" i="22"/>
  <c r="CV458" i="22"/>
  <c r="CM458" i="22"/>
  <c r="CD458" i="22"/>
  <c r="BU458" i="22"/>
  <c r="BL458" i="22"/>
  <c r="CL458" i="22"/>
  <c r="CB458" i="22"/>
  <c r="BQ458" i="22"/>
  <c r="CS458" i="22"/>
  <c r="CI458" i="22"/>
  <c r="BX458" i="22"/>
  <c r="BN458" i="22"/>
  <c r="CJ458" i="22"/>
  <c r="BV458" i="22"/>
  <c r="CU458" i="22"/>
  <c r="CG458" i="22"/>
  <c r="BT458" i="22"/>
  <c r="CT458" i="22"/>
  <c r="CC458" i="22"/>
  <c r="BK458" i="22"/>
  <c r="CR458" i="22"/>
  <c r="CA458" i="22"/>
  <c r="CO458" i="22"/>
  <c r="BW458" i="22"/>
  <c r="CF458" i="22"/>
  <c r="CE458" i="22"/>
  <c r="BS458" i="22"/>
  <c r="BY458" i="22"/>
  <c r="BP458" i="22"/>
  <c r="BO458" i="22"/>
  <c r="CK458" i="22"/>
  <c r="CQ458" i="22"/>
  <c r="CN458" i="22"/>
  <c r="BI458" i="22"/>
  <c r="BM458" i="22"/>
  <c r="CV490" i="22"/>
  <c r="CT490" i="22"/>
  <c r="CM490" i="22"/>
  <c r="CE490" i="22"/>
  <c r="BW490" i="22"/>
  <c r="BO490" i="22"/>
  <c r="CO490" i="22"/>
  <c r="CF490" i="22"/>
  <c r="BV490" i="22"/>
  <c r="BM490" i="22"/>
  <c r="CL490" i="22"/>
  <c r="CB490" i="22"/>
  <c r="BR490" i="22"/>
  <c r="CP490" i="22"/>
  <c r="CC490" i="22"/>
  <c r="BQ490" i="22"/>
  <c r="CQ490" i="22"/>
  <c r="CD490" i="22"/>
  <c r="BS490" i="22"/>
  <c r="CJ490" i="22"/>
  <c r="BU490" i="22"/>
  <c r="CU490" i="22"/>
  <c r="CG490" i="22"/>
  <c r="BN490" i="22"/>
  <c r="CN490" i="22"/>
  <c r="BY490" i="22"/>
  <c r="BJ490" i="22"/>
  <c r="BX490" i="22"/>
  <c r="CS490" i="22"/>
  <c r="BT490" i="22"/>
  <c r="BL490" i="22"/>
  <c r="CI490" i="22"/>
  <c r="CR490" i="22"/>
  <c r="CK490" i="22"/>
  <c r="CH490" i="22"/>
  <c r="BZ490" i="22"/>
  <c r="BP490" i="22"/>
  <c r="CA490" i="22"/>
  <c r="BK490" i="22"/>
  <c r="BI490" i="22"/>
  <c r="CR348" i="22"/>
  <c r="CJ348" i="22"/>
  <c r="CB348" i="22"/>
  <c r="BT348" i="22"/>
  <c r="BL348" i="22"/>
  <c r="CQ348" i="22"/>
  <c r="CI348" i="22"/>
  <c r="CA348" i="22"/>
  <c r="BS348" i="22"/>
  <c r="BK348" i="22"/>
  <c r="CV348" i="22"/>
  <c r="CN348" i="22"/>
  <c r="CF348" i="22"/>
  <c r="BX348" i="22"/>
  <c r="BP348" i="22"/>
  <c r="BI348" i="22"/>
  <c r="CS348" i="22"/>
  <c r="CK348" i="22"/>
  <c r="CC348" i="22"/>
  <c r="BU348" i="22"/>
  <c r="BM348" i="22"/>
  <c r="CT348" i="22"/>
  <c r="CD348" i="22"/>
  <c r="BN348" i="22"/>
  <c r="BO348" i="22"/>
  <c r="CP348" i="22"/>
  <c r="BZ348" i="22"/>
  <c r="BJ348" i="22"/>
  <c r="CO348" i="22"/>
  <c r="BY348" i="22"/>
  <c r="CE348" i="22"/>
  <c r="CM348" i="22"/>
  <c r="BW348" i="22"/>
  <c r="CG348" i="22"/>
  <c r="CU348" i="22"/>
  <c r="CL348" i="22"/>
  <c r="BV348" i="22"/>
  <c r="CH348" i="22"/>
  <c r="BR348" i="22"/>
  <c r="BQ348" i="22"/>
  <c r="CR372" i="22"/>
  <c r="CJ372" i="22"/>
  <c r="CB372" i="22"/>
  <c r="BT372" i="22"/>
  <c r="BL372" i="22"/>
  <c r="CP372" i="22"/>
  <c r="CH372" i="22"/>
  <c r="BZ372" i="22"/>
  <c r="BR372" i="22"/>
  <c r="BJ372" i="22"/>
  <c r="CN372" i="22"/>
  <c r="CD372" i="22"/>
  <c r="BS372" i="22"/>
  <c r="CV372" i="22"/>
  <c r="CL372" i="22"/>
  <c r="CA372" i="22"/>
  <c r="BP372" i="22"/>
  <c r="CM372" i="22"/>
  <c r="BX372" i="22"/>
  <c r="BK372" i="22"/>
  <c r="CK372" i="22"/>
  <c r="BW372" i="22"/>
  <c r="CT372" i="22"/>
  <c r="CF372" i="22"/>
  <c r="BQ372" i="22"/>
  <c r="BI372" i="22"/>
  <c r="CO372" i="22"/>
  <c r="BY372" i="22"/>
  <c r="BM372" i="22"/>
  <c r="CQ372" i="22"/>
  <c r="BN372" i="22"/>
  <c r="BO372" i="22"/>
  <c r="CI372" i="22"/>
  <c r="CG372" i="22"/>
  <c r="CE372" i="22"/>
  <c r="BU372" i="22"/>
  <c r="CC372" i="22"/>
  <c r="BV372" i="22"/>
  <c r="CU372" i="22"/>
  <c r="CS372" i="22"/>
  <c r="CR388" i="22"/>
  <c r="CJ388" i="22"/>
  <c r="CB388" i="22"/>
  <c r="BT388" i="22"/>
  <c r="BL388" i="22"/>
  <c r="CP388" i="22"/>
  <c r="CH388" i="22"/>
  <c r="BZ388" i="22"/>
  <c r="BR388" i="22"/>
  <c r="BJ388" i="22"/>
  <c r="CT388" i="22"/>
  <c r="CI388" i="22"/>
  <c r="BX388" i="22"/>
  <c r="BN388" i="22"/>
  <c r="CS388" i="22"/>
  <c r="CG388" i="22"/>
  <c r="CQ388" i="22"/>
  <c r="CF388" i="22"/>
  <c r="BV388" i="22"/>
  <c r="BK388" i="22"/>
  <c r="CU388" i="22"/>
  <c r="CK388" i="22"/>
  <c r="BY388" i="22"/>
  <c r="BO388" i="22"/>
  <c r="CN388" i="22"/>
  <c r="BU388" i="22"/>
  <c r="CM388" i="22"/>
  <c r="BS388" i="22"/>
  <c r="CL388" i="22"/>
  <c r="CD388" i="22"/>
  <c r="BM388" i="22"/>
  <c r="BI388" i="22"/>
  <c r="CO388" i="22"/>
  <c r="BW388" i="22"/>
  <c r="BQ388" i="22"/>
  <c r="CE388" i="22"/>
  <c r="CV388" i="22"/>
  <c r="CC388" i="22"/>
  <c r="CA388" i="22"/>
  <c r="BP388" i="22"/>
  <c r="CQ412" i="22"/>
  <c r="CP412" i="22"/>
  <c r="CH412" i="22"/>
  <c r="BZ412" i="22"/>
  <c r="BR412" i="22"/>
  <c r="BJ412" i="22"/>
  <c r="CV412" i="22"/>
  <c r="CS412" i="22"/>
  <c r="CI412" i="22"/>
  <c r="BY412" i="22"/>
  <c r="BP412" i="22"/>
  <c r="CR412" i="22"/>
  <c r="CF412" i="22"/>
  <c r="BV412" i="22"/>
  <c r="BL412" i="22"/>
  <c r="CN412" i="22"/>
  <c r="CD412" i="22"/>
  <c r="BT412" i="22"/>
  <c r="CL412" i="22"/>
  <c r="BX412" i="22"/>
  <c r="BK412" i="22"/>
  <c r="CK412" i="22"/>
  <c r="BW412" i="22"/>
  <c r="CJ412" i="22"/>
  <c r="BU412" i="22"/>
  <c r="CM412" i="22"/>
  <c r="CA412" i="22"/>
  <c r="BM412" i="22"/>
  <c r="CE412" i="22"/>
  <c r="CC412" i="22"/>
  <c r="CB412" i="22"/>
  <c r="CU412" i="22"/>
  <c r="BQ412" i="22"/>
  <c r="BI412" i="22"/>
  <c r="CG412" i="22"/>
  <c r="BN412" i="22"/>
  <c r="BS412" i="22"/>
  <c r="BO412" i="22"/>
  <c r="CT412" i="22"/>
  <c r="CO412" i="22"/>
  <c r="CT436" i="22"/>
  <c r="CL436" i="22"/>
  <c r="CD436" i="22"/>
  <c r="BV436" i="22"/>
  <c r="BN436" i="22"/>
  <c r="CQ436" i="22"/>
  <c r="CI436" i="22"/>
  <c r="CA436" i="22"/>
  <c r="BS436" i="22"/>
  <c r="BK436" i="22"/>
  <c r="CM436" i="22"/>
  <c r="CB436" i="22"/>
  <c r="BQ436" i="22"/>
  <c r="CV436" i="22"/>
  <c r="CK436" i="22"/>
  <c r="BZ436" i="22"/>
  <c r="BP436" i="22"/>
  <c r="CJ436" i="22"/>
  <c r="BW436" i="22"/>
  <c r="CH436" i="22"/>
  <c r="BU436" i="22"/>
  <c r="CS436" i="22"/>
  <c r="CF436" i="22"/>
  <c r="BR436" i="22"/>
  <c r="CP436" i="22"/>
  <c r="BT436" i="22"/>
  <c r="CO436" i="22"/>
  <c r="BO436" i="22"/>
  <c r="CG436" i="22"/>
  <c r="BL436" i="22"/>
  <c r="BY436" i="22"/>
  <c r="BX436" i="22"/>
  <c r="BM436" i="22"/>
  <c r="CC436" i="22"/>
  <c r="CR436" i="22"/>
  <c r="BI436" i="22"/>
  <c r="BJ436" i="22"/>
  <c r="CN436" i="22"/>
  <c r="CE436" i="22"/>
  <c r="CU436" i="22"/>
  <c r="CS461" i="22"/>
  <c r="CK461" i="22"/>
  <c r="CC461" i="22"/>
  <c r="BU461" i="22"/>
  <c r="BM461" i="22"/>
  <c r="CP461" i="22"/>
  <c r="CH461" i="22"/>
  <c r="BZ461" i="22"/>
  <c r="BR461" i="22"/>
  <c r="BJ461" i="22"/>
  <c r="CR461" i="22"/>
  <c r="CG461" i="22"/>
  <c r="BW461" i="22"/>
  <c r="BL461" i="22"/>
  <c r="CL461" i="22"/>
  <c r="BY461" i="22"/>
  <c r="BN461" i="22"/>
  <c r="CT461" i="22"/>
  <c r="CF461" i="22"/>
  <c r="BT461" i="22"/>
  <c r="CO461" i="22"/>
  <c r="CA461" i="22"/>
  <c r="CN461" i="22"/>
  <c r="BX461" i="22"/>
  <c r="CI461" i="22"/>
  <c r="BO461" i="22"/>
  <c r="CE461" i="22"/>
  <c r="BK461" i="22"/>
  <c r="CV461" i="22"/>
  <c r="CB461" i="22"/>
  <c r="CU461" i="22"/>
  <c r="BP461" i="22"/>
  <c r="CQ461" i="22"/>
  <c r="CJ461" i="22"/>
  <c r="BQ461" i="22"/>
  <c r="BS461" i="22"/>
  <c r="CM461" i="22"/>
  <c r="BV461" i="22"/>
  <c r="CD461" i="22"/>
  <c r="BI461" i="22"/>
  <c r="CO485" i="22"/>
  <c r="CG485" i="22"/>
  <c r="BY485" i="22"/>
  <c r="BQ485" i="22"/>
  <c r="CQ485" i="22"/>
  <c r="CH485" i="22"/>
  <c r="BX485" i="22"/>
  <c r="BO485" i="22"/>
  <c r="CS485" i="22"/>
  <c r="CI485" i="22"/>
  <c r="BW485" i="22"/>
  <c r="BM485" i="22"/>
  <c r="CR485" i="22"/>
  <c r="CE485" i="22"/>
  <c r="BT485" i="22"/>
  <c r="CT485" i="22"/>
  <c r="CF485" i="22"/>
  <c r="BU485" i="22"/>
  <c r="BJ485" i="22"/>
  <c r="CM485" i="22"/>
  <c r="BZ485" i="22"/>
  <c r="CJ485" i="22"/>
  <c r="BR485" i="22"/>
  <c r="CP485" i="22"/>
  <c r="CB485" i="22"/>
  <c r="BL485" i="22"/>
  <c r="CL485" i="22"/>
  <c r="BN485" i="22"/>
  <c r="CK485" i="22"/>
  <c r="BK485" i="22"/>
  <c r="CN485" i="22"/>
  <c r="CA485" i="22"/>
  <c r="BP485" i="22"/>
  <c r="CV485" i="22"/>
  <c r="CU485" i="22"/>
  <c r="BS485" i="22"/>
  <c r="CC485" i="22"/>
  <c r="BV485" i="22"/>
  <c r="CD485" i="22"/>
  <c r="BI485" i="22"/>
  <c r="CS341" i="22"/>
  <c r="CK341" i="22"/>
  <c r="CC341" i="22"/>
  <c r="BU341" i="22"/>
  <c r="BM341" i="22"/>
  <c r="CJ341" i="22"/>
  <c r="CB341" i="22"/>
  <c r="BT341" i="22"/>
  <c r="BL341" i="22"/>
  <c r="CO341" i="22"/>
  <c r="CG341" i="22"/>
  <c r="BY341" i="22"/>
  <c r="BQ341" i="22"/>
  <c r="CT341" i="22"/>
  <c r="CL341" i="22"/>
  <c r="CD341" i="22"/>
  <c r="BV341" i="22"/>
  <c r="BN341" i="22"/>
  <c r="CU341" i="22"/>
  <c r="CE341" i="22"/>
  <c r="BO341" i="22"/>
  <c r="BZ341" i="22"/>
  <c r="CV341" i="22"/>
  <c r="CQ341" i="22"/>
  <c r="CA341" i="22"/>
  <c r="BK341" i="22"/>
  <c r="CP341" i="22"/>
  <c r="BJ341" i="22"/>
  <c r="BI341" i="22"/>
  <c r="CN341" i="22"/>
  <c r="BX341" i="22"/>
  <c r="BR341" i="22"/>
  <c r="CF341" i="22"/>
  <c r="CM341" i="22"/>
  <c r="BW341" i="22"/>
  <c r="CI341" i="22"/>
  <c r="BS341" i="22"/>
  <c r="CH341" i="22"/>
  <c r="BP341" i="22"/>
  <c r="CS365" i="22"/>
  <c r="CK365" i="22"/>
  <c r="CQ365" i="22"/>
  <c r="CI365" i="22"/>
  <c r="CA365" i="22"/>
  <c r="BS365" i="22"/>
  <c r="BK365" i="22"/>
  <c r="CU365" i="22"/>
  <c r="CJ365" i="22"/>
  <c r="BZ365" i="22"/>
  <c r="BQ365" i="22"/>
  <c r="CR365" i="22"/>
  <c r="CG365" i="22"/>
  <c r="BX365" i="22"/>
  <c r="BO365" i="22"/>
  <c r="CO365" i="22"/>
  <c r="CC365" i="22"/>
  <c r="BP365" i="22"/>
  <c r="CN365" i="22"/>
  <c r="CB365" i="22"/>
  <c r="BN365" i="22"/>
  <c r="CH365" i="22"/>
  <c r="BV365" i="22"/>
  <c r="BJ365" i="22"/>
  <c r="CP365" i="22"/>
  <c r="CD365" i="22"/>
  <c r="BR365" i="22"/>
  <c r="CE365" i="22"/>
  <c r="BY365" i="22"/>
  <c r="BW365" i="22"/>
  <c r="CV365" i="22"/>
  <c r="BU365" i="22"/>
  <c r="BI365" i="22"/>
  <c r="BL365" i="22"/>
  <c r="CT365" i="22"/>
  <c r="BT365" i="22"/>
  <c r="CM365" i="22"/>
  <c r="BM365" i="22"/>
  <c r="CL365" i="22"/>
  <c r="CF365" i="22"/>
  <c r="CS389" i="22"/>
  <c r="CK389" i="22"/>
  <c r="CC389" i="22"/>
  <c r="BU389" i="22"/>
  <c r="BM389" i="22"/>
  <c r="CQ389" i="22"/>
  <c r="CI389" i="22"/>
  <c r="CA389" i="22"/>
  <c r="BS389" i="22"/>
  <c r="BK389" i="22"/>
  <c r="CM389" i="22"/>
  <c r="CB389" i="22"/>
  <c r="BQ389" i="22"/>
  <c r="CV389" i="22"/>
  <c r="CL389" i="22"/>
  <c r="BZ389" i="22"/>
  <c r="BP389" i="22"/>
  <c r="CU389" i="22"/>
  <c r="CJ389" i="22"/>
  <c r="BY389" i="22"/>
  <c r="BO389" i="22"/>
  <c r="CN389" i="22"/>
  <c r="CD389" i="22"/>
  <c r="BR389" i="22"/>
  <c r="CR389" i="22"/>
  <c r="BW389" i="22"/>
  <c r="BT389" i="22"/>
  <c r="CP389" i="22"/>
  <c r="BV389" i="22"/>
  <c r="CG389" i="22"/>
  <c r="BL389" i="22"/>
  <c r="CT389" i="22"/>
  <c r="BX389" i="22"/>
  <c r="CO389" i="22"/>
  <c r="CH389" i="22"/>
  <c r="CF389" i="22"/>
  <c r="BJ389" i="22"/>
  <c r="CE389" i="22"/>
  <c r="BN389" i="22"/>
  <c r="BI389" i="22"/>
  <c r="CR413" i="22"/>
  <c r="CJ413" i="22"/>
  <c r="CB413" i="22"/>
  <c r="BT413" i="22"/>
  <c r="BL413" i="22"/>
  <c r="CN413" i="22"/>
  <c r="CE413" i="22"/>
  <c r="BV413" i="22"/>
  <c r="BM413" i="22"/>
  <c r="CO413" i="22"/>
  <c r="CD413" i="22"/>
  <c r="BS413" i="22"/>
  <c r="CM413" i="22"/>
  <c r="CU413" i="22"/>
  <c r="CK413" i="22"/>
  <c r="BZ413" i="22"/>
  <c r="BP413" i="22"/>
  <c r="CV413" i="22"/>
  <c r="CG413" i="22"/>
  <c r="BR413" i="22"/>
  <c r="CS413" i="22"/>
  <c r="CC413" i="22"/>
  <c r="BO413" i="22"/>
  <c r="CI413" i="22"/>
  <c r="BQ413" i="22"/>
  <c r="CH413" i="22"/>
  <c r="BN413" i="22"/>
  <c r="CF413" i="22"/>
  <c r="BK413" i="22"/>
  <c r="CL413" i="22"/>
  <c r="BU413" i="22"/>
  <c r="BY413" i="22"/>
  <c r="BW413" i="22"/>
  <c r="BX413" i="22"/>
  <c r="CT413" i="22"/>
  <c r="CA413" i="22"/>
  <c r="CQ413" i="22"/>
  <c r="CP413" i="22"/>
  <c r="BJ413" i="22"/>
  <c r="BI413" i="22"/>
  <c r="CU437" i="22"/>
  <c r="CM437" i="22"/>
  <c r="CE437" i="22"/>
  <c r="BW437" i="22"/>
  <c r="BO437" i="22"/>
  <c r="CR437" i="22"/>
  <c r="CJ437" i="22"/>
  <c r="CB437" i="22"/>
  <c r="BT437" i="22"/>
  <c r="BL437" i="22"/>
  <c r="CP437" i="22"/>
  <c r="CF437" i="22"/>
  <c r="BU437" i="22"/>
  <c r="BJ437" i="22"/>
  <c r="CO437" i="22"/>
  <c r="CD437" i="22"/>
  <c r="BS437" i="22"/>
  <c r="CN437" i="22"/>
  <c r="BZ437" i="22"/>
  <c r="BM437" i="22"/>
  <c r="CL437" i="22"/>
  <c r="BY437" i="22"/>
  <c r="BK437" i="22"/>
  <c r="CI437" i="22"/>
  <c r="BV437" i="22"/>
  <c r="CV437" i="22"/>
  <c r="CA437" i="22"/>
  <c r="CT437" i="22"/>
  <c r="BX437" i="22"/>
  <c r="CQ437" i="22"/>
  <c r="BQ437" i="22"/>
  <c r="BR437" i="22"/>
  <c r="BP437" i="22"/>
  <c r="BN437" i="22"/>
  <c r="CC437" i="22"/>
  <c r="CK437" i="22"/>
  <c r="CH437" i="22"/>
  <c r="CG437" i="22"/>
  <c r="CS437" i="22"/>
  <c r="BI437" i="22"/>
  <c r="CV454" i="22"/>
  <c r="CN454" i="22"/>
  <c r="CF454" i="22"/>
  <c r="BX454" i="22"/>
  <c r="BP454" i="22"/>
  <c r="CT454" i="22"/>
  <c r="CK454" i="22"/>
  <c r="CB454" i="22"/>
  <c r="BS454" i="22"/>
  <c r="BJ454" i="22"/>
  <c r="CQ454" i="22"/>
  <c r="CH454" i="22"/>
  <c r="BY454" i="22"/>
  <c r="BO454" i="22"/>
  <c r="CU454" i="22"/>
  <c r="CI454" i="22"/>
  <c r="BV454" i="22"/>
  <c r="BK454" i="22"/>
  <c r="CS454" i="22"/>
  <c r="CG454" i="22"/>
  <c r="BU454" i="22"/>
  <c r="CR454" i="22"/>
  <c r="CC454" i="22"/>
  <c r="BM454" i="22"/>
  <c r="CP454" i="22"/>
  <c r="CA454" i="22"/>
  <c r="BL454" i="22"/>
  <c r="CM454" i="22"/>
  <c r="BW454" i="22"/>
  <c r="BT454" i="22"/>
  <c r="BR454" i="22"/>
  <c r="CL454" i="22"/>
  <c r="BN454" i="22"/>
  <c r="CO454" i="22"/>
  <c r="CJ454" i="22"/>
  <c r="CD454" i="22"/>
  <c r="BQ454" i="22"/>
  <c r="BZ454" i="22"/>
  <c r="CE454" i="22"/>
  <c r="BI454" i="22"/>
  <c r="CO478" i="22"/>
  <c r="CG478" i="22"/>
  <c r="BY478" i="22"/>
  <c r="BQ478" i="22"/>
  <c r="CN478" i="22"/>
  <c r="CE478" i="22"/>
  <c r="CS478" i="22"/>
  <c r="CI478" i="22"/>
  <c r="BX478" i="22"/>
  <c r="BO478" i="22"/>
  <c r="CP478" i="22"/>
  <c r="CC478" i="22"/>
  <c r="BS478" i="22"/>
  <c r="CQ478" i="22"/>
  <c r="CD478" i="22"/>
  <c r="BT478" i="22"/>
  <c r="BJ478" i="22"/>
  <c r="CM478" i="22"/>
  <c r="BZ478" i="22"/>
  <c r="BL478" i="22"/>
  <c r="CJ478" i="22"/>
  <c r="BU478" i="22"/>
  <c r="CT478" i="22"/>
  <c r="CB478" i="22"/>
  <c r="BN478" i="22"/>
  <c r="CF478" i="22"/>
  <c r="CA478" i="22"/>
  <c r="CL478" i="22"/>
  <c r="BK478" i="22"/>
  <c r="BW478" i="22"/>
  <c r="BP478" i="22"/>
  <c r="CV478" i="22"/>
  <c r="BM478" i="22"/>
  <c r="CU478" i="22"/>
  <c r="CR478" i="22"/>
  <c r="CH478" i="22"/>
  <c r="CK478" i="22"/>
  <c r="BV478" i="22"/>
  <c r="BR478" i="22"/>
  <c r="BI478" i="22"/>
  <c r="CT342" i="22"/>
  <c r="CL342" i="22"/>
  <c r="CD342" i="22"/>
  <c r="BV342" i="22"/>
  <c r="BN342" i="22"/>
  <c r="CS342" i="22"/>
  <c r="CK342" i="22"/>
  <c r="CC342" i="22"/>
  <c r="BU342" i="22"/>
  <c r="BM342" i="22"/>
  <c r="CP342" i="22"/>
  <c r="CH342" i="22"/>
  <c r="BZ342" i="22"/>
  <c r="BR342" i="22"/>
  <c r="BJ342" i="22"/>
  <c r="CU342" i="22"/>
  <c r="CM342" i="22"/>
  <c r="CE342" i="22"/>
  <c r="BW342" i="22"/>
  <c r="BO342" i="22"/>
  <c r="CN342" i="22"/>
  <c r="BX342" i="22"/>
  <c r="CJ342" i="22"/>
  <c r="BT342" i="22"/>
  <c r="CI342" i="22"/>
  <c r="BS342" i="22"/>
  <c r="BI342" i="22"/>
  <c r="BY342" i="22"/>
  <c r="CG342" i="22"/>
  <c r="BQ342" i="22"/>
  <c r="CQ342" i="22"/>
  <c r="BK342" i="22"/>
  <c r="CV342" i="22"/>
  <c r="CF342" i="22"/>
  <c r="BP342" i="22"/>
  <c r="CB342" i="22"/>
  <c r="BL342" i="22"/>
  <c r="CA342" i="22"/>
  <c r="CO342" i="22"/>
  <c r="CT350" i="22"/>
  <c r="CL350" i="22"/>
  <c r="CD350" i="22"/>
  <c r="BV350" i="22"/>
  <c r="BN350" i="22"/>
  <c r="CS350" i="22"/>
  <c r="CK350" i="22"/>
  <c r="CC350" i="22"/>
  <c r="BU350" i="22"/>
  <c r="BM350" i="22"/>
  <c r="CP350" i="22"/>
  <c r="CH350" i="22"/>
  <c r="BZ350" i="22"/>
  <c r="BR350" i="22"/>
  <c r="BJ350" i="22"/>
  <c r="CU350" i="22"/>
  <c r="CM350" i="22"/>
  <c r="CE350" i="22"/>
  <c r="BW350" i="22"/>
  <c r="BO350" i="22"/>
  <c r="CV350" i="22"/>
  <c r="CF350" i="22"/>
  <c r="BP350" i="22"/>
  <c r="BI350" i="22"/>
  <c r="CR350" i="22"/>
  <c r="CB350" i="22"/>
  <c r="BL350" i="22"/>
  <c r="CQ350" i="22"/>
  <c r="CA350" i="22"/>
  <c r="BK350" i="22"/>
  <c r="BQ350" i="22"/>
  <c r="CO350" i="22"/>
  <c r="BY350" i="22"/>
  <c r="CI350" i="22"/>
  <c r="CG350" i="22"/>
  <c r="CN350" i="22"/>
  <c r="BX350" i="22"/>
  <c r="CJ350" i="22"/>
  <c r="BT350" i="22"/>
  <c r="BS350" i="22"/>
  <c r="CO358" i="22"/>
  <c r="CG358" i="22"/>
  <c r="BY358" i="22"/>
  <c r="BQ358" i="22"/>
  <c r="CU358" i="22"/>
  <c r="CM358" i="22"/>
  <c r="CE358" i="22"/>
  <c r="BW358" i="22"/>
  <c r="BO358" i="22"/>
  <c r="CV358" i="22"/>
  <c r="CK358" i="22"/>
  <c r="CA358" i="22"/>
  <c r="BP358" i="22"/>
  <c r="CT358" i="22"/>
  <c r="CJ358" i="22"/>
  <c r="BZ358" i="22"/>
  <c r="BN358" i="22"/>
  <c r="CQ358" i="22"/>
  <c r="CF358" i="22"/>
  <c r="BU358" i="22"/>
  <c r="BK358" i="22"/>
  <c r="CL358" i="22"/>
  <c r="CB358" i="22"/>
  <c r="BR358" i="22"/>
  <c r="CC358" i="22"/>
  <c r="BI358" i="22"/>
  <c r="CS358" i="22"/>
  <c r="BX358" i="22"/>
  <c r="CR358" i="22"/>
  <c r="BV358" i="22"/>
  <c r="CD358" i="22"/>
  <c r="CP358" i="22"/>
  <c r="BT358" i="22"/>
  <c r="BL358" i="22"/>
  <c r="CN358" i="22"/>
  <c r="BS358" i="22"/>
  <c r="CI358" i="22"/>
  <c r="BM358" i="22"/>
  <c r="CH358" i="22"/>
  <c r="BJ358" i="22"/>
  <c r="CT366" i="22"/>
  <c r="CL366" i="22"/>
  <c r="CD366" i="22"/>
  <c r="BV366" i="22"/>
  <c r="BN366" i="22"/>
  <c r="CR366" i="22"/>
  <c r="CJ366" i="22"/>
  <c r="CB366" i="22"/>
  <c r="BT366" i="22"/>
  <c r="BL366" i="22"/>
  <c r="CN366" i="22"/>
  <c r="CC366" i="22"/>
  <c r="BR366" i="22"/>
  <c r="CV366" i="22"/>
  <c r="CK366" i="22"/>
  <c r="BZ366" i="22"/>
  <c r="BP366" i="22"/>
  <c r="CS366" i="22"/>
  <c r="CF366" i="22"/>
  <c r="BQ366" i="22"/>
  <c r="CQ366" i="22"/>
  <c r="CE366" i="22"/>
  <c r="BO366" i="22"/>
  <c r="CM366" i="22"/>
  <c r="BX366" i="22"/>
  <c r="BJ366" i="22"/>
  <c r="CU366" i="22"/>
  <c r="CG366" i="22"/>
  <c r="BS366" i="22"/>
  <c r="BU366" i="22"/>
  <c r="CP366" i="22"/>
  <c r="BM366" i="22"/>
  <c r="CO366" i="22"/>
  <c r="BK366" i="22"/>
  <c r="BI366" i="22"/>
  <c r="CI366" i="22"/>
  <c r="BY366" i="22"/>
  <c r="BW366" i="22"/>
  <c r="CH366" i="22"/>
  <c r="CA366" i="22"/>
  <c r="CT374" i="22"/>
  <c r="CL374" i="22"/>
  <c r="CD374" i="22"/>
  <c r="BV374" i="22"/>
  <c r="BN374" i="22"/>
  <c r="CR374" i="22"/>
  <c r="CJ374" i="22"/>
  <c r="CB374" i="22"/>
  <c r="BT374" i="22"/>
  <c r="BL374" i="22"/>
  <c r="CV374" i="22"/>
  <c r="CK374" i="22"/>
  <c r="BZ374" i="22"/>
  <c r="BP374" i="22"/>
  <c r="CS374" i="22"/>
  <c r="CH374" i="22"/>
  <c r="BX374" i="22"/>
  <c r="BM374" i="22"/>
  <c r="CU374" i="22"/>
  <c r="CF374" i="22"/>
  <c r="BR374" i="22"/>
  <c r="CQ374" i="22"/>
  <c r="CE374" i="22"/>
  <c r="BQ374" i="22"/>
  <c r="CN374" i="22"/>
  <c r="BY374" i="22"/>
  <c r="BJ374" i="22"/>
  <c r="CG374" i="22"/>
  <c r="BS374" i="22"/>
  <c r="BU374" i="22"/>
  <c r="CP374" i="22"/>
  <c r="BO374" i="22"/>
  <c r="CO374" i="22"/>
  <c r="BK374" i="22"/>
  <c r="CM374" i="22"/>
  <c r="CA374" i="22"/>
  <c r="BW374" i="22"/>
  <c r="CI374" i="22"/>
  <c r="CC374" i="22"/>
  <c r="BI374" i="22"/>
  <c r="CT382" i="22"/>
  <c r="CL382" i="22"/>
  <c r="CD382" i="22"/>
  <c r="BV382" i="22"/>
  <c r="BN382" i="22"/>
  <c r="CR382" i="22"/>
  <c r="CJ382" i="22"/>
  <c r="CB382" i="22"/>
  <c r="BT382" i="22"/>
  <c r="BL382" i="22"/>
  <c r="CS382" i="22"/>
  <c r="CH382" i="22"/>
  <c r="BX382" i="22"/>
  <c r="BM382" i="22"/>
  <c r="CP382" i="22"/>
  <c r="CF382" i="22"/>
  <c r="BU382" i="22"/>
  <c r="BJ382" i="22"/>
  <c r="CU382" i="22"/>
  <c r="CI382" i="22"/>
  <c r="CG382" i="22"/>
  <c r="BR382" i="22"/>
  <c r="CE382" i="22"/>
  <c r="BQ382" i="22"/>
  <c r="CO382" i="22"/>
  <c r="BZ382" i="22"/>
  <c r="BK382" i="22"/>
  <c r="CK382" i="22"/>
  <c r="BS382" i="22"/>
  <c r="BW382" i="22"/>
  <c r="BI382" i="22"/>
  <c r="CV382" i="22"/>
  <c r="BP382" i="22"/>
  <c r="CQ382" i="22"/>
  <c r="BO382" i="22"/>
  <c r="CN382" i="22"/>
  <c r="CA382" i="22"/>
  <c r="CM382" i="22"/>
  <c r="CC382" i="22"/>
  <c r="BY382" i="22"/>
  <c r="CT390" i="22"/>
  <c r="CL390" i="22"/>
  <c r="CD390" i="22"/>
  <c r="BV390" i="22"/>
  <c r="BN390" i="22"/>
  <c r="CR390" i="22"/>
  <c r="CJ390" i="22"/>
  <c r="CB390" i="22"/>
  <c r="BT390" i="22"/>
  <c r="BL390" i="22"/>
  <c r="CP390" i="22"/>
  <c r="CF390" i="22"/>
  <c r="BU390" i="22"/>
  <c r="BJ390" i="22"/>
  <c r="CO390" i="22"/>
  <c r="CE390" i="22"/>
  <c r="BS390" i="22"/>
  <c r="CN390" i="22"/>
  <c r="CC390" i="22"/>
  <c r="BR390" i="22"/>
  <c r="CQ390" i="22"/>
  <c r="CG390" i="22"/>
  <c r="BW390" i="22"/>
  <c r="BK390" i="22"/>
  <c r="CV390" i="22"/>
  <c r="BZ390" i="22"/>
  <c r="CS390" i="22"/>
  <c r="CU390" i="22"/>
  <c r="BY390" i="22"/>
  <c r="BX390" i="22"/>
  <c r="CK390" i="22"/>
  <c r="BP390" i="22"/>
  <c r="CA390" i="22"/>
  <c r="BO390" i="22"/>
  <c r="BM390" i="22"/>
  <c r="BQ390" i="22"/>
  <c r="CH390" i="22"/>
  <c r="BI390" i="22"/>
  <c r="CM390" i="22"/>
  <c r="CI390" i="22"/>
  <c r="CR398" i="22"/>
  <c r="CJ398" i="22"/>
  <c r="CB398" i="22"/>
  <c r="BT398" i="22"/>
  <c r="BL398" i="22"/>
  <c r="CP398" i="22"/>
  <c r="CG398" i="22"/>
  <c r="BX398" i="22"/>
  <c r="BO398" i="22"/>
  <c r="CN398" i="22"/>
  <c r="CE398" i="22"/>
  <c r="BV398" i="22"/>
  <c r="BM398" i="22"/>
  <c r="CU398" i="22"/>
  <c r="CI398" i="22"/>
  <c r="BW398" i="22"/>
  <c r="BJ398" i="22"/>
  <c r="CT398" i="22"/>
  <c r="CH398" i="22"/>
  <c r="BU398" i="22"/>
  <c r="CS398" i="22"/>
  <c r="CF398" i="22"/>
  <c r="BS398" i="22"/>
  <c r="CV398" i="22"/>
  <c r="CK398" i="22"/>
  <c r="BY398" i="22"/>
  <c r="BK398" i="22"/>
  <c r="CO398" i="22"/>
  <c r="BQ398" i="22"/>
  <c r="CM398" i="22"/>
  <c r="BP398" i="22"/>
  <c r="BN398" i="22"/>
  <c r="CC398" i="22"/>
  <c r="CQ398" i="22"/>
  <c r="BR398" i="22"/>
  <c r="CL398" i="22"/>
  <c r="BI398" i="22"/>
  <c r="CA398" i="22"/>
  <c r="BZ398" i="22"/>
  <c r="CD398" i="22"/>
  <c r="CR406" i="22"/>
  <c r="CJ406" i="22"/>
  <c r="CB406" i="22"/>
  <c r="BT406" i="22"/>
  <c r="BL406" i="22"/>
  <c r="CO406" i="22"/>
  <c r="CF406" i="22"/>
  <c r="BW406" i="22"/>
  <c r="BN406" i="22"/>
  <c r="CV406" i="22"/>
  <c r="CM406" i="22"/>
  <c r="CD406" i="22"/>
  <c r="BU406" i="22"/>
  <c r="BK406" i="22"/>
  <c r="CN406" i="22"/>
  <c r="CA406" i="22"/>
  <c r="BP406" i="22"/>
  <c r="CL406" i="22"/>
  <c r="BZ406" i="22"/>
  <c r="BO406" i="22"/>
  <c r="CK406" i="22"/>
  <c r="BY406" i="22"/>
  <c r="BM406" i="22"/>
  <c r="CP406" i="22"/>
  <c r="CC406" i="22"/>
  <c r="BQ406" i="22"/>
  <c r="CT406" i="22"/>
  <c r="BV406" i="22"/>
  <c r="CQ406" i="22"/>
  <c r="CS406" i="22"/>
  <c r="BS406" i="22"/>
  <c r="CH406" i="22"/>
  <c r="CU406" i="22"/>
  <c r="BX406" i="22"/>
  <c r="BR406" i="22"/>
  <c r="CE406" i="22"/>
  <c r="CG406" i="22"/>
  <c r="BJ406" i="22"/>
  <c r="CI406" i="22"/>
  <c r="BI406" i="22"/>
  <c r="CS414" i="22"/>
  <c r="CK414" i="22"/>
  <c r="CC414" i="22"/>
  <c r="BU414" i="22"/>
  <c r="BM414" i="22"/>
  <c r="CU414" i="22"/>
  <c r="CL414" i="22"/>
  <c r="CB414" i="22"/>
  <c r="BS414" i="22"/>
  <c r="BJ414" i="22"/>
  <c r="CQ414" i="22"/>
  <c r="CG414" i="22"/>
  <c r="BW414" i="22"/>
  <c r="BL414" i="22"/>
  <c r="CP414" i="22"/>
  <c r="CF414" i="22"/>
  <c r="BV414" i="22"/>
  <c r="BK414" i="22"/>
  <c r="CN414" i="22"/>
  <c r="CD414" i="22"/>
  <c r="BR414" i="22"/>
  <c r="CR414" i="22"/>
  <c r="BZ414" i="22"/>
  <c r="CM414" i="22"/>
  <c r="BX414" i="22"/>
  <c r="CO414" i="22"/>
  <c r="BQ414" i="22"/>
  <c r="CJ414" i="22"/>
  <c r="BP414" i="22"/>
  <c r="CI414" i="22"/>
  <c r="BO414" i="22"/>
  <c r="CT414" i="22"/>
  <c r="BT414" i="22"/>
  <c r="CE414" i="22"/>
  <c r="CA414" i="22"/>
  <c r="CH414" i="22"/>
  <c r="BY414" i="22"/>
  <c r="BN414" i="22"/>
  <c r="BI414" i="22"/>
  <c r="CV414" i="22"/>
  <c r="CS422" i="22"/>
  <c r="CK422" i="22"/>
  <c r="CC422" i="22"/>
  <c r="BU422" i="22"/>
  <c r="BM422" i="22"/>
  <c r="CT422" i="22"/>
  <c r="CJ422" i="22"/>
  <c r="CA422" i="22"/>
  <c r="BR422" i="22"/>
  <c r="CR422" i="22"/>
  <c r="CH422" i="22"/>
  <c r="BX422" i="22"/>
  <c r="BN422" i="22"/>
  <c r="CQ422" i="22"/>
  <c r="CG422" i="22"/>
  <c r="BW422" i="22"/>
  <c r="BL422" i="22"/>
  <c r="CO422" i="22"/>
  <c r="CE422" i="22"/>
  <c r="BT422" i="22"/>
  <c r="BJ422" i="22"/>
  <c r="CF422" i="22"/>
  <c r="BP422" i="22"/>
  <c r="CU422" i="22"/>
  <c r="CB422" i="22"/>
  <c r="BK422" i="22"/>
  <c r="CN422" i="22"/>
  <c r="BS422" i="22"/>
  <c r="CM422" i="22"/>
  <c r="BQ422" i="22"/>
  <c r="CL422" i="22"/>
  <c r="BO422" i="22"/>
  <c r="CP422" i="22"/>
  <c r="BV422" i="22"/>
  <c r="CD422" i="22"/>
  <c r="BY422" i="22"/>
  <c r="BZ422" i="22"/>
  <c r="CI422" i="22"/>
  <c r="CV422" i="22"/>
  <c r="BI422" i="22"/>
  <c r="CS430" i="22"/>
  <c r="CK430" i="22"/>
  <c r="CC430" i="22"/>
  <c r="BU430" i="22"/>
  <c r="BM430" i="22"/>
  <c r="CT430" i="22"/>
  <c r="CJ430" i="22"/>
  <c r="CA430" i="22"/>
  <c r="BR430" i="22"/>
  <c r="CR430" i="22"/>
  <c r="CI430" i="22"/>
  <c r="BZ430" i="22"/>
  <c r="BQ430" i="22"/>
  <c r="CQ430" i="22"/>
  <c r="CF430" i="22"/>
  <c r="BT430" i="22"/>
  <c r="CP430" i="22"/>
  <c r="CE430" i="22"/>
  <c r="BS430" i="22"/>
  <c r="CN430" i="22"/>
  <c r="CB430" i="22"/>
  <c r="BO430" i="22"/>
  <c r="CH430" i="22"/>
  <c r="BN430" i="22"/>
  <c r="CG430" i="22"/>
  <c r="BL430" i="22"/>
  <c r="CV430" i="22"/>
  <c r="BY430" i="22"/>
  <c r="BJ430" i="22"/>
  <c r="CL430" i="22"/>
  <c r="CD430" i="22"/>
  <c r="BX430" i="22"/>
  <c r="CM430" i="22"/>
  <c r="CO430" i="22"/>
  <c r="CU430" i="22"/>
  <c r="BV430" i="22"/>
  <c r="BW430" i="22"/>
  <c r="BP430" i="22"/>
  <c r="BI430" i="22"/>
  <c r="BK430" i="22"/>
  <c r="CV438" i="22"/>
  <c r="CN438" i="22"/>
  <c r="CF438" i="22"/>
  <c r="BX438" i="22"/>
  <c r="BP438" i="22"/>
  <c r="CS438" i="22"/>
  <c r="CK438" i="22"/>
  <c r="CC438" i="22"/>
  <c r="BU438" i="22"/>
  <c r="BM438" i="22"/>
  <c r="CT438" i="22"/>
  <c r="CI438" i="22"/>
  <c r="BY438" i="22"/>
  <c r="BN438" i="22"/>
  <c r="CR438" i="22"/>
  <c r="CH438" i="22"/>
  <c r="BW438" i="22"/>
  <c r="BL438" i="22"/>
  <c r="CQ438" i="22"/>
  <c r="CD438" i="22"/>
  <c r="BQ438" i="22"/>
  <c r="CP438" i="22"/>
  <c r="CB438" i="22"/>
  <c r="BO438" i="22"/>
  <c r="CM438" i="22"/>
  <c r="BZ438" i="22"/>
  <c r="BJ438" i="22"/>
  <c r="CG438" i="22"/>
  <c r="CE438" i="22"/>
  <c r="BV438" i="22"/>
  <c r="BS438" i="22"/>
  <c r="BR438" i="22"/>
  <c r="CU438" i="22"/>
  <c r="BK438" i="22"/>
  <c r="BT438" i="22"/>
  <c r="CL438" i="22"/>
  <c r="CO438" i="22"/>
  <c r="CJ438" i="22"/>
  <c r="CA438" i="22"/>
  <c r="BI438" i="22"/>
  <c r="CO447" i="22"/>
  <c r="CG447" i="22"/>
  <c r="BY447" i="22"/>
  <c r="BQ447" i="22"/>
  <c r="CS447" i="22"/>
  <c r="CJ447" i="22"/>
  <c r="CA447" i="22"/>
  <c r="BR447" i="22"/>
  <c r="CP447" i="22"/>
  <c r="CF447" i="22"/>
  <c r="BW447" i="22"/>
  <c r="BN447" i="22"/>
  <c r="CM447" i="22"/>
  <c r="CB447" i="22"/>
  <c r="BO447" i="22"/>
  <c r="CL447" i="22"/>
  <c r="BZ447" i="22"/>
  <c r="BM447" i="22"/>
  <c r="CQ447" i="22"/>
  <c r="BX447" i="22"/>
  <c r="BJ447" i="22"/>
  <c r="CN447" i="22"/>
  <c r="BV447" i="22"/>
  <c r="CI447" i="22"/>
  <c r="BT447" i="22"/>
  <c r="CH447" i="22"/>
  <c r="BK447" i="22"/>
  <c r="CE447" i="22"/>
  <c r="CV447" i="22"/>
  <c r="CC447" i="22"/>
  <c r="CD447" i="22"/>
  <c r="BU447" i="22"/>
  <c r="BS447" i="22"/>
  <c r="CK447" i="22"/>
  <c r="CU447" i="22"/>
  <c r="CR447" i="22"/>
  <c r="CT447" i="22"/>
  <c r="BI447" i="22"/>
  <c r="BL447" i="22"/>
  <c r="BP447" i="22"/>
  <c r="CO455" i="22"/>
  <c r="CG455" i="22"/>
  <c r="BY455" i="22"/>
  <c r="BQ455" i="22"/>
  <c r="CR455" i="22"/>
  <c r="CI455" i="22"/>
  <c r="BZ455" i="22"/>
  <c r="BP455" i="22"/>
  <c r="CN455" i="22"/>
  <c r="CE455" i="22"/>
  <c r="BV455" i="22"/>
  <c r="BM455" i="22"/>
  <c r="CS455" i="22"/>
  <c r="CF455" i="22"/>
  <c r="BT455" i="22"/>
  <c r="CQ455" i="22"/>
  <c r="CD455" i="22"/>
  <c r="BS455" i="22"/>
  <c r="CL455" i="22"/>
  <c r="BW455" i="22"/>
  <c r="CK455" i="22"/>
  <c r="BU455" i="22"/>
  <c r="CV455" i="22"/>
  <c r="CH455" i="22"/>
  <c r="BO455" i="22"/>
  <c r="CJ455" i="22"/>
  <c r="BK455" i="22"/>
  <c r="CC455" i="22"/>
  <c r="BJ455" i="22"/>
  <c r="CA455" i="22"/>
  <c r="CU455" i="22"/>
  <c r="BL455" i="22"/>
  <c r="CT455" i="22"/>
  <c r="CP455" i="22"/>
  <c r="BN455" i="22"/>
  <c r="BI455" i="22"/>
  <c r="CB455" i="22"/>
  <c r="CM455" i="22"/>
  <c r="BX455" i="22"/>
  <c r="BR455" i="22"/>
  <c r="CU463" i="22"/>
  <c r="CM463" i="22"/>
  <c r="CE463" i="22"/>
  <c r="BW463" i="22"/>
  <c r="BO463" i="22"/>
  <c r="CR463" i="22"/>
  <c r="CJ463" i="22"/>
  <c r="CB463" i="22"/>
  <c r="BT463" i="22"/>
  <c r="BL463" i="22"/>
  <c r="CO463" i="22"/>
  <c r="CD463" i="22"/>
  <c r="BS463" i="22"/>
  <c r="CS463" i="22"/>
  <c r="CG463" i="22"/>
  <c r="BU463" i="22"/>
  <c r="CN463" i="22"/>
  <c r="CA463" i="22"/>
  <c r="BP463" i="22"/>
  <c r="CT463" i="22"/>
  <c r="CC463" i="22"/>
  <c r="BM463" i="22"/>
  <c r="CQ463" i="22"/>
  <c r="BZ463" i="22"/>
  <c r="BK463" i="22"/>
  <c r="CP463" i="22"/>
  <c r="BV463" i="22"/>
  <c r="CL463" i="22"/>
  <c r="BR463" i="22"/>
  <c r="CI463" i="22"/>
  <c r="BN463" i="22"/>
  <c r="CK463" i="22"/>
  <c r="CH463" i="22"/>
  <c r="BY463" i="22"/>
  <c r="CV463" i="22"/>
  <c r="CF463" i="22"/>
  <c r="BI463" i="22"/>
  <c r="BQ463" i="22"/>
  <c r="BX463" i="22"/>
  <c r="BJ463" i="22"/>
  <c r="CP471" i="22"/>
  <c r="CH471" i="22"/>
  <c r="BZ471" i="22"/>
  <c r="BR471" i="22"/>
  <c r="BJ471" i="22"/>
  <c r="CQ471" i="22"/>
  <c r="CG471" i="22"/>
  <c r="BX471" i="22"/>
  <c r="BO471" i="22"/>
  <c r="CO471" i="22"/>
  <c r="CE471" i="22"/>
  <c r="BU471" i="22"/>
  <c r="BK471" i="22"/>
  <c r="CV471" i="22"/>
  <c r="CL471" i="22"/>
  <c r="CB471" i="22"/>
  <c r="BQ471" i="22"/>
  <c r="CS471" i="22"/>
  <c r="CI471" i="22"/>
  <c r="BW471" i="22"/>
  <c r="BM471" i="22"/>
  <c r="CN471" i="22"/>
  <c r="BY471" i="22"/>
  <c r="CU471" i="22"/>
  <c r="CC471" i="22"/>
  <c r="CM471" i="22"/>
  <c r="BT471" i="22"/>
  <c r="CF471" i="22"/>
  <c r="CD471" i="22"/>
  <c r="CA471" i="22"/>
  <c r="CR471" i="22"/>
  <c r="CK471" i="22"/>
  <c r="BV471" i="22"/>
  <c r="BP471" i="22"/>
  <c r="BN471" i="22"/>
  <c r="CT471" i="22"/>
  <c r="CJ471" i="22"/>
  <c r="BI471" i="22"/>
  <c r="BL471" i="22"/>
  <c r="BS471" i="22"/>
  <c r="CP479" i="22"/>
  <c r="CH479" i="22"/>
  <c r="BZ479" i="22"/>
  <c r="BR479" i="22"/>
  <c r="BJ479" i="22"/>
  <c r="CU479" i="22"/>
  <c r="CL479" i="22"/>
  <c r="CC479" i="22"/>
  <c r="BT479" i="22"/>
  <c r="BK479" i="22"/>
  <c r="CV479" i="22"/>
  <c r="CK479" i="22"/>
  <c r="CA479" i="22"/>
  <c r="BP479" i="22"/>
  <c r="CM479" i="22"/>
  <c r="BY479" i="22"/>
  <c r="BN479" i="22"/>
  <c r="CN479" i="22"/>
  <c r="CB479" i="22"/>
  <c r="BO479" i="22"/>
  <c r="CG479" i="22"/>
  <c r="BS479" i="22"/>
  <c r="CR479" i="22"/>
  <c r="CD479" i="22"/>
  <c r="BL479" i="22"/>
  <c r="CJ479" i="22"/>
  <c r="BV479" i="22"/>
  <c r="CQ479" i="22"/>
  <c r="BQ479" i="22"/>
  <c r="CO479" i="22"/>
  <c r="BM479" i="22"/>
  <c r="CF479" i="22"/>
  <c r="BW479" i="22"/>
  <c r="BU479" i="22"/>
  <c r="BX479" i="22"/>
  <c r="CE479" i="22"/>
  <c r="CT479" i="22"/>
  <c r="CS479" i="22"/>
  <c r="BI479" i="22"/>
  <c r="CI479" i="22"/>
  <c r="CQ487" i="22"/>
  <c r="CI487" i="22"/>
  <c r="CA487" i="22"/>
  <c r="BS487" i="22"/>
  <c r="BK487" i="22"/>
  <c r="CU487" i="22"/>
  <c r="CL487" i="22"/>
  <c r="CC487" i="22"/>
  <c r="BT487" i="22"/>
  <c r="BJ487" i="22"/>
  <c r="CN487" i="22"/>
  <c r="CD487" i="22"/>
  <c r="BR487" i="22"/>
  <c r="CK487" i="22"/>
  <c r="BY487" i="22"/>
  <c r="BN487" i="22"/>
  <c r="CM487" i="22"/>
  <c r="BZ487" i="22"/>
  <c r="BO487" i="22"/>
  <c r="CP487" i="22"/>
  <c r="BX487" i="22"/>
  <c r="CH487" i="22"/>
  <c r="BU487" i="22"/>
  <c r="CS487" i="22"/>
  <c r="CE487" i="22"/>
  <c r="BM487" i="22"/>
  <c r="CJ487" i="22"/>
  <c r="BL487" i="22"/>
  <c r="CG487" i="22"/>
  <c r="CB487" i="22"/>
  <c r="CV487" i="22"/>
  <c r="BQ487" i="22"/>
  <c r="BW487" i="22"/>
  <c r="BV487" i="22"/>
  <c r="BP487" i="22"/>
  <c r="CR487" i="22"/>
  <c r="CO487" i="22"/>
  <c r="CF487" i="22"/>
  <c r="CT487" i="22"/>
  <c r="BI487" i="22"/>
  <c r="CT495" i="22"/>
  <c r="CL495" i="22"/>
  <c r="CD495" i="22"/>
  <c r="BV495" i="22"/>
  <c r="BN495" i="22"/>
  <c r="CR495" i="22"/>
  <c r="CJ495" i="22"/>
  <c r="CB495" i="22"/>
  <c r="BT495" i="22"/>
  <c r="BL495" i="22"/>
  <c r="CI495" i="22"/>
  <c r="BY495" i="22"/>
  <c r="BO495" i="22"/>
  <c r="CO495" i="22"/>
  <c r="CC495" i="22"/>
  <c r="BQ495" i="22"/>
  <c r="CM495" i="22"/>
  <c r="BX495" i="22"/>
  <c r="BJ495" i="22"/>
  <c r="CK495" i="22"/>
  <c r="BU495" i="22"/>
  <c r="CN495" i="22"/>
  <c r="BW495" i="22"/>
  <c r="CF495" i="22"/>
  <c r="BK495" i="22"/>
  <c r="CS495" i="22"/>
  <c r="BZ495" i="22"/>
  <c r="CH495" i="22"/>
  <c r="BP495" i="22"/>
  <c r="CA495" i="22"/>
  <c r="BS495" i="22"/>
  <c r="CP495" i="22"/>
  <c r="BR495" i="22"/>
  <c r="CG495" i="22"/>
  <c r="CE495" i="22"/>
  <c r="BM495" i="22"/>
  <c r="BI495" i="22"/>
  <c r="CQ495" i="22"/>
  <c r="CU495" i="22"/>
  <c r="CV495" i="22"/>
  <c r="CO345" i="22"/>
  <c r="CG345" i="22"/>
  <c r="BY345" i="22"/>
  <c r="BQ345" i="22"/>
  <c r="CV345" i="22"/>
  <c r="CN345" i="22"/>
  <c r="CF345" i="22"/>
  <c r="BX345" i="22"/>
  <c r="BP345" i="22"/>
  <c r="CS345" i="22"/>
  <c r="CK345" i="22"/>
  <c r="CC345" i="22"/>
  <c r="BU345" i="22"/>
  <c r="BM345" i="22"/>
  <c r="CP345" i="22"/>
  <c r="CH345" i="22"/>
  <c r="BZ345" i="22"/>
  <c r="BR345" i="22"/>
  <c r="BJ345" i="22"/>
  <c r="BI345" i="22"/>
  <c r="CI345" i="22"/>
  <c r="BS345" i="22"/>
  <c r="CU345" i="22"/>
  <c r="CE345" i="22"/>
  <c r="BO345" i="22"/>
  <c r="CT345" i="22"/>
  <c r="CD345" i="22"/>
  <c r="BN345" i="22"/>
  <c r="BT345" i="22"/>
  <c r="CB345" i="22"/>
  <c r="BL345" i="22"/>
  <c r="BV345" i="22"/>
  <c r="CJ345" i="22"/>
  <c r="CQ345" i="22"/>
  <c r="CA345" i="22"/>
  <c r="BK345" i="22"/>
  <c r="CM345" i="22"/>
  <c r="BW345" i="22"/>
  <c r="CL345" i="22"/>
  <c r="CO385" i="22"/>
  <c r="CG385" i="22"/>
  <c r="BY385" i="22"/>
  <c r="BQ385" i="22"/>
  <c r="CU385" i="22"/>
  <c r="CM385" i="22"/>
  <c r="CE385" i="22"/>
  <c r="BW385" i="22"/>
  <c r="BO385" i="22"/>
  <c r="CS385" i="22"/>
  <c r="CI385" i="22"/>
  <c r="BX385" i="22"/>
  <c r="BM385" i="22"/>
  <c r="CQ385" i="22"/>
  <c r="CF385" i="22"/>
  <c r="BU385" i="22"/>
  <c r="BK385" i="22"/>
  <c r="CT385" i="22"/>
  <c r="CJ385" i="22"/>
  <c r="BZ385" i="22"/>
  <c r="BN385" i="22"/>
  <c r="CK385" i="22"/>
  <c r="BS385" i="22"/>
  <c r="CH385" i="22"/>
  <c r="BR385" i="22"/>
  <c r="CD385" i="22"/>
  <c r="CR385" i="22"/>
  <c r="CB385" i="22"/>
  <c r="BJ385" i="22"/>
  <c r="CL385" i="22"/>
  <c r="BT385" i="22"/>
  <c r="BI385" i="22"/>
  <c r="BP385" i="22"/>
  <c r="BL385" i="22"/>
  <c r="CV385" i="22"/>
  <c r="BV385" i="22"/>
  <c r="CP385" i="22"/>
  <c r="CA385" i="22"/>
  <c r="CN385" i="22"/>
  <c r="CC385" i="22"/>
  <c r="CV425" i="22"/>
  <c r="CN425" i="22"/>
  <c r="CF425" i="22"/>
  <c r="BX425" i="22"/>
  <c r="BP425" i="22"/>
  <c r="CM425" i="22"/>
  <c r="CU425" i="22"/>
  <c r="CL425" i="22"/>
  <c r="CC425" i="22"/>
  <c r="BT425" i="22"/>
  <c r="BK425" i="22"/>
  <c r="CR425" i="22"/>
  <c r="CG425" i="22"/>
  <c r="BV425" i="22"/>
  <c r="BL425" i="22"/>
  <c r="CQ425" i="22"/>
  <c r="CE425" i="22"/>
  <c r="BU425" i="22"/>
  <c r="BJ425" i="22"/>
  <c r="CO425" i="22"/>
  <c r="CB425" i="22"/>
  <c r="BR425" i="22"/>
  <c r="CI425" i="22"/>
  <c r="BQ425" i="22"/>
  <c r="CH425" i="22"/>
  <c r="BO425" i="22"/>
  <c r="CT425" i="22"/>
  <c r="CA425" i="22"/>
  <c r="BM425" i="22"/>
  <c r="CP425" i="22"/>
  <c r="BN425" i="22"/>
  <c r="CK425" i="22"/>
  <c r="CJ425" i="22"/>
  <c r="CS425" i="22"/>
  <c r="BS425" i="22"/>
  <c r="BZ425" i="22"/>
  <c r="BI425" i="22"/>
  <c r="CD425" i="22"/>
  <c r="BY425" i="22"/>
  <c r="BW425" i="22"/>
  <c r="CS466" i="22"/>
  <c r="CK466" i="22"/>
  <c r="CC466" i="22"/>
  <c r="BU466" i="22"/>
  <c r="BM466" i="22"/>
  <c r="CU466" i="22"/>
  <c r="CL466" i="22"/>
  <c r="CB466" i="22"/>
  <c r="BS466" i="22"/>
  <c r="BJ466" i="22"/>
  <c r="CQ466" i="22"/>
  <c r="CH466" i="22"/>
  <c r="BY466" i="22"/>
  <c r="BP466" i="22"/>
  <c r="CT466" i="22"/>
  <c r="CG466" i="22"/>
  <c r="BV466" i="22"/>
  <c r="CO466" i="22"/>
  <c r="CA466" i="22"/>
  <c r="BN466" i="22"/>
  <c r="CJ466" i="22"/>
  <c r="BW466" i="22"/>
  <c r="CE466" i="22"/>
  <c r="BL466" i="22"/>
  <c r="CV466" i="22"/>
  <c r="CD466" i="22"/>
  <c r="BK466" i="22"/>
  <c r="CR466" i="22"/>
  <c r="BZ466" i="22"/>
  <c r="BX466" i="22"/>
  <c r="BT466" i="22"/>
  <c r="CP466" i="22"/>
  <c r="BQ466" i="22"/>
  <c r="CN466" i="22"/>
  <c r="CM466" i="22"/>
  <c r="CF466" i="22"/>
  <c r="BR466" i="22"/>
  <c r="BO466" i="22"/>
  <c r="BI466" i="22"/>
  <c r="CI466" i="22"/>
  <c r="CP364" i="22"/>
  <c r="CH364" i="22"/>
  <c r="BZ364" i="22"/>
  <c r="BR364" i="22"/>
  <c r="BJ364" i="22"/>
  <c r="CU364" i="22"/>
  <c r="CL364" i="22"/>
  <c r="CC364" i="22"/>
  <c r="BT364" i="22"/>
  <c r="BK364" i="22"/>
  <c r="CS364" i="22"/>
  <c r="CJ364" i="22"/>
  <c r="CA364" i="22"/>
  <c r="BQ364" i="22"/>
  <c r="CQ364" i="22"/>
  <c r="CE364" i="22"/>
  <c r="BS364" i="22"/>
  <c r="CO364" i="22"/>
  <c r="CD364" i="22"/>
  <c r="BP364" i="22"/>
  <c r="CK364" i="22"/>
  <c r="BX364" i="22"/>
  <c r="BM364" i="22"/>
  <c r="BI364" i="22"/>
  <c r="CR364" i="22"/>
  <c r="CF364" i="22"/>
  <c r="BU364" i="22"/>
  <c r="CT364" i="22"/>
  <c r="BV364" i="22"/>
  <c r="BW364" i="22"/>
  <c r="CN364" i="22"/>
  <c r="BO364" i="22"/>
  <c r="CM364" i="22"/>
  <c r="BN364" i="22"/>
  <c r="CV364" i="22"/>
  <c r="CI364" i="22"/>
  <c r="BL364" i="22"/>
  <c r="CG364" i="22"/>
  <c r="CB364" i="22"/>
  <c r="BY364" i="22"/>
  <c r="CP396" i="22"/>
  <c r="CH396" i="22"/>
  <c r="BZ396" i="22"/>
  <c r="BR396" i="22"/>
  <c r="BJ396" i="22"/>
  <c r="CU396" i="22"/>
  <c r="CL396" i="22"/>
  <c r="CC396" i="22"/>
  <c r="BT396" i="22"/>
  <c r="BK396" i="22"/>
  <c r="CS396" i="22"/>
  <c r="CJ396" i="22"/>
  <c r="CA396" i="22"/>
  <c r="BQ396" i="22"/>
  <c r="CN396" i="22"/>
  <c r="CB396" i="22"/>
  <c r="BO396" i="22"/>
  <c r="CM396" i="22"/>
  <c r="BY396" i="22"/>
  <c r="BN396" i="22"/>
  <c r="CK396" i="22"/>
  <c r="BX396" i="22"/>
  <c r="BM396" i="22"/>
  <c r="CO396" i="22"/>
  <c r="CD396" i="22"/>
  <c r="BP396" i="22"/>
  <c r="CT396" i="22"/>
  <c r="BV396" i="22"/>
  <c r="CR396" i="22"/>
  <c r="BU396" i="22"/>
  <c r="BS396" i="22"/>
  <c r="CG396" i="22"/>
  <c r="BI396" i="22"/>
  <c r="CV396" i="22"/>
  <c r="BW396" i="22"/>
  <c r="CQ396" i="22"/>
  <c r="CE396" i="22"/>
  <c r="BL396" i="22"/>
  <c r="CF396" i="22"/>
  <c r="CI396" i="22"/>
  <c r="CQ420" i="22"/>
  <c r="CI420" i="22"/>
  <c r="CA420" i="22"/>
  <c r="BS420" i="22"/>
  <c r="BK420" i="22"/>
  <c r="CO420" i="22"/>
  <c r="CF420" i="22"/>
  <c r="BW420" i="22"/>
  <c r="BN420" i="22"/>
  <c r="CM420" i="22"/>
  <c r="CC420" i="22"/>
  <c r="BR420" i="22"/>
  <c r="CV420" i="22"/>
  <c r="CL420" i="22"/>
  <c r="CB420" i="22"/>
  <c r="BQ420" i="22"/>
  <c r="CT420" i="22"/>
  <c r="CJ420" i="22"/>
  <c r="BY420" i="22"/>
  <c r="BO420" i="22"/>
  <c r="CR420" i="22"/>
  <c r="BZ420" i="22"/>
  <c r="BJ420" i="22"/>
  <c r="CN420" i="22"/>
  <c r="BV420" i="22"/>
  <c r="CE420" i="22"/>
  <c r="CD420" i="22"/>
  <c r="CU420" i="22"/>
  <c r="BX420" i="22"/>
  <c r="CG420" i="22"/>
  <c r="BL420" i="22"/>
  <c r="BT420" i="22"/>
  <c r="BP420" i="22"/>
  <c r="BM420" i="22"/>
  <c r="CP420" i="22"/>
  <c r="BI420" i="22"/>
  <c r="BU420" i="22"/>
  <c r="CH420" i="22"/>
  <c r="CS420" i="22"/>
  <c r="CK420" i="22"/>
  <c r="CT444" i="22"/>
  <c r="CL444" i="22"/>
  <c r="CD444" i="22"/>
  <c r="BV444" i="22"/>
  <c r="BN444" i="22"/>
  <c r="CQ444" i="22"/>
  <c r="CH444" i="22"/>
  <c r="BY444" i="22"/>
  <c r="BP444" i="22"/>
  <c r="CN444" i="22"/>
  <c r="CE444" i="22"/>
  <c r="BU444" i="22"/>
  <c r="BL444" i="22"/>
  <c r="CU444" i="22"/>
  <c r="CI444" i="22"/>
  <c r="BW444" i="22"/>
  <c r="BJ444" i="22"/>
  <c r="CS444" i="22"/>
  <c r="CG444" i="22"/>
  <c r="BT444" i="22"/>
  <c r="CR444" i="22"/>
  <c r="CB444" i="22"/>
  <c r="BM444" i="22"/>
  <c r="CP444" i="22"/>
  <c r="CA444" i="22"/>
  <c r="BK444" i="22"/>
  <c r="CM444" i="22"/>
  <c r="BX444" i="22"/>
  <c r="BS444" i="22"/>
  <c r="CV444" i="22"/>
  <c r="BR444" i="22"/>
  <c r="CK444" i="22"/>
  <c r="BO444" i="22"/>
  <c r="BZ444" i="22"/>
  <c r="BQ444" i="22"/>
  <c r="CC444" i="22"/>
  <c r="CO444" i="22"/>
  <c r="BI444" i="22"/>
  <c r="CJ444" i="22"/>
  <c r="CF444" i="22"/>
  <c r="CV469" i="22"/>
  <c r="CN469" i="22"/>
  <c r="CF469" i="22"/>
  <c r="BX469" i="22"/>
  <c r="BP469" i="22"/>
  <c r="CQ469" i="22"/>
  <c r="CH469" i="22"/>
  <c r="BY469" i="22"/>
  <c r="BO469" i="22"/>
  <c r="CM469" i="22"/>
  <c r="CD469" i="22"/>
  <c r="BU469" i="22"/>
  <c r="BL469" i="22"/>
  <c r="CS469" i="22"/>
  <c r="CJ469" i="22"/>
  <c r="CA469" i="22"/>
  <c r="BR469" i="22"/>
  <c r="CP469" i="22"/>
  <c r="CB469" i="22"/>
  <c r="BM469" i="22"/>
  <c r="CK469" i="22"/>
  <c r="BT469" i="22"/>
  <c r="CU469" i="22"/>
  <c r="CE469" i="22"/>
  <c r="BN469" i="22"/>
  <c r="CO469" i="22"/>
  <c r="BS469" i="22"/>
  <c r="CL469" i="22"/>
  <c r="BQ469" i="22"/>
  <c r="CI469" i="22"/>
  <c r="BK469" i="22"/>
  <c r="CT469" i="22"/>
  <c r="CR469" i="22"/>
  <c r="CC469" i="22"/>
  <c r="CG469" i="22"/>
  <c r="BZ469" i="22"/>
  <c r="BV469" i="22"/>
  <c r="BW469" i="22"/>
  <c r="BJ469" i="22"/>
  <c r="BI469" i="22"/>
  <c r="CR493" i="22"/>
  <c r="CJ493" i="22"/>
  <c r="CB493" i="22"/>
  <c r="BT493" i="22"/>
  <c r="BL493" i="22"/>
  <c r="CP493" i="22"/>
  <c r="CH493" i="22"/>
  <c r="BZ493" i="22"/>
  <c r="BR493" i="22"/>
  <c r="BJ493" i="22"/>
  <c r="CM493" i="22"/>
  <c r="CC493" i="22"/>
  <c r="BQ493" i="22"/>
  <c r="CT493" i="22"/>
  <c r="CG493" i="22"/>
  <c r="BV493" i="22"/>
  <c r="CU493" i="22"/>
  <c r="CF493" i="22"/>
  <c r="BS493" i="22"/>
  <c r="CK493" i="22"/>
  <c r="BU493" i="22"/>
  <c r="CL493" i="22"/>
  <c r="BW493" i="22"/>
  <c r="CS493" i="22"/>
  <c r="BY493" i="22"/>
  <c r="CN493" i="22"/>
  <c r="BO493" i="22"/>
  <c r="CD493" i="22"/>
  <c r="BK493" i="22"/>
  <c r="CI493" i="22"/>
  <c r="CE493" i="22"/>
  <c r="BX493" i="22"/>
  <c r="BM493" i="22"/>
  <c r="CV493" i="22"/>
  <c r="CQ493" i="22"/>
  <c r="CO493" i="22"/>
  <c r="BP493" i="22"/>
  <c r="BN493" i="22"/>
  <c r="CA493" i="22"/>
  <c r="BI493" i="22"/>
  <c r="CS349" i="22"/>
  <c r="CK349" i="22"/>
  <c r="CC349" i="22"/>
  <c r="BU349" i="22"/>
  <c r="BM349" i="22"/>
  <c r="CR349" i="22"/>
  <c r="CJ349" i="22"/>
  <c r="CB349" i="22"/>
  <c r="BT349" i="22"/>
  <c r="BL349" i="22"/>
  <c r="CO349" i="22"/>
  <c r="CG349" i="22"/>
  <c r="BY349" i="22"/>
  <c r="BQ349" i="22"/>
  <c r="CT349" i="22"/>
  <c r="CL349" i="22"/>
  <c r="CD349" i="22"/>
  <c r="BV349" i="22"/>
  <c r="BN349" i="22"/>
  <c r="CM349" i="22"/>
  <c r="BW349" i="22"/>
  <c r="CN349" i="22"/>
  <c r="CI349" i="22"/>
  <c r="BS349" i="22"/>
  <c r="CH349" i="22"/>
  <c r="BR349" i="22"/>
  <c r="CV349" i="22"/>
  <c r="CF349" i="22"/>
  <c r="BP349" i="22"/>
  <c r="BI349" i="22"/>
  <c r="CP349" i="22"/>
  <c r="BZ349" i="22"/>
  <c r="CU349" i="22"/>
  <c r="CE349" i="22"/>
  <c r="BO349" i="22"/>
  <c r="CQ349" i="22"/>
  <c r="CA349" i="22"/>
  <c r="BK349" i="22"/>
  <c r="BJ349" i="22"/>
  <c r="BX349" i="22"/>
  <c r="CS381" i="22"/>
  <c r="CK381" i="22"/>
  <c r="CC381" i="22"/>
  <c r="BU381" i="22"/>
  <c r="BM381" i="22"/>
  <c r="CQ381" i="22"/>
  <c r="CI381" i="22"/>
  <c r="CA381" i="22"/>
  <c r="BS381" i="22"/>
  <c r="BK381" i="22"/>
  <c r="CO381" i="22"/>
  <c r="CE381" i="22"/>
  <c r="BT381" i="22"/>
  <c r="CM381" i="22"/>
  <c r="CB381" i="22"/>
  <c r="BQ381" i="22"/>
  <c r="CR381" i="22"/>
  <c r="CD381" i="22"/>
  <c r="BO381" i="22"/>
  <c r="CP381" i="22"/>
  <c r="BZ381" i="22"/>
  <c r="BN381" i="22"/>
  <c r="CJ381" i="22"/>
  <c r="BW381" i="22"/>
  <c r="CT381" i="22"/>
  <c r="CF381" i="22"/>
  <c r="BP381" i="22"/>
  <c r="CG381" i="22"/>
  <c r="BY381" i="22"/>
  <c r="BX381" i="22"/>
  <c r="CH381" i="22"/>
  <c r="CV381" i="22"/>
  <c r="BV381" i="22"/>
  <c r="BI381" i="22"/>
  <c r="CL381" i="22"/>
  <c r="CU381" i="22"/>
  <c r="BR381" i="22"/>
  <c r="CN381" i="22"/>
  <c r="BL381" i="22"/>
  <c r="BJ381" i="22"/>
  <c r="CQ397" i="22"/>
  <c r="CI397" i="22"/>
  <c r="CA397" i="22"/>
  <c r="BS397" i="22"/>
  <c r="BK397" i="22"/>
  <c r="CS397" i="22"/>
  <c r="CJ397" i="22"/>
  <c r="BZ397" i="22"/>
  <c r="BQ397" i="22"/>
  <c r="CP397" i="22"/>
  <c r="CG397" i="22"/>
  <c r="BX397" i="22"/>
  <c r="BO397" i="22"/>
  <c r="CL397" i="22"/>
  <c r="BY397" i="22"/>
  <c r="BM397" i="22"/>
  <c r="CV397" i="22"/>
  <c r="CK397" i="22"/>
  <c r="BW397" i="22"/>
  <c r="BL397" i="22"/>
  <c r="CU397" i="22"/>
  <c r="CH397" i="22"/>
  <c r="BV397" i="22"/>
  <c r="BJ397" i="22"/>
  <c r="CM397" i="22"/>
  <c r="CB397" i="22"/>
  <c r="BN397" i="22"/>
  <c r="CE397" i="22"/>
  <c r="CC397" i="22"/>
  <c r="CD397" i="22"/>
  <c r="CR397" i="22"/>
  <c r="BT397" i="22"/>
  <c r="CF397" i="22"/>
  <c r="CT397" i="22"/>
  <c r="CO397" i="22"/>
  <c r="CN397" i="22"/>
  <c r="BU397" i="22"/>
  <c r="BI397" i="22"/>
  <c r="BR397" i="22"/>
  <c r="BP397" i="22"/>
  <c r="CR421" i="22"/>
  <c r="CJ421" i="22"/>
  <c r="CB421" i="22"/>
  <c r="BT421" i="22"/>
  <c r="BL421" i="22"/>
  <c r="CV421" i="22"/>
  <c r="CM421" i="22"/>
  <c r="CD421" i="22"/>
  <c r="BU421" i="22"/>
  <c r="BK421" i="22"/>
  <c r="CP421" i="22"/>
  <c r="CF421" i="22"/>
  <c r="BV421" i="22"/>
  <c r="BJ421" i="22"/>
  <c r="CO421" i="22"/>
  <c r="CE421" i="22"/>
  <c r="BS421" i="22"/>
  <c r="CL421" i="22"/>
  <c r="CA421" i="22"/>
  <c r="BQ421" i="22"/>
  <c r="CK421" i="22"/>
  <c r="BW421" i="22"/>
  <c r="CH421" i="22"/>
  <c r="BP421" i="22"/>
  <c r="CI421" i="22"/>
  <c r="BN421" i="22"/>
  <c r="CG421" i="22"/>
  <c r="BM421" i="22"/>
  <c r="CC421" i="22"/>
  <c r="CN421" i="22"/>
  <c r="BO421" i="22"/>
  <c r="BY421" i="22"/>
  <c r="BX421" i="22"/>
  <c r="CT421" i="22"/>
  <c r="BZ421" i="22"/>
  <c r="BR421" i="22"/>
  <c r="CU421" i="22"/>
  <c r="CS421" i="22"/>
  <c r="CQ421" i="22"/>
  <c r="BI421" i="22"/>
  <c r="CU445" i="22"/>
  <c r="CM445" i="22"/>
  <c r="CE445" i="22"/>
  <c r="BW445" i="22"/>
  <c r="BO445" i="22"/>
  <c r="CO445" i="22"/>
  <c r="CF445" i="22"/>
  <c r="BV445" i="22"/>
  <c r="BM445" i="22"/>
  <c r="CT445" i="22"/>
  <c r="CK445" i="22"/>
  <c r="CB445" i="22"/>
  <c r="BS445" i="22"/>
  <c r="BJ445" i="22"/>
  <c r="CR445" i="22"/>
  <c r="CG445" i="22"/>
  <c r="BT445" i="22"/>
  <c r="CQ445" i="22"/>
  <c r="CD445" i="22"/>
  <c r="BR445" i="22"/>
  <c r="CL445" i="22"/>
  <c r="BX445" i="22"/>
  <c r="CJ445" i="22"/>
  <c r="BU445" i="22"/>
  <c r="CH445" i="22"/>
  <c r="BP445" i="22"/>
  <c r="CI445" i="22"/>
  <c r="BK445" i="22"/>
  <c r="CC445" i="22"/>
  <c r="BZ445" i="22"/>
  <c r="BY445" i="22"/>
  <c r="BQ445" i="22"/>
  <c r="BN445" i="22"/>
  <c r="CA445" i="22"/>
  <c r="CS445" i="22"/>
  <c r="CP445" i="22"/>
  <c r="CN445" i="22"/>
  <c r="CV445" i="22"/>
  <c r="BL445" i="22"/>
  <c r="BI445" i="22"/>
  <c r="CO470" i="22"/>
  <c r="CG470" i="22"/>
  <c r="BY470" i="22"/>
  <c r="BQ470" i="22"/>
  <c r="CN470" i="22"/>
  <c r="CE470" i="22"/>
  <c r="BV470" i="22"/>
  <c r="BM470" i="22"/>
  <c r="CT470" i="22"/>
  <c r="CK470" i="22"/>
  <c r="CB470" i="22"/>
  <c r="BS470" i="22"/>
  <c r="BJ470" i="22"/>
  <c r="CQ470" i="22"/>
  <c r="CH470" i="22"/>
  <c r="BX470" i="22"/>
  <c r="BO470" i="22"/>
  <c r="CU470" i="22"/>
  <c r="CF470" i="22"/>
  <c r="BR470" i="22"/>
  <c r="CV470" i="22"/>
  <c r="CD470" i="22"/>
  <c r="BN470" i="22"/>
  <c r="CP470" i="22"/>
  <c r="BZ470" i="22"/>
  <c r="CS470" i="22"/>
  <c r="BW470" i="22"/>
  <c r="CR470" i="22"/>
  <c r="BU470" i="22"/>
  <c r="CM470" i="22"/>
  <c r="BT470" i="22"/>
  <c r="CL470" i="22"/>
  <c r="CJ470" i="22"/>
  <c r="CC470" i="22"/>
  <c r="CI470" i="22"/>
  <c r="BK470" i="22"/>
  <c r="BL470" i="22"/>
  <c r="BI470" i="22"/>
  <c r="CA470" i="22"/>
  <c r="BP470" i="22"/>
  <c r="CS494" i="22"/>
  <c r="CK494" i="22"/>
  <c r="CC494" i="22"/>
  <c r="BU494" i="22"/>
  <c r="BM494" i="22"/>
  <c r="CQ494" i="22"/>
  <c r="CI494" i="22"/>
  <c r="CA494" i="22"/>
  <c r="BS494" i="22"/>
  <c r="BK494" i="22"/>
  <c r="CP494" i="22"/>
  <c r="CF494" i="22"/>
  <c r="BV494" i="22"/>
  <c r="BJ494" i="22"/>
  <c r="CR494" i="22"/>
  <c r="CE494" i="22"/>
  <c r="BR494" i="22"/>
  <c r="CJ494" i="22"/>
  <c r="BW494" i="22"/>
  <c r="CT494" i="22"/>
  <c r="CB494" i="22"/>
  <c r="BN494" i="22"/>
  <c r="CU494" i="22"/>
  <c r="CD494" i="22"/>
  <c r="BO494" i="22"/>
  <c r="BZ494" i="22"/>
  <c r="CN494" i="22"/>
  <c r="BT494" i="22"/>
  <c r="CH494" i="22"/>
  <c r="BL494" i="22"/>
  <c r="CG494" i="22"/>
  <c r="BY494" i="22"/>
  <c r="CL494" i="22"/>
  <c r="BP494" i="22"/>
  <c r="CV494" i="22"/>
  <c r="CO494" i="22"/>
  <c r="BX494" i="22"/>
  <c r="CM494" i="22"/>
  <c r="BQ494" i="22"/>
  <c r="BI494" i="22"/>
  <c r="CU343" i="22"/>
  <c r="CM343" i="22"/>
  <c r="CE343" i="22"/>
  <c r="BW343" i="22"/>
  <c r="BO343" i="22"/>
  <c r="CT343" i="22"/>
  <c r="CL343" i="22"/>
  <c r="CD343" i="22"/>
  <c r="BV343" i="22"/>
  <c r="BN343" i="22"/>
  <c r="CQ343" i="22"/>
  <c r="CI343" i="22"/>
  <c r="CA343" i="22"/>
  <c r="BS343" i="22"/>
  <c r="BK343" i="22"/>
  <c r="CV343" i="22"/>
  <c r="CN343" i="22"/>
  <c r="CF343" i="22"/>
  <c r="BX343" i="22"/>
  <c r="BP343" i="22"/>
  <c r="BI343" i="22"/>
  <c r="CG343" i="22"/>
  <c r="BQ343" i="22"/>
  <c r="BR343" i="22"/>
  <c r="CS343" i="22"/>
  <c r="CC343" i="22"/>
  <c r="BM343" i="22"/>
  <c r="CB343" i="22"/>
  <c r="BL343" i="22"/>
  <c r="CP343" i="22"/>
  <c r="BZ343" i="22"/>
  <c r="BJ343" i="22"/>
  <c r="CJ343" i="22"/>
  <c r="CH343" i="22"/>
  <c r="CO343" i="22"/>
  <c r="BY343" i="22"/>
  <c r="CK343" i="22"/>
  <c r="BU343" i="22"/>
  <c r="BT343" i="22"/>
  <c r="CP351" i="22"/>
  <c r="CH351" i="22"/>
  <c r="BZ351" i="22"/>
  <c r="BR351" i="22"/>
  <c r="CV351" i="22"/>
  <c r="CN351" i="22"/>
  <c r="CR351" i="22"/>
  <c r="CG351" i="22"/>
  <c r="BX351" i="22"/>
  <c r="BO351" i="22"/>
  <c r="CQ351" i="22"/>
  <c r="CF351" i="22"/>
  <c r="BW351" i="22"/>
  <c r="BN351" i="22"/>
  <c r="BI351" i="22"/>
  <c r="CL351" i="22"/>
  <c r="CC351" i="22"/>
  <c r="BT351" i="22"/>
  <c r="BK351" i="22"/>
  <c r="CS351" i="22"/>
  <c r="CI351" i="22"/>
  <c r="BY351" i="22"/>
  <c r="BP351" i="22"/>
  <c r="CT351" i="22"/>
  <c r="CA351" i="22"/>
  <c r="CB351" i="22"/>
  <c r="CO351" i="22"/>
  <c r="BV351" i="22"/>
  <c r="CM351" i="22"/>
  <c r="BU351" i="22"/>
  <c r="CD351" i="22"/>
  <c r="CU351" i="22"/>
  <c r="CK351" i="22"/>
  <c r="BS351" i="22"/>
  <c r="CJ351" i="22"/>
  <c r="BQ351" i="22"/>
  <c r="CE351" i="22"/>
  <c r="BM351" i="22"/>
  <c r="BL351" i="22"/>
  <c r="BJ351" i="22"/>
  <c r="CP359" i="22"/>
  <c r="CH359" i="22"/>
  <c r="BZ359" i="22"/>
  <c r="BR359" i="22"/>
  <c r="BJ359" i="22"/>
  <c r="CV359" i="22"/>
  <c r="CN359" i="22"/>
  <c r="CF359" i="22"/>
  <c r="BX359" i="22"/>
  <c r="BP359" i="22"/>
  <c r="CO359" i="22"/>
  <c r="CD359" i="22"/>
  <c r="BT359" i="22"/>
  <c r="BI359" i="22"/>
  <c r="CM359" i="22"/>
  <c r="CC359" i="22"/>
  <c r="BS359" i="22"/>
  <c r="CT359" i="22"/>
  <c r="CJ359" i="22"/>
  <c r="BY359" i="22"/>
  <c r="BN359" i="22"/>
  <c r="CQ359" i="22"/>
  <c r="CE359" i="22"/>
  <c r="BU359" i="22"/>
  <c r="BK359" i="22"/>
  <c r="CG359" i="22"/>
  <c r="BL359" i="22"/>
  <c r="CI359" i="22"/>
  <c r="CB359" i="22"/>
  <c r="CU359" i="22"/>
  <c r="CA359" i="22"/>
  <c r="CS359" i="22"/>
  <c r="BW359" i="22"/>
  <c r="BO359" i="22"/>
  <c r="BM359" i="22"/>
  <c r="CR359" i="22"/>
  <c r="BV359" i="22"/>
  <c r="CL359" i="22"/>
  <c r="BQ359" i="22"/>
  <c r="CK359" i="22"/>
  <c r="CU367" i="22"/>
  <c r="CM367" i="22"/>
  <c r="CE367" i="22"/>
  <c r="BW367" i="22"/>
  <c r="BO367" i="22"/>
  <c r="CS367" i="22"/>
  <c r="CK367" i="22"/>
  <c r="CC367" i="22"/>
  <c r="BU367" i="22"/>
  <c r="BM367" i="22"/>
  <c r="CQ367" i="22"/>
  <c r="CG367" i="22"/>
  <c r="BV367" i="22"/>
  <c r="BK367" i="22"/>
  <c r="CO367" i="22"/>
  <c r="CD367" i="22"/>
  <c r="BS367" i="22"/>
  <c r="CI367" i="22"/>
  <c r="BT367" i="22"/>
  <c r="CV367" i="22"/>
  <c r="CH367" i="22"/>
  <c r="BR367" i="22"/>
  <c r="BI367" i="22"/>
  <c r="CP367" i="22"/>
  <c r="CA367" i="22"/>
  <c r="BN367" i="22"/>
  <c r="CJ367" i="22"/>
  <c r="BX367" i="22"/>
  <c r="CL367" i="22"/>
  <c r="BJ367" i="22"/>
  <c r="BL367" i="22"/>
  <c r="CF367" i="22"/>
  <c r="CB367" i="22"/>
  <c r="CN367" i="22"/>
  <c r="BZ367" i="22"/>
  <c r="CR367" i="22"/>
  <c r="BY367" i="22"/>
  <c r="CT367" i="22"/>
  <c r="BQ367" i="22"/>
  <c r="BP367" i="22"/>
  <c r="CU375" i="22"/>
  <c r="CM375" i="22"/>
  <c r="CE375" i="22"/>
  <c r="BW375" i="22"/>
  <c r="BO375" i="22"/>
  <c r="CS375" i="22"/>
  <c r="CK375" i="22"/>
  <c r="CC375" i="22"/>
  <c r="BU375" i="22"/>
  <c r="BM375" i="22"/>
  <c r="CO375" i="22"/>
  <c r="CD375" i="22"/>
  <c r="BS375" i="22"/>
  <c r="CL375" i="22"/>
  <c r="CA375" i="22"/>
  <c r="BQ375" i="22"/>
  <c r="CI375" i="22"/>
  <c r="BV375" i="22"/>
  <c r="CV375" i="22"/>
  <c r="CH375" i="22"/>
  <c r="BT375" i="22"/>
  <c r="CQ375" i="22"/>
  <c r="CB375" i="22"/>
  <c r="BN375" i="22"/>
  <c r="CJ375" i="22"/>
  <c r="BX375" i="22"/>
  <c r="BJ375" i="22"/>
  <c r="BI375" i="22"/>
  <c r="CN375" i="22"/>
  <c r="BK375" i="22"/>
  <c r="BL375" i="22"/>
  <c r="CG375" i="22"/>
  <c r="CF375" i="22"/>
  <c r="CP375" i="22"/>
  <c r="BZ375" i="22"/>
  <c r="BP375" i="22"/>
  <c r="BY375" i="22"/>
  <c r="CT375" i="22"/>
  <c r="BR375" i="22"/>
  <c r="CR375" i="22"/>
  <c r="CU383" i="22"/>
  <c r="CM383" i="22"/>
  <c r="CE383" i="22"/>
  <c r="BW383" i="22"/>
  <c r="BO383" i="22"/>
  <c r="CS383" i="22"/>
  <c r="CK383" i="22"/>
  <c r="CC383" i="22"/>
  <c r="BU383" i="22"/>
  <c r="BM383" i="22"/>
  <c r="CL383" i="22"/>
  <c r="CA383" i="22"/>
  <c r="BQ383" i="22"/>
  <c r="CT383" i="22"/>
  <c r="CI383" i="22"/>
  <c r="BY383" i="22"/>
  <c r="BN383" i="22"/>
  <c r="CN383" i="22"/>
  <c r="CB383" i="22"/>
  <c r="BR383" i="22"/>
  <c r="CR383" i="22"/>
  <c r="CD383" i="22"/>
  <c r="BK383" i="22"/>
  <c r="CQ383" i="22"/>
  <c r="BZ383" i="22"/>
  <c r="BJ383" i="22"/>
  <c r="BI383" i="22"/>
  <c r="CJ383" i="22"/>
  <c r="BT383" i="22"/>
  <c r="CV383" i="22"/>
  <c r="CF383" i="22"/>
  <c r="BL383" i="22"/>
  <c r="BP383" i="22"/>
  <c r="CP383" i="22"/>
  <c r="CO383" i="22"/>
  <c r="CH383" i="22"/>
  <c r="BV383" i="22"/>
  <c r="BS383" i="22"/>
  <c r="CG383" i="22"/>
  <c r="BX383" i="22"/>
  <c r="CU391" i="22"/>
  <c r="CM391" i="22"/>
  <c r="CE391" i="22"/>
  <c r="BW391" i="22"/>
  <c r="BO391" i="22"/>
  <c r="CS391" i="22"/>
  <c r="CK391" i="22"/>
  <c r="CC391" i="22"/>
  <c r="BU391" i="22"/>
  <c r="BM391" i="22"/>
  <c r="CT391" i="22"/>
  <c r="CI391" i="22"/>
  <c r="BY391" i="22"/>
  <c r="BN391" i="22"/>
  <c r="CR391" i="22"/>
  <c r="CH391" i="22"/>
  <c r="BX391" i="22"/>
  <c r="BL391" i="22"/>
  <c r="CQ391" i="22"/>
  <c r="CG391" i="22"/>
  <c r="BV391" i="22"/>
  <c r="BK391" i="22"/>
  <c r="CV391" i="22"/>
  <c r="CJ391" i="22"/>
  <c r="BZ391" i="22"/>
  <c r="BP391" i="22"/>
  <c r="CD391" i="22"/>
  <c r="CB391" i="22"/>
  <c r="BI391" i="22"/>
  <c r="CO391" i="22"/>
  <c r="BS391" i="22"/>
  <c r="CF391" i="22"/>
  <c r="BJ391" i="22"/>
  <c r="CA391" i="22"/>
  <c r="CL391" i="22"/>
  <c r="BT391" i="22"/>
  <c r="BR391" i="22"/>
  <c r="BQ391" i="22"/>
  <c r="CP391" i="22"/>
  <c r="CN391" i="22"/>
  <c r="CS399" i="22"/>
  <c r="CK399" i="22"/>
  <c r="CC399" i="22"/>
  <c r="BU399" i="22"/>
  <c r="BM399" i="22"/>
  <c r="CN399" i="22"/>
  <c r="CE399" i="22"/>
  <c r="BV399" i="22"/>
  <c r="BL399" i="22"/>
  <c r="CU399" i="22"/>
  <c r="CL399" i="22"/>
  <c r="CB399" i="22"/>
  <c r="BS399" i="22"/>
  <c r="BJ399" i="22"/>
  <c r="CR399" i="22"/>
  <c r="CG399" i="22"/>
  <c r="BT399" i="22"/>
  <c r="CQ399" i="22"/>
  <c r="CF399" i="22"/>
  <c r="BR399" i="22"/>
  <c r="CP399" i="22"/>
  <c r="CD399" i="22"/>
  <c r="BQ399" i="22"/>
  <c r="CT399" i="22"/>
  <c r="CH399" i="22"/>
  <c r="BW399" i="22"/>
  <c r="BZ399" i="22"/>
  <c r="BX399" i="22"/>
  <c r="BY399" i="22"/>
  <c r="BI399" i="22"/>
  <c r="CV399" i="22"/>
  <c r="CM399" i="22"/>
  <c r="BO399" i="22"/>
  <c r="CA399" i="22"/>
  <c r="CJ399" i="22"/>
  <c r="CI399" i="22"/>
  <c r="BP399" i="22"/>
  <c r="BN399" i="22"/>
  <c r="BK399" i="22"/>
  <c r="CO399" i="22"/>
  <c r="CS407" i="22"/>
  <c r="CK407" i="22"/>
  <c r="CC407" i="22"/>
  <c r="BU407" i="22"/>
  <c r="BM407" i="22"/>
  <c r="CU407" i="22"/>
  <c r="CL407" i="22"/>
  <c r="CN407" i="22"/>
  <c r="CD407" i="22"/>
  <c r="BT407" i="22"/>
  <c r="BK407" i="22"/>
  <c r="CV407" i="22"/>
  <c r="CJ407" i="22"/>
  <c r="CA407" i="22"/>
  <c r="BR407" i="22"/>
  <c r="CM407" i="22"/>
  <c r="BY407" i="22"/>
  <c r="BN407" i="22"/>
  <c r="CI407" i="22"/>
  <c r="BX407" i="22"/>
  <c r="BL407" i="22"/>
  <c r="CH407" i="22"/>
  <c r="BW407" i="22"/>
  <c r="BJ407" i="22"/>
  <c r="CO407" i="22"/>
  <c r="BZ407" i="22"/>
  <c r="BO407" i="22"/>
  <c r="CF407" i="22"/>
  <c r="CE407" i="22"/>
  <c r="BI407" i="22"/>
  <c r="CB407" i="22"/>
  <c r="CR407" i="22"/>
  <c r="BS407" i="22"/>
  <c r="CG407" i="22"/>
  <c r="CT407" i="22"/>
  <c r="CQ407" i="22"/>
  <c r="CP407" i="22"/>
  <c r="BV407" i="22"/>
  <c r="BQ407" i="22"/>
  <c r="BP407" i="22"/>
  <c r="CT415" i="22"/>
  <c r="CL415" i="22"/>
  <c r="CD415" i="22"/>
  <c r="BV415" i="22"/>
  <c r="BN415" i="22"/>
  <c r="CR415" i="22"/>
  <c r="CI415" i="22"/>
  <c r="BZ415" i="22"/>
  <c r="BQ415" i="22"/>
  <c r="CU415" i="22"/>
  <c r="CJ415" i="22"/>
  <c r="BY415" i="22"/>
  <c r="BO415" i="22"/>
  <c r="CS415" i="22"/>
  <c r="CH415" i="22"/>
  <c r="BX415" i="22"/>
  <c r="BM415" i="22"/>
  <c r="CP415" i="22"/>
  <c r="CF415" i="22"/>
  <c r="BU415" i="22"/>
  <c r="BK415" i="22"/>
  <c r="CM415" i="22"/>
  <c r="BT415" i="22"/>
  <c r="CG415" i="22"/>
  <c r="BR415" i="22"/>
  <c r="CV415" i="22"/>
  <c r="CA415" i="22"/>
  <c r="CQ415" i="22"/>
  <c r="BW415" i="22"/>
  <c r="CO415" i="22"/>
  <c r="BS415" i="22"/>
  <c r="CB415" i="22"/>
  <c r="CK415" i="22"/>
  <c r="CC415" i="22"/>
  <c r="CE415" i="22"/>
  <c r="BI415" i="22"/>
  <c r="BL415" i="22"/>
  <c r="CN415" i="22"/>
  <c r="BJ415" i="22"/>
  <c r="BP415" i="22"/>
  <c r="CT423" i="22"/>
  <c r="CL423" i="22"/>
  <c r="CD423" i="22"/>
  <c r="BV423" i="22"/>
  <c r="BN423" i="22"/>
  <c r="CQ423" i="22"/>
  <c r="CH423" i="22"/>
  <c r="BY423" i="22"/>
  <c r="BP423" i="22"/>
  <c r="CV423" i="22"/>
  <c r="CK423" i="22"/>
  <c r="CA423" i="22"/>
  <c r="BQ423" i="22"/>
  <c r="CU423" i="22"/>
  <c r="CJ423" i="22"/>
  <c r="BZ423" i="22"/>
  <c r="BO423" i="22"/>
  <c r="CR423" i="22"/>
  <c r="CG423" i="22"/>
  <c r="BW423" i="22"/>
  <c r="BL423" i="22"/>
  <c r="CP423" i="22"/>
  <c r="CB423" i="22"/>
  <c r="BJ423" i="22"/>
  <c r="CN423" i="22"/>
  <c r="BU423" i="22"/>
  <c r="BX423" i="22"/>
  <c r="CS423" i="22"/>
  <c r="BT423" i="22"/>
  <c r="CO423" i="22"/>
  <c r="BS423" i="22"/>
  <c r="CC423" i="22"/>
  <c r="CI423" i="22"/>
  <c r="CF423" i="22"/>
  <c r="BI423" i="22"/>
  <c r="CE423" i="22"/>
  <c r="BM423" i="22"/>
  <c r="CM423" i="22"/>
  <c r="BR423" i="22"/>
  <c r="BK423" i="22"/>
  <c r="CT431" i="22"/>
  <c r="CL431" i="22"/>
  <c r="CD431" i="22"/>
  <c r="BV431" i="22"/>
  <c r="BN431" i="22"/>
  <c r="CQ431" i="22"/>
  <c r="CH431" i="22"/>
  <c r="BY431" i="22"/>
  <c r="BP431" i="22"/>
  <c r="CP431" i="22"/>
  <c r="CG431" i="22"/>
  <c r="BX431" i="22"/>
  <c r="BO431" i="22"/>
  <c r="CO431" i="22"/>
  <c r="CC431" i="22"/>
  <c r="BR431" i="22"/>
  <c r="CN431" i="22"/>
  <c r="CB431" i="22"/>
  <c r="BQ431" i="22"/>
  <c r="CK431" i="22"/>
  <c r="BZ431" i="22"/>
  <c r="BL431" i="22"/>
  <c r="CI431" i="22"/>
  <c r="BM431" i="22"/>
  <c r="CF431" i="22"/>
  <c r="BK431" i="22"/>
  <c r="CU431" i="22"/>
  <c r="CA431" i="22"/>
  <c r="BW431" i="22"/>
  <c r="BU431" i="22"/>
  <c r="CV431" i="22"/>
  <c r="BT431" i="22"/>
  <c r="CE431" i="22"/>
  <c r="BJ431" i="22"/>
  <c r="BI431" i="22"/>
  <c r="CR431" i="22"/>
  <c r="BS431" i="22"/>
  <c r="CJ431" i="22"/>
  <c r="CM431" i="22"/>
  <c r="CS431" i="22"/>
  <c r="CO439" i="22"/>
  <c r="CG439" i="22"/>
  <c r="BY439" i="22"/>
  <c r="BQ439" i="22"/>
  <c r="CT439" i="22"/>
  <c r="CL439" i="22"/>
  <c r="CD439" i="22"/>
  <c r="BV439" i="22"/>
  <c r="BN439" i="22"/>
  <c r="CM439" i="22"/>
  <c r="CB439" i="22"/>
  <c r="BR439" i="22"/>
  <c r="CV439" i="22"/>
  <c r="CK439" i="22"/>
  <c r="CA439" i="22"/>
  <c r="BP439" i="22"/>
  <c r="CU439" i="22"/>
  <c r="CH439" i="22"/>
  <c r="BT439" i="22"/>
  <c r="CS439" i="22"/>
  <c r="CF439" i="22"/>
  <c r="BS439" i="22"/>
  <c r="CQ439" i="22"/>
  <c r="CC439" i="22"/>
  <c r="BM439" i="22"/>
  <c r="CN439" i="22"/>
  <c r="BO439" i="22"/>
  <c r="CJ439" i="22"/>
  <c r="BL439" i="22"/>
  <c r="CE439" i="22"/>
  <c r="BJ439" i="22"/>
  <c r="BU439" i="22"/>
  <c r="BK439" i="22"/>
  <c r="CR439" i="22"/>
  <c r="BW439" i="22"/>
  <c r="CI439" i="22"/>
  <c r="BZ439" i="22"/>
  <c r="BI439" i="22"/>
  <c r="CP439" i="22"/>
  <c r="BX439" i="22"/>
  <c r="CP448" i="22"/>
  <c r="CH448" i="22"/>
  <c r="BZ448" i="22"/>
  <c r="BR448" i="22"/>
  <c r="BJ448" i="22"/>
  <c r="CQ448" i="22"/>
  <c r="CG448" i="22"/>
  <c r="BX448" i="22"/>
  <c r="BO448" i="22"/>
  <c r="CV448" i="22"/>
  <c r="CM448" i="22"/>
  <c r="CD448" i="22"/>
  <c r="BU448" i="22"/>
  <c r="BL448" i="22"/>
  <c r="CK448" i="22"/>
  <c r="BY448" i="22"/>
  <c r="BM448" i="22"/>
  <c r="CU448" i="22"/>
  <c r="CJ448" i="22"/>
  <c r="BW448" i="22"/>
  <c r="BK448" i="22"/>
  <c r="CI448" i="22"/>
  <c r="BS448" i="22"/>
  <c r="CF448" i="22"/>
  <c r="BQ448" i="22"/>
  <c r="CS448" i="22"/>
  <c r="CC448" i="22"/>
  <c r="BN448" i="22"/>
  <c r="CT448" i="22"/>
  <c r="BV448" i="22"/>
  <c r="CR448" i="22"/>
  <c r="BT448" i="22"/>
  <c r="CN448" i="22"/>
  <c r="CE448" i="22"/>
  <c r="CB448" i="22"/>
  <c r="CA448" i="22"/>
  <c r="CL448" i="22"/>
  <c r="BI448" i="22"/>
  <c r="BP448" i="22"/>
  <c r="CO448" i="22"/>
  <c r="CV456" i="22"/>
  <c r="CN456" i="22"/>
  <c r="CF456" i="22"/>
  <c r="CR456" i="22"/>
  <c r="CI456" i="22"/>
  <c r="BZ456" i="22"/>
  <c r="BR456" i="22"/>
  <c r="BJ456" i="22"/>
  <c r="CQ456" i="22"/>
  <c r="CG456" i="22"/>
  <c r="BW456" i="22"/>
  <c r="BN456" i="22"/>
  <c r="CM456" i="22"/>
  <c r="CC456" i="22"/>
  <c r="BT456" i="22"/>
  <c r="BK456" i="22"/>
  <c r="CS456" i="22"/>
  <c r="CD456" i="22"/>
  <c r="BQ456" i="22"/>
  <c r="CP456" i="22"/>
  <c r="CB456" i="22"/>
  <c r="BP456" i="22"/>
  <c r="CH456" i="22"/>
  <c r="BO456" i="22"/>
  <c r="CE456" i="22"/>
  <c r="BM456" i="22"/>
  <c r="CT456" i="22"/>
  <c r="BY456" i="22"/>
  <c r="BV456" i="22"/>
  <c r="CU456" i="22"/>
  <c r="BU456" i="22"/>
  <c r="CL456" i="22"/>
  <c r="BL456" i="22"/>
  <c r="CO456" i="22"/>
  <c r="BS456" i="22"/>
  <c r="CJ456" i="22"/>
  <c r="BI456" i="22"/>
  <c r="CA456" i="22"/>
  <c r="CK456" i="22"/>
  <c r="BX456" i="22"/>
  <c r="CV464" i="22"/>
  <c r="CN464" i="22"/>
  <c r="CF464" i="22"/>
  <c r="BX464" i="22"/>
  <c r="BP464" i="22"/>
  <c r="CS464" i="22"/>
  <c r="CK464" i="22"/>
  <c r="CC464" i="22"/>
  <c r="BU464" i="22"/>
  <c r="BM464" i="22"/>
  <c r="CR464" i="22"/>
  <c r="CH464" i="22"/>
  <c r="BW464" i="22"/>
  <c r="BL464" i="22"/>
  <c r="CP464" i="22"/>
  <c r="CD464" i="22"/>
  <c r="BR464" i="22"/>
  <c r="CL464" i="22"/>
  <c r="BZ464" i="22"/>
  <c r="BN464" i="22"/>
  <c r="CO464" i="22"/>
  <c r="CM464" i="22"/>
  <c r="BV464" i="22"/>
  <c r="CJ464" i="22"/>
  <c r="BT464" i="22"/>
  <c r="CA464" i="22"/>
  <c r="CU464" i="22"/>
  <c r="BY464" i="22"/>
  <c r="CQ464" i="22"/>
  <c r="BQ464" i="22"/>
  <c r="CG464" i="22"/>
  <c r="CE464" i="22"/>
  <c r="BS464" i="22"/>
  <c r="BJ464" i="22"/>
  <c r="BK464" i="22"/>
  <c r="CI464" i="22"/>
  <c r="BI464" i="22"/>
  <c r="CB464" i="22"/>
  <c r="CT464" i="22"/>
  <c r="BO464" i="22"/>
  <c r="CQ472" i="22"/>
  <c r="CI472" i="22"/>
  <c r="CA472" i="22"/>
  <c r="BS472" i="22"/>
  <c r="BK472" i="22"/>
  <c r="CN472" i="22"/>
  <c r="CE472" i="22"/>
  <c r="BV472" i="22"/>
  <c r="BM472" i="22"/>
  <c r="CS472" i="22"/>
  <c r="CH472" i="22"/>
  <c r="BX472" i="22"/>
  <c r="BN472" i="22"/>
  <c r="CO472" i="22"/>
  <c r="CD472" i="22"/>
  <c r="BT472" i="22"/>
  <c r="CU472" i="22"/>
  <c r="CK472" i="22"/>
  <c r="BZ472" i="22"/>
  <c r="BP472" i="22"/>
  <c r="CJ472" i="22"/>
  <c r="BR472" i="22"/>
  <c r="CT472" i="22"/>
  <c r="CB472" i="22"/>
  <c r="CM472" i="22"/>
  <c r="BU472" i="22"/>
  <c r="CR472" i="22"/>
  <c r="BQ472" i="22"/>
  <c r="CP472" i="22"/>
  <c r="BO472" i="22"/>
  <c r="CL472" i="22"/>
  <c r="BL472" i="22"/>
  <c r="CV472" i="22"/>
  <c r="CG472" i="22"/>
  <c r="CC472" i="22"/>
  <c r="CF472" i="22"/>
  <c r="BW472" i="22"/>
  <c r="BJ472" i="22"/>
  <c r="BY472" i="22"/>
  <c r="BI472" i="22"/>
  <c r="CQ480" i="22"/>
  <c r="CI480" i="22"/>
  <c r="CA480" i="22"/>
  <c r="BS480" i="22"/>
  <c r="BK480" i="22"/>
  <c r="CS480" i="22"/>
  <c r="CJ480" i="22"/>
  <c r="BZ480" i="22"/>
  <c r="BQ480" i="22"/>
  <c r="CN480" i="22"/>
  <c r="CD480" i="22"/>
  <c r="BT480" i="22"/>
  <c r="CU480" i="22"/>
  <c r="CH480" i="22"/>
  <c r="BW480" i="22"/>
  <c r="BL480" i="22"/>
  <c r="CV480" i="22"/>
  <c r="CK480" i="22"/>
  <c r="BX480" i="22"/>
  <c r="BM480" i="22"/>
  <c r="CP480" i="22"/>
  <c r="CB480" i="22"/>
  <c r="BJ480" i="22"/>
  <c r="CL480" i="22"/>
  <c r="BU480" i="22"/>
  <c r="CT480" i="22"/>
  <c r="CE480" i="22"/>
  <c r="BO480" i="22"/>
  <c r="CC480" i="22"/>
  <c r="BY480" i="22"/>
  <c r="CF480" i="22"/>
  <c r="BP480" i="22"/>
  <c r="BV480" i="22"/>
  <c r="BR480" i="22"/>
  <c r="BN480" i="22"/>
  <c r="CR480" i="22"/>
  <c r="CO480" i="22"/>
  <c r="CG480" i="22"/>
  <c r="CM480" i="22"/>
  <c r="BI480" i="22"/>
  <c r="CR488" i="22"/>
  <c r="CJ488" i="22"/>
  <c r="CB488" i="22"/>
  <c r="BT488" i="22"/>
  <c r="BL488" i="22"/>
  <c r="CS488" i="22"/>
  <c r="CI488" i="22"/>
  <c r="BZ488" i="22"/>
  <c r="BQ488" i="22"/>
  <c r="CP488" i="22"/>
  <c r="CF488" i="22"/>
  <c r="BV488" i="22"/>
  <c r="BK488" i="22"/>
  <c r="CU488" i="22"/>
  <c r="CH488" i="22"/>
  <c r="BW488" i="22"/>
  <c r="BJ488" i="22"/>
  <c r="CV488" i="22"/>
  <c r="CK488" i="22"/>
  <c r="BX488" i="22"/>
  <c r="BM488" i="22"/>
  <c r="CG488" i="22"/>
  <c r="BR488" i="22"/>
  <c r="CQ488" i="22"/>
  <c r="CC488" i="22"/>
  <c r="BN488" i="22"/>
  <c r="CM488" i="22"/>
  <c r="BU488" i="22"/>
  <c r="BY488" i="22"/>
  <c r="CT488" i="22"/>
  <c r="BS488" i="22"/>
  <c r="CA488" i="22"/>
  <c r="CO488" i="22"/>
  <c r="CE488" i="22"/>
  <c r="CD488" i="22"/>
  <c r="BP488" i="22"/>
  <c r="CL488" i="22"/>
  <c r="BO488" i="22"/>
  <c r="CN488" i="22"/>
  <c r="BI488" i="22"/>
  <c r="P107" i="10"/>
  <c r="B565" i="28" s="1"/>
  <c r="G2" i="10"/>
  <c r="H308" i="22"/>
  <c r="H229" i="22"/>
  <c r="H317" i="22"/>
  <c r="H309" i="22"/>
  <c r="H188" i="22"/>
  <c r="H313" i="22"/>
  <c r="H312" i="22"/>
  <c r="H22" i="22"/>
  <c r="H133" i="22"/>
  <c r="H148" i="22"/>
  <c r="H36" i="22"/>
  <c r="H316" i="22"/>
  <c r="H203" i="22"/>
  <c r="H50" i="22"/>
  <c r="H273" i="22"/>
  <c r="H63" i="22"/>
  <c r="H118" i="22"/>
  <c r="H311" i="22"/>
  <c r="H92" i="22"/>
  <c r="H315" i="22"/>
  <c r="H259" i="22"/>
  <c r="H105" i="22"/>
  <c r="H173" i="22"/>
  <c r="H314" i="22"/>
  <c r="H242" i="22"/>
  <c r="H217" i="22"/>
  <c r="H78" i="22"/>
  <c r="H310" i="22"/>
  <c r="S28" i="1"/>
  <c r="S27" i="1"/>
  <c r="G108" i="16"/>
  <c r="G107" i="16"/>
  <c r="G21" i="16"/>
  <c r="BN21" i="1"/>
  <c r="BL21" i="1"/>
  <c r="BK21" i="1"/>
  <c r="BB21" i="1"/>
  <c r="BN20" i="1"/>
  <c r="BL20" i="1"/>
  <c r="BK20" i="1"/>
  <c r="BB20" i="1"/>
  <c r="BN19" i="1"/>
  <c r="BL19" i="1"/>
  <c r="BK19" i="1"/>
  <c r="BB19" i="1"/>
  <c r="BN18" i="1"/>
  <c r="BL18" i="1"/>
  <c r="BK18" i="1"/>
  <c r="BB18" i="1"/>
  <c r="BN17" i="1"/>
  <c r="BL17" i="1"/>
  <c r="BK17" i="1"/>
  <c r="BB17" i="1"/>
  <c r="BN16" i="1"/>
  <c r="BL16" i="1"/>
  <c r="BK16" i="1"/>
  <c r="BB16" i="1"/>
  <c r="BN15" i="1"/>
  <c r="BL15" i="1"/>
  <c r="BK15" i="1"/>
  <c r="BB15" i="1"/>
  <c r="BN14" i="1"/>
  <c r="BL14" i="1"/>
  <c r="BK14" i="1"/>
  <c r="BB14" i="1"/>
  <c r="BN13" i="1"/>
  <c r="BL13" i="1"/>
  <c r="BK13" i="1"/>
  <c r="BB13" i="1"/>
  <c r="BN12" i="1"/>
  <c r="BL12" i="1"/>
  <c r="BK12" i="1"/>
  <c r="BB12" i="1"/>
  <c r="BN11" i="1"/>
  <c r="BL11" i="1"/>
  <c r="BK11" i="1"/>
  <c r="BB11" i="1"/>
  <c r="BN10" i="1"/>
  <c r="BL10" i="1"/>
  <c r="BK10" i="1"/>
  <c r="BB10" i="1"/>
  <c r="BN9" i="1"/>
  <c r="BL9" i="1"/>
  <c r="BK9" i="1"/>
  <c r="BB9" i="1"/>
  <c r="BL8" i="1"/>
  <c r="BK8" i="1"/>
  <c r="BB8" i="1"/>
  <c r="BN7" i="1"/>
  <c r="BK7" i="1"/>
  <c r="BB7" i="1"/>
  <c r="BN6" i="1"/>
  <c r="BL6" i="1"/>
  <c r="BB6" i="1"/>
  <c r="BN5" i="1"/>
  <c r="BL5" i="1"/>
  <c r="BK5" i="1"/>
  <c r="BB5" i="1"/>
  <c r="V2" i="10" l="1"/>
  <c r="P2" i="10" s="1"/>
  <c r="B460" i="28" s="1"/>
  <c r="A187" i="24"/>
  <c r="A188" i="24"/>
  <c r="A189" i="24"/>
  <c r="A190" i="24"/>
  <c r="A191" i="24"/>
  <c r="E445" i="22" l="1"/>
  <c r="E444" i="22"/>
  <c r="E443" i="22"/>
  <c r="E442" i="22"/>
  <c r="E441" i="22"/>
  <c r="E440" i="22"/>
  <c r="E439" i="22"/>
  <c r="E438" i="22"/>
  <c r="E437" i="22"/>
  <c r="E436" i="22"/>
  <c r="E435" i="22"/>
  <c r="E434" i="22"/>
  <c r="E433" i="22"/>
  <c r="E432" i="22"/>
  <c r="E431" i="22"/>
  <c r="E430" i="22"/>
  <c r="E429" i="22"/>
  <c r="E428" i="22"/>
  <c r="E427" i="22"/>
  <c r="E426" i="22"/>
  <c r="E425" i="22"/>
  <c r="E424" i="22"/>
  <c r="E423" i="22"/>
  <c r="E422" i="22"/>
  <c r="E421" i="22"/>
  <c r="E420" i="22"/>
  <c r="E419" i="22"/>
  <c r="E418" i="22"/>
  <c r="E417" i="22"/>
  <c r="E416" i="22"/>
  <c r="E415" i="22"/>
  <c r="E414" i="22"/>
  <c r="E413" i="22"/>
  <c r="E412" i="22"/>
  <c r="E411" i="22"/>
  <c r="E410" i="22"/>
  <c r="E409" i="22"/>
  <c r="E408" i="22"/>
  <c r="E407" i="22"/>
  <c r="E406" i="22"/>
  <c r="E405" i="22"/>
  <c r="E404" i="22"/>
  <c r="E403" i="22"/>
  <c r="E402" i="22"/>
  <c r="E401" i="22"/>
  <c r="E400" i="22"/>
  <c r="E399" i="22"/>
  <c r="E398" i="22"/>
  <c r="E397" i="22"/>
  <c r="E396" i="22"/>
  <c r="E395" i="22"/>
  <c r="E394" i="22"/>
  <c r="E393" i="22"/>
  <c r="E392" i="22"/>
  <c r="E391" i="22"/>
  <c r="E390" i="22"/>
  <c r="E389" i="22"/>
  <c r="E388" i="22"/>
  <c r="E387" i="22"/>
  <c r="E386" i="22"/>
  <c r="E385" i="22"/>
  <c r="E384" i="22"/>
  <c r="E383" i="22"/>
  <c r="E382" i="22"/>
  <c r="E381" i="22"/>
  <c r="E380" i="22"/>
  <c r="E379" i="22"/>
  <c r="E378" i="22"/>
  <c r="E377" i="22"/>
  <c r="E376" i="22"/>
  <c r="E375" i="22"/>
  <c r="E374" i="22"/>
  <c r="E373" i="22"/>
  <c r="E372" i="22"/>
  <c r="E371" i="22"/>
  <c r="E370" i="22"/>
  <c r="E369" i="22"/>
  <c r="E368" i="22"/>
  <c r="E367" i="22"/>
  <c r="E366" i="22"/>
  <c r="E365" i="22"/>
  <c r="E364" i="22"/>
  <c r="E363" i="22"/>
  <c r="E362" i="22"/>
  <c r="E361" i="22"/>
  <c r="E360" i="22"/>
  <c r="E359" i="22"/>
  <c r="E358" i="22"/>
  <c r="E357" i="22"/>
  <c r="E356" i="22"/>
  <c r="E355" i="22"/>
  <c r="E354" i="22"/>
  <c r="E353" i="22"/>
  <c r="E352" i="22"/>
  <c r="E351" i="22"/>
  <c r="E350" i="22"/>
  <c r="E349" i="22"/>
  <c r="E348" i="22"/>
  <c r="E347" i="22"/>
  <c r="E346" i="22"/>
  <c r="E345" i="22"/>
  <c r="CR345" i="22" s="1"/>
  <c r="E344" i="22"/>
  <c r="CR344" i="22" s="1"/>
  <c r="E343" i="22"/>
  <c r="CR343" i="22" s="1"/>
  <c r="E342" i="22"/>
  <c r="CR342" i="22" s="1"/>
  <c r="E341" i="22"/>
  <c r="CR341" i="22" s="1"/>
  <c r="E495" i="22"/>
  <c r="E494" i="22"/>
  <c r="E493" i="22"/>
  <c r="E492" i="22"/>
  <c r="E491" i="22"/>
  <c r="E490" i="22"/>
  <c r="E489" i="22"/>
  <c r="E488" i="22"/>
  <c r="E487" i="22"/>
  <c r="E486" i="22"/>
  <c r="E485" i="22"/>
  <c r="E484" i="22"/>
  <c r="E483" i="22"/>
  <c r="E482" i="22"/>
  <c r="E481" i="22"/>
  <c r="E480" i="22"/>
  <c r="E479" i="22"/>
  <c r="E478" i="22"/>
  <c r="E477" i="22"/>
  <c r="E476" i="22"/>
  <c r="E475" i="22"/>
  <c r="E474" i="22"/>
  <c r="E473" i="22"/>
  <c r="E472" i="22"/>
  <c r="E471" i="22"/>
  <c r="E470" i="22"/>
  <c r="E469" i="22"/>
  <c r="E468" i="22"/>
  <c r="E467" i="22"/>
  <c r="E466" i="22"/>
  <c r="E465" i="22"/>
  <c r="E464" i="22"/>
  <c r="E463" i="22"/>
  <c r="E462" i="22"/>
  <c r="E461" i="22"/>
  <c r="E460" i="22"/>
  <c r="E459" i="22"/>
  <c r="E458" i="22"/>
  <c r="E457" i="22"/>
  <c r="E456" i="22"/>
  <c r="E455" i="22"/>
  <c r="E454" i="22"/>
  <c r="E453" i="22"/>
  <c r="E452" i="22"/>
  <c r="E451" i="22"/>
  <c r="E450" i="22"/>
  <c r="E449" i="22"/>
  <c r="E448" i="22"/>
  <c r="E447" i="22"/>
  <c r="E446" i="22"/>
  <c r="D446" i="22"/>
  <c r="C445" i="22"/>
  <c r="BG686" i="22" s="1"/>
  <c r="C444" i="22"/>
  <c r="BG685" i="22" s="1"/>
  <c r="C443" i="22"/>
  <c r="BG684" i="22" s="1"/>
  <c r="C442" i="22"/>
  <c r="BG683" i="22" s="1"/>
  <c r="C441" i="22"/>
  <c r="BG682" i="22" s="1"/>
  <c r="C440" i="22"/>
  <c r="BG681" i="22" s="1"/>
  <c r="C439" i="22"/>
  <c r="BG680" i="22" s="1"/>
  <c r="C438" i="22"/>
  <c r="BG679" i="22" s="1"/>
  <c r="C437" i="22"/>
  <c r="BG678" i="22" s="1"/>
  <c r="C436" i="22"/>
  <c r="BG677" i="22" s="1"/>
  <c r="C435" i="22"/>
  <c r="BG676" i="22" s="1"/>
  <c r="C434" i="22"/>
  <c r="BG675" i="22" s="1"/>
  <c r="C433" i="22"/>
  <c r="BG674" i="22" s="1"/>
  <c r="C432" i="22"/>
  <c r="BG673" i="22" s="1"/>
  <c r="C431" i="22"/>
  <c r="BG672" i="22" s="1"/>
  <c r="C430" i="22"/>
  <c r="BG671" i="22" s="1"/>
  <c r="C429" i="22"/>
  <c r="BG670" i="22" s="1"/>
  <c r="C428" i="22"/>
  <c r="BG669" i="22" s="1"/>
  <c r="C427" i="22"/>
  <c r="BG668" i="22" s="1"/>
  <c r="C426" i="22"/>
  <c r="BG667" i="22" s="1"/>
  <c r="C425" i="22"/>
  <c r="BG666" i="22" s="1"/>
  <c r="C424" i="22"/>
  <c r="BG665" i="22" s="1"/>
  <c r="C423" i="22"/>
  <c r="BG664" i="22" s="1"/>
  <c r="C422" i="22"/>
  <c r="BG663" i="22" s="1"/>
  <c r="C421" i="22"/>
  <c r="BG662" i="22" s="1"/>
  <c r="C420" i="22"/>
  <c r="BG661" i="22" s="1"/>
  <c r="C419" i="22"/>
  <c r="BG660" i="22" s="1"/>
  <c r="C418" i="22"/>
  <c r="BG659" i="22" s="1"/>
  <c r="C417" i="22"/>
  <c r="BG658" i="22" s="1"/>
  <c r="C416" i="22"/>
  <c r="BG657" i="22" s="1"/>
  <c r="C415" i="22"/>
  <c r="BG656" i="22" s="1"/>
  <c r="C414" i="22"/>
  <c r="BG655" i="22" s="1"/>
  <c r="C413" i="22"/>
  <c r="BG654" i="22" s="1"/>
  <c r="C412" i="22"/>
  <c r="BG653" i="22" s="1"/>
  <c r="C411" i="22"/>
  <c r="BG652" i="22" s="1"/>
  <c r="C410" i="22"/>
  <c r="BG651" i="22" s="1"/>
  <c r="C409" i="22"/>
  <c r="BG650" i="22" s="1"/>
  <c r="C408" i="22"/>
  <c r="BG649" i="22" s="1"/>
  <c r="C407" i="22"/>
  <c r="BG648" i="22" s="1"/>
  <c r="C406" i="22"/>
  <c r="BG647" i="22" s="1"/>
  <c r="C405" i="22"/>
  <c r="BG646" i="22" s="1"/>
  <c r="C404" i="22"/>
  <c r="BG645" i="22" s="1"/>
  <c r="C495" i="22"/>
  <c r="C494" i="22"/>
  <c r="BG735" i="22" s="1"/>
  <c r="C493" i="22"/>
  <c r="BG734" i="22" s="1"/>
  <c r="C492" i="22"/>
  <c r="BG733" i="22" s="1"/>
  <c r="C491" i="22"/>
  <c r="BG732" i="22" s="1"/>
  <c r="C490" i="22"/>
  <c r="BG731" i="22" s="1"/>
  <c r="C489" i="22"/>
  <c r="BG730" i="22" s="1"/>
  <c r="C488" i="22"/>
  <c r="BG729" i="22" s="1"/>
  <c r="C487" i="22"/>
  <c r="BG728" i="22" s="1"/>
  <c r="C486" i="22"/>
  <c r="BG727" i="22" s="1"/>
  <c r="C485" i="22"/>
  <c r="BG726" i="22" s="1"/>
  <c r="C484" i="22"/>
  <c r="BG725" i="22" s="1"/>
  <c r="C483" i="22"/>
  <c r="BG724" i="22" s="1"/>
  <c r="C482" i="22"/>
  <c r="BG723" i="22" s="1"/>
  <c r="C481" i="22"/>
  <c r="BG722" i="22" s="1"/>
  <c r="C480" i="22"/>
  <c r="BG721" i="22" s="1"/>
  <c r="C479" i="22"/>
  <c r="BG720" i="22" s="1"/>
  <c r="C478" i="22"/>
  <c r="BG719" i="22" s="1"/>
  <c r="C477" i="22"/>
  <c r="BG718" i="22" s="1"/>
  <c r="C476" i="22"/>
  <c r="BG717" i="22" s="1"/>
  <c r="C475" i="22"/>
  <c r="BG716" i="22" s="1"/>
  <c r="C474" i="22"/>
  <c r="BG715" i="22" s="1"/>
  <c r="C473" i="22"/>
  <c r="BG714" i="22" s="1"/>
  <c r="C472" i="22"/>
  <c r="BG713" i="22" s="1"/>
  <c r="C471" i="22"/>
  <c r="BG712" i="22" s="1"/>
  <c r="C470" i="22"/>
  <c r="BG711" i="22" s="1"/>
  <c r="C469" i="22"/>
  <c r="BG710" i="22" s="1"/>
  <c r="C468" i="22"/>
  <c r="BG709" i="22" s="1"/>
  <c r="C467" i="22"/>
  <c r="BG708" i="22" s="1"/>
  <c r="C466" i="22"/>
  <c r="BG707" i="22" s="1"/>
  <c r="C465" i="22"/>
  <c r="BG706" i="22" s="1"/>
  <c r="C464" i="22"/>
  <c r="BG705" i="22" s="1"/>
  <c r="C463" i="22"/>
  <c r="BG704" i="22" s="1"/>
  <c r="C462" i="22"/>
  <c r="BG703" i="22" s="1"/>
  <c r="C461" i="22"/>
  <c r="BG702" i="22" s="1"/>
  <c r="C460" i="22"/>
  <c r="BG701" i="22" s="1"/>
  <c r="C459" i="22"/>
  <c r="BG700" i="22" s="1"/>
  <c r="C458" i="22"/>
  <c r="BG699" i="22" s="1"/>
  <c r="C457" i="22"/>
  <c r="BG698" i="22" s="1"/>
  <c r="C456" i="22"/>
  <c r="BG697" i="22" s="1"/>
  <c r="C455" i="22"/>
  <c r="BG696" i="22" s="1"/>
  <c r="C454" i="22"/>
  <c r="BG695" i="22" s="1"/>
  <c r="C453" i="22"/>
  <c r="BG694" i="22" s="1"/>
  <c r="C452" i="22"/>
  <c r="BG693" i="22" s="1"/>
  <c r="C451" i="22"/>
  <c r="BG692" i="22" s="1"/>
  <c r="C450" i="22"/>
  <c r="BG691" i="22" s="1"/>
  <c r="C449" i="22"/>
  <c r="BG690" i="22" s="1"/>
  <c r="C448" i="22"/>
  <c r="BG689" i="22" s="1"/>
  <c r="C447" i="22"/>
  <c r="BG688" i="22" s="1"/>
  <c r="C446" i="22"/>
  <c r="BG687" i="22" s="1"/>
  <c r="C403" i="22"/>
  <c r="BG644" i="22" s="1"/>
  <c r="C402" i="22"/>
  <c r="BG643" i="22" s="1"/>
  <c r="C401" i="22"/>
  <c r="BG642" i="22" s="1"/>
  <c r="C400" i="22"/>
  <c r="BG641" i="22" s="1"/>
  <c r="C399" i="22"/>
  <c r="BG640" i="22" s="1"/>
  <c r="C398" i="22"/>
  <c r="BG639" i="22" s="1"/>
  <c r="C397" i="22"/>
  <c r="BG638" i="22" s="1"/>
  <c r="C396" i="22"/>
  <c r="BG637" i="22" s="1"/>
  <c r="C395" i="22"/>
  <c r="BG636" i="22" s="1"/>
  <c r="C394" i="22"/>
  <c r="BG635" i="22" s="1"/>
  <c r="C393" i="22"/>
  <c r="BG634" i="22" s="1"/>
  <c r="C392" i="22"/>
  <c r="BG633" i="22" s="1"/>
  <c r="C391" i="22"/>
  <c r="BG632" i="22" s="1"/>
  <c r="C390" i="22"/>
  <c r="BG631" i="22" s="1"/>
  <c r="C389" i="22"/>
  <c r="BG630" i="22" s="1"/>
  <c r="C388" i="22"/>
  <c r="BG629" i="22" s="1"/>
  <c r="C387" i="22"/>
  <c r="BG628" i="22" s="1"/>
  <c r="C386" i="22"/>
  <c r="BG627" i="22" s="1"/>
  <c r="C385" i="22"/>
  <c r="BG626" i="22" s="1"/>
  <c r="C384" i="22"/>
  <c r="BG625" i="22" s="1"/>
  <c r="C383" i="22"/>
  <c r="BG624" i="22" s="1"/>
  <c r="C382" i="22"/>
  <c r="BG623" i="22" s="1"/>
  <c r="C381" i="22"/>
  <c r="BG622" i="22" s="1"/>
  <c r="C380" i="22"/>
  <c r="BG621" i="22" s="1"/>
  <c r="C379" i="22"/>
  <c r="BG620" i="22" s="1"/>
  <c r="C378" i="22"/>
  <c r="BG619" i="22" s="1"/>
  <c r="C377" i="22"/>
  <c r="BG618" i="22" s="1"/>
  <c r="C376" i="22"/>
  <c r="BG617" i="22" s="1"/>
  <c r="C375" i="22"/>
  <c r="BG616" i="22" s="1"/>
  <c r="C374" i="22"/>
  <c r="BG615" i="22" s="1"/>
  <c r="C373" i="22"/>
  <c r="BG614" i="22" s="1"/>
  <c r="C372" i="22"/>
  <c r="BG613" i="22" s="1"/>
  <c r="C371" i="22"/>
  <c r="BG612" i="22" s="1"/>
  <c r="C370" i="22"/>
  <c r="BG611" i="22" s="1"/>
  <c r="C369" i="22"/>
  <c r="BG610" i="22" s="1"/>
  <c r="C368" i="22"/>
  <c r="BG609" i="22" s="1"/>
  <c r="C367" i="22"/>
  <c r="BG608" i="22" s="1"/>
  <c r="C366" i="22"/>
  <c r="BG607" i="22" s="1"/>
  <c r="C365" i="22"/>
  <c r="BG606" i="22" s="1"/>
  <c r="C364" i="22"/>
  <c r="BG605" i="22" s="1"/>
  <c r="C363" i="22"/>
  <c r="BG604" i="22" s="1"/>
  <c r="C362" i="22"/>
  <c r="BG603" i="22" s="1"/>
  <c r="C361" i="22"/>
  <c r="BG602" i="22" s="1"/>
  <c r="C360" i="22"/>
  <c r="BG601" i="22" s="1"/>
  <c r="C359" i="22"/>
  <c r="BG600" i="22" s="1"/>
  <c r="C358" i="22"/>
  <c r="BG599" i="22" s="1"/>
  <c r="C357" i="22"/>
  <c r="BG598" i="22" s="1"/>
  <c r="C356" i="22"/>
  <c r="BG597" i="22" s="1"/>
  <c r="C355" i="22"/>
  <c r="BG596" i="22" s="1"/>
  <c r="C354" i="22"/>
  <c r="BG595" i="22" s="1"/>
  <c r="C353" i="22"/>
  <c r="BG594" i="22" s="1"/>
  <c r="C352" i="22"/>
  <c r="BG593" i="22" s="1"/>
  <c r="C351" i="22"/>
  <c r="BG592" i="22" s="1"/>
  <c r="C350" i="22"/>
  <c r="BG591" i="22" s="1"/>
  <c r="C349" i="22"/>
  <c r="BG590" i="22" s="1"/>
  <c r="C348" i="22"/>
  <c r="BG589" i="22" s="1"/>
  <c r="C347" i="22"/>
  <c r="BG588" i="22" s="1"/>
  <c r="C346" i="22"/>
  <c r="BG587" i="22" s="1"/>
  <c r="C345" i="22"/>
  <c r="BG586" i="22" s="1"/>
  <c r="C344" i="22"/>
  <c r="BG585" i="22" s="1"/>
  <c r="C343" i="22"/>
  <c r="BG584" i="22" s="1"/>
  <c r="C342" i="22"/>
  <c r="BG583" i="22" s="1"/>
  <c r="C341" i="22"/>
  <c r="BG582" i="22" s="1"/>
  <c r="CV446" i="22" l="1"/>
  <c r="CN446" i="22"/>
  <c r="CF446" i="22"/>
  <c r="BX446" i="22"/>
  <c r="BP446" i="22"/>
  <c r="CU446" i="22"/>
  <c r="CL446" i="22"/>
  <c r="CC446" i="22"/>
  <c r="BT446" i="22"/>
  <c r="BK446" i="22"/>
  <c r="CR446" i="22"/>
  <c r="CI446" i="22"/>
  <c r="BZ446" i="22"/>
  <c r="BQ446" i="22"/>
  <c r="CP446" i="22"/>
  <c r="CD446" i="22"/>
  <c r="BR446" i="22"/>
  <c r="CO446" i="22"/>
  <c r="CB446" i="22"/>
  <c r="BO446" i="22"/>
  <c r="CG446" i="22"/>
  <c r="BN446" i="22"/>
  <c r="CT446" i="22"/>
  <c r="CE446" i="22"/>
  <c r="BM446" i="22"/>
  <c r="CQ446" i="22"/>
  <c r="BY446" i="22"/>
  <c r="BJ446" i="22"/>
  <c r="BV446" i="22"/>
  <c r="CS446" i="22"/>
  <c r="BU446" i="22"/>
  <c r="CK446" i="22"/>
  <c r="BL446" i="22"/>
  <c r="CA446" i="22"/>
  <c r="BW446" i="22"/>
  <c r="BS446" i="22"/>
  <c r="CH446" i="22"/>
  <c r="CJ446" i="22"/>
  <c r="BI446" i="22"/>
  <c r="CM446" i="22"/>
  <c r="H348" i="22"/>
  <c r="J348" i="22"/>
  <c r="K348" i="22" s="1"/>
  <c r="H380" i="22"/>
  <c r="J380" i="22"/>
  <c r="K380" i="22" s="1"/>
  <c r="H454" i="22"/>
  <c r="J454" i="22"/>
  <c r="K454" i="22" s="1"/>
  <c r="H486" i="22"/>
  <c r="J486" i="22"/>
  <c r="K486" i="22" s="1"/>
  <c r="H410" i="22"/>
  <c r="J410" i="22"/>
  <c r="K410" i="22" s="1"/>
  <c r="H442" i="22"/>
  <c r="J442" i="22"/>
  <c r="K442" i="22" s="1"/>
  <c r="H341" i="22"/>
  <c r="J341" i="22"/>
  <c r="K341" i="22" s="1"/>
  <c r="H349" i="22"/>
  <c r="J349" i="22"/>
  <c r="K349" i="22" s="1"/>
  <c r="H357" i="22"/>
  <c r="J357" i="22"/>
  <c r="K357" i="22" s="1"/>
  <c r="H365" i="22"/>
  <c r="J365" i="22"/>
  <c r="K365" i="22" s="1"/>
  <c r="H373" i="22"/>
  <c r="J373" i="22"/>
  <c r="K373" i="22" s="1"/>
  <c r="H381" i="22"/>
  <c r="J381" i="22"/>
  <c r="K381" i="22" s="1"/>
  <c r="H389" i="22"/>
  <c r="J389" i="22"/>
  <c r="K389" i="22" s="1"/>
  <c r="H397" i="22"/>
  <c r="J397" i="22"/>
  <c r="K397" i="22" s="1"/>
  <c r="H447" i="22"/>
  <c r="J447" i="22"/>
  <c r="K447" i="22" s="1"/>
  <c r="H455" i="22"/>
  <c r="J455" i="22"/>
  <c r="K455" i="22" s="1"/>
  <c r="H463" i="22"/>
  <c r="J463" i="22"/>
  <c r="K463" i="22" s="1"/>
  <c r="H471" i="22"/>
  <c r="J471" i="22"/>
  <c r="K471" i="22" s="1"/>
  <c r="H479" i="22"/>
  <c r="J479" i="22"/>
  <c r="K479" i="22" s="1"/>
  <c r="H487" i="22"/>
  <c r="J487" i="22"/>
  <c r="K487" i="22" s="1"/>
  <c r="H495" i="22"/>
  <c r="J495" i="22"/>
  <c r="K495" i="22" s="1"/>
  <c r="H411" i="22"/>
  <c r="J411" i="22"/>
  <c r="K411" i="22" s="1"/>
  <c r="H419" i="22"/>
  <c r="J419" i="22"/>
  <c r="K419" i="22" s="1"/>
  <c r="H427" i="22"/>
  <c r="J427" i="22"/>
  <c r="K427" i="22" s="1"/>
  <c r="H435" i="22"/>
  <c r="J435" i="22"/>
  <c r="K435" i="22" s="1"/>
  <c r="H443" i="22"/>
  <c r="J443" i="22"/>
  <c r="K443" i="22" s="1"/>
  <c r="H342" i="22"/>
  <c r="J342" i="22"/>
  <c r="K342" i="22" s="1"/>
  <c r="H350" i="22"/>
  <c r="J350" i="22"/>
  <c r="K350" i="22" s="1"/>
  <c r="H358" i="22"/>
  <c r="J358" i="22"/>
  <c r="K358" i="22" s="1"/>
  <c r="H366" i="22"/>
  <c r="J366" i="22"/>
  <c r="K366" i="22" s="1"/>
  <c r="H374" i="22"/>
  <c r="J374" i="22"/>
  <c r="K374" i="22" s="1"/>
  <c r="H382" i="22"/>
  <c r="J382" i="22"/>
  <c r="K382" i="22" s="1"/>
  <c r="H390" i="22"/>
  <c r="J390" i="22"/>
  <c r="K390" i="22" s="1"/>
  <c r="H398" i="22"/>
  <c r="J398" i="22"/>
  <c r="K398" i="22" s="1"/>
  <c r="H448" i="22"/>
  <c r="J448" i="22"/>
  <c r="K448" i="22" s="1"/>
  <c r="H456" i="22"/>
  <c r="J456" i="22"/>
  <c r="K456" i="22" s="1"/>
  <c r="H464" i="22"/>
  <c r="J464" i="22"/>
  <c r="K464" i="22" s="1"/>
  <c r="H472" i="22"/>
  <c r="J472" i="22"/>
  <c r="K472" i="22" s="1"/>
  <c r="H480" i="22"/>
  <c r="J480" i="22"/>
  <c r="K480" i="22" s="1"/>
  <c r="H488" i="22"/>
  <c r="J488" i="22"/>
  <c r="K488" i="22" s="1"/>
  <c r="H404" i="22"/>
  <c r="J404" i="22"/>
  <c r="K404" i="22" s="1"/>
  <c r="H412" i="22"/>
  <c r="J412" i="22"/>
  <c r="K412" i="22" s="1"/>
  <c r="H420" i="22"/>
  <c r="J420" i="22"/>
  <c r="K420" i="22" s="1"/>
  <c r="H428" i="22"/>
  <c r="J428" i="22"/>
  <c r="K428" i="22" s="1"/>
  <c r="H436" i="22"/>
  <c r="J436" i="22"/>
  <c r="K436" i="22" s="1"/>
  <c r="H444" i="22"/>
  <c r="J444" i="22"/>
  <c r="K444" i="22" s="1"/>
  <c r="H343" i="22"/>
  <c r="J343" i="22"/>
  <c r="K343" i="22" s="1"/>
  <c r="H351" i="22"/>
  <c r="J351" i="22"/>
  <c r="K351" i="22" s="1"/>
  <c r="H359" i="22"/>
  <c r="J359" i="22"/>
  <c r="K359" i="22" s="1"/>
  <c r="H367" i="22"/>
  <c r="J367" i="22"/>
  <c r="K367" i="22" s="1"/>
  <c r="H375" i="22"/>
  <c r="J375" i="22"/>
  <c r="K375" i="22" s="1"/>
  <c r="H383" i="22"/>
  <c r="J383" i="22"/>
  <c r="K383" i="22" s="1"/>
  <c r="H391" i="22"/>
  <c r="J391" i="22"/>
  <c r="K391" i="22" s="1"/>
  <c r="H399" i="22"/>
  <c r="J399" i="22"/>
  <c r="K399" i="22" s="1"/>
  <c r="H449" i="22"/>
  <c r="J449" i="22"/>
  <c r="K449" i="22" s="1"/>
  <c r="H457" i="22"/>
  <c r="J457" i="22"/>
  <c r="K457" i="22" s="1"/>
  <c r="H465" i="22"/>
  <c r="J465" i="22"/>
  <c r="K465" i="22" s="1"/>
  <c r="H473" i="22"/>
  <c r="J473" i="22"/>
  <c r="K473" i="22" s="1"/>
  <c r="H481" i="22"/>
  <c r="J481" i="22"/>
  <c r="K481" i="22" s="1"/>
  <c r="H489" i="22"/>
  <c r="J489" i="22"/>
  <c r="K489" i="22" s="1"/>
  <c r="H405" i="22"/>
  <c r="J405" i="22"/>
  <c r="K405" i="22" s="1"/>
  <c r="H413" i="22"/>
  <c r="J413" i="22"/>
  <c r="K413" i="22" s="1"/>
  <c r="H421" i="22"/>
  <c r="J421" i="22"/>
  <c r="K421" i="22" s="1"/>
  <c r="H429" i="22"/>
  <c r="J429" i="22"/>
  <c r="K429" i="22" s="1"/>
  <c r="H437" i="22"/>
  <c r="J437" i="22"/>
  <c r="K437" i="22" s="1"/>
  <c r="H445" i="22"/>
  <c r="J445" i="22"/>
  <c r="K445" i="22" s="1"/>
  <c r="H356" i="22"/>
  <c r="J356" i="22"/>
  <c r="K356" i="22" s="1"/>
  <c r="H388" i="22"/>
  <c r="J388" i="22"/>
  <c r="K388" i="22" s="1"/>
  <c r="H462" i="22"/>
  <c r="J462" i="22"/>
  <c r="K462" i="22" s="1"/>
  <c r="H494" i="22"/>
  <c r="J494" i="22"/>
  <c r="K494" i="22" s="1"/>
  <c r="H434" i="22"/>
  <c r="J434" i="22"/>
  <c r="K434" i="22" s="1"/>
  <c r="H344" i="22"/>
  <c r="J344" i="22"/>
  <c r="K344" i="22" s="1"/>
  <c r="H368" i="22"/>
  <c r="J368" i="22"/>
  <c r="K368" i="22" s="1"/>
  <c r="H392" i="22"/>
  <c r="J392" i="22"/>
  <c r="K392" i="22" s="1"/>
  <c r="H458" i="22"/>
  <c r="J458" i="22"/>
  <c r="K458" i="22" s="1"/>
  <c r="H482" i="22"/>
  <c r="J482" i="22"/>
  <c r="K482" i="22" s="1"/>
  <c r="H414" i="22"/>
  <c r="J414" i="22"/>
  <c r="K414" i="22" s="1"/>
  <c r="H430" i="22"/>
  <c r="J430" i="22"/>
  <c r="K430" i="22" s="1"/>
  <c r="H345" i="22"/>
  <c r="J345" i="22"/>
  <c r="K345" i="22" s="1"/>
  <c r="H353" i="22"/>
  <c r="J353" i="22"/>
  <c r="K353" i="22" s="1"/>
  <c r="H361" i="22"/>
  <c r="J361" i="22"/>
  <c r="K361" i="22" s="1"/>
  <c r="H369" i="22"/>
  <c r="J369" i="22"/>
  <c r="K369" i="22" s="1"/>
  <c r="H377" i="22"/>
  <c r="J377" i="22"/>
  <c r="K377" i="22" s="1"/>
  <c r="H385" i="22"/>
  <c r="J385" i="22"/>
  <c r="K385" i="22" s="1"/>
  <c r="H393" i="22"/>
  <c r="J393" i="22"/>
  <c r="K393" i="22" s="1"/>
  <c r="H401" i="22"/>
  <c r="J401" i="22"/>
  <c r="K401" i="22" s="1"/>
  <c r="H451" i="22"/>
  <c r="J451" i="22"/>
  <c r="K451" i="22" s="1"/>
  <c r="H459" i="22"/>
  <c r="J459" i="22"/>
  <c r="K459" i="22" s="1"/>
  <c r="H467" i="22"/>
  <c r="J467" i="22"/>
  <c r="K467" i="22" s="1"/>
  <c r="H475" i="22"/>
  <c r="J475" i="22"/>
  <c r="K475" i="22" s="1"/>
  <c r="H483" i="22"/>
  <c r="J483" i="22"/>
  <c r="K483" i="22" s="1"/>
  <c r="H491" i="22"/>
  <c r="J491" i="22"/>
  <c r="K491" i="22" s="1"/>
  <c r="H407" i="22"/>
  <c r="J407" i="22"/>
  <c r="K407" i="22" s="1"/>
  <c r="H415" i="22"/>
  <c r="J415" i="22"/>
  <c r="K415" i="22" s="1"/>
  <c r="H423" i="22"/>
  <c r="J423" i="22"/>
  <c r="K423" i="22" s="1"/>
  <c r="H431" i="22"/>
  <c r="J431" i="22"/>
  <c r="K431" i="22" s="1"/>
  <c r="H439" i="22"/>
  <c r="J439" i="22"/>
  <c r="K439" i="22" s="1"/>
  <c r="H372" i="22"/>
  <c r="J372" i="22"/>
  <c r="K372" i="22" s="1"/>
  <c r="H446" i="22"/>
  <c r="J446" i="22"/>
  <c r="K446" i="22" s="1"/>
  <c r="H478" i="22"/>
  <c r="J478" i="22"/>
  <c r="K478" i="22" s="1"/>
  <c r="H426" i="22"/>
  <c r="J426" i="22"/>
  <c r="K426" i="22" s="1"/>
  <c r="H352" i="22"/>
  <c r="J352" i="22"/>
  <c r="K352" i="22" s="1"/>
  <c r="H376" i="22"/>
  <c r="J376" i="22"/>
  <c r="K376" i="22" s="1"/>
  <c r="H450" i="22"/>
  <c r="J450" i="22"/>
  <c r="K450" i="22" s="1"/>
  <c r="H474" i="22"/>
  <c r="J474" i="22"/>
  <c r="K474" i="22" s="1"/>
  <c r="H490" i="22"/>
  <c r="J490" i="22"/>
  <c r="K490" i="22" s="1"/>
  <c r="H422" i="22"/>
  <c r="J422" i="22"/>
  <c r="K422" i="22" s="1"/>
  <c r="H438" i="22"/>
  <c r="J438" i="22"/>
  <c r="K438" i="22" s="1"/>
  <c r="H346" i="22"/>
  <c r="J346" i="22"/>
  <c r="K346" i="22" s="1"/>
  <c r="H354" i="22"/>
  <c r="J354" i="22"/>
  <c r="K354" i="22" s="1"/>
  <c r="H362" i="22"/>
  <c r="J362" i="22"/>
  <c r="K362" i="22" s="1"/>
  <c r="H370" i="22"/>
  <c r="J370" i="22"/>
  <c r="K370" i="22" s="1"/>
  <c r="H378" i="22"/>
  <c r="J378" i="22"/>
  <c r="K378" i="22" s="1"/>
  <c r="H386" i="22"/>
  <c r="J386" i="22"/>
  <c r="K386" i="22" s="1"/>
  <c r="H394" i="22"/>
  <c r="J394" i="22"/>
  <c r="K394" i="22" s="1"/>
  <c r="H402" i="22"/>
  <c r="J402" i="22"/>
  <c r="K402" i="22" s="1"/>
  <c r="H452" i="22"/>
  <c r="J452" i="22"/>
  <c r="K452" i="22" s="1"/>
  <c r="H460" i="22"/>
  <c r="J460" i="22"/>
  <c r="K460" i="22" s="1"/>
  <c r="H468" i="22"/>
  <c r="J468" i="22"/>
  <c r="K468" i="22" s="1"/>
  <c r="H476" i="22"/>
  <c r="J476" i="22"/>
  <c r="K476" i="22" s="1"/>
  <c r="H484" i="22"/>
  <c r="J484" i="22"/>
  <c r="K484" i="22" s="1"/>
  <c r="H492" i="22"/>
  <c r="J492" i="22"/>
  <c r="K492" i="22" s="1"/>
  <c r="H408" i="22"/>
  <c r="J408" i="22"/>
  <c r="K408" i="22" s="1"/>
  <c r="H416" i="22"/>
  <c r="J416" i="22"/>
  <c r="K416" i="22" s="1"/>
  <c r="H424" i="22"/>
  <c r="J424" i="22"/>
  <c r="K424" i="22" s="1"/>
  <c r="H432" i="22"/>
  <c r="J432" i="22"/>
  <c r="K432" i="22" s="1"/>
  <c r="H440" i="22"/>
  <c r="J440" i="22"/>
  <c r="K440" i="22" s="1"/>
  <c r="H364" i="22"/>
  <c r="J364" i="22"/>
  <c r="K364" i="22" s="1"/>
  <c r="H396" i="22"/>
  <c r="J396" i="22"/>
  <c r="K396" i="22" s="1"/>
  <c r="H470" i="22"/>
  <c r="J470" i="22"/>
  <c r="K470" i="22" s="1"/>
  <c r="H418" i="22"/>
  <c r="J418" i="22"/>
  <c r="K418" i="22" s="1"/>
  <c r="H360" i="22"/>
  <c r="J360" i="22"/>
  <c r="K360" i="22" s="1"/>
  <c r="H384" i="22"/>
  <c r="J384" i="22"/>
  <c r="K384" i="22" s="1"/>
  <c r="H400" i="22"/>
  <c r="J400" i="22"/>
  <c r="K400" i="22" s="1"/>
  <c r="H466" i="22"/>
  <c r="J466" i="22"/>
  <c r="K466" i="22" s="1"/>
  <c r="H406" i="22"/>
  <c r="J406" i="22"/>
  <c r="K406" i="22" s="1"/>
  <c r="H347" i="22"/>
  <c r="J347" i="22"/>
  <c r="K347" i="22" s="1"/>
  <c r="H355" i="22"/>
  <c r="J355" i="22"/>
  <c r="K355" i="22" s="1"/>
  <c r="H363" i="22"/>
  <c r="J363" i="22"/>
  <c r="K363" i="22" s="1"/>
  <c r="H371" i="22"/>
  <c r="J371" i="22"/>
  <c r="K371" i="22" s="1"/>
  <c r="H379" i="22"/>
  <c r="J379" i="22"/>
  <c r="K379" i="22" s="1"/>
  <c r="H387" i="22"/>
  <c r="J387" i="22"/>
  <c r="K387" i="22" s="1"/>
  <c r="H395" i="22"/>
  <c r="J395" i="22"/>
  <c r="K395" i="22" s="1"/>
  <c r="H403" i="22"/>
  <c r="J403" i="22"/>
  <c r="K403" i="22" s="1"/>
  <c r="H453" i="22"/>
  <c r="J453" i="22"/>
  <c r="K453" i="22" s="1"/>
  <c r="H461" i="22"/>
  <c r="J461" i="22"/>
  <c r="K461" i="22" s="1"/>
  <c r="H469" i="22"/>
  <c r="J469" i="22"/>
  <c r="K469" i="22" s="1"/>
  <c r="H477" i="22"/>
  <c r="J477" i="22"/>
  <c r="K477" i="22" s="1"/>
  <c r="H485" i="22"/>
  <c r="J485" i="22"/>
  <c r="K485" i="22" s="1"/>
  <c r="H493" i="22"/>
  <c r="J493" i="22"/>
  <c r="K493" i="22" s="1"/>
  <c r="H409" i="22"/>
  <c r="J409" i="22"/>
  <c r="K409" i="22" s="1"/>
  <c r="H417" i="22"/>
  <c r="J417" i="22"/>
  <c r="K417" i="22" s="1"/>
  <c r="H425" i="22"/>
  <c r="J425" i="22"/>
  <c r="K425" i="22" s="1"/>
  <c r="H433" i="22"/>
  <c r="J433" i="22"/>
  <c r="K433" i="22" s="1"/>
  <c r="H441" i="22"/>
  <c r="J441" i="22"/>
  <c r="K441" i="22" s="1"/>
  <c r="C11" i="25"/>
  <c r="R38" i="16"/>
  <c r="Q38" i="16"/>
  <c r="P38" i="16"/>
  <c r="O38" i="16"/>
  <c r="N38" i="16"/>
  <c r="R37" i="16"/>
  <c r="Q37" i="16"/>
  <c r="P37" i="16"/>
  <c r="O37" i="16"/>
  <c r="N37" i="16"/>
  <c r="R36" i="16"/>
  <c r="Q36" i="16"/>
  <c r="P36" i="16"/>
  <c r="O36" i="16"/>
  <c r="N36" i="16"/>
  <c r="R35" i="16"/>
  <c r="Q35" i="16"/>
  <c r="P35" i="16"/>
  <c r="O35" i="16"/>
  <c r="N35" i="16"/>
  <c r="R34" i="16"/>
  <c r="Q34" i="16"/>
  <c r="P34" i="16"/>
  <c r="O34" i="16"/>
  <c r="N34" i="16"/>
  <c r="R33" i="16"/>
  <c r="Q33" i="16"/>
  <c r="P33" i="16"/>
  <c r="O33" i="16"/>
  <c r="N33" i="16"/>
  <c r="R32" i="16"/>
  <c r="Q32" i="16"/>
  <c r="P32" i="16"/>
  <c r="O32" i="16"/>
  <c r="N32" i="16"/>
  <c r="R31" i="16"/>
  <c r="Q31" i="16"/>
  <c r="P31" i="16"/>
  <c r="O31" i="16"/>
  <c r="N31" i="16"/>
  <c r="R30" i="16"/>
  <c r="Q30" i="16"/>
  <c r="P30" i="16"/>
  <c r="O30" i="16"/>
  <c r="N30" i="16"/>
  <c r="R29" i="16"/>
  <c r="Q29" i="16"/>
  <c r="P29" i="16"/>
  <c r="O29" i="16"/>
  <c r="N29" i="16"/>
  <c r="R28" i="16"/>
  <c r="Q28" i="16"/>
  <c r="P28" i="16"/>
  <c r="O28" i="16"/>
  <c r="N28" i="16"/>
  <c r="R27" i="16"/>
  <c r="Q27" i="16"/>
  <c r="P27" i="16"/>
  <c r="O27" i="16"/>
  <c r="N27" i="16"/>
  <c r="R26" i="16"/>
  <c r="Q26" i="16"/>
  <c r="P26" i="16"/>
  <c r="O26" i="16"/>
  <c r="N26" i="16"/>
  <c r="R25" i="16"/>
  <c r="Q25" i="16"/>
  <c r="P25" i="16"/>
  <c r="O25" i="16"/>
  <c r="N25" i="16"/>
  <c r="R24" i="16"/>
  <c r="Q24" i="16"/>
  <c r="P24" i="16"/>
  <c r="O24" i="16"/>
  <c r="BN4" i="1"/>
  <c r="BB4" i="1"/>
  <c r="G150" i="11"/>
  <c r="G149" i="11"/>
  <c r="G148" i="11"/>
  <c r="G147" i="11"/>
  <c r="G146" i="11"/>
  <c r="G145" i="11"/>
  <c r="G144" i="11"/>
  <c r="G143" i="11"/>
  <c r="G142" i="11"/>
  <c r="G141" i="11"/>
  <c r="G140" i="11"/>
  <c r="G139" i="11"/>
  <c r="G138" i="11"/>
  <c r="G137" i="11"/>
  <c r="G136" i="11"/>
  <c r="B184" i="11"/>
  <c r="B183" i="11"/>
  <c r="B182" i="11"/>
  <c r="B181" i="11"/>
  <c r="B180" i="11"/>
  <c r="B179" i="11"/>
  <c r="B178" i="11"/>
  <c r="B177" i="11"/>
  <c r="B176" i="11"/>
  <c r="B175" i="11"/>
  <c r="B174" i="11"/>
  <c r="B173" i="11"/>
  <c r="B172" i="11"/>
  <c r="B171" i="11"/>
  <c r="B170" i="11"/>
  <c r="N24" i="16"/>
  <c r="L130" i="16"/>
  <c r="K130" i="16"/>
  <c r="J130" i="16"/>
  <c r="H130" i="16"/>
  <c r="G130" i="16"/>
  <c r="E130" i="16"/>
  <c r="F130" i="16" s="1"/>
  <c r="C130" i="16"/>
  <c r="D130" i="16" s="1"/>
  <c r="B130" i="16"/>
  <c r="L129" i="16"/>
  <c r="K129" i="16"/>
  <c r="J129" i="16"/>
  <c r="H129" i="16"/>
  <c r="G129" i="16"/>
  <c r="E129" i="16"/>
  <c r="F129" i="16" s="1"/>
  <c r="C129" i="16"/>
  <c r="D129" i="16" s="1"/>
  <c r="B129" i="16"/>
  <c r="L128" i="16"/>
  <c r="K128" i="16"/>
  <c r="J128" i="16"/>
  <c r="H128" i="16"/>
  <c r="G128" i="16"/>
  <c r="E128" i="16"/>
  <c r="F128" i="16" s="1"/>
  <c r="C128" i="16"/>
  <c r="D128" i="16" s="1"/>
  <c r="B128" i="16"/>
  <c r="L127" i="16"/>
  <c r="K127" i="16"/>
  <c r="J127" i="16"/>
  <c r="H127" i="16"/>
  <c r="G127" i="16"/>
  <c r="E127" i="16"/>
  <c r="F127" i="16" s="1"/>
  <c r="C127" i="16"/>
  <c r="D127" i="16" s="1"/>
  <c r="B127" i="16"/>
  <c r="L126" i="16"/>
  <c r="K126" i="16"/>
  <c r="J126" i="16"/>
  <c r="H126" i="16"/>
  <c r="G126" i="16"/>
  <c r="E126" i="16"/>
  <c r="F126" i="16" s="1"/>
  <c r="C126" i="16"/>
  <c r="D126" i="16" s="1"/>
  <c r="B126" i="16"/>
  <c r="L125" i="16"/>
  <c r="K125" i="16"/>
  <c r="J125" i="16"/>
  <c r="H125" i="16"/>
  <c r="G125" i="16"/>
  <c r="E125" i="16"/>
  <c r="F125" i="16" s="1"/>
  <c r="C125" i="16"/>
  <c r="D125" i="16" s="1"/>
  <c r="B125" i="16"/>
  <c r="L124" i="16"/>
  <c r="K124" i="16"/>
  <c r="J124" i="16"/>
  <c r="H124" i="16"/>
  <c r="G124" i="16"/>
  <c r="E124" i="16"/>
  <c r="F124" i="16" s="1"/>
  <c r="C124" i="16"/>
  <c r="D124" i="16" s="1"/>
  <c r="B124" i="16"/>
  <c r="L123" i="16"/>
  <c r="K123" i="16"/>
  <c r="J123" i="16"/>
  <c r="H123" i="16"/>
  <c r="G123" i="16"/>
  <c r="E123" i="16"/>
  <c r="F123" i="16" s="1"/>
  <c r="C123" i="16"/>
  <c r="D123" i="16" s="1"/>
  <c r="B123" i="16"/>
  <c r="L122" i="16"/>
  <c r="K122" i="16"/>
  <c r="J122" i="16"/>
  <c r="H122" i="16"/>
  <c r="G122" i="16"/>
  <c r="E122" i="16"/>
  <c r="F122" i="16" s="1"/>
  <c r="C122" i="16"/>
  <c r="D122" i="16" s="1"/>
  <c r="B122" i="16"/>
  <c r="L121" i="16"/>
  <c r="K121" i="16"/>
  <c r="J121" i="16"/>
  <c r="H121" i="16"/>
  <c r="G121" i="16"/>
  <c r="E121" i="16"/>
  <c r="F121" i="16" s="1"/>
  <c r="C121" i="16"/>
  <c r="D121" i="16" s="1"/>
  <c r="B121" i="16"/>
  <c r="L120" i="16"/>
  <c r="K120" i="16"/>
  <c r="J120" i="16"/>
  <c r="H120" i="16"/>
  <c r="G120" i="16"/>
  <c r="E120" i="16"/>
  <c r="F120" i="16" s="1"/>
  <c r="C120" i="16"/>
  <c r="D120" i="16" s="1"/>
  <c r="B120" i="16"/>
  <c r="L119" i="16"/>
  <c r="K119" i="16"/>
  <c r="J119" i="16"/>
  <c r="H119" i="16"/>
  <c r="G119" i="16"/>
  <c r="E119" i="16"/>
  <c r="F119" i="16" s="1"/>
  <c r="C119" i="16"/>
  <c r="D119" i="16" s="1"/>
  <c r="B119" i="16"/>
  <c r="L118" i="16"/>
  <c r="K118" i="16"/>
  <c r="J118" i="16"/>
  <c r="H118" i="16"/>
  <c r="G118" i="16"/>
  <c r="E118" i="16"/>
  <c r="F118" i="16" s="1"/>
  <c r="C118" i="16"/>
  <c r="D118" i="16" s="1"/>
  <c r="B118" i="16"/>
  <c r="L117" i="16"/>
  <c r="K117" i="16"/>
  <c r="J117" i="16"/>
  <c r="H117" i="16"/>
  <c r="G117" i="16"/>
  <c r="E117" i="16"/>
  <c r="F117" i="16" s="1"/>
  <c r="C117" i="16"/>
  <c r="D117" i="16" s="1"/>
  <c r="B117" i="16"/>
  <c r="L116" i="16"/>
  <c r="K116" i="16"/>
  <c r="BL4" i="1" s="1"/>
  <c r="J116" i="16"/>
  <c r="H116" i="16"/>
  <c r="G116" i="16"/>
  <c r="C116" i="16"/>
  <c r="D116" i="16" s="1"/>
  <c r="E116" i="16"/>
  <c r="F116" i="16" s="1"/>
  <c r="B116" i="16"/>
  <c r="A130" i="16"/>
  <c r="A129" i="16"/>
  <c r="A128" i="16"/>
  <c r="A127" i="16"/>
  <c r="A126" i="16"/>
  <c r="A125" i="16"/>
  <c r="A124" i="16"/>
  <c r="A123" i="16"/>
  <c r="A122" i="16"/>
  <c r="A121" i="16"/>
  <c r="A120" i="16"/>
  <c r="A119" i="16"/>
  <c r="A118" i="16"/>
  <c r="A117" i="16"/>
  <c r="A116" i="16"/>
  <c r="I116" i="16" l="1"/>
  <c r="I117" i="16"/>
  <c r="I118" i="16"/>
  <c r="I119" i="16"/>
  <c r="I120" i="16"/>
  <c r="I121" i="16"/>
  <c r="I122" i="16"/>
  <c r="I123" i="16"/>
  <c r="I124" i="16"/>
  <c r="I125" i="16"/>
  <c r="I126" i="16"/>
  <c r="I127" i="16"/>
  <c r="I128" i="16"/>
  <c r="I129" i="16"/>
  <c r="I130" i="16"/>
  <c r="R183" i="24" l="1"/>
  <c r="S183" i="24" s="1"/>
  <c r="R149" i="24"/>
  <c r="S149" i="24" s="1"/>
  <c r="R141" i="24"/>
  <c r="S141" i="24" s="1"/>
  <c r="R167" i="24"/>
  <c r="S167" i="24" s="1"/>
  <c r="R122" i="24"/>
  <c r="S122" i="24" s="1"/>
  <c r="R67" i="24"/>
  <c r="S67" i="24" s="1"/>
  <c r="R43" i="24"/>
  <c r="S43" i="24" s="1"/>
  <c r="R168" i="24"/>
  <c r="S168" i="24" s="1"/>
  <c r="R123" i="24"/>
  <c r="S123" i="24" s="1"/>
  <c r="R68" i="24"/>
  <c r="S68" i="24" s="1"/>
  <c r="R44" i="24"/>
  <c r="S44" i="24" s="1"/>
  <c r="R165" i="24"/>
  <c r="S165" i="24" s="1"/>
  <c r="R120" i="24"/>
  <c r="S120" i="24" s="1"/>
  <c r="R65" i="24"/>
  <c r="S65" i="24" s="1"/>
  <c r="R41" i="24"/>
  <c r="S41" i="24" s="1"/>
  <c r="R166" i="24"/>
  <c r="S166" i="24" s="1"/>
  <c r="R121" i="24"/>
  <c r="S121" i="24" s="1"/>
  <c r="R66" i="24"/>
  <c r="S66" i="24" s="1"/>
  <c r="R42" i="24"/>
  <c r="S42" i="24" s="1"/>
  <c r="R162" i="24"/>
  <c r="S162" i="24" s="1"/>
  <c r="R117" i="24"/>
  <c r="S117" i="24" s="1"/>
  <c r="R62" i="24"/>
  <c r="S62" i="24" s="1"/>
  <c r="R38" i="24"/>
  <c r="S38" i="24" s="1"/>
  <c r="R163" i="24"/>
  <c r="S163" i="24" s="1"/>
  <c r="R118" i="24"/>
  <c r="S118" i="24" s="1"/>
  <c r="R63" i="24"/>
  <c r="S63" i="24" s="1"/>
  <c r="R39" i="24"/>
  <c r="S39" i="24" s="1"/>
  <c r="R164" i="24"/>
  <c r="S164" i="24" s="1"/>
  <c r="R119" i="24"/>
  <c r="S119" i="24" s="1"/>
  <c r="R64" i="24"/>
  <c r="S64" i="24" s="1"/>
  <c r="R40" i="24"/>
  <c r="S40" i="24" s="1"/>
  <c r="A192" i="24"/>
  <c r="P17" i="18" l="1"/>
  <c r="S17" i="18"/>
  <c r="M18" i="18"/>
  <c r="X2" i="18"/>
  <c r="K5" i="18"/>
  <c r="Q10" i="18"/>
  <c r="A13" i="18"/>
  <c r="A7" i="18"/>
  <c r="K8" i="18"/>
  <c r="S12" i="18"/>
  <c r="M16" i="18"/>
  <c r="M14" i="18"/>
  <c r="V18" i="18"/>
  <c r="P2" i="18"/>
  <c r="A15" i="18"/>
  <c r="K7" i="18"/>
  <c r="V17" i="18"/>
  <c r="K10" i="18"/>
  <c r="X17" i="18"/>
  <c r="T1" i="18"/>
  <c r="S13" i="18"/>
  <c r="V16" i="18"/>
  <c r="A16" i="18"/>
  <c r="X12" i="18"/>
  <c r="S18" i="18"/>
  <c r="X16" i="18"/>
  <c r="X1" i="18"/>
  <c r="A5" i="18"/>
  <c r="A20" i="18"/>
  <c r="M12" i="18"/>
  <c r="K9" i="18"/>
  <c r="V14" i="18"/>
  <c r="A18" i="18"/>
  <c r="M17" i="18"/>
  <c r="E10" i="18"/>
  <c r="P18" i="18"/>
  <c r="S15" i="18"/>
  <c r="P16" i="18"/>
  <c r="E8" i="18"/>
  <c r="S16" i="18"/>
  <c r="P13" i="18"/>
  <c r="V12" i="18"/>
  <c r="X15" i="18"/>
  <c r="P15" i="18"/>
  <c r="A17" i="18"/>
  <c r="X3" i="18"/>
  <c r="P12" i="18"/>
  <c r="M5" i="18"/>
  <c r="E9" i="18"/>
  <c r="A12" i="18"/>
  <c r="P20" i="18"/>
  <c r="S14" i="18"/>
  <c r="T3" i="18"/>
  <c r="V15" i="18"/>
  <c r="P1" i="18"/>
  <c r="X18" i="18"/>
  <c r="T2" i="18"/>
  <c r="V13" i="18"/>
  <c r="A8" i="18"/>
  <c r="X13" i="18"/>
  <c r="M13" i="18"/>
  <c r="M15" i="18"/>
  <c r="P14" i="18"/>
  <c r="A14" i="18"/>
  <c r="P3" i="18"/>
  <c r="E6" i="18"/>
  <c r="K6" i="18"/>
  <c r="X14" i="18"/>
  <c r="A6" i="18"/>
  <c r="E5" i="18"/>
  <c r="E7" i="18"/>
  <c r="AM41" i="22"/>
  <c r="AM29" i="22"/>
  <c r="AM18" i="22"/>
  <c r="AM4" i="22"/>
  <c r="A4" i="23"/>
  <c r="A5" i="23" s="1"/>
  <c r="A6" i="23" s="1"/>
  <c r="A7" i="23" s="1"/>
  <c r="A8" i="23" s="1"/>
  <c r="A9" i="23" s="1"/>
  <c r="A10" i="23" s="1"/>
  <c r="A11" i="23" s="1"/>
  <c r="A12" i="23" s="1"/>
  <c r="A13" i="23" s="1"/>
  <c r="A14" i="23" s="1"/>
  <c r="A15" i="23" s="1"/>
  <c r="A16" i="23" s="1"/>
  <c r="A17" i="23" s="1"/>
  <c r="A18" i="23" s="1"/>
  <c r="A19" i="23" s="1"/>
  <c r="A20" i="23" s="1"/>
  <c r="A21" i="23" s="1"/>
  <c r="A22" i="23" s="1"/>
  <c r="BF7" i="22" l="1"/>
  <c r="AM10" i="22"/>
  <c r="AM35" i="22"/>
  <c r="AM7" i="22"/>
  <c r="AM8" i="22"/>
  <c r="AM9" i="22"/>
  <c r="AM25" i="22"/>
  <c r="AM30" i="22"/>
  <c r="AM31" i="22"/>
  <c r="AM28" i="22"/>
  <c r="AM6" i="22"/>
  <c r="AM34" i="22"/>
  <c r="AM36" i="22"/>
  <c r="AM21" i="22"/>
  <c r="AM23" i="22"/>
  <c r="AM5" i="22"/>
  <c r="AM24" i="22"/>
  <c r="AM37" i="22"/>
  <c r="AM38" i="22"/>
  <c r="AM39" i="22"/>
  <c r="AM40" i="22"/>
  <c r="AM33" i="22"/>
  <c r="AM13" i="22"/>
  <c r="AM14" i="22"/>
  <c r="AM15" i="22"/>
  <c r="AM19" i="22"/>
  <c r="AM20" i="22"/>
  <c r="AM26" i="22"/>
  <c r="AM27" i="22"/>
  <c r="AM16" i="22"/>
  <c r="AM17" i="22"/>
  <c r="AM3" i="22"/>
  <c r="AM11" i="22"/>
  <c r="BF8" i="22" l="1"/>
  <c r="BF9" i="22" l="1"/>
  <c r="CD1" i="3"/>
  <c r="AF38" i="3" s="1"/>
  <c r="CD2" i="3"/>
  <c r="AF34" i="3" l="1"/>
  <c r="AF36" i="3"/>
  <c r="BF10" i="22"/>
  <c r="EN38" i="4"/>
  <c r="EM38" i="4"/>
  <c r="EL38" i="4"/>
  <c r="EK38" i="4"/>
  <c r="EN37" i="4"/>
  <c r="EM37" i="4"/>
  <c r="EL37" i="4"/>
  <c r="EK37" i="4"/>
  <c r="EN36" i="4"/>
  <c r="EM36" i="4"/>
  <c r="EL36" i="4"/>
  <c r="EK36" i="4"/>
  <c r="EN35" i="4"/>
  <c r="EM35" i="4"/>
  <c r="EL35" i="4"/>
  <c r="EK35" i="4"/>
  <c r="EN34" i="4"/>
  <c r="EM34" i="4"/>
  <c r="EL34" i="4"/>
  <c r="EK34" i="4"/>
  <c r="EN33" i="4"/>
  <c r="EM33" i="4"/>
  <c r="EL33" i="4"/>
  <c r="EK33" i="4"/>
  <c r="EN32" i="4"/>
  <c r="EM32" i="4"/>
  <c r="EL32" i="4"/>
  <c r="EK32" i="4"/>
  <c r="EN31" i="4"/>
  <c r="EM31" i="4"/>
  <c r="EL31" i="4"/>
  <c r="EN30" i="4"/>
  <c r="EM30" i="4"/>
  <c r="EL30" i="4"/>
  <c r="EN29" i="4"/>
  <c r="EM29" i="4"/>
  <c r="EL29" i="4"/>
  <c r="EK29" i="4"/>
  <c r="EN28" i="4"/>
  <c r="EM28" i="4"/>
  <c r="EL28" i="4"/>
  <c r="EK28" i="4"/>
  <c r="EN27" i="4"/>
  <c r="EM27" i="4"/>
  <c r="EL27" i="4"/>
  <c r="EK27" i="4"/>
  <c r="EN26" i="4"/>
  <c r="EM26" i="4"/>
  <c r="EL26" i="4"/>
  <c r="EK26" i="4"/>
  <c r="EN25" i="4"/>
  <c r="EM25" i="4"/>
  <c r="EL25" i="4"/>
  <c r="EK25" i="4"/>
  <c r="EN24" i="4"/>
  <c r="EM24" i="4"/>
  <c r="EL24" i="4"/>
  <c r="EK24" i="4"/>
  <c r="EN23" i="4"/>
  <c r="EM23" i="4"/>
  <c r="EL23" i="4"/>
  <c r="EK23" i="4"/>
  <c r="EN22" i="4"/>
  <c r="EM22" i="4"/>
  <c r="EL22" i="4"/>
  <c r="EK22" i="4"/>
  <c r="EN21" i="4"/>
  <c r="EM21" i="4"/>
  <c r="EL21" i="4"/>
  <c r="EK21" i="4"/>
  <c r="EN20" i="4"/>
  <c r="EM20" i="4"/>
  <c r="EL20" i="4"/>
  <c r="EK20" i="4"/>
  <c r="EN19" i="4"/>
  <c r="EM19" i="4"/>
  <c r="EL19" i="4"/>
  <c r="EK19" i="4"/>
  <c r="EN18" i="4"/>
  <c r="EM18" i="4"/>
  <c r="EL18" i="4"/>
  <c r="EK18" i="4"/>
  <c r="EN17" i="4"/>
  <c r="EM17" i="4"/>
  <c r="EL17" i="4"/>
  <c r="EK17" i="4"/>
  <c r="EN16" i="4"/>
  <c r="EM16" i="4"/>
  <c r="EL16" i="4"/>
  <c r="EK16" i="4"/>
  <c r="EN15" i="4"/>
  <c r="EM15" i="4"/>
  <c r="EL15" i="4"/>
  <c r="EK15" i="4"/>
  <c r="EN14" i="4"/>
  <c r="EM14" i="4"/>
  <c r="EL14" i="4"/>
  <c r="EK14" i="4"/>
  <c r="EN13" i="4"/>
  <c r="EM13" i="4"/>
  <c r="EL13" i="4"/>
  <c r="EK13" i="4"/>
  <c r="EN12" i="4"/>
  <c r="EM12" i="4"/>
  <c r="EL12" i="4"/>
  <c r="EK12" i="4"/>
  <c r="EN11" i="4"/>
  <c r="EM11" i="4"/>
  <c r="EL11" i="4"/>
  <c r="EK11" i="4"/>
  <c r="EN10" i="4"/>
  <c r="EM10" i="4"/>
  <c r="EL10" i="4"/>
  <c r="EK10" i="4"/>
  <c r="EN9" i="4"/>
  <c r="EM9" i="4"/>
  <c r="EL9" i="4"/>
  <c r="EK9" i="4"/>
  <c r="EJ29" i="4"/>
  <c r="EJ28" i="4"/>
  <c r="EJ27" i="4"/>
  <c r="EJ26" i="4"/>
  <c r="EJ25" i="4"/>
  <c r="EJ24" i="4"/>
  <c r="EJ23" i="4"/>
  <c r="EJ22" i="4"/>
  <c r="EJ21" i="4"/>
  <c r="EJ20" i="4"/>
  <c r="EJ19" i="4"/>
  <c r="EJ18" i="4"/>
  <c r="EJ17" i="4"/>
  <c r="EJ16" i="4"/>
  <c r="EJ15" i="4"/>
  <c r="EJ14" i="4"/>
  <c r="EJ13" i="4"/>
  <c r="EJ12" i="4"/>
  <c r="EJ11" i="4"/>
  <c r="EJ10" i="4"/>
  <c r="EE24" i="4"/>
  <c r="ED24" i="4"/>
  <c r="EC24" i="4"/>
  <c r="EB24" i="4"/>
  <c r="EA24" i="4"/>
  <c r="DZ24" i="4"/>
  <c r="DY24" i="4"/>
  <c r="DX24" i="4"/>
  <c r="DW24" i="4"/>
  <c r="DV24" i="4"/>
  <c r="DU24" i="4"/>
  <c r="EE23" i="4"/>
  <c r="ED23" i="4"/>
  <c r="EC23" i="4"/>
  <c r="EB23" i="4"/>
  <c r="EA23" i="4"/>
  <c r="DZ23" i="4"/>
  <c r="DY23" i="4"/>
  <c r="DX23" i="4"/>
  <c r="DW23" i="4"/>
  <c r="DV23" i="4"/>
  <c r="DU23" i="4"/>
  <c r="EE22" i="4"/>
  <c r="ED22" i="4"/>
  <c r="EC22" i="4"/>
  <c r="EB22" i="4"/>
  <c r="EA22" i="4"/>
  <c r="DZ22" i="4"/>
  <c r="DY22" i="4"/>
  <c r="DX22" i="4"/>
  <c r="DW22" i="4"/>
  <c r="DV22" i="4"/>
  <c r="DU22" i="4"/>
  <c r="EE21" i="4"/>
  <c r="ED21" i="4"/>
  <c r="EC21" i="4"/>
  <c r="EB21" i="4"/>
  <c r="EA21" i="4"/>
  <c r="DZ21" i="4"/>
  <c r="DY21" i="4"/>
  <c r="DX21" i="4"/>
  <c r="DW21" i="4"/>
  <c r="DV21" i="4"/>
  <c r="DU21" i="4"/>
  <c r="EE20" i="4"/>
  <c r="ED20" i="4"/>
  <c r="EC20" i="4"/>
  <c r="EB20" i="4"/>
  <c r="EA20" i="4"/>
  <c r="DZ20" i="4"/>
  <c r="DY20" i="4"/>
  <c r="DX20" i="4"/>
  <c r="DW20" i="4"/>
  <c r="DV20" i="4"/>
  <c r="DU20" i="4"/>
  <c r="EE19" i="4"/>
  <c r="ED19" i="4"/>
  <c r="EC19" i="4"/>
  <c r="EB19" i="4"/>
  <c r="EA19" i="4"/>
  <c r="DZ19" i="4"/>
  <c r="DY19" i="4"/>
  <c r="DX19" i="4"/>
  <c r="DW19" i="4"/>
  <c r="DV19" i="4"/>
  <c r="DU19" i="4"/>
  <c r="EE18" i="4"/>
  <c r="ED18" i="4"/>
  <c r="EC18" i="4"/>
  <c r="EB18" i="4"/>
  <c r="EA18" i="4"/>
  <c r="DZ18" i="4"/>
  <c r="DY18" i="4"/>
  <c r="DX18" i="4"/>
  <c r="DW18" i="4"/>
  <c r="DV18" i="4"/>
  <c r="DU18" i="4"/>
  <c r="EE17" i="4"/>
  <c r="ED17" i="4"/>
  <c r="EC17" i="4"/>
  <c r="EB17" i="4"/>
  <c r="EA17" i="4"/>
  <c r="DZ17" i="4"/>
  <c r="DY17" i="4"/>
  <c r="DX17" i="4"/>
  <c r="DW17" i="4"/>
  <c r="DV17" i="4"/>
  <c r="DU17" i="4"/>
  <c r="EE16" i="4"/>
  <c r="ED16" i="4"/>
  <c r="EC16" i="4"/>
  <c r="EB16" i="4"/>
  <c r="EA16" i="4"/>
  <c r="DZ16" i="4"/>
  <c r="DY16" i="4"/>
  <c r="DX16" i="4"/>
  <c r="DW16" i="4"/>
  <c r="DV16" i="4"/>
  <c r="DU16" i="4"/>
  <c r="BF11" i="22" l="1"/>
  <c r="T7" i="22"/>
  <c r="BF17" i="22" s="1"/>
  <c r="T6" i="22"/>
  <c r="BF16" i="22" s="1"/>
  <c r="T11" i="22"/>
  <c r="BF21" i="22" s="1"/>
  <c r="BF15" i="22"/>
  <c r="T10" i="22"/>
  <c r="BF20" i="22" s="1"/>
  <c r="T3" i="22"/>
  <c r="BF13" i="22" s="1"/>
  <c r="T4" i="22"/>
  <c r="BF14" i="22" s="1"/>
  <c r="T8" i="22"/>
  <c r="BF18" i="22" s="1"/>
  <c r="T9" i="22"/>
  <c r="BF19" i="22" s="1"/>
  <c r="EJ9" i="4"/>
  <c r="EJ30" i="4"/>
  <c r="EJ31" i="4"/>
  <c r="EJ32" i="4"/>
  <c r="EJ33" i="4"/>
  <c r="EJ34" i="4"/>
  <c r="EJ35" i="4"/>
  <c r="EJ36" i="4"/>
  <c r="EJ37" i="4"/>
  <c r="EJ38" i="4"/>
  <c r="FY36" i="4"/>
  <c r="FY35" i="4"/>
  <c r="FY34" i="4"/>
  <c r="FY33" i="4"/>
  <c r="FY32" i="4"/>
  <c r="FY31" i="4"/>
  <c r="FY30" i="4"/>
  <c r="FY29" i="4"/>
  <c r="FY28" i="4"/>
  <c r="FY27" i="4"/>
  <c r="FP36" i="4"/>
  <c r="FP35" i="4"/>
  <c r="FP34" i="4"/>
  <c r="FP33" i="4"/>
  <c r="FP32" i="4"/>
  <c r="FP31" i="4"/>
  <c r="FP30" i="4"/>
  <c r="FP29" i="4"/>
  <c r="FP28" i="4"/>
  <c r="FP27" i="4"/>
  <c r="FG36" i="4"/>
  <c r="FG35" i="4"/>
  <c r="FG34" i="4"/>
  <c r="FG33" i="4"/>
  <c r="FG32" i="4"/>
  <c r="FG31" i="4"/>
  <c r="FG30" i="4"/>
  <c r="FG29" i="4"/>
  <c r="FG28" i="4"/>
  <c r="FG27" i="4"/>
  <c r="EX36" i="4"/>
  <c r="EX35" i="4"/>
  <c r="EX34" i="4"/>
  <c r="EX33" i="4"/>
  <c r="EX32" i="4"/>
  <c r="EX31" i="4"/>
  <c r="EX30" i="4"/>
  <c r="EO36" i="4"/>
  <c r="EO35" i="4"/>
  <c r="EO34" i="4"/>
  <c r="EO33" i="4"/>
  <c r="EO32" i="4"/>
  <c r="EO31" i="4"/>
  <c r="EO30" i="4"/>
  <c r="EO29" i="4"/>
  <c r="EO28" i="4"/>
  <c r="EO27" i="4"/>
  <c r="M4" i="4"/>
  <c r="V11" i="4"/>
  <c r="I11" i="4"/>
  <c r="H11" i="4"/>
  <c r="H9" i="4"/>
  <c r="I9" i="4"/>
  <c r="V22" i="4"/>
  <c r="V19" i="4"/>
  <c r="W19" i="4"/>
  <c r="X19" i="4"/>
  <c r="U17" i="4"/>
  <c r="T10" i="4"/>
  <c r="V10" i="4"/>
  <c r="U10" i="4"/>
  <c r="T9" i="4"/>
  <c r="BF12" i="22" l="1"/>
  <c r="T21" i="22"/>
  <c r="BF31" i="22" s="1"/>
  <c r="T13" i="22"/>
  <c r="BF23" i="22" s="1"/>
  <c r="T14" i="22"/>
  <c r="BF24" i="22" s="1"/>
  <c r="T19" i="22"/>
  <c r="BF29" i="22" s="1"/>
  <c r="T20" i="22"/>
  <c r="BF30" i="22" s="1"/>
  <c r="T18" i="22"/>
  <c r="BF28" i="22" s="1"/>
  <c r="T17" i="22"/>
  <c r="BF27" i="22" s="1"/>
  <c r="T15" i="22"/>
  <c r="BF25" i="22" s="1"/>
  <c r="T12" i="22"/>
  <c r="T16" i="22"/>
  <c r="BF26" i="22" s="1"/>
  <c r="S2" i="1"/>
  <c r="BF22" i="22" l="1"/>
  <c r="AJ6" i="22"/>
  <c r="AJ5" i="22"/>
  <c r="AJ11" i="22"/>
  <c r="AJ9" i="22"/>
  <c r="AJ8" i="22"/>
  <c r="AJ4" i="22"/>
  <c r="AJ3" i="22"/>
  <c r="AJ10" i="22"/>
  <c r="AJ7" i="22"/>
  <c r="AJ2" i="22"/>
  <c r="O22" i="2"/>
  <c r="BM40" i="2"/>
  <c r="T27" i="22" l="1"/>
  <c r="T31" i="22"/>
  <c r="T24" i="22"/>
  <c r="T26" i="22"/>
  <c r="T30" i="22"/>
  <c r="T29" i="22"/>
  <c r="T23" i="22"/>
  <c r="T25" i="22"/>
  <c r="T22" i="22"/>
  <c r="T28" i="22"/>
  <c r="BH10" i="2"/>
  <c r="J307" i="22" l="1"/>
  <c r="K307" i="22" s="1"/>
  <c r="J194" i="22"/>
  <c r="K194" i="22" s="1"/>
  <c r="J207" i="22"/>
  <c r="K207" i="22" s="1"/>
  <c r="J232" i="22"/>
  <c r="K232" i="22" s="1"/>
  <c r="J257" i="22"/>
  <c r="K257" i="22" s="1"/>
  <c r="J44" i="22"/>
  <c r="K44" i="22" s="1"/>
  <c r="J67" i="22"/>
  <c r="K67" i="22" s="1"/>
  <c r="J101" i="22"/>
  <c r="K101" i="22" s="1"/>
  <c r="J121" i="22"/>
  <c r="K121" i="22" s="1"/>
  <c r="J151" i="22"/>
  <c r="K151" i="22" s="1"/>
  <c r="J234" i="22"/>
  <c r="K234" i="22" s="1"/>
  <c r="J262" i="22"/>
  <c r="K262" i="22" s="1"/>
  <c r="J59" i="22"/>
  <c r="K59" i="22" s="1"/>
  <c r="J81" i="22"/>
  <c r="K81" i="22" s="1"/>
  <c r="J99" i="22"/>
  <c r="K99" i="22" s="1"/>
  <c r="J113" i="22"/>
  <c r="K113" i="22" s="1"/>
  <c r="J136" i="22"/>
  <c r="K136" i="22" s="1"/>
  <c r="J40" i="22"/>
  <c r="K40" i="22" s="1"/>
  <c r="J61" i="22"/>
  <c r="K61" i="22" s="1"/>
  <c r="J100" i="22"/>
  <c r="K100" i="22" s="1"/>
  <c r="J114" i="22"/>
  <c r="K114" i="22" s="1"/>
  <c r="J137" i="22"/>
  <c r="K137" i="22" s="1"/>
  <c r="J233" i="22"/>
  <c r="K233" i="22" s="1"/>
  <c r="J258" i="22"/>
  <c r="K258" i="22" s="1"/>
  <c r="J54" i="22"/>
  <c r="K54" i="22" s="1"/>
  <c r="J74" i="22"/>
  <c r="K74" i="22" s="1"/>
  <c r="J97" i="22"/>
  <c r="K97" i="22" s="1"/>
  <c r="J112" i="22"/>
  <c r="K112" i="22" s="1"/>
  <c r="J135" i="22"/>
  <c r="K135" i="22" s="1"/>
  <c r="J287" i="22"/>
  <c r="K287" i="22" s="1"/>
  <c r="J192" i="22"/>
  <c r="K192" i="22" s="1"/>
  <c r="J230" i="22"/>
  <c r="K230" i="22" s="1"/>
  <c r="J256" i="22"/>
  <c r="K256" i="22" s="1"/>
  <c r="J195" i="22"/>
  <c r="K195" i="22" s="1"/>
  <c r="J209" i="22"/>
  <c r="K209" i="22" s="1"/>
  <c r="J179" i="22"/>
  <c r="K179" i="22" s="1"/>
  <c r="J19" i="22"/>
  <c r="K19" i="22" s="1"/>
  <c r="J45" i="22"/>
  <c r="K45" i="22" s="1"/>
  <c r="J68" i="22"/>
  <c r="K68" i="22" s="1"/>
  <c r="J82" i="22"/>
  <c r="K82" i="22" s="1"/>
  <c r="J103" i="22"/>
  <c r="K103" i="22" s="1"/>
  <c r="J127" i="22"/>
  <c r="K127" i="22" s="1"/>
  <c r="J189" i="22"/>
  <c r="K189" i="22" s="1"/>
  <c r="J202" i="22"/>
  <c r="K202" i="22" s="1"/>
  <c r="J220" i="22"/>
  <c r="K220" i="22" s="1"/>
  <c r="J237" i="22"/>
  <c r="K237" i="22" s="1"/>
  <c r="J263" i="22"/>
  <c r="K263" i="22" s="1"/>
  <c r="J200" i="22"/>
  <c r="K200" i="22" s="1"/>
  <c r="J218" i="22"/>
  <c r="K218" i="22" s="1"/>
  <c r="J24" i="22"/>
  <c r="K24" i="22" s="1"/>
  <c r="J26" i="22"/>
  <c r="K26" i="22" s="1"/>
  <c r="J71" i="22"/>
  <c r="K71" i="22" s="1"/>
  <c r="J86" i="22"/>
  <c r="K86" i="22" s="1"/>
  <c r="J109" i="22"/>
  <c r="K109" i="22" s="1"/>
  <c r="J129" i="22"/>
  <c r="K129" i="22" s="1"/>
  <c r="J166" i="22"/>
  <c r="K166" i="22" s="1"/>
  <c r="J191" i="22"/>
  <c r="K191" i="22" s="1"/>
  <c r="J205" i="22"/>
  <c r="K205" i="22" s="1"/>
  <c r="J238" i="22"/>
  <c r="K238" i="22" s="1"/>
  <c r="J264" i="22"/>
  <c r="K264" i="22" s="1"/>
  <c r="J25" i="22"/>
  <c r="K25" i="22" s="1"/>
  <c r="J39" i="22"/>
  <c r="K39" i="22" s="1"/>
  <c r="J72" i="22"/>
  <c r="K72" i="22" s="1"/>
  <c r="J95" i="22"/>
  <c r="K95" i="22" s="1"/>
  <c r="J110" i="22"/>
  <c r="K110" i="22" s="1"/>
  <c r="J130" i="22"/>
  <c r="K130" i="22" s="1"/>
  <c r="J159" i="22"/>
  <c r="K159" i="22" s="1"/>
  <c r="J168" i="22"/>
  <c r="K168" i="22" s="1"/>
  <c r="J329" i="22"/>
  <c r="K329" i="22" s="1"/>
  <c r="J206" i="22"/>
  <c r="K206" i="22" s="1"/>
  <c r="J246" i="22"/>
  <c r="K246" i="22" s="1"/>
  <c r="J252" i="22"/>
  <c r="K252" i="22" s="1"/>
  <c r="J274" i="22"/>
  <c r="K274" i="22" s="1"/>
  <c r="J177" i="22"/>
  <c r="K177" i="22" s="1"/>
  <c r="J53" i="22"/>
  <c r="K53" i="22" s="1"/>
  <c r="J73" i="22"/>
  <c r="K73" i="22" s="1"/>
  <c r="J96" i="22"/>
  <c r="K96" i="22" s="1"/>
  <c r="J111" i="22"/>
  <c r="K111" i="22" s="1"/>
  <c r="J131" i="22"/>
  <c r="K131" i="22" s="1"/>
  <c r="J176" i="22"/>
  <c r="K176" i="22" s="1"/>
  <c r="J340" i="22"/>
  <c r="K340" i="22" s="1"/>
  <c r="J227" i="22"/>
  <c r="K227" i="22" s="1"/>
  <c r="J254" i="22"/>
  <c r="K254" i="22" s="1"/>
  <c r="J276" i="22"/>
  <c r="K276" i="22" s="1"/>
  <c r="M46" i="11"/>
  <c r="L46" i="11"/>
  <c r="K46" i="11"/>
  <c r="M45" i="11"/>
  <c r="L45" i="11"/>
  <c r="K45" i="11"/>
  <c r="M44" i="11"/>
  <c r="L44" i="11"/>
  <c r="N43" i="11"/>
  <c r="L43" i="11"/>
  <c r="N42" i="11"/>
  <c r="K42" i="11"/>
  <c r="N41" i="11"/>
  <c r="M41" i="11"/>
  <c r="K41" i="11"/>
  <c r="K40" i="11"/>
  <c r="N39" i="11"/>
  <c r="K39" i="11"/>
  <c r="K38" i="11"/>
  <c r="J162" i="22" l="1"/>
  <c r="K162" i="22" s="1"/>
  <c r="J318" i="22"/>
  <c r="K318" i="22" s="1"/>
  <c r="O26" i="4"/>
  <c r="N26" i="4"/>
  <c r="M26" i="4"/>
  <c r="L26" i="4"/>
  <c r="K26" i="4"/>
  <c r="CO7" i="4"/>
  <c r="CB4" i="4"/>
  <c r="CC4" i="4" s="1"/>
  <c r="CE26" i="4"/>
  <c r="CF26" i="4" s="1"/>
  <c r="BZ14" i="4"/>
  <c r="BZ7" i="4"/>
  <c r="CA7" i="4" s="1"/>
  <c r="CB7" i="4" l="1"/>
  <c r="CC7" i="4" s="1"/>
  <c r="CP7" i="4"/>
  <c r="CQ7" i="4" s="1"/>
  <c r="CD4" i="4"/>
  <c r="CE4" i="4" s="1"/>
  <c r="CG26" i="4"/>
  <c r="CA14" i="4"/>
  <c r="CD7" i="4" l="1"/>
  <c r="CE7" i="4" s="1"/>
  <c r="CF7" i="4" s="1"/>
  <c r="CF4" i="4"/>
  <c r="CG4" i="4" s="1"/>
  <c r="CH4" i="4" s="1"/>
  <c r="CR7" i="4"/>
  <c r="CH26" i="4"/>
  <c r="CI26" i="4" s="1"/>
  <c r="CB14" i="4"/>
  <c r="CI4" i="4" l="1"/>
  <c r="CC14" i="4"/>
  <c r="CD14" i="4" s="1"/>
  <c r="CG7" i="4"/>
  <c r="CH7" i="4" s="1"/>
  <c r="CI7" i="4" s="1"/>
  <c r="CE14" i="4" l="1"/>
  <c r="CF14" i="4" s="1"/>
  <c r="E35" i="15"/>
  <c r="E29" i="15"/>
  <c r="E23" i="15"/>
  <c r="E35" i="3"/>
  <c r="E29" i="3"/>
  <c r="O4" i="4"/>
  <c r="N4" i="4"/>
  <c r="L4" i="4"/>
  <c r="K4" i="4"/>
  <c r="J4" i="4"/>
  <c r="I4" i="4"/>
  <c r="H4" i="4"/>
  <c r="G4" i="4"/>
  <c r="F4" i="4"/>
  <c r="AU3" i="3" l="1"/>
  <c r="CG14" i="4"/>
  <c r="CH14" i="4" s="1"/>
  <c r="CI14" i="4" s="1"/>
  <c r="BM40" i="15"/>
  <c r="BM41" i="15" s="1"/>
  <c r="BM42" i="15" s="1"/>
  <c r="BM40" i="3"/>
  <c r="BM41" i="3" s="1"/>
  <c r="BM42" i="3" s="1"/>
  <c r="BS12" i="2"/>
  <c r="BS11" i="2"/>
  <c r="BS10" i="2"/>
  <c r="BS9" i="2"/>
  <c r="BS8" i="2"/>
  <c r="BS7" i="2"/>
  <c r="BS6" i="2"/>
  <c r="BS5" i="2"/>
  <c r="BS4" i="2"/>
  <c r="AK7" i="1"/>
  <c r="AF5" i="1" s="1"/>
  <c r="CE2" i="15"/>
  <c r="CE1" i="15"/>
  <c r="Q43" i="15"/>
  <c r="U43" i="15" s="1"/>
  <c r="Q41" i="15"/>
  <c r="U41" i="15"/>
  <c r="BQ13" i="15"/>
  <c r="BO13" i="15"/>
  <c r="U41" i="3"/>
  <c r="Q41" i="3"/>
  <c r="BQ13" i="3"/>
  <c r="Q39" i="3" s="1"/>
  <c r="BO13" i="3"/>
  <c r="AT33" i="15"/>
  <c r="AT32" i="15"/>
  <c r="AT31" i="15"/>
  <c r="AT30" i="15"/>
  <c r="AT29" i="15"/>
  <c r="AT28" i="15"/>
  <c r="AT27" i="15"/>
  <c r="AT26" i="15"/>
  <c r="AT25" i="15"/>
  <c r="AT24" i="15"/>
  <c r="AT23" i="15"/>
  <c r="AT22" i="15"/>
  <c r="AT21" i="15"/>
  <c r="AT20" i="15"/>
  <c r="AT19" i="15"/>
  <c r="AT18" i="15"/>
  <c r="AT17" i="15"/>
  <c r="AT16" i="15"/>
  <c r="AT15" i="15"/>
  <c r="AT14" i="15"/>
  <c r="AT13" i="15"/>
  <c r="AT12" i="15"/>
  <c r="AT11" i="15"/>
  <c r="AT10" i="15"/>
  <c r="AT9" i="15"/>
  <c r="AT8" i="15"/>
  <c r="AT7" i="15"/>
  <c r="AT6" i="15"/>
  <c r="AT33" i="3"/>
  <c r="AT32" i="3"/>
  <c r="AT31" i="3"/>
  <c r="AT30" i="3"/>
  <c r="AT29" i="3"/>
  <c r="AT28" i="3"/>
  <c r="AT27" i="3"/>
  <c r="AT26" i="3"/>
  <c r="AT25" i="3"/>
  <c r="AT24" i="3"/>
  <c r="AT23" i="3"/>
  <c r="AT22" i="3"/>
  <c r="AT21" i="3"/>
  <c r="AT20" i="3"/>
  <c r="AT19" i="3"/>
  <c r="AT18" i="3"/>
  <c r="AT17" i="3"/>
  <c r="AT16" i="3"/>
  <c r="AT15" i="3"/>
  <c r="AT14" i="3"/>
  <c r="AT13" i="3"/>
  <c r="AT12" i="3"/>
  <c r="AT11" i="3"/>
  <c r="AT10" i="3"/>
  <c r="AT9" i="3"/>
  <c r="AT8" i="3"/>
  <c r="AT7" i="3"/>
  <c r="AT6" i="3"/>
  <c r="BZ46" i="15"/>
  <c r="BZ45" i="15"/>
  <c r="BZ44" i="15"/>
  <c r="BZ43" i="15"/>
  <c r="BZ42" i="15"/>
  <c r="BZ41" i="15"/>
  <c r="BZ40" i="15"/>
  <c r="BZ39" i="15"/>
  <c r="BZ38" i="15"/>
  <c r="BZ37" i="15"/>
  <c r="BZ36" i="15"/>
  <c r="BZ35" i="15"/>
  <c r="BZ34" i="15"/>
  <c r="BZ33" i="15"/>
  <c r="BZ32" i="15"/>
  <c r="BZ31" i="15"/>
  <c r="BZ30" i="15"/>
  <c r="BZ29" i="15"/>
  <c r="BZ28" i="15"/>
  <c r="BZ27" i="15"/>
  <c r="BZ26" i="15"/>
  <c r="BZ25" i="15"/>
  <c r="BZ24" i="15"/>
  <c r="BZ23" i="15"/>
  <c r="BZ22" i="15"/>
  <c r="BZ21" i="15"/>
  <c r="BZ20" i="15"/>
  <c r="BZ19" i="15"/>
  <c r="BZ18" i="15"/>
  <c r="BZ17" i="15"/>
  <c r="BZ16" i="15"/>
  <c r="BZ15" i="15"/>
  <c r="BZ14" i="15"/>
  <c r="BZ13" i="15"/>
  <c r="BZ12" i="15"/>
  <c r="BZ11" i="15"/>
  <c r="BZ10" i="15"/>
  <c r="BZ9" i="15"/>
  <c r="BZ8" i="15"/>
  <c r="BZ7" i="15"/>
  <c r="BZ6" i="15"/>
  <c r="BZ5" i="15"/>
  <c r="BZ4" i="15"/>
  <c r="BZ46" i="3"/>
  <c r="BZ45" i="3"/>
  <c r="BZ44" i="3"/>
  <c r="BZ43" i="3"/>
  <c r="BZ42" i="3"/>
  <c r="BZ41" i="3"/>
  <c r="BZ40" i="3"/>
  <c r="BZ39" i="3"/>
  <c r="BZ38" i="3"/>
  <c r="BZ37" i="3"/>
  <c r="BZ36" i="3"/>
  <c r="BZ35" i="3"/>
  <c r="BZ34" i="3"/>
  <c r="BZ33" i="3"/>
  <c r="BZ32" i="3"/>
  <c r="BZ31" i="3"/>
  <c r="BZ30" i="3"/>
  <c r="BZ29" i="3"/>
  <c r="BZ28" i="3"/>
  <c r="BZ27" i="3"/>
  <c r="BZ26" i="3"/>
  <c r="BZ25" i="3"/>
  <c r="BZ24" i="3"/>
  <c r="BZ23" i="3"/>
  <c r="BZ22" i="3"/>
  <c r="BZ21" i="3"/>
  <c r="BZ20" i="3"/>
  <c r="BZ19" i="3"/>
  <c r="BZ18" i="3"/>
  <c r="BZ17" i="3"/>
  <c r="BZ16" i="3"/>
  <c r="BZ15" i="3"/>
  <c r="BZ14" i="3"/>
  <c r="BZ13" i="3"/>
  <c r="BZ12" i="3"/>
  <c r="BZ11" i="3"/>
  <c r="BZ10" i="3"/>
  <c r="BE46" i="15"/>
  <c r="BE45" i="15"/>
  <c r="BE44" i="15"/>
  <c r="BE43" i="15"/>
  <c r="BE42" i="15"/>
  <c r="BE41" i="15"/>
  <c r="BE40" i="15"/>
  <c r="BE39" i="15"/>
  <c r="BE38" i="15"/>
  <c r="BE37" i="15"/>
  <c r="BE36" i="15"/>
  <c r="BE35" i="15"/>
  <c r="BE34" i="15"/>
  <c r="BE33" i="15"/>
  <c r="BE32" i="15"/>
  <c r="BE31" i="15"/>
  <c r="BE30" i="15"/>
  <c r="BE29" i="15"/>
  <c r="BE28" i="15"/>
  <c r="BE27" i="15"/>
  <c r="BE26" i="15"/>
  <c r="BE25" i="15"/>
  <c r="BE24" i="15"/>
  <c r="BE23" i="15"/>
  <c r="BE22" i="15"/>
  <c r="BE21" i="15"/>
  <c r="BE20" i="15"/>
  <c r="BE19" i="15"/>
  <c r="BE18" i="15"/>
  <c r="BE17" i="15"/>
  <c r="BE16" i="15"/>
  <c r="BE15" i="15"/>
  <c r="BE14" i="15"/>
  <c r="BE13" i="15"/>
  <c r="BE12" i="15"/>
  <c r="BE11" i="15"/>
  <c r="BE10" i="15"/>
  <c r="BE9" i="15"/>
  <c r="BE8" i="15"/>
  <c r="BE7" i="15"/>
  <c r="BE6" i="15"/>
  <c r="BE5" i="15"/>
  <c r="BE4" i="15"/>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14" i="3"/>
  <c r="BE13" i="3"/>
  <c r="BE12" i="3"/>
  <c r="BE11" i="3"/>
  <c r="BE10" i="3"/>
  <c r="BE9" i="3"/>
  <c r="BE8" i="3"/>
  <c r="BE7" i="3"/>
  <c r="Q39" i="15"/>
  <c r="E42" i="15"/>
  <c r="I42" i="15" s="1"/>
  <c r="E41" i="15"/>
  <c r="I41" i="15" s="1"/>
  <c r="E40" i="15"/>
  <c r="E39" i="15"/>
  <c r="I39" i="15" s="1"/>
  <c r="Q43" i="3"/>
  <c r="U43" i="3" s="1"/>
  <c r="E42" i="3"/>
  <c r="I42" i="3" s="1"/>
  <c r="E41" i="3"/>
  <c r="I41" i="3" s="1"/>
  <c r="E40" i="3"/>
  <c r="E39" i="3"/>
  <c r="I39" i="3" s="1"/>
  <c r="E40"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E12" i="2"/>
  <c r="BE11" i="2"/>
  <c r="BE10" i="2"/>
  <c r="BE9" i="2"/>
  <c r="BH9" i="2" s="1"/>
  <c r="BE8" i="2"/>
  <c r="BE7" i="2"/>
  <c r="BE6" i="2"/>
  <c r="BE5" i="2"/>
  <c r="BE4" i="2"/>
  <c r="GK17" i="1" l="1"/>
  <c r="GK9" i="1"/>
  <c r="GK1" i="1"/>
  <c r="GK21" i="1"/>
  <c r="GK13" i="1"/>
  <c r="GK5" i="1"/>
  <c r="GK12" i="1"/>
  <c r="GK11" i="1"/>
  <c r="GK24" i="1"/>
  <c r="GK16" i="1"/>
  <c r="GK8" i="1"/>
  <c r="GK14" i="1"/>
  <c r="GK4" i="1"/>
  <c r="GK10" i="1"/>
  <c r="GK23" i="1"/>
  <c r="GK15" i="1"/>
  <c r="GK7" i="1"/>
  <c r="GK22" i="1"/>
  <c r="GK6" i="1"/>
  <c r="GK20" i="1"/>
  <c r="GK19" i="1"/>
  <c r="GK3" i="1"/>
  <c r="GK18" i="1"/>
  <c r="GK2" i="1"/>
  <c r="BS10" i="15"/>
  <c r="AF34" i="15"/>
  <c r="AF36" i="15"/>
  <c r="AC7" i="1"/>
  <c r="AS7" i="1" s="1"/>
  <c r="AF38" i="15"/>
  <c r="AF3" i="1"/>
  <c r="EM48" i="4"/>
  <c r="EL48" i="4"/>
  <c r="ED48" i="4"/>
  <c r="EI48" i="4"/>
  <c r="EH48" i="4"/>
  <c r="EG48" i="4"/>
  <c r="EN48" i="4"/>
  <c r="EF48" i="4"/>
  <c r="EE48" i="4"/>
  <c r="EK48" i="4"/>
  <c r="EJ48" i="4"/>
  <c r="Q42" i="15"/>
  <c r="U40" i="15"/>
  <c r="Q40" i="15" s="1"/>
  <c r="U40" i="3"/>
  <c r="Q40" i="3" s="1"/>
  <c r="Q42" i="3"/>
  <c r="BS7" i="15"/>
  <c r="BS8" i="15"/>
  <c r="BS11" i="15"/>
  <c r="BS4" i="15"/>
  <c r="BS12" i="15"/>
  <c r="BS5" i="15"/>
  <c r="BS6" i="15"/>
  <c r="BS9" i="15"/>
  <c r="BD46" i="15"/>
  <c r="BD45" i="15"/>
  <c r="BD44" i="15"/>
  <c r="BD43" i="15"/>
  <c r="BD42" i="15"/>
  <c r="BD41" i="15"/>
  <c r="BD40" i="15"/>
  <c r="BD39" i="15"/>
  <c r="BD38" i="15"/>
  <c r="BD37" i="15"/>
  <c r="BD36" i="15"/>
  <c r="BD35" i="15"/>
  <c r="BD34" i="15"/>
  <c r="BD33" i="15"/>
  <c r="BD32" i="15"/>
  <c r="BD31" i="15"/>
  <c r="BD30" i="15"/>
  <c r="BD29" i="15"/>
  <c r="BD28" i="15"/>
  <c r="BD27" i="15"/>
  <c r="BD26" i="15"/>
  <c r="BD25" i="15"/>
  <c r="BD24" i="15"/>
  <c r="BD23" i="15"/>
  <c r="BD22" i="15"/>
  <c r="BD21" i="15"/>
  <c r="BD20" i="15"/>
  <c r="BD19" i="15"/>
  <c r="BD18" i="15"/>
  <c r="BD17" i="15"/>
  <c r="BD16" i="15"/>
  <c r="BD15" i="15"/>
  <c r="BD14" i="15"/>
  <c r="BD13" i="15"/>
  <c r="BD12" i="15"/>
  <c r="BD11" i="15"/>
  <c r="BD10" i="15"/>
  <c r="BD9" i="15"/>
  <c r="BD8" i="15"/>
  <c r="BD7" i="15"/>
  <c r="BD6" i="15"/>
  <c r="BD5" i="15"/>
  <c r="BD4" i="15"/>
  <c r="BD46" i="3"/>
  <c r="BD45" i="3"/>
  <c r="BD44" i="3"/>
  <c r="BD43" i="3"/>
  <c r="BD42" i="3"/>
  <c r="BD41" i="3"/>
  <c r="BD40" i="3"/>
  <c r="BD39" i="3"/>
  <c r="BD38" i="3"/>
  <c r="BD37" i="3"/>
  <c r="BD36" i="3"/>
  <c r="BD35" i="3"/>
  <c r="BD34" i="3"/>
  <c r="BD33" i="3"/>
  <c r="BD32" i="3"/>
  <c r="BD31" i="3"/>
  <c r="BD30" i="3"/>
  <c r="BD29" i="3"/>
  <c r="BD28" i="3"/>
  <c r="BD27" i="3"/>
  <c r="BD26" i="3"/>
  <c r="BD25" i="3"/>
  <c r="BD24" i="3"/>
  <c r="BD23" i="3"/>
  <c r="BD22" i="3"/>
  <c r="BD21" i="3"/>
  <c r="BD20" i="3"/>
  <c r="BD19" i="3"/>
  <c r="BD18" i="3"/>
  <c r="BD17" i="3"/>
  <c r="BD16" i="3"/>
  <c r="BD15" i="3"/>
  <c r="BD14" i="3"/>
  <c r="BD13" i="3"/>
  <c r="BD12" i="3"/>
  <c r="BD11" i="3"/>
  <c r="BD10" i="3"/>
  <c r="BD9" i="3"/>
  <c r="BD8" i="3"/>
  <c r="BD7" i="3"/>
  <c r="BD6" i="3"/>
  <c r="BD5" i="3"/>
  <c r="BD4" i="3"/>
  <c r="BH46" i="15"/>
  <c r="BH45" i="15"/>
  <c r="BH44" i="15"/>
  <c r="BH43" i="15"/>
  <c r="BH42" i="15"/>
  <c r="BH41" i="15"/>
  <c r="BH40" i="15"/>
  <c r="BH39" i="15"/>
  <c r="BH38" i="15"/>
  <c r="BH37" i="15"/>
  <c r="BH36" i="15"/>
  <c r="BH35" i="15"/>
  <c r="BH34" i="15"/>
  <c r="BH33" i="15"/>
  <c r="BH32" i="15"/>
  <c r="BH31" i="15"/>
  <c r="BH30" i="15"/>
  <c r="BH29" i="15"/>
  <c r="BH28" i="15"/>
  <c r="BH27" i="15"/>
  <c r="BH26" i="15"/>
  <c r="BH25" i="15"/>
  <c r="BH24" i="15"/>
  <c r="BH23" i="15"/>
  <c r="BH22" i="15"/>
  <c r="BH21" i="15"/>
  <c r="BH20" i="15"/>
  <c r="BH19" i="15"/>
  <c r="BH18" i="15"/>
  <c r="BH17" i="15"/>
  <c r="BH16" i="15"/>
  <c r="BH15" i="15"/>
  <c r="BH14" i="15"/>
  <c r="BH13" i="15"/>
  <c r="BH12" i="15"/>
  <c r="BH11" i="15"/>
  <c r="BH10" i="15"/>
  <c r="BH9" i="15"/>
  <c r="BH8" i="15"/>
  <c r="BH7" i="15"/>
  <c r="BH6" i="15"/>
  <c r="BH5" i="15"/>
  <c r="BH4" i="15"/>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14" i="3"/>
  <c r="BH13" i="3"/>
  <c r="BH12" i="3"/>
  <c r="BH11" i="3"/>
  <c r="BH10" i="3"/>
  <c r="BH9" i="3"/>
  <c r="BH8" i="3"/>
  <c r="BH7" i="3"/>
  <c r="BH4" i="3"/>
  <c r="BH46" i="2"/>
  <c r="BH45" i="2"/>
  <c r="BH44" i="2"/>
  <c r="BH43" i="2"/>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H14" i="2"/>
  <c r="BH13" i="2"/>
  <c r="BH12" i="2"/>
  <c r="BH11" i="2"/>
  <c r="BH8" i="2"/>
  <c r="BH7" i="2"/>
  <c r="BH6" i="2"/>
  <c r="BH5" i="2"/>
  <c r="BH4" i="2"/>
  <c r="P38" i="4"/>
  <c r="P37" i="4"/>
  <c r="P36" i="4"/>
  <c r="P35" i="4"/>
  <c r="P34" i="4"/>
  <c r="P33" i="4"/>
  <c r="P32" i="4"/>
  <c r="P31" i="4"/>
  <c r="P30" i="4"/>
  <c r="P29" i="4"/>
  <c r="AN38" i="4"/>
  <c r="AN37" i="4"/>
  <c r="AN36" i="4"/>
  <c r="AN35" i="4"/>
  <c r="AN34" i="4"/>
  <c r="AN33" i="4"/>
  <c r="AN32" i="4"/>
  <c r="AN31" i="4"/>
  <c r="AN30" i="4"/>
  <c r="AN29" i="4"/>
  <c r="BL38" i="4"/>
  <c r="BL37" i="4"/>
  <c r="BL36" i="4"/>
  <c r="BL35" i="4"/>
  <c r="BL34" i="4"/>
  <c r="BL33" i="4"/>
  <c r="BL32" i="4"/>
  <c r="BL31" i="4"/>
  <c r="BL30" i="4"/>
  <c r="BL29" i="4"/>
  <c r="CJ38" i="4"/>
  <c r="CJ37" i="4"/>
  <c r="CJ36" i="4"/>
  <c r="CJ35" i="4"/>
  <c r="CJ34" i="4"/>
  <c r="CJ33" i="4"/>
  <c r="CJ32" i="4"/>
  <c r="CJ31" i="4"/>
  <c r="CJ30" i="4"/>
  <c r="CJ29" i="4"/>
  <c r="DH38" i="4"/>
  <c r="DH37" i="4"/>
  <c r="DH36" i="4"/>
  <c r="DH35" i="4"/>
  <c r="DH34" i="4"/>
  <c r="DH33" i="4"/>
  <c r="DH32" i="4"/>
  <c r="DH31" i="4"/>
  <c r="DH30" i="4"/>
  <c r="DH29" i="4"/>
  <c r="EE40" i="4"/>
  <c r="D4" i="22" l="1"/>
  <c r="D2" i="22"/>
  <c r="D11" i="22"/>
  <c r="E11" i="22" s="1"/>
  <c r="D10" i="22"/>
  <c r="D6" i="22"/>
  <c r="D8" i="22"/>
  <c r="D9" i="22"/>
  <c r="D7" i="22"/>
  <c r="D3" i="22"/>
  <c r="D5" i="22"/>
  <c r="BO14" i="15"/>
  <c r="BO16" i="15" s="1"/>
  <c r="BO17" i="15" s="1"/>
  <c r="BO14" i="3"/>
  <c r="BO16" i="3" s="1"/>
  <c r="BO17" i="3" s="1"/>
  <c r="U39" i="15"/>
  <c r="BS13" i="15"/>
  <c r="U42" i="15"/>
  <c r="L34" i="9"/>
  <c r="L112" i="9"/>
  <c r="L54" i="9"/>
  <c r="L111" i="9"/>
  <c r="L87" i="9"/>
  <c r="L109" i="9"/>
  <c r="L23" i="9"/>
  <c r="M23" i="9"/>
  <c r="N23" i="9"/>
  <c r="O23" i="9"/>
  <c r="P23" i="9"/>
  <c r="Q23" i="9"/>
  <c r="L35" i="9"/>
  <c r="M35" i="9"/>
  <c r="N35" i="9"/>
  <c r="O35" i="9"/>
  <c r="P35" i="9"/>
  <c r="Q35" i="9"/>
  <c r="L38" i="9"/>
  <c r="M38" i="9"/>
  <c r="N38" i="9"/>
  <c r="O38" i="9"/>
  <c r="P38" i="9"/>
  <c r="Q38" i="9"/>
  <c r="L39" i="9"/>
  <c r="M39" i="9"/>
  <c r="N39" i="9"/>
  <c r="O39" i="9"/>
  <c r="P39" i="9"/>
  <c r="Q39" i="9"/>
  <c r="L49" i="9"/>
  <c r="M49" i="9"/>
  <c r="N49" i="9"/>
  <c r="O49" i="9"/>
  <c r="P49" i="9"/>
  <c r="Q49" i="9"/>
  <c r="L50" i="9"/>
  <c r="M50" i="9"/>
  <c r="N50" i="9"/>
  <c r="O50" i="9"/>
  <c r="P50" i="9"/>
  <c r="Q50" i="9"/>
  <c r="L74" i="9"/>
  <c r="M74" i="9"/>
  <c r="N74" i="9"/>
  <c r="O74" i="9"/>
  <c r="P74" i="9"/>
  <c r="Q74" i="9"/>
  <c r="L77" i="9"/>
  <c r="M77" i="9"/>
  <c r="N77" i="9"/>
  <c r="O77" i="9"/>
  <c r="P77" i="9"/>
  <c r="Q77" i="9"/>
  <c r="L96" i="9"/>
  <c r="M96" i="9"/>
  <c r="N96" i="9"/>
  <c r="O96" i="9"/>
  <c r="P96" i="9"/>
  <c r="Q96" i="9"/>
  <c r="L101" i="9"/>
  <c r="M101" i="9"/>
  <c r="N101" i="9"/>
  <c r="O101" i="9"/>
  <c r="P101" i="9"/>
  <c r="Q101" i="9"/>
  <c r="L119" i="9"/>
  <c r="M119" i="9"/>
  <c r="N119" i="9"/>
  <c r="O119" i="9"/>
  <c r="P119" i="9"/>
  <c r="Q119" i="9"/>
  <c r="L121" i="9"/>
  <c r="M121" i="9"/>
  <c r="N121" i="9"/>
  <c r="O121" i="9"/>
  <c r="P121" i="9"/>
  <c r="Q121" i="9"/>
  <c r="L3" i="9"/>
  <c r="M3" i="9"/>
  <c r="N3" i="9"/>
  <c r="O3" i="9"/>
  <c r="P3" i="9"/>
  <c r="Q3" i="9"/>
  <c r="L19" i="9"/>
  <c r="M19" i="9"/>
  <c r="N19" i="9"/>
  <c r="O19" i="9"/>
  <c r="P19" i="9"/>
  <c r="Q19" i="9"/>
  <c r="L36" i="9"/>
  <c r="M36" i="9"/>
  <c r="N36" i="9"/>
  <c r="O36" i="9"/>
  <c r="P36" i="9"/>
  <c r="Q36" i="9"/>
  <c r="L52" i="9"/>
  <c r="M52" i="9"/>
  <c r="N52" i="9"/>
  <c r="O52" i="9"/>
  <c r="P52" i="9"/>
  <c r="Q52" i="9"/>
  <c r="L60" i="9"/>
  <c r="M60" i="9"/>
  <c r="N60" i="9"/>
  <c r="O60" i="9"/>
  <c r="P60" i="9"/>
  <c r="Q60" i="9"/>
  <c r="L62" i="9"/>
  <c r="M62" i="9"/>
  <c r="N62" i="9"/>
  <c r="O62" i="9"/>
  <c r="P62" i="9"/>
  <c r="Q62" i="9"/>
  <c r="L82" i="9"/>
  <c r="M82" i="9"/>
  <c r="N82" i="9"/>
  <c r="O82" i="9"/>
  <c r="P82" i="9"/>
  <c r="Q82" i="9"/>
  <c r="L93" i="9"/>
  <c r="M93" i="9"/>
  <c r="N93" i="9"/>
  <c r="O93" i="9"/>
  <c r="P93" i="9"/>
  <c r="Q93" i="9"/>
  <c r="L97" i="9"/>
  <c r="M97" i="9"/>
  <c r="N97" i="9"/>
  <c r="O97" i="9"/>
  <c r="P97" i="9"/>
  <c r="Q97" i="9"/>
  <c r="L102" i="9"/>
  <c r="M102" i="9"/>
  <c r="N102" i="9"/>
  <c r="O102" i="9"/>
  <c r="P102" i="9"/>
  <c r="Q102" i="9"/>
  <c r="L117" i="9"/>
  <c r="M117" i="9"/>
  <c r="N117" i="9"/>
  <c r="O117" i="9"/>
  <c r="P117" i="9"/>
  <c r="Q117" i="9"/>
  <c r="L120" i="9"/>
  <c r="M120" i="9"/>
  <c r="N120" i="9"/>
  <c r="O120" i="9"/>
  <c r="P120" i="9"/>
  <c r="Q120" i="9"/>
  <c r="L22" i="9"/>
  <c r="M22" i="9"/>
  <c r="N22" i="9"/>
  <c r="O22" i="9"/>
  <c r="P22" i="9"/>
  <c r="Q22" i="9"/>
  <c r="L88" i="9"/>
  <c r="M88" i="9"/>
  <c r="N88" i="9"/>
  <c r="O88" i="9"/>
  <c r="P88" i="9"/>
  <c r="Q88" i="9"/>
  <c r="L46" i="9"/>
  <c r="L41" i="9"/>
  <c r="L13" i="9"/>
  <c r="L53" i="9"/>
  <c r="L2" i="9"/>
  <c r="M2" i="9"/>
  <c r="N2" i="9"/>
  <c r="O2" i="9"/>
  <c r="P2" i="9"/>
  <c r="Q2" i="9"/>
  <c r="L21" i="9"/>
  <c r="M21" i="9"/>
  <c r="N21" i="9"/>
  <c r="O21" i="9"/>
  <c r="P21" i="9"/>
  <c r="Q21" i="9"/>
  <c r="L25" i="9"/>
  <c r="M25" i="9"/>
  <c r="N25" i="9"/>
  <c r="O25" i="9"/>
  <c r="P25" i="9"/>
  <c r="Q25" i="9"/>
  <c r="L27" i="9"/>
  <c r="M27" i="9"/>
  <c r="N27" i="9"/>
  <c r="O27" i="9"/>
  <c r="P27" i="9"/>
  <c r="Q27" i="9"/>
  <c r="L29" i="9"/>
  <c r="M29" i="9"/>
  <c r="N29" i="9"/>
  <c r="O29" i="9"/>
  <c r="P29" i="9"/>
  <c r="Q29" i="9"/>
  <c r="L65" i="9"/>
  <c r="M65" i="9"/>
  <c r="N65" i="9"/>
  <c r="O65" i="9"/>
  <c r="P65" i="9"/>
  <c r="Q65" i="9"/>
  <c r="L68" i="9"/>
  <c r="M68" i="9"/>
  <c r="N68" i="9"/>
  <c r="O68" i="9"/>
  <c r="P68" i="9"/>
  <c r="Q68" i="9"/>
  <c r="L73" i="9"/>
  <c r="M73" i="9"/>
  <c r="N73" i="9"/>
  <c r="O73" i="9"/>
  <c r="P73" i="9"/>
  <c r="Q73" i="9"/>
  <c r="L76" i="9"/>
  <c r="M76" i="9"/>
  <c r="N76" i="9"/>
  <c r="O76" i="9"/>
  <c r="P76" i="9"/>
  <c r="Q76" i="9"/>
  <c r="L79" i="9"/>
  <c r="M79" i="9"/>
  <c r="N79" i="9"/>
  <c r="O79" i="9"/>
  <c r="P79" i="9"/>
  <c r="Q79" i="9"/>
  <c r="L5" i="9"/>
  <c r="M5" i="9"/>
  <c r="N5" i="9"/>
  <c r="O5" i="9"/>
  <c r="P5" i="9"/>
  <c r="Q5" i="9"/>
  <c r="L9" i="9"/>
  <c r="M9" i="9"/>
  <c r="N9" i="9"/>
  <c r="O9" i="9"/>
  <c r="P9" i="9"/>
  <c r="Q9" i="9"/>
  <c r="L42" i="9"/>
  <c r="M42" i="9"/>
  <c r="N42" i="9"/>
  <c r="O42" i="9"/>
  <c r="P42" i="9"/>
  <c r="Q42" i="9"/>
  <c r="L67" i="9"/>
  <c r="M67" i="9"/>
  <c r="N67" i="9"/>
  <c r="O67" i="9"/>
  <c r="P67" i="9"/>
  <c r="Q67" i="9"/>
  <c r="L72" i="9"/>
  <c r="M72" i="9"/>
  <c r="N72" i="9"/>
  <c r="O72" i="9"/>
  <c r="P72" i="9"/>
  <c r="Q72" i="9"/>
  <c r="L100" i="9"/>
  <c r="M100" i="9"/>
  <c r="N100" i="9"/>
  <c r="O100" i="9"/>
  <c r="P100" i="9"/>
  <c r="Q100" i="9"/>
  <c r="L108" i="9"/>
  <c r="M108" i="9"/>
  <c r="N108" i="9"/>
  <c r="O108" i="9"/>
  <c r="P108" i="9"/>
  <c r="Q108" i="9"/>
  <c r="L114" i="9"/>
  <c r="M114" i="9"/>
  <c r="N114" i="9"/>
  <c r="O114" i="9"/>
  <c r="P114" i="9"/>
  <c r="Q114" i="9"/>
  <c r="L115" i="9"/>
  <c r="M115" i="9"/>
  <c r="N115" i="9"/>
  <c r="O115" i="9"/>
  <c r="P115" i="9"/>
  <c r="Q115" i="9"/>
  <c r="L122" i="9"/>
  <c r="M122" i="9"/>
  <c r="N122" i="9"/>
  <c r="O122" i="9"/>
  <c r="P122" i="9"/>
  <c r="Q122" i="9"/>
  <c r="L18" i="9"/>
  <c r="L92" i="9"/>
  <c r="L61" i="9"/>
  <c r="L75" i="9"/>
  <c r="M75" i="9"/>
  <c r="N75" i="9"/>
  <c r="O75" i="9"/>
  <c r="P75" i="9"/>
  <c r="Q75" i="9"/>
  <c r="L70" i="9"/>
  <c r="M70" i="9"/>
  <c r="N70" i="9"/>
  <c r="O70" i="9"/>
  <c r="P70" i="9"/>
  <c r="Q70" i="9"/>
  <c r="L15" i="9"/>
  <c r="L32" i="9"/>
  <c r="L33" i="9"/>
  <c r="M18" i="9"/>
  <c r="N18" i="9"/>
  <c r="O18" i="9"/>
  <c r="P18" i="9"/>
  <c r="Q18" i="9"/>
  <c r="L20" i="9"/>
  <c r="M20" i="9"/>
  <c r="N20" i="9"/>
  <c r="O20" i="9"/>
  <c r="P20" i="9"/>
  <c r="Q20" i="9"/>
  <c r="Q91" i="9"/>
  <c r="P91" i="9"/>
  <c r="O91" i="9"/>
  <c r="N91" i="9"/>
  <c r="M91" i="9"/>
  <c r="L91" i="9"/>
  <c r="Q105" i="9"/>
  <c r="P105" i="9"/>
  <c r="O105" i="9"/>
  <c r="N105" i="9"/>
  <c r="M105" i="9"/>
  <c r="L105" i="9"/>
  <c r="Q14" i="9"/>
  <c r="P14" i="9"/>
  <c r="O14" i="9"/>
  <c r="N14" i="9"/>
  <c r="M14" i="9"/>
  <c r="L14" i="9"/>
  <c r="Q69" i="9"/>
  <c r="P69" i="9"/>
  <c r="O69" i="9"/>
  <c r="N69" i="9"/>
  <c r="M69" i="9"/>
  <c r="L69" i="9"/>
  <c r="Q66" i="9"/>
  <c r="P66" i="9"/>
  <c r="O66" i="9"/>
  <c r="N66" i="9"/>
  <c r="M66" i="9"/>
  <c r="L66" i="9"/>
  <c r="Q28" i="9"/>
  <c r="P28" i="9"/>
  <c r="O28" i="9"/>
  <c r="N28" i="9"/>
  <c r="M28" i="9"/>
  <c r="L28" i="9"/>
  <c r="Q90" i="9"/>
  <c r="P90" i="9"/>
  <c r="O90" i="9"/>
  <c r="N90" i="9"/>
  <c r="M90" i="9"/>
  <c r="L90" i="9"/>
  <c r="Q56" i="9"/>
  <c r="P56" i="9"/>
  <c r="O56" i="9"/>
  <c r="N56" i="9"/>
  <c r="M56" i="9"/>
  <c r="L56" i="9"/>
  <c r="Q61" i="9"/>
  <c r="P61" i="9"/>
  <c r="O61" i="9"/>
  <c r="N61" i="9"/>
  <c r="M61" i="9"/>
  <c r="Q113" i="9"/>
  <c r="P113" i="9"/>
  <c r="O113" i="9"/>
  <c r="N113" i="9"/>
  <c r="M113" i="9"/>
  <c r="L113" i="9"/>
  <c r="Q92" i="9"/>
  <c r="P92" i="9"/>
  <c r="O92" i="9"/>
  <c r="N92" i="9"/>
  <c r="M92" i="9"/>
  <c r="Q84" i="9"/>
  <c r="P84" i="9"/>
  <c r="O84" i="9"/>
  <c r="N84" i="9"/>
  <c r="M84" i="9"/>
  <c r="L84" i="9"/>
  <c r="Q83" i="9"/>
  <c r="P83" i="9"/>
  <c r="O83" i="9"/>
  <c r="N83" i="9"/>
  <c r="M83" i="9"/>
  <c r="L83" i="9"/>
  <c r="Q58" i="9"/>
  <c r="P58" i="9"/>
  <c r="O58" i="9"/>
  <c r="N58" i="9"/>
  <c r="M58" i="9"/>
  <c r="L58" i="9"/>
  <c r="Q57" i="9"/>
  <c r="P57" i="9"/>
  <c r="O57" i="9"/>
  <c r="N57" i="9"/>
  <c r="M57" i="9"/>
  <c r="L57" i="9"/>
  <c r="Q24" i="9"/>
  <c r="P24" i="9"/>
  <c r="O24" i="9"/>
  <c r="N24" i="9"/>
  <c r="M24" i="9"/>
  <c r="L24" i="9"/>
  <c r="Q107" i="9"/>
  <c r="P107" i="9"/>
  <c r="O107" i="9"/>
  <c r="N107" i="9"/>
  <c r="M107" i="9"/>
  <c r="L107" i="9"/>
  <c r="Q99" i="9"/>
  <c r="P99" i="9"/>
  <c r="O99" i="9"/>
  <c r="N99" i="9"/>
  <c r="M99" i="9"/>
  <c r="L99" i="9"/>
  <c r="Q94" i="9"/>
  <c r="P94" i="9"/>
  <c r="O94" i="9"/>
  <c r="N94" i="9"/>
  <c r="M94" i="9"/>
  <c r="L94" i="9"/>
  <c r="Q86" i="9"/>
  <c r="P86" i="9"/>
  <c r="O86" i="9"/>
  <c r="N86" i="9"/>
  <c r="M86" i="9"/>
  <c r="L86" i="9"/>
  <c r="Q81" i="9"/>
  <c r="P81" i="9"/>
  <c r="O81" i="9"/>
  <c r="N81" i="9"/>
  <c r="M81" i="9"/>
  <c r="L81" i="9"/>
  <c r="Q53" i="9"/>
  <c r="P53" i="9"/>
  <c r="O53" i="9"/>
  <c r="N53" i="9"/>
  <c r="M53" i="9"/>
  <c r="Q48" i="9"/>
  <c r="P48" i="9"/>
  <c r="O48" i="9"/>
  <c r="N48" i="9"/>
  <c r="M48" i="9"/>
  <c r="L48" i="9"/>
  <c r="Q37" i="9"/>
  <c r="P37" i="9"/>
  <c r="O37" i="9"/>
  <c r="N37" i="9"/>
  <c r="M37" i="9"/>
  <c r="L37" i="9"/>
  <c r="Q17" i="9"/>
  <c r="P17" i="9"/>
  <c r="O17" i="9"/>
  <c r="N17" i="9"/>
  <c r="M17" i="9"/>
  <c r="L17" i="9"/>
  <c r="Q13" i="9"/>
  <c r="P13" i="9"/>
  <c r="O13" i="9"/>
  <c r="N13" i="9"/>
  <c r="M13" i="9"/>
  <c r="Q6" i="9"/>
  <c r="P6" i="9"/>
  <c r="O6" i="9"/>
  <c r="N6" i="9"/>
  <c r="M6" i="9"/>
  <c r="L6" i="9"/>
  <c r="Q95" i="9"/>
  <c r="P95" i="9"/>
  <c r="O95" i="9"/>
  <c r="N95" i="9"/>
  <c r="M95" i="9"/>
  <c r="L95" i="9"/>
  <c r="Q80" i="9"/>
  <c r="P80" i="9"/>
  <c r="O80" i="9"/>
  <c r="N80" i="9"/>
  <c r="M80" i="9"/>
  <c r="L80" i="9"/>
  <c r="Q63" i="9"/>
  <c r="P63" i="9"/>
  <c r="O63" i="9"/>
  <c r="N63" i="9"/>
  <c r="M63" i="9"/>
  <c r="L63" i="9"/>
  <c r="Q59" i="9"/>
  <c r="P59" i="9"/>
  <c r="O59" i="9"/>
  <c r="N59" i="9"/>
  <c r="M59" i="9"/>
  <c r="L59" i="9"/>
  <c r="Q31" i="9"/>
  <c r="P31" i="9"/>
  <c r="O31" i="9"/>
  <c r="N31" i="9"/>
  <c r="M31" i="9"/>
  <c r="L31" i="9"/>
  <c r="Q26" i="9"/>
  <c r="P26" i="9"/>
  <c r="O26" i="9"/>
  <c r="N26" i="9"/>
  <c r="M26" i="9"/>
  <c r="L26" i="9"/>
  <c r="Q16" i="9"/>
  <c r="P16" i="9"/>
  <c r="O16" i="9"/>
  <c r="N16" i="9"/>
  <c r="M16" i="9"/>
  <c r="L16" i="9"/>
  <c r="Q123" i="9"/>
  <c r="P123" i="9"/>
  <c r="O123" i="9"/>
  <c r="N123" i="9"/>
  <c r="M123" i="9"/>
  <c r="L123" i="9"/>
  <c r="Q85" i="9"/>
  <c r="P85" i="9"/>
  <c r="O85" i="9"/>
  <c r="N85" i="9"/>
  <c r="M85" i="9"/>
  <c r="L85" i="9"/>
  <c r="Q47" i="9"/>
  <c r="P47" i="9"/>
  <c r="O47" i="9"/>
  <c r="N47" i="9"/>
  <c r="M47" i="9"/>
  <c r="L47" i="9"/>
  <c r="Q46" i="9"/>
  <c r="P46" i="9"/>
  <c r="O46" i="9"/>
  <c r="N46" i="9"/>
  <c r="M46" i="9"/>
  <c r="Q45" i="9"/>
  <c r="P45" i="9"/>
  <c r="O45" i="9"/>
  <c r="N45" i="9"/>
  <c r="M45" i="9"/>
  <c r="L45" i="9"/>
  <c r="Q41" i="9"/>
  <c r="P41" i="9"/>
  <c r="O41" i="9"/>
  <c r="N41" i="9"/>
  <c r="M41" i="9"/>
  <c r="Q30" i="9"/>
  <c r="P30" i="9"/>
  <c r="O30" i="9"/>
  <c r="N30" i="9"/>
  <c r="M30" i="9"/>
  <c r="L30" i="9"/>
  <c r="Q12" i="9"/>
  <c r="P12" i="9"/>
  <c r="O12" i="9"/>
  <c r="N12" i="9"/>
  <c r="M12" i="9"/>
  <c r="L12" i="9"/>
  <c r="Q11" i="9"/>
  <c r="P11" i="9"/>
  <c r="O11" i="9"/>
  <c r="N11" i="9"/>
  <c r="M11" i="9"/>
  <c r="L11" i="9"/>
  <c r="Q10" i="9"/>
  <c r="P10" i="9"/>
  <c r="O10" i="9"/>
  <c r="N10" i="9"/>
  <c r="M10" i="9"/>
  <c r="L10" i="9"/>
  <c r="Q8" i="9"/>
  <c r="P8" i="9"/>
  <c r="O8" i="9"/>
  <c r="N8" i="9"/>
  <c r="M8" i="9"/>
  <c r="L8" i="9"/>
  <c r="Q7" i="9"/>
  <c r="P7" i="9"/>
  <c r="O7" i="9"/>
  <c r="N7" i="9"/>
  <c r="M7" i="9"/>
  <c r="L7" i="9"/>
  <c r="Q118" i="9"/>
  <c r="P118" i="9"/>
  <c r="O118" i="9"/>
  <c r="N118" i="9"/>
  <c r="M118" i="9"/>
  <c r="L118" i="9"/>
  <c r="Q110" i="9"/>
  <c r="P110" i="9"/>
  <c r="O110" i="9"/>
  <c r="N110" i="9"/>
  <c r="M110" i="9"/>
  <c r="L110" i="9"/>
  <c r="Q109" i="9"/>
  <c r="P109" i="9"/>
  <c r="O109" i="9"/>
  <c r="N109" i="9"/>
  <c r="M109" i="9"/>
  <c r="Q104" i="9"/>
  <c r="P104" i="9"/>
  <c r="O104" i="9"/>
  <c r="N104" i="9"/>
  <c r="M104" i="9"/>
  <c r="L104" i="9"/>
  <c r="Q87" i="9"/>
  <c r="P87" i="9"/>
  <c r="O87" i="9"/>
  <c r="N87" i="9"/>
  <c r="M87" i="9"/>
  <c r="Q71" i="9"/>
  <c r="P71" i="9"/>
  <c r="O71" i="9"/>
  <c r="N71" i="9"/>
  <c r="M71" i="9"/>
  <c r="L71" i="9"/>
  <c r="Q51" i="9"/>
  <c r="P51" i="9"/>
  <c r="O51" i="9"/>
  <c r="N51" i="9"/>
  <c r="M51" i="9"/>
  <c r="L51" i="9"/>
  <c r="Q111" i="9"/>
  <c r="P111" i="9"/>
  <c r="O111" i="9"/>
  <c r="N111" i="9"/>
  <c r="M111" i="9"/>
  <c r="Q103" i="9"/>
  <c r="P103" i="9"/>
  <c r="O103" i="9"/>
  <c r="N103" i="9"/>
  <c r="M103" i="9"/>
  <c r="L103" i="9"/>
  <c r="Q89" i="9"/>
  <c r="P89" i="9"/>
  <c r="O89" i="9"/>
  <c r="N89" i="9"/>
  <c r="M89" i="9"/>
  <c r="L89" i="9"/>
  <c r="Q55" i="9"/>
  <c r="P55" i="9"/>
  <c r="O55" i="9"/>
  <c r="N55" i="9"/>
  <c r="M55" i="9"/>
  <c r="L55" i="9"/>
  <c r="Q54" i="9"/>
  <c r="P54" i="9"/>
  <c r="O54" i="9"/>
  <c r="N54" i="9"/>
  <c r="M54" i="9"/>
  <c r="Q40" i="9"/>
  <c r="P40" i="9"/>
  <c r="O40" i="9"/>
  <c r="N40" i="9"/>
  <c r="M40" i="9"/>
  <c r="L40" i="9"/>
  <c r="Q4" i="9"/>
  <c r="P4" i="9"/>
  <c r="O4" i="9"/>
  <c r="N4" i="9"/>
  <c r="M4" i="9"/>
  <c r="L4" i="9"/>
  <c r="Q116" i="9"/>
  <c r="P116" i="9"/>
  <c r="O116" i="9"/>
  <c r="N116" i="9"/>
  <c r="M116" i="9"/>
  <c r="L116" i="9"/>
  <c r="Q112" i="9"/>
  <c r="P112" i="9"/>
  <c r="O112" i="9"/>
  <c r="N112" i="9"/>
  <c r="M112" i="9"/>
  <c r="Q106" i="9"/>
  <c r="P106" i="9"/>
  <c r="O106" i="9"/>
  <c r="N106" i="9"/>
  <c r="M106" i="9"/>
  <c r="L106" i="9"/>
  <c r="Q98" i="9"/>
  <c r="P98" i="9"/>
  <c r="O98" i="9"/>
  <c r="N98" i="9"/>
  <c r="M98" i="9"/>
  <c r="L98" i="9"/>
  <c r="Q78" i="9"/>
  <c r="P78" i="9"/>
  <c r="O78" i="9"/>
  <c r="N78" i="9"/>
  <c r="M78" i="9"/>
  <c r="L78" i="9"/>
  <c r="Q64" i="9"/>
  <c r="P64" i="9"/>
  <c r="O64" i="9"/>
  <c r="N64" i="9"/>
  <c r="M64" i="9"/>
  <c r="L64" i="9"/>
  <c r="Q44" i="9"/>
  <c r="P44" i="9"/>
  <c r="O44" i="9"/>
  <c r="N44" i="9"/>
  <c r="M44" i="9"/>
  <c r="L44" i="9"/>
  <c r="Q43" i="9"/>
  <c r="P43" i="9"/>
  <c r="O43" i="9"/>
  <c r="N43" i="9"/>
  <c r="M43" i="9"/>
  <c r="L43" i="9"/>
  <c r="Q34" i="9"/>
  <c r="P34" i="9"/>
  <c r="O34" i="9"/>
  <c r="N34" i="9"/>
  <c r="M34" i="9"/>
  <c r="Q33" i="9"/>
  <c r="P33" i="9"/>
  <c r="O33" i="9"/>
  <c r="N33" i="9"/>
  <c r="M33" i="9"/>
  <c r="Q32" i="9"/>
  <c r="P32" i="9"/>
  <c r="O32" i="9"/>
  <c r="N32" i="9"/>
  <c r="M32" i="9"/>
  <c r="Q15" i="9"/>
  <c r="P15" i="9"/>
  <c r="O15" i="9"/>
  <c r="N15" i="9"/>
  <c r="M15" i="9"/>
  <c r="C11" i="22" l="1"/>
  <c r="H11" i="22" s="1"/>
  <c r="CE9" i="22"/>
  <c r="BW9" i="22"/>
  <c r="BO9" i="22"/>
  <c r="BK9" i="22"/>
  <c r="BR9" i="22"/>
  <c r="CD9" i="22"/>
  <c r="BV9" i="22"/>
  <c r="BN9" i="22"/>
  <c r="BZ9" i="22"/>
  <c r="CC9" i="22"/>
  <c r="BU9" i="22"/>
  <c r="BM9" i="22"/>
  <c r="CA9" i="22"/>
  <c r="CP9" i="22"/>
  <c r="BJ9" i="22"/>
  <c r="BQ9" i="22"/>
  <c r="BI9" i="22"/>
  <c r="CS9" i="22"/>
  <c r="CB9" i="22"/>
  <c r="BT9" i="22"/>
  <c r="BL9" i="22"/>
  <c r="BS9" i="22"/>
  <c r="BY9" i="22"/>
  <c r="BX9" i="22"/>
  <c r="BP9" i="22"/>
  <c r="CT9" i="22"/>
  <c r="CU9" i="22"/>
  <c r="CV9" i="22"/>
  <c r="CR9" i="22"/>
  <c r="CP8" i="22"/>
  <c r="BZ8" i="22"/>
  <c r="BR8" i="22"/>
  <c r="BJ8" i="22"/>
  <c r="BV8" i="22"/>
  <c r="BU8" i="22"/>
  <c r="CS8" i="22"/>
  <c r="BL8" i="22"/>
  <c r="BY8" i="22"/>
  <c r="BQ8" i="22"/>
  <c r="CD8" i="22"/>
  <c r="CC8" i="22"/>
  <c r="BX8" i="22"/>
  <c r="BP8" i="22"/>
  <c r="BM8" i="22"/>
  <c r="BT8" i="22"/>
  <c r="CE8" i="22"/>
  <c r="BW8" i="22"/>
  <c r="BO8" i="22"/>
  <c r="BN8" i="22"/>
  <c r="CK8" i="22"/>
  <c r="CB8" i="22"/>
  <c r="BS8" i="22"/>
  <c r="BK8" i="22"/>
  <c r="BI8" i="22"/>
  <c r="CA8" i="22"/>
  <c r="CT8" i="22"/>
  <c r="CV8" i="22"/>
  <c r="CU8" i="22"/>
  <c r="CR8" i="22"/>
  <c r="BX6" i="22"/>
  <c r="BP6" i="22"/>
  <c r="CA6" i="22"/>
  <c r="BR6" i="22"/>
  <c r="CE6" i="22"/>
  <c r="BW6" i="22"/>
  <c r="BO6" i="22"/>
  <c r="BI6" i="22"/>
  <c r="BT6" i="22"/>
  <c r="BZ6" i="22"/>
  <c r="CD6" i="22"/>
  <c r="BV6" i="22"/>
  <c r="BN6" i="22"/>
  <c r="CS6" i="22"/>
  <c r="BL6" i="22"/>
  <c r="BK6" i="22"/>
  <c r="CC6" i="22"/>
  <c r="BU6" i="22"/>
  <c r="BM6" i="22"/>
  <c r="CB6" i="22"/>
  <c r="BS6" i="22"/>
  <c r="BJ6" i="22"/>
  <c r="BY6" i="22"/>
  <c r="BQ6" i="22"/>
  <c r="CU6" i="22"/>
  <c r="CT6" i="22"/>
  <c r="CR6" i="22"/>
  <c r="CV6" i="22"/>
  <c r="CC7" i="22"/>
  <c r="BU7" i="22"/>
  <c r="BM7" i="22"/>
  <c r="BI7" i="22"/>
  <c r="BY7" i="22"/>
  <c r="BX7" i="22"/>
  <c r="BO7" i="22"/>
  <c r="CS7" i="22"/>
  <c r="CB7" i="22"/>
  <c r="BT7" i="22"/>
  <c r="BL7" i="22"/>
  <c r="CE7" i="22"/>
  <c r="CA7" i="22"/>
  <c r="BS7" i="22"/>
  <c r="BK7" i="22"/>
  <c r="BW7" i="22"/>
  <c r="BZ7" i="22"/>
  <c r="BR7" i="22"/>
  <c r="BJ7" i="22"/>
  <c r="BQ7" i="22"/>
  <c r="BP7" i="22"/>
  <c r="CD7" i="22"/>
  <c r="BV7" i="22"/>
  <c r="BN7" i="22"/>
  <c r="CT7" i="22"/>
  <c r="CU7" i="22"/>
  <c r="CV7" i="22"/>
  <c r="CR7" i="22"/>
  <c r="CA5" i="22"/>
  <c r="BS5" i="22"/>
  <c r="BK5" i="22"/>
  <c r="CD5" i="22"/>
  <c r="CC5" i="22"/>
  <c r="CP5" i="22"/>
  <c r="BZ5" i="22"/>
  <c r="BR5" i="22"/>
  <c r="BJ5" i="22"/>
  <c r="BO5" i="22"/>
  <c r="BM5" i="22"/>
  <c r="BY5" i="22"/>
  <c r="BQ5" i="22"/>
  <c r="BI5" i="22"/>
  <c r="BW5" i="22"/>
  <c r="BN5" i="22"/>
  <c r="BX5" i="22"/>
  <c r="BP5" i="22"/>
  <c r="CE5" i="22"/>
  <c r="BV5" i="22"/>
  <c r="BU5" i="22"/>
  <c r="CS5" i="22"/>
  <c r="CB5" i="22"/>
  <c r="BT5" i="22"/>
  <c r="BL5" i="22"/>
  <c r="CV5" i="22"/>
  <c r="CT5" i="22"/>
  <c r="CR5" i="22"/>
  <c r="CU5" i="22"/>
  <c r="CS10" i="22"/>
  <c r="CB10" i="22"/>
  <c r="BT10" i="22"/>
  <c r="BL10" i="22"/>
  <c r="BO10" i="22"/>
  <c r="CA10" i="22"/>
  <c r="BS10" i="22"/>
  <c r="BK10" i="22"/>
  <c r="BW10" i="22"/>
  <c r="BI10" i="22"/>
  <c r="CD10" i="22"/>
  <c r="BZ10" i="22"/>
  <c r="BR10" i="22"/>
  <c r="BJ10" i="22"/>
  <c r="BP10" i="22"/>
  <c r="BV10" i="22"/>
  <c r="BY10" i="22"/>
  <c r="BQ10" i="22"/>
  <c r="BX10" i="22"/>
  <c r="CE10" i="22"/>
  <c r="BN10" i="22"/>
  <c r="BM10" i="22"/>
  <c r="CK10" i="22"/>
  <c r="CC10" i="22"/>
  <c r="BU10" i="22"/>
  <c r="CV10" i="22"/>
  <c r="CR10" i="22"/>
  <c r="CU10" i="22"/>
  <c r="CT10" i="22"/>
  <c r="BY3" i="22"/>
  <c r="BQ3" i="22"/>
  <c r="BM3" i="22"/>
  <c r="CS3" i="22"/>
  <c r="BL3" i="22"/>
  <c r="BX3" i="22"/>
  <c r="BP3" i="22"/>
  <c r="BU3" i="22"/>
  <c r="CB3" i="22"/>
  <c r="BS3" i="22"/>
  <c r="CE3" i="22"/>
  <c r="BW3" i="22"/>
  <c r="BO3" i="22"/>
  <c r="CC3" i="22"/>
  <c r="BI3" i="22"/>
  <c r="BT3" i="22"/>
  <c r="BK3" i="22"/>
  <c r="CD3" i="22"/>
  <c r="BV3" i="22"/>
  <c r="BN3" i="22"/>
  <c r="CK3" i="22"/>
  <c r="CA3" i="22"/>
  <c r="BZ3" i="22"/>
  <c r="BR3" i="22"/>
  <c r="BJ3" i="22"/>
  <c r="CR3" i="22"/>
  <c r="CV3" i="22"/>
  <c r="CT3" i="22"/>
  <c r="CU3" i="22"/>
  <c r="CS2" i="22"/>
  <c r="CB2" i="22"/>
  <c r="BT2" i="22"/>
  <c r="BL2" i="22"/>
  <c r="BP2" i="22"/>
  <c r="BW2" i="22"/>
  <c r="CD2" i="22"/>
  <c r="CA2" i="22"/>
  <c r="BS2" i="22"/>
  <c r="BK2" i="22"/>
  <c r="BX2" i="22"/>
  <c r="BV2" i="22"/>
  <c r="BZ2" i="22"/>
  <c r="BR2" i="22"/>
  <c r="BJ2" i="22"/>
  <c r="CE2" i="22"/>
  <c r="BN2" i="22"/>
  <c r="BY2" i="22"/>
  <c r="BQ2" i="22"/>
  <c r="BO2" i="22"/>
  <c r="BI2" i="22"/>
  <c r="CC2" i="22"/>
  <c r="BU2" i="22"/>
  <c r="BM2" i="22"/>
  <c r="CT2" i="22"/>
  <c r="CU2" i="22"/>
  <c r="CV2" i="22"/>
  <c r="CR2" i="22"/>
  <c r="CD4" i="22"/>
  <c r="BV4" i="22"/>
  <c r="BN4" i="22"/>
  <c r="CP4" i="22"/>
  <c r="BJ4" i="22"/>
  <c r="CK4" i="22"/>
  <c r="CC4" i="22"/>
  <c r="BU4" i="22"/>
  <c r="BM4" i="22"/>
  <c r="BR4" i="22"/>
  <c r="BP4" i="22"/>
  <c r="CS4" i="22"/>
  <c r="CB4" i="22"/>
  <c r="BT4" i="22"/>
  <c r="BL4" i="22"/>
  <c r="BZ4" i="22"/>
  <c r="BQ4" i="22"/>
  <c r="CA4" i="22"/>
  <c r="BS4" i="22"/>
  <c r="BK4" i="22"/>
  <c r="BI4" i="22"/>
  <c r="BY4" i="22"/>
  <c r="BX4" i="22"/>
  <c r="CE4" i="22"/>
  <c r="BW4" i="22"/>
  <c r="BO4" i="22"/>
  <c r="CT4" i="22"/>
  <c r="CV4" i="22"/>
  <c r="CU4" i="22"/>
  <c r="CR4" i="22"/>
  <c r="CO11" i="22"/>
  <c r="CG11" i="22"/>
  <c r="BY11" i="22"/>
  <c r="BQ11" i="22"/>
  <c r="BU11" i="22"/>
  <c r="CS11" i="22"/>
  <c r="BL11" i="22"/>
  <c r="CA11" i="22"/>
  <c r="BR11" i="22"/>
  <c r="CN11" i="22"/>
  <c r="CF11" i="22"/>
  <c r="BX11" i="22"/>
  <c r="BP11" i="22"/>
  <c r="CK11" i="22"/>
  <c r="CJ11" i="22"/>
  <c r="CI11" i="22"/>
  <c r="CH11" i="22"/>
  <c r="CM11" i="22"/>
  <c r="CE11" i="22"/>
  <c r="BW11" i="22"/>
  <c r="BO11" i="22"/>
  <c r="BM11" i="22"/>
  <c r="CB11" i="22"/>
  <c r="BS11" i="22"/>
  <c r="CP11" i="22"/>
  <c r="CL11" i="22"/>
  <c r="CD11" i="22"/>
  <c r="BV11" i="22"/>
  <c r="BN11" i="22"/>
  <c r="CC11" i="22"/>
  <c r="BI11" i="22"/>
  <c r="BT11" i="22"/>
  <c r="CQ11" i="22"/>
  <c r="BK11" i="22"/>
  <c r="BZ11" i="22"/>
  <c r="BJ11" i="22"/>
  <c r="CT11" i="22"/>
  <c r="CU11" i="22"/>
  <c r="CR11" i="22"/>
  <c r="CV11" i="22"/>
  <c r="C9" i="22"/>
  <c r="H9" i="22" s="1"/>
  <c r="E10" i="22"/>
  <c r="CF10" i="22" s="1"/>
  <c r="C3" i="22"/>
  <c r="H3" i="22" s="1"/>
  <c r="E2" i="22"/>
  <c r="CF2" i="22" s="1"/>
  <c r="C2" i="22"/>
  <c r="BG2" i="22" s="1"/>
  <c r="C10" i="22"/>
  <c r="H10" i="22" s="1"/>
  <c r="C5" i="22"/>
  <c r="H5" i="22" s="1"/>
  <c r="E5" i="22"/>
  <c r="CF5" i="22" s="1"/>
  <c r="E6" i="22"/>
  <c r="CF6" i="22" s="1"/>
  <c r="C6" i="22"/>
  <c r="H6" i="22" s="1"/>
  <c r="E3" i="22"/>
  <c r="CF3" i="22" s="1"/>
  <c r="C7" i="22"/>
  <c r="H7" i="22" s="1"/>
  <c r="E7" i="22"/>
  <c r="CF7" i="22" s="1"/>
  <c r="E8" i="22"/>
  <c r="CF8" i="22" s="1"/>
  <c r="C4" i="22"/>
  <c r="H4" i="22" s="1"/>
  <c r="E4" i="22"/>
  <c r="CF4" i="22" s="1"/>
  <c r="C8" i="22"/>
  <c r="H8" i="22" s="1"/>
  <c r="E9" i="22"/>
  <c r="CF9" i="22" s="1"/>
  <c r="T84" i="9"/>
  <c r="AJ58" i="9"/>
  <c r="Z83" i="9"/>
  <c r="Z113" i="9"/>
  <c r="S90" i="9"/>
  <c r="AI28" i="9"/>
  <c r="S14" i="9"/>
  <c r="AM105" i="9"/>
  <c r="AH61" i="9"/>
  <c r="V91" i="9"/>
  <c r="AA114" i="9"/>
  <c r="AI67" i="9"/>
  <c r="AH65" i="9"/>
  <c r="R21" i="9"/>
  <c r="AL17" i="9"/>
  <c r="Z53" i="9"/>
  <c r="AJ81" i="9"/>
  <c r="AJ99" i="9"/>
  <c r="Z107" i="9"/>
  <c r="AB88" i="9"/>
  <c r="AD99" i="9"/>
  <c r="AH90" i="9"/>
  <c r="V46" i="9"/>
  <c r="T16" i="9"/>
  <c r="V48" i="9"/>
  <c r="AH94" i="9"/>
  <c r="AH57" i="9"/>
  <c r="Z84" i="9"/>
  <c r="AL61" i="9"/>
  <c r="AK56" i="9"/>
  <c r="AK63" i="9"/>
  <c r="AJ24" i="9"/>
  <c r="AF17" i="9"/>
  <c r="AD58" i="9"/>
  <c r="AD30" i="9"/>
  <c r="AJ86" i="9"/>
  <c r="T53" i="9"/>
  <c r="AK113" i="9"/>
  <c r="AM14" i="9"/>
  <c r="W8" i="9"/>
  <c r="U71" i="9"/>
  <c r="AC8" i="9"/>
  <c r="AM10" i="9"/>
  <c r="AE11" i="9"/>
  <c r="AJ30" i="9"/>
  <c r="AD16" i="9"/>
  <c r="U63" i="9"/>
  <c r="AD17" i="9"/>
  <c r="X37" i="9"/>
  <c r="AJ53" i="9"/>
  <c r="AH81" i="9"/>
  <c r="Z99" i="9"/>
  <c r="V107" i="9"/>
  <c r="Z58" i="9"/>
  <c r="V83" i="9"/>
  <c r="AL92" i="9"/>
  <c r="AJ113" i="9"/>
  <c r="AD56" i="9"/>
  <c r="AE90" i="9"/>
  <c r="AM28" i="9"/>
  <c r="Z69" i="9"/>
  <c r="AL14" i="9"/>
  <c r="AJ20" i="9"/>
  <c r="T18" i="9"/>
  <c r="AK76" i="9"/>
  <c r="U29" i="9"/>
  <c r="AK13" i="9"/>
  <c r="AC13" i="9"/>
  <c r="U13" i="9"/>
  <c r="AJ13" i="9"/>
  <c r="AB13" i="9"/>
  <c r="T13" i="9"/>
  <c r="AI13" i="9"/>
  <c r="AA13" i="9"/>
  <c r="S13" i="9"/>
  <c r="AO13" i="9"/>
  <c r="AG13" i="9"/>
  <c r="Y13" i="9"/>
  <c r="AO92" i="9"/>
  <c r="AG92" i="9"/>
  <c r="Y92" i="9"/>
  <c r="AN92" i="9"/>
  <c r="AF92" i="9"/>
  <c r="X92" i="9"/>
  <c r="AK92" i="9"/>
  <c r="AA92" i="9"/>
  <c r="AJ92" i="9"/>
  <c r="Z92" i="9"/>
  <c r="AI92" i="9"/>
  <c r="W92" i="9"/>
  <c r="AE92" i="9"/>
  <c r="U92" i="9"/>
  <c r="AL66" i="9"/>
  <c r="Z66" i="9"/>
  <c r="AM69" i="9"/>
  <c r="AA69" i="9"/>
  <c r="AE91" i="9"/>
  <c r="S91" i="9"/>
  <c r="AI115" i="9"/>
  <c r="U30" i="9"/>
  <c r="T63" i="9"/>
  <c r="AD13" i="9"/>
  <c r="V17" i="9"/>
  <c r="AF37" i="9"/>
  <c r="AB48" i="9"/>
  <c r="V81" i="9"/>
  <c r="T86" i="9"/>
  <c r="R94" i="9"/>
  <c r="AL94" i="9"/>
  <c r="AH107" i="9"/>
  <c r="R67" i="9"/>
  <c r="Z18" i="9"/>
  <c r="V20" i="9"/>
  <c r="T24" i="9"/>
  <c r="R57" i="9"/>
  <c r="AL57" i="9"/>
  <c r="AH83" i="9"/>
  <c r="AD84" i="9"/>
  <c r="AB92" i="9"/>
  <c r="V61" i="9"/>
  <c r="T56" i="9"/>
  <c r="V28" i="9"/>
  <c r="AI66" i="9"/>
  <c r="AC105" i="9"/>
  <c r="T8" i="9"/>
  <c r="U46" i="9"/>
  <c r="AL63" i="9"/>
  <c r="AE94" i="9"/>
  <c r="AE57" i="9"/>
  <c r="AI56" i="9"/>
  <c r="AC69" i="9"/>
  <c r="AC30" i="9"/>
  <c r="AC63" i="9"/>
  <c r="AE13" i="9"/>
  <c r="W17" i="9"/>
  <c r="AM17" i="9"/>
  <c r="AH37" i="9"/>
  <c r="AC48" i="9"/>
  <c r="AA53" i="9"/>
  <c r="W81" i="9"/>
  <c r="U86" i="9"/>
  <c r="S94" i="9"/>
  <c r="AM94" i="9"/>
  <c r="AK99" i="9"/>
  <c r="AI107" i="9"/>
  <c r="R65" i="9"/>
  <c r="S67" i="9"/>
  <c r="AA18" i="9"/>
  <c r="W20" i="9"/>
  <c r="U24" i="9"/>
  <c r="S57" i="9"/>
  <c r="AM57" i="9"/>
  <c r="AK58" i="9"/>
  <c r="AI83" i="9"/>
  <c r="AE84" i="9"/>
  <c r="AC92" i="9"/>
  <c r="AA113" i="9"/>
  <c r="W61" i="9"/>
  <c r="U56" i="9"/>
  <c r="U90" i="9"/>
  <c r="AA28" i="9"/>
  <c r="AK66" i="9"/>
  <c r="Z14" i="9"/>
  <c r="AH105" i="9"/>
  <c r="AI48" i="9"/>
  <c r="AE18" i="9"/>
  <c r="AF13" i="9"/>
  <c r="X17" i="9"/>
  <c r="AN17" i="9"/>
  <c r="AI37" i="9"/>
  <c r="AD48" i="9"/>
  <c r="AB53" i="9"/>
  <c r="Z81" i="9"/>
  <c r="V86" i="9"/>
  <c r="T94" i="9"/>
  <c r="R99" i="9"/>
  <c r="AL99" i="9"/>
  <c r="AJ107" i="9"/>
  <c r="U65" i="9"/>
  <c r="T67" i="9"/>
  <c r="AB18" i="9"/>
  <c r="Z20" i="9"/>
  <c r="V24" i="9"/>
  <c r="T57" i="9"/>
  <c r="R58" i="9"/>
  <c r="AL58" i="9"/>
  <c r="AJ83" i="9"/>
  <c r="AH84" i="9"/>
  <c r="AD92" i="9"/>
  <c r="AB113" i="9"/>
  <c r="Z61" i="9"/>
  <c r="V56" i="9"/>
  <c r="V90" i="9"/>
  <c r="AH28" i="9"/>
  <c r="R69" i="9"/>
  <c r="AA14" i="9"/>
  <c r="AL86" i="9"/>
  <c r="AL24" i="9"/>
  <c r="AL84" i="9"/>
  <c r="AD61" i="9"/>
  <c r="AE66" i="9"/>
  <c r="AL91" i="9"/>
  <c r="AK2" i="9"/>
  <c r="R13" i="9"/>
  <c r="AH13" i="9"/>
  <c r="Z17" i="9"/>
  <c r="S37" i="9"/>
  <c r="AK37" i="9"/>
  <c r="AH48" i="9"/>
  <c r="AD53" i="9"/>
  <c r="AB81" i="9"/>
  <c r="Z86" i="9"/>
  <c r="V94" i="9"/>
  <c r="T99" i="9"/>
  <c r="R107" i="9"/>
  <c r="AL107" i="9"/>
  <c r="AD18" i="9"/>
  <c r="AB20" i="9"/>
  <c r="Z24" i="9"/>
  <c r="V57" i="9"/>
  <c r="T58" i="9"/>
  <c r="R83" i="9"/>
  <c r="AL83" i="9"/>
  <c r="AJ84" i="9"/>
  <c r="AH92" i="9"/>
  <c r="AD113" i="9"/>
  <c r="AB61" i="9"/>
  <c r="Z56" i="9"/>
  <c r="Z90" i="9"/>
  <c r="W69" i="9"/>
  <c r="AE14" i="9"/>
  <c r="R91" i="9"/>
  <c r="AB94" i="9"/>
  <c r="R92" i="9"/>
  <c r="AO105" i="9"/>
  <c r="AG105" i="9"/>
  <c r="Y105" i="9"/>
  <c r="AN105" i="9"/>
  <c r="AF105" i="9"/>
  <c r="X105" i="9"/>
  <c r="AJ105" i="9"/>
  <c r="AB105" i="9"/>
  <c r="T105" i="9"/>
  <c r="AL105" i="9"/>
  <c r="Z105" i="9"/>
  <c r="AK105" i="9"/>
  <c r="W105" i="9"/>
  <c r="AI105" i="9"/>
  <c r="V105" i="9"/>
  <c r="AE105" i="9"/>
  <c r="S105" i="9"/>
  <c r="AD105" i="9"/>
  <c r="R105" i="9"/>
  <c r="AO114" i="9"/>
  <c r="AI114" i="9"/>
  <c r="AH114" i="9"/>
  <c r="Z114" i="9"/>
  <c r="AO67" i="9"/>
  <c r="AH67" i="9"/>
  <c r="AC67" i="9"/>
  <c r="AK67" i="9"/>
  <c r="AJ67" i="9"/>
  <c r="U67" i="9"/>
  <c r="AO79" i="9"/>
  <c r="AI79" i="9"/>
  <c r="AH79" i="9"/>
  <c r="AK79" i="9"/>
  <c r="AJ79" i="9"/>
  <c r="AC79" i="9"/>
  <c r="T79" i="9"/>
  <c r="AO21" i="9"/>
  <c r="AH21" i="9"/>
  <c r="AC21" i="9"/>
  <c r="AK21" i="9"/>
  <c r="AJ21" i="9"/>
  <c r="U21" i="9"/>
  <c r="AO88" i="9"/>
  <c r="V88" i="9"/>
  <c r="AK88" i="9"/>
  <c r="AD88" i="9"/>
  <c r="W13" i="9"/>
  <c r="AM13" i="9"/>
  <c r="AE17" i="9"/>
  <c r="S48" i="9"/>
  <c r="AM48" i="9"/>
  <c r="AK53" i="9"/>
  <c r="AI81" i="9"/>
  <c r="AE86" i="9"/>
  <c r="AC94" i="9"/>
  <c r="AA99" i="9"/>
  <c r="W107" i="9"/>
  <c r="S21" i="9"/>
  <c r="R79" i="9"/>
  <c r="AB114" i="9"/>
  <c r="AK18" i="9"/>
  <c r="AI20" i="9"/>
  <c r="AE24" i="9"/>
  <c r="AC57" i="9"/>
  <c r="AA58" i="9"/>
  <c r="W83" i="9"/>
  <c r="U84" i="9"/>
  <c r="S92" i="9"/>
  <c r="AM92" i="9"/>
  <c r="AI61" i="9"/>
  <c r="AE56" i="9"/>
  <c r="V66" i="9"/>
  <c r="AD69" i="9"/>
  <c r="AC91" i="9"/>
  <c r="AO37" i="9"/>
  <c r="AG37" i="9"/>
  <c r="Y37" i="9"/>
  <c r="AN37" i="9"/>
  <c r="AE37" i="9"/>
  <c r="V37" i="9"/>
  <c r="AM37" i="9"/>
  <c r="AD37" i="9"/>
  <c r="U37" i="9"/>
  <c r="AL37" i="9"/>
  <c r="AC37" i="9"/>
  <c r="T37" i="9"/>
  <c r="AJ37" i="9"/>
  <c r="AA37" i="9"/>
  <c r="R37" i="9"/>
  <c r="V13" i="9"/>
  <c r="W37" i="9"/>
  <c r="AL48" i="9"/>
  <c r="AD24" i="9"/>
  <c r="AB57" i="9"/>
  <c r="AO28" i="9"/>
  <c r="AG28" i="9"/>
  <c r="Y28" i="9"/>
  <c r="AN28" i="9"/>
  <c r="AF28" i="9"/>
  <c r="X28" i="9"/>
  <c r="AJ28" i="9"/>
  <c r="AB28" i="9"/>
  <c r="T28" i="9"/>
  <c r="AE28" i="9"/>
  <c r="S28" i="9"/>
  <c r="AD28" i="9"/>
  <c r="R28" i="9"/>
  <c r="AC28" i="9"/>
  <c r="AL28" i="9"/>
  <c r="Z28" i="9"/>
  <c r="AK28" i="9"/>
  <c r="W28" i="9"/>
  <c r="AO65" i="9"/>
  <c r="T65" i="9"/>
  <c r="S65" i="9"/>
  <c r="AK65" i="9"/>
  <c r="AJ65" i="9"/>
  <c r="AI65" i="9"/>
  <c r="AC65" i="9"/>
  <c r="AO113" i="9"/>
  <c r="AG113" i="9"/>
  <c r="Y113" i="9"/>
  <c r="AN113" i="9"/>
  <c r="AF113" i="9"/>
  <c r="X113" i="9"/>
  <c r="AI113" i="9"/>
  <c r="W113" i="9"/>
  <c r="AH113" i="9"/>
  <c r="V113" i="9"/>
  <c r="AE113" i="9"/>
  <c r="U113" i="9"/>
  <c r="AM113" i="9"/>
  <c r="AC113" i="9"/>
  <c r="S113" i="9"/>
  <c r="AI90" i="9"/>
  <c r="AC14" i="9"/>
  <c r="AJ88" i="9"/>
  <c r="X13" i="9"/>
  <c r="AN13" i="9"/>
  <c r="Z37" i="9"/>
  <c r="T48" i="9"/>
  <c r="R53" i="9"/>
  <c r="AL53" i="9"/>
  <c r="AH86" i="9"/>
  <c r="AD94" i="9"/>
  <c r="AB99" i="9"/>
  <c r="T21" i="9"/>
  <c r="S79" i="9"/>
  <c r="R18" i="9"/>
  <c r="AL18" i="9"/>
  <c r="AH24" i="9"/>
  <c r="AD57" i="9"/>
  <c r="AB58" i="9"/>
  <c r="V84" i="9"/>
  <c r="T92" i="9"/>
  <c r="R113" i="9"/>
  <c r="AL113" i="9"/>
  <c r="AJ61" i="9"/>
  <c r="AH56" i="9"/>
  <c r="AL90" i="9"/>
  <c r="W66" i="9"/>
  <c r="AK69" i="9"/>
  <c r="U105" i="9"/>
  <c r="AD91" i="9"/>
  <c r="AO20" i="9"/>
  <c r="AG20" i="9"/>
  <c r="Y20" i="9"/>
  <c r="AN20" i="9"/>
  <c r="AF20" i="9"/>
  <c r="X20" i="9"/>
  <c r="AE20" i="9"/>
  <c r="U20" i="9"/>
  <c r="AD20" i="9"/>
  <c r="T20" i="9"/>
  <c r="AM20" i="9"/>
  <c r="AC20" i="9"/>
  <c r="S20" i="9"/>
  <c r="AK20" i="9"/>
  <c r="AA20" i="9"/>
  <c r="AK46" i="9"/>
  <c r="AL13" i="9"/>
  <c r="R48" i="9"/>
  <c r="AD86" i="9"/>
  <c r="AJ18" i="9"/>
  <c r="AH20" i="9"/>
  <c r="AO81" i="9"/>
  <c r="AG81" i="9"/>
  <c r="Y81" i="9"/>
  <c r="AN81" i="9"/>
  <c r="AF81" i="9"/>
  <c r="X81" i="9"/>
  <c r="AE81" i="9"/>
  <c r="U81" i="9"/>
  <c r="AD81" i="9"/>
  <c r="T81" i="9"/>
  <c r="AM81" i="9"/>
  <c r="AC81" i="9"/>
  <c r="S81" i="9"/>
  <c r="AK81" i="9"/>
  <c r="AA81" i="9"/>
  <c r="AO107" i="9"/>
  <c r="AG107" i="9"/>
  <c r="Y107" i="9"/>
  <c r="AN107" i="9"/>
  <c r="AF107" i="9"/>
  <c r="X107" i="9"/>
  <c r="AE107" i="9"/>
  <c r="U107" i="9"/>
  <c r="AD107" i="9"/>
  <c r="T107" i="9"/>
  <c r="AM107" i="9"/>
  <c r="AC107" i="9"/>
  <c r="S107" i="9"/>
  <c r="AK107" i="9"/>
  <c r="AA107" i="9"/>
  <c r="AO83" i="9"/>
  <c r="AG83" i="9"/>
  <c r="Y83" i="9"/>
  <c r="AN83" i="9"/>
  <c r="AF83" i="9"/>
  <c r="X83" i="9"/>
  <c r="AE83" i="9"/>
  <c r="U83" i="9"/>
  <c r="AD83" i="9"/>
  <c r="T83" i="9"/>
  <c r="AM83" i="9"/>
  <c r="AC83" i="9"/>
  <c r="S83" i="9"/>
  <c r="AK83" i="9"/>
  <c r="AA83" i="9"/>
  <c r="AO17" i="9"/>
  <c r="AK17" i="9"/>
  <c r="AC17" i="9"/>
  <c r="U17" i="9"/>
  <c r="AJ17" i="9"/>
  <c r="AB17" i="9"/>
  <c r="T17" i="9"/>
  <c r="AI17" i="9"/>
  <c r="AA17" i="9"/>
  <c r="S17" i="9"/>
  <c r="AG17" i="9"/>
  <c r="Y17" i="9"/>
  <c r="Z13" i="9"/>
  <c r="R17" i="9"/>
  <c r="AH17" i="9"/>
  <c r="AB37" i="9"/>
  <c r="R81" i="9"/>
  <c r="AL81" i="9"/>
  <c r="AB107" i="9"/>
  <c r="AI21" i="9"/>
  <c r="U79" i="9"/>
  <c r="R20" i="9"/>
  <c r="AL20" i="9"/>
  <c r="AB83" i="9"/>
  <c r="V92" i="9"/>
  <c r="T113" i="9"/>
  <c r="R61" i="9"/>
  <c r="U28" i="9"/>
  <c r="AC66" i="9"/>
  <c r="AL69" i="9"/>
  <c r="AA105" i="9"/>
  <c r="AI91" i="9"/>
  <c r="AO53" i="9"/>
  <c r="AG53" i="9"/>
  <c r="Y53" i="9"/>
  <c r="AN53" i="9"/>
  <c r="AF53" i="9"/>
  <c r="X53" i="9"/>
  <c r="AO99" i="9"/>
  <c r="AG99" i="9"/>
  <c r="Y99" i="9"/>
  <c r="AN99" i="9"/>
  <c r="AF99" i="9"/>
  <c r="X99" i="9"/>
  <c r="AO58" i="9"/>
  <c r="AG58" i="9"/>
  <c r="Y58" i="9"/>
  <c r="AN58" i="9"/>
  <c r="AF58" i="9"/>
  <c r="X58" i="9"/>
  <c r="AO90" i="9"/>
  <c r="AG90" i="9"/>
  <c r="Y90" i="9"/>
  <c r="AN90" i="9"/>
  <c r="AF90" i="9"/>
  <c r="X90" i="9"/>
  <c r="AJ90" i="9"/>
  <c r="AB90" i="9"/>
  <c r="T90" i="9"/>
  <c r="AO14" i="9"/>
  <c r="AG14" i="9"/>
  <c r="Y14" i="9"/>
  <c r="AN14" i="9"/>
  <c r="AF14" i="9"/>
  <c r="X14" i="9"/>
  <c r="AJ14" i="9"/>
  <c r="AB14" i="9"/>
  <c r="T14" i="9"/>
  <c r="AK68" i="9"/>
  <c r="U68" i="9"/>
  <c r="AH88" i="9"/>
  <c r="U48" i="9"/>
  <c r="AE48" i="9"/>
  <c r="S53" i="9"/>
  <c r="AC53" i="9"/>
  <c r="AM53" i="9"/>
  <c r="W86" i="9"/>
  <c r="AI86" i="9"/>
  <c r="U94" i="9"/>
  <c r="S99" i="9"/>
  <c r="AC99" i="9"/>
  <c r="AM99" i="9"/>
  <c r="S18" i="9"/>
  <c r="AC18" i="9"/>
  <c r="AM18" i="9"/>
  <c r="W24" i="9"/>
  <c r="AI24" i="9"/>
  <c r="U57" i="9"/>
  <c r="S58" i="9"/>
  <c r="AC58" i="9"/>
  <c r="AM58" i="9"/>
  <c r="W84" i="9"/>
  <c r="AI84" i="9"/>
  <c r="AA61" i="9"/>
  <c r="AK61" i="9"/>
  <c r="W56" i="9"/>
  <c r="W90" i="9"/>
  <c r="AK90" i="9"/>
  <c r="AA66" i="9"/>
  <c r="AM66" i="9"/>
  <c r="R14" i="9"/>
  <c r="AD14" i="9"/>
  <c r="U91" i="9"/>
  <c r="AH91" i="9"/>
  <c r="AL8" i="9"/>
  <c r="AB30" i="9"/>
  <c r="AL46" i="9"/>
  <c r="V16" i="9"/>
  <c r="AJ63" i="9"/>
  <c r="AO94" i="9"/>
  <c r="AG94" i="9"/>
  <c r="Y94" i="9"/>
  <c r="AN94" i="9"/>
  <c r="AF94" i="9"/>
  <c r="X94" i="9"/>
  <c r="AO57" i="9"/>
  <c r="AG57" i="9"/>
  <c r="Y57" i="9"/>
  <c r="AN57" i="9"/>
  <c r="AF57" i="9"/>
  <c r="X57" i="9"/>
  <c r="AO56" i="9"/>
  <c r="AG56" i="9"/>
  <c r="Y56" i="9"/>
  <c r="AN56" i="9"/>
  <c r="AF56" i="9"/>
  <c r="X56" i="9"/>
  <c r="AJ56" i="9"/>
  <c r="AO69" i="9"/>
  <c r="AG69" i="9"/>
  <c r="Y69" i="9"/>
  <c r="AN69" i="9"/>
  <c r="AF69" i="9"/>
  <c r="X69" i="9"/>
  <c r="AJ69" i="9"/>
  <c r="AB69" i="9"/>
  <c r="T69" i="9"/>
  <c r="AH122" i="9"/>
  <c r="Z100" i="9"/>
  <c r="Z9" i="9"/>
  <c r="Z73" i="9"/>
  <c r="Z27" i="9"/>
  <c r="AC88" i="9"/>
  <c r="AB8" i="9"/>
  <c r="AB46" i="9"/>
  <c r="AB16" i="9"/>
  <c r="W48" i="9"/>
  <c r="U53" i="9"/>
  <c r="AE53" i="9"/>
  <c r="AA86" i="9"/>
  <c r="AK86" i="9"/>
  <c r="W94" i="9"/>
  <c r="AI94" i="9"/>
  <c r="U99" i="9"/>
  <c r="AE99" i="9"/>
  <c r="U18" i="9"/>
  <c r="AA24" i="9"/>
  <c r="AK24" i="9"/>
  <c r="W57" i="9"/>
  <c r="AI57" i="9"/>
  <c r="U58" i="9"/>
  <c r="AE58" i="9"/>
  <c r="AA84" i="9"/>
  <c r="AK84" i="9"/>
  <c r="S61" i="9"/>
  <c r="AC61" i="9"/>
  <c r="AM61" i="9"/>
  <c r="AA56" i="9"/>
  <c r="AL56" i="9"/>
  <c r="AA90" i="9"/>
  <c r="AM90" i="9"/>
  <c r="R66" i="9"/>
  <c r="AD66" i="9"/>
  <c r="S69" i="9"/>
  <c r="AE69" i="9"/>
  <c r="U14" i="9"/>
  <c r="AH14" i="9"/>
  <c r="W91" i="9"/>
  <c r="AK91" i="9"/>
  <c r="U89" i="9"/>
  <c r="AO48" i="9"/>
  <c r="AG48" i="9"/>
  <c r="Y48" i="9"/>
  <c r="AN48" i="9"/>
  <c r="AF48" i="9"/>
  <c r="X48" i="9"/>
  <c r="AO18" i="9"/>
  <c r="AG18" i="9"/>
  <c r="Y18" i="9"/>
  <c r="AN18" i="9"/>
  <c r="AF18" i="9"/>
  <c r="X18" i="9"/>
  <c r="R117" i="9"/>
  <c r="AH93" i="9"/>
  <c r="S82" i="9"/>
  <c r="Z52" i="9"/>
  <c r="R36" i="9"/>
  <c r="AJ8" i="9"/>
  <c r="AJ46" i="9"/>
  <c r="AC16" i="9"/>
  <c r="Z48" i="9"/>
  <c r="AJ48" i="9"/>
  <c r="V53" i="9"/>
  <c r="AH53" i="9"/>
  <c r="R86" i="9"/>
  <c r="AB86" i="9"/>
  <c r="Z94" i="9"/>
  <c r="AJ94" i="9"/>
  <c r="V99" i="9"/>
  <c r="AH99" i="9"/>
  <c r="U2" i="9"/>
  <c r="V18" i="9"/>
  <c r="AH18" i="9"/>
  <c r="R24" i="9"/>
  <c r="AB24" i="9"/>
  <c r="Z57" i="9"/>
  <c r="AJ57" i="9"/>
  <c r="V58" i="9"/>
  <c r="AH58" i="9"/>
  <c r="R84" i="9"/>
  <c r="AB84" i="9"/>
  <c r="T61" i="9"/>
  <c r="R56" i="9"/>
  <c r="AB56" i="9"/>
  <c r="AM56" i="9"/>
  <c r="AC90" i="9"/>
  <c r="S66" i="9"/>
  <c r="U69" i="9"/>
  <c r="AH69" i="9"/>
  <c r="V14" i="9"/>
  <c r="AI14" i="9"/>
  <c r="Z91" i="9"/>
  <c r="AL7" i="9"/>
  <c r="T10" i="9"/>
  <c r="AB11" i="9"/>
  <c r="AC41" i="9"/>
  <c r="V45" i="9"/>
  <c r="U47" i="9"/>
  <c r="T85" i="9"/>
  <c r="AB123" i="9"/>
  <c r="V26" i="9"/>
  <c r="V31" i="9"/>
  <c r="AL59" i="9"/>
  <c r="AJ80" i="9"/>
  <c r="AD95" i="9"/>
  <c r="AK6" i="9"/>
  <c r="AO86" i="9"/>
  <c r="AG86" i="9"/>
  <c r="Y86" i="9"/>
  <c r="AN86" i="9"/>
  <c r="AF86" i="9"/>
  <c r="X86" i="9"/>
  <c r="AO24" i="9"/>
  <c r="AG24" i="9"/>
  <c r="Y24" i="9"/>
  <c r="AN24" i="9"/>
  <c r="AF24" i="9"/>
  <c r="X24" i="9"/>
  <c r="AO84" i="9"/>
  <c r="AG84" i="9"/>
  <c r="Y84" i="9"/>
  <c r="AN84" i="9"/>
  <c r="AF84" i="9"/>
  <c r="X84" i="9"/>
  <c r="AO61" i="9"/>
  <c r="AG61" i="9"/>
  <c r="Y61" i="9"/>
  <c r="AN61" i="9"/>
  <c r="AF61" i="9"/>
  <c r="X61" i="9"/>
  <c r="AO66" i="9"/>
  <c r="AG66" i="9"/>
  <c r="Y66" i="9"/>
  <c r="AN66" i="9"/>
  <c r="AF66" i="9"/>
  <c r="X66" i="9"/>
  <c r="AJ66" i="9"/>
  <c r="AB66" i="9"/>
  <c r="T66" i="9"/>
  <c r="AO91" i="9"/>
  <c r="AG91" i="9"/>
  <c r="Y91" i="9"/>
  <c r="AN91" i="9"/>
  <c r="AF91" i="9"/>
  <c r="X91" i="9"/>
  <c r="AJ91" i="9"/>
  <c r="AB91" i="9"/>
  <c r="T91" i="9"/>
  <c r="AC73" i="9"/>
  <c r="AK29" i="9"/>
  <c r="AO96" i="9"/>
  <c r="AO49" i="9"/>
  <c r="AO23" i="9"/>
  <c r="AM8" i="9"/>
  <c r="AL16" i="9"/>
  <c r="AA48" i="9"/>
  <c r="AK48" i="9"/>
  <c r="W53" i="9"/>
  <c r="AI53" i="9"/>
  <c r="S86" i="9"/>
  <c r="AC86" i="9"/>
  <c r="AM86" i="9"/>
  <c r="AA94" i="9"/>
  <c r="AK94" i="9"/>
  <c r="W99" i="9"/>
  <c r="AI99" i="9"/>
  <c r="AC27" i="9"/>
  <c r="W18" i="9"/>
  <c r="AI18" i="9"/>
  <c r="S24" i="9"/>
  <c r="AC24" i="9"/>
  <c r="AM24" i="9"/>
  <c r="AA57" i="9"/>
  <c r="AK57" i="9"/>
  <c r="W58" i="9"/>
  <c r="AI58" i="9"/>
  <c r="S84" i="9"/>
  <c r="AC84" i="9"/>
  <c r="AM84" i="9"/>
  <c r="U61" i="9"/>
  <c r="AE61" i="9"/>
  <c r="S56" i="9"/>
  <c r="AC56" i="9"/>
  <c r="R90" i="9"/>
  <c r="AD90" i="9"/>
  <c r="U66" i="9"/>
  <c r="AH66" i="9"/>
  <c r="V69" i="9"/>
  <c r="AI69" i="9"/>
  <c r="W14" i="9"/>
  <c r="AK14" i="9"/>
  <c r="AA91" i="9"/>
  <c r="AM91" i="9"/>
  <c r="AH115" i="9"/>
  <c r="AB115" i="9"/>
  <c r="AA115" i="9"/>
  <c r="Z115" i="9"/>
  <c r="T115" i="9"/>
  <c r="U100" i="9"/>
  <c r="T100" i="9"/>
  <c r="S100" i="9"/>
  <c r="R100" i="9"/>
  <c r="AC100" i="9"/>
  <c r="AJ100" i="9"/>
  <c r="AI100" i="9"/>
  <c r="AH100" i="9"/>
  <c r="AO42" i="9"/>
  <c r="AG42" i="9"/>
  <c r="Y42" i="9"/>
  <c r="AD42" i="9"/>
  <c r="AN42" i="9"/>
  <c r="AF42" i="9"/>
  <c r="X42" i="9"/>
  <c r="AL42" i="9"/>
  <c r="AM42" i="9"/>
  <c r="AE42" i="9"/>
  <c r="W42" i="9"/>
  <c r="V42" i="9"/>
  <c r="AJ42" i="9"/>
  <c r="T42" i="9"/>
  <c r="AI42" i="9"/>
  <c r="S42" i="9"/>
  <c r="AC42" i="9"/>
  <c r="Z42" i="9"/>
  <c r="U42" i="9"/>
  <c r="AH42" i="9"/>
  <c r="R42" i="9"/>
  <c r="AB42" i="9"/>
  <c r="AA42" i="9"/>
  <c r="AK42" i="9"/>
  <c r="AC5" i="9"/>
  <c r="AK5" i="9"/>
  <c r="AB5" i="9"/>
  <c r="AA5" i="9"/>
  <c r="Z5" i="9"/>
  <c r="U5" i="9"/>
  <c r="AO76" i="9"/>
  <c r="AG76" i="9"/>
  <c r="Y76" i="9"/>
  <c r="AL76" i="9"/>
  <c r="AN76" i="9"/>
  <c r="AF76" i="9"/>
  <c r="X76" i="9"/>
  <c r="AD76" i="9"/>
  <c r="AM76" i="9"/>
  <c r="AE76" i="9"/>
  <c r="W76" i="9"/>
  <c r="V76" i="9"/>
  <c r="AJ76" i="9"/>
  <c r="T76" i="9"/>
  <c r="AI76" i="9"/>
  <c r="S76" i="9"/>
  <c r="AC76" i="9"/>
  <c r="AH76" i="9"/>
  <c r="R76" i="9"/>
  <c r="AB76" i="9"/>
  <c r="AA76" i="9"/>
  <c r="Z76" i="9"/>
  <c r="AC68" i="9"/>
  <c r="AB68" i="9"/>
  <c r="AA68" i="9"/>
  <c r="Z68" i="9"/>
  <c r="AO29" i="9"/>
  <c r="AG29" i="9"/>
  <c r="Y29" i="9"/>
  <c r="AL29" i="9"/>
  <c r="AN29" i="9"/>
  <c r="AF29" i="9"/>
  <c r="X29" i="9"/>
  <c r="AD29" i="9"/>
  <c r="AM29" i="9"/>
  <c r="AE29" i="9"/>
  <c r="W29" i="9"/>
  <c r="V29" i="9"/>
  <c r="AJ29" i="9"/>
  <c r="T29" i="9"/>
  <c r="AI29" i="9"/>
  <c r="S29" i="9"/>
  <c r="AC29" i="9"/>
  <c r="AB29" i="9"/>
  <c r="AH29" i="9"/>
  <c r="R29" i="9"/>
  <c r="AA29" i="9"/>
  <c r="Z29" i="9"/>
  <c r="AC25" i="9"/>
  <c r="AB25" i="9"/>
  <c r="AA25" i="9"/>
  <c r="Z25" i="9"/>
  <c r="AO2" i="9"/>
  <c r="AG2" i="9"/>
  <c r="Y2" i="9"/>
  <c r="AD2" i="9"/>
  <c r="AN2" i="9"/>
  <c r="AF2" i="9"/>
  <c r="X2" i="9"/>
  <c r="V2" i="9"/>
  <c r="AM2" i="9"/>
  <c r="AE2" i="9"/>
  <c r="W2" i="9"/>
  <c r="AL2" i="9"/>
  <c r="AJ2" i="9"/>
  <c r="T2" i="9"/>
  <c r="AI2" i="9"/>
  <c r="S2" i="9"/>
  <c r="AB2" i="9"/>
  <c r="AA2" i="9"/>
  <c r="AH2" i="9"/>
  <c r="R2" i="9"/>
  <c r="AC2" i="9"/>
  <c r="Z2" i="9"/>
  <c r="U25" i="9"/>
  <c r="T122" i="9"/>
  <c r="S122" i="9"/>
  <c r="AB122" i="9"/>
  <c r="AA122" i="9"/>
  <c r="Z122" i="9"/>
  <c r="AO108" i="9"/>
  <c r="AG108" i="9"/>
  <c r="Y108" i="9"/>
  <c r="AD108" i="9"/>
  <c r="AC108" i="9"/>
  <c r="AN108" i="9"/>
  <c r="AF108" i="9"/>
  <c r="X108" i="9"/>
  <c r="AL108" i="9"/>
  <c r="AM108" i="9"/>
  <c r="AE108" i="9"/>
  <c r="W108" i="9"/>
  <c r="V108" i="9"/>
  <c r="AK108" i="9"/>
  <c r="U108" i="9"/>
  <c r="Z108" i="9"/>
  <c r="T108" i="9"/>
  <c r="AB108" i="9"/>
  <c r="AA108" i="9"/>
  <c r="S108" i="9"/>
  <c r="AJ108" i="9"/>
  <c r="R108" i="9"/>
  <c r="AI108" i="9"/>
  <c r="AH108" i="9"/>
  <c r="Z72" i="9"/>
  <c r="U72" i="9"/>
  <c r="AC72" i="9"/>
  <c r="AB72" i="9"/>
  <c r="AA72" i="9"/>
  <c r="AK72" i="9"/>
  <c r="AK9" i="9"/>
  <c r="AH9" i="9"/>
  <c r="R9" i="9"/>
  <c r="U9" i="9"/>
  <c r="AJ9" i="9"/>
  <c r="T9" i="9"/>
  <c r="AI9" i="9"/>
  <c r="S9" i="9"/>
  <c r="AC9" i="9"/>
  <c r="AK73" i="9"/>
  <c r="U73" i="9"/>
  <c r="AJ73" i="9"/>
  <c r="T73" i="9"/>
  <c r="AI73" i="9"/>
  <c r="S73" i="9"/>
  <c r="AH73" i="9"/>
  <c r="R73" i="9"/>
  <c r="AK27" i="9"/>
  <c r="U27" i="9"/>
  <c r="AJ27" i="9"/>
  <c r="T27" i="9"/>
  <c r="AI27" i="9"/>
  <c r="S27" i="9"/>
  <c r="AH27" i="9"/>
  <c r="R27" i="9"/>
  <c r="AK25" i="9"/>
  <c r="U76" i="9"/>
  <c r="AO72" i="9"/>
  <c r="AO25" i="9"/>
  <c r="AL114" i="9"/>
  <c r="AC114" i="9"/>
  <c r="AD114" i="9"/>
  <c r="U114" i="9"/>
  <c r="V114" i="9"/>
  <c r="AK114" i="9"/>
  <c r="AL72" i="9"/>
  <c r="AD72" i="9"/>
  <c r="V72" i="9"/>
  <c r="AL67" i="9"/>
  <c r="AD67" i="9"/>
  <c r="V67" i="9"/>
  <c r="AD5" i="9"/>
  <c r="AL5" i="9"/>
  <c r="V5" i="9"/>
  <c r="AD79" i="9"/>
  <c r="AL79" i="9"/>
  <c r="V79" i="9"/>
  <c r="AL68" i="9"/>
  <c r="AD68" i="9"/>
  <c r="V68" i="9"/>
  <c r="AL65" i="9"/>
  <c r="AD65" i="9"/>
  <c r="V65" i="9"/>
  <c r="V25" i="9"/>
  <c r="AD25" i="9"/>
  <c r="AL25" i="9"/>
  <c r="V21" i="9"/>
  <c r="AD21" i="9"/>
  <c r="AL21" i="9"/>
  <c r="Z21" i="9"/>
  <c r="R25" i="9"/>
  <c r="AH25" i="9"/>
  <c r="Z65" i="9"/>
  <c r="R68" i="9"/>
  <c r="AH68" i="9"/>
  <c r="Z79" i="9"/>
  <c r="R5" i="9"/>
  <c r="AH5" i="9"/>
  <c r="Z67" i="9"/>
  <c r="R72" i="9"/>
  <c r="AH72" i="9"/>
  <c r="R114" i="9"/>
  <c r="AJ114" i="9"/>
  <c r="AO68" i="9"/>
  <c r="AL115" i="9"/>
  <c r="U115" i="9"/>
  <c r="V115" i="9"/>
  <c r="AC115" i="9"/>
  <c r="AD115" i="9"/>
  <c r="AK115" i="9"/>
  <c r="AO122" i="9"/>
  <c r="AG122" i="9"/>
  <c r="Y122" i="9"/>
  <c r="AD122" i="9"/>
  <c r="U122" i="9"/>
  <c r="AN122" i="9"/>
  <c r="AF122" i="9"/>
  <c r="X122" i="9"/>
  <c r="V122" i="9"/>
  <c r="AK122" i="9"/>
  <c r="AM122" i="9"/>
  <c r="AE122" i="9"/>
  <c r="W122" i="9"/>
  <c r="AL122" i="9"/>
  <c r="AC122" i="9"/>
  <c r="AO100" i="9"/>
  <c r="AG100" i="9"/>
  <c r="Y100" i="9"/>
  <c r="AL100" i="9"/>
  <c r="AN100" i="9"/>
  <c r="AF100" i="9"/>
  <c r="X100" i="9"/>
  <c r="AD100" i="9"/>
  <c r="AK100" i="9"/>
  <c r="AM100" i="9"/>
  <c r="AE100" i="9"/>
  <c r="W100" i="9"/>
  <c r="V100" i="9"/>
  <c r="AO9" i="9"/>
  <c r="AG9" i="9"/>
  <c r="Y9" i="9"/>
  <c r="AD9" i="9"/>
  <c r="AN9" i="9"/>
  <c r="AF9" i="9"/>
  <c r="X9" i="9"/>
  <c r="AL9" i="9"/>
  <c r="AM9" i="9"/>
  <c r="AE9" i="9"/>
  <c r="W9" i="9"/>
  <c r="V9" i="9"/>
  <c r="AO73" i="9"/>
  <c r="AG73" i="9"/>
  <c r="Y73" i="9"/>
  <c r="AL73" i="9"/>
  <c r="AN73" i="9"/>
  <c r="AF73" i="9"/>
  <c r="X73" i="9"/>
  <c r="AD73" i="9"/>
  <c r="AM73" i="9"/>
  <c r="AE73" i="9"/>
  <c r="W73" i="9"/>
  <c r="V73" i="9"/>
  <c r="AO27" i="9"/>
  <c r="AG27" i="9"/>
  <c r="Y27" i="9"/>
  <c r="AL27" i="9"/>
  <c r="V27" i="9"/>
  <c r="AN27" i="9"/>
  <c r="AF27" i="9"/>
  <c r="X27" i="9"/>
  <c r="AD27" i="9"/>
  <c r="AM27" i="9"/>
  <c r="AE27" i="9"/>
  <c r="W27" i="9"/>
  <c r="AA21" i="9"/>
  <c r="S25" i="9"/>
  <c r="AI25" i="9"/>
  <c r="AA27" i="9"/>
  <c r="AA65" i="9"/>
  <c r="S68" i="9"/>
  <c r="AI68" i="9"/>
  <c r="AA73" i="9"/>
  <c r="AA79" i="9"/>
  <c r="S5" i="9"/>
  <c r="AI5" i="9"/>
  <c r="AA9" i="9"/>
  <c r="AA67" i="9"/>
  <c r="S72" i="9"/>
  <c r="AI72" i="9"/>
  <c r="AA100" i="9"/>
  <c r="S114" i="9"/>
  <c r="R115" i="9"/>
  <c r="AJ115" i="9"/>
  <c r="AI122" i="9"/>
  <c r="AO115" i="9"/>
  <c r="AO5" i="9"/>
  <c r="AB21" i="9"/>
  <c r="T25" i="9"/>
  <c r="AJ25" i="9"/>
  <c r="AB27" i="9"/>
  <c r="AB65" i="9"/>
  <c r="T68" i="9"/>
  <c r="AJ68" i="9"/>
  <c r="AB73" i="9"/>
  <c r="AB79" i="9"/>
  <c r="T5" i="9"/>
  <c r="AJ5" i="9"/>
  <c r="AB9" i="9"/>
  <c r="AB67" i="9"/>
  <c r="T72" i="9"/>
  <c r="AJ72" i="9"/>
  <c r="AB100" i="9"/>
  <c r="T114" i="9"/>
  <c r="S115" i="9"/>
  <c r="R122" i="9"/>
  <c r="AJ122" i="9"/>
  <c r="W21" i="9"/>
  <c r="AE21" i="9"/>
  <c r="AM21" i="9"/>
  <c r="W25" i="9"/>
  <c r="AE25" i="9"/>
  <c r="AM25" i="9"/>
  <c r="W65" i="9"/>
  <c r="AE65" i="9"/>
  <c r="AM65" i="9"/>
  <c r="W68" i="9"/>
  <c r="AE68" i="9"/>
  <c r="AM68" i="9"/>
  <c r="W79" i="9"/>
  <c r="AE79" i="9"/>
  <c r="AM79" i="9"/>
  <c r="W5" i="9"/>
  <c r="AE5" i="9"/>
  <c r="AM5" i="9"/>
  <c r="W67" i="9"/>
  <c r="AE67" i="9"/>
  <c r="AM67" i="9"/>
  <c r="W72" i="9"/>
  <c r="AE72" i="9"/>
  <c r="AM72" i="9"/>
  <c r="W114" i="9"/>
  <c r="AE114" i="9"/>
  <c r="AM114" i="9"/>
  <c r="W115" i="9"/>
  <c r="AE115" i="9"/>
  <c r="AM115" i="9"/>
  <c r="X21" i="9"/>
  <c r="AF21" i="9"/>
  <c r="AN21" i="9"/>
  <c r="X25" i="9"/>
  <c r="AF25" i="9"/>
  <c r="AN25" i="9"/>
  <c r="X65" i="9"/>
  <c r="AF65" i="9"/>
  <c r="AN65" i="9"/>
  <c r="X68" i="9"/>
  <c r="AF68" i="9"/>
  <c r="AN68" i="9"/>
  <c r="X79" i="9"/>
  <c r="AF79" i="9"/>
  <c r="AN79" i="9"/>
  <c r="X5" i="9"/>
  <c r="AF5" i="9"/>
  <c r="AN5" i="9"/>
  <c r="X67" i="9"/>
  <c r="AF67" i="9"/>
  <c r="AN67" i="9"/>
  <c r="X72" i="9"/>
  <c r="AF72" i="9"/>
  <c r="AN72" i="9"/>
  <c r="X114" i="9"/>
  <c r="AF114" i="9"/>
  <c r="AN114" i="9"/>
  <c r="X115" i="9"/>
  <c r="AF115" i="9"/>
  <c r="AN115" i="9"/>
  <c r="Y21" i="9"/>
  <c r="AG21" i="9"/>
  <c r="Y25" i="9"/>
  <c r="AG25" i="9"/>
  <c r="Y65" i="9"/>
  <c r="AG65" i="9"/>
  <c r="Y68" i="9"/>
  <c r="AG68" i="9"/>
  <c r="Y79" i="9"/>
  <c r="AG79" i="9"/>
  <c r="Y5" i="9"/>
  <c r="AG5" i="9"/>
  <c r="Y67" i="9"/>
  <c r="AG67" i="9"/>
  <c r="Y72" i="9"/>
  <c r="AG72" i="9"/>
  <c r="Y114" i="9"/>
  <c r="AG114" i="9"/>
  <c r="Y115" i="9"/>
  <c r="AG115" i="9"/>
  <c r="AO12" i="9"/>
  <c r="AG12" i="9"/>
  <c r="Y12" i="9"/>
  <c r="AE12" i="9"/>
  <c r="AN12" i="9"/>
  <c r="AF12" i="9"/>
  <c r="X12" i="9"/>
  <c r="AI12" i="9"/>
  <c r="AA12" i="9"/>
  <c r="S12" i="9"/>
  <c r="AM12" i="9"/>
  <c r="AH12" i="9"/>
  <c r="Z12" i="9"/>
  <c r="R12" i="9"/>
  <c r="AO22" i="9"/>
  <c r="AG22" i="9"/>
  <c r="Y22" i="9"/>
  <c r="AE22" i="9"/>
  <c r="AN22" i="9"/>
  <c r="AF22" i="9"/>
  <c r="X22" i="9"/>
  <c r="W22" i="9"/>
  <c r="AI22" i="9"/>
  <c r="AA22" i="9"/>
  <c r="S22" i="9"/>
  <c r="AM22" i="9"/>
  <c r="AH22" i="9"/>
  <c r="Z22" i="9"/>
  <c r="R22" i="9"/>
  <c r="AB7" i="9"/>
  <c r="AB10" i="9"/>
  <c r="T11" i="9"/>
  <c r="AJ11" i="9"/>
  <c r="AB12" i="9"/>
  <c r="V22" i="9"/>
  <c r="T41" i="9"/>
  <c r="AL41" i="9"/>
  <c r="AK45" i="9"/>
  <c r="AD47" i="9"/>
  <c r="AB85" i="9"/>
  <c r="U123" i="9"/>
  <c r="AK26" i="9"/>
  <c r="AJ31" i="9"/>
  <c r="AD59" i="9"/>
  <c r="AB80" i="9"/>
  <c r="V95" i="9"/>
  <c r="U6" i="9"/>
  <c r="AM41" i="9"/>
  <c r="W41" i="9"/>
  <c r="AE41" i="9"/>
  <c r="AO45" i="9"/>
  <c r="AG45" i="9"/>
  <c r="Y45" i="9"/>
  <c r="AM45" i="9"/>
  <c r="AN45" i="9"/>
  <c r="AF45" i="9"/>
  <c r="X45" i="9"/>
  <c r="AE45" i="9"/>
  <c r="AI45" i="9"/>
  <c r="AA45" i="9"/>
  <c r="S45" i="9"/>
  <c r="W45" i="9"/>
  <c r="AH45" i="9"/>
  <c r="Z45" i="9"/>
  <c r="R45" i="9"/>
  <c r="AE47" i="9"/>
  <c r="W47" i="9"/>
  <c r="AM47" i="9"/>
  <c r="AM85" i="9"/>
  <c r="AE85" i="9"/>
  <c r="AM26" i="9"/>
  <c r="AE26" i="9"/>
  <c r="W26" i="9"/>
  <c r="AM31" i="9"/>
  <c r="AE31" i="9"/>
  <c r="W31" i="9"/>
  <c r="AE80" i="9"/>
  <c r="AM80" i="9"/>
  <c r="W80" i="9"/>
  <c r="AM95" i="9"/>
  <c r="W95" i="9"/>
  <c r="AE95" i="9"/>
  <c r="AC7" i="9"/>
  <c r="U8" i="9"/>
  <c r="AK8" i="9"/>
  <c r="AC10" i="9"/>
  <c r="U11" i="9"/>
  <c r="AK11" i="9"/>
  <c r="AC12" i="9"/>
  <c r="AB22" i="9"/>
  <c r="V30" i="9"/>
  <c r="U41" i="9"/>
  <c r="T45" i="9"/>
  <c r="AL45" i="9"/>
  <c r="AJ47" i="9"/>
  <c r="AC85" i="9"/>
  <c r="V123" i="9"/>
  <c r="U16" i="9"/>
  <c r="T26" i="9"/>
  <c r="AL26" i="9"/>
  <c r="AK31" i="9"/>
  <c r="AJ59" i="9"/>
  <c r="AD63" i="9"/>
  <c r="AC80" i="9"/>
  <c r="AB95" i="9"/>
  <c r="V6" i="9"/>
  <c r="AO11" i="9"/>
  <c r="AO85" i="9"/>
  <c r="AO31" i="9"/>
  <c r="AO95" i="9"/>
  <c r="AD7" i="9"/>
  <c r="V8" i="9"/>
  <c r="AD10" i="9"/>
  <c r="V11" i="9"/>
  <c r="AL11" i="9"/>
  <c r="AD12" i="9"/>
  <c r="AC22" i="9"/>
  <c r="V41" i="9"/>
  <c r="U45" i="9"/>
  <c r="T46" i="9"/>
  <c r="AK47" i="9"/>
  <c r="AD85" i="9"/>
  <c r="U26" i="9"/>
  <c r="T31" i="9"/>
  <c r="AL31" i="9"/>
  <c r="AK59" i="9"/>
  <c r="AD80" i="9"/>
  <c r="AC95" i="9"/>
  <c r="AB6" i="9"/>
  <c r="AB45" i="9"/>
  <c r="AK85" i="9"/>
  <c r="AJ95" i="9"/>
  <c r="AL12" i="9"/>
  <c r="T80" i="9"/>
  <c r="AO123" i="9"/>
  <c r="AG123" i="9"/>
  <c r="Y123" i="9"/>
  <c r="AM123" i="9"/>
  <c r="AN123" i="9"/>
  <c r="AF123" i="9"/>
  <c r="X123" i="9"/>
  <c r="AE123" i="9"/>
  <c r="AI123" i="9"/>
  <c r="AA123" i="9"/>
  <c r="S123" i="9"/>
  <c r="W123" i="9"/>
  <c r="AH123" i="9"/>
  <c r="Z123" i="9"/>
  <c r="R123" i="9"/>
  <c r="AO59" i="9"/>
  <c r="AG59" i="9"/>
  <c r="Y59" i="9"/>
  <c r="AM59" i="9"/>
  <c r="AN59" i="9"/>
  <c r="AF59" i="9"/>
  <c r="X59" i="9"/>
  <c r="AE59" i="9"/>
  <c r="AI59" i="9"/>
  <c r="AA59" i="9"/>
  <c r="S59" i="9"/>
  <c r="W59" i="9"/>
  <c r="AH59" i="9"/>
  <c r="Z59" i="9"/>
  <c r="R59" i="9"/>
  <c r="W11" i="9"/>
  <c r="AM11" i="9"/>
  <c r="AJ12" i="9"/>
  <c r="AD22" i="9"/>
  <c r="AB41" i="9"/>
  <c r="T47" i="9"/>
  <c r="AJ85" i="9"/>
  <c r="AO26" i="9"/>
  <c r="AO80" i="9"/>
  <c r="AJ10" i="9"/>
  <c r="AK12" i="9"/>
  <c r="AD123" i="9"/>
  <c r="AB26" i="9"/>
  <c r="AK80" i="9"/>
  <c r="AK10" i="9"/>
  <c r="U12" i="9"/>
  <c r="AD41" i="9"/>
  <c r="AC45" i="9"/>
  <c r="AJ123" i="9"/>
  <c r="AC26" i="9"/>
  <c r="AB31" i="9"/>
  <c r="V59" i="9"/>
  <c r="AK95" i="9"/>
  <c r="AJ6" i="9"/>
  <c r="AO8" i="9"/>
  <c r="AG8" i="9"/>
  <c r="Y8" i="9"/>
  <c r="AN8" i="9"/>
  <c r="AF8" i="9"/>
  <c r="X8" i="9"/>
  <c r="AI8" i="9"/>
  <c r="AA8" i="9"/>
  <c r="S8" i="9"/>
  <c r="AH8" i="9"/>
  <c r="Z8" i="9"/>
  <c r="R8" i="9"/>
  <c r="AO30" i="9"/>
  <c r="AG30" i="9"/>
  <c r="Y30" i="9"/>
  <c r="AM30" i="9"/>
  <c r="AN30" i="9"/>
  <c r="AF30" i="9"/>
  <c r="X30" i="9"/>
  <c r="W30" i="9"/>
  <c r="AI30" i="9"/>
  <c r="AA30" i="9"/>
  <c r="S30" i="9"/>
  <c r="AE30" i="9"/>
  <c r="AH30" i="9"/>
  <c r="Z30" i="9"/>
  <c r="R30" i="9"/>
  <c r="AO46" i="9"/>
  <c r="AG46" i="9"/>
  <c r="Y46" i="9"/>
  <c r="AM46" i="9"/>
  <c r="AN46" i="9"/>
  <c r="AF46" i="9"/>
  <c r="X46" i="9"/>
  <c r="AE46" i="9"/>
  <c r="AI46" i="9"/>
  <c r="AA46" i="9"/>
  <c r="S46" i="9"/>
  <c r="W46" i="9"/>
  <c r="AH46" i="9"/>
  <c r="Z46" i="9"/>
  <c r="R46" i="9"/>
  <c r="AO16" i="9"/>
  <c r="AG16" i="9"/>
  <c r="Y16" i="9"/>
  <c r="AE16" i="9"/>
  <c r="AN16" i="9"/>
  <c r="AF16" i="9"/>
  <c r="X16" i="9"/>
  <c r="AI16" i="9"/>
  <c r="AA16" i="9"/>
  <c r="S16" i="9"/>
  <c r="AM16" i="9"/>
  <c r="W16" i="9"/>
  <c r="AH16" i="9"/>
  <c r="Z16" i="9"/>
  <c r="R16" i="9"/>
  <c r="AO63" i="9"/>
  <c r="AG63" i="9"/>
  <c r="Y63" i="9"/>
  <c r="AE63" i="9"/>
  <c r="AN63" i="9"/>
  <c r="AF63" i="9"/>
  <c r="X63" i="9"/>
  <c r="W63" i="9"/>
  <c r="AI63" i="9"/>
  <c r="AA63" i="9"/>
  <c r="S63" i="9"/>
  <c r="AM63" i="9"/>
  <c r="AH63" i="9"/>
  <c r="Z63" i="9"/>
  <c r="R63" i="9"/>
  <c r="AM88" i="9"/>
  <c r="W88" i="9"/>
  <c r="AE88" i="9"/>
  <c r="V7" i="9"/>
  <c r="AD8" i="9"/>
  <c r="V10" i="9"/>
  <c r="AL10" i="9"/>
  <c r="AD11" i="9"/>
  <c r="V12" i="9"/>
  <c r="T22" i="9"/>
  <c r="AL22" i="9"/>
  <c r="AK30" i="9"/>
  <c r="AJ41" i="9"/>
  <c r="AD45" i="9"/>
  <c r="AC46" i="9"/>
  <c r="AB47" i="9"/>
  <c r="V85" i="9"/>
  <c r="T88" i="9"/>
  <c r="AL88" i="9"/>
  <c r="AK123" i="9"/>
  <c r="AJ16" i="9"/>
  <c r="AD26" i="9"/>
  <c r="AC31" i="9"/>
  <c r="AB59" i="9"/>
  <c r="V63" i="9"/>
  <c r="U80" i="9"/>
  <c r="T95" i="9"/>
  <c r="AL95" i="9"/>
  <c r="AO7" i="9"/>
  <c r="AG7" i="9"/>
  <c r="Y7" i="9"/>
  <c r="AN7" i="9"/>
  <c r="AF7" i="9"/>
  <c r="X7" i="9"/>
  <c r="AI7" i="9"/>
  <c r="AA7" i="9"/>
  <c r="S7" i="9"/>
  <c r="AH7" i="9"/>
  <c r="Z7" i="9"/>
  <c r="R7" i="9"/>
  <c r="AO6" i="9"/>
  <c r="AG6" i="9"/>
  <c r="Y6" i="9"/>
  <c r="AM6" i="9"/>
  <c r="AN6" i="9"/>
  <c r="AF6" i="9"/>
  <c r="X6" i="9"/>
  <c r="AE6" i="9"/>
  <c r="W6" i="9"/>
  <c r="AI6" i="9"/>
  <c r="AA6" i="9"/>
  <c r="S6" i="9"/>
  <c r="AH6" i="9"/>
  <c r="Z6" i="9"/>
  <c r="R6" i="9"/>
  <c r="AO41" i="9"/>
  <c r="AE7" i="9"/>
  <c r="AE10" i="9"/>
  <c r="AL47" i="9"/>
  <c r="AC123" i="9"/>
  <c r="U31" i="9"/>
  <c r="T59" i="9"/>
  <c r="AC6" i="9"/>
  <c r="AO10" i="9"/>
  <c r="AO47" i="9"/>
  <c r="T7" i="9"/>
  <c r="AJ7" i="9"/>
  <c r="T12" i="9"/>
  <c r="AJ22" i="9"/>
  <c r="U59" i="9"/>
  <c r="AD6" i="9"/>
  <c r="U7" i="9"/>
  <c r="AK7" i="9"/>
  <c r="U10" i="9"/>
  <c r="AC11" i="9"/>
  <c r="AK22" i="9"/>
  <c r="V47" i="9"/>
  <c r="U85" i="9"/>
  <c r="AL85" i="9"/>
  <c r="AL80" i="9"/>
  <c r="W7" i="9"/>
  <c r="AM7" i="9"/>
  <c r="AE8" i="9"/>
  <c r="W10" i="9"/>
  <c r="W12" i="9"/>
  <c r="U22" i="9"/>
  <c r="T30" i="9"/>
  <c r="AL30" i="9"/>
  <c r="AK41" i="9"/>
  <c r="AJ45" i="9"/>
  <c r="AD46" i="9"/>
  <c r="AC47" i="9"/>
  <c r="W85" i="9"/>
  <c r="U88" i="9"/>
  <c r="T123" i="9"/>
  <c r="AL123" i="9"/>
  <c r="AK16" i="9"/>
  <c r="AJ26" i="9"/>
  <c r="AD31" i="9"/>
  <c r="AC59" i="9"/>
  <c r="AB63" i="9"/>
  <c r="V80" i="9"/>
  <c r="U95" i="9"/>
  <c r="T6" i="9"/>
  <c r="AL6" i="9"/>
  <c r="R10" i="9"/>
  <c r="Z10" i="9"/>
  <c r="AH10" i="9"/>
  <c r="R11" i="9"/>
  <c r="Z11" i="9"/>
  <c r="AH11" i="9"/>
  <c r="R41" i="9"/>
  <c r="Z41" i="9"/>
  <c r="AH41" i="9"/>
  <c r="R47" i="9"/>
  <c r="Z47" i="9"/>
  <c r="AH47" i="9"/>
  <c r="R85" i="9"/>
  <c r="Z85" i="9"/>
  <c r="AH85" i="9"/>
  <c r="R88" i="9"/>
  <c r="Z88" i="9"/>
  <c r="R26" i="9"/>
  <c r="Z26" i="9"/>
  <c r="AH26" i="9"/>
  <c r="R31" i="9"/>
  <c r="Z31" i="9"/>
  <c r="AH31" i="9"/>
  <c r="R80" i="9"/>
  <c r="Z80" i="9"/>
  <c r="AH80" i="9"/>
  <c r="R95" i="9"/>
  <c r="Z95" i="9"/>
  <c r="AH95" i="9"/>
  <c r="S10" i="9"/>
  <c r="AA10" i="9"/>
  <c r="AI10" i="9"/>
  <c r="S11" i="9"/>
  <c r="AA11" i="9"/>
  <c r="AI11" i="9"/>
  <c r="S41" i="9"/>
  <c r="AA41" i="9"/>
  <c r="AI41" i="9"/>
  <c r="S47" i="9"/>
  <c r="AA47" i="9"/>
  <c r="AI47" i="9"/>
  <c r="S85" i="9"/>
  <c r="AA85" i="9"/>
  <c r="AI85" i="9"/>
  <c r="S88" i="9"/>
  <c r="AA88" i="9"/>
  <c r="AI88" i="9"/>
  <c r="S26" i="9"/>
  <c r="AA26" i="9"/>
  <c r="AI26" i="9"/>
  <c r="S31" i="9"/>
  <c r="AA31" i="9"/>
  <c r="AI31" i="9"/>
  <c r="S80" i="9"/>
  <c r="AA80" i="9"/>
  <c r="AI80" i="9"/>
  <c r="S95" i="9"/>
  <c r="AA95" i="9"/>
  <c r="AI95" i="9"/>
  <c r="X10" i="9"/>
  <c r="AF10" i="9"/>
  <c r="AN10" i="9"/>
  <c r="X11" i="9"/>
  <c r="AF11" i="9"/>
  <c r="AN11" i="9"/>
  <c r="X41" i="9"/>
  <c r="AF41" i="9"/>
  <c r="AN41" i="9"/>
  <c r="X47" i="9"/>
  <c r="AF47" i="9"/>
  <c r="AN47" i="9"/>
  <c r="X85" i="9"/>
  <c r="AF85" i="9"/>
  <c r="AN85" i="9"/>
  <c r="X88" i="9"/>
  <c r="AF88" i="9"/>
  <c r="AN88" i="9"/>
  <c r="X26" i="9"/>
  <c r="AF26" i="9"/>
  <c r="AN26" i="9"/>
  <c r="X31" i="9"/>
  <c r="AF31" i="9"/>
  <c r="AN31" i="9"/>
  <c r="X80" i="9"/>
  <c r="AF80" i="9"/>
  <c r="AN80" i="9"/>
  <c r="X95" i="9"/>
  <c r="AF95" i="9"/>
  <c r="AN95" i="9"/>
  <c r="Y10" i="9"/>
  <c r="AG10" i="9"/>
  <c r="Y11" i="9"/>
  <c r="AG11" i="9"/>
  <c r="Y41" i="9"/>
  <c r="AG41" i="9"/>
  <c r="Y47" i="9"/>
  <c r="AG47" i="9"/>
  <c r="Y85" i="9"/>
  <c r="AG85" i="9"/>
  <c r="Y88" i="9"/>
  <c r="AG88" i="9"/>
  <c r="Y26" i="9"/>
  <c r="AG26" i="9"/>
  <c r="Y31" i="9"/>
  <c r="AG31" i="9"/>
  <c r="Y80" i="9"/>
  <c r="AG80" i="9"/>
  <c r="Y95" i="9"/>
  <c r="AG95" i="9"/>
  <c r="AH19" i="9"/>
  <c r="Z35" i="9"/>
  <c r="S117" i="9"/>
  <c r="R82" i="9"/>
  <c r="S23" i="9"/>
  <c r="Z49" i="9"/>
  <c r="AH50" i="9"/>
  <c r="U109" i="9"/>
  <c r="AA96" i="9"/>
  <c r="AH36" i="9"/>
  <c r="AA49" i="9"/>
  <c r="AI36" i="9"/>
  <c r="AH32" i="9"/>
  <c r="AI98" i="9"/>
  <c r="AL54" i="9"/>
  <c r="AD111" i="9"/>
  <c r="AK104" i="9"/>
  <c r="AL70" i="9"/>
  <c r="AI96" i="9"/>
  <c r="Z120" i="9"/>
  <c r="R93" i="9"/>
  <c r="Z60" i="9"/>
  <c r="AH52" i="9"/>
  <c r="Z3" i="9"/>
  <c r="AD49" i="9"/>
  <c r="AL23" i="9"/>
  <c r="AH23" i="9"/>
  <c r="AI49" i="9"/>
  <c r="AI82" i="9"/>
  <c r="Z23" i="9"/>
  <c r="V43" i="9"/>
  <c r="AK112" i="9"/>
  <c r="AK55" i="9"/>
  <c r="AL87" i="9"/>
  <c r="X75" i="9"/>
  <c r="Z117" i="9"/>
  <c r="AO117" i="9"/>
  <c r="AO82" i="9"/>
  <c r="AO36" i="9"/>
  <c r="R96" i="9"/>
  <c r="S36" i="9"/>
  <c r="Z82" i="9"/>
  <c r="AA117" i="9"/>
  <c r="AH96" i="9"/>
  <c r="X64" i="9"/>
  <c r="AL103" i="9"/>
  <c r="AK110" i="9"/>
  <c r="AH49" i="9"/>
  <c r="R49" i="9"/>
  <c r="S96" i="9"/>
  <c r="Z36" i="9"/>
  <c r="AA82" i="9"/>
  <c r="AH117" i="9"/>
  <c r="AA23" i="9"/>
  <c r="AI23" i="9"/>
  <c r="AF44" i="9"/>
  <c r="AC106" i="9"/>
  <c r="AE89" i="9"/>
  <c r="AD36" i="9"/>
  <c r="Z39" i="9"/>
  <c r="AH35" i="9"/>
  <c r="R23" i="9"/>
  <c r="S49" i="9"/>
  <c r="Z96" i="9"/>
  <c r="AA36" i="9"/>
  <c r="AH82" i="9"/>
  <c r="AI117" i="9"/>
  <c r="AL97" i="9"/>
  <c r="V97" i="9"/>
  <c r="AD97" i="9"/>
  <c r="AM97" i="9"/>
  <c r="AE97" i="9"/>
  <c r="W97" i="9"/>
  <c r="AJ97" i="9"/>
  <c r="AB97" i="9"/>
  <c r="T97" i="9"/>
  <c r="AI97" i="9"/>
  <c r="AA97" i="9"/>
  <c r="S97" i="9"/>
  <c r="AO62" i="9"/>
  <c r="AG62" i="9"/>
  <c r="Y62" i="9"/>
  <c r="V62" i="9"/>
  <c r="S62" i="9"/>
  <c r="AN62" i="9"/>
  <c r="AF62" i="9"/>
  <c r="X62" i="9"/>
  <c r="AL62" i="9"/>
  <c r="AI62" i="9"/>
  <c r="AA62" i="9"/>
  <c r="AM62" i="9"/>
  <c r="AE62" i="9"/>
  <c r="W62" i="9"/>
  <c r="AD62" i="9"/>
  <c r="AK62" i="9"/>
  <c r="AC62" i="9"/>
  <c r="U62" i="9"/>
  <c r="AJ62" i="9"/>
  <c r="AB62" i="9"/>
  <c r="T62" i="9"/>
  <c r="AO19" i="9"/>
  <c r="AG19" i="9"/>
  <c r="Y19" i="9"/>
  <c r="V19" i="9"/>
  <c r="AN19" i="9"/>
  <c r="AF19" i="9"/>
  <c r="X19" i="9"/>
  <c r="AL19" i="9"/>
  <c r="AD19" i="9"/>
  <c r="AM19" i="9"/>
  <c r="AE19" i="9"/>
  <c r="W19" i="9"/>
  <c r="AI19" i="9"/>
  <c r="AA19" i="9"/>
  <c r="AK19" i="9"/>
  <c r="AC19" i="9"/>
  <c r="U19" i="9"/>
  <c r="AJ19" i="9"/>
  <c r="AB19" i="9"/>
  <c r="T19" i="9"/>
  <c r="S19" i="9"/>
  <c r="R3" i="9"/>
  <c r="R97" i="9"/>
  <c r="S3" i="9"/>
  <c r="R60" i="9"/>
  <c r="Z97" i="9"/>
  <c r="AH97" i="9"/>
  <c r="AO102" i="9"/>
  <c r="AG102" i="9"/>
  <c r="Y102" i="9"/>
  <c r="AD102" i="9"/>
  <c r="AN102" i="9"/>
  <c r="AF102" i="9"/>
  <c r="X102" i="9"/>
  <c r="AL102" i="9"/>
  <c r="V102" i="9"/>
  <c r="AM102" i="9"/>
  <c r="AE102" i="9"/>
  <c r="W102" i="9"/>
  <c r="AK102" i="9"/>
  <c r="AC102" i="9"/>
  <c r="U102" i="9"/>
  <c r="AJ102" i="9"/>
  <c r="AB102" i="9"/>
  <c r="T102" i="9"/>
  <c r="AI102" i="9"/>
  <c r="AA102" i="9"/>
  <c r="S102" i="9"/>
  <c r="AD60" i="9"/>
  <c r="S60" i="9"/>
  <c r="AL60" i="9"/>
  <c r="V60" i="9"/>
  <c r="AI60" i="9"/>
  <c r="AM60" i="9"/>
  <c r="AE60" i="9"/>
  <c r="W60" i="9"/>
  <c r="AJ60" i="9"/>
  <c r="AB60" i="9"/>
  <c r="T60" i="9"/>
  <c r="AA60" i="9"/>
  <c r="AD3" i="9"/>
  <c r="AL3" i="9"/>
  <c r="AM3" i="9"/>
  <c r="AE3" i="9"/>
  <c r="W3" i="9"/>
  <c r="V3" i="9"/>
  <c r="AI3" i="9"/>
  <c r="AJ3" i="9"/>
  <c r="AB3" i="9"/>
  <c r="T3" i="9"/>
  <c r="AA3" i="9"/>
  <c r="AH60" i="9"/>
  <c r="R102" i="9"/>
  <c r="AO52" i="9"/>
  <c r="R120" i="9"/>
  <c r="R19" i="9"/>
  <c r="Z62" i="9"/>
  <c r="AH102" i="9"/>
  <c r="S120" i="9"/>
  <c r="AA120" i="9"/>
  <c r="AI120" i="9"/>
  <c r="AI93" i="9"/>
  <c r="AA93" i="9"/>
  <c r="S93" i="9"/>
  <c r="S52" i="9"/>
  <c r="AA52" i="9"/>
  <c r="AI52" i="9"/>
  <c r="AO120" i="9"/>
  <c r="AO93" i="9"/>
  <c r="AH3" i="9"/>
  <c r="R62" i="9"/>
  <c r="Z102" i="9"/>
  <c r="AO97" i="9"/>
  <c r="AO60" i="9"/>
  <c r="AO3" i="9"/>
  <c r="Z19" i="9"/>
  <c r="R52" i="9"/>
  <c r="AH62" i="9"/>
  <c r="Z93" i="9"/>
  <c r="AH120" i="9"/>
  <c r="T36" i="9"/>
  <c r="AB36" i="9"/>
  <c r="AJ36" i="9"/>
  <c r="T52" i="9"/>
  <c r="AB52" i="9"/>
  <c r="AJ52" i="9"/>
  <c r="T82" i="9"/>
  <c r="AB82" i="9"/>
  <c r="AJ82" i="9"/>
  <c r="T93" i="9"/>
  <c r="AB93" i="9"/>
  <c r="AJ93" i="9"/>
  <c r="T117" i="9"/>
  <c r="AB117" i="9"/>
  <c r="AJ117" i="9"/>
  <c r="T120" i="9"/>
  <c r="AB120" i="9"/>
  <c r="AJ120" i="9"/>
  <c r="U3" i="9"/>
  <c r="AC3" i="9"/>
  <c r="AK3" i="9"/>
  <c r="U36" i="9"/>
  <c r="AC36" i="9"/>
  <c r="AK36" i="9"/>
  <c r="U52" i="9"/>
  <c r="AC52" i="9"/>
  <c r="AK52" i="9"/>
  <c r="U60" i="9"/>
  <c r="AC60" i="9"/>
  <c r="AK60" i="9"/>
  <c r="U82" i="9"/>
  <c r="AC82" i="9"/>
  <c r="AK82" i="9"/>
  <c r="U93" i="9"/>
  <c r="AC93" i="9"/>
  <c r="AK93" i="9"/>
  <c r="U97" i="9"/>
  <c r="AC97" i="9"/>
  <c r="AK97" i="9"/>
  <c r="U117" i="9"/>
  <c r="AC117" i="9"/>
  <c r="AK117" i="9"/>
  <c r="U120" i="9"/>
  <c r="AC120" i="9"/>
  <c r="AK120" i="9"/>
  <c r="W36" i="9"/>
  <c r="AE36" i="9"/>
  <c r="AM36" i="9"/>
  <c r="W52" i="9"/>
  <c r="AE52" i="9"/>
  <c r="AM52" i="9"/>
  <c r="W82" i="9"/>
  <c r="AE82" i="9"/>
  <c r="AM82" i="9"/>
  <c r="W93" i="9"/>
  <c r="AE93" i="9"/>
  <c r="AM93" i="9"/>
  <c r="W117" i="9"/>
  <c r="AE117" i="9"/>
  <c r="AM117" i="9"/>
  <c r="W120" i="9"/>
  <c r="AE120" i="9"/>
  <c r="AM120" i="9"/>
  <c r="AL36" i="9"/>
  <c r="AD82" i="9"/>
  <c r="V93" i="9"/>
  <c r="AD93" i="9"/>
  <c r="AL93" i="9"/>
  <c r="AL117" i="9"/>
  <c r="AD120" i="9"/>
  <c r="X3" i="9"/>
  <c r="AF3" i="9"/>
  <c r="AN3" i="9"/>
  <c r="X36" i="9"/>
  <c r="AF36" i="9"/>
  <c r="AN36" i="9"/>
  <c r="X52" i="9"/>
  <c r="AF52" i="9"/>
  <c r="AN52" i="9"/>
  <c r="X60" i="9"/>
  <c r="AF60" i="9"/>
  <c r="AN60" i="9"/>
  <c r="X82" i="9"/>
  <c r="AF82" i="9"/>
  <c r="AN82" i="9"/>
  <c r="X93" i="9"/>
  <c r="AF93" i="9"/>
  <c r="AN93" i="9"/>
  <c r="X97" i="9"/>
  <c r="AF97" i="9"/>
  <c r="AN97" i="9"/>
  <c r="X117" i="9"/>
  <c r="AF117" i="9"/>
  <c r="AN117" i="9"/>
  <c r="X120" i="9"/>
  <c r="AF120" i="9"/>
  <c r="AN120" i="9"/>
  <c r="V36" i="9"/>
  <c r="V52" i="9"/>
  <c r="AD52" i="9"/>
  <c r="AL52" i="9"/>
  <c r="V82" i="9"/>
  <c r="AL82" i="9"/>
  <c r="V117" i="9"/>
  <c r="AD117" i="9"/>
  <c r="V120" i="9"/>
  <c r="AL120" i="9"/>
  <c r="Y3" i="9"/>
  <c r="AG3" i="9"/>
  <c r="Y36" i="9"/>
  <c r="AG36" i="9"/>
  <c r="Y52" i="9"/>
  <c r="AG52" i="9"/>
  <c r="Y60" i="9"/>
  <c r="AG60" i="9"/>
  <c r="Y82" i="9"/>
  <c r="AG82" i="9"/>
  <c r="Y93" i="9"/>
  <c r="AG93" i="9"/>
  <c r="Y97" i="9"/>
  <c r="AG97" i="9"/>
  <c r="Y117" i="9"/>
  <c r="AG117" i="9"/>
  <c r="Y120" i="9"/>
  <c r="AG120" i="9"/>
  <c r="AI101" i="9"/>
  <c r="R101" i="9"/>
  <c r="AA101" i="9"/>
  <c r="Z101" i="9"/>
  <c r="S101" i="9"/>
  <c r="AD38" i="9"/>
  <c r="AI38" i="9"/>
  <c r="AA38" i="9"/>
  <c r="S38" i="9"/>
  <c r="AL38" i="9"/>
  <c r="AM38" i="9"/>
  <c r="AE38" i="9"/>
  <c r="W38" i="9"/>
  <c r="V38" i="9"/>
  <c r="AJ38" i="9"/>
  <c r="AB38" i="9"/>
  <c r="T38" i="9"/>
  <c r="R38" i="9"/>
  <c r="Z38" i="9"/>
  <c r="AA50" i="9"/>
  <c r="AI50" i="9"/>
  <c r="S50" i="9"/>
  <c r="AD119" i="9"/>
  <c r="S119" i="9"/>
  <c r="Z119" i="9"/>
  <c r="AL119" i="9"/>
  <c r="AI119" i="9"/>
  <c r="AH119" i="9"/>
  <c r="AM119" i="9"/>
  <c r="AE119" i="9"/>
  <c r="W119" i="9"/>
  <c r="V119" i="9"/>
  <c r="AJ119" i="9"/>
  <c r="AB119" i="9"/>
  <c r="T119" i="9"/>
  <c r="AA119" i="9"/>
  <c r="R119" i="9"/>
  <c r="AL74" i="9"/>
  <c r="V74" i="9"/>
  <c r="AA74" i="9"/>
  <c r="Z74" i="9"/>
  <c r="AD74" i="9"/>
  <c r="AI74" i="9"/>
  <c r="R74" i="9"/>
  <c r="AM74" i="9"/>
  <c r="AE74" i="9"/>
  <c r="W74" i="9"/>
  <c r="AJ74" i="9"/>
  <c r="AB74" i="9"/>
  <c r="T74" i="9"/>
  <c r="S74" i="9"/>
  <c r="AH74" i="9"/>
  <c r="AI35" i="9"/>
  <c r="AA35" i="9"/>
  <c r="S35" i="9"/>
  <c r="AH38" i="9"/>
  <c r="R39" i="9"/>
  <c r="R50" i="9"/>
  <c r="AO121" i="9"/>
  <c r="AG121" i="9"/>
  <c r="Y121" i="9"/>
  <c r="AL121" i="9"/>
  <c r="V121" i="9"/>
  <c r="S121" i="9"/>
  <c r="Z121" i="9"/>
  <c r="AN121" i="9"/>
  <c r="AF121" i="9"/>
  <c r="X121" i="9"/>
  <c r="AD121" i="9"/>
  <c r="AI121" i="9"/>
  <c r="AH121" i="9"/>
  <c r="AM121" i="9"/>
  <c r="AE121" i="9"/>
  <c r="W121" i="9"/>
  <c r="AK121" i="9"/>
  <c r="AC121" i="9"/>
  <c r="U121" i="9"/>
  <c r="AJ121" i="9"/>
  <c r="AB121" i="9"/>
  <c r="T121" i="9"/>
  <c r="AA121" i="9"/>
  <c r="R121" i="9"/>
  <c r="AO77" i="9"/>
  <c r="AG77" i="9"/>
  <c r="Y77" i="9"/>
  <c r="AD77" i="9"/>
  <c r="AA77" i="9"/>
  <c r="AN77" i="9"/>
  <c r="AF77" i="9"/>
  <c r="X77" i="9"/>
  <c r="AL77" i="9"/>
  <c r="V77" i="9"/>
  <c r="AI77" i="9"/>
  <c r="AM77" i="9"/>
  <c r="AE77" i="9"/>
  <c r="W77" i="9"/>
  <c r="AK77" i="9"/>
  <c r="AC77" i="9"/>
  <c r="U77" i="9"/>
  <c r="AJ77" i="9"/>
  <c r="AB77" i="9"/>
  <c r="T77" i="9"/>
  <c r="S77" i="9"/>
  <c r="AH77" i="9"/>
  <c r="Z77" i="9"/>
  <c r="R77" i="9"/>
  <c r="AO39" i="9"/>
  <c r="AG39" i="9"/>
  <c r="Y39" i="9"/>
  <c r="AL39" i="9"/>
  <c r="AD39" i="9"/>
  <c r="V39" i="9"/>
  <c r="AI39" i="9"/>
  <c r="AA39" i="9"/>
  <c r="S39" i="9"/>
  <c r="AN39" i="9"/>
  <c r="AF39" i="9"/>
  <c r="X39" i="9"/>
  <c r="AM39" i="9"/>
  <c r="AE39" i="9"/>
  <c r="W39" i="9"/>
  <c r="AK39" i="9"/>
  <c r="AC39" i="9"/>
  <c r="U39" i="9"/>
  <c r="AJ39" i="9"/>
  <c r="AB39" i="9"/>
  <c r="T39" i="9"/>
  <c r="AO101" i="9"/>
  <c r="AO50" i="9"/>
  <c r="AO35" i="9"/>
  <c r="AO119" i="9"/>
  <c r="AO74" i="9"/>
  <c r="AO38" i="9"/>
  <c r="R35" i="9"/>
  <c r="AH39" i="9"/>
  <c r="Z50" i="9"/>
  <c r="AH101" i="9"/>
  <c r="T23" i="9"/>
  <c r="AB23" i="9"/>
  <c r="AJ23" i="9"/>
  <c r="T35" i="9"/>
  <c r="AB35" i="9"/>
  <c r="AJ35" i="9"/>
  <c r="T49" i="9"/>
  <c r="AB49" i="9"/>
  <c r="AJ49" i="9"/>
  <c r="T50" i="9"/>
  <c r="AB50" i="9"/>
  <c r="AJ50" i="9"/>
  <c r="T96" i="9"/>
  <c r="AB96" i="9"/>
  <c r="AJ96" i="9"/>
  <c r="T101" i="9"/>
  <c r="AB101" i="9"/>
  <c r="AJ101" i="9"/>
  <c r="U23" i="9"/>
  <c r="AC23" i="9"/>
  <c r="AK23" i="9"/>
  <c r="U35" i="9"/>
  <c r="AC35" i="9"/>
  <c r="AK35" i="9"/>
  <c r="U38" i="9"/>
  <c r="AC38" i="9"/>
  <c r="AK38" i="9"/>
  <c r="U49" i="9"/>
  <c r="AC49" i="9"/>
  <c r="AK49" i="9"/>
  <c r="U50" i="9"/>
  <c r="AC50" i="9"/>
  <c r="AK50" i="9"/>
  <c r="U74" i="9"/>
  <c r="AC74" i="9"/>
  <c r="AK74" i="9"/>
  <c r="U96" i="9"/>
  <c r="AC96" i="9"/>
  <c r="AK96" i="9"/>
  <c r="U101" i="9"/>
  <c r="AC101" i="9"/>
  <c r="AK101" i="9"/>
  <c r="U119" i="9"/>
  <c r="AC119" i="9"/>
  <c r="AK119" i="9"/>
  <c r="W23" i="9"/>
  <c r="AE23" i="9"/>
  <c r="AM23" i="9"/>
  <c r="W35" i="9"/>
  <c r="AE35" i="9"/>
  <c r="AM35" i="9"/>
  <c r="W49" i="9"/>
  <c r="AE49" i="9"/>
  <c r="AM49" i="9"/>
  <c r="W50" i="9"/>
  <c r="AE50" i="9"/>
  <c r="AM50" i="9"/>
  <c r="W96" i="9"/>
  <c r="AE96" i="9"/>
  <c r="AM96" i="9"/>
  <c r="W101" i="9"/>
  <c r="AE101" i="9"/>
  <c r="AM101" i="9"/>
  <c r="AD23" i="9"/>
  <c r="V35" i="9"/>
  <c r="AL35" i="9"/>
  <c r="V49" i="9"/>
  <c r="AL49" i="9"/>
  <c r="AD50" i="9"/>
  <c r="AL50" i="9"/>
  <c r="AD96" i="9"/>
  <c r="V101" i="9"/>
  <c r="AL101" i="9"/>
  <c r="X23" i="9"/>
  <c r="AF23" i="9"/>
  <c r="AN23" i="9"/>
  <c r="X35" i="9"/>
  <c r="AF35" i="9"/>
  <c r="AN35" i="9"/>
  <c r="X38" i="9"/>
  <c r="AF38" i="9"/>
  <c r="AN38" i="9"/>
  <c r="X49" i="9"/>
  <c r="AF49" i="9"/>
  <c r="AN49" i="9"/>
  <c r="X50" i="9"/>
  <c r="AF50" i="9"/>
  <c r="AN50" i="9"/>
  <c r="X74" i="9"/>
  <c r="AF74" i="9"/>
  <c r="AN74" i="9"/>
  <c r="X96" i="9"/>
  <c r="AF96" i="9"/>
  <c r="AN96" i="9"/>
  <c r="X101" i="9"/>
  <c r="AF101" i="9"/>
  <c r="AN101" i="9"/>
  <c r="X119" i="9"/>
  <c r="AF119" i="9"/>
  <c r="AN119" i="9"/>
  <c r="V23" i="9"/>
  <c r="AD35" i="9"/>
  <c r="V50" i="9"/>
  <c r="V96" i="9"/>
  <c r="AL96" i="9"/>
  <c r="AD101" i="9"/>
  <c r="Y23" i="9"/>
  <c r="AG23" i="9"/>
  <c r="Y35" i="9"/>
  <c r="AG35" i="9"/>
  <c r="Y38" i="9"/>
  <c r="AG38" i="9"/>
  <c r="Y49" i="9"/>
  <c r="AG49" i="9"/>
  <c r="Y50" i="9"/>
  <c r="AG50" i="9"/>
  <c r="Y74" i="9"/>
  <c r="AG74" i="9"/>
  <c r="Y96" i="9"/>
  <c r="AG96" i="9"/>
  <c r="Y101" i="9"/>
  <c r="AG101" i="9"/>
  <c r="Y119" i="9"/>
  <c r="AG119" i="9"/>
  <c r="AF15" i="9"/>
  <c r="AA15" i="9"/>
  <c r="AN15" i="9"/>
  <c r="X15" i="9"/>
  <c r="AI15" i="9"/>
  <c r="AA34" i="9"/>
  <c r="AL34" i="9"/>
  <c r="V34" i="9"/>
  <c r="AI34" i="9"/>
  <c r="S34" i="9"/>
  <c r="AD34" i="9"/>
  <c r="AN78" i="9"/>
  <c r="X78" i="9"/>
  <c r="AI78" i="9"/>
  <c r="S78" i="9"/>
  <c r="AF78" i="9"/>
  <c r="AA78" i="9"/>
  <c r="AB116" i="9"/>
  <c r="AM116" i="9"/>
  <c r="W116" i="9"/>
  <c r="AJ116" i="9"/>
  <c r="T116" i="9"/>
  <c r="AE116" i="9"/>
  <c r="AM33" i="9"/>
  <c r="AE33" i="9"/>
  <c r="W33" i="9"/>
  <c r="AL33" i="9"/>
  <c r="AD33" i="9"/>
  <c r="V33" i="9"/>
  <c r="AO33" i="9"/>
  <c r="AG33" i="9"/>
  <c r="Y33" i="9"/>
  <c r="AN33" i="9"/>
  <c r="AF33" i="9"/>
  <c r="X33" i="9"/>
  <c r="AH33" i="9"/>
  <c r="AC33" i="9"/>
  <c r="Z33" i="9"/>
  <c r="R33" i="9"/>
  <c r="AK33" i="9"/>
  <c r="U33" i="9"/>
  <c r="AM4" i="9"/>
  <c r="W4" i="9"/>
  <c r="AO40" i="9"/>
  <c r="AG40" i="9"/>
  <c r="Y40" i="9"/>
  <c r="AN40" i="9"/>
  <c r="AF40" i="9"/>
  <c r="X40" i="9"/>
  <c r="AI40" i="9"/>
  <c r="AA40" i="9"/>
  <c r="S40" i="9"/>
  <c r="AH40" i="9"/>
  <c r="Z40" i="9"/>
  <c r="R40" i="9"/>
  <c r="AB40" i="9"/>
  <c r="AM40" i="9"/>
  <c r="W40" i="9"/>
  <c r="AJ40" i="9"/>
  <c r="T40" i="9"/>
  <c r="AE40" i="9"/>
  <c r="AM51" i="9"/>
  <c r="W51" i="9"/>
  <c r="AO71" i="9"/>
  <c r="AG71" i="9"/>
  <c r="Y71" i="9"/>
  <c r="AN71" i="9"/>
  <c r="AF71" i="9"/>
  <c r="X71" i="9"/>
  <c r="AI71" i="9"/>
  <c r="AA71" i="9"/>
  <c r="S71" i="9"/>
  <c r="AH71" i="9"/>
  <c r="Z71" i="9"/>
  <c r="R71" i="9"/>
  <c r="AB71" i="9"/>
  <c r="AM71" i="9"/>
  <c r="W71" i="9"/>
  <c r="AJ71" i="9"/>
  <c r="T71" i="9"/>
  <c r="AE71" i="9"/>
  <c r="AO109" i="9"/>
  <c r="AG109" i="9"/>
  <c r="Y109" i="9"/>
  <c r="AN109" i="9"/>
  <c r="AF109" i="9"/>
  <c r="X109" i="9"/>
  <c r="AI109" i="9"/>
  <c r="AA109" i="9"/>
  <c r="S109" i="9"/>
  <c r="AH109" i="9"/>
  <c r="Z109" i="9"/>
  <c r="R109" i="9"/>
  <c r="AJ109" i="9"/>
  <c r="T109" i="9"/>
  <c r="AE109" i="9"/>
  <c r="AD109" i="9"/>
  <c r="AB109" i="9"/>
  <c r="AM109" i="9"/>
  <c r="W109" i="9"/>
  <c r="U75" i="9"/>
  <c r="AE75" i="9"/>
  <c r="Z75" i="9"/>
  <c r="AM75" i="9"/>
  <c r="W75" i="9"/>
  <c r="AH75" i="9"/>
  <c r="R112" i="9"/>
  <c r="S32" i="9"/>
  <c r="AB33" i="9"/>
  <c r="AK34" i="9"/>
  <c r="W44" i="9"/>
  <c r="AF64" i="9"/>
  <c r="AO75" i="9"/>
  <c r="AA98" i="9"/>
  <c r="AJ106" i="9"/>
  <c r="V116" i="9"/>
  <c r="AD4" i="9"/>
  <c r="AL40" i="9"/>
  <c r="V55" i="9"/>
  <c r="AD70" i="9"/>
  <c r="AL89" i="9"/>
  <c r="V111" i="9"/>
  <c r="AD51" i="9"/>
  <c r="AL71" i="9"/>
  <c r="AC104" i="9"/>
  <c r="U110" i="9"/>
  <c r="AK44" i="9"/>
  <c r="AH106" i="9"/>
  <c r="AJ89" i="9"/>
  <c r="AB70" i="9"/>
  <c r="R116" i="9"/>
  <c r="Z32" i="9"/>
  <c r="AI33" i="9"/>
  <c r="U43" i="9"/>
  <c r="AD44" i="9"/>
  <c r="AM64" i="9"/>
  <c r="Y78" i="9"/>
  <c r="AH98" i="9"/>
  <c r="T112" i="9"/>
  <c r="AC116" i="9"/>
  <c r="AK4" i="9"/>
  <c r="U54" i="9"/>
  <c r="AC55" i="9"/>
  <c r="AK70" i="9"/>
  <c r="U103" i="9"/>
  <c r="AC111" i="9"/>
  <c r="AK51" i="9"/>
  <c r="U87" i="9"/>
  <c r="AD104" i="9"/>
  <c r="AC110" i="9"/>
  <c r="AE4" i="9"/>
  <c r="AE51" i="9"/>
  <c r="S15" i="9"/>
  <c r="AA32" i="9"/>
  <c r="AJ33" i="9"/>
  <c r="AE44" i="9"/>
  <c r="AN64" i="9"/>
  <c r="Z78" i="9"/>
  <c r="U112" i="9"/>
  <c r="AD116" i="9"/>
  <c r="AL4" i="9"/>
  <c r="V54" i="9"/>
  <c r="AD55" i="9"/>
  <c r="V103" i="9"/>
  <c r="AL51" i="9"/>
  <c r="V87" i="9"/>
  <c r="AD110" i="9"/>
  <c r="AC40" i="9"/>
  <c r="AO43" i="9"/>
  <c r="AG43" i="9"/>
  <c r="Y43" i="9"/>
  <c r="AN43" i="9"/>
  <c r="AF43" i="9"/>
  <c r="X43" i="9"/>
  <c r="AI43" i="9"/>
  <c r="AA43" i="9"/>
  <c r="S43" i="9"/>
  <c r="AH43" i="9"/>
  <c r="Z43" i="9"/>
  <c r="AJ43" i="9"/>
  <c r="T43" i="9"/>
  <c r="AE43" i="9"/>
  <c r="AB43" i="9"/>
  <c r="AM43" i="9"/>
  <c r="W43" i="9"/>
  <c r="AL98" i="9"/>
  <c r="AD98" i="9"/>
  <c r="V98" i="9"/>
  <c r="AK98" i="9"/>
  <c r="AC98" i="9"/>
  <c r="U98" i="9"/>
  <c r="AN98" i="9"/>
  <c r="AF98" i="9"/>
  <c r="X98" i="9"/>
  <c r="R98" i="9"/>
  <c r="AM98" i="9"/>
  <c r="AE98" i="9"/>
  <c r="W98" i="9"/>
  <c r="AG98" i="9"/>
  <c r="AB98" i="9"/>
  <c r="AO98" i="9"/>
  <c r="Y98" i="9"/>
  <c r="AJ98" i="9"/>
  <c r="T98" i="9"/>
  <c r="AO55" i="9"/>
  <c r="AG55" i="9"/>
  <c r="Y55" i="9"/>
  <c r="AN55" i="9"/>
  <c r="AF55" i="9"/>
  <c r="X55" i="9"/>
  <c r="AI55" i="9"/>
  <c r="AA55" i="9"/>
  <c r="S55" i="9"/>
  <c r="AH55" i="9"/>
  <c r="Z55" i="9"/>
  <c r="R55" i="9"/>
  <c r="AB55" i="9"/>
  <c r="AM55" i="9"/>
  <c r="W55" i="9"/>
  <c r="AJ55" i="9"/>
  <c r="T55" i="9"/>
  <c r="AE55" i="9"/>
  <c r="AB111" i="9"/>
  <c r="AM111" i="9"/>
  <c r="W111" i="9"/>
  <c r="AJ111" i="9"/>
  <c r="T111" i="9"/>
  <c r="AE111" i="9"/>
  <c r="AO104" i="9"/>
  <c r="AG104" i="9"/>
  <c r="Y104" i="9"/>
  <c r="AN104" i="9"/>
  <c r="AF104" i="9"/>
  <c r="X104" i="9"/>
  <c r="AI104" i="9"/>
  <c r="AA104" i="9"/>
  <c r="S104" i="9"/>
  <c r="AH104" i="9"/>
  <c r="Z104" i="9"/>
  <c r="R104" i="9"/>
  <c r="AB104" i="9"/>
  <c r="AM104" i="9"/>
  <c r="W104" i="9"/>
  <c r="AL104" i="9"/>
  <c r="V104" i="9"/>
  <c r="AJ104" i="9"/>
  <c r="T104" i="9"/>
  <c r="AE104" i="9"/>
  <c r="AE118" i="9"/>
  <c r="AM118" i="9"/>
  <c r="W118" i="9"/>
  <c r="AL118" i="9"/>
  <c r="T118" i="9"/>
  <c r="AK118" i="9"/>
  <c r="AJ118" i="9"/>
  <c r="AC118" i="9"/>
  <c r="AB118" i="9"/>
  <c r="AM70" i="9"/>
  <c r="W70" i="9"/>
  <c r="AB112" i="9"/>
  <c r="U40" i="9"/>
  <c r="AC103" i="9"/>
  <c r="AK111" i="9"/>
  <c r="AC87" i="9"/>
  <c r="AO111" i="9"/>
  <c r="U34" i="9"/>
  <c r="AM44" i="9"/>
  <c r="Y75" i="9"/>
  <c r="T106" i="9"/>
  <c r="AL116" i="9"/>
  <c r="AD54" i="9"/>
  <c r="AL55" i="9"/>
  <c r="V89" i="9"/>
  <c r="AL111" i="9"/>
  <c r="AD87" i="9"/>
  <c r="V109" i="9"/>
  <c r="AK78" i="9"/>
  <c r="AO87" i="9"/>
  <c r="AG15" i="9"/>
  <c r="W64" i="9"/>
  <c r="AF75" i="9"/>
  <c r="AA106" i="9"/>
  <c r="U4" i="9"/>
  <c r="U70" i="9"/>
  <c r="AK103" i="9"/>
  <c r="AC71" i="9"/>
  <c r="U118" i="9"/>
  <c r="R34" i="9"/>
  <c r="AH15" i="9"/>
  <c r="T33" i="9"/>
  <c r="AC34" i="9"/>
  <c r="AL43" i="9"/>
  <c r="AG75" i="9"/>
  <c r="S98" i="9"/>
  <c r="AB106" i="9"/>
  <c r="V4" i="9"/>
  <c r="AD40" i="9"/>
  <c r="V70" i="9"/>
  <c r="AD89" i="9"/>
  <c r="V51" i="9"/>
  <c r="AD71" i="9"/>
  <c r="AK109" i="9"/>
  <c r="V118" i="9"/>
  <c r="AL32" i="9"/>
  <c r="AD32" i="9"/>
  <c r="V32" i="9"/>
  <c r="AK32" i="9"/>
  <c r="AC32" i="9"/>
  <c r="U32" i="9"/>
  <c r="AN32" i="9"/>
  <c r="AF32" i="9"/>
  <c r="X32" i="9"/>
  <c r="R32" i="9"/>
  <c r="AM32" i="9"/>
  <c r="AE32" i="9"/>
  <c r="W32" i="9"/>
  <c r="AO32" i="9"/>
  <c r="Y32" i="9"/>
  <c r="AJ32" i="9"/>
  <c r="T32" i="9"/>
  <c r="AG32" i="9"/>
  <c r="AB32" i="9"/>
  <c r="AL64" i="9"/>
  <c r="V64" i="9"/>
  <c r="AG64" i="9"/>
  <c r="AD64" i="9"/>
  <c r="AO64" i="9"/>
  <c r="Y64" i="9"/>
  <c r="AI112" i="9"/>
  <c r="S112" i="9"/>
  <c r="AD112" i="9"/>
  <c r="AA112" i="9"/>
  <c r="AL112" i="9"/>
  <c r="V112" i="9"/>
  <c r="AJ54" i="9"/>
  <c r="T54" i="9"/>
  <c r="AE54" i="9"/>
  <c r="AB54" i="9"/>
  <c r="AM54" i="9"/>
  <c r="W54" i="9"/>
  <c r="AJ103" i="9"/>
  <c r="T103" i="9"/>
  <c r="AE103" i="9"/>
  <c r="AB103" i="9"/>
  <c r="AM103" i="9"/>
  <c r="W103" i="9"/>
  <c r="AJ87" i="9"/>
  <c r="T87" i="9"/>
  <c r="AE87" i="9"/>
  <c r="AB87" i="9"/>
  <c r="AM87" i="9"/>
  <c r="W87" i="9"/>
  <c r="AB110" i="9"/>
  <c r="V110" i="9"/>
  <c r="AM110" i="9"/>
  <c r="W110" i="9"/>
  <c r="AJ110" i="9"/>
  <c r="T110" i="9"/>
  <c r="AE110" i="9"/>
  <c r="Y15" i="9"/>
  <c r="T34" i="9"/>
  <c r="AC43" i="9"/>
  <c r="AL44" i="9"/>
  <c r="AG78" i="9"/>
  <c r="S106" i="9"/>
  <c r="AK116" i="9"/>
  <c r="AC54" i="9"/>
  <c r="AO116" i="9"/>
  <c r="AO118" i="9"/>
  <c r="Z15" i="9"/>
  <c r="AI32" i="9"/>
  <c r="AD43" i="9"/>
  <c r="AH78" i="9"/>
  <c r="AC112" i="9"/>
  <c r="V40" i="9"/>
  <c r="AD103" i="9"/>
  <c r="V71" i="9"/>
  <c r="AL110" i="9"/>
  <c r="AN34" i="9"/>
  <c r="AO54" i="9"/>
  <c r="S33" i="9"/>
  <c r="AB34" i="9"/>
  <c r="AK43" i="9"/>
  <c r="AO78" i="9"/>
  <c r="AJ112" i="9"/>
  <c r="AK54" i="9"/>
  <c r="AC89" i="9"/>
  <c r="U51" i="9"/>
  <c r="AK87" i="9"/>
  <c r="AC109" i="9"/>
  <c r="AI64" i="9"/>
  <c r="AO103" i="9"/>
  <c r="AJ75" i="9"/>
  <c r="R43" i="9"/>
  <c r="AO15" i="9"/>
  <c r="AA33" i="9"/>
  <c r="AJ34" i="9"/>
  <c r="V44" i="9"/>
  <c r="AE64" i="9"/>
  <c r="AN75" i="9"/>
  <c r="Z98" i="9"/>
  <c r="AI106" i="9"/>
  <c r="U116" i="9"/>
  <c r="AC4" i="9"/>
  <c r="AK40" i="9"/>
  <c r="U55" i="9"/>
  <c r="AC70" i="9"/>
  <c r="AK89" i="9"/>
  <c r="U111" i="9"/>
  <c r="AC51" i="9"/>
  <c r="AK71" i="9"/>
  <c r="U104" i="9"/>
  <c r="AL109" i="9"/>
  <c r="AD118" i="9"/>
  <c r="AK15" i="9"/>
  <c r="AN112" i="9"/>
  <c r="AO110" i="9"/>
  <c r="U44" i="9"/>
  <c r="AB4" i="9"/>
  <c r="T89" i="9"/>
  <c r="AB51" i="9"/>
  <c r="AH44" i="9"/>
  <c r="Z44" i="9"/>
  <c r="AO44" i="9"/>
  <c r="AG44" i="9"/>
  <c r="Y44" i="9"/>
  <c r="AJ44" i="9"/>
  <c r="AB44" i="9"/>
  <c r="T44" i="9"/>
  <c r="AI44" i="9"/>
  <c r="AA44" i="9"/>
  <c r="S44" i="9"/>
  <c r="AM106" i="9"/>
  <c r="AE106" i="9"/>
  <c r="W106" i="9"/>
  <c r="AL106" i="9"/>
  <c r="AD106" i="9"/>
  <c r="V106" i="9"/>
  <c r="AO106" i="9"/>
  <c r="AG106" i="9"/>
  <c r="Y106" i="9"/>
  <c r="AN106" i="9"/>
  <c r="AF106" i="9"/>
  <c r="X106" i="9"/>
  <c r="AO89" i="9"/>
  <c r="AG89" i="9"/>
  <c r="Y89" i="9"/>
  <c r="AN89" i="9"/>
  <c r="AF89" i="9"/>
  <c r="X89" i="9"/>
  <c r="AI89" i="9"/>
  <c r="AA89" i="9"/>
  <c r="S89" i="9"/>
  <c r="AH89" i="9"/>
  <c r="Z89" i="9"/>
  <c r="R89" i="9"/>
  <c r="AO70" i="9"/>
  <c r="AG70" i="9"/>
  <c r="Y70" i="9"/>
  <c r="AN70" i="9"/>
  <c r="AF70" i="9"/>
  <c r="X70" i="9"/>
  <c r="AI70" i="9"/>
  <c r="AA70" i="9"/>
  <c r="S70" i="9"/>
  <c r="AH70" i="9"/>
  <c r="Z70" i="9"/>
  <c r="R70" i="9"/>
  <c r="R44" i="9"/>
  <c r="X44" i="9"/>
  <c r="AN44" i="9"/>
  <c r="U106" i="9"/>
  <c r="AK106" i="9"/>
  <c r="AE70" i="9"/>
  <c r="W89" i="9"/>
  <c r="AM89" i="9"/>
  <c r="AO4" i="9"/>
  <c r="AG4" i="9"/>
  <c r="Y4" i="9"/>
  <c r="AN4" i="9"/>
  <c r="AF4" i="9"/>
  <c r="X4" i="9"/>
  <c r="AI4" i="9"/>
  <c r="AA4" i="9"/>
  <c r="S4" i="9"/>
  <c r="AH4" i="9"/>
  <c r="Z4" i="9"/>
  <c r="R4" i="9"/>
  <c r="AO51" i="9"/>
  <c r="AG51" i="9"/>
  <c r="Y51" i="9"/>
  <c r="AN51" i="9"/>
  <c r="AF51" i="9"/>
  <c r="X51" i="9"/>
  <c r="AI51" i="9"/>
  <c r="AA51" i="9"/>
  <c r="S51" i="9"/>
  <c r="AH51" i="9"/>
  <c r="Z51" i="9"/>
  <c r="R51" i="9"/>
  <c r="R106" i="9"/>
  <c r="AC44" i="9"/>
  <c r="Z106" i="9"/>
  <c r="T4" i="9"/>
  <c r="AJ4" i="9"/>
  <c r="T70" i="9"/>
  <c r="AJ70" i="9"/>
  <c r="AB89" i="9"/>
  <c r="T51" i="9"/>
  <c r="AJ51" i="9"/>
  <c r="R15" i="9"/>
  <c r="R78" i="9"/>
  <c r="V15" i="9"/>
  <c r="AD15" i="9"/>
  <c r="AL15" i="9"/>
  <c r="Y34" i="9"/>
  <c r="AG34" i="9"/>
  <c r="AO34" i="9"/>
  <c r="T64" i="9"/>
  <c r="AB64" i="9"/>
  <c r="AJ64" i="9"/>
  <c r="AC75" i="9"/>
  <c r="AK75" i="9"/>
  <c r="V78" i="9"/>
  <c r="AD78" i="9"/>
  <c r="AL78" i="9"/>
  <c r="Y112" i="9"/>
  <c r="AG112" i="9"/>
  <c r="AO112" i="9"/>
  <c r="Z116" i="9"/>
  <c r="AH116" i="9"/>
  <c r="R54" i="9"/>
  <c r="Z54" i="9"/>
  <c r="AH54" i="9"/>
  <c r="R103" i="9"/>
  <c r="Z103" i="9"/>
  <c r="AH103" i="9"/>
  <c r="R111" i="9"/>
  <c r="Z111" i="9"/>
  <c r="AH111" i="9"/>
  <c r="R87" i="9"/>
  <c r="Z87" i="9"/>
  <c r="AH87" i="9"/>
  <c r="R110" i="9"/>
  <c r="Z110" i="9"/>
  <c r="AH110" i="9"/>
  <c r="R118" i="9"/>
  <c r="Z118" i="9"/>
  <c r="AH118" i="9"/>
  <c r="W15" i="9"/>
  <c r="AE15" i="9"/>
  <c r="AM15" i="9"/>
  <c r="Z34" i="9"/>
  <c r="AH34" i="9"/>
  <c r="U64" i="9"/>
  <c r="AC64" i="9"/>
  <c r="AK64" i="9"/>
  <c r="V75" i="9"/>
  <c r="AD75" i="9"/>
  <c r="AL75" i="9"/>
  <c r="W78" i="9"/>
  <c r="AE78" i="9"/>
  <c r="AM78" i="9"/>
  <c r="Z112" i="9"/>
  <c r="AH112" i="9"/>
  <c r="S116" i="9"/>
  <c r="AA116" i="9"/>
  <c r="AI116" i="9"/>
  <c r="S54" i="9"/>
  <c r="AA54" i="9"/>
  <c r="AI54" i="9"/>
  <c r="S103" i="9"/>
  <c r="AA103" i="9"/>
  <c r="AI103" i="9"/>
  <c r="S111" i="9"/>
  <c r="AA111" i="9"/>
  <c r="AI111" i="9"/>
  <c r="S87" i="9"/>
  <c r="AA87" i="9"/>
  <c r="AI87" i="9"/>
  <c r="S110" i="9"/>
  <c r="AA110" i="9"/>
  <c r="AI110" i="9"/>
  <c r="S118" i="9"/>
  <c r="AA118" i="9"/>
  <c r="AI118" i="9"/>
  <c r="R64" i="9"/>
  <c r="T15" i="9"/>
  <c r="AB15" i="9"/>
  <c r="AJ15" i="9"/>
  <c r="W34" i="9"/>
  <c r="AE34" i="9"/>
  <c r="AM34" i="9"/>
  <c r="Z64" i="9"/>
  <c r="AH64" i="9"/>
  <c r="S75" i="9"/>
  <c r="AA75" i="9"/>
  <c r="AI75" i="9"/>
  <c r="T78" i="9"/>
  <c r="AB78" i="9"/>
  <c r="AJ78" i="9"/>
  <c r="W112" i="9"/>
  <c r="AE112" i="9"/>
  <c r="AM112" i="9"/>
  <c r="X116" i="9"/>
  <c r="AF116" i="9"/>
  <c r="AN116" i="9"/>
  <c r="X54" i="9"/>
  <c r="AF54" i="9"/>
  <c r="AN54" i="9"/>
  <c r="X103" i="9"/>
  <c r="AF103" i="9"/>
  <c r="AN103" i="9"/>
  <c r="X111" i="9"/>
  <c r="AF111" i="9"/>
  <c r="AN111" i="9"/>
  <c r="X87" i="9"/>
  <c r="AF87" i="9"/>
  <c r="AN87" i="9"/>
  <c r="X110" i="9"/>
  <c r="AF110" i="9"/>
  <c r="AN110" i="9"/>
  <c r="X118" i="9"/>
  <c r="AF118" i="9"/>
  <c r="AN118" i="9"/>
  <c r="R75" i="9"/>
  <c r="U15" i="9"/>
  <c r="AC15" i="9"/>
  <c r="X34" i="9"/>
  <c r="AF34" i="9"/>
  <c r="S64" i="9"/>
  <c r="AA64" i="9"/>
  <c r="T75" i="9"/>
  <c r="AB75" i="9"/>
  <c r="U78" i="9"/>
  <c r="AC78" i="9"/>
  <c r="X112" i="9"/>
  <c r="AF112" i="9"/>
  <c r="Y116" i="9"/>
  <c r="AG116" i="9"/>
  <c r="Y54" i="9"/>
  <c r="AG54" i="9"/>
  <c r="Y103" i="9"/>
  <c r="AG103" i="9"/>
  <c r="Y111" i="9"/>
  <c r="AG111" i="9"/>
  <c r="Y87" i="9"/>
  <c r="AG87" i="9"/>
  <c r="Y110" i="9"/>
  <c r="AG110" i="9"/>
  <c r="Y118" i="9"/>
  <c r="AG118" i="9"/>
  <c r="CL7" i="22" l="1"/>
  <c r="CL6" i="22"/>
  <c r="CL3" i="22"/>
  <c r="CL8" i="22"/>
  <c r="CL5" i="22"/>
  <c r="CL9" i="22"/>
  <c r="CL4" i="22"/>
  <c r="CL2" i="22"/>
  <c r="CL10" i="22"/>
  <c r="CQ2" i="22"/>
  <c r="CQ5" i="22"/>
  <c r="CQ6" i="22"/>
  <c r="CQ9" i="22"/>
  <c r="CQ4" i="22"/>
  <c r="CQ10" i="22"/>
  <c r="CQ8" i="22"/>
  <c r="CQ3" i="22"/>
  <c r="CQ7" i="22"/>
  <c r="CP3" i="22"/>
  <c r="CP7" i="22"/>
  <c r="CP2" i="22"/>
  <c r="CP10" i="22"/>
  <c r="CP6" i="22"/>
  <c r="CO10" i="22"/>
  <c r="CO6" i="22"/>
  <c r="CO8" i="22"/>
  <c r="CO4" i="22"/>
  <c r="CO7" i="22"/>
  <c r="CO2" i="22"/>
  <c r="CO3" i="22"/>
  <c r="CO5" i="22"/>
  <c r="CO9" i="22"/>
  <c r="CN7" i="22"/>
  <c r="CN6" i="22"/>
  <c r="CN2" i="22"/>
  <c r="CN5" i="22"/>
  <c r="CN4" i="22"/>
  <c r="CN3" i="22"/>
  <c r="CN10" i="22"/>
  <c r="CN8" i="22"/>
  <c r="CN9" i="22"/>
  <c r="CM2" i="22"/>
  <c r="CM7" i="22"/>
  <c r="CM9" i="22"/>
  <c r="CM4" i="22"/>
  <c r="CM5" i="22"/>
  <c r="CM8" i="22"/>
  <c r="CM3" i="22"/>
  <c r="CM10" i="22"/>
  <c r="CM6" i="22"/>
  <c r="CK2" i="22"/>
  <c r="CK5" i="22"/>
  <c r="CK7" i="22"/>
  <c r="CK9" i="22"/>
  <c r="CK6" i="22"/>
  <c r="CJ5" i="22"/>
  <c r="CJ6" i="22"/>
  <c r="CJ9" i="22"/>
  <c r="CJ2" i="22"/>
  <c r="CJ10" i="22"/>
  <c r="CJ7" i="22"/>
  <c r="CJ8" i="22"/>
  <c r="CJ4" i="22"/>
  <c r="CJ3" i="22"/>
  <c r="CI2" i="22"/>
  <c r="CI3" i="22"/>
  <c r="CI8" i="22"/>
  <c r="CI9" i="22"/>
  <c r="CI5" i="22"/>
  <c r="CI4" i="22"/>
  <c r="CI10" i="22"/>
  <c r="CI7" i="22"/>
  <c r="AJ29" i="10" s="1"/>
  <c r="CI6" i="22"/>
  <c r="CH4" i="22"/>
  <c r="CH10" i="22"/>
  <c r="CH8" i="22"/>
  <c r="CH7" i="22"/>
  <c r="CH5" i="22"/>
  <c r="CH9" i="22"/>
  <c r="CH2" i="22"/>
  <c r="AJ28" i="10" s="1"/>
  <c r="CH3" i="22"/>
  <c r="CH6" i="22"/>
  <c r="CG3" i="22"/>
  <c r="CG4" i="22"/>
  <c r="CG2" i="22"/>
  <c r="CG10" i="22"/>
  <c r="CG6" i="22"/>
  <c r="CG5" i="22"/>
  <c r="CG8" i="22"/>
  <c r="CG7" i="22"/>
  <c r="CG9" i="22"/>
  <c r="BG11" i="22"/>
  <c r="AJ24" i="10"/>
  <c r="AJ16" i="10"/>
  <c r="AJ17" i="10"/>
  <c r="AJ42" i="10"/>
  <c r="AJ7" i="10"/>
  <c r="AJ41" i="10"/>
  <c r="AJ8" i="10"/>
  <c r="AJ25" i="10"/>
  <c r="AJ18" i="10"/>
  <c r="AJ9" i="10"/>
  <c r="AJ40" i="10"/>
  <c r="AJ26" i="10"/>
  <c r="AJ4" i="10"/>
  <c r="AJ5" i="10"/>
  <c r="AJ38" i="10"/>
  <c r="AJ2" i="10"/>
  <c r="AJ12" i="10"/>
  <c r="AJ14" i="10"/>
  <c r="AJ10" i="10"/>
  <c r="AJ11" i="10"/>
  <c r="AJ21" i="10"/>
  <c r="AJ22" i="10"/>
  <c r="AJ6" i="10"/>
  <c r="AJ3" i="10"/>
  <c r="AJ23" i="10"/>
  <c r="AJ19" i="10"/>
  <c r="AJ20" i="10"/>
  <c r="AJ13" i="10"/>
  <c r="AJ39" i="10"/>
  <c r="H2" i="22"/>
  <c r="A2" i="22" s="1"/>
  <c r="A3" i="22" s="1"/>
  <c r="A4" i="22" s="1"/>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BG9" i="22"/>
  <c r="BG3" i="22"/>
  <c r="BG10" i="22"/>
  <c r="BG5" i="22"/>
  <c r="BG8" i="22"/>
  <c r="BG6" i="22"/>
  <c r="BG7" i="22"/>
  <c r="BG4" i="22"/>
  <c r="Q43" i="2"/>
  <c r="BM12" i="2"/>
  <c r="BM11" i="2"/>
  <c r="BM10" i="2"/>
  <c r="BM9" i="2"/>
  <c r="BM8" i="2"/>
  <c r="BM7" i="2"/>
  <c r="BM6" i="2"/>
  <c r="BM5" i="2"/>
  <c r="BM4" i="2"/>
  <c r="E23" i="2"/>
  <c r="E29" i="2"/>
  <c r="BP40" i="2"/>
  <c r="AJ31" i="10" l="1"/>
  <c r="I782" i="10" s="1"/>
  <c r="AJ37" i="10"/>
  <c r="AJ27" i="10"/>
  <c r="I785" i="10" s="1"/>
  <c r="AJ30" i="10"/>
  <c r="AJ34" i="10"/>
  <c r="AJ33" i="10"/>
  <c r="I822" i="10" s="1"/>
  <c r="AJ35" i="10"/>
  <c r="AJ32" i="10"/>
  <c r="AJ36" i="10"/>
  <c r="A308" i="22"/>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B4" i="23" s="1"/>
  <c r="I616" i="10"/>
  <c r="I612" i="10"/>
  <c r="I620" i="10"/>
  <c r="I621" i="10"/>
  <c r="I619" i="10"/>
  <c r="I615" i="10"/>
  <c r="I618" i="10"/>
  <c r="I614" i="10"/>
  <c r="I613" i="10"/>
  <c r="I617" i="10"/>
  <c r="I674" i="10"/>
  <c r="I678" i="10"/>
  <c r="I679" i="10"/>
  <c r="I673" i="10"/>
  <c r="I677" i="10"/>
  <c r="I675" i="10"/>
  <c r="I681" i="10"/>
  <c r="I680" i="10"/>
  <c r="I672" i="10"/>
  <c r="I676" i="10"/>
  <c r="I710" i="10"/>
  <c r="I716" i="10"/>
  <c r="I711" i="10"/>
  <c r="I709" i="10"/>
  <c r="I713" i="10"/>
  <c r="I717" i="10"/>
  <c r="I712" i="10"/>
  <c r="I708" i="10"/>
  <c r="I714" i="10"/>
  <c r="I715" i="10"/>
  <c r="U33" i="2"/>
  <c r="GR27" i="4"/>
  <c r="GR23" i="4"/>
  <c r="GR19" i="4"/>
  <c r="GR15" i="4"/>
  <c r="GR11" i="4"/>
  <c r="GR7" i="4"/>
  <c r="GR28" i="4"/>
  <c r="GR24" i="4"/>
  <c r="GR20" i="4"/>
  <c r="GR16" i="4"/>
  <c r="GR12" i="4"/>
  <c r="GR8" i="4"/>
  <c r="GR29" i="4"/>
  <c r="GR25" i="4"/>
  <c r="GR21" i="4"/>
  <c r="GR17" i="4"/>
  <c r="GR13" i="4"/>
  <c r="GR9" i="4"/>
  <c r="GR30" i="4"/>
  <c r="GR26" i="4"/>
  <c r="GR22" i="4"/>
  <c r="GR18" i="4"/>
  <c r="GR14" i="4"/>
  <c r="GR10" i="4"/>
  <c r="U29" i="2"/>
  <c r="GN29" i="4"/>
  <c r="GN25" i="4"/>
  <c r="GN21" i="4"/>
  <c r="GN17" i="4"/>
  <c r="GN13" i="4"/>
  <c r="GN9" i="4"/>
  <c r="GN30" i="4"/>
  <c r="GN26" i="4"/>
  <c r="GN22" i="4"/>
  <c r="GN18" i="4"/>
  <c r="GN14" i="4"/>
  <c r="GN10" i="4"/>
  <c r="GN27" i="4"/>
  <c r="GN23" i="4"/>
  <c r="GN19" i="4"/>
  <c r="GN15" i="4"/>
  <c r="GN11" i="4"/>
  <c r="GN7" i="4"/>
  <c r="GN28" i="4"/>
  <c r="GN24" i="4"/>
  <c r="GN20" i="4"/>
  <c r="GN16" i="4"/>
  <c r="GN12" i="4"/>
  <c r="GN8" i="4"/>
  <c r="U32" i="2"/>
  <c r="GQ8" i="4"/>
  <c r="GQ27" i="4"/>
  <c r="GQ23" i="4"/>
  <c r="GQ19" i="4"/>
  <c r="GQ15" i="4"/>
  <c r="GQ11" i="4"/>
  <c r="GQ7" i="4"/>
  <c r="GQ24" i="4"/>
  <c r="GQ22" i="4"/>
  <c r="GQ14" i="4"/>
  <c r="GQ28" i="4"/>
  <c r="GQ20" i="4"/>
  <c r="GQ16" i="4"/>
  <c r="GQ12" i="4"/>
  <c r="GQ30" i="4"/>
  <c r="GQ26" i="4"/>
  <c r="GQ18" i="4"/>
  <c r="GQ10" i="4"/>
  <c r="GQ29" i="4"/>
  <c r="GQ25" i="4"/>
  <c r="GQ21" i="4"/>
  <c r="GQ17" i="4"/>
  <c r="GQ13" i="4"/>
  <c r="GQ9" i="4"/>
  <c r="U30" i="2"/>
  <c r="GO15" i="4"/>
  <c r="GO11" i="4"/>
  <c r="GO21" i="4"/>
  <c r="GO30" i="4"/>
  <c r="GO26" i="4"/>
  <c r="GO22" i="4"/>
  <c r="GO18" i="4"/>
  <c r="GO14" i="4"/>
  <c r="GO10" i="4"/>
  <c r="GO7" i="4"/>
  <c r="GO29" i="4"/>
  <c r="GO25" i="4"/>
  <c r="GO17" i="4"/>
  <c r="GO9" i="4"/>
  <c r="GO27" i="4"/>
  <c r="GO23" i="4"/>
  <c r="GO19" i="4"/>
  <c r="GO28" i="4"/>
  <c r="GO24" i="4"/>
  <c r="GO20" i="4"/>
  <c r="GO16" i="4"/>
  <c r="GO12" i="4"/>
  <c r="GO8" i="4"/>
  <c r="GO13" i="4"/>
  <c r="GM22" i="4"/>
  <c r="GM12" i="4"/>
  <c r="GM29" i="4"/>
  <c r="GM25" i="4"/>
  <c r="GM21" i="4"/>
  <c r="GM17" i="4"/>
  <c r="GM13" i="4"/>
  <c r="GM9" i="4"/>
  <c r="GM18" i="4"/>
  <c r="GM14" i="4"/>
  <c r="GM30" i="4"/>
  <c r="GM26" i="4"/>
  <c r="GM10" i="4"/>
  <c r="GM24" i="4"/>
  <c r="GM16" i="4"/>
  <c r="GM27" i="4"/>
  <c r="GM23" i="4"/>
  <c r="GM19" i="4"/>
  <c r="GM15" i="4"/>
  <c r="GM11" i="4"/>
  <c r="GM7" i="4"/>
  <c r="GM28" i="4"/>
  <c r="GM20" i="4"/>
  <c r="GM8" i="4"/>
  <c r="U31" i="2"/>
  <c r="GP30" i="4"/>
  <c r="GP26" i="4"/>
  <c r="GP22" i="4"/>
  <c r="GP18" i="4"/>
  <c r="GP14" i="4"/>
  <c r="GP10" i="4"/>
  <c r="GP27" i="4"/>
  <c r="GP23" i="4"/>
  <c r="GP19" i="4"/>
  <c r="GP15" i="4"/>
  <c r="GP11" i="4"/>
  <c r="GP7" i="4"/>
  <c r="GP28" i="4"/>
  <c r="GP24" i="4"/>
  <c r="GP20" i="4"/>
  <c r="GP16" i="4"/>
  <c r="GP12" i="4"/>
  <c r="GP8" i="4"/>
  <c r="GP29" i="4"/>
  <c r="GP25" i="4"/>
  <c r="GP21" i="4"/>
  <c r="GP17" i="4"/>
  <c r="GP13" i="4"/>
  <c r="GP9" i="4"/>
  <c r="AH14" i="2"/>
  <c r="AH7" i="2"/>
  <c r="AH15" i="2"/>
  <c r="AH23" i="2"/>
  <c r="AH8" i="2"/>
  <c r="AH16" i="2"/>
  <c r="AH24" i="2"/>
  <c r="AH32" i="2"/>
  <c r="AH9" i="2"/>
  <c r="AH17" i="2"/>
  <c r="AH25" i="2"/>
  <c r="AH33" i="2"/>
  <c r="AH10" i="2"/>
  <c r="AH18" i="2"/>
  <c r="AH26" i="2"/>
  <c r="AH11" i="2"/>
  <c r="AH19" i="2"/>
  <c r="AH27" i="2"/>
  <c r="AH4" i="2"/>
  <c r="AH12" i="2"/>
  <c r="AH20" i="2"/>
  <c r="AH28" i="2"/>
  <c r="AH5" i="2"/>
  <c r="AH13" i="2"/>
  <c r="AH21" i="2"/>
  <c r="AH29" i="2"/>
  <c r="AH22" i="2"/>
  <c r="AH6" i="2"/>
  <c r="AH30" i="2"/>
  <c r="AH31" i="2"/>
  <c r="I826" i="10" l="1"/>
  <c r="GL30" i="4"/>
  <c r="GL29" i="4"/>
  <c r="GL22" i="4"/>
  <c r="GL12" i="4"/>
  <c r="GL8" i="4"/>
  <c r="GL27" i="4"/>
  <c r="GL9" i="4"/>
  <c r="GL15" i="4"/>
  <c r="GL14" i="4"/>
  <c r="GL23" i="4"/>
  <c r="GL20" i="4"/>
  <c r="GL13" i="4"/>
  <c r="GL28" i="4"/>
  <c r="GL24" i="4"/>
  <c r="GL17" i="4"/>
  <c r="GL19" i="4"/>
  <c r="GL18" i="4"/>
  <c r="GL7" i="4"/>
  <c r="GL10" i="4"/>
  <c r="GL21" i="4"/>
  <c r="GL16" i="4"/>
  <c r="GL11" i="4"/>
  <c r="GL26" i="4"/>
  <c r="GL25" i="4"/>
  <c r="K8" i="4"/>
  <c r="EN50" i="4" l="1"/>
  <c r="EM50" i="4"/>
  <c r="EL50" i="4"/>
  <c r="EK50" i="4"/>
  <c r="EJ50" i="4"/>
  <c r="EI50" i="4"/>
  <c r="EH50" i="4"/>
  <c r="EG50" i="4"/>
  <c r="EF50" i="4"/>
  <c r="EE50" i="4"/>
  <c r="ED50" i="4"/>
  <c r="ED46" i="4"/>
  <c r="EN40" i="4"/>
  <c r="EM40" i="4"/>
  <c r="EL40" i="4"/>
  <c r="EK40" i="4"/>
  <c r="EJ40" i="4"/>
  <c r="EI40" i="4"/>
  <c r="EH40" i="4"/>
  <c r="EG40" i="4"/>
  <c r="EF40" i="4"/>
  <c r="EN44" i="4"/>
  <c r="EM44" i="4"/>
  <c r="EL44" i="4"/>
  <c r="EK44" i="4"/>
  <c r="EJ44" i="4"/>
  <c r="EI44" i="4"/>
  <c r="EH44" i="4"/>
  <c r="EG44" i="4"/>
  <c r="EF44" i="4"/>
  <c r="EE44" i="4"/>
  <c r="ED44" i="4"/>
  <c r="ED40" i="4"/>
  <c r="EN46" i="4"/>
  <c r="EM46" i="4"/>
  <c r="EL46" i="4"/>
  <c r="EK46" i="4"/>
  <c r="EJ46" i="4"/>
  <c r="EI46" i="4"/>
  <c r="EH46" i="4"/>
  <c r="EG46" i="4"/>
  <c r="EF46" i="4"/>
  <c r="EE46" i="4"/>
  <c r="EN42" i="4"/>
  <c r="EM42" i="4"/>
  <c r="EL42" i="4"/>
  <c r="EK42" i="4"/>
  <c r="EJ42" i="4"/>
  <c r="EI42" i="4"/>
  <c r="EH42" i="4"/>
  <c r="EG42" i="4"/>
  <c r="EF42" i="4"/>
  <c r="EE42" i="4"/>
  <c r="ED42" i="4"/>
  <c r="AE35" i="4"/>
  <c r="X38" i="4"/>
  <c r="W38" i="4"/>
  <c r="V38" i="4"/>
  <c r="U38" i="4"/>
  <c r="T38" i="4"/>
  <c r="X37" i="4"/>
  <c r="W37" i="4"/>
  <c r="V37" i="4"/>
  <c r="U37" i="4"/>
  <c r="T37" i="4"/>
  <c r="X36" i="4"/>
  <c r="W36" i="4"/>
  <c r="V36" i="4"/>
  <c r="U36" i="4"/>
  <c r="T36" i="4"/>
  <c r="X35" i="4"/>
  <c r="W35" i="4"/>
  <c r="V35" i="4"/>
  <c r="U35" i="4"/>
  <c r="T35" i="4"/>
  <c r="X34" i="4"/>
  <c r="W34" i="4"/>
  <c r="V34" i="4"/>
  <c r="U34" i="4"/>
  <c r="T34" i="4"/>
  <c r="X33" i="4"/>
  <c r="W33" i="4"/>
  <c r="V33" i="4"/>
  <c r="U33" i="4"/>
  <c r="T33" i="4"/>
  <c r="X32" i="4"/>
  <c r="W32" i="4"/>
  <c r="V32" i="4"/>
  <c r="U32" i="4"/>
  <c r="T32" i="4"/>
  <c r="X31" i="4"/>
  <c r="W31" i="4"/>
  <c r="V31" i="4"/>
  <c r="U31" i="4"/>
  <c r="T31" i="4"/>
  <c r="X30" i="4"/>
  <c r="W30" i="4"/>
  <c r="V30" i="4"/>
  <c r="U30" i="4"/>
  <c r="T30" i="4"/>
  <c r="X29" i="4"/>
  <c r="W29" i="4"/>
  <c r="V29" i="4"/>
  <c r="U29" i="4"/>
  <c r="T29" i="4"/>
  <c r="X28" i="4"/>
  <c r="W28" i="4"/>
  <c r="V28" i="4"/>
  <c r="U28" i="4"/>
  <c r="T28" i="4"/>
  <c r="X27" i="4"/>
  <c r="W27" i="4"/>
  <c r="V27" i="4"/>
  <c r="U27" i="4"/>
  <c r="T27" i="4"/>
  <c r="X26" i="4"/>
  <c r="W26" i="4"/>
  <c r="V26" i="4"/>
  <c r="U26" i="4"/>
  <c r="T26" i="4"/>
  <c r="X25" i="4"/>
  <c r="W25" i="4"/>
  <c r="V25" i="4"/>
  <c r="U25" i="4"/>
  <c r="T25" i="4"/>
  <c r="X24" i="4"/>
  <c r="W24" i="4"/>
  <c r="V24" i="4"/>
  <c r="U24" i="4"/>
  <c r="T24" i="4"/>
  <c r="X23" i="4"/>
  <c r="W23" i="4"/>
  <c r="V23" i="4"/>
  <c r="U23" i="4"/>
  <c r="T23" i="4"/>
  <c r="X22" i="4"/>
  <c r="W22" i="4"/>
  <c r="U22" i="4"/>
  <c r="T22" i="4"/>
  <c r="X21" i="4"/>
  <c r="W21" i="4"/>
  <c r="V21" i="4"/>
  <c r="U21" i="4"/>
  <c r="T21" i="4"/>
  <c r="X20" i="4"/>
  <c r="W20" i="4"/>
  <c r="V20" i="4"/>
  <c r="U20" i="4"/>
  <c r="T20" i="4"/>
  <c r="U19" i="4"/>
  <c r="T19" i="4"/>
  <c r="X18" i="4"/>
  <c r="W18" i="4"/>
  <c r="V18" i="4"/>
  <c r="U18" i="4"/>
  <c r="T18" i="4"/>
  <c r="X17" i="4"/>
  <c r="W17" i="4"/>
  <c r="V17" i="4"/>
  <c r="T17" i="4"/>
  <c r="X16" i="4"/>
  <c r="W16" i="4"/>
  <c r="V16" i="4"/>
  <c r="U16" i="4"/>
  <c r="T16" i="4"/>
  <c r="X15" i="4"/>
  <c r="W15" i="4"/>
  <c r="V15" i="4"/>
  <c r="U15" i="4"/>
  <c r="T15" i="4"/>
  <c r="X14" i="4"/>
  <c r="W14" i="4"/>
  <c r="V14" i="4"/>
  <c r="U14" i="4"/>
  <c r="T14" i="4"/>
  <c r="X13" i="4"/>
  <c r="W13" i="4"/>
  <c r="V13" i="4"/>
  <c r="U13" i="4"/>
  <c r="T13" i="4"/>
  <c r="X12" i="4"/>
  <c r="W12" i="4"/>
  <c r="V12" i="4"/>
  <c r="U12" i="4"/>
  <c r="T12" i="4"/>
  <c r="X11" i="4"/>
  <c r="W11" i="4"/>
  <c r="U11" i="4"/>
  <c r="T11" i="4"/>
  <c r="X10" i="4"/>
  <c r="W10" i="4"/>
  <c r="X9" i="4"/>
  <c r="W9" i="4"/>
  <c r="V9" i="4"/>
  <c r="U9" i="4"/>
  <c r="X7" i="4"/>
  <c r="W7" i="4"/>
  <c r="V7" i="4"/>
  <c r="U7" i="4"/>
  <c r="X6" i="4"/>
  <c r="W6" i="4"/>
  <c r="V6" i="4"/>
  <c r="U6" i="4"/>
  <c r="X5" i="4"/>
  <c r="W5" i="4"/>
  <c r="V5" i="4"/>
  <c r="U5" i="4"/>
  <c r="X4" i="4"/>
  <c r="W4" i="4"/>
  <c r="V4" i="4"/>
  <c r="U4" i="4"/>
  <c r="O24" i="4"/>
  <c r="N24" i="4"/>
  <c r="M24" i="4"/>
  <c r="L24" i="4"/>
  <c r="K24" i="4"/>
  <c r="J24" i="4"/>
  <c r="I24" i="4"/>
  <c r="H24" i="4"/>
  <c r="G24" i="4"/>
  <c r="F24" i="4"/>
  <c r="O23" i="4"/>
  <c r="N23" i="4"/>
  <c r="M23" i="4"/>
  <c r="L23" i="4"/>
  <c r="K23" i="4"/>
  <c r="J23" i="4"/>
  <c r="I23" i="4"/>
  <c r="H23" i="4"/>
  <c r="G23" i="4"/>
  <c r="F23" i="4"/>
  <c r="O22" i="4"/>
  <c r="N22" i="4"/>
  <c r="M22" i="4"/>
  <c r="L22" i="4"/>
  <c r="K22" i="4"/>
  <c r="J22" i="4"/>
  <c r="I22" i="4"/>
  <c r="H22" i="4"/>
  <c r="G22" i="4"/>
  <c r="F22" i="4"/>
  <c r="O21" i="4"/>
  <c r="N21" i="4"/>
  <c r="M21" i="4"/>
  <c r="L21" i="4"/>
  <c r="K21" i="4"/>
  <c r="J21" i="4"/>
  <c r="I21" i="4"/>
  <c r="H21" i="4"/>
  <c r="G21" i="4"/>
  <c r="F21" i="4"/>
  <c r="O20" i="4"/>
  <c r="N20" i="4"/>
  <c r="M20" i="4"/>
  <c r="L20" i="4"/>
  <c r="K20" i="4"/>
  <c r="J20" i="4"/>
  <c r="I20" i="4"/>
  <c r="H20" i="4"/>
  <c r="G20" i="4"/>
  <c r="F20" i="4"/>
  <c r="O19" i="4"/>
  <c r="N19" i="4"/>
  <c r="M19" i="4"/>
  <c r="L19" i="4"/>
  <c r="K19" i="4"/>
  <c r="J19" i="4"/>
  <c r="I19" i="4"/>
  <c r="H19" i="4"/>
  <c r="G19" i="4"/>
  <c r="F19" i="4"/>
  <c r="O18" i="4"/>
  <c r="N18" i="4"/>
  <c r="M18" i="4"/>
  <c r="L18" i="4"/>
  <c r="K18" i="4"/>
  <c r="J18" i="4"/>
  <c r="I18" i="4"/>
  <c r="H18" i="4"/>
  <c r="G18" i="4"/>
  <c r="F18" i="4"/>
  <c r="O17" i="4"/>
  <c r="N17" i="4"/>
  <c r="M17" i="4"/>
  <c r="L17" i="4"/>
  <c r="K17" i="4"/>
  <c r="J17" i="4"/>
  <c r="I17" i="4"/>
  <c r="H17" i="4"/>
  <c r="G17" i="4"/>
  <c r="F17" i="4"/>
  <c r="O16" i="4"/>
  <c r="N16" i="4"/>
  <c r="M16" i="4"/>
  <c r="L16" i="4"/>
  <c r="K16" i="4"/>
  <c r="J16" i="4"/>
  <c r="I16" i="4"/>
  <c r="H16" i="4"/>
  <c r="G16" i="4"/>
  <c r="F16" i="4"/>
  <c r="E24" i="4"/>
  <c r="E23" i="4"/>
  <c r="E22" i="4"/>
  <c r="E21" i="4"/>
  <c r="E20" i="4"/>
  <c r="E19" i="4"/>
  <c r="E18" i="4"/>
  <c r="E17" i="4"/>
  <c r="E16" i="4"/>
  <c r="O14" i="4"/>
  <c r="N14" i="4"/>
  <c r="M14" i="4"/>
  <c r="L14" i="4"/>
  <c r="K14" i="4"/>
  <c r="J14" i="4"/>
  <c r="I14" i="4"/>
  <c r="H14" i="4"/>
  <c r="G14" i="4"/>
  <c r="O13" i="4"/>
  <c r="N13" i="4"/>
  <c r="M13" i="4"/>
  <c r="L13" i="4"/>
  <c r="K13" i="4"/>
  <c r="J13" i="4"/>
  <c r="I13" i="4"/>
  <c r="H13" i="4"/>
  <c r="G13" i="4"/>
  <c r="O12" i="4"/>
  <c r="N12" i="4"/>
  <c r="M12" i="4"/>
  <c r="L12" i="4"/>
  <c r="K12" i="4"/>
  <c r="J12" i="4"/>
  <c r="I12" i="4"/>
  <c r="H12" i="4"/>
  <c r="G12" i="4"/>
  <c r="O11" i="4"/>
  <c r="N11" i="4"/>
  <c r="M11" i="4"/>
  <c r="L11" i="4"/>
  <c r="K11" i="4"/>
  <c r="J11" i="4"/>
  <c r="G11" i="4"/>
  <c r="O10" i="4"/>
  <c r="N10" i="4"/>
  <c r="M10" i="4"/>
  <c r="L10" i="4"/>
  <c r="K10" i="4"/>
  <c r="J10" i="4"/>
  <c r="I10" i="4"/>
  <c r="H10" i="4"/>
  <c r="G10" i="4"/>
  <c r="O9" i="4"/>
  <c r="N9" i="4"/>
  <c r="M9" i="4"/>
  <c r="L9" i="4"/>
  <c r="K9" i="4"/>
  <c r="J9" i="4"/>
  <c r="G9" i="4"/>
  <c r="O8" i="4"/>
  <c r="N8" i="4"/>
  <c r="M8" i="4"/>
  <c r="L8" i="4"/>
  <c r="J8" i="4"/>
  <c r="I8" i="4"/>
  <c r="H8" i="4"/>
  <c r="G8" i="4"/>
  <c r="O7" i="4"/>
  <c r="N7" i="4"/>
  <c r="M7" i="4"/>
  <c r="L7" i="4"/>
  <c r="K7" i="4"/>
  <c r="J7" i="4"/>
  <c r="I7" i="4"/>
  <c r="H7" i="4"/>
  <c r="G7" i="4"/>
  <c r="O6" i="4"/>
  <c r="N6" i="4"/>
  <c r="M6" i="4"/>
  <c r="L6" i="4"/>
  <c r="K6" i="4"/>
  <c r="J6" i="4"/>
  <c r="I6" i="4"/>
  <c r="H6" i="4"/>
  <c r="G6" i="4"/>
  <c r="F14" i="4"/>
  <c r="F13" i="4"/>
  <c r="F12" i="4"/>
  <c r="F11" i="4"/>
  <c r="F10" i="4"/>
  <c r="F9" i="4"/>
  <c r="F8" i="4"/>
  <c r="F6" i="4"/>
  <c r="F7" i="4"/>
  <c r="DY28" i="4"/>
  <c r="EE26" i="4"/>
  <c r="ED26" i="4"/>
  <c r="EC26" i="4"/>
  <c r="EB26" i="4"/>
  <c r="EA26" i="4"/>
  <c r="EN7" i="4"/>
  <c r="EM7" i="4"/>
  <c r="EL7" i="4"/>
  <c r="EK7" i="4"/>
  <c r="EN6" i="4"/>
  <c r="EM6" i="4"/>
  <c r="EL6" i="4"/>
  <c r="EK6" i="4"/>
  <c r="EN5" i="4"/>
  <c r="EM5" i="4"/>
  <c r="EL5" i="4"/>
  <c r="EK5" i="4"/>
  <c r="EN4" i="4"/>
  <c r="EM4" i="4"/>
  <c r="EL4" i="4"/>
  <c r="EK4" i="4"/>
  <c r="EA11" i="4"/>
  <c r="EE14" i="4"/>
  <c r="ED14" i="4"/>
  <c r="EC14" i="4"/>
  <c r="EB14" i="4"/>
  <c r="EA14" i="4"/>
  <c r="DZ14" i="4"/>
  <c r="DY14" i="4"/>
  <c r="DX14" i="4"/>
  <c r="DW14" i="4"/>
  <c r="DV14" i="4"/>
  <c r="EE13" i="4"/>
  <c r="ED13" i="4"/>
  <c r="EC13" i="4"/>
  <c r="EB13" i="4"/>
  <c r="EA13" i="4"/>
  <c r="DZ13" i="4"/>
  <c r="DY13" i="4"/>
  <c r="DX13" i="4"/>
  <c r="DW13" i="4"/>
  <c r="DV13" i="4"/>
  <c r="EE12" i="4"/>
  <c r="ED12" i="4"/>
  <c r="EC12" i="4"/>
  <c r="EB12" i="4"/>
  <c r="EA12" i="4"/>
  <c r="DZ12" i="4"/>
  <c r="DY12" i="4"/>
  <c r="DX12" i="4"/>
  <c r="DW12" i="4"/>
  <c r="DV12" i="4"/>
  <c r="EE11" i="4"/>
  <c r="ED11" i="4"/>
  <c r="EC11" i="4"/>
  <c r="EB11" i="4"/>
  <c r="DZ11" i="4"/>
  <c r="DY11" i="4"/>
  <c r="DX11" i="4"/>
  <c r="DW11" i="4"/>
  <c r="DV11" i="4"/>
  <c r="EE10" i="4"/>
  <c r="ED10" i="4"/>
  <c r="EC10" i="4"/>
  <c r="EB10" i="4"/>
  <c r="EA10" i="4"/>
  <c r="DZ10" i="4"/>
  <c r="DY10" i="4"/>
  <c r="DX10" i="4"/>
  <c r="DW10" i="4"/>
  <c r="DV10" i="4"/>
  <c r="EE9" i="4"/>
  <c r="ED9" i="4"/>
  <c r="EC9" i="4"/>
  <c r="EB9" i="4"/>
  <c r="EA9" i="4"/>
  <c r="DZ9" i="4"/>
  <c r="DY9" i="4"/>
  <c r="DX9" i="4"/>
  <c r="DW9" i="4"/>
  <c r="DV9" i="4"/>
  <c r="EE8" i="4"/>
  <c r="ED8" i="4"/>
  <c r="EC8" i="4"/>
  <c r="EB8" i="4"/>
  <c r="EA8" i="4"/>
  <c r="DZ8" i="4"/>
  <c r="DY8" i="4"/>
  <c r="DX8" i="4"/>
  <c r="DW8" i="4"/>
  <c r="DV8" i="4"/>
  <c r="EE7" i="4"/>
  <c r="ED7" i="4"/>
  <c r="EC7" i="4"/>
  <c r="EB7" i="4"/>
  <c r="EA7" i="4"/>
  <c r="DZ7" i="4"/>
  <c r="DY7" i="4"/>
  <c r="DX7" i="4"/>
  <c r="DW7" i="4"/>
  <c r="DV7" i="4"/>
  <c r="DX6" i="4"/>
  <c r="EE6" i="4"/>
  <c r="ED6" i="4"/>
  <c r="EC6" i="4"/>
  <c r="EB6" i="4"/>
  <c r="EA6" i="4"/>
  <c r="DZ6" i="4"/>
  <c r="DY6" i="4"/>
  <c r="DW6" i="4"/>
  <c r="DV6" i="4"/>
  <c r="EE4" i="4"/>
  <c r="ED4" i="4"/>
  <c r="EC4" i="4"/>
  <c r="EB4" i="4"/>
  <c r="EA4" i="4"/>
  <c r="DZ4" i="4"/>
  <c r="DY4" i="4"/>
  <c r="DX4" i="4"/>
  <c r="DW4" i="4"/>
  <c r="DV4" i="4"/>
  <c r="BO13" i="2"/>
  <c r="BY35" i="3" l="1"/>
  <c r="BY27" i="3"/>
  <c r="BW9" i="3"/>
  <c r="BY4" i="3"/>
  <c r="BW29" i="3"/>
  <c r="BW18" i="3"/>
  <c r="BY3" i="3"/>
  <c r="BW17" i="3"/>
  <c r="BW28" i="3"/>
  <c r="BW4" i="3"/>
  <c r="BW12" i="3"/>
  <c r="AC29" i="3"/>
  <c r="CQ34" i="4" s="1"/>
  <c r="AC5" i="3"/>
  <c r="CQ10" i="4" s="1"/>
  <c r="AC9" i="3"/>
  <c r="CR14" i="4" s="1"/>
  <c r="AC14" i="3"/>
  <c r="CO19" i="4" s="1"/>
  <c r="AC18" i="3"/>
  <c r="CN23" i="4" s="1"/>
  <c r="AC26" i="3"/>
  <c r="CP31" i="4" s="1"/>
  <c r="AC23" i="3"/>
  <c r="CO28" i="4" s="1"/>
  <c r="AC31" i="3"/>
  <c r="CQ36" i="4" s="1"/>
  <c r="AC13" i="3"/>
  <c r="CR18" i="4" s="1"/>
  <c r="AC33" i="3"/>
  <c r="CN38" i="4" s="1"/>
  <c r="AC4" i="3"/>
  <c r="CN9" i="4" s="1"/>
  <c r="AC17" i="3"/>
  <c r="CP22" i="4" s="1"/>
  <c r="AC22" i="3"/>
  <c r="CQ27" i="4" s="1"/>
  <c r="AC30" i="3"/>
  <c r="CR35" i="4" s="1"/>
  <c r="AC12" i="3"/>
  <c r="CO17" i="4" s="1"/>
  <c r="AC16" i="3"/>
  <c r="CP21" i="4" s="1"/>
  <c r="AC15" i="3"/>
  <c r="CP20" i="4" s="1"/>
  <c r="AC28" i="3"/>
  <c r="CP33" i="4" s="1"/>
  <c r="AC8" i="3"/>
  <c r="CP13" i="4" s="1"/>
  <c r="AC10" i="3"/>
  <c r="CP15" i="4" s="1"/>
  <c r="AC19" i="3"/>
  <c r="CP24" i="4" s="1"/>
  <c r="AC27" i="3"/>
  <c r="CR32" i="4" s="1"/>
  <c r="AC21" i="3"/>
  <c r="CR26" i="4" s="1"/>
  <c r="AC6" i="3"/>
  <c r="CP11" i="4" s="1"/>
  <c r="AC11" i="3"/>
  <c r="CO16" i="4" s="1"/>
  <c r="AC20" i="3"/>
  <c r="CN25" i="4" s="1"/>
  <c r="AC25" i="3"/>
  <c r="CO30" i="4" s="1"/>
  <c r="AC7" i="3"/>
  <c r="CO12" i="4" s="1"/>
  <c r="AC24" i="3"/>
  <c r="CQ29" i="4" s="1"/>
  <c r="AC32" i="3"/>
  <c r="CR37" i="4" s="1"/>
  <c r="Q33" i="3"/>
  <c r="Q32" i="3"/>
  <c r="BY25" i="3"/>
  <c r="BY14" i="3"/>
  <c r="BY33" i="3"/>
  <c r="BY38" i="3"/>
  <c r="BY34" i="3"/>
  <c r="BY15" i="3"/>
  <c r="BY26" i="3"/>
  <c r="BY37" i="3"/>
  <c r="BY36" i="3"/>
  <c r="BY28" i="3"/>
  <c r="BY13" i="3"/>
  <c r="BY32" i="3"/>
  <c r="BY24" i="3"/>
  <c r="BW37" i="3"/>
  <c r="BY23" i="3"/>
  <c r="BY12" i="3"/>
  <c r="BY31" i="3"/>
  <c r="BW36" i="3"/>
  <c r="BY22" i="3"/>
  <c r="BY11" i="3"/>
  <c r="BY10" i="3"/>
  <c r="BW35" i="3"/>
  <c r="BY21" i="3"/>
  <c r="BW34" i="3"/>
  <c r="BW23" i="3"/>
  <c r="BY20" i="3"/>
  <c r="BY9" i="3"/>
  <c r="BW33" i="3"/>
  <c r="BW22" i="3"/>
  <c r="BY19" i="3"/>
  <c r="BY8" i="3"/>
  <c r="BW21" i="3"/>
  <c r="BY30" i="3"/>
  <c r="BY7" i="3"/>
  <c r="BW32" i="3"/>
  <c r="BY18" i="3"/>
  <c r="BY17" i="3"/>
  <c r="BY6" i="3"/>
  <c r="BW31" i="3"/>
  <c r="BW20" i="3"/>
  <c r="BY5" i="3"/>
  <c r="BW19" i="3"/>
  <c r="BW30" i="3"/>
  <c r="BW10" i="3"/>
  <c r="BW27" i="3"/>
  <c r="BW8" i="3"/>
  <c r="BW16" i="3"/>
  <c r="BY2" i="3"/>
  <c r="BW15" i="3"/>
  <c r="BW26" i="3"/>
  <c r="BW7" i="3"/>
  <c r="BW6" i="3"/>
  <c r="BW25" i="3"/>
  <c r="BW14" i="3"/>
  <c r="BW13" i="3"/>
  <c r="BW5" i="3"/>
  <c r="BW3" i="3"/>
  <c r="BW2" i="3"/>
  <c r="E32" i="3"/>
  <c r="BZ13" i="4" s="1"/>
  <c r="E33" i="3"/>
  <c r="E27" i="3"/>
  <c r="BZ11" i="4" s="1"/>
  <c r="E21" i="3"/>
  <c r="BZ8" i="4" s="1"/>
  <c r="BM12" i="3"/>
  <c r="BY24" i="4" s="1"/>
  <c r="BM6" i="3"/>
  <c r="BY18" i="4" s="1"/>
  <c r="BM9" i="3"/>
  <c r="BY21" i="4" s="1"/>
  <c r="BM11" i="3"/>
  <c r="BY23" i="4" s="1"/>
  <c r="W29" i="3"/>
  <c r="Q31" i="3"/>
  <c r="Q30" i="3"/>
  <c r="BM10" i="3"/>
  <c r="BY22" i="4" s="1"/>
  <c r="BM8" i="3"/>
  <c r="BY20" i="4" s="1"/>
  <c r="BM7" i="3"/>
  <c r="BY19" i="4" s="1"/>
  <c r="BM5" i="3"/>
  <c r="BY17" i="4" s="1"/>
  <c r="BM4" i="3"/>
  <c r="BY16" i="4" s="1"/>
  <c r="E31" i="3"/>
  <c r="BZ12" i="4" s="1"/>
  <c r="E20" i="3"/>
  <c r="E19" i="3"/>
  <c r="BZ6" i="4" s="1"/>
  <c r="E26" i="3"/>
  <c r="BK8" i="3" s="1"/>
  <c r="E25" i="3"/>
  <c r="BZ9" i="4" s="1"/>
  <c r="CP38" i="4" l="1"/>
  <c r="CO38" i="4"/>
  <c r="CP35" i="4"/>
  <c r="CO37" i="4"/>
  <c r="CQ35" i="4"/>
  <c r="CQ37" i="4"/>
  <c r="CO35" i="4"/>
  <c r="CO36" i="4"/>
  <c r="CP37" i="4"/>
  <c r="CR36" i="4"/>
  <c r="CQ38" i="4"/>
  <c r="CR38" i="4"/>
  <c r="CR29" i="4"/>
  <c r="CP36" i="4"/>
  <c r="CR27" i="4"/>
  <c r="CQ14" i="4"/>
  <c r="CR10" i="4"/>
  <c r="CP34" i="4"/>
  <c r="CO25" i="4"/>
  <c r="CO29" i="4"/>
  <c r="CO13" i="4"/>
  <c r="CQ11" i="4"/>
  <c r="CO11" i="4"/>
  <c r="CP14" i="4"/>
  <c r="CR20" i="4"/>
  <c r="CR11" i="4"/>
  <c r="CQ26" i="4"/>
  <c r="CP27" i="4"/>
  <c r="CP28" i="4"/>
  <c r="CR19" i="4"/>
  <c r="CQ19" i="4"/>
  <c r="CP19" i="4"/>
  <c r="CR25" i="4"/>
  <c r="CR28" i="4"/>
  <c r="CR13" i="4"/>
  <c r="CO20" i="4"/>
  <c r="CP26" i="4"/>
  <c r="CO27" i="4"/>
  <c r="CQ28" i="4"/>
  <c r="CO10" i="4"/>
  <c r="CP10" i="4"/>
  <c r="CQ13" i="4"/>
  <c r="CQ25" i="4"/>
  <c r="CP25" i="4"/>
  <c r="CO34" i="4"/>
  <c r="CO14" i="4"/>
  <c r="CR34" i="4"/>
  <c r="CQ20" i="4"/>
  <c r="CO26" i="4"/>
  <c r="CO15" i="4"/>
  <c r="CP12" i="4"/>
  <c r="CQ22" i="4"/>
  <c r="CR22" i="4"/>
  <c r="CO22" i="4"/>
  <c r="CR33" i="4"/>
  <c r="CN33" i="4"/>
  <c r="CQ33" i="4"/>
  <c r="CO33" i="4"/>
  <c r="CO32" i="4"/>
  <c r="CQ32" i="4"/>
  <c r="CP32" i="4"/>
  <c r="CO31" i="4"/>
  <c r="CR31" i="4"/>
  <c r="CQ31" i="4"/>
  <c r="CQ30" i="4"/>
  <c r="CP30" i="4"/>
  <c r="CR30" i="4"/>
  <c r="CP29" i="4"/>
  <c r="CR16" i="4"/>
  <c r="CQ16" i="4"/>
  <c r="CP16" i="4"/>
  <c r="CQ17" i="4"/>
  <c r="CP17" i="4"/>
  <c r="CR17" i="4"/>
  <c r="CP18" i="4"/>
  <c r="CQ18" i="4"/>
  <c r="CO18" i="4"/>
  <c r="CQ21" i="4"/>
  <c r="CR21" i="4"/>
  <c r="CO21" i="4"/>
  <c r="CR24" i="4"/>
  <c r="CO24" i="4"/>
  <c r="CQ24" i="4"/>
  <c r="CR23" i="4"/>
  <c r="CP23" i="4"/>
  <c r="CQ23" i="4"/>
  <c r="CO23" i="4"/>
  <c r="CR15" i="4"/>
  <c r="CQ15" i="4"/>
  <c r="CQ12" i="4"/>
  <c r="CR12" i="4"/>
  <c r="CQ9" i="4"/>
  <c r="CP9" i="4"/>
  <c r="CO9" i="4"/>
  <c r="CR9" i="4"/>
  <c r="CN18" i="4"/>
  <c r="CN19" i="4"/>
  <c r="CN37" i="4"/>
  <c r="CN12" i="4"/>
  <c r="CN20" i="4"/>
  <c r="CN29" i="4"/>
  <c r="CN26" i="4"/>
  <c r="CN36" i="4"/>
  <c r="CN11" i="4"/>
  <c r="CN32" i="4"/>
  <c r="CN24" i="4"/>
  <c r="CN21" i="4"/>
  <c r="CN28" i="4"/>
  <c r="CN31" i="4"/>
  <c r="CN15" i="4"/>
  <c r="CN13" i="4"/>
  <c r="CN35" i="4"/>
  <c r="CN34" i="4"/>
  <c r="CN30" i="4"/>
  <c r="CN14" i="4"/>
  <c r="CN16" i="4"/>
  <c r="CN27" i="4"/>
  <c r="CN22" i="4"/>
  <c r="CN17" i="4"/>
  <c r="CN10" i="4"/>
  <c r="CA6" i="4"/>
  <c r="CB6" i="4" s="1"/>
  <c r="BZ10" i="4"/>
  <c r="CA13" i="4"/>
  <c r="CB13" i="4" s="1"/>
  <c r="CA8" i="4"/>
  <c r="CB8" i="4" s="1"/>
  <c r="CA11" i="4"/>
  <c r="CB11" i="4" s="1"/>
  <c r="CA9" i="4"/>
  <c r="CB9" i="4" s="1"/>
  <c r="CA12" i="4"/>
  <c r="BZ23" i="4"/>
  <c r="CA23" i="4" s="1"/>
  <c r="BZ19" i="4"/>
  <c r="BZ22" i="4"/>
  <c r="CA22" i="4" s="1"/>
  <c r="CB22" i="4" s="1"/>
  <c r="BZ24" i="4"/>
  <c r="CA24" i="4" s="1"/>
  <c r="BZ21" i="4"/>
  <c r="CA21" i="4" s="1"/>
  <c r="BZ20" i="4"/>
  <c r="CA20" i="4" s="1"/>
  <c r="BZ18" i="4"/>
  <c r="BZ17" i="4"/>
  <c r="CA17" i="4" s="1"/>
  <c r="BK11" i="3"/>
  <c r="BK12" i="3"/>
  <c r="BK10" i="3"/>
  <c r="BK7" i="3"/>
  <c r="BK9" i="3"/>
  <c r="BK6" i="3"/>
  <c r="BK5" i="3"/>
  <c r="BK4" i="3"/>
  <c r="M41" i="1"/>
  <c r="AA54" i="1" s="1"/>
  <c r="M40" i="1"/>
  <c r="AA53" i="1" s="1"/>
  <c r="G41" i="1"/>
  <c r="AA52" i="1" s="1"/>
  <c r="G40" i="1"/>
  <c r="S12" i="15"/>
  <c r="S12" i="3"/>
  <c r="AJ53" i="10" l="1"/>
  <c r="AJ52" i="10"/>
  <c r="AJ43" i="10"/>
  <c r="M550" i="10" s="1"/>
  <c r="P550" i="10" s="1"/>
  <c r="AA51" i="1"/>
  <c r="L49" i="11"/>
  <c r="W147" i="24"/>
  <c r="W139" i="24"/>
  <c r="W108" i="24"/>
  <c r="W99" i="24"/>
  <c r="W153" i="24"/>
  <c r="W82" i="24"/>
  <c r="U147" i="24"/>
  <c r="U153" i="24"/>
  <c r="U82" i="24"/>
  <c r="U108" i="24"/>
  <c r="U99" i="24"/>
  <c r="U139" i="24"/>
  <c r="N49" i="11"/>
  <c r="AA153" i="24"/>
  <c r="AA139" i="24"/>
  <c r="AA108" i="24"/>
  <c r="AA99" i="24"/>
  <c r="AA147" i="24"/>
  <c r="AA82" i="24"/>
  <c r="M49" i="11"/>
  <c r="Y147" i="24"/>
  <c r="Y139" i="24"/>
  <c r="Y108" i="24"/>
  <c r="Y99" i="24"/>
  <c r="Y153" i="24"/>
  <c r="Y82" i="24"/>
  <c r="AC18" i="15"/>
  <c r="DL23" i="4" s="1"/>
  <c r="AC26" i="15"/>
  <c r="AC20" i="15"/>
  <c r="AC32" i="15"/>
  <c r="AC15" i="15"/>
  <c r="AC33" i="15"/>
  <c r="AC28" i="15"/>
  <c r="AC27" i="15"/>
  <c r="AC31" i="15"/>
  <c r="AC13" i="15"/>
  <c r="DL18" i="4" s="1"/>
  <c r="AC23" i="15"/>
  <c r="AC24" i="15"/>
  <c r="AC8" i="15"/>
  <c r="AC16" i="15"/>
  <c r="AC29" i="15"/>
  <c r="AC19" i="15"/>
  <c r="AC7" i="15"/>
  <c r="AC6" i="15"/>
  <c r="AC30" i="15"/>
  <c r="AC5" i="15"/>
  <c r="AC17" i="15"/>
  <c r="AC10" i="15"/>
  <c r="AC22" i="15"/>
  <c r="AC14" i="15"/>
  <c r="AC9" i="15"/>
  <c r="AC12" i="15"/>
  <c r="AC11" i="15"/>
  <c r="AC21" i="15"/>
  <c r="AC25" i="15"/>
  <c r="CC6" i="4"/>
  <c r="CD6" i="4" s="1"/>
  <c r="CE6" i="4" s="1"/>
  <c r="CB12" i="4"/>
  <c r="CC12" i="4" s="1"/>
  <c r="CD12" i="4" s="1"/>
  <c r="CA10" i="4"/>
  <c r="CB10" i="4" s="1"/>
  <c r="CC8" i="4"/>
  <c r="CD8" i="4" s="1"/>
  <c r="CC9" i="4"/>
  <c r="CD9" i="4" s="1"/>
  <c r="CC11" i="4"/>
  <c r="CC13" i="4"/>
  <c r="CD13" i="4" s="1"/>
  <c r="BY26" i="15"/>
  <c r="CC22" i="4"/>
  <c r="CB23" i="4"/>
  <c r="CB24" i="4"/>
  <c r="CC24" i="4" s="1"/>
  <c r="CA19" i="4"/>
  <c r="CB19" i="4" s="1"/>
  <c r="CB21" i="4"/>
  <c r="CC21" i="4" s="1"/>
  <c r="CB20" i="4"/>
  <c r="CA18" i="4"/>
  <c r="CB17" i="4"/>
  <c r="BE4" i="3"/>
  <c r="BE6" i="3"/>
  <c r="BH6" i="3" s="1"/>
  <c r="BE5" i="3"/>
  <c r="BH5" i="3" s="1"/>
  <c r="E33" i="15"/>
  <c r="BS9" i="3"/>
  <c r="BS11" i="3"/>
  <c r="BS10" i="3"/>
  <c r="BS8" i="3"/>
  <c r="BS7" i="3"/>
  <c r="BS6" i="3"/>
  <c r="BS5" i="3"/>
  <c r="BS12" i="3"/>
  <c r="BS4" i="3"/>
  <c r="AU3" i="15"/>
  <c r="W29" i="15"/>
  <c r="DF26" i="4" s="1"/>
  <c r="M33" i="15"/>
  <c r="M32" i="15"/>
  <c r="M31" i="15"/>
  <c r="M30" i="15"/>
  <c r="Q24" i="15"/>
  <c r="Q23" i="15"/>
  <c r="Q22" i="15"/>
  <c r="Q21" i="15"/>
  <c r="Q20" i="15"/>
  <c r="Q19" i="15"/>
  <c r="M33" i="3"/>
  <c r="M32" i="3"/>
  <c r="M31" i="3"/>
  <c r="M30" i="3"/>
  <c r="Q24" i="3"/>
  <c r="U24" i="3" s="1"/>
  <c r="Q23" i="3"/>
  <c r="U23" i="3" s="1"/>
  <c r="Q22" i="3"/>
  <c r="U22" i="3" s="1"/>
  <c r="Q21" i="3"/>
  <c r="U21" i="3" s="1"/>
  <c r="Q20" i="3"/>
  <c r="U20" i="3" s="1"/>
  <c r="Q19" i="3"/>
  <c r="U19" i="3" s="1"/>
  <c r="BM41" i="2"/>
  <c r="BM42" i="2" s="1"/>
  <c r="AT33" i="2"/>
  <c r="AT32" i="2"/>
  <c r="AT31" i="2"/>
  <c r="AT30" i="2"/>
  <c r="AT29" i="2"/>
  <c r="AT28" i="2"/>
  <c r="AT27" i="2"/>
  <c r="AT26" i="2"/>
  <c r="AT25" i="2"/>
  <c r="AT24" i="2"/>
  <c r="AT23" i="2"/>
  <c r="AT22" i="2"/>
  <c r="AT21" i="2"/>
  <c r="AT20" i="2"/>
  <c r="AT19" i="2"/>
  <c r="AT18" i="2"/>
  <c r="AT17" i="2"/>
  <c r="AT16" i="2"/>
  <c r="AT15" i="2"/>
  <c r="AT14" i="2"/>
  <c r="AT13" i="2"/>
  <c r="AT12" i="2"/>
  <c r="AT11" i="2"/>
  <c r="AT10" i="2"/>
  <c r="AT9" i="2"/>
  <c r="AT8" i="2"/>
  <c r="AT7" i="2"/>
  <c r="AT6" i="2"/>
  <c r="AC34" i="2"/>
  <c r="AC35" i="2" s="1"/>
  <c r="AC36" i="2" s="1"/>
  <c r="U43" i="2"/>
  <c r="E42" i="2"/>
  <c r="I42" i="2" s="1"/>
  <c r="O24" i="2"/>
  <c r="U42"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D12" i="2"/>
  <c r="BD11" i="2"/>
  <c r="BD10" i="2"/>
  <c r="BD9" i="2"/>
  <c r="BD8" i="2"/>
  <c r="BD7" i="2"/>
  <c r="BD6" i="2"/>
  <c r="BD5" i="2"/>
  <c r="BD4" i="2"/>
  <c r="Q42" i="2"/>
  <c r="U41" i="2"/>
  <c r="Q41" i="2"/>
  <c r="U39" i="2"/>
  <c r="I40" i="2"/>
  <c r="Q39" i="2"/>
  <c r="E41" i="2"/>
  <c r="I41" i="2" s="1"/>
  <c r="E39" i="2"/>
  <c r="I39" i="2" s="1"/>
  <c r="U23" i="2"/>
  <c r="U24" i="2" s="1"/>
  <c r="U34" i="2"/>
  <c r="U35" i="2" s="1"/>
  <c r="E35" i="2"/>
  <c r="E4" i="11"/>
  <c r="E5" i="11" s="1"/>
  <c r="E6" i="11" s="1"/>
  <c r="E7" i="11" s="1"/>
  <c r="E8" i="11" s="1"/>
  <c r="E9" i="11" s="1"/>
  <c r="E10" i="11" s="1"/>
  <c r="E11" i="11" s="1"/>
  <c r="E12" i="11" s="1"/>
  <c r="M738" i="10" l="1"/>
  <c r="P738" i="10" s="1"/>
  <c r="M685" i="10"/>
  <c r="P685" i="10" s="1"/>
  <c r="DP15" i="4"/>
  <c r="DO15" i="4"/>
  <c r="DN15" i="4"/>
  <c r="DM15" i="4"/>
  <c r="DL30" i="4"/>
  <c r="DO30" i="4"/>
  <c r="DN30" i="4"/>
  <c r="DM30" i="4"/>
  <c r="DP30" i="4"/>
  <c r="DP10" i="4"/>
  <c r="DN10" i="4"/>
  <c r="DO10" i="4"/>
  <c r="DM10" i="4"/>
  <c r="DP21" i="4"/>
  <c r="DO21" i="4"/>
  <c r="DN21" i="4"/>
  <c r="DM21" i="4"/>
  <c r="DL38" i="4"/>
  <c r="DO38" i="4"/>
  <c r="DM38" i="4"/>
  <c r="DN38" i="4"/>
  <c r="DP38" i="4"/>
  <c r="DM16" i="4"/>
  <c r="DN16" i="4"/>
  <c r="DP16" i="4"/>
  <c r="DO16" i="4"/>
  <c r="DP35" i="4"/>
  <c r="DO35" i="4"/>
  <c r="DN35" i="4"/>
  <c r="DM35" i="4"/>
  <c r="DP13" i="4"/>
  <c r="DO13" i="4"/>
  <c r="DN13" i="4"/>
  <c r="DM13" i="4"/>
  <c r="DL20" i="4"/>
  <c r="DO20" i="4"/>
  <c r="DM20" i="4"/>
  <c r="DP20" i="4"/>
  <c r="DN20" i="4"/>
  <c r="DP17" i="4"/>
  <c r="DO17" i="4"/>
  <c r="DN17" i="4"/>
  <c r="DM17" i="4"/>
  <c r="DP37" i="4"/>
  <c r="DO37" i="4"/>
  <c r="DN37" i="4"/>
  <c r="DM37" i="4"/>
  <c r="DL14" i="4"/>
  <c r="DP14" i="4"/>
  <c r="DO14" i="4"/>
  <c r="DN14" i="4"/>
  <c r="DM14" i="4"/>
  <c r="DO12" i="4"/>
  <c r="DM12" i="4"/>
  <c r="DP12" i="4"/>
  <c r="DN12" i="4"/>
  <c r="DP28" i="4"/>
  <c r="DO28" i="4"/>
  <c r="DM28" i="4"/>
  <c r="DN28" i="4"/>
  <c r="DL25" i="4"/>
  <c r="DO25" i="4"/>
  <c r="DN25" i="4"/>
  <c r="DM25" i="4"/>
  <c r="DP25" i="4"/>
  <c r="DM32" i="4"/>
  <c r="DN32" i="4"/>
  <c r="DP32" i="4"/>
  <c r="DO32" i="4"/>
  <c r="DL22" i="4"/>
  <c r="DP22" i="4"/>
  <c r="DN22" i="4"/>
  <c r="DM22" i="4"/>
  <c r="DO22" i="4"/>
  <c r="DN26" i="4"/>
  <c r="DP26" i="4"/>
  <c r="DO26" i="4"/>
  <c r="DM26" i="4"/>
  <c r="DP29" i="4"/>
  <c r="DO29" i="4"/>
  <c r="DN29" i="4"/>
  <c r="DM29" i="4"/>
  <c r="DO19" i="4"/>
  <c r="DN19" i="4"/>
  <c r="DM19" i="4"/>
  <c r="DP19" i="4"/>
  <c r="DM24" i="4"/>
  <c r="DO24" i="4"/>
  <c r="DN24" i="4"/>
  <c r="DP24" i="4"/>
  <c r="DP18" i="4"/>
  <c r="DO18" i="4"/>
  <c r="DN18" i="4"/>
  <c r="DM18" i="4"/>
  <c r="DL31" i="4"/>
  <c r="DP31" i="4"/>
  <c r="DO31" i="4"/>
  <c r="DN31" i="4"/>
  <c r="DM31" i="4"/>
  <c r="DL33" i="4"/>
  <c r="DO33" i="4"/>
  <c r="DN33" i="4"/>
  <c r="DM33" i="4"/>
  <c r="DP33" i="4"/>
  <c r="DO11" i="4"/>
  <c r="DN11" i="4"/>
  <c r="DM11" i="4"/>
  <c r="DP11" i="4"/>
  <c r="DL27" i="4"/>
  <c r="DP27" i="4"/>
  <c r="DO27" i="4"/>
  <c r="DN27" i="4"/>
  <c r="DM27" i="4"/>
  <c r="DL34" i="4"/>
  <c r="DP34" i="4"/>
  <c r="DO34" i="4"/>
  <c r="DN34" i="4"/>
  <c r="DM34" i="4"/>
  <c r="DO36" i="4"/>
  <c r="DM36" i="4"/>
  <c r="DN36" i="4"/>
  <c r="DP36" i="4"/>
  <c r="DP23" i="4"/>
  <c r="DO23" i="4"/>
  <c r="DN23" i="4"/>
  <c r="DM23" i="4"/>
  <c r="DL37" i="4"/>
  <c r="DL32" i="4"/>
  <c r="DL36" i="4"/>
  <c r="DL29" i="4"/>
  <c r="DL16" i="4"/>
  <c r="DL13" i="4"/>
  <c r="DL28" i="4"/>
  <c r="DL21" i="4"/>
  <c r="DL24" i="4"/>
  <c r="DL26" i="4"/>
  <c r="DL15" i="4"/>
  <c r="DL10" i="4"/>
  <c r="DL35" i="4"/>
  <c r="DL11" i="4"/>
  <c r="DL19" i="4"/>
  <c r="DL12" i="4"/>
  <c r="DL17" i="4"/>
  <c r="CF6" i="4"/>
  <c r="CG6" i="4" s="1"/>
  <c r="CE8" i="4"/>
  <c r="CF8" i="4" s="1"/>
  <c r="CG8" i="4" s="1"/>
  <c r="CE12" i="4"/>
  <c r="CF12" i="4" s="1"/>
  <c r="CG12" i="4" s="1"/>
  <c r="CH12" i="4" s="1"/>
  <c r="CI12" i="4" s="1"/>
  <c r="CC10" i="4"/>
  <c r="CD10" i="4" s="1"/>
  <c r="CE9" i="4"/>
  <c r="CF9" i="4" s="1"/>
  <c r="CG9" i="4" s="1"/>
  <c r="CH9" i="4" s="1"/>
  <c r="CI9" i="4" s="1"/>
  <c r="CD11" i="4"/>
  <c r="CE13" i="4"/>
  <c r="CF13" i="4" s="1"/>
  <c r="CG13" i="4" s="1"/>
  <c r="BY34" i="15"/>
  <c r="BY15" i="15"/>
  <c r="BY14" i="15"/>
  <c r="CD21" i="4"/>
  <c r="CE21" i="4" s="1"/>
  <c r="BW37" i="15"/>
  <c r="BY24" i="15"/>
  <c r="BY13" i="15"/>
  <c r="BY32" i="15"/>
  <c r="BW25" i="15"/>
  <c r="BY33" i="15"/>
  <c r="BW14" i="15"/>
  <c r="BY25" i="15"/>
  <c r="BW6" i="15"/>
  <c r="CC19" i="4"/>
  <c r="CD24" i="4"/>
  <c r="CE24" i="4" s="1"/>
  <c r="CD22" i="4"/>
  <c r="CC23" i="4"/>
  <c r="CD23" i="4" s="1"/>
  <c r="DA14" i="4"/>
  <c r="CY14" i="4"/>
  <c r="DC14" i="4"/>
  <c r="DB14" i="4"/>
  <c r="DG14" i="4"/>
  <c r="DE14" i="4"/>
  <c r="CZ14" i="4"/>
  <c r="DD14" i="4"/>
  <c r="CX14" i="4"/>
  <c r="DF14" i="4"/>
  <c r="CC20" i="4"/>
  <c r="CD20" i="4" s="1"/>
  <c r="CB18" i="4"/>
  <c r="CC17" i="4"/>
  <c r="CD17" i="4" s="1"/>
  <c r="U42" i="3"/>
  <c r="BK12" i="15"/>
  <c r="AH8" i="3"/>
  <c r="AH26" i="3"/>
  <c r="AH18" i="3"/>
  <c r="AH10" i="3"/>
  <c r="AH33" i="3"/>
  <c r="AH25" i="3"/>
  <c r="AH17" i="3"/>
  <c r="AH9" i="3"/>
  <c r="AH24" i="3"/>
  <c r="AH30" i="3"/>
  <c r="AH22" i="3"/>
  <c r="AH14" i="3"/>
  <c r="AH6" i="3"/>
  <c r="AH29" i="3"/>
  <c r="AH21" i="3"/>
  <c r="AH13" i="3"/>
  <c r="AH5" i="3"/>
  <c r="AH28" i="3"/>
  <c r="AH20" i="3"/>
  <c r="AH12" i="3"/>
  <c r="AH4" i="3"/>
  <c r="AH27" i="3"/>
  <c r="AH19" i="3"/>
  <c r="AH11" i="3"/>
  <c r="AH32" i="3"/>
  <c r="AH16" i="3"/>
  <c r="AH31" i="3"/>
  <c r="AH23" i="3"/>
  <c r="AH15" i="3"/>
  <c r="AH7" i="3"/>
  <c r="BS13" i="3"/>
  <c r="U39" i="3" s="1"/>
  <c r="AH13" i="15"/>
  <c r="AH28" i="15"/>
  <c r="AH20" i="15"/>
  <c r="AH12" i="15"/>
  <c r="AH4" i="15"/>
  <c r="AH27" i="15"/>
  <c r="AH19" i="15"/>
  <c r="AH11" i="15"/>
  <c r="AH26" i="15"/>
  <c r="AH10" i="15"/>
  <c r="AH32" i="15"/>
  <c r="AH24" i="15"/>
  <c r="AH16" i="15"/>
  <c r="AH8" i="15"/>
  <c r="AH31" i="15"/>
  <c r="AH23" i="15"/>
  <c r="AH15" i="15"/>
  <c r="AH7" i="15"/>
  <c r="AH30" i="15"/>
  <c r="AH22" i="15"/>
  <c r="AH14" i="15"/>
  <c r="AH6" i="15"/>
  <c r="AH29" i="15"/>
  <c r="AH21" i="15"/>
  <c r="AH5" i="15"/>
  <c r="AH18" i="15"/>
  <c r="AH33" i="15"/>
  <c r="AH25" i="15"/>
  <c r="AH17" i="15"/>
  <c r="AH9" i="15"/>
  <c r="DD26" i="4"/>
  <c r="DE26" i="4"/>
  <c r="DC26" i="4"/>
  <c r="DG26" i="4"/>
  <c r="BO14" i="2"/>
  <c r="BO16" i="2" s="1"/>
  <c r="BO17" i="2" s="1"/>
  <c r="U40" i="2"/>
  <c r="Q40" i="2" s="1"/>
  <c r="E60" i="1" l="1"/>
  <c r="U60" i="1"/>
  <c r="Q21" i="1" s="1"/>
  <c r="U58" i="1"/>
  <c r="Q19" i="1" s="1"/>
  <c r="M57" i="1"/>
  <c r="E54" i="1"/>
  <c r="M58" i="1"/>
  <c r="M55" i="1"/>
  <c r="E57" i="1"/>
  <c r="U54" i="1"/>
  <c r="E56" i="1"/>
  <c r="E59" i="1"/>
  <c r="M56" i="1"/>
  <c r="U59" i="1"/>
  <c r="Q20" i="1" s="1"/>
  <c r="U53" i="1"/>
  <c r="M53" i="1"/>
  <c r="U52" i="1"/>
  <c r="E53" i="1"/>
  <c r="E55" i="1"/>
  <c r="U55" i="1"/>
  <c r="Q16" i="1" s="1"/>
  <c r="M54" i="1"/>
  <c r="M51" i="1"/>
  <c r="M59" i="1"/>
  <c r="U57" i="1"/>
  <c r="Q18" i="1" s="1"/>
  <c r="E58" i="1"/>
  <c r="P34" i="1" s="1"/>
  <c r="M52" i="1"/>
  <c r="M60" i="1"/>
  <c r="U51" i="1"/>
  <c r="U56" i="1"/>
  <c r="Q17" i="1" s="1"/>
  <c r="E52" i="1"/>
  <c r="BY5" i="15"/>
  <c r="BW4" i="15"/>
  <c r="U19" i="15" s="1"/>
  <c r="BW12" i="15"/>
  <c r="CH6" i="4"/>
  <c r="CI6" i="4" s="1"/>
  <c r="BY10" i="15"/>
  <c r="CH8" i="4"/>
  <c r="CI8" i="4" s="1"/>
  <c r="E31" i="15"/>
  <c r="CE10" i="4"/>
  <c r="CF10" i="4" s="1"/>
  <c r="CH13" i="4"/>
  <c r="CO4" i="4"/>
  <c r="CO6" i="4"/>
  <c r="CO5" i="4"/>
  <c r="CE11" i="4"/>
  <c r="E25" i="15"/>
  <c r="CF21" i="4"/>
  <c r="CG21" i="4" s="1"/>
  <c r="CH21" i="4" s="1"/>
  <c r="BY11" i="15"/>
  <c r="BY22" i="15"/>
  <c r="U23" i="15" s="1"/>
  <c r="BW36" i="15"/>
  <c r="BY4" i="15"/>
  <c r="BY31" i="15"/>
  <c r="U24" i="15" s="1"/>
  <c r="BW30" i="15"/>
  <c r="U21" i="15" s="1"/>
  <c r="BW19" i="15"/>
  <c r="BY38" i="15"/>
  <c r="BY23" i="15"/>
  <c r="BY12" i="15"/>
  <c r="CD19" i="4"/>
  <c r="CE20" i="4"/>
  <c r="CE22" i="4"/>
  <c r="CF22" i="4" s="1"/>
  <c r="CG22" i="4" s="1"/>
  <c r="CF24" i="4"/>
  <c r="CG24" i="4" s="1"/>
  <c r="CE23" i="4"/>
  <c r="BY8" i="15"/>
  <c r="BW13" i="15"/>
  <c r="CC18" i="4"/>
  <c r="CD18" i="4" s="1"/>
  <c r="CE17" i="4"/>
  <c r="BY20" i="15"/>
  <c r="BW23" i="15"/>
  <c r="BY9" i="15"/>
  <c r="BW34" i="15"/>
  <c r="BY19" i="15"/>
  <c r="BW22" i="15"/>
  <c r="BW33" i="15"/>
  <c r="BW31" i="15"/>
  <c r="BY17" i="15"/>
  <c r="BW20" i="15"/>
  <c r="BY6" i="15"/>
  <c r="BW10" i="15"/>
  <c r="AC4" i="15"/>
  <c r="BW5" i="15"/>
  <c r="U8" i="1"/>
  <c r="I40" i="15"/>
  <c r="M44" i="15" s="1"/>
  <c r="M45" i="15" s="1"/>
  <c r="M46" i="15" s="1"/>
  <c r="M1" i="15" s="1"/>
  <c r="A3" i="15" s="1"/>
  <c r="I40" i="3"/>
  <c r="M44" i="3" s="1"/>
  <c r="Q33" i="15"/>
  <c r="DN7" i="4" s="1"/>
  <c r="M44" i="2"/>
  <c r="M45" i="2" s="1"/>
  <c r="M46" i="2" s="1"/>
  <c r="M1" i="2" s="1"/>
  <c r="EF34" i="4"/>
  <c r="EF37" i="4"/>
  <c r="AD12" i="10" l="1"/>
  <c r="I77" i="13" s="1"/>
  <c r="BA63" i="4"/>
  <c r="P28" i="1"/>
  <c r="E25" i="1"/>
  <c r="E598" i="10"/>
  <c r="E521" i="10"/>
  <c r="E649" i="10"/>
  <c r="E418" i="10"/>
  <c r="E549" i="10"/>
  <c r="E803" i="10"/>
  <c r="E572" i="10"/>
  <c r="E645" i="10"/>
  <c r="E801" i="10"/>
  <c r="E819" i="10"/>
  <c r="E511" i="10"/>
  <c r="E644" i="10"/>
  <c r="E834" i="10"/>
  <c r="E781" i="10"/>
  <c r="E659" i="10"/>
  <c r="E489" i="10"/>
  <c r="E444" i="10"/>
  <c r="E818" i="10"/>
  <c r="E495" i="10"/>
  <c r="E466" i="10"/>
  <c r="E726" i="10"/>
  <c r="E692" i="10"/>
  <c r="E602" i="10"/>
  <c r="E804" i="10"/>
  <c r="E487" i="10"/>
  <c r="E838" i="10"/>
  <c r="E639" i="10"/>
  <c r="E773" i="10"/>
  <c r="E758" i="10"/>
  <c r="K16" i="1"/>
  <c r="AG20" i="10"/>
  <c r="E13" i="1"/>
  <c r="AG3" i="10"/>
  <c r="K12" i="1"/>
  <c r="AG15" i="10"/>
  <c r="E15" i="1"/>
  <c r="AG6" i="10"/>
  <c r="E19" i="1"/>
  <c r="AG12" i="10"/>
  <c r="E18" i="1"/>
  <c r="AG11" i="10"/>
  <c r="K14" i="1"/>
  <c r="AG17" i="10"/>
  <c r="K20" i="1"/>
  <c r="AG25" i="10"/>
  <c r="K119" i="13" s="1"/>
  <c r="Y119" i="13" s="1"/>
  <c r="K19" i="1"/>
  <c r="AG24" i="10"/>
  <c r="K15" i="1"/>
  <c r="AG18" i="10"/>
  <c r="Z3" i="16"/>
  <c r="K17" i="1"/>
  <c r="AG21" i="10"/>
  <c r="K131" i="13" s="1"/>
  <c r="Y131" i="13" s="1"/>
  <c r="K18" i="1"/>
  <c r="AG22" i="10"/>
  <c r="E20" i="1"/>
  <c r="AG13" i="10"/>
  <c r="K15" i="13" s="1"/>
  <c r="Y15" i="13" s="1"/>
  <c r="K21" i="1"/>
  <c r="AG26" i="10"/>
  <c r="Z5" i="16"/>
  <c r="E16" i="1"/>
  <c r="Z2" i="16"/>
  <c r="AG7" i="10"/>
  <c r="E17" i="1"/>
  <c r="AG8" i="10"/>
  <c r="K13" i="1"/>
  <c r="AG16" i="10"/>
  <c r="Z4" i="16"/>
  <c r="E14" i="1"/>
  <c r="AG5" i="10"/>
  <c r="E21" i="1"/>
  <c r="AG14" i="10"/>
  <c r="K77" i="13" s="1"/>
  <c r="Y77" i="13" s="1"/>
  <c r="Q15" i="1"/>
  <c r="BB7" i="22"/>
  <c r="Q14" i="1"/>
  <c r="AZ6" i="22"/>
  <c r="Q13" i="1"/>
  <c r="AX5" i="22"/>
  <c r="AS36" i="22" s="1"/>
  <c r="AG9" i="10" s="1"/>
  <c r="L38" i="11"/>
  <c r="Q12" i="1"/>
  <c r="AV4" i="22"/>
  <c r="AS35" i="22" s="1"/>
  <c r="AG4" i="10" s="1"/>
  <c r="C46" i="11"/>
  <c r="DO9" i="4"/>
  <c r="DP9" i="4"/>
  <c r="DN9" i="4"/>
  <c r="DM9" i="4"/>
  <c r="DL9" i="4"/>
  <c r="BW9" i="15"/>
  <c r="BW29" i="15"/>
  <c r="BY35" i="15"/>
  <c r="BY27" i="15"/>
  <c r="M42" i="11"/>
  <c r="L42" i="11"/>
  <c r="BW18" i="15"/>
  <c r="U20" i="15" s="1"/>
  <c r="BW7" i="15"/>
  <c r="BY21" i="15"/>
  <c r="BW26" i="15"/>
  <c r="BW15" i="15"/>
  <c r="BW35" i="15"/>
  <c r="BW2" i="15"/>
  <c r="CG10" i="4"/>
  <c r="CH10" i="4" s="1"/>
  <c r="DA12" i="4"/>
  <c r="BK10" i="15"/>
  <c r="DF12" i="4"/>
  <c r="CX12" i="4"/>
  <c r="DD12" i="4"/>
  <c r="CZ12" i="4"/>
  <c r="CY12" i="4"/>
  <c r="DB12" i="4"/>
  <c r="DE12" i="4"/>
  <c r="DC12" i="4"/>
  <c r="DG12" i="4"/>
  <c r="CP6" i="4"/>
  <c r="CQ6" i="4" s="1"/>
  <c r="CY9" i="4"/>
  <c r="DA9" i="4"/>
  <c r="DE9" i="4"/>
  <c r="CX9" i="4"/>
  <c r="DG9" i="4"/>
  <c r="BK7" i="15"/>
  <c r="DC9" i="4"/>
  <c r="DB9" i="4"/>
  <c r="DD9" i="4"/>
  <c r="DF9" i="4"/>
  <c r="CZ9" i="4"/>
  <c r="CP4" i="4"/>
  <c r="CQ4" i="4" s="1"/>
  <c r="CP5" i="4"/>
  <c r="CF11" i="4"/>
  <c r="CI13" i="4"/>
  <c r="E32" i="15" s="1"/>
  <c r="DF13" i="4" s="1"/>
  <c r="M45" i="3"/>
  <c r="M46" i="3" s="1"/>
  <c r="CH24" i="4"/>
  <c r="CI24" i="4" s="1"/>
  <c r="CF20" i="4"/>
  <c r="CG20" i="4" s="1"/>
  <c r="CH20" i="4" s="1"/>
  <c r="K37" i="11"/>
  <c r="BY3" i="15"/>
  <c r="BW17" i="15"/>
  <c r="BW28" i="15"/>
  <c r="BY28" i="15"/>
  <c r="BY36" i="15"/>
  <c r="BY37" i="15"/>
  <c r="CH22" i="4"/>
  <c r="CI22" i="4" s="1"/>
  <c r="BM10" i="15" s="1"/>
  <c r="CE19" i="4"/>
  <c r="CF23" i="4"/>
  <c r="CG23" i="4" s="1"/>
  <c r="BY30" i="15"/>
  <c r="BY7" i="15"/>
  <c r="U22" i="15" s="1"/>
  <c r="BY18" i="15"/>
  <c r="BW32" i="15"/>
  <c r="BW21" i="15"/>
  <c r="CI21" i="4"/>
  <c r="CE18" i="4"/>
  <c r="CF18" i="4" s="1"/>
  <c r="CF17" i="4"/>
  <c r="BW3" i="15"/>
  <c r="A3" i="2"/>
  <c r="DM7" i="4"/>
  <c r="DP7" i="4"/>
  <c r="DO7" i="4"/>
  <c r="EF30" i="4"/>
  <c r="EK30" i="4" s="1"/>
  <c r="EF33" i="4"/>
  <c r="EF38" i="4"/>
  <c r="EF31" i="4"/>
  <c r="EK31" i="4" s="1"/>
  <c r="EF36" i="4"/>
  <c r="EF32" i="4"/>
  <c r="EF35" i="4"/>
  <c r="EF29" i="4"/>
  <c r="DF4" i="4"/>
  <c r="DE4" i="4"/>
  <c r="DG4" i="4"/>
  <c r="DD4" i="4"/>
  <c r="AS38" i="22" l="1"/>
  <c r="AG23" i="10" s="1"/>
  <c r="AS37" i="22"/>
  <c r="AG10" i="10" s="1"/>
  <c r="G727" i="10"/>
  <c r="V727" i="10" s="1"/>
  <c r="G487" i="10"/>
  <c r="V487" i="10" s="1"/>
  <c r="G668" i="10"/>
  <c r="V668" i="10" s="1"/>
  <c r="G663" i="10"/>
  <c r="V663" i="10" s="1"/>
  <c r="G801" i="10"/>
  <c r="V801" i="10" s="1"/>
  <c r="G776" i="10"/>
  <c r="V776" i="10" s="1"/>
  <c r="G602" i="10"/>
  <c r="V602" i="10" s="1"/>
  <c r="G834" i="10"/>
  <c r="V834" i="10" s="1"/>
  <c r="G601" i="10"/>
  <c r="V601" i="10" s="1"/>
  <c r="G783" i="10"/>
  <c r="V783" i="10" s="1"/>
  <c r="G697" i="10"/>
  <c r="V697" i="10" s="1"/>
  <c r="G511" i="10"/>
  <c r="V511" i="10" s="1"/>
  <c r="G568" i="10"/>
  <c r="V568" i="10" s="1"/>
  <c r="G751" i="10"/>
  <c r="V751" i="10" s="1"/>
  <c r="G691" i="10"/>
  <c r="V691" i="10" s="1"/>
  <c r="G804" i="10"/>
  <c r="V804" i="10" s="1"/>
  <c r="G476" i="10"/>
  <c r="V476" i="10" s="1"/>
  <c r="G507" i="10"/>
  <c r="V507" i="10" s="1"/>
  <c r="K76" i="13"/>
  <c r="Y76" i="13" s="1"/>
  <c r="K109" i="13"/>
  <c r="Y109" i="13" s="1"/>
  <c r="K92" i="13"/>
  <c r="Y92" i="13" s="1"/>
  <c r="K70" i="13"/>
  <c r="Y70" i="13" s="1"/>
  <c r="K32" i="13"/>
  <c r="Y32" i="13" s="1"/>
  <c r="K29" i="13"/>
  <c r="Y29" i="13" s="1"/>
  <c r="K78" i="13"/>
  <c r="Y78" i="13" s="1"/>
  <c r="K159" i="13"/>
  <c r="Y159" i="13" s="1"/>
  <c r="K49" i="13"/>
  <c r="Y49" i="13" s="1"/>
  <c r="K18" i="13"/>
  <c r="Y18" i="13" s="1"/>
  <c r="K45" i="13"/>
  <c r="Y45" i="13" s="1"/>
  <c r="K103" i="13"/>
  <c r="Y103" i="13" s="1"/>
  <c r="K161" i="13"/>
  <c r="Y161" i="13" s="1"/>
  <c r="V34" i="1"/>
  <c r="BA54" i="4" s="1"/>
  <c r="G688" i="10"/>
  <c r="V688" i="10" s="1"/>
  <c r="G828" i="10"/>
  <c r="V828" i="10" s="1"/>
  <c r="G837" i="10"/>
  <c r="V837" i="10" s="1"/>
  <c r="G559" i="10"/>
  <c r="V559" i="10" s="1"/>
  <c r="G748" i="10"/>
  <c r="V748" i="10" s="1"/>
  <c r="G784" i="10"/>
  <c r="V784" i="10" s="1"/>
  <c r="G651" i="10"/>
  <c r="V651" i="10" s="1"/>
  <c r="G639" i="10"/>
  <c r="V639" i="10" s="1"/>
  <c r="G724" i="10"/>
  <c r="V724" i="10" s="1"/>
  <c r="G600" i="10"/>
  <c r="V600" i="10" s="1"/>
  <c r="G667" i="10"/>
  <c r="V667" i="10" s="1"/>
  <c r="G518" i="10"/>
  <c r="V518" i="10" s="1"/>
  <c r="G506" i="10"/>
  <c r="V506" i="10" s="1"/>
  <c r="G632" i="10"/>
  <c r="V632" i="10" s="1"/>
  <c r="G692" i="10"/>
  <c r="V692" i="10" s="1"/>
  <c r="G726" i="10"/>
  <c r="V726" i="10" s="1"/>
  <c r="G444" i="10"/>
  <c r="V444" i="10" s="1"/>
  <c r="G722" i="10"/>
  <c r="V722" i="10" s="1"/>
  <c r="G629" i="10"/>
  <c r="V629" i="10" s="1"/>
  <c r="G570" i="10"/>
  <c r="V570" i="10" s="1"/>
  <c r="G657" i="10"/>
  <c r="V657" i="10" s="1"/>
  <c r="G644" i="10"/>
  <c r="V644" i="10" s="1"/>
  <c r="G824" i="10"/>
  <c r="V824" i="10" s="1"/>
  <c r="G160" i="10"/>
  <c r="V160" i="10" s="1"/>
  <c r="G420" i="10"/>
  <c r="V420" i="10" s="1"/>
  <c r="G504" i="10"/>
  <c r="V504" i="10" s="1"/>
  <c r="G463" i="10"/>
  <c r="V463" i="10" s="1"/>
  <c r="G666" i="10"/>
  <c r="V666" i="10" s="1"/>
  <c r="G552" i="10"/>
  <c r="V552" i="10" s="1"/>
  <c r="G510" i="10"/>
  <c r="V510" i="10" s="1"/>
  <c r="G805" i="10"/>
  <c r="V805" i="10" s="1"/>
  <c r="G729" i="10"/>
  <c r="V729" i="10" s="1"/>
  <c r="G489" i="10"/>
  <c r="V489" i="10" s="1"/>
  <c r="G527" i="10"/>
  <c r="V527" i="10" s="1"/>
  <c r="G588" i="10"/>
  <c r="V588" i="10" s="1"/>
  <c r="G719" i="10"/>
  <c r="V719" i="10" s="1"/>
  <c r="G728" i="10"/>
  <c r="V728" i="10" s="1"/>
  <c r="G661" i="10"/>
  <c r="V661" i="10" s="1"/>
  <c r="G582" i="10"/>
  <c r="V582" i="10" s="1"/>
  <c r="G592" i="10"/>
  <c r="V592" i="10" s="1"/>
  <c r="G174" i="10"/>
  <c r="V174" i="10" s="1"/>
  <c r="G468" i="10"/>
  <c r="V468" i="10" s="1"/>
  <c r="G645" i="10"/>
  <c r="V645" i="10" s="1"/>
  <c r="G659" i="10"/>
  <c r="V659" i="10" s="1"/>
  <c r="G472" i="10"/>
  <c r="V472" i="10" s="1"/>
  <c r="G163" i="10"/>
  <c r="V163" i="10" s="1"/>
  <c r="G166" i="10"/>
  <c r="V166" i="10" s="1"/>
  <c r="G164" i="10"/>
  <c r="V164" i="10" s="1"/>
  <c r="G587" i="10"/>
  <c r="V587" i="10" s="1"/>
  <c r="G162" i="10"/>
  <c r="V162" i="10" s="1"/>
  <c r="G610" i="10"/>
  <c r="V610" i="10" s="1"/>
  <c r="G579" i="10"/>
  <c r="V579" i="10" s="1"/>
  <c r="G749" i="10"/>
  <c r="V749" i="10" s="1"/>
  <c r="G586" i="10"/>
  <c r="V586" i="10" s="1"/>
  <c r="G165" i="10"/>
  <c r="V165" i="10" s="1"/>
  <c r="G766" i="10"/>
  <c r="V766" i="10" s="1"/>
  <c r="G779" i="10"/>
  <c r="V779" i="10" s="1"/>
  <c r="G415" i="10"/>
  <c r="V415" i="10" s="1"/>
  <c r="G523" i="10"/>
  <c r="V523" i="10" s="1"/>
  <c r="G841" i="10"/>
  <c r="V841" i="10" s="1"/>
  <c r="G457" i="10"/>
  <c r="V457" i="10" s="1"/>
  <c r="G551" i="10"/>
  <c r="V551" i="10" s="1"/>
  <c r="G473" i="10"/>
  <c r="V473" i="10" s="1"/>
  <c r="G158" i="10"/>
  <c r="V158" i="10" s="1"/>
  <c r="G566" i="10"/>
  <c r="V566" i="10" s="1"/>
  <c r="G526" i="10"/>
  <c r="V526" i="10" s="1"/>
  <c r="G723" i="10"/>
  <c r="V723" i="10" s="1"/>
  <c r="G449" i="10"/>
  <c r="V449" i="10" s="1"/>
  <c r="G823" i="10"/>
  <c r="V823" i="10" s="1"/>
  <c r="G623" i="10"/>
  <c r="V623" i="10" s="1"/>
  <c r="G835" i="10"/>
  <c r="V835" i="10" s="1"/>
  <c r="G811" i="10"/>
  <c r="V811" i="10" s="1"/>
  <c r="G450" i="10"/>
  <c r="V450" i="10" s="1"/>
  <c r="G168" i="10"/>
  <c r="V168" i="10" s="1"/>
  <c r="G525" i="10"/>
  <c r="V525" i="10" s="1"/>
  <c r="G171" i="10"/>
  <c r="V171" i="10" s="1"/>
  <c r="G555" i="10"/>
  <c r="V555" i="10" s="1"/>
  <c r="G609" i="10"/>
  <c r="V609" i="10" s="1"/>
  <c r="G170" i="10"/>
  <c r="V170" i="10" s="1"/>
  <c r="G169" i="10"/>
  <c r="V169" i="10" s="1"/>
  <c r="G735" i="10"/>
  <c r="V735" i="10" s="1"/>
  <c r="G167" i="10"/>
  <c r="V167" i="10" s="1"/>
  <c r="G698" i="10"/>
  <c r="V698" i="10" s="1"/>
  <c r="G495" i="10"/>
  <c r="V495" i="10" s="1"/>
  <c r="G699" i="10"/>
  <c r="V699" i="10" s="1"/>
  <c r="G598" i="10"/>
  <c r="V598" i="10" s="1"/>
  <c r="G768" i="10"/>
  <c r="V768" i="10" s="1"/>
  <c r="G682" i="10"/>
  <c r="V682" i="10" s="1"/>
  <c r="G753" i="10"/>
  <c r="V753" i="10" s="1"/>
  <c r="G605" i="10"/>
  <c r="V605" i="10" s="1"/>
  <c r="G622" i="10"/>
  <c r="V622" i="10" s="1"/>
  <c r="G773" i="10"/>
  <c r="V773" i="10" s="1"/>
  <c r="G498" i="10"/>
  <c r="V498" i="10" s="1"/>
  <c r="G649" i="10"/>
  <c r="V649" i="10" s="1"/>
  <c r="G599" i="10"/>
  <c r="V599" i="10" s="1"/>
  <c r="G496" i="10"/>
  <c r="V496" i="10" s="1"/>
  <c r="G720" i="10"/>
  <c r="V720" i="10" s="1"/>
  <c r="G700" i="10"/>
  <c r="V700" i="10" s="1"/>
  <c r="G488" i="10"/>
  <c r="V488" i="10" s="1"/>
  <c r="G774" i="10"/>
  <c r="V774" i="10" s="1"/>
  <c r="G703" i="10"/>
  <c r="V703" i="10" s="1"/>
  <c r="G591" i="10"/>
  <c r="V591" i="10" s="1"/>
  <c r="G460" i="10"/>
  <c r="V460" i="10" s="1"/>
  <c r="G581" i="10"/>
  <c r="V581" i="10" s="1"/>
  <c r="G173" i="10"/>
  <c r="V173" i="10" s="1"/>
  <c r="G646" i="10"/>
  <c r="V646" i="10" s="1"/>
  <c r="G607" i="10"/>
  <c r="V607" i="10" s="1"/>
  <c r="G732" i="10"/>
  <c r="V732" i="10" s="1"/>
  <c r="G825" i="10"/>
  <c r="V825" i="10" s="1"/>
  <c r="G464" i="10"/>
  <c r="V464" i="10" s="1"/>
  <c r="G486" i="10"/>
  <c r="V486" i="10" s="1"/>
  <c r="G558" i="10"/>
  <c r="V558" i="10" s="1"/>
  <c r="G827" i="10"/>
  <c r="V827" i="10" s="1"/>
  <c r="G821" i="10"/>
  <c r="V821" i="10" s="1"/>
  <c r="G574" i="10"/>
  <c r="V574" i="10" s="1"/>
  <c r="G159" i="10"/>
  <c r="V159" i="10" s="1"/>
  <c r="G580" i="10"/>
  <c r="V580" i="10" s="1"/>
  <c r="G490" i="10"/>
  <c r="V490" i="10" s="1"/>
  <c r="G795" i="10"/>
  <c r="V795" i="10" s="1"/>
  <c r="G752" i="10"/>
  <c r="V752" i="10" s="1"/>
  <c r="G466" i="10"/>
  <c r="V466" i="10" s="1"/>
  <c r="G554" i="10"/>
  <c r="V554" i="10" s="1"/>
  <c r="G493" i="10"/>
  <c r="V493" i="10" s="1"/>
  <c r="G543" i="10"/>
  <c r="V543" i="10" s="1"/>
  <c r="G615" i="10"/>
  <c r="V615" i="10" s="1"/>
  <c r="G794" i="10"/>
  <c r="V794" i="10" s="1"/>
  <c r="G790" i="10"/>
  <c r="V790" i="10" s="1"/>
  <c r="G621" i="10"/>
  <c r="V621" i="10" s="1"/>
  <c r="G539" i="10"/>
  <c r="V539" i="10" s="1"/>
  <c r="G787" i="10"/>
  <c r="V787" i="10" s="1"/>
  <c r="G546" i="10"/>
  <c r="V546" i="10" s="1"/>
  <c r="G454" i="10"/>
  <c r="V454" i="10" s="1"/>
  <c r="G613" i="10"/>
  <c r="V613" i="10" s="1"/>
  <c r="G532" i="10"/>
  <c r="V532" i="10" s="1"/>
  <c r="G474" i="10"/>
  <c r="V474" i="10" s="1"/>
  <c r="G508" i="10"/>
  <c r="V508" i="10" s="1"/>
  <c r="G758" i="10"/>
  <c r="V758" i="10" s="1"/>
  <c r="G765" i="10"/>
  <c r="V765" i="10" s="1"/>
  <c r="G467" i="10"/>
  <c r="V467" i="10" s="1"/>
  <c r="G533" i="10"/>
  <c r="V533" i="10" s="1"/>
  <c r="G620" i="10"/>
  <c r="V620" i="10" s="1"/>
  <c r="G654" i="10"/>
  <c r="V654" i="10" s="1"/>
  <c r="G617" i="10"/>
  <c r="V617" i="10" s="1"/>
  <c r="G548" i="10"/>
  <c r="V548" i="10" s="1"/>
  <c r="G529" i="10"/>
  <c r="V529" i="10" s="1"/>
  <c r="G531" i="10"/>
  <c r="V531" i="10" s="1"/>
  <c r="G535" i="10"/>
  <c r="V535" i="10" s="1"/>
  <c r="G547" i="10"/>
  <c r="V547" i="10" s="1"/>
  <c r="G614" i="10"/>
  <c r="V614" i="10" s="1"/>
  <c r="G796" i="10"/>
  <c r="V796" i="10" s="1"/>
  <c r="G797" i="10"/>
  <c r="V797" i="10" s="1"/>
  <c r="G534" i="10"/>
  <c r="V534" i="10" s="1"/>
  <c r="G544" i="10"/>
  <c r="V544" i="10" s="1"/>
  <c r="G541" i="10"/>
  <c r="V541" i="10" s="1"/>
  <c r="G556" i="10"/>
  <c r="V556" i="10" s="1"/>
  <c r="G618" i="10"/>
  <c r="V618" i="10" s="1"/>
  <c r="G745" i="10"/>
  <c r="V745" i="10" s="1"/>
  <c r="G545" i="10"/>
  <c r="V545" i="10" s="1"/>
  <c r="G763" i="10"/>
  <c r="V763" i="10" s="1"/>
  <c r="G445" i="10"/>
  <c r="V445" i="10" s="1"/>
  <c r="G806" i="10"/>
  <c r="V806" i="10" s="1"/>
  <c r="G446" i="10"/>
  <c r="V446" i="10" s="1"/>
  <c r="G536" i="10"/>
  <c r="V536" i="10" s="1"/>
  <c r="G637" i="10"/>
  <c r="V637" i="10" s="1"/>
  <c r="G537" i="10"/>
  <c r="V537" i="10" s="1"/>
  <c r="G576" i="10"/>
  <c r="V576" i="10" s="1"/>
  <c r="G616" i="10"/>
  <c r="V616" i="10" s="1"/>
  <c r="G775" i="10"/>
  <c r="V775" i="10" s="1"/>
  <c r="G789" i="10"/>
  <c r="V789" i="10" s="1"/>
  <c r="G792" i="10"/>
  <c r="V792" i="10" s="1"/>
  <c r="G542" i="10"/>
  <c r="V542" i="10" s="1"/>
  <c r="G538" i="10"/>
  <c r="V538" i="10" s="1"/>
  <c r="G612" i="10"/>
  <c r="V612" i="10" s="1"/>
  <c r="G619" i="10"/>
  <c r="V619" i="10" s="1"/>
  <c r="G687" i="10"/>
  <c r="V687" i="10" s="1"/>
  <c r="G540" i="10"/>
  <c r="V540" i="10" s="1"/>
  <c r="F76" i="16"/>
  <c r="F41" i="16"/>
  <c r="F38" i="16"/>
  <c r="F28" i="16"/>
  <c r="F9" i="16"/>
  <c r="F14" i="16"/>
  <c r="F115" i="16"/>
  <c r="F85" i="16"/>
  <c r="F26" i="16"/>
  <c r="G499" i="10"/>
  <c r="V499" i="10" s="1"/>
  <c r="G630" i="10"/>
  <c r="V630" i="10" s="1"/>
  <c r="G625" i="10"/>
  <c r="V625" i="10" s="1"/>
  <c r="G810" i="10"/>
  <c r="V810" i="10" s="1"/>
  <c r="G770" i="10"/>
  <c r="V770" i="10" s="1"/>
  <c r="G652" i="10"/>
  <c r="V652" i="10" s="1"/>
  <c r="G641" i="10"/>
  <c r="V641" i="10" s="1"/>
  <c r="G807" i="10"/>
  <c r="V807" i="10" s="1"/>
  <c r="G421" i="10"/>
  <c r="V421" i="10" s="1"/>
  <c r="G456" i="10"/>
  <c r="V456" i="10" s="1"/>
  <c r="G520" i="10"/>
  <c r="V520" i="10" s="1"/>
  <c r="G764" i="10"/>
  <c r="V764" i="10" s="1"/>
  <c r="G669" i="10"/>
  <c r="V669" i="10" s="1"/>
  <c r="G750" i="10"/>
  <c r="V750" i="10" s="1"/>
  <c r="G447" i="10"/>
  <c r="V447" i="10" s="1"/>
  <c r="G627" i="10"/>
  <c r="V627" i="10" s="1"/>
  <c r="G660" i="10"/>
  <c r="V660" i="10" s="1"/>
  <c r="G803" i="10"/>
  <c r="V803" i="10" s="1"/>
  <c r="G497" i="10"/>
  <c r="V497" i="10" s="1"/>
  <c r="G448" i="10"/>
  <c r="V448" i="10" s="1"/>
  <c r="G578" i="10"/>
  <c r="V578" i="10" s="1"/>
  <c r="G686" i="10"/>
  <c r="V686" i="10" s="1"/>
  <c r="G528" i="10"/>
  <c r="V528" i="10" s="1"/>
  <c r="G800" i="10"/>
  <c r="V800" i="10" s="1"/>
  <c r="G798" i="10"/>
  <c r="V798" i="10" s="1"/>
  <c r="G642" i="10"/>
  <c r="V642" i="10" s="1"/>
  <c r="G643" i="10"/>
  <c r="V643" i="10" s="1"/>
  <c r="G593" i="10"/>
  <c r="V593" i="10" s="1"/>
  <c r="G549" i="10"/>
  <c r="V549" i="10" s="1"/>
  <c r="G742" i="10"/>
  <c r="V742" i="10" s="1"/>
  <c r="G809" i="10"/>
  <c r="V809" i="10" s="1"/>
  <c r="G650" i="10"/>
  <c r="V650" i="10" s="1"/>
  <c r="G595" i="10"/>
  <c r="V595" i="10" s="1"/>
  <c r="G829" i="10"/>
  <c r="V829" i="10" s="1"/>
  <c r="G636" i="10"/>
  <c r="V636" i="10" s="1"/>
  <c r="G690" i="10"/>
  <c r="V690" i="10" s="1"/>
  <c r="G799" i="10"/>
  <c r="V799" i="10" s="1"/>
  <c r="G771" i="10"/>
  <c r="V771" i="10" s="1"/>
  <c r="F2" i="16"/>
  <c r="F70" i="16"/>
  <c r="F92" i="16"/>
  <c r="F11" i="16"/>
  <c r="F18" i="16"/>
  <c r="F104" i="16"/>
  <c r="F75" i="16"/>
  <c r="F79" i="16"/>
  <c r="F110" i="16"/>
  <c r="F19" i="16"/>
  <c r="F46" i="16"/>
  <c r="F68" i="16"/>
  <c r="F74" i="16"/>
  <c r="F97" i="16"/>
  <c r="F32" i="16"/>
  <c r="F24" i="16"/>
  <c r="F43" i="16"/>
  <c r="F94" i="16"/>
  <c r="F30" i="16"/>
  <c r="F27" i="16"/>
  <c r="F63" i="16"/>
  <c r="F60" i="16"/>
  <c r="F66" i="16"/>
  <c r="F81" i="16"/>
  <c r="F77" i="16"/>
  <c r="F56" i="16"/>
  <c r="F25" i="16"/>
  <c r="F67" i="16"/>
  <c r="F8" i="16"/>
  <c r="F72" i="16"/>
  <c r="F4" i="16"/>
  <c r="F5" i="16"/>
  <c r="F35" i="16"/>
  <c r="F22" i="16"/>
  <c r="F7" i="16"/>
  <c r="F112" i="16"/>
  <c r="F36" i="16"/>
  <c r="F58" i="16"/>
  <c r="F33" i="16"/>
  <c r="F20" i="16"/>
  <c r="F88" i="16"/>
  <c r="F69" i="16"/>
  <c r="F12" i="16"/>
  <c r="F13" i="16"/>
  <c r="F59" i="16"/>
  <c r="F39" i="16"/>
  <c r="G689" i="10"/>
  <c r="V689" i="10" s="1"/>
  <c r="G838" i="10"/>
  <c r="V838" i="10" s="1"/>
  <c r="G746" i="10"/>
  <c r="V746" i="10" s="1"/>
  <c r="G459" i="10"/>
  <c r="V459" i="10" s="1"/>
  <c r="G664" i="10"/>
  <c r="V664" i="10" s="1"/>
  <c r="G416" i="10"/>
  <c r="V416" i="10" s="1"/>
  <c r="G780" i="10"/>
  <c r="V780" i="10" s="1"/>
  <c r="G611" i="10"/>
  <c r="V611" i="10" s="1"/>
  <c r="G781" i="10"/>
  <c r="V781" i="10" s="1"/>
  <c r="G161" i="10"/>
  <c r="V161" i="10" s="1"/>
  <c r="G553" i="10"/>
  <c r="V553" i="10" s="1"/>
  <c r="G702" i="10"/>
  <c r="V702" i="10" s="1"/>
  <c r="G567" i="10"/>
  <c r="V567" i="10" s="1"/>
  <c r="G693" i="10"/>
  <c r="V693" i="10" s="1"/>
  <c r="G772" i="10"/>
  <c r="V772" i="10" s="1"/>
  <c r="G743" i="10"/>
  <c r="V743" i="10" s="1"/>
  <c r="G820" i="10"/>
  <c r="V820" i="10" s="1"/>
  <c r="G662" i="10"/>
  <c r="V662" i="10" s="1"/>
  <c r="E51" i="1"/>
  <c r="E34" i="11"/>
  <c r="E50" i="11"/>
  <c r="E48" i="11"/>
  <c r="E49" i="11"/>
  <c r="N44" i="11"/>
  <c r="K44" i="11"/>
  <c r="M37" i="11"/>
  <c r="N37" i="11"/>
  <c r="L41" i="11"/>
  <c r="CR4" i="4"/>
  <c r="Q30" i="15" s="1"/>
  <c r="U6" i="1"/>
  <c r="BA61" i="4" s="1"/>
  <c r="CI10" i="4"/>
  <c r="DG13" i="4"/>
  <c r="M6" i="1"/>
  <c r="BA58" i="4" s="1"/>
  <c r="CG11" i="4"/>
  <c r="CR6" i="4"/>
  <c r="BK11" i="15"/>
  <c r="CZ13" i="4"/>
  <c r="DA13" i="4"/>
  <c r="CY13" i="4"/>
  <c r="CX13" i="4"/>
  <c r="DB13" i="4"/>
  <c r="DE13" i="4"/>
  <c r="DD13" i="4"/>
  <c r="DC13" i="4"/>
  <c r="CQ5" i="4"/>
  <c r="M1" i="3"/>
  <c r="A3" i="3" s="1"/>
  <c r="N46" i="11"/>
  <c r="M40" i="11"/>
  <c r="CH23" i="4"/>
  <c r="DG22" i="4"/>
  <c r="CW22" i="4"/>
  <c r="CZ22" i="4"/>
  <c r="CY22" i="4"/>
  <c r="CX22" i="4"/>
  <c r="DA22" i="4"/>
  <c r="DB22" i="4"/>
  <c r="CF19" i="4"/>
  <c r="BM12" i="15"/>
  <c r="DG24" i="4" s="1"/>
  <c r="DD22" i="4"/>
  <c r="DF22" i="4"/>
  <c r="DC22" i="4"/>
  <c r="DE22" i="4"/>
  <c r="BM9" i="15"/>
  <c r="CI20" i="4"/>
  <c r="CG18" i="4"/>
  <c r="CG17" i="4"/>
  <c r="BW27" i="15"/>
  <c r="BW8" i="15"/>
  <c r="BY2" i="15"/>
  <c r="BW16" i="15"/>
  <c r="R41" i="1"/>
  <c r="AO31" i="22" l="1"/>
  <c r="F339" i="22"/>
  <c r="F327" i="22"/>
  <c r="F301" i="22"/>
  <c r="F261" i="22"/>
  <c r="F243" i="22"/>
  <c r="F216" i="22"/>
  <c r="F190" i="22"/>
  <c r="F174" i="22"/>
  <c r="F147" i="22"/>
  <c r="F108" i="22"/>
  <c r="F93" i="22"/>
  <c r="F77" i="22"/>
  <c r="F52" i="22"/>
  <c r="F37" i="22"/>
  <c r="F21" i="22"/>
  <c r="F340" i="22"/>
  <c r="F328" i="22"/>
  <c r="F304" i="22"/>
  <c r="F272" i="22"/>
  <c r="F245" i="22"/>
  <c r="F218" i="22"/>
  <c r="F202" i="22"/>
  <c r="F175" i="22"/>
  <c r="F149" i="22"/>
  <c r="F132" i="22"/>
  <c r="F94" i="22"/>
  <c r="F79" i="22"/>
  <c r="F62" i="22"/>
  <c r="F38" i="22"/>
  <c r="F23" i="22"/>
  <c r="F329" i="22"/>
  <c r="F337" i="22"/>
  <c r="F305" i="22"/>
  <c r="F274" i="22"/>
  <c r="F258" i="22"/>
  <c r="F219" i="22"/>
  <c r="F204" i="22"/>
  <c r="F187" i="22"/>
  <c r="F150" i="22"/>
  <c r="F134" i="22"/>
  <c r="F104" i="22"/>
  <c r="F80" i="22"/>
  <c r="F64" i="22"/>
  <c r="F49" i="22"/>
  <c r="F24" i="22"/>
  <c r="F338" i="22"/>
  <c r="F326" i="22"/>
  <c r="F275" i="22"/>
  <c r="F260" i="22"/>
  <c r="F241" i="22"/>
  <c r="F205" i="22"/>
  <c r="F189" i="22"/>
  <c r="F172" i="22"/>
  <c r="F135" i="22"/>
  <c r="F107" i="22"/>
  <c r="F91" i="22"/>
  <c r="F66" i="22"/>
  <c r="F51" i="22"/>
  <c r="F34" i="22"/>
  <c r="G648" i="10"/>
  <c r="V648" i="10" s="1"/>
  <c r="G513" i="10"/>
  <c r="V513" i="10" s="1"/>
  <c r="G793" i="10"/>
  <c r="V793" i="10" s="1"/>
  <c r="G696" i="10"/>
  <c r="V696" i="10" s="1"/>
  <c r="G571" i="10"/>
  <c r="V571" i="10" s="1"/>
  <c r="G815" i="10"/>
  <c r="V815" i="10" s="1"/>
  <c r="G707" i="10"/>
  <c r="V707" i="10" s="1"/>
  <c r="G802" i="10"/>
  <c r="V802" i="10" s="1"/>
  <c r="G575" i="10"/>
  <c r="V575" i="10" s="1"/>
  <c r="G836" i="10"/>
  <c r="V836" i="10" s="1"/>
  <c r="G695" i="10"/>
  <c r="V695" i="10" s="1"/>
  <c r="G624" i="10"/>
  <c r="V624" i="10" s="1"/>
  <c r="G737" i="10"/>
  <c r="V737" i="10" s="1"/>
  <c r="G786" i="10"/>
  <c r="V786" i="10" s="1"/>
  <c r="G461" i="10"/>
  <c r="V461" i="10" s="1"/>
  <c r="G628" i="10"/>
  <c r="V628" i="10" s="1"/>
  <c r="G594" i="10"/>
  <c r="V594" i="10" s="1"/>
  <c r="G791" i="10"/>
  <c r="V791" i="10" s="1"/>
  <c r="G453" i="10"/>
  <c r="V453" i="10" s="1"/>
  <c r="G626" i="10"/>
  <c r="V626" i="10" s="1"/>
  <c r="G633" i="10"/>
  <c r="V633" i="10" s="1"/>
  <c r="G844" i="10"/>
  <c r="V844" i="10" s="1"/>
  <c r="G471" i="10"/>
  <c r="V471" i="10" s="1"/>
  <c r="G521" i="10"/>
  <c r="V521" i="10" s="1"/>
  <c r="G640" i="10"/>
  <c r="V640" i="10" s="1"/>
  <c r="G462" i="10"/>
  <c r="V462" i="10" s="1"/>
  <c r="G516" i="10"/>
  <c r="V516" i="10" s="1"/>
  <c r="G808" i="10"/>
  <c r="V808" i="10" s="1"/>
  <c r="G832" i="10"/>
  <c r="V832" i="10" s="1"/>
  <c r="G833" i="10"/>
  <c r="V833" i="10" s="1"/>
  <c r="G819" i="10"/>
  <c r="V819" i="10" s="1"/>
  <c r="G756" i="10"/>
  <c r="V756" i="10" s="1"/>
  <c r="G562" i="10"/>
  <c r="V562" i="10" s="1"/>
  <c r="G655" i="10"/>
  <c r="V655" i="10" s="1"/>
  <c r="G418" i="10"/>
  <c r="V418" i="10" s="1"/>
  <c r="G492" i="10"/>
  <c r="V492" i="10" s="1"/>
  <c r="G818" i="10"/>
  <c r="V818" i="10" s="1"/>
  <c r="F7" i="22"/>
  <c r="AO24" i="22"/>
  <c r="AO32" i="22"/>
  <c r="AO22" i="22"/>
  <c r="AO13" i="22"/>
  <c r="F6" i="22"/>
  <c r="F4" i="22"/>
  <c r="AO20" i="22"/>
  <c r="AO23" i="22"/>
  <c r="AO18" i="22"/>
  <c r="F179" i="22"/>
  <c r="AO7" i="22"/>
  <c r="F181" i="22"/>
  <c r="AO9" i="22"/>
  <c r="AO40" i="22"/>
  <c r="F9" i="22"/>
  <c r="AO14" i="22"/>
  <c r="AO27" i="22"/>
  <c r="V35" i="1"/>
  <c r="AO4" i="22"/>
  <c r="AO35" i="22"/>
  <c r="AO33" i="22"/>
  <c r="F2" i="22"/>
  <c r="AO8" i="22"/>
  <c r="AO21" i="22"/>
  <c r="AO36" i="22"/>
  <c r="AO34" i="22"/>
  <c r="AO30" i="22"/>
  <c r="F8" i="22"/>
  <c r="AO3" i="22"/>
  <c r="AO26" i="22"/>
  <c r="F178" i="22"/>
  <c r="F5" i="22"/>
  <c r="AO11" i="22"/>
  <c r="AO2" i="22"/>
  <c r="AO15" i="22"/>
  <c r="AO37" i="22"/>
  <c r="AO28" i="22"/>
  <c r="F11" i="22"/>
  <c r="AO12" i="22"/>
  <c r="AO29" i="22"/>
  <c r="F177" i="22"/>
  <c r="AO10" i="22"/>
  <c r="AO25" i="22"/>
  <c r="F15" i="22"/>
  <c r="AO38" i="22"/>
  <c r="F3" i="22"/>
  <c r="AO5" i="22"/>
  <c r="AO17" i="22"/>
  <c r="AO41" i="22"/>
  <c r="F180" i="22"/>
  <c r="F10" i="22"/>
  <c r="AO6" i="22"/>
  <c r="AO19" i="22"/>
  <c r="AO16" i="22"/>
  <c r="AO39" i="22"/>
  <c r="C34" i="11"/>
  <c r="AD3" i="10"/>
  <c r="C41" i="11"/>
  <c r="AD8" i="10"/>
  <c r="I119" i="13" s="1"/>
  <c r="AJ57" i="10"/>
  <c r="AG45" i="22"/>
  <c r="AG51" i="22"/>
  <c r="Y15" i="22"/>
  <c r="AG4" i="22"/>
  <c r="AG10" i="22"/>
  <c r="Y36" i="22"/>
  <c r="Y79" i="22"/>
  <c r="Y72" i="22"/>
  <c r="Y65" i="22"/>
  <c r="AG29" i="22"/>
  <c r="AG28" i="22"/>
  <c r="AG90" i="22"/>
  <c r="AG78" i="22"/>
  <c r="AG73" i="22"/>
  <c r="AG36" i="22"/>
  <c r="AG60" i="22"/>
  <c r="AG53" i="22"/>
  <c r="AG66" i="22"/>
  <c r="Y91" i="22"/>
  <c r="Y89" i="22"/>
  <c r="AG99" i="22"/>
  <c r="Y42" i="22"/>
  <c r="Y52" i="22"/>
  <c r="AG13" i="22"/>
  <c r="Y28" i="22"/>
  <c r="Y26" i="22"/>
  <c r="Y93" i="22"/>
  <c r="AG48" i="22"/>
  <c r="Y16" i="22"/>
  <c r="AG5" i="22"/>
  <c r="Y75" i="22"/>
  <c r="Y62" i="22"/>
  <c r="AG91" i="22"/>
  <c r="AG54" i="22"/>
  <c r="Y87" i="22"/>
  <c r="Y47" i="22"/>
  <c r="AG17" i="22"/>
  <c r="Y97" i="22"/>
  <c r="Y41" i="22"/>
  <c r="AG33" i="22"/>
  <c r="Y90" i="22"/>
  <c r="Y46" i="22"/>
  <c r="AG21" i="22"/>
  <c r="Y27" i="22"/>
  <c r="AG8" i="22"/>
  <c r="AG89" i="22"/>
  <c r="AG38" i="22"/>
  <c r="Y43" i="22"/>
  <c r="Y23" i="22"/>
  <c r="AG50" i="22"/>
  <c r="Y14" i="22"/>
  <c r="AG9" i="22"/>
  <c r="Y38" i="22"/>
  <c r="Y78" i="22"/>
  <c r="Y66" i="22"/>
  <c r="AG22" i="22"/>
  <c r="AG86" i="22"/>
  <c r="AG81" i="22"/>
  <c r="AG35" i="22"/>
  <c r="AG61" i="22"/>
  <c r="AG57" i="22"/>
  <c r="AG65" i="22"/>
  <c r="Y86" i="22"/>
  <c r="Y88" i="22"/>
  <c r="AG95" i="22"/>
  <c r="Y45" i="22"/>
  <c r="Y54" i="22"/>
  <c r="AG14" i="22"/>
  <c r="Y30" i="22"/>
  <c r="Y92" i="22"/>
  <c r="Y21" i="22"/>
  <c r="Y32" i="22"/>
  <c r="Y70" i="22"/>
  <c r="AG25" i="22"/>
  <c r="AG80" i="22"/>
  <c r="AG98" i="22"/>
  <c r="Y61" i="22"/>
  <c r="Y29" i="22"/>
  <c r="AG47" i="22"/>
  <c r="Y20" i="22"/>
  <c r="AG3" i="22"/>
  <c r="Y74" i="22"/>
  <c r="Y71" i="22"/>
  <c r="AG87" i="22"/>
  <c r="AG77" i="22"/>
  <c r="AG56" i="22"/>
  <c r="AG63" i="22"/>
  <c r="AG15" i="22"/>
  <c r="Y101" i="22"/>
  <c r="Y13" i="22"/>
  <c r="Y81" i="22"/>
  <c r="AG23" i="22"/>
  <c r="AG79" i="22"/>
  <c r="AG71" i="22"/>
  <c r="AG96" i="22"/>
  <c r="Y60" i="22"/>
  <c r="Y95" i="22"/>
  <c r="AG44" i="22"/>
  <c r="Y19" i="22"/>
  <c r="AG6" i="22"/>
  <c r="Y37" i="22"/>
  <c r="Y73" i="22"/>
  <c r="Y69" i="22"/>
  <c r="AG30" i="22"/>
  <c r="AG82" i="22"/>
  <c r="AG75" i="22"/>
  <c r="AG41" i="22"/>
  <c r="AG52" i="22"/>
  <c r="AG62" i="22"/>
  <c r="Y84" i="22"/>
  <c r="AG93" i="22"/>
  <c r="Y50" i="22"/>
  <c r="Y51" i="22"/>
  <c r="Y53" i="22"/>
  <c r="AG12" i="22"/>
  <c r="Y22" i="22"/>
  <c r="Y98" i="22"/>
  <c r="Y40" i="22"/>
  <c r="AG84" i="22"/>
  <c r="AG34" i="22"/>
  <c r="AG70" i="22"/>
  <c r="Y48" i="22"/>
  <c r="AG18" i="22"/>
  <c r="Y99" i="22"/>
  <c r="Y12" i="22"/>
  <c r="Y33" i="22"/>
  <c r="Y67" i="22"/>
  <c r="AG27" i="22"/>
  <c r="AG85" i="22"/>
  <c r="AG37" i="22"/>
  <c r="AG69" i="22"/>
  <c r="AG101" i="22"/>
  <c r="Y55" i="22"/>
  <c r="Y94" i="22"/>
  <c r="AG42" i="22"/>
  <c r="AG43" i="22"/>
  <c r="AG2" i="22"/>
  <c r="Y39" i="22"/>
  <c r="Y76" i="22"/>
  <c r="AG31" i="22"/>
  <c r="AG72" i="22"/>
  <c r="AG58" i="22"/>
  <c r="Y85" i="22"/>
  <c r="Y56" i="22"/>
  <c r="Y31" i="22"/>
  <c r="AG46" i="22"/>
  <c r="Y17" i="22"/>
  <c r="AG7" i="22"/>
  <c r="Y34" i="22"/>
  <c r="Y77" i="22"/>
  <c r="Y64" i="22"/>
  <c r="AG24" i="22"/>
  <c r="AG83" i="22"/>
  <c r="AG76" i="22"/>
  <c r="AG39" i="22"/>
  <c r="AG40" i="22"/>
  <c r="AG55" i="22"/>
  <c r="AG68" i="22"/>
  <c r="AG67" i="22"/>
  <c r="Y82" i="22"/>
  <c r="AG94" i="22"/>
  <c r="AG100" i="22"/>
  <c r="Y49" i="22"/>
  <c r="Y57" i="22"/>
  <c r="AG20" i="22"/>
  <c r="Y25" i="22"/>
  <c r="Y96" i="22"/>
  <c r="AG49" i="22"/>
  <c r="Y18" i="22"/>
  <c r="AG11" i="22"/>
  <c r="Y35" i="22"/>
  <c r="Y80" i="22"/>
  <c r="Y68" i="22"/>
  <c r="AG26" i="22"/>
  <c r="AG88" i="22"/>
  <c r="AG74" i="22"/>
  <c r="AG32" i="22"/>
  <c r="AG59" i="22"/>
  <c r="AG64" i="22"/>
  <c r="Y83" i="22"/>
  <c r="AG92" i="22"/>
  <c r="AG97" i="22"/>
  <c r="Y44" i="22"/>
  <c r="Y58" i="22"/>
  <c r="Y59" i="22"/>
  <c r="AG16" i="22"/>
  <c r="Y24" i="22"/>
  <c r="Y100" i="22"/>
  <c r="Y63" i="22"/>
  <c r="AG19" i="22"/>
  <c r="AB99" i="24"/>
  <c r="AB54" i="1"/>
  <c r="AJ55" i="10" s="1"/>
  <c r="E12" i="1"/>
  <c r="AG2" i="10"/>
  <c r="Y2" i="22"/>
  <c r="Y8" i="22"/>
  <c r="Y10" i="22"/>
  <c r="Y7" i="22"/>
  <c r="Y4" i="22"/>
  <c r="Y6" i="22"/>
  <c r="Y5" i="22"/>
  <c r="Y3" i="22"/>
  <c r="Y11" i="22"/>
  <c r="Y9" i="22"/>
  <c r="F314" i="22"/>
  <c r="F162" i="22"/>
  <c r="F154" i="22"/>
  <c r="F334" i="22"/>
  <c r="F297" i="22"/>
  <c r="F267" i="22"/>
  <c r="F237" i="22"/>
  <c r="F197" i="22"/>
  <c r="F168" i="22"/>
  <c r="F127" i="22"/>
  <c r="F88" i="22"/>
  <c r="F59" i="22"/>
  <c r="F232" i="22"/>
  <c r="F188" i="22"/>
  <c r="F121" i="22"/>
  <c r="F78" i="22"/>
  <c r="F25" i="22"/>
  <c r="F111" i="22"/>
  <c r="F45" i="22"/>
  <c r="F17" i="22"/>
  <c r="F223" i="22"/>
  <c r="F291" i="22"/>
  <c r="F244" i="22"/>
  <c r="F171" i="22"/>
  <c r="F84" i="22"/>
  <c r="F20" i="22"/>
  <c r="F140" i="22"/>
  <c r="F313" i="22"/>
  <c r="F161" i="22"/>
  <c r="F153" i="22"/>
  <c r="F333" i="22"/>
  <c r="F296" i="22"/>
  <c r="F256" i="22"/>
  <c r="F215" i="22"/>
  <c r="F195" i="22"/>
  <c r="F167" i="22"/>
  <c r="F126" i="22"/>
  <c r="F87" i="22"/>
  <c r="F58" i="22"/>
  <c r="F230" i="22"/>
  <c r="F176" i="22"/>
  <c r="F119" i="22"/>
  <c r="F63" i="22"/>
  <c r="F120" i="22"/>
  <c r="F110" i="22"/>
  <c r="F33" i="22"/>
  <c r="F16" i="22"/>
  <c r="F222" i="22"/>
  <c r="F290" i="22"/>
  <c r="F236" i="22"/>
  <c r="F165" i="22"/>
  <c r="F75" i="22"/>
  <c r="F138" i="22"/>
  <c r="F249" i="22"/>
  <c r="F125" i="22"/>
  <c r="F27" i="22"/>
  <c r="F284" i="22"/>
  <c r="F312" i="22"/>
  <c r="F160" i="22"/>
  <c r="F152" i="22"/>
  <c r="F325" i="22"/>
  <c r="F295" i="22"/>
  <c r="F255" i="22"/>
  <c r="F214" i="22"/>
  <c r="F186" i="22"/>
  <c r="F146" i="22"/>
  <c r="F103" i="22"/>
  <c r="F76" i="22"/>
  <c r="F276" i="22"/>
  <c r="F229" i="22"/>
  <c r="F173" i="22"/>
  <c r="F118" i="22"/>
  <c r="F67" i="22"/>
  <c r="F117" i="22"/>
  <c r="F251" i="22"/>
  <c r="F32" i="22"/>
  <c r="F231" i="22"/>
  <c r="F221" i="22"/>
  <c r="F285" i="22"/>
  <c r="F211" i="22"/>
  <c r="F141" i="22"/>
  <c r="F72" i="22"/>
  <c r="F252" i="22"/>
  <c r="F124" i="22"/>
  <c r="F248" i="22"/>
  <c r="F98" i="22"/>
  <c r="F14" i="22"/>
  <c r="F283" i="22"/>
  <c r="P8" i="22"/>
  <c r="P60" i="22"/>
  <c r="P52" i="22"/>
  <c r="F311" i="22"/>
  <c r="F159" i="22"/>
  <c r="F324" i="22"/>
  <c r="F317" i="22"/>
  <c r="F309" i="22"/>
  <c r="F157" i="22"/>
  <c r="F322" i="22"/>
  <c r="F271" i="22"/>
  <c r="F240" i="22"/>
  <c r="F201" i="22"/>
  <c r="F182" i="22"/>
  <c r="F142" i="22"/>
  <c r="F99" i="22"/>
  <c r="F71" i="22"/>
  <c r="F259" i="22"/>
  <c r="F206" i="22"/>
  <c r="F136" i="22"/>
  <c r="F95" i="22"/>
  <c r="F39" i="22"/>
  <c r="F114" i="22"/>
  <c r="F48" i="22"/>
  <c r="F29" i="22"/>
  <c r="F226" i="22"/>
  <c r="F302" i="22"/>
  <c r="F263" i="22"/>
  <c r="F196" i="22"/>
  <c r="F123" i="22"/>
  <c r="F44" i="22"/>
  <c r="F42" i="22"/>
  <c r="F210" i="22"/>
  <c r="F70" i="22"/>
  <c r="F289" i="22"/>
  <c r="F279" i="22"/>
  <c r="P5" i="22"/>
  <c r="P57" i="22"/>
  <c r="F316" i="22"/>
  <c r="F308" i="22"/>
  <c r="F156" i="22"/>
  <c r="F158" i="22"/>
  <c r="F293" i="22"/>
  <c r="F213" i="22"/>
  <c r="F145" i="22"/>
  <c r="F74" i="22"/>
  <c r="F220" i="22"/>
  <c r="F106" i="22"/>
  <c r="F116" i="22"/>
  <c r="F31" i="22"/>
  <c r="F306" i="22"/>
  <c r="F208" i="22"/>
  <c r="F65" i="22"/>
  <c r="F85" i="22"/>
  <c r="F193" i="22"/>
  <c r="F155" i="22"/>
  <c r="F292" i="22"/>
  <c r="F212" i="22"/>
  <c r="F144" i="22"/>
  <c r="F73" i="22"/>
  <c r="F217" i="22"/>
  <c r="F105" i="22"/>
  <c r="F115" i="22"/>
  <c r="F30" i="22"/>
  <c r="F303" i="22"/>
  <c r="F199" i="22"/>
  <c r="F55" i="22"/>
  <c r="F56" i="22"/>
  <c r="F164" i="22"/>
  <c r="F287" i="22"/>
  <c r="P9" i="22"/>
  <c r="P58" i="22"/>
  <c r="F270" i="22"/>
  <c r="F200" i="22"/>
  <c r="F131" i="22"/>
  <c r="F61" i="22"/>
  <c r="F203" i="22"/>
  <c r="F92" i="22"/>
  <c r="F113" i="22"/>
  <c r="F19" i="22"/>
  <c r="F300" i="22"/>
  <c r="F41" i="22"/>
  <c r="F43" i="22"/>
  <c r="F97" i="22"/>
  <c r="F282" i="22"/>
  <c r="P7" i="22"/>
  <c r="P56" i="22"/>
  <c r="F336" i="22"/>
  <c r="F198" i="22"/>
  <c r="F60" i="22"/>
  <c r="F18" i="22"/>
  <c r="F266" i="22"/>
  <c r="P6" i="22"/>
  <c r="F318" i="22"/>
  <c r="F335" i="22"/>
  <c r="F253" i="22"/>
  <c r="F185" i="22"/>
  <c r="F102" i="22"/>
  <c r="F273" i="22"/>
  <c r="F151" i="22"/>
  <c r="F53" i="22"/>
  <c r="F143" i="22"/>
  <c r="F228" i="22"/>
  <c r="F278" i="22"/>
  <c r="F139" i="22"/>
  <c r="F265" i="22"/>
  <c r="F264" i="22"/>
  <c r="F69" i="22"/>
  <c r="F281" i="22"/>
  <c r="P4" i="22"/>
  <c r="P54" i="22"/>
  <c r="F299" i="22"/>
  <c r="F90" i="22"/>
  <c r="F36" i="22"/>
  <c r="F225" i="22"/>
  <c r="F100" i="22"/>
  <c r="F234" i="22"/>
  <c r="F277" i="22"/>
  <c r="F238" i="22"/>
  <c r="F89" i="22"/>
  <c r="F22" i="22"/>
  <c r="F224" i="22"/>
  <c r="F86" i="22"/>
  <c r="F194" i="22"/>
  <c r="P61" i="22"/>
  <c r="P10" i="22"/>
  <c r="F129" i="22"/>
  <c r="F81" i="22"/>
  <c r="F294" i="22"/>
  <c r="F35" i="22"/>
  <c r="F286" i="22"/>
  <c r="F315" i="22"/>
  <c r="F323" i="22"/>
  <c r="F250" i="22"/>
  <c r="F183" i="22"/>
  <c r="F101" i="22"/>
  <c r="F262" i="22"/>
  <c r="F148" i="22"/>
  <c r="F50" i="22"/>
  <c r="F128" i="22"/>
  <c r="F227" i="22"/>
  <c r="F269" i="22"/>
  <c r="F130" i="22"/>
  <c r="F209" i="22"/>
  <c r="F235" i="22"/>
  <c r="F57" i="22"/>
  <c r="F280" i="22"/>
  <c r="P3" i="22"/>
  <c r="P53" i="22"/>
  <c r="F310" i="22"/>
  <c r="F239" i="22"/>
  <c r="F170" i="22"/>
  <c r="F246" i="22"/>
  <c r="F133" i="22"/>
  <c r="F47" i="22"/>
  <c r="F257" i="22"/>
  <c r="F28" i="22"/>
  <c r="P2" i="22"/>
  <c r="F288" i="22"/>
  <c r="F298" i="22"/>
  <c r="F169" i="22"/>
  <c r="F242" i="22"/>
  <c r="F109" i="22"/>
  <c r="F46" i="22"/>
  <c r="F254" i="22"/>
  <c r="F166" i="22"/>
  <c r="F13" i="22"/>
  <c r="P11" i="22"/>
  <c r="P59" i="22"/>
  <c r="F268" i="22"/>
  <c r="F191" i="22"/>
  <c r="F112" i="22"/>
  <c r="F184" i="22"/>
  <c r="F83" i="22"/>
  <c r="P55" i="22"/>
  <c r="E43" i="11"/>
  <c r="E41" i="11"/>
  <c r="E46" i="11"/>
  <c r="E53" i="11"/>
  <c r="E40" i="11"/>
  <c r="P110" i="22"/>
  <c r="P102" i="22"/>
  <c r="P94" i="22"/>
  <c r="P86" i="22"/>
  <c r="P38" i="22"/>
  <c r="P30" i="22"/>
  <c r="P22" i="22"/>
  <c r="P116" i="22"/>
  <c r="P78" i="22"/>
  <c r="P70" i="22"/>
  <c r="P62" i="22"/>
  <c r="P44" i="22"/>
  <c r="P16" i="22"/>
  <c r="P91" i="22"/>
  <c r="P27" i="22"/>
  <c r="P121" i="22"/>
  <c r="P67" i="22"/>
  <c r="P13" i="22"/>
  <c r="P98" i="22"/>
  <c r="P26" i="22"/>
  <c r="P74" i="22"/>
  <c r="P12" i="22"/>
  <c r="P109" i="22"/>
  <c r="P101" i="22"/>
  <c r="P93" i="22"/>
  <c r="P85" i="22"/>
  <c r="P37" i="22"/>
  <c r="P29" i="22"/>
  <c r="P115" i="22"/>
  <c r="P77" i="22"/>
  <c r="P69" i="22"/>
  <c r="P51" i="22"/>
  <c r="P43" i="22"/>
  <c r="P15" i="22"/>
  <c r="P99" i="22"/>
  <c r="P35" i="22"/>
  <c r="P113" i="22"/>
  <c r="P49" i="22"/>
  <c r="P90" i="22"/>
  <c r="P34" i="22"/>
  <c r="P120" i="22"/>
  <c r="P66" i="22"/>
  <c r="P108" i="22"/>
  <c r="P100" i="22"/>
  <c r="P92" i="22"/>
  <c r="P84" i="22"/>
  <c r="P36" i="22"/>
  <c r="P28" i="22"/>
  <c r="P114" i="22"/>
  <c r="P76" i="22"/>
  <c r="P68" i="22"/>
  <c r="P50" i="22"/>
  <c r="P42" i="22"/>
  <c r="P14" i="22"/>
  <c r="P107" i="22"/>
  <c r="P83" i="22"/>
  <c r="P75" i="22"/>
  <c r="P21" i="22"/>
  <c r="P106" i="22"/>
  <c r="P82" i="22"/>
  <c r="P112" i="22"/>
  <c r="P48" i="22"/>
  <c r="P20" i="22"/>
  <c r="P105" i="22"/>
  <c r="P97" i="22"/>
  <c r="P89" i="22"/>
  <c r="P41" i="22"/>
  <c r="P33" i="22"/>
  <c r="P25" i="22"/>
  <c r="P119" i="22"/>
  <c r="P81" i="22"/>
  <c r="P73" i="22"/>
  <c r="P65" i="22"/>
  <c r="P47" i="22"/>
  <c r="P19" i="22"/>
  <c r="P104" i="22"/>
  <c r="P96" i="22"/>
  <c r="P88" i="22"/>
  <c r="P40" i="22"/>
  <c r="P32" i="22"/>
  <c r="P24" i="22"/>
  <c r="P118" i="22"/>
  <c r="P80" i="22"/>
  <c r="P95" i="22"/>
  <c r="P72" i="22"/>
  <c r="P63" i="22"/>
  <c r="P17" i="22"/>
  <c r="P87" i="22"/>
  <c r="P71" i="22"/>
  <c r="P31" i="22"/>
  <c r="P79" i="22"/>
  <c r="P39" i="22"/>
  <c r="P64" i="22"/>
  <c r="P23" i="22"/>
  <c r="P46" i="22"/>
  <c r="P45" i="22"/>
  <c r="P111" i="22"/>
  <c r="P117" i="22"/>
  <c r="P18" i="22"/>
  <c r="P103" i="22"/>
  <c r="E35" i="11"/>
  <c r="F472" i="22"/>
  <c r="F345" i="22"/>
  <c r="F445" i="22"/>
  <c r="F396" i="22"/>
  <c r="F341" i="22"/>
  <c r="F487" i="22"/>
  <c r="F389" i="22"/>
  <c r="F381" i="22"/>
  <c r="F369" i="22"/>
  <c r="F357" i="22"/>
  <c r="F372" i="22"/>
  <c r="F353" i="22"/>
  <c r="F405" i="22"/>
  <c r="F433" i="22"/>
  <c r="F444" i="22"/>
  <c r="F417" i="22"/>
  <c r="F437" i="22"/>
  <c r="F435" i="22"/>
  <c r="F409" i="22"/>
  <c r="F484" i="22"/>
  <c r="F428" i="22"/>
  <c r="F387" i="22"/>
  <c r="F462" i="22"/>
  <c r="F460" i="22"/>
  <c r="F412" i="22"/>
  <c r="F401" i="22"/>
  <c r="F479" i="22"/>
  <c r="F421" i="22"/>
  <c r="F380" i="22"/>
  <c r="F388" i="22"/>
  <c r="F393" i="22"/>
  <c r="F463" i="22"/>
  <c r="F420" i="22"/>
  <c r="F364" i="22"/>
  <c r="F419" i="22"/>
  <c r="F349" i="22"/>
  <c r="F494" i="22"/>
  <c r="F430" i="22"/>
  <c r="F391" i="22"/>
  <c r="F459" i="22"/>
  <c r="F368" i="22"/>
  <c r="F432" i="22"/>
  <c r="F385" i="22"/>
  <c r="F406" i="22"/>
  <c r="F378" i="22"/>
  <c r="F347" i="22"/>
  <c r="F471" i="22"/>
  <c r="F374" i="22"/>
  <c r="F485" i="22"/>
  <c r="F446" i="22"/>
  <c r="F480" i="22"/>
  <c r="F450" i="22"/>
  <c r="F399" i="22"/>
  <c r="F467" i="22"/>
  <c r="F376" i="22"/>
  <c r="F440" i="22"/>
  <c r="F425" i="22"/>
  <c r="F422" i="22"/>
  <c r="F394" i="22"/>
  <c r="F363" i="22"/>
  <c r="F495" i="22"/>
  <c r="F398" i="22"/>
  <c r="F346" i="22"/>
  <c r="F478" i="22"/>
  <c r="F488" i="22"/>
  <c r="F431" i="22"/>
  <c r="F344" i="22"/>
  <c r="F408" i="22"/>
  <c r="F342" i="22"/>
  <c r="F443" i="22"/>
  <c r="F402" i="22"/>
  <c r="F439" i="22"/>
  <c r="F366" i="22"/>
  <c r="F447" i="22"/>
  <c r="F418" i="22"/>
  <c r="F383" i="22"/>
  <c r="F377" i="22"/>
  <c r="F362" i="22"/>
  <c r="F455" i="22"/>
  <c r="F469" i="22"/>
  <c r="F395" i="22"/>
  <c r="F449" i="22"/>
  <c r="F474" i="22"/>
  <c r="F407" i="22"/>
  <c r="F475" i="22"/>
  <c r="F384" i="22"/>
  <c r="F452" i="22"/>
  <c r="F441" i="22"/>
  <c r="F466" i="22"/>
  <c r="F410" i="22"/>
  <c r="F379" i="22"/>
  <c r="F348" i="22"/>
  <c r="F438" i="22"/>
  <c r="F354" i="22"/>
  <c r="F355" i="22"/>
  <c r="F365" i="22"/>
  <c r="F343" i="22"/>
  <c r="F476" i="22"/>
  <c r="F461" i="22"/>
  <c r="F427" i="22"/>
  <c r="F482" i="22"/>
  <c r="F403" i="22"/>
  <c r="F359" i="22"/>
  <c r="F492" i="22"/>
  <c r="F454" i="22"/>
  <c r="F367" i="22"/>
  <c r="F413" i="22"/>
  <c r="F375" i="22"/>
  <c r="F352" i="22"/>
  <c r="F416" i="22"/>
  <c r="F493" i="22"/>
  <c r="F481" i="22"/>
  <c r="F456" i="22"/>
  <c r="F414" i="22"/>
  <c r="F360" i="22"/>
  <c r="F424" i="22"/>
  <c r="F390" i="22"/>
  <c r="F486" i="22"/>
  <c r="F350" i="22"/>
  <c r="F464" i="22"/>
  <c r="F465" i="22"/>
  <c r="F490" i="22"/>
  <c r="F415" i="22"/>
  <c r="F483" i="22"/>
  <c r="F392" i="22"/>
  <c r="F468" i="22"/>
  <c r="F457" i="22"/>
  <c r="F351" i="22"/>
  <c r="F426" i="22"/>
  <c r="F411" i="22"/>
  <c r="F356" i="22"/>
  <c r="F458" i="22"/>
  <c r="F370" i="22"/>
  <c r="F371" i="22"/>
  <c r="F373" i="22"/>
  <c r="F489" i="22"/>
  <c r="F423" i="22"/>
  <c r="F491" i="22"/>
  <c r="F400" i="22"/>
  <c r="F473" i="22"/>
  <c r="F442" i="22"/>
  <c r="F404" i="22"/>
  <c r="F386" i="22"/>
  <c r="F397" i="22"/>
  <c r="F358" i="22"/>
  <c r="F477" i="22"/>
  <c r="F436" i="22"/>
  <c r="F448" i="22"/>
  <c r="F382" i="22"/>
  <c r="F361" i="22"/>
  <c r="F470" i="22"/>
  <c r="F453" i="22"/>
  <c r="F429" i="22"/>
  <c r="F451" i="22"/>
  <c r="F434" i="22"/>
  <c r="L37" i="11"/>
  <c r="F319" i="22"/>
  <c r="F233" i="22"/>
  <c r="F207" i="22"/>
  <c r="F163" i="22"/>
  <c r="F26" i="22"/>
  <c r="F137" i="22"/>
  <c r="F68" i="22"/>
  <c r="F321" i="22"/>
  <c r="F247" i="22"/>
  <c r="F332" i="22"/>
  <c r="F331" i="22"/>
  <c r="F12" i="22"/>
  <c r="F192" i="22"/>
  <c r="F54" i="22"/>
  <c r="F330" i="22"/>
  <c r="F122" i="22"/>
  <c r="F320" i="22"/>
  <c r="F40" i="22"/>
  <c r="F82" i="22"/>
  <c r="F96" i="22"/>
  <c r="N45" i="11"/>
  <c r="M38" i="11"/>
  <c r="N38" i="11"/>
  <c r="M43" i="11"/>
  <c r="K43" i="11"/>
  <c r="K47" i="11" s="1"/>
  <c r="E33" i="11" s="1"/>
  <c r="AE33" i="4"/>
  <c r="AE37" i="4" s="1"/>
  <c r="DM4" i="4"/>
  <c r="DN4" i="4"/>
  <c r="DP4" i="4"/>
  <c r="DO4" i="4"/>
  <c r="U7" i="1"/>
  <c r="BA62" i="4" s="1"/>
  <c r="E26" i="15"/>
  <c r="Q32" i="15"/>
  <c r="DP6" i="4" s="1"/>
  <c r="CH11" i="4"/>
  <c r="CR5" i="4"/>
  <c r="N40" i="11"/>
  <c r="L40" i="11"/>
  <c r="CH17" i="4"/>
  <c r="CI17" i="4" s="1"/>
  <c r="BM5" i="15" s="1"/>
  <c r="CW24" i="4"/>
  <c r="CY24" i="4"/>
  <c r="CX24" i="4"/>
  <c r="DA24" i="4"/>
  <c r="CZ24" i="4"/>
  <c r="DC24" i="4"/>
  <c r="DB24" i="4"/>
  <c r="DF24" i="4"/>
  <c r="DE24" i="4"/>
  <c r="DD24" i="4"/>
  <c r="CG19" i="4"/>
  <c r="CI23" i="4"/>
  <c r="CW21" i="4"/>
  <c r="DA21" i="4"/>
  <c r="CX21" i="4"/>
  <c r="CZ21" i="4"/>
  <c r="CY21" i="4"/>
  <c r="DC21" i="4"/>
  <c r="DB21" i="4"/>
  <c r="DD21" i="4"/>
  <c r="DF21" i="4"/>
  <c r="DE21" i="4"/>
  <c r="DG21" i="4"/>
  <c r="BM8" i="15"/>
  <c r="DG20" i="4" s="1"/>
  <c r="CH18" i="4"/>
  <c r="AJ50" i="10" l="1"/>
  <c r="I18" i="13"/>
  <c r="I78" i="13"/>
  <c r="I49" i="13"/>
  <c r="I109" i="13"/>
  <c r="I29" i="13"/>
  <c r="S18" i="13"/>
  <c r="S78" i="13"/>
  <c r="S103" i="13"/>
  <c r="S49" i="13"/>
  <c r="S109" i="13"/>
  <c r="S92" i="13"/>
  <c r="S70" i="13"/>
  <c r="S32" i="13"/>
  <c r="S28" i="13"/>
  <c r="S7" i="13"/>
  <c r="S45" i="13"/>
  <c r="S76" i="13"/>
  <c r="S15" i="13"/>
  <c r="E448" i="10"/>
  <c r="E582" i="10"/>
  <c r="E743" i="10"/>
  <c r="E725" i="10"/>
  <c r="E165" i="10"/>
  <c r="E796" i="10"/>
  <c r="E553" i="10"/>
  <c r="E611" i="10"/>
  <c r="E728" i="10"/>
  <c r="E785" i="10"/>
  <c r="E820" i="10"/>
  <c r="E792" i="10"/>
  <c r="E576" i="10"/>
  <c r="E641" i="10"/>
  <c r="E664" i="10"/>
  <c r="E163" i="10"/>
  <c r="E742" i="10"/>
  <c r="E630" i="10"/>
  <c r="E642" i="10"/>
  <c r="E750" i="10"/>
  <c r="E745" i="10"/>
  <c r="E799" i="10"/>
  <c r="E446" i="10"/>
  <c r="E766" i="10"/>
  <c r="E807" i="10"/>
  <c r="E765" i="10"/>
  <c r="E499" i="10"/>
  <c r="E723" i="10"/>
  <c r="E775" i="10"/>
  <c r="E789" i="10"/>
  <c r="E593" i="10"/>
  <c r="E693" i="10"/>
  <c r="E646" i="10"/>
  <c r="E567" i="10"/>
  <c r="E168" i="10"/>
  <c r="E463" i="10"/>
  <c r="E459" i="10"/>
  <c r="E643" i="10"/>
  <c r="E798" i="10"/>
  <c r="E581" i="10"/>
  <c r="E626" i="10"/>
  <c r="E829" i="10"/>
  <c r="E164" i="10"/>
  <c r="E586" i="10"/>
  <c r="E529" i="10"/>
  <c r="E809" i="10"/>
  <c r="E790" i="10"/>
  <c r="E166" i="10"/>
  <c r="E415" i="10"/>
  <c r="E559" i="10"/>
  <c r="E174" i="10"/>
  <c r="E784" i="10"/>
  <c r="E722" i="10"/>
  <c r="E472" i="10"/>
  <c r="E571" i="10"/>
  <c r="E657" i="10"/>
  <c r="E504" i="10"/>
  <c r="E562" i="10"/>
  <c r="E824" i="10"/>
  <c r="E468" i="10"/>
  <c r="E651" i="10"/>
  <c r="E828" i="10"/>
  <c r="E797" i="10"/>
  <c r="E588" i="10"/>
  <c r="E782" i="10"/>
  <c r="E518" i="10"/>
  <c r="E696" i="10"/>
  <c r="E769" i="10"/>
  <c r="E695" i="10"/>
  <c r="E449" i="10"/>
  <c r="E632" i="10"/>
  <c r="E661" i="10"/>
  <c r="E703" i="10"/>
  <c r="E527" i="10"/>
  <c r="E748" i="10"/>
  <c r="O690" i="10"/>
  <c r="O743" i="10"/>
  <c r="O638" i="10"/>
  <c r="P638" i="10" s="1"/>
  <c r="O843" i="10"/>
  <c r="O453" i="10"/>
  <c r="O667" i="10"/>
  <c r="O725" i="10"/>
  <c r="O812" i="10"/>
  <c r="O583" i="10"/>
  <c r="O162" i="10"/>
  <c r="P162" i="10" s="1"/>
  <c r="O769" i="10"/>
  <c r="O749" i="10"/>
  <c r="P749" i="10" s="1"/>
  <c r="O782" i="10"/>
  <c r="C37" i="11"/>
  <c r="AD5" i="10"/>
  <c r="J64" i="22"/>
  <c r="K64" i="22" s="1"/>
  <c r="J249" i="22"/>
  <c r="K249" i="22" s="1"/>
  <c r="J248" i="22"/>
  <c r="K248" i="22" s="1"/>
  <c r="J58" i="22"/>
  <c r="K58" i="22" s="1"/>
  <c r="J123" i="22"/>
  <c r="K123" i="22" s="1"/>
  <c r="J48" i="22"/>
  <c r="K48" i="22" s="1"/>
  <c r="J33" i="22"/>
  <c r="K33" i="22" s="1"/>
  <c r="J196" i="22"/>
  <c r="K196" i="22" s="1"/>
  <c r="J300" i="22"/>
  <c r="K300" i="22" s="1"/>
  <c r="J289" i="22"/>
  <c r="K289" i="22" s="1"/>
  <c r="J290" i="22"/>
  <c r="K290" i="22" s="1"/>
  <c r="J198" i="22"/>
  <c r="K198" i="22" s="1"/>
  <c r="J60" i="22"/>
  <c r="K60" i="22" s="1"/>
  <c r="J226" i="22"/>
  <c r="K226" i="22" s="1"/>
  <c r="J199" i="22"/>
  <c r="K199" i="22" s="1"/>
  <c r="E42" i="11"/>
  <c r="E45" i="11"/>
  <c r="J30" i="22"/>
  <c r="K30" i="22" s="1"/>
  <c r="J286" i="22"/>
  <c r="K286" i="22" s="1"/>
  <c r="J37" i="22"/>
  <c r="K37" i="22" s="1"/>
  <c r="J212" i="22"/>
  <c r="K212" i="22" s="1"/>
  <c r="J160" i="22"/>
  <c r="K160" i="22" s="1"/>
  <c r="J282" i="22"/>
  <c r="K282" i="22" s="1"/>
  <c r="E52" i="11"/>
  <c r="L40" i="1"/>
  <c r="AB51" i="1" s="1"/>
  <c r="E32" i="11"/>
  <c r="N47" i="11"/>
  <c r="E51" i="11" s="1"/>
  <c r="L39" i="11"/>
  <c r="L47" i="11" s="1"/>
  <c r="E38" i="11" s="1"/>
  <c r="M39" i="11"/>
  <c r="M47" i="11" s="1"/>
  <c r="E39" i="11" s="1"/>
  <c r="V39" i="1"/>
  <c r="V40" i="1" s="1"/>
  <c r="DD10" i="4"/>
  <c r="BK8" i="15"/>
  <c r="DB10" i="4"/>
  <c r="DC10" i="4"/>
  <c r="DF10" i="4"/>
  <c r="CX10" i="4"/>
  <c r="CZ10" i="4"/>
  <c r="DA10" i="4"/>
  <c r="DE10" i="4"/>
  <c r="CY10" i="4"/>
  <c r="DG10" i="4"/>
  <c r="CI11" i="4"/>
  <c r="Q31" i="15"/>
  <c r="DP5" i="4" s="1"/>
  <c r="DM6" i="4"/>
  <c r="DN6" i="4"/>
  <c r="DO6" i="4"/>
  <c r="BM11" i="15"/>
  <c r="CH19" i="4"/>
  <c r="CW20" i="4"/>
  <c r="CY20" i="4"/>
  <c r="CX20" i="4"/>
  <c r="CZ20" i="4"/>
  <c r="DC20" i="4"/>
  <c r="DA20" i="4"/>
  <c r="DB20" i="4"/>
  <c r="DD20" i="4"/>
  <c r="DE20" i="4"/>
  <c r="DF20" i="4"/>
  <c r="CI18" i="4"/>
  <c r="CW17" i="4"/>
  <c r="CY17" i="4"/>
  <c r="CX17" i="4"/>
  <c r="CZ17" i="4"/>
  <c r="DA17" i="4"/>
  <c r="DB17" i="4"/>
  <c r="DC17" i="4"/>
  <c r="DD17" i="4"/>
  <c r="DG17" i="4"/>
  <c r="DE17" i="4"/>
  <c r="DF17" i="4"/>
  <c r="V6" i="1"/>
  <c r="D130" i="23" s="1"/>
  <c r="N8" i="1"/>
  <c r="D108" i="23" s="1"/>
  <c r="V8" i="1"/>
  <c r="D172" i="23" s="1"/>
  <c r="AJ45" i="10" l="1"/>
  <c r="AJ44" i="10"/>
  <c r="I28" i="13"/>
  <c r="I7" i="13"/>
  <c r="E523" i="10"/>
  <c r="E554" i="10"/>
  <c r="E601" i="10"/>
  <c r="E719" i="10"/>
  <c r="E648" i="10"/>
  <c r="E700" i="10"/>
  <c r="E675" i="10"/>
  <c r="E600" i="10"/>
  <c r="E609" i="10"/>
  <c r="E628" i="10"/>
  <c r="E711" i="10"/>
  <c r="E674" i="10"/>
  <c r="E697" i="10"/>
  <c r="E823" i="10"/>
  <c r="E680" i="10"/>
  <c r="E496" i="10"/>
  <c r="E633" i="10"/>
  <c r="E714" i="10"/>
  <c r="E702" i="10"/>
  <c r="E677" i="10"/>
  <c r="E709" i="10"/>
  <c r="E837" i="10"/>
  <c r="E802" i="10"/>
  <c r="E676" i="10"/>
  <c r="E667" i="10"/>
  <c r="E607" i="10"/>
  <c r="E636" i="10"/>
  <c r="E678" i="10"/>
  <c r="E779" i="10"/>
  <c r="E793" i="10"/>
  <c r="E729" i="10"/>
  <c r="E811" i="10"/>
  <c r="E673" i="10"/>
  <c r="E506" i="10"/>
  <c r="E637" i="10"/>
  <c r="E510" i="10"/>
  <c r="E713" i="10"/>
  <c r="E735" i="10"/>
  <c r="E737" i="10"/>
  <c r="E654" i="10"/>
  <c r="E578" i="10"/>
  <c r="E688" i="10"/>
  <c r="E507" i="10"/>
  <c r="E716" i="10"/>
  <c r="E783" i="10"/>
  <c r="E161" i="10"/>
  <c r="E717" i="10"/>
  <c r="E663" i="10"/>
  <c r="E623" i="10"/>
  <c r="E712" i="10"/>
  <c r="E710" i="10"/>
  <c r="E708" i="10"/>
  <c r="E715" i="10"/>
  <c r="E579" i="10"/>
  <c r="E169" i="10"/>
  <c r="E815" i="10"/>
  <c r="E672" i="10"/>
  <c r="E679" i="10"/>
  <c r="E724" i="10"/>
  <c r="E525" i="10"/>
  <c r="E681" i="10"/>
  <c r="E173" i="10"/>
  <c r="E772" i="10"/>
  <c r="E805" i="10"/>
  <c r="E836" i="10"/>
  <c r="E462" i="10"/>
  <c r="E707" i="10"/>
  <c r="E732" i="10"/>
  <c r="E691" i="10"/>
  <c r="Q36" i="1"/>
  <c r="J221" i="22"/>
  <c r="K221" i="22" s="1"/>
  <c r="V99" i="24"/>
  <c r="J27" i="22"/>
  <c r="K27" i="22" s="1"/>
  <c r="J23" i="22"/>
  <c r="K23" i="22" s="1"/>
  <c r="J211" i="22"/>
  <c r="K211" i="22" s="1"/>
  <c r="J20" i="22"/>
  <c r="K20" i="22" s="1"/>
  <c r="J108" i="22"/>
  <c r="K108" i="22" s="1"/>
  <c r="J285" i="22"/>
  <c r="K285" i="22" s="1"/>
  <c r="J278" i="22"/>
  <c r="K278" i="22" s="1"/>
  <c r="J236" i="22"/>
  <c r="K236" i="22" s="1"/>
  <c r="J32" i="22"/>
  <c r="K32" i="22" s="1"/>
  <c r="J250" i="22"/>
  <c r="K250" i="22" s="1"/>
  <c r="J28" i="22"/>
  <c r="K28" i="22" s="1"/>
  <c r="J165" i="22"/>
  <c r="K165" i="22" s="1"/>
  <c r="J175" i="22"/>
  <c r="K175" i="22" s="1"/>
  <c r="J51" i="22"/>
  <c r="K51" i="22" s="1"/>
  <c r="J88" i="22"/>
  <c r="K88" i="22" s="1"/>
  <c r="J132" i="22"/>
  <c r="K132" i="22" s="1"/>
  <c r="J49" i="22"/>
  <c r="K49" i="22" s="1"/>
  <c r="J56" i="22"/>
  <c r="K56" i="22" s="1"/>
  <c r="J277" i="22"/>
  <c r="K277" i="22" s="1"/>
  <c r="J122" i="22"/>
  <c r="K122" i="22" s="1"/>
  <c r="J31" i="22"/>
  <c r="K31" i="22" s="1"/>
  <c r="J163" i="22"/>
  <c r="K163" i="22" s="1"/>
  <c r="K49" i="11"/>
  <c r="O49" i="11" s="1"/>
  <c r="C35" i="11" s="1"/>
  <c r="GF7" i="1"/>
  <c r="E37" i="11"/>
  <c r="GF9" i="1"/>
  <c r="J281" i="22"/>
  <c r="K281" i="22" s="1"/>
  <c r="J271" i="22"/>
  <c r="K271" i="22" s="1"/>
  <c r="J155" i="22"/>
  <c r="K155" i="22" s="1"/>
  <c r="GF6" i="1"/>
  <c r="J280" i="22"/>
  <c r="K280" i="22" s="1"/>
  <c r="J98" i="22"/>
  <c r="K98" i="22" s="1"/>
  <c r="J294" i="22"/>
  <c r="K294" i="22" s="1"/>
  <c r="J171" i="22"/>
  <c r="K171" i="22" s="1"/>
  <c r="J222" i="22"/>
  <c r="K222" i="22" s="1"/>
  <c r="J224" i="22"/>
  <c r="K224" i="22" s="1"/>
  <c r="J69" i="22"/>
  <c r="K69" i="22" s="1"/>
  <c r="J304" i="22"/>
  <c r="K304" i="22" s="1"/>
  <c r="J115" i="22"/>
  <c r="K115" i="22" s="1"/>
  <c r="W8" i="1"/>
  <c r="D26" i="1" s="1"/>
  <c r="O10" i="11"/>
  <c r="W6" i="1"/>
  <c r="AE8" i="10" s="1"/>
  <c r="U119" i="13" s="1"/>
  <c r="D119" i="13" s="1"/>
  <c r="F140" i="23" s="1"/>
  <c r="O7" i="11"/>
  <c r="O8" i="1"/>
  <c r="AE2" i="10" s="1"/>
  <c r="U45" i="13" s="1"/>
  <c r="O2" i="11"/>
  <c r="M7" i="1"/>
  <c r="BA59" i="4" s="1"/>
  <c r="DN5" i="4"/>
  <c r="DM5" i="4"/>
  <c r="DO5" i="4"/>
  <c r="E27" i="15"/>
  <c r="DG11" i="4" s="1"/>
  <c r="R40" i="1"/>
  <c r="AB53" i="1" s="1"/>
  <c r="AJ54" i="10" s="1"/>
  <c r="N7" i="1"/>
  <c r="D88" i="23" s="1"/>
  <c r="F7" i="1"/>
  <c r="D23" i="23" s="1"/>
  <c r="CW23" i="4"/>
  <c r="CY23" i="4"/>
  <c r="CX23" i="4"/>
  <c r="CZ23" i="4"/>
  <c r="DB23" i="4"/>
  <c r="DA23" i="4"/>
  <c r="DC23" i="4"/>
  <c r="DE23" i="4"/>
  <c r="DD23" i="4"/>
  <c r="DF23" i="4"/>
  <c r="CI19" i="4"/>
  <c r="DG23" i="4"/>
  <c r="BM6" i="15"/>
  <c r="AJ47" i="10" l="1"/>
  <c r="A23" i="23"/>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P712" i="10"/>
  <c r="R518" i="10"/>
  <c r="P518" i="10" s="1"/>
  <c r="R571" i="10"/>
  <c r="P571" i="10" s="1"/>
  <c r="R661" i="10"/>
  <c r="P661" i="10" s="1"/>
  <c r="R651" i="10"/>
  <c r="P651" i="10" s="1"/>
  <c r="R696" i="10"/>
  <c r="P696" i="10" s="1"/>
  <c r="R562" i="10"/>
  <c r="P562" i="10" s="1"/>
  <c r="R703" i="10"/>
  <c r="P703" i="10" s="1"/>
  <c r="R472" i="10"/>
  <c r="P472" i="10" s="1"/>
  <c r="R695" i="10"/>
  <c r="P695" i="10" s="1"/>
  <c r="R657" i="10"/>
  <c r="P657" i="10" s="1"/>
  <c r="R415" i="10"/>
  <c r="P415" i="10" s="1"/>
  <c r="R828" i="10"/>
  <c r="P828" i="10" s="1"/>
  <c r="R559" i="10"/>
  <c r="P559" i="10" s="1"/>
  <c r="R782" i="10"/>
  <c r="P782" i="10" s="1"/>
  <c r="R797" i="10"/>
  <c r="P797" i="10" s="1"/>
  <c r="R722" i="10"/>
  <c r="P722" i="10" s="1"/>
  <c r="R504" i="10"/>
  <c r="P504" i="10" s="1"/>
  <c r="R748" i="10"/>
  <c r="P748" i="10" s="1"/>
  <c r="R632" i="10"/>
  <c r="P632" i="10" s="1"/>
  <c r="R174" i="10"/>
  <c r="P174" i="10" s="1"/>
  <c r="R527" i="10"/>
  <c r="P527" i="10" s="1"/>
  <c r="R449" i="10"/>
  <c r="P449" i="10" s="1"/>
  <c r="R468" i="10"/>
  <c r="P468" i="10" s="1"/>
  <c r="R769" i="10"/>
  <c r="P769" i="10" s="1"/>
  <c r="R588" i="10"/>
  <c r="P588" i="10" s="1"/>
  <c r="R824" i="10"/>
  <c r="P824" i="10" s="1"/>
  <c r="R784" i="10"/>
  <c r="P784" i="10" s="1"/>
  <c r="P708" i="10"/>
  <c r="P716" i="10"/>
  <c r="P678" i="10"/>
  <c r="P677" i="10"/>
  <c r="P674" i="10"/>
  <c r="P710" i="10"/>
  <c r="P711" i="10"/>
  <c r="AE12" i="10"/>
  <c r="U77" i="13" s="1"/>
  <c r="D77" i="13" s="1"/>
  <c r="F180" i="23" s="1"/>
  <c r="P714" i="10"/>
  <c r="P672" i="10"/>
  <c r="P673" i="10"/>
  <c r="C39" i="11"/>
  <c r="AD6" i="10"/>
  <c r="P675" i="10"/>
  <c r="R746" i="10"/>
  <c r="R771" i="10"/>
  <c r="R456" i="10"/>
  <c r="R520" i="10"/>
  <c r="R764" i="10"/>
  <c r="R595" i="10"/>
  <c r="R421" i="10"/>
  <c r="P679" i="10"/>
  <c r="P676" i="10"/>
  <c r="P717" i="10"/>
  <c r="P680" i="10"/>
  <c r="P681" i="10"/>
  <c r="P715" i="10"/>
  <c r="P713" i="10"/>
  <c r="P709" i="10"/>
  <c r="GF2" i="1"/>
  <c r="GF5" i="1"/>
  <c r="J158" i="22"/>
  <c r="K158" i="22" s="1"/>
  <c r="J228" i="22"/>
  <c r="K228" i="22" s="1"/>
  <c r="J214" i="22"/>
  <c r="K214" i="22" s="1"/>
  <c r="J21" i="22"/>
  <c r="K21" i="22" s="1"/>
  <c r="J13" i="22"/>
  <c r="K13" i="22" s="1"/>
  <c r="J102" i="22"/>
  <c r="K102" i="22" s="1"/>
  <c r="J215" i="22"/>
  <c r="K215" i="22" s="1"/>
  <c r="J178" i="22"/>
  <c r="K178" i="22" s="1"/>
  <c r="J12" i="22"/>
  <c r="K12" i="22" s="1"/>
  <c r="J16" i="22"/>
  <c r="K16" i="22" s="1"/>
  <c r="J134" i="22"/>
  <c r="K134" i="22" s="1"/>
  <c r="J201" i="22"/>
  <c r="K201" i="22" s="1"/>
  <c r="J167" i="22"/>
  <c r="K167" i="22" s="1"/>
  <c r="J335" i="22"/>
  <c r="K335" i="22" s="1"/>
  <c r="J330" i="22"/>
  <c r="K330" i="22" s="1"/>
  <c r="J323" i="22"/>
  <c r="K323" i="22" s="1"/>
  <c r="J141" i="22"/>
  <c r="K141" i="22" s="1"/>
  <c r="J321" i="22"/>
  <c r="K321" i="22" s="1"/>
  <c r="J145" i="22"/>
  <c r="K145" i="22" s="1"/>
  <c r="J55" i="22"/>
  <c r="K55" i="22" s="1"/>
  <c r="J322" i="22"/>
  <c r="K322" i="22" s="1"/>
  <c r="J328" i="22"/>
  <c r="K328" i="22" s="1"/>
  <c r="J90" i="22"/>
  <c r="K90" i="22" s="1"/>
  <c r="J306" i="22"/>
  <c r="K306" i="22" s="1"/>
  <c r="J338" i="22"/>
  <c r="K338" i="22" s="1"/>
  <c r="J337" i="22"/>
  <c r="K337" i="22" s="1"/>
  <c r="J327" i="22"/>
  <c r="K327" i="22" s="1"/>
  <c r="J93" i="22"/>
  <c r="K93" i="22" s="1"/>
  <c r="J94" i="22"/>
  <c r="K94" i="22" s="1"/>
  <c r="J292" i="22"/>
  <c r="K292" i="22" s="1"/>
  <c r="J149" i="22"/>
  <c r="K149" i="22" s="1"/>
  <c r="J332" i="22"/>
  <c r="K332" i="22" s="1"/>
  <c r="J326" i="22"/>
  <c r="K326" i="22" s="1"/>
  <c r="J170" i="22"/>
  <c r="K170" i="22" s="1"/>
  <c r="J324" i="22"/>
  <c r="K324" i="22" s="1"/>
  <c r="J193" i="22"/>
  <c r="K193" i="22" s="1"/>
  <c r="J339" i="22"/>
  <c r="K339" i="22" s="1"/>
  <c r="J319" i="22"/>
  <c r="K319" i="22" s="1"/>
  <c r="J204" i="22"/>
  <c r="K204" i="22" s="1"/>
  <c r="J334" i="22"/>
  <c r="K334" i="22" s="1"/>
  <c r="J187" i="22"/>
  <c r="K187" i="22" s="1"/>
  <c r="J333" i="22"/>
  <c r="K333" i="22" s="1"/>
  <c r="J325" i="22"/>
  <c r="K325" i="22" s="1"/>
  <c r="J331" i="22"/>
  <c r="K331" i="22" s="1"/>
  <c r="J336" i="22"/>
  <c r="K336" i="22" s="1"/>
  <c r="J320" i="22"/>
  <c r="K320" i="22" s="1"/>
  <c r="J150" i="22"/>
  <c r="K150" i="22" s="1"/>
  <c r="P7" i="11"/>
  <c r="GG7" i="1"/>
  <c r="P10" i="11"/>
  <c r="GG9" i="1"/>
  <c r="P2" i="11"/>
  <c r="GG6" i="1"/>
  <c r="L41" i="1"/>
  <c r="Z99" i="24"/>
  <c r="J35" i="22"/>
  <c r="K35" i="22" s="1"/>
  <c r="J29" i="22"/>
  <c r="K29" i="22" s="1"/>
  <c r="J79" i="22"/>
  <c r="K79" i="22" s="1"/>
  <c r="J106" i="22"/>
  <c r="K106" i="22" s="1"/>
  <c r="J104" i="22"/>
  <c r="K104" i="22" s="1"/>
  <c r="J38" i="22"/>
  <c r="K38" i="22" s="1"/>
  <c r="J208" i="22"/>
  <c r="K208" i="22" s="1"/>
  <c r="J84" i="22"/>
  <c r="K84" i="22" s="1"/>
  <c r="O7" i="1"/>
  <c r="AE6" i="10" s="1"/>
  <c r="O6" i="11"/>
  <c r="G7" i="1"/>
  <c r="AE4" i="10" s="1"/>
  <c r="U161" i="13" s="1"/>
  <c r="O4" i="11"/>
  <c r="DA11" i="4"/>
  <c r="CY11" i="4"/>
  <c r="CX11" i="4"/>
  <c r="BK9" i="15"/>
  <c r="CZ11" i="4"/>
  <c r="DB11" i="4"/>
  <c r="DC11" i="4"/>
  <c r="DD11" i="4"/>
  <c r="DE11" i="4"/>
  <c r="DF11" i="4"/>
  <c r="V7" i="1"/>
  <c r="D151" i="23" s="1"/>
  <c r="BM7" i="15"/>
  <c r="CW18" i="4"/>
  <c r="CX18" i="4"/>
  <c r="CY18" i="4"/>
  <c r="CZ18" i="4"/>
  <c r="DA18" i="4"/>
  <c r="DB18" i="4"/>
  <c r="DC18" i="4"/>
  <c r="DD18" i="4"/>
  <c r="DE18" i="4"/>
  <c r="DF18" i="4"/>
  <c r="DG18" i="4"/>
  <c r="BZ16" i="4"/>
  <c r="CB638" i="8" l="1"/>
  <c r="CB626" i="8"/>
  <c r="CB614" i="8"/>
  <c r="CB602" i="8"/>
  <c r="CB590" i="8"/>
  <c r="CB578" i="8"/>
  <c r="CB566" i="8"/>
  <c r="CB554" i="8"/>
  <c r="CB542" i="8"/>
  <c r="CB530" i="8"/>
  <c r="CB518" i="8"/>
  <c r="CB506" i="8"/>
  <c r="CB494" i="8"/>
  <c r="CB482" i="8"/>
  <c r="CB470" i="8"/>
  <c r="CB458" i="8"/>
  <c r="CB446" i="8"/>
  <c r="CB434" i="8"/>
  <c r="CB422" i="8"/>
  <c r="CB410" i="8"/>
  <c r="CB398" i="8"/>
  <c r="CB386" i="8"/>
  <c r="CB374" i="8"/>
  <c r="CB362" i="8"/>
  <c r="CB350" i="8"/>
  <c r="CB338" i="8"/>
  <c r="CB326" i="8"/>
  <c r="CB314" i="8"/>
  <c r="CB302" i="8"/>
  <c r="CB290" i="8"/>
  <c r="CB278" i="8"/>
  <c r="CB266" i="8"/>
  <c r="CB254" i="8"/>
  <c r="CB242" i="8"/>
  <c r="CB230" i="8"/>
  <c r="CB218" i="8"/>
  <c r="CB206" i="8"/>
  <c r="CB194" i="8"/>
  <c r="CB182" i="8"/>
  <c r="CB170" i="8"/>
  <c r="CB158" i="8"/>
  <c r="CB146" i="8"/>
  <c r="CB134" i="8"/>
  <c r="CB122" i="8"/>
  <c r="CB110" i="8"/>
  <c r="CB98" i="8"/>
  <c r="CB86" i="8"/>
  <c r="CB74" i="8"/>
  <c r="CB62" i="8"/>
  <c r="CB50" i="8"/>
  <c r="CB38" i="8"/>
  <c r="CB26" i="8"/>
  <c r="CB8" i="8"/>
  <c r="CB14" i="8"/>
  <c r="CB644" i="8"/>
  <c r="CB632" i="8"/>
  <c r="CB620" i="8"/>
  <c r="CB608" i="8"/>
  <c r="CB596" i="8"/>
  <c r="CB584" i="8"/>
  <c r="CB572" i="8"/>
  <c r="CB560" i="8"/>
  <c r="CB548" i="8"/>
  <c r="CB536" i="8"/>
  <c r="CB524" i="8"/>
  <c r="CB512" i="8"/>
  <c r="CB500" i="8"/>
  <c r="CB488" i="8"/>
  <c r="CB476" i="8"/>
  <c r="CB464" i="8"/>
  <c r="CB452" i="8"/>
  <c r="CB440" i="8"/>
  <c r="CB428" i="8"/>
  <c r="CB416" i="8"/>
  <c r="CB404" i="8"/>
  <c r="CB392" i="8"/>
  <c r="CB380" i="8"/>
  <c r="CB368" i="8"/>
  <c r="CB356" i="8"/>
  <c r="CB344" i="8"/>
  <c r="CB332" i="8"/>
  <c r="CB320" i="8"/>
  <c r="CB308" i="8"/>
  <c r="CB296" i="8"/>
  <c r="CB284" i="8"/>
  <c r="CB272" i="8"/>
  <c r="CB260" i="8"/>
  <c r="CB248" i="8"/>
  <c r="CB236" i="8"/>
  <c r="CB224" i="8"/>
  <c r="CB212" i="8"/>
  <c r="CB200" i="8"/>
  <c r="CB188" i="8"/>
  <c r="CB176" i="8"/>
  <c r="CB164" i="8"/>
  <c r="CB152" i="8"/>
  <c r="CB140" i="8"/>
  <c r="CB128" i="8"/>
  <c r="CB116" i="8"/>
  <c r="CB104" i="8"/>
  <c r="CB92" i="8"/>
  <c r="CB80" i="8"/>
  <c r="CB68" i="8"/>
  <c r="CB56" i="8"/>
  <c r="CB44" i="8"/>
  <c r="CB32" i="8"/>
  <c r="CB20" i="8"/>
  <c r="BB638" i="8"/>
  <c r="BB626" i="8"/>
  <c r="BB614" i="8"/>
  <c r="BB602" i="8"/>
  <c r="BB590" i="8"/>
  <c r="BB578" i="8"/>
  <c r="BB566" i="8"/>
  <c r="BB554" i="8"/>
  <c r="BB542" i="8"/>
  <c r="BB530" i="8"/>
  <c r="BB518" i="8"/>
  <c r="BB506" i="8"/>
  <c r="BB494" i="8"/>
  <c r="BB482" i="8"/>
  <c r="BB470" i="8"/>
  <c r="BB458" i="8"/>
  <c r="BB446" i="8"/>
  <c r="BB434" i="8"/>
  <c r="BB422" i="8"/>
  <c r="BB410" i="8"/>
  <c r="BB398" i="8"/>
  <c r="BB386" i="8"/>
  <c r="BB374" i="8"/>
  <c r="BB362" i="8"/>
  <c r="BB350" i="8"/>
  <c r="BB338" i="8"/>
  <c r="BB326" i="8"/>
  <c r="BB314" i="8"/>
  <c r="BB302" i="8"/>
  <c r="BB290" i="8"/>
  <c r="BB278" i="8"/>
  <c r="BB266" i="8"/>
  <c r="BB254" i="8"/>
  <c r="BB242" i="8"/>
  <c r="BB230" i="8"/>
  <c r="BB218" i="8"/>
  <c r="BB206" i="8"/>
  <c r="BB194" i="8"/>
  <c r="BB182" i="8"/>
  <c r="BB170" i="8"/>
  <c r="BB158" i="8"/>
  <c r="BB146" i="8"/>
  <c r="BB134" i="8"/>
  <c r="BB122" i="8"/>
  <c r="BB110" i="8"/>
  <c r="BB98" i="8"/>
  <c r="BB86" i="8"/>
  <c r="BB74" i="8"/>
  <c r="BB62" i="8"/>
  <c r="BB50" i="8"/>
  <c r="BB38" i="8"/>
  <c r="BB26" i="8"/>
  <c r="BB14" i="8"/>
  <c r="BB644" i="8"/>
  <c r="BB632" i="8"/>
  <c r="BB620" i="8"/>
  <c r="BB608" i="8"/>
  <c r="BB596" i="8"/>
  <c r="BB584" i="8"/>
  <c r="BB572" i="8"/>
  <c r="BB560" i="8"/>
  <c r="BB548" i="8"/>
  <c r="BB536" i="8"/>
  <c r="BB524" i="8"/>
  <c r="BB512" i="8"/>
  <c r="BB500" i="8"/>
  <c r="BB488" i="8"/>
  <c r="BB476" i="8"/>
  <c r="BB464" i="8"/>
  <c r="BB452" i="8"/>
  <c r="BB440" i="8"/>
  <c r="BB428" i="8"/>
  <c r="BB416" i="8"/>
  <c r="BB404" i="8"/>
  <c r="BB392" i="8"/>
  <c r="BB380" i="8"/>
  <c r="BB368" i="8"/>
  <c r="BB356" i="8"/>
  <c r="BB344" i="8"/>
  <c r="BB332" i="8"/>
  <c r="BB320" i="8"/>
  <c r="BB308" i="8"/>
  <c r="BB296" i="8"/>
  <c r="BB284" i="8"/>
  <c r="BB272" i="8"/>
  <c r="BB260" i="8"/>
  <c r="BB248" i="8"/>
  <c r="BB236" i="8"/>
  <c r="BB224" i="8"/>
  <c r="BB212" i="8"/>
  <c r="BB200" i="8"/>
  <c r="BB188" i="8"/>
  <c r="BB176" i="8"/>
  <c r="BB164" i="8"/>
  <c r="BB152" i="8"/>
  <c r="BB140" i="8"/>
  <c r="BB128" i="8"/>
  <c r="BB116" i="8"/>
  <c r="BB104" i="8"/>
  <c r="BB92" i="8"/>
  <c r="BB80" i="8"/>
  <c r="BB68" i="8"/>
  <c r="BB56" i="8"/>
  <c r="BB44" i="8"/>
  <c r="BB32" i="8"/>
  <c r="BB20" i="8"/>
  <c r="BB8" i="8"/>
  <c r="I159" i="13"/>
  <c r="I70" i="13"/>
  <c r="I32" i="13"/>
  <c r="I131" i="13"/>
  <c r="I92" i="13"/>
  <c r="I103" i="13"/>
  <c r="I76" i="13"/>
  <c r="U70" i="13"/>
  <c r="U159" i="13"/>
  <c r="U103" i="13"/>
  <c r="U92" i="13"/>
  <c r="U131" i="13"/>
  <c r="U76" i="13"/>
  <c r="U32" i="13"/>
  <c r="R833" i="10"/>
  <c r="R556" i="10"/>
  <c r="R763" i="10"/>
  <c r="R752" i="10"/>
  <c r="R756" i="10"/>
  <c r="R474" i="10"/>
  <c r="R791" i="10"/>
  <c r="R594" i="10"/>
  <c r="R751" i="10"/>
  <c r="R471" i="10"/>
  <c r="R687" i="10"/>
  <c r="R699" i="10"/>
  <c r="R508" i="10"/>
  <c r="R727" i="10"/>
  <c r="R605" i="10"/>
  <c r="R655" i="10"/>
  <c r="R753" i="10"/>
  <c r="R476" i="10"/>
  <c r="R682" i="10"/>
  <c r="R806" i="10"/>
  <c r="R844" i="10"/>
  <c r="R832" i="10"/>
  <c r="R698" i="10"/>
  <c r="R513" i="10"/>
  <c r="R808" i="10"/>
  <c r="R616" i="10"/>
  <c r="R619" i="10"/>
  <c r="R497" i="10"/>
  <c r="R795" i="10"/>
  <c r="R770" i="10"/>
  <c r="R662" i="10"/>
  <c r="R826" i="10"/>
  <c r="R467" i="10"/>
  <c r="R620" i="10"/>
  <c r="R568" i="10"/>
  <c r="R666" i="10"/>
  <c r="R786" i="10"/>
  <c r="R160" i="10"/>
  <c r="R488" i="10"/>
  <c r="R528" i="10"/>
  <c r="R621" i="10"/>
  <c r="R587" i="10"/>
  <c r="R780" i="10"/>
  <c r="R787" i="10"/>
  <c r="R612" i="10"/>
  <c r="R453" i="10"/>
  <c r="R551" i="10"/>
  <c r="R454" i="10"/>
  <c r="R810" i="10"/>
  <c r="R768" i="10"/>
  <c r="R652" i="10"/>
  <c r="R450" i="10"/>
  <c r="R552" i="10"/>
  <c r="R615" i="10"/>
  <c r="R629" i="10"/>
  <c r="R690" i="10"/>
  <c r="R570" i="10"/>
  <c r="R447" i="10"/>
  <c r="R650" i="10"/>
  <c r="R822" i="10"/>
  <c r="R622" i="10"/>
  <c r="R614" i="10"/>
  <c r="R627" i="10"/>
  <c r="R774" i="10"/>
  <c r="R445" i="10"/>
  <c r="R686" i="10"/>
  <c r="R613" i="10"/>
  <c r="R794" i="10"/>
  <c r="R669" i="10"/>
  <c r="R660" i="10"/>
  <c r="R617" i="10"/>
  <c r="R618" i="10"/>
  <c r="E528" i="10"/>
  <c r="E614" i="10"/>
  <c r="E552" i="10"/>
  <c r="E497" i="10"/>
  <c r="E669" i="10"/>
  <c r="E780" i="10"/>
  <c r="E666" i="10"/>
  <c r="E551" i="10"/>
  <c r="E622" i="10"/>
  <c r="E615" i="10"/>
  <c r="E160" i="10"/>
  <c r="E770" i="10"/>
  <c r="E810" i="10"/>
  <c r="E650" i="10"/>
  <c r="E662" i="10"/>
  <c r="E618" i="10"/>
  <c r="E445" i="10"/>
  <c r="E617" i="10"/>
  <c r="E794" i="10"/>
  <c r="E826" i="10"/>
  <c r="E467" i="10"/>
  <c r="E629" i="10"/>
  <c r="E621" i="10"/>
  <c r="E795" i="10"/>
  <c r="E652" i="10"/>
  <c r="E488" i="10"/>
  <c r="E619" i="10"/>
  <c r="E627" i="10"/>
  <c r="E454" i="10"/>
  <c r="E616" i="10"/>
  <c r="E786" i="10"/>
  <c r="E686" i="10"/>
  <c r="E570" i="10"/>
  <c r="E787" i="10"/>
  <c r="E587" i="10"/>
  <c r="E612" i="10"/>
  <c r="E774" i="10"/>
  <c r="E453" i="10"/>
  <c r="E768" i="10"/>
  <c r="E450" i="10"/>
  <c r="E660" i="10"/>
  <c r="E568" i="10"/>
  <c r="E447" i="10"/>
  <c r="E620" i="10"/>
  <c r="E822" i="10"/>
  <c r="E690" i="10"/>
  <c r="E613" i="10"/>
  <c r="R549" i="10"/>
  <c r="P549" i="10" s="1"/>
  <c r="R639" i="10"/>
  <c r="P639" i="10" s="1"/>
  <c r="R692" i="10"/>
  <c r="P692" i="10" s="1"/>
  <c r="R487" i="10"/>
  <c r="P487" i="10" s="1"/>
  <c r="R511" i="10"/>
  <c r="P511" i="10" s="1"/>
  <c r="R818" i="10"/>
  <c r="P818" i="10" s="1"/>
  <c r="R572" i="10"/>
  <c r="R598" i="10"/>
  <c r="P598" i="10" s="1"/>
  <c r="R801" i="10"/>
  <c r="P801" i="10" s="1"/>
  <c r="R644" i="10"/>
  <c r="P644" i="10" s="1"/>
  <c r="R489" i="10"/>
  <c r="P489" i="10" s="1"/>
  <c r="R838" i="10"/>
  <c r="P838" i="10" s="1"/>
  <c r="R466" i="10"/>
  <c r="P466" i="10" s="1"/>
  <c r="R834" i="10"/>
  <c r="P834" i="10" s="1"/>
  <c r="R521" i="10"/>
  <c r="P521" i="10" s="1"/>
  <c r="R645" i="10"/>
  <c r="P645" i="10" s="1"/>
  <c r="R444" i="10"/>
  <c r="P444" i="10" s="1"/>
  <c r="R495" i="10"/>
  <c r="P495" i="10" s="1"/>
  <c r="R804" i="10"/>
  <c r="P804" i="10" s="1"/>
  <c r="R781" i="10"/>
  <c r="P781" i="10" s="1"/>
  <c r="R659" i="10"/>
  <c r="P659" i="10" s="1"/>
  <c r="R773" i="10"/>
  <c r="P773" i="10" s="1"/>
  <c r="R418" i="10"/>
  <c r="P418" i="10" s="1"/>
  <c r="R649" i="10"/>
  <c r="P649" i="10" s="1"/>
  <c r="R758" i="10"/>
  <c r="P758" i="10" s="1"/>
  <c r="R819" i="10"/>
  <c r="P819" i="10" s="1"/>
  <c r="R602" i="10"/>
  <c r="P602" i="10" s="1"/>
  <c r="R803" i="10"/>
  <c r="P803" i="10" s="1"/>
  <c r="R726" i="10"/>
  <c r="P726" i="10" s="1"/>
  <c r="X99" i="24"/>
  <c r="AB52" i="1"/>
  <c r="AJ49" i="10" s="1"/>
  <c r="V31" i="1"/>
  <c r="J57" i="22"/>
  <c r="K57" i="22" s="1"/>
  <c r="J260" i="22"/>
  <c r="K260" i="22" s="1"/>
  <c r="J169" i="22"/>
  <c r="K169" i="22" s="1"/>
  <c r="J279" i="22"/>
  <c r="K279" i="22" s="1"/>
  <c r="J293" i="22"/>
  <c r="K293" i="22" s="1"/>
  <c r="J172" i="22"/>
  <c r="K172" i="22" s="1"/>
  <c r="J197" i="22"/>
  <c r="K197" i="22" s="1"/>
  <c r="J247" i="22"/>
  <c r="K247" i="22" s="1"/>
  <c r="J107" i="22"/>
  <c r="K107" i="22" s="1"/>
  <c r="GF8" i="1"/>
  <c r="GG2" i="1"/>
  <c r="P6" i="11"/>
  <c r="GG5" i="1"/>
  <c r="P4" i="11"/>
  <c r="F8" i="1"/>
  <c r="W7" i="1"/>
  <c r="AE5" i="10" s="1"/>
  <c r="O5" i="11"/>
  <c r="M8" i="1"/>
  <c r="BA60" i="4" s="1"/>
  <c r="CW19" i="4"/>
  <c r="CX19" i="4"/>
  <c r="CZ19" i="4"/>
  <c r="CY19" i="4"/>
  <c r="DA19" i="4"/>
  <c r="DB19" i="4"/>
  <c r="DC19" i="4"/>
  <c r="DD19" i="4"/>
  <c r="DE19" i="4"/>
  <c r="DF19" i="4"/>
  <c r="DG19" i="4"/>
  <c r="CA16" i="4"/>
  <c r="D44" i="23" l="1"/>
  <c r="CI43" i="8"/>
  <c r="CB46" i="8"/>
  <c r="CG44" i="8"/>
  <c r="CG43" i="8"/>
  <c r="CB43" i="8"/>
  <c r="CI91" i="8"/>
  <c r="CB94" i="8"/>
  <c r="CG91" i="8"/>
  <c r="CG92" i="8"/>
  <c r="CB91" i="8"/>
  <c r="CI139" i="8"/>
  <c r="CB142" i="8"/>
  <c r="CG139" i="8"/>
  <c r="CG140" i="8"/>
  <c r="CB139" i="8"/>
  <c r="CI187" i="8"/>
  <c r="CB190" i="8"/>
  <c r="CG187" i="8"/>
  <c r="CG188" i="8"/>
  <c r="CB187" i="8"/>
  <c r="CI235" i="8"/>
  <c r="CB238" i="8"/>
  <c r="CG235" i="8"/>
  <c r="CG236" i="8"/>
  <c r="CB235" i="8"/>
  <c r="CI283" i="8"/>
  <c r="CB286" i="8"/>
  <c r="CG283" i="8"/>
  <c r="CG284" i="8"/>
  <c r="CB283" i="8"/>
  <c r="CI331" i="8"/>
  <c r="CB334" i="8"/>
  <c r="CG331" i="8"/>
  <c r="CG332" i="8"/>
  <c r="CB331" i="8"/>
  <c r="CI379" i="8"/>
  <c r="CB382" i="8"/>
  <c r="CG379" i="8"/>
  <c r="CG380" i="8"/>
  <c r="CB379" i="8"/>
  <c r="CI427" i="8"/>
  <c r="CB430" i="8"/>
  <c r="CG427" i="8"/>
  <c r="CG428" i="8"/>
  <c r="CB427" i="8"/>
  <c r="CI475" i="8"/>
  <c r="CB478" i="8"/>
  <c r="CG475" i="8"/>
  <c r="CG476" i="8"/>
  <c r="CB475" i="8"/>
  <c r="CI523" i="8"/>
  <c r="CB526" i="8"/>
  <c r="CG523" i="8"/>
  <c r="CG524" i="8"/>
  <c r="CB523" i="8"/>
  <c r="CI571" i="8"/>
  <c r="CB574" i="8"/>
  <c r="CG571" i="8"/>
  <c r="CG572" i="8"/>
  <c r="CB571" i="8"/>
  <c r="CI619" i="8"/>
  <c r="CB622" i="8"/>
  <c r="CG619" i="8"/>
  <c r="CG620" i="8"/>
  <c r="CB619" i="8"/>
  <c r="CG8" i="8"/>
  <c r="CB10" i="8"/>
  <c r="CB7" i="8"/>
  <c r="CI7" i="8"/>
  <c r="CG7" i="8"/>
  <c r="CG62" i="8"/>
  <c r="CG61" i="8"/>
  <c r="CB64" i="8"/>
  <c r="CB61" i="8"/>
  <c r="CI61" i="8"/>
  <c r="CG110" i="8"/>
  <c r="CG109" i="8"/>
  <c r="CB112" i="8"/>
  <c r="CB109" i="8"/>
  <c r="CI109" i="8"/>
  <c r="CG158" i="8"/>
  <c r="CG157" i="8"/>
  <c r="CB160" i="8"/>
  <c r="CB157" i="8"/>
  <c r="CI157" i="8"/>
  <c r="CG206" i="8"/>
  <c r="CG205" i="8"/>
  <c r="CB208" i="8"/>
  <c r="CB205" i="8"/>
  <c r="CI205" i="8"/>
  <c r="CG254" i="8"/>
  <c r="CG253" i="8"/>
  <c r="CB256" i="8"/>
  <c r="CB253" i="8"/>
  <c r="CI253" i="8"/>
  <c r="CG302" i="8"/>
  <c r="CG301" i="8"/>
  <c r="CB304" i="8"/>
  <c r="CB301" i="8"/>
  <c r="CI301" i="8"/>
  <c r="CG350" i="8"/>
  <c r="CG349" i="8"/>
  <c r="CB352" i="8"/>
  <c r="CB349" i="8"/>
  <c r="CI349" i="8"/>
  <c r="CG398" i="8"/>
  <c r="CG397" i="8"/>
  <c r="CB400" i="8"/>
  <c r="CB397" i="8"/>
  <c r="CI397" i="8"/>
  <c r="CG446" i="8"/>
  <c r="CG445" i="8"/>
  <c r="CB448" i="8"/>
  <c r="CB445" i="8"/>
  <c r="CI445" i="8"/>
  <c r="CG494" i="8"/>
  <c r="CG493" i="8"/>
  <c r="CB496" i="8"/>
  <c r="CB493" i="8"/>
  <c r="CI493" i="8"/>
  <c r="CG542" i="8"/>
  <c r="CG541" i="8"/>
  <c r="CB544" i="8"/>
  <c r="CB541" i="8"/>
  <c r="CI541" i="8"/>
  <c r="CG590" i="8"/>
  <c r="CG589" i="8"/>
  <c r="CB592" i="8"/>
  <c r="CB589" i="8"/>
  <c r="CI589" i="8"/>
  <c r="CG638" i="8"/>
  <c r="CG637" i="8"/>
  <c r="CB640" i="8"/>
  <c r="CB637" i="8"/>
  <c r="CI637" i="8"/>
  <c r="CI31" i="8"/>
  <c r="CG32" i="8"/>
  <c r="CG31" i="8"/>
  <c r="CB31" i="8"/>
  <c r="CI79" i="8"/>
  <c r="CG79" i="8"/>
  <c r="CG80" i="8"/>
  <c r="CB79" i="8"/>
  <c r="CB82" i="8"/>
  <c r="CI127" i="8"/>
  <c r="CG127" i="8"/>
  <c r="CG128" i="8"/>
  <c r="CB127" i="8"/>
  <c r="CB130" i="8"/>
  <c r="CI175" i="8"/>
  <c r="CG175" i="8"/>
  <c r="CG176" i="8"/>
  <c r="CB175" i="8"/>
  <c r="CB178" i="8"/>
  <c r="CI223" i="8"/>
  <c r="CG223" i="8"/>
  <c r="CG224" i="8"/>
  <c r="CB223" i="8"/>
  <c r="CB226" i="8"/>
  <c r="CI271" i="8"/>
  <c r="CG271" i="8"/>
  <c r="CG272" i="8"/>
  <c r="CB271" i="8"/>
  <c r="CB274" i="8"/>
  <c r="CI319" i="8"/>
  <c r="CG319" i="8"/>
  <c r="CG320" i="8"/>
  <c r="CB319" i="8"/>
  <c r="CB322" i="8"/>
  <c r="CI367" i="8"/>
  <c r="CG367" i="8"/>
  <c r="CG368" i="8"/>
  <c r="CB367" i="8"/>
  <c r="CB370" i="8"/>
  <c r="CI415" i="8"/>
  <c r="CG415" i="8"/>
  <c r="CG416" i="8"/>
  <c r="CB415" i="8"/>
  <c r="CB418" i="8"/>
  <c r="CI463" i="8"/>
  <c r="CG463" i="8"/>
  <c r="CG464" i="8"/>
  <c r="CB463" i="8"/>
  <c r="CB466" i="8"/>
  <c r="CI511" i="8"/>
  <c r="CG511" i="8"/>
  <c r="CG512" i="8"/>
  <c r="CB511" i="8"/>
  <c r="CB514" i="8"/>
  <c r="CI559" i="8"/>
  <c r="CG559" i="8"/>
  <c r="CG560" i="8"/>
  <c r="CB559" i="8"/>
  <c r="CB562" i="8"/>
  <c r="CI607" i="8"/>
  <c r="CG607" i="8"/>
  <c r="CG608" i="8"/>
  <c r="CB607" i="8"/>
  <c r="CB610" i="8"/>
  <c r="CI13" i="8"/>
  <c r="CG14" i="8"/>
  <c r="CB13" i="8"/>
  <c r="CB16" i="8"/>
  <c r="CG13" i="8"/>
  <c r="CG50" i="8"/>
  <c r="CG49" i="8"/>
  <c r="CB52" i="8"/>
  <c r="CI49" i="8"/>
  <c r="CB49" i="8"/>
  <c r="CG98" i="8"/>
  <c r="CG97" i="8"/>
  <c r="CB100" i="8"/>
  <c r="CI97" i="8"/>
  <c r="CB97" i="8"/>
  <c r="CG146" i="8"/>
  <c r="CG145" i="8"/>
  <c r="CB148" i="8"/>
  <c r="CI145" i="8"/>
  <c r="CB145" i="8"/>
  <c r="CG194" i="8"/>
  <c r="CG193" i="8"/>
  <c r="CB196" i="8"/>
  <c r="CI193" i="8"/>
  <c r="CB193" i="8"/>
  <c r="CG242" i="8"/>
  <c r="CG241" i="8"/>
  <c r="CB244" i="8"/>
  <c r="CI241" i="8"/>
  <c r="CB241" i="8"/>
  <c r="CG290" i="8"/>
  <c r="CG289" i="8"/>
  <c r="CB292" i="8"/>
  <c r="CI289" i="8"/>
  <c r="CB289" i="8"/>
  <c r="CG338" i="8"/>
  <c r="CG337" i="8"/>
  <c r="CB340" i="8"/>
  <c r="CI337" i="8"/>
  <c r="CB337" i="8"/>
  <c r="CG386" i="8"/>
  <c r="CG385" i="8"/>
  <c r="CB388" i="8"/>
  <c r="CI385" i="8"/>
  <c r="CB385" i="8"/>
  <c r="CG434" i="8"/>
  <c r="CG433" i="8"/>
  <c r="CB436" i="8"/>
  <c r="CI433" i="8"/>
  <c r="CB433" i="8"/>
  <c r="CG482" i="8"/>
  <c r="CG481" i="8"/>
  <c r="CB484" i="8"/>
  <c r="CI481" i="8"/>
  <c r="CB481" i="8"/>
  <c r="CG530" i="8"/>
  <c r="CG529" i="8"/>
  <c r="CB532" i="8"/>
  <c r="CI529" i="8"/>
  <c r="CB529" i="8"/>
  <c r="CG578" i="8"/>
  <c r="CG577" i="8"/>
  <c r="CB580" i="8"/>
  <c r="CI577" i="8"/>
  <c r="CB577" i="8"/>
  <c r="CG626" i="8"/>
  <c r="CG625" i="8"/>
  <c r="CB628" i="8"/>
  <c r="CI625" i="8"/>
  <c r="CB625" i="8"/>
  <c r="CI19" i="8"/>
  <c r="CG19" i="8"/>
  <c r="CG20" i="8"/>
  <c r="CB19" i="8"/>
  <c r="CB22" i="8"/>
  <c r="CI67" i="8"/>
  <c r="CG68" i="8"/>
  <c r="CB67" i="8"/>
  <c r="CB70" i="8"/>
  <c r="CG67" i="8"/>
  <c r="CI115" i="8"/>
  <c r="CG116" i="8"/>
  <c r="CB115" i="8"/>
  <c r="CB118" i="8"/>
  <c r="CG115" i="8"/>
  <c r="CI163" i="8"/>
  <c r="CG164" i="8"/>
  <c r="CB163" i="8"/>
  <c r="CB166" i="8"/>
  <c r="CG163" i="8"/>
  <c r="CI211" i="8"/>
  <c r="CG212" i="8"/>
  <c r="CB211" i="8"/>
  <c r="CB214" i="8"/>
  <c r="CG211" i="8"/>
  <c r="CI259" i="8"/>
  <c r="CG260" i="8"/>
  <c r="CB259" i="8"/>
  <c r="CB262" i="8"/>
  <c r="CG259" i="8"/>
  <c r="CI307" i="8"/>
  <c r="CG308" i="8"/>
  <c r="CB310" i="8"/>
  <c r="CB307" i="8"/>
  <c r="CG307" i="8"/>
  <c r="CI355" i="8"/>
  <c r="CG356" i="8"/>
  <c r="CB358" i="8"/>
  <c r="CB355" i="8"/>
  <c r="CG355" i="8"/>
  <c r="CI403" i="8"/>
  <c r="CG404" i="8"/>
  <c r="CB406" i="8"/>
  <c r="CB403" i="8"/>
  <c r="CG403" i="8"/>
  <c r="CI451" i="8"/>
  <c r="CG452" i="8"/>
  <c r="CB454" i="8"/>
  <c r="CB451" i="8"/>
  <c r="CG451" i="8"/>
  <c r="CI499" i="8"/>
  <c r="CG500" i="8"/>
  <c r="CB502" i="8"/>
  <c r="CB499" i="8"/>
  <c r="CG499" i="8"/>
  <c r="CI547" i="8"/>
  <c r="CG548" i="8"/>
  <c r="CB550" i="8"/>
  <c r="CB547" i="8"/>
  <c r="CG547" i="8"/>
  <c r="CI595" i="8"/>
  <c r="CG596" i="8"/>
  <c r="CB598" i="8"/>
  <c r="CB595" i="8"/>
  <c r="CG595" i="8"/>
  <c r="CI643" i="8"/>
  <c r="CG644" i="8"/>
  <c r="CB646" i="8"/>
  <c r="CB643" i="8"/>
  <c r="CG643" i="8"/>
  <c r="CG38" i="8"/>
  <c r="CG37" i="8"/>
  <c r="CB40" i="8"/>
  <c r="CI37" i="8"/>
  <c r="CB37" i="8"/>
  <c r="CG86" i="8"/>
  <c r="CG85" i="8"/>
  <c r="CB88" i="8"/>
  <c r="CI85" i="8"/>
  <c r="CB85" i="8"/>
  <c r="CG134" i="8"/>
  <c r="CG133" i="8"/>
  <c r="CB136" i="8"/>
  <c r="CI133" i="8"/>
  <c r="CB133" i="8"/>
  <c r="CG182" i="8"/>
  <c r="CG181" i="8"/>
  <c r="CB184" i="8"/>
  <c r="CI181" i="8"/>
  <c r="CB181" i="8"/>
  <c r="CG230" i="8"/>
  <c r="CG229" i="8"/>
  <c r="CB232" i="8"/>
  <c r="CI229" i="8"/>
  <c r="CB229" i="8"/>
  <c r="CG278" i="8"/>
  <c r="CG277" i="8"/>
  <c r="CB280" i="8"/>
  <c r="CI277" i="8"/>
  <c r="CB277" i="8"/>
  <c r="CG326" i="8"/>
  <c r="CG325" i="8"/>
  <c r="CB328" i="8"/>
  <c r="CI325" i="8"/>
  <c r="CB325" i="8"/>
  <c r="CG374" i="8"/>
  <c r="CG373" i="8"/>
  <c r="CB376" i="8"/>
  <c r="CI373" i="8"/>
  <c r="CB373" i="8"/>
  <c r="CG422" i="8"/>
  <c r="CG421" i="8"/>
  <c r="CB424" i="8"/>
  <c r="CI421" i="8"/>
  <c r="CB421" i="8"/>
  <c r="CG470" i="8"/>
  <c r="CG469" i="8"/>
  <c r="CB472" i="8"/>
  <c r="CI469" i="8"/>
  <c r="CB469" i="8"/>
  <c r="CG518" i="8"/>
  <c r="CG517" i="8"/>
  <c r="CB520" i="8"/>
  <c r="CI517" i="8"/>
  <c r="CB517" i="8"/>
  <c r="CG566" i="8"/>
  <c r="CG565" i="8"/>
  <c r="CB568" i="8"/>
  <c r="CI565" i="8"/>
  <c r="CB565" i="8"/>
  <c r="CG614" i="8"/>
  <c r="CG613" i="8"/>
  <c r="CB616" i="8"/>
  <c r="CI613" i="8"/>
  <c r="CB613" i="8"/>
  <c r="CI55" i="8"/>
  <c r="CB58" i="8"/>
  <c r="CB55" i="8"/>
  <c r="CG55" i="8"/>
  <c r="CG56" i="8"/>
  <c r="CI103" i="8"/>
  <c r="CB103" i="8"/>
  <c r="CB106" i="8"/>
  <c r="CG103" i="8"/>
  <c r="CG104" i="8"/>
  <c r="CI151" i="8"/>
  <c r="CB151" i="8"/>
  <c r="CB154" i="8"/>
  <c r="CG151" i="8"/>
  <c r="CG152" i="8"/>
  <c r="CI199" i="8"/>
  <c r="CB199" i="8"/>
  <c r="CB202" i="8"/>
  <c r="CG199" i="8"/>
  <c r="CG200" i="8"/>
  <c r="CI247" i="8"/>
  <c r="CB247" i="8"/>
  <c r="CB250" i="8"/>
  <c r="CG247" i="8"/>
  <c r="CG248" i="8"/>
  <c r="CI295" i="8"/>
  <c r="CB295" i="8"/>
  <c r="CB298" i="8"/>
  <c r="CG295" i="8"/>
  <c r="CG296" i="8"/>
  <c r="CI343" i="8"/>
  <c r="CG343" i="8"/>
  <c r="CB343" i="8"/>
  <c r="CB346" i="8"/>
  <c r="CG344" i="8"/>
  <c r="CI391" i="8"/>
  <c r="CG391" i="8"/>
  <c r="CB391" i="8"/>
  <c r="CB394" i="8"/>
  <c r="CG392" i="8"/>
  <c r="CI439" i="8"/>
  <c r="CG439" i="8"/>
  <c r="CB439" i="8"/>
  <c r="CB442" i="8"/>
  <c r="CG440" i="8"/>
  <c r="CI487" i="8"/>
  <c r="CG487" i="8"/>
  <c r="CB487" i="8"/>
  <c r="CB490" i="8"/>
  <c r="CG488" i="8"/>
  <c r="CI535" i="8"/>
  <c r="CG535" i="8"/>
  <c r="CB535" i="8"/>
  <c r="CB538" i="8"/>
  <c r="CG536" i="8"/>
  <c r="CI583" i="8"/>
  <c r="CG583" i="8"/>
  <c r="CB583" i="8"/>
  <c r="CB586" i="8"/>
  <c r="CG584" i="8"/>
  <c r="CI631" i="8"/>
  <c r="CG631" i="8"/>
  <c r="CB631" i="8"/>
  <c r="CB634" i="8"/>
  <c r="CG632" i="8"/>
  <c r="CG26" i="8"/>
  <c r="CG25" i="8"/>
  <c r="CB28" i="8"/>
  <c r="CI25" i="8"/>
  <c r="CB25" i="8"/>
  <c r="CG74" i="8"/>
  <c r="CG73" i="8"/>
  <c r="CB76" i="8"/>
  <c r="CI73" i="8"/>
  <c r="CB73" i="8"/>
  <c r="CG122" i="8"/>
  <c r="CG121" i="8"/>
  <c r="CB124" i="8"/>
  <c r="CI121" i="8"/>
  <c r="CB121" i="8"/>
  <c r="CG170" i="8"/>
  <c r="CG169" i="8"/>
  <c r="CB172" i="8"/>
  <c r="CI169" i="8"/>
  <c r="CB169" i="8"/>
  <c r="CG218" i="8"/>
  <c r="CG217" i="8"/>
  <c r="CB220" i="8"/>
  <c r="CI217" i="8"/>
  <c r="CB217" i="8"/>
  <c r="CG266" i="8"/>
  <c r="CG265" i="8"/>
  <c r="CB268" i="8"/>
  <c r="CI265" i="8"/>
  <c r="CB265" i="8"/>
  <c r="CG314" i="8"/>
  <c r="CG313" i="8"/>
  <c r="CB316" i="8"/>
  <c r="CI313" i="8"/>
  <c r="CB313" i="8"/>
  <c r="CG362" i="8"/>
  <c r="CG361" i="8"/>
  <c r="CB364" i="8"/>
  <c r="CI361" i="8"/>
  <c r="CB361" i="8"/>
  <c r="CG410" i="8"/>
  <c r="CG409" i="8"/>
  <c r="CB412" i="8"/>
  <c r="CI409" i="8"/>
  <c r="CB409" i="8"/>
  <c r="CG458" i="8"/>
  <c r="CG457" i="8"/>
  <c r="CB460" i="8"/>
  <c r="CI457" i="8"/>
  <c r="CB457" i="8"/>
  <c r="CG506" i="8"/>
  <c r="CG505" i="8"/>
  <c r="CB508" i="8"/>
  <c r="CI505" i="8"/>
  <c r="CB505" i="8"/>
  <c r="CG554" i="8"/>
  <c r="CG553" i="8"/>
  <c r="CB556" i="8"/>
  <c r="CI553" i="8"/>
  <c r="CB553" i="8"/>
  <c r="CG602" i="8"/>
  <c r="CG601" i="8"/>
  <c r="CB604" i="8"/>
  <c r="CI601" i="8"/>
  <c r="CB601" i="8"/>
  <c r="AJ48" i="10"/>
  <c r="AJ46" i="10"/>
  <c r="BG31" i="8"/>
  <c r="BG32" i="8"/>
  <c r="BI31" i="8"/>
  <c r="BB34" i="8"/>
  <c r="BB31" i="8"/>
  <c r="BG79" i="8"/>
  <c r="BG80" i="8"/>
  <c r="BI79" i="8"/>
  <c r="BB82" i="8"/>
  <c r="BB79" i="8"/>
  <c r="BG127" i="8"/>
  <c r="BG128" i="8"/>
  <c r="BI127" i="8"/>
  <c r="BB130" i="8"/>
  <c r="BB127" i="8"/>
  <c r="BG175" i="8"/>
  <c r="BG176" i="8"/>
  <c r="BB178" i="8"/>
  <c r="BI175" i="8"/>
  <c r="BB175" i="8"/>
  <c r="BG223" i="8"/>
  <c r="BG224" i="8"/>
  <c r="BB226" i="8"/>
  <c r="BI223" i="8"/>
  <c r="BB223" i="8"/>
  <c r="BG271" i="8"/>
  <c r="BG272" i="8"/>
  <c r="BB274" i="8"/>
  <c r="BI271" i="8"/>
  <c r="BB271" i="8"/>
  <c r="BG319" i="8"/>
  <c r="BG320" i="8"/>
  <c r="BB322" i="8"/>
  <c r="BI319" i="8"/>
  <c r="BB319" i="8"/>
  <c r="BG367" i="8"/>
  <c r="BG368" i="8"/>
  <c r="BB370" i="8"/>
  <c r="BI367" i="8"/>
  <c r="BB367" i="8"/>
  <c r="BG415" i="8"/>
  <c r="BG416" i="8"/>
  <c r="BI415" i="8"/>
  <c r="BB415" i="8"/>
  <c r="BG463" i="8"/>
  <c r="BB466" i="8"/>
  <c r="BB463" i="8"/>
  <c r="BI463" i="8"/>
  <c r="BG464" i="8"/>
  <c r="BG511" i="8"/>
  <c r="BB514" i="8"/>
  <c r="BB511" i="8"/>
  <c r="BI511" i="8"/>
  <c r="BG512" i="8"/>
  <c r="BG559" i="8"/>
  <c r="BB562" i="8"/>
  <c r="BB559" i="8"/>
  <c r="BI559" i="8"/>
  <c r="BG560" i="8"/>
  <c r="BG607" i="8"/>
  <c r="BB607" i="8"/>
  <c r="BI607" i="8"/>
  <c r="BG608" i="8"/>
  <c r="BG13" i="8"/>
  <c r="BG14" i="8"/>
  <c r="BB16" i="8"/>
  <c r="BB13" i="8"/>
  <c r="BI13" i="8"/>
  <c r="BG61" i="8"/>
  <c r="BG62" i="8"/>
  <c r="BB64" i="8"/>
  <c r="BB61" i="8"/>
  <c r="BI61" i="8"/>
  <c r="BG109" i="8"/>
  <c r="BG110" i="8"/>
  <c r="BB112" i="8"/>
  <c r="BB109" i="8"/>
  <c r="BI109" i="8"/>
  <c r="BG157" i="8"/>
  <c r="BG158" i="8"/>
  <c r="BB160" i="8"/>
  <c r="BI157" i="8"/>
  <c r="BB157" i="8"/>
  <c r="BG205" i="8"/>
  <c r="BG206" i="8"/>
  <c r="BB208" i="8"/>
  <c r="BI205" i="8"/>
  <c r="BB205" i="8"/>
  <c r="BG253" i="8"/>
  <c r="BG254" i="8"/>
  <c r="BB256" i="8"/>
  <c r="BI253" i="8"/>
  <c r="BB253" i="8"/>
  <c r="BG301" i="8"/>
  <c r="BG302" i="8"/>
  <c r="BB304" i="8"/>
  <c r="BI301" i="8"/>
  <c r="BB301" i="8"/>
  <c r="BG349" i="8"/>
  <c r="BG350" i="8"/>
  <c r="BB352" i="8"/>
  <c r="BI349" i="8"/>
  <c r="BB349" i="8"/>
  <c r="BG397" i="8"/>
  <c r="BG398" i="8"/>
  <c r="BB400" i="8"/>
  <c r="BI397" i="8"/>
  <c r="BB397" i="8"/>
  <c r="BG445" i="8"/>
  <c r="BG446" i="8"/>
  <c r="BI445" i="8"/>
  <c r="BB445" i="8"/>
  <c r="BG493" i="8"/>
  <c r="BB496" i="8"/>
  <c r="BG494" i="8"/>
  <c r="BI493" i="8"/>
  <c r="BB493" i="8"/>
  <c r="BG541" i="8"/>
  <c r="BB544" i="8"/>
  <c r="BG542" i="8"/>
  <c r="BI541" i="8"/>
  <c r="BB541" i="8"/>
  <c r="BG589" i="8"/>
  <c r="BB592" i="8"/>
  <c r="BG590" i="8"/>
  <c r="BI589" i="8"/>
  <c r="BB589" i="8"/>
  <c r="BG637" i="8"/>
  <c r="BB640" i="8"/>
  <c r="BG638" i="8"/>
  <c r="BI637" i="8"/>
  <c r="BB637" i="8"/>
  <c r="BG19" i="8"/>
  <c r="BG20" i="8"/>
  <c r="BI19" i="8"/>
  <c r="BB22" i="8"/>
  <c r="BB19" i="8"/>
  <c r="BG67" i="8"/>
  <c r="BG68" i="8"/>
  <c r="BI67" i="8"/>
  <c r="BB70" i="8"/>
  <c r="BB67" i="8"/>
  <c r="BG115" i="8"/>
  <c r="BG116" i="8"/>
  <c r="BI115" i="8"/>
  <c r="BB118" i="8"/>
  <c r="BB115" i="8"/>
  <c r="BG163" i="8"/>
  <c r="BG164" i="8"/>
  <c r="BB166" i="8"/>
  <c r="BB163" i="8"/>
  <c r="BI163" i="8"/>
  <c r="BG211" i="8"/>
  <c r="BG212" i="8"/>
  <c r="BB214" i="8"/>
  <c r="BB211" i="8"/>
  <c r="BI211" i="8"/>
  <c r="BG259" i="8"/>
  <c r="BG260" i="8"/>
  <c r="BB262" i="8"/>
  <c r="BB259" i="8"/>
  <c r="BI259" i="8"/>
  <c r="BG307" i="8"/>
  <c r="BG308" i="8"/>
  <c r="BB310" i="8"/>
  <c r="BB307" i="8"/>
  <c r="BI307" i="8"/>
  <c r="BG355" i="8"/>
  <c r="BG356" i="8"/>
  <c r="BB358" i="8"/>
  <c r="BB355" i="8"/>
  <c r="BI355" i="8"/>
  <c r="BG403" i="8"/>
  <c r="BG404" i="8"/>
  <c r="BB403" i="8"/>
  <c r="BI403" i="8"/>
  <c r="BG451" i="8"/>
  <c r="BB454" i="8"/>
  <c r="BB451" i="8"/>
  <c r="BG452" i="8"/>
  <c r="BI451" i="8"/>
  <c r="BG499" i="8"/>
  <c r="BB499" i="8"/>
  <c r="BG500" i="8"/>
  <c r="BI499" i="8"/>
  <c r="BG547" i="8"/>
  <c r="BB547" i="8"/>
  <c r="BG548" i="8"/>
  <c r="BI547" i="8"/>
  <c r="BG595" i="8"/>
  <c r="BB598" i="8"/>
  <c r="BB595" i="8"/>
  <c r="BG596" i="8"/>
  <c r="BI595" i="8"/>
  <c r="BG643" i="8"/>
  <c r="BB646" i="8"/>
  <c r="BB643" i="8"/>
  <c r="BG644" i="8"/>
  <c r="BI643" i="8"/>
  <c r="BG49" i="8"/>
  <c r="BG50" i="8"/>
  <c r="BB52" i="8"/>
  <c r="BB49" i="8"/>
  <c r="BI49" i="8"/>
  <c r="BG97" i="8"/>
  <c r="BG98" i="8"/>
  <c r="BB100" i="8"/>
  <c r="BB97" i="8"/>
  <c r="BI97" i="8"/>
  <c r="BG145" i="8"/>
  <c r="BG146" i="8"/>
  <c r="BB148" i="8"/>
  <c r="BB145" i="8"/>
  <c r="BI145" i="8"/>
  <c r="BG193" i="8"/>
  <c r="BG194" i="8"/>
  <c r="BB196" i="8"/>
  <c r="BB193" i="8"/>
  <c r="BI193" i="8"/>
  <c r="BG241" i="8"/>
  <c r="BG242" i="8"/>
  <c r="BB244" i="8"/>
  <c r="BB241" i="8"/>
  <c r="BI241" i="8"/>
  <c r="BG289" i="8"/>
  <c r="BG290" i="8"/>
  <c r="BB292" i="8"/>
  <c r="BB289" i="8"/>
  <c r="BI289" i="8"/>
  <c r="BG337" i="8"/>
  <c r="BG338" i="8"/>
  <c r="BB340" i="8"/>
  <c r="BB337" i="8"/>
  <c r="BI337" i="8"/>
  <c r="BG385" i="8"/>
  <c r="BG386" i="8"/>
  <c r="BB388" i="8"/>
  <c r="BB385" i="8"/>
  <c r="BI385" i="8"/>
  <c r="BG433" i="8"/>
  <c r="BG434" i="8"/>
  <c r="BB433" i="8"/>
  <c r="BI433" i="8"/>
  <c r="BG481" i="8"/>
  <c r="BG482" i="8"/>
  <c r="BI481" i="8"/>
  <c r="BB481" i="8"/>
  <c r="BG529" i="8"/>
  <c r="BG530" i="8"/>
  <c r="BI529" i="8"/>
  <c r="BB529" i="8"/>
  <c r="BG577" i="8"/>
  <c r="BB580" i="8"/>
  <c r="BG578" i="8"/>
  <c r="BI577" i="8"/>
  <c r="BB577" i="8"/>
  <c r="BG625" i="8"/>
  <c r="BB628" i="8"/>
  <c r="BG626" i="8"/>
  <c r="BB625" i="8"/>
  <c r="BI625" i="8"/>
  <c r="BG7" i="8"/>
  <c r="BB10" i="8"/>
  <c r="BB7" i="8"/>
  <c r="BI7" i="8"/>
  <c r="BG8" i="8"/>
  <c r="BG55" i="8"/>
  <c r="BG56" i="8"/>
  <c r="BI55" i="8"/>
  <c r="BB58" i="8"/>
  <c r="BB55" i="8"/>
  <c r="BG103" i="8"/>
  <c r="BG104" i="8"/>
  <c r="BI103" i="8"/>
  <c r="BB106" i="8"/>
  <c r="BB103" i="8"/>
  <c r="BG151" i="8"/>
  <c r="BG152" i="8"/>
  <c r="BB154" i="8"/>
  <c r="BB151" i="8"/>
  <c r="BI151" i="8"/>
  <c r="BG199" i="8"/>
  <c r="BG200" i="8"/>
  <c r="BB202" i="8"/>
  <c r="BB199" i="8"/>
  <c r="BI199" i="8"/>
  <c r="BG247" i="8"/>
  <c r="BG248" i="8"/>
  <c r="BB250" i="8"/>
  <c r="BB247" i="8"/>
  <c r="BI247" i="8"/>
  <c r="BG295" i="8"/>
  <c r="BG296" i="8"/>
  <c r="BB298" i="8"/>
  <c r="BB295" i="8"/>
  <c r="BI295" i="8"/>
  <c r="BG343" i="8"/>
  <c r="BG344" i="8"/>
  <c r="BB346" i="8"/>
  <c r="BB343" i="8"/>
  <c r="BI343" i="8"/>
  <c r="BG391" i="8"/>
  <c r="BG392" i="8"/>
  <c r="BB391" i="8"/>
  <c r="BI391" i="8"/>
  <c r="BG439" i="8"/>
  <c r="BB442" i="8"/>
  <c r="BB439" i="8"/>
  <c r="BG440" i="8"/>
  <c r="BI439" i="8"/>
  <c r="BG487" i="8"/>
  <c r="BB490" i="8"/>
  <c r="BB487" i="8"/>
  <c r="BI487" i="8"/>
  <c r="BG488" i="8"/>
  <c r="BG535" i="8"/>
  <c r="BB538" i="8"/>
  <c r="BB535" i="8"/>
  <c r="BI535" i="8"/>
  <c r="BG536" i="8"/>
  <c r="BG583" i="8"/>
  <c r="BB586" i="8"/>
  <c r="BB583" i="8"/>
  <c r="BI583" i="8"/>
  <c r="BG584" i="8"/>
  <c r="BG631" i="8"/>
  <c r="BB634" i="8"/>
  <c r="BB631" i="8"/>
  <c r="BI631" i="8"/>
  <c r="BG632" i="8"/>
  <c r="BG37" i="8"/>
  <c r="BG38" i="8"/>
  <c r="BB40" i="8"/>
  <c r="BB37" i="8"/>
  <c r="BI37" i="8"/>
  <c r="BG85" i="8"/>
  <c r="BG86" i="8"/>
  <c r="BB88" i="8"/>
  <c r="BB85" i="8"/>
  <c r="BI85" i="8"/>
  <c r="BG133" i="8"/>
  <c r="BG134" i="8"/>
  <c r="BB136" i="8"/>
  <c r="BB133" i="8"/>
  <c r="BI133" i="8"/>
  <c r="BG181" i="8"/>
  <c r="BG182" i="8"/>
  <c r="BB184" i="8"/>
  <c r="BI181" i="8"/>
  <c r="BB181" i="8"/>
  <c r="BG229" i="8"/>
  <c r="BG230" i="8"/>
  <c r="BI229" i="8"/>
  <c r="BB232" i="8"/>
  <c r="BB229" i="8"/>
  <c r="BG277" i="8"/>
  <c r="BG278" i="8"/>
  <c r="BI277" i="8"/>
  <c r="BB280" i="8"/>
  <c r="BB277" i="8"/>
  <c r="BG325" i="8"/>
  <c r="BG326" i="8"/>
  <c r="BI325" i="8"/>
  <c r="BB328" i="8"/>
  <c r="BB325" i="8"/>
  <c r="BG373" i="8"/>
  <c r="BG374" i="8"/>
  <c r="BI373" i="8"/>
  <c r="BB376" i="8"/>
  <c r="BB373" i="8"/>
  <c r="BG421" i="8"/>
  <c r="BG422" i="8"/>
  <c r="BI421" i="8"/>
  <c r="BB424" i="8"/>
  <c r="BB421" i="8"/>
  <c r="BG469" i="8"/>
  <c r="BB472" i="8"/>
  <c r="BG470" i="8"/>
  <c r="BI469" i="8"/>
  <c r="BB469" i="8"/>
  <c r="BG517" i="8"/>
  <c r="BB520" i="8"/>
  <c r="BG518" i="8"/>
  <c r="BI517" i="8"/>
  <c r="BB517" i="8"/>
  <c r="BG565" i="8"/>
  <c r="BB568" i="8"/>
  <c r="BG566" i="8"/>
  <c r="BB565" i="8"/>
  <c r="BI565" i="8"/>
  <c r="BG613" i="8"/>
  <c r="BB616" i="8"/>
  <c r="BG614" i="8"/>
  <c r="BI613" i="8"/>
  <c r="BB613" i="8"/>
  <c r="BG43" i="8"/>
  <c r="BG44" i="8"/>
  <c r="BI43" i="8"/>
  <c r="BB46" i="8"/>
  <c r="BB43" i="8"/>
  <c r="BG91" i="8"/>
  <c r="BG92" i="8"/>
  <c r="BI91" i="8"/>
  <c r="BB94" i="8"/>
  <c r="BB91" i="8"/>
  <c r="BG139" i="8"/>
  <c r="BG140" i="8"/>
  <c r="BI139" i="8"/>
  <c r="BB142" i="8"/>
  <c r="BB139" i="8"/>
  <c r="BG187" i="8"/>
  <c r="BG188" i="8"/>
  <c r="BI187" i="8"/>
  <c r="BB190" i="8"/>
  <c r="BB187" i="8"/>
  <c r="BG235" i="8"/>
  <c r="BG236" i="8"/>
  <c r="BI235" i="8"/>
  <c r="BB238" i="8"/>
  <c r="BB235" i="8"/>
  <c r="BG283" i="8"/>
  <c r="BG284" i="8"/>
  <c r="BI283" i="8"/>
  <c r="BB286" i="8"/>
  <c r="BB283" i="8"/>
  <c r="BG331" i="8"/>
  <c r="BG332" i="8"/>
  <c r="BI331" i="8"/>
  <c r="BB334" i="8"/>
  <c r="BB331" i="8"/>
  <c r="BG379" i="8"/>
  <c r="BG380" i="8"/>
  <c r="BI379" i="8"/>
  <c r="BB382" i="8"/>
  <c r="BB379" i="8"/>
  <c r="BG427" i="8"/>
  <c r="BG428" i="8"/>
  <c r="BI427" i="8"/>
  <c r="BB430" i="8"/>
  <c r="BB427" i="8"/>
  <c r="BG475" i="8"/>
  <c r="BI475" i="8"/>
  <c r="BB475" i="8"/>
  <c r="BG476" i="8"/>
  <c r="BG523" i="8"/>
  <c r="BI523" i="8"/>
  <c r="BB523" i="8"/>
  <c r="BG524" i="8"/>
  <c r="BG571" i="8"/>
  <c r="BI571" i="8"/>
  <c r="BB571" i="8"/>
  <c r="BG572" i="8"/>
  <c r="BG619" i="8"/>
  <c r="BB622" i="8"/>
  <c r="BI619" i="8"/>
  <c r="BB619" i="8"/>
  <c r="BG620" i="8"/>
  <c r="BG25" i="8"/>
  <c r="BG26" i="8"/>
  <c r="BB28" i="8"/>
  <c r="BB25" i="8"/>
  <c r="BI25" i="8"/>
  <c r="BG73" i="8"/>
  <c r="BG74" i="8"/>
  <c r="BB76" i="8"/>
  <c r="BB73" i="8"/>
  <c r="BI73" i="8"/>
  <c r="BG121" i="8"/>
  <c r="BG122" i="8"/>
  <c r="BB124" i="8"/>
  <c r="BB121" i="8"/>
  <c r="BI121" i="8"/>
  <c r="BG169" i="8"/>
  <c r="BG170" i="8"/>
  <c r="BI169" i="8"/>
  <c r="BB172" i="8"/>
  <c r="BB169" i="8"/>
  <c r="BG217" i="8"/>
  <c r="BG218" i="8"/>
  <c r="BI217" i="8"/>
  <c r="BB220" i="8"/>
  <c r="BB217" i="8"/>
  <c r="BG265" i="8"/>
  <c r="BG266" i="8"/>
  <c r="BI265" i="8"/>
  <c r="BB268" i="8"/>
  <c r="BB265" i="8"/>
  <c r="BG313" i="8"/>
  <c r="BG314" i="8"/>
  <c r="BI313" i="8"/>
  <c r="BB316" i="8"/>
  <c r="BB313" i="8"/>
  <c r="BG361" i="8"/>
  <c r="BG362" i="8"/>
  <c r="BI361" i="8"/>
  <c r="BB364" i="8"/>
  <c r="BB361" i="8"/>
  <c r="BG409" i="8"/>
  <c r="BG410" i="8"/>
  <c r="BI409" i="8"/>
  <c r="BB412" i="8"/>
  <c r="BB409" i="8"/>
  <c r="BG457" i="8"/>
  <c r="BB460" i="8"/>
  <c r="BG458" i="8"/>
  <c r="BI457" i="8"/>
  <c r="BB457" i="8"/>
  <c r="BG505" i="8"/>
  <c r="BG506" i="8"/>
  <c r="BI505" i="8"/>
  <c r="BB505" i="8"/>
  <c r="BG553" i="8"/>
  <c r="BB556" i="8"/>
  <c r="BG554" i="8"/>
  <c r="BI553" i="8"/>
  <c r="BB553" i="8"/>
  <c r="BG601" i="8"/>
  <c r="BB604" i="8"/>
  <c r="BG602" i="8"/>
  <c r="BI601" i="8"/>
  <c r="BB601" i="8"/>
  <c r="D92" i="13"/>
  <c r="F99" i="23" s="1"/>
  <c r="D159" i="13"/>
  <c r="F107" i="23" s="1"/>
  <c r="D103" i="13"/>
  <c r="F100" i="23" s="1"/>
  <c r="D70" i="13"/>
  <c r="F95" i="23" s="1"/>
  <c r="D76" i="13"/>
  <c r="F96" i="23" s="1"/>
  <c r="D32" i="13"/>
  <c r="F92" i="23" s="1"/>
  <c r="U28" i="13"/>
  <c r="U7" i="13"/>
  <c r="D131" i="13"/>
  <c r="F103" i="23" s="1"/>
  <c r="P450" i="10"/>
  <c r="P618" i="10"/>
  <c r="P768" i="10"/>
  <c r="P621" i="10"/>
  <c r="P662" i="10"/>
  <c r="P690" i="10"/>
  <c r="P453" i="10"/>
  <c r="P616" i="10"/>
  <c r="P629" i="10"/>
  <c r="P650" i="10"/>
  <c r="P780" i="10"/>
  <c r="P822" i="10"/>
  <c r="P774" i="10"/>
  <c r="P454" i="10"/>
  <c r="P467" i="10"/>
  <c r="P810" i="10"/>
  <c r="P669" i="10"/>
  <c r="P613" i="10"/>
  <c r="P786" i="10"/>
  <c r="P666" i="10"/>
  <c r="P627" i="10"/>
  <c r="P770" i="10"/>
  <c r="P447" i="10"/>
  <c r="P587" i="10"/>
  <c r="P619" i="10"/>
  <c r="P794" i="10"/>
  <c r="P160" i="10"/>
  <c r="P552" i="10"/>
  <c r="P795" i="10"/>
  <c r="P551" i="10"/>
  <c r="C33" i="11"/>
  <c r="AD2" i="10"/>
  <c r="I45" i="13" s="1"/>
  <c r="P612" i="10"/>
  <c r="P497" i="10"/>
  <c r="P568" i="10"/>
  <c r="P787" i="10"/>
  <c r="P488" i="10"/>
  <c r="P617" i="10"/>
  <c r="P615" i="10"/>
  <c r="P614" i="10"/>
  <c r="P686" i="10"/>
  <c r="P620" i="10"/>
  <c r="P826" i="10"/>
  <c r="P660" i="10"/>
  <c r="P570" i="10"/>
  <c r="P652" i="10"/>
  <c r="P445" i="10"/>
  <c r="P622" i="10"/>
  <c r="P528" i="10"/>
  <c r="R779" i="10"/>
  <c r="P779" i="10" s="1"/>
  <c r="R637" i="10"/>
  <c r="P637" i="10" s="1"/>
  <c r="R554" i="10"/>
  <c r="P554" i="10" s="1"/>
  <c r="R811" i="10"/>
  <c r="P811" i="10" s="1"/>
  <c r="R707" i="10"/>
  <c r="P707" i="10" s="1"/>
  <c r="R719" i="10"/>
  <c r="P719" i="10" s="1"/>
  <c r="R732" i="10"/>
  <c r="P732" i="10" s="1"/>
  <c r="R169" i="10"/>
  <c r="P169" i="10" s="1"/>
  <c r="R523" i="10"/>
  <c r="P523" i="10" s="1"/>
  <c r="R633" i="10"/>
  <c r="P633" i="10" s="1"/>
  <c r="R609" i="10"/>
  <c r="P609" i="10" s="1"/>
  <c r="R729" i="10"/>
  <c r="P729" i="10" s="1"/>
  <c r="R697" i="10"/>
  <c r="P697" i="10" s="1"/>
  <c r="R663" i="10"/>
  <c r="P663" i="10" s="1"/>
  <c r="R724" i="10"/>
  <c r="P724" i="10" s="1"/>
  <c r="R600" i="10"/>
  <c r="P600" i="10" s="1"/>
  <c r="R578" i="10"/>
  <c r="P578" i="10" s="1"/>
  <c r="R628" i="10"/>
  <c r="P628" i="10" s="1"/>
  <c r="R688" i="10"/>
  <c r="P688" i="10" s="1"/>
  <c r="R700" i="10"/>
  <c r="P700" i="10" s="1"/>
  <c r="R462" i="10"/>
  <c r="P462" i="10" s="1"/>
  <c r="R623" i="10"/>
  <c r="P623" i="10" s="1"/>
  <c r="R506" i="10"/>
  <c r="P506" i="10" s="1"/>
  <c r="R648" i="10"/>
  <c r="P648" i="10" s="1"/>
  <c r="R161" i="10"/>
  <c r="P161" i="10" s="1"/>
  <c r="R496" i="10"/>
  <c r="P496" i="10" s="1"/>
  <c r="R525" i="10"/>
  <c r="P525" i="10" s="1"/>
  <c r="R173" i="10"/>
  <c r="P173" i="10" s="1"/>
  <c r="R793" i="10"/>
  <c r="P793" i="10" s="1"/>
  <c r="R823" i="10"/>
  <c r="P823" i="10" s="1"/>
  <c r="R702" i="10"/>
  <c r="P702" i="10" s="1"/>
  <c r="R507" i="10"/>
  <c r="P507" i="10" s="1"/>
  <c r="R601" i="10"/>
  <c r="P601" i="10" s="1"/>
  <c r="R691" i="10"/>
  <c r="P691" i="10" s="1"/>
  <c r="R815" i="10"/>
  <c r="P815" i="10" s="1"/>
  <c r="R654" i="10"/>
  <c r="P654" i="10" s="1"/>
  <c r="R837" i="10"/>
  <c r="P837" i="10" s="1"/>
  <c r="R607" i="10"/>
  <c r="P607" i="10" s="1"/>
  <c r="R636" i="10"/>
  <c r="P636" i="10" s="1"/>
  <c r="R667" i="10"/>
  <c r="P667" i="10" s="1"/>
  <c r="R805" i="10"/>
  <c r="P805" i="10" s="1"/>
  <c r="R783" i="10"/>
  <c r="P783" i="10" s="1"/>
  <c r="R836" i="10"/>
  <c r="P836" i="10" s="1"/>
  <c r="R802" i="10"/>
  <c r="P802" i="10" s="1"/>
  <c r="R579" i="10"/>
  <c r="P579" i="10" s="1"/>
  <c r="R510" i="10"/>
  <c r="P510" i="10" s="1"/>
  <c r="R737" i="10"/>
  <c r="P737" i="10" s="1"/>
  <c r="R735" i="10"/>
  <c r="P735" i="10" s="1"/>
  <c r="R772" i="10"/>
  <c r="P772" i="10" s="1"/>
  <c r="P99" i="24"/>
  <c r="AJ56" i="10"/>
  <c r="O15" i="13" s="1"/>
  <c r="D15" i="13" s="1"/>
  <c r="F91" i="23" s="1"/>
  <c r="U28" i="1"/>
  <c r="U27" i="1"/>
  <c r="U29" i="1"/>
  <c r="U26" i="1"/>
  <c r="J309" i="22"/>
  <c r="K309" i="22" s="1"/>
  <c r="J315" i="22"/>
  <c r="K315" i="22" s="1"/>
  <c r="J310" i="22"/>
  <c r="K310" i="22" s="1"/>
  <c r="J317" i="22"/>
  <c r="K317" i="22" s="1"/>
  <c r="J312" i="22"/>
  <c r="K312" i="22" s="1"/>
  <c r="J311" i="22"/>
  <c r="K311" i="22" s="1"/>
  <c r="J316" i="22"/>
  <c r="K316" i="22" s="1"/>
  <c r="J308" i="22"/>
  <c r="K308" i="22" s="1"/>
  <c r="J314" i="22"/>
  <c r="K314" i="22" s="1"/>
  <c r="J313" i="22"/>
  <c r="K313" i="22" s="1"/>
  <c r="S29" i="1"/>
  <c r="J142" i="22"/>
  <c r="K142" i="22" s="1"/>
  <c r="J253" i="22"/>
  <c r="K253" i="22" s="1"/>
  <c r="J302" i="22"/>
  <c r="K302" i="22" s="1"/>
  <c r="J34" i="22"/>
  <c r="K34" i="22" s="1"/>
  <c r="J153" i="22"/>
  <c r="K153" i="22" s="1"/>
  <c r="J117" i="22"/>
  <c r="K117" i="22" s="1"/>
  <c r="J296" i="22"/>
  <c r="K296" i="22" s="1"/>
  <c r="J297" i="22"/>
  <c r="K297" i="22" s="1"/>
  <c r="J161" i="22"/>
  <c r="K161" i="22" s="1"/>
  <c r="J154" i="22"/>
  <c r="K154" i="22" s="1"/>
  <c r="J156" i="22"/>
  <c r="K156" i="22" s="1"/>
  <c r="J291" i="22"/>
  <c r="K291" i="22" s="1"/>
  <c r="J152" i="22"/>
  <c r="K152" i="22" s="1"/>
  <c r="J41" i="22"/>
  <c r="K41" i="22" s="1"/>
  <c r="J182" i="22"/>
  <c r="K182" i="22" s="1"/>
  <c r="J301" i="22"/>
  <c r="K301" i="22" s="1"/>
  <c r="J184" i="22"/>
  <c r="K184" i="22" s="1"/>
  <c r="J295" i="22"/>
  <c r="K295" i="22" s="1"/>
  <c r="J66" i="22"/>
  <c r="K66" i="22" s="1"/>
  <c r="J157" i="22"/>
  <c r="K157" i="22" s="1"/>
  <c r="J261" i="22"/>
  <c r="K261" i="22" s="1"/>
  <c r="J174" i="22"/>
  <c r="K174" i="22" s="1"/>
  <c r="J283" i="22"/>
  <c r="K283" i="22" s="1"/>
  <c r="J298" i="22"/>
  <c r="K298" i="22" s="1"/>
  <c r="J288" i="22"/>
  <c r="K288" i="22" s="1"/>
  <c r="J164" i="22"/>
  <c r="K164" i="22" s="1"/>
  <c r="J284" i="22"/>
  <c r="K284" i="22" s="1"/>
  <c r="C45" i="11"/>
  <c r="P5" i="11"/>
  <c r="GG8" i="1"/>
  <c r="GF3" i="1"/>
  <c r="O8" i="11"/>
  <c r="N6" i="1"/>
  <c r="D68" i="23" s="1"/>
  <c r="G8" i="1"/>
  <c r="AE9" i="10" s="1"/>
  <c r="CB16" i="4"/>
  <c r="BB502" i="8" l="1"/>
  <c r="BB478" i="8"/>
  <c r="BB484" i="8"/>
  <c r="BB550" i="8"/>
  <c r="BB526" i="8"/>
  <c r="BB532" i="8"/>
  <c r="BB508" i="8"/>
  <c r="BB574" i="8"/>
  <c r="D45" i="13"/>
  <c r="E746" i="10"/>
  <c r="E764" i="10"/>
  <c r="E771" i="10"/>
  <c r="E456" i="10"/>
  <c r="E520" i="10"/>
  <c r="E595" i="10"/>
  <c r="E421" i="10"/>
  <c r="R516" i="10"/>
  <c r="R492" i="10"/>
  <c r="R599" i="10"/>
  <c r="R821" i="10"/>
  <c r="R486" i="10"/>
  <c r="R558" i="10"/>
  <c r="R591" i="10"/>
  <c r="R159" i="10"/>
  <c r="R464" i="10"/>
  <c r="R610" i="10"/>
  <c r="R825" i="10"/>
  <c r="R473" i="10"/>
  <c r="R580" i="10"/>
  <c r="R460" i="10"/>
  <c r="R170" i="10"/>
  <c r="R171" i="10"/>
  <c r="R461" i="10"/>
  <c r="R416" i="10"/>
  <c r="R457" i="10"/>
  <c r="R592" i="10"/>
  <c r="R720" i="10"/>
  <c r="R167" i="10"/>
  <c r="R566" i="10"/>
  <c r="R158" i="10"/>
  <c r="R827" i="10"/>
  <c r="R555" i="10"/>
  <c r="R841" i="10"/>
  <c r="R526" i="10"/>
  <c r="R574" i="10"/>
  <c r="R420" i="10"/>
  <c r="K532" i="10"/>
  <c r="P532" i="10" s="1"/>
  <c r="K540" i="10"/>
  <c r="P540" i="10" s="1"/>
  <c r="K548" i="10"/>
  <c r="P548" i="10" s="1"/>
  <c r="K534" i="10"/>
  <c r="P534" i="10" s="1"/>
  <c r="K542" i="10"/>
  <c r="P542" i="10" s="1"/>
  <c r="K536" i="10"/>
  <c r="P536" i="10" s="1"/>
  <c r="K544" i="10"/>
  <c r="P544" i="10" s="1"/>
  <c r="K538" i="10"/>
  <c r="P538" i="10" s="1"/>
  <c r="K535" i="10"/>
  <c r="P535" i="10" s="1"/>
  <c r="K537" i="10"/>
  <c r="P537" i="10" s="1"/>
  <c r="K531" i="10"/>
  <c r="P531" i="10" s="1"/>
  <c r="K533" i="10"/>
  <c r="P533" i="10" s="1"/>
  <c r="K539" i="10"/>
  <c r="P539" i="10" s="1"/>
  <c r="K547" i="10"/>
  <c r="P547" i="10" s="1"/>
  <c r="K545" i="10"/>
  <c r="P545" i="10" s="1"/>
  <c r="K546" i="10"/>
  <c r="P546" i="10" s="1"/>
  <c r="K541" i="10"/>
  <c r="P541" i="10" s="1"/>
  <c r="K543" i="10"/>
  <c r="P543" i="10" s="1"/>
  <c r="K583" i="10"/>
  <c r="K812" i="10"/>
  <c r="P812" i="10" s="1"/>
  <c r="GF4" i="1"/>
  <c r="P8" i="11"/>
  <c r="GG3" i="1"/>
  <c r="O6" i="1"/>
  <c r="AE3" i="10" s="1"/>
  <c r="O3" i="11"/>
  <c r="CC16" i="4"/>
  <c r="F116" i="23" l="1"/>
  <c r="BB610" i="8"/>
  <c r="U18" i="13"/>
  <c r="D18" i="13" s="1"/>
  <c r="U29" i="13"/>
  <c r="D29" i="13" s="1"/>
  <c r="U109" i="13"/>
  <c r="D109" i="13" s="1"/>
  <c r="U78" i="13"/>
  <c r="D78" i="13" s="1"/>
  <c r="U49" i="13"/>
  <c r="D49" i="13" s="1"/>
  <c r="P421" i="10"/>
  <c r="P595" i="10"/>
  <c r="P771" i="10"/>
  <c r="R643" i="10"/>
  <c r="P643" i="10" s="1"/>
  <c r="R446" i="10"/>
  <c r="P446" i="10" s="1"/>
  <c r="R792" i="10"/>
  <c r="P792" i="10" s="1"/>
  <c r="R790" i="10"/>
  <c r="P790" i="10" s="1"/>
  <c r="R166" i="10"/>
  <c r="P166" i="10" s="1"/>
  <c r="R581" i="10"/>
  <c r="P581" i="10" s="1"/>
  <c r="R641" i="10"/>
  <c r="P641" i="10" s="1"/>
  <c r="R728" i="10"/>
  <c r="P728" i="10" s="1"/>
  <c r="R766" i="10"/>
  <c r="P766" i="10" s="1"/>
  <c r="R553" i="10"/>
  <c r="P553" i="10" s="1"/>
  <c r="R448" i="10"/>
  <c r="P448" i="10" s="1"/>
  <c r="R586" i="10"/>
  <c r="P586" i="10" s="1"/>
  <c r="R693" i="10"/>
  <c r="P693" i="10" s="1"/>
  <c r="R664" i="10"/>
  <c r="P664" i="10" s="1"/>
  <c r="R750" i="10"/>
  <c r="P750" i="10" s="1"/>
  <c r="R765" i="10"/>
  <c r="P765" i="10" s="1"/>
  <c r="R463" i="10"/>
  <c r="P463" i="10" s="1"/>
  <c r="R630" i="10"/>
  <c r="P630" i="10" s="1"/>
  <c r="R611" i="10"/>
  <c r="P611" i="10" s="1"/>
  <c r="R809" i="10"/>
  <c r="P809" i="10" s="1"/>
  <c r="R799" i="10"/>
  <c r="P799" i="10" s="1"/>
  <c r="R646" i="10"/>
  <c r="P646" i="10" s="1"/>
  <c r="R567" i="10"/>
  <c r="P567" i="10" s="1"/>
  <c r="R642" i="10"/>
  <c r="P642" i="10" s="1"/>
  <c r="R529" i="10"/>
  <c r="P529" i="10" s="1"/>
  <c r="R725" i="10"/>
  <c r="P725" i="10" s="1"/>
  <c r="R807" i="10"/>
  <c r="P807" i="10" s="1"/>
  <c r="R798" i="10"/>
  <c r="P798" i="10" s="1"/>
  <c r="R593" i="10"/>
  <c r="P593" i="10" s="1"/>
  <c r="R723" i="10"/>
  <c r="P723" i="10" s="1"/>
  <c r="R775" i="10"/>
  <c r="P775" i="10" s="1"/>
  <c r="R582" i="10"/>
  <c r="P582" i="10" s="1"/>
  <c r="R796" i="10"/>
  <c r="P796" i="10" s="1"/>
  <c r="R745" i="10"/>
  <c r="P745" i="10" s="1"/>
  <c r="R626" i="10"/>
  <c r="P626" i="10" s="1"/>
  <c r="R829" i="10"/>
  <c r="P829" i="10" s="1"/>
  <c r="R743" i="10"/>
  <c r="P743" i="10" s="1"/>
  <c r="R499" i="10"/>
  <c r="P499" i="10" s="1"/>
  <c r="R742" i="10"/>
  <c r="P742" i="10" s="1"/>
  <c r="R576" i="10"/>
  <c r="P576" i="10" s="1"/>
  <c r="R168" i="10"/>
  <c r="P168" i="10" s="1"/>
  <c r="R164" i="10"/>
  <c r="P164" i="10" s="1"/>
  <c r="R459" i="10"/>
  <c r="P459" i="10" s="1"/>
  <c r="R165" i="10"/>
  <c r="P165" i="10" s="1"/>
  <c r="R820" i="10"/>
  <c r="P820" i="10" s="1"/>
  <c r="R785" i="10"/>
  <c r="P785" i="10" s="1"/>
  <c r="R163" i="10"/>
  <c r="P163" i="10" s="1"/>
  <c r="R789" i="10"/>
  <c r="P789" i="10" s="1"/>
  <c r="P456" i="10"/>
  <c r="P764" i="10"/>
  <c r="P520" i="10"/>
  <c r="P746" i="10"/>
  <c r="J225" i="22"/>
  <c r="K225" i="22" s="1"/>
  <c r="J223" i="22"/>
  <c r="K223" i="22" s="1"/>
  <c r="J210" i="22"/>
  <c r="K210" i="22" s="1"/>
  <c r="J239" i="22"/>
  <c r="K239" i="22" s="1"/>
  <c r="J183" i="22"/>
  <c r="K183" i="22" s="1"/>
  <c r="J243" i="22"/>
  <c r="K243" i="22" s="1"/>
  <c r="J235" i="22"/>
  <c r="K235" i="22" s="1"/>
  <c r="P3" i="11"/>
  <c r="GG4" i="1"/>
  <c r="CD16" i="4"/>
  <c r="F82" i="23" l="1"/>
  <c r="BB436" i="8"/>
  <c r="F79" i="23"/>
  <c r="BB418" i="8"/>
  <c r="F75" i="23"/>
  <c r="BB394" i="8"/>
  <c r="F84" i="23"/>
  <c r="BB448" i="8"/>
  <c r="F77" i="23"/>
  <c r="BB406" i="8"/>
  <c r="J173" i="22"/>
  <c r="K173" i="22" s="1"/>
  <c r="J217" i="22"/>
  <c r="K217" i="22" s="1"/>
  <c r="J148" i="22"/>
  <c r="K148" i="22" s="1"/>
  <c r="J78" i="22"/>
  <c r="K78" i="22" s="1"/>
  <c r="J133" i="22"/>
  <c r="K133" i="22" s="1"/>
  <c r="J92" i="22"/>
  <c r="K92" i="22" s="1"/>
  <c r="J203" i="22"/>
  <c r="K203" i="22" s="1"/>
  <c r="J242" i="22"/>
  <c r="K242" i="22" s="1"/>
  <c r="J63" i="22"/>
  <c r="K63" i="22" s="1"/>
  <c r="J188" i="22"/>
  <c r="K188" i="22" s="1"/>
  <c r="J22" i="22"/>
  <c r="K22" i="22" s="1"/>
  <c r="J273" i="22"/>
  <c r="K273" i="22" s="1"/>
  <c r="J118" i="22"/>
  <c r="K118" i="22" s="1"/>
  <c r="J36" i="22"/>
  <c r="K36" i="22" s="1"/>
  <c r="J50" i="22"/>
  <c r="K50" i="22" s="1"/>
  <c r="J229" i="22"/>
  <c r="K229" i="22" s="1"/>
  <c r="J259" i="22"/>
  <c r="K259" i="22" s="1"/>
  <c r="J105" i="22"/>
  <c r="K105" i="22" s="1"/>
  <c r="CE16" i="4"/>
  <c r="CF16" i="4" l="1"/>
  <c r="CG16" i="4" l="1"/>
  <c r="CH16" i="4" l="1"/>
  <c r="CI16" i="4" l="1"/>
  <c r="BM4" i="15" s="1"/>
  <c r="CW16" i="4" s="1"/>
  <c r="DG16" i="4" l="1"/>
  <c r="CX16" i="4"/>
  <c r="CY16" i="4"/>
  <c r="CZ16" i="4"/>
  <c r="DA16" i="4"/>
  <c r="DB16" i="4"/>
  <c r="DC16" i="4"/>
  <c r="DD16" i="4"/>
  <c r="DE16" i="4"/>
  <c r="DF16" i="4"/>
  <c r="F6" i="1" l="1"/>
  <c r="D2" i="23" s="1"/>
  <c r="E1" i="23" s="1"/>
  <c r="D150" i="23" l="1"/>
  <c r="G6" i="1"/>
  <c r="AE10" i="10" s="1"/>
  <c r="K115" i="16"/>
  <c r="K9" i="16"/>
  <c r="K41" i="16"/>
  <c r="K85" i="16"/>
  <c r="K38" i="16"/>
  <c r="K76" i="16"/>
  <c r="K28" i="16"/>
  <c r="K26" i="16"/>
  <c r="K14" i="16"/>
  <c r="GF1" i="1"/>
  <c r="FN19" i="1"/>
  <c r="FM21" i="1"/>
  <c r="O9" i="11"/>
  <c r="D19" i="23" l="1"/>
  <c r="D15" i="23"/>
  <c r="D11" i="23"/>
  <c r="D7" i="23"/>
  <c r="D104" i="23"/>
  <c r="D100" i="23"/>
  <c r="D96" i="23"/>
  <c r="D92" i="23"/>
  <c r="D87" i="23"/>
  <c r="D83" i="23"/>
  <c r="D79" i="23"/>
  <c r="D75" i="23"/>
  <c r="D71" i="23"/>
  <c r="D66" i="23"/>
  <c r="D62" i="23"/>
  <c r="D58" i="23"/>
  <c r="D54" i="23"/>
  <c r="D50" i="23"/>
  <c r="D46" i="23"/>
  <c r="D41" i="23"/>
  <c r="D37" i="23"/>
  <c r="D33" i="23"/>
  <c r="D29" i="23"/>
  <c r="D25" i="23"/>
  <c r="D20" i="23"/>
  <c r="D16" i="23"/>
  <c r="D12" i="23"/>
  <c r="D8" i="23"/>
  <c r="D4" i="23"/>
  <c r="D84" i="23"/>
  <c r="D80" i="23"/>
  <c r="D76" i="23"/>
  <c r="D72" i="23"/>
  <c r="D67" i="23"/>
  <c r="D63" i="23"/>
  <c r="D59" i="23"/>
  <c r="D55" i="23"/>
  <c r="D51" i="23"/>
  <c r="D47" i="23"/>
  <c r="D21" i="23"/>
  <c r="D17" i="23"/>
  <c r="D13" i="23"/>
  <c r="D9" i="23"/>
  <c r="D5" i="23"/>
  <c r="D64" i="23"/>
  <c r="D60" i="23"/>
  <c r="D56" i="23"/>
  <c r="D52" i="23"/>
  <c r="D48" i="23"/>
  <c r="D22" i="23"/>
  <c r="D18" i="23"/>
  <c r="D14" i="23"/>
  <c r="D10" i="23"/>
  <c r="D6" i="23"/>
  <c r="D171" i="23"/>
  <c r="D129" i="23"/>
  <c r="D39" i="23"/>
  <c r="D81" i="23"/>
  <c r="D98" i="23"/>
  <c r="D116" i="23"/>
  <c r="D133" i="23"/>
  <c r="D149" i="23"/>
  <c r="D166" i="23"/>
  <c r="D183" i="23"/>
  <c r="D30" i="23"/>
  <c r="D93" i="23"/>
  <c r="D111" i="23"/>
  <c r="D127" i="23"/>
  <c r="D144" i="23"/>
  <c r="D161" i="23"/>
  <c r="D178" i="23"/>
  <c r="D114" i="23"/>
  <c r="D135" i="23"/>
  <c r="D156" i="23"/>
  <c r="D177" i="23"/>
  <c r="D28" i="23"/>
  <c r="D53" i="23"/>
  <c r="D74" i="23"/>
  <c r="D95" i="23"/>
  <c r="D117" i="23"/>
  <c r="D138" i="23"/>
  <c r="D159" i="23"/>
  <c r="D180" i="23"/>
  <c r="D86" i="23"/>
  <c r="D40" i="23"/>
  <c r="D35" i="23"/>
  <c r="D77" i="23"/>
  <c r="D94" i="23"/>
  <c r="D112" i="23"/>
  <c r="D128" i="23"/>
  <c r="D145" i="23"/>
  <c r="D162" i="23"/>
  <c r="D179" i="23"/>
  <c r="D26" i="23"/>
  <c r="D42" i="23"/>
  <c r="D105" i="23"/>
  <c r="D123" i="23"/>
  <c r="D140" i="23"/>
  <c r="D157" i="23"/>
  <c r="D174" i="23"/>
  <c r="D190" i="23"/>
  <c r="D126" i="23"/>
  <c r="D147" i="23"/>
  <c r="D168" i="23"/>
  <c r="D189" i="23"/>
  <c r="D49" i="23"/>
  <c r="D70" i="23"/>
  <c r="D91" i="23"/>
  <c r="D113" i="23"/>
  <c r="D134" i="23"/>
  <c r="D155" i="23"/>
  <c r="D176" i="23"/>
  <c r="D188" i="23"/>
  <c r="D31" i="23"/>
  <c r="D73" i="23"/>
  <c r="D90" i="23"/>
  <c r="D106" i="23"/>
  <c r="D124" i="23"/>
  <c r="D141" i="23"/>
  <c r="D158" i="23"/>
  <c r="D175" i="23"/>
  <c r="D191" i="23"/>
  <c r="D38" i="23"/>
  <c r="D101" i="23"/>
  <c r="D119" i="23"/>
  <c r="D136" i="23"/>
  <c r="D153" i="23"/>
  <c r="D169" i="23"/>
  <c r="D186" i="23"/>
  <c r="D122" i="23"/>
  <c r="D143" i="23"/>
  <c r="D164" i="23"/>
  <c r="D185" i="23"/>
  <c r="D36" i="23"/>
  <c r="D61" i="23"/>
  <c r="D82" i="23"/>
  <c r="D103" i="23"/>
  <c r="D125" i="23"/>
  <c r="D146" i="23"/>
  <c r="D167" i="23"/>
  <c r="D107" i="23"/>
  <c r="D65" i="23"/>
  <c r="D27" i="23"/>
  <c r="D43" i="23"/>
  <c r="D85" i="23"/>
  <c r="D102" i="23"/>
  <c r="D120" i="23"/>
  <c r="D137" i="23"/>
  <c r="D154" i="23"/>
  <c r="D170" i="23"/>
  <c r="D187" i="23"/>
  <c r="D34" i="23"/>
  <c r="D97" i="23"/>
  <c r="D115" i="23"/>
  <c r="D132" i="23"/>
  <c r="D148" i="23"/>
  <c r="D165" i="23"/>
  <c r="D182" i="23"/>
  <c r="D118" i="23"/>
  <c r="D139" i="23"/>
  <c r="D160" i="23"/>
  <c r="D181" i="23"/>
  <c r="D32" i="23"/>
  <c r="D57" i="23"/>
  <c r="D78" i="23"/>
  <c r="D99" i="23"/>
  <c r="D121" i="23"/>
  <c r="D142" i="23"/>
  <c r="D163" i="23"/>
  <c r="D184" i="23"/>
  <c r="GG1" i="1"/>
  <c r="R640" i="10"/>
  <c r="R493" i="10"/>
  <c r="R800" i="10"/>
  <c r="R490" i="10"/>
  <c r="R776" i="10"/>
  <c r="R498" i="10"/>
  <c r="R668" i="10"/>
  <c r="R624" i="10"/>
  <c r="R835" i="10"/>
  <c r="R519" i="10"/>
  <c r="R754" i="10"/>
  <c r="R575" i="10"/>
  <c r="R625" i="10"/>
  <c r="P9" i="11"/>
  <c r="E21" i="15" l="1"/>
  <c r="DC8" i="4" l="1"/>
  <c r="CZ8" i="4"/>
  <c r="DF8" i="4"/>
  <c r="CX8" i="4"/>
  <c r="CY8" i="4"/>
  <c r="DE8" i="4"/>
  <c r="DA8" i="4"/>
  <c r="DD8" i="4"/>
  <c r="DG8" i="4"/>
  <c r="DB8" i="4"/>
  <c r="BK6" i="15"/>
  <c r="E8" i="1" l="1"/>
  <c r="AD9" i="10" l="1"/>
  <c r="E461" i="10" s="1"/>
  <c r="BA57" i="4"/>
  <c r="E720" i="10"/>
  <c r="E591" i="10"/>
  <c r="E416" i="10"/>
  <c r="E473" i="10"/>
  <c r="P33" i="1"/>
  <c r="Q31" i="1"/>
  <c r="J34" i="1"/>
  <c r="J36" i="1"/>
  <c r="P35" i="1"/>
  <c r="O21" i="11"/>
  <c r="P19" i="11"/>
  <c r="O15" i="11"/>
  <c r="D32" i="1" s="1"/>
  <c r="O25" i="11"/>
  <c r="P25" i="11"/>
  <c r="O19" i="11"/>
  <c r="P22" i="11"/>
  <c r="P26" i="11"/>
  <c r="P24" i="11"/>
  <c r="O18" i="11"/>
  <c r="O26" i="11"/>
  <c r="P23" i="11"/>
  <c r="P17" i="11"/>
  <c r="O17" i="11"/>
  <c r="O20" i="11"/>
  <c r="O24" i="11"/>
  <c r="P16" i="11"/>
  <c r="O23" i="11"/>
  <c r="O22" i="11"/>
  <c r="P21" i="11"/>
  <c r="P15" i="11"/>
  <c r="D34" i="1" s="1"/>
  <c r="P20" i="11"/>
  <c r="O16" i="11"/>
  <c r="C42" i="11"/>
  <c r="E420" i="10" l="1"/>
  <c r="E599" i="10"/>
  <c r="E457" i="10"/>
  <c r="P457" i="10" s="1"/>
  <c r="E460" i="10"/>
  <c r="P460" i="10" s="1"/>
  <c r="E516" i="10"/>
  <c r="E825" i="10"/>
  <c r="E821" i="10"/>
  <c r="P821" i="10" s="1"/>
  <c r="E171" i="10"/>
  <c r="P171" i="10" s="1"/>
  <c r="E610" i="10"/>
  <c r="E526" i="10"/>
  <c r="P526" i="10" s="1"/>
  <c r="E580" i="10"/>
  <c r="P580" i="10" s="1"/>
  <c r="E159" i="10"/>
  <c r="P159" i="10" s="1"/>
  <c r="E592" i="10"/>
  <c r="E170" i="10"/>
  <c r="E492" i="10"/>
  <c r="P492" i="10" s="1"/>
  <c r="E486" i="10"/>
  <c r="P486" i="10" s="1"/>
  <c r="E566" i="10"/>
  <c r="E167" i="10"/>
  <c r="P167" i="10" s="1"/>
  <c r="E558" i="10"/>
  <c r="P558" i="10" s="1"/>
  <c r="E555" i="10"/>
  <c r="P555" i="10" s="1"/>
  <c r="E464" i="10"/>
  <c r="P464" i="10" s="1"/>
  <c r="E841" i="10"/>
  <c r="P841" i="10" s="1"/>
  <c r="E158" i="10"/>
  <c r="P158" i="10" s="1"/>
  <c r="E827" i="10"/>
  <c r="P827" i="10" s="1"/>
  <c r="E574" i="10"/>
  <c r="P574" i="10" s="1"/>
  <c r="P416" i="10"/>
  <c r="P591" i="10"/>
  <c r="P170" i="10"/>
  <c r="P599" i="10"/>
  <c r="P825" i="10"/>
  <c r="P592" i="10"/>
  <c r="P610" i="10"/>
  <c r="P566" i="10"/>
  <c r="P461" i="10"/>
  <c r="P420" i="10"/>
  <c r="P473" i="10"/>
  <c r="P720" i="10"/>
  <c r="P516" i="10"/>
  <c r="D33" i="1"/>
  <c r="E20" i="15"/>
  <c r="J128" i="22" l="1"/>
  <c r="K128" i="22" s="1"/>
  <c r="J85" i="22"/>
  <c r="K85" i="22" s="1"/>
  <c r="J15" i="22"/>
  <c r="K15" i="22" s="1"/>
  <c r="J125" i="22"/>
  <c r="K125" i="22" s="1"/>
  <c r="CY7" i="4"/>
  <c r="CX7" i="4"/>
  <c r="DD7" i="4"/>
  <c r="DG7" i="4"/>
  <c r="DE7" i="4"/>
  <c r="DB7" i="4"/>
  <c r="DF7" i="4"/>
  <c r="CZ7" i="4"/>
  <c r="DC7" i="4"/>
  <c r="DA7" i="4"/>
  <c r="BK5" i="15"/>
  <c r="J119" i="22" l="1"/>
  <c r="K119" i="22" s="1"/>
  <c r="J126" i="22"/>
  <c r="K126" i="22" s="1"/>
  <c r="J146" i="22"/>
  <c r="K146" i="22" s="1"/>
  <c r="J91" i="22"/>
  <c r="K91" i="22" s="1"/>
  <c r="J139" i="22"/>
  <c r="K139" i="22" s="1"/>
  <c r="J83" i="22"/>
  <c r="K83" i="22" s="1"/>
  <c r="J255" i="22"/>
  <c r="K255" i="22" s="1"/>
  <c r="J303" i="22"/>
  <c r="K303" i="22" s="1"/>
  <c r="J89" i="22"/>
  <c r="K89" i="22" s="1"/>
  <c r="J18" i="22"/>
  <c r="K18" i="22" s="1"/>
  <c r="J140" i="22"/>
  <c r="K140" i="22" s="1"/>
  <c r="J77" i="22"/>
  <c r="K77" i="22" s="1"/>
  <c r="J116" i="22"/>
  <c r="K116" i="22" s="1"/>
  <c r="J17" i="22"/>
  <c r="K17" i="22" s="1"/>
  <c r="J272" i="22"/>
  <c r="K272" i="22" s="1"/>
  <c r="J124" i="22"/>
  <c r="K124" i="22" s="1"/>
  <c r="J144" i="22"/>
  <c r="K144" i="22" s="1"/>
  <c r="J14" i="22"/>
  <c r="K14" i="22" s="1"/>
  <c r="J251" i="22"/>
  <c r="K251" i="22" s="1"/>
  <c r="J143" i="22"/>
  <c r="K143" i="22" s="1"/>
  <c r="J138" i="22"/>
  <c r="K138" i="22" s="1"/>
  <c r="J267" i="22"/>
  <c r="K267" i="22" s="1"/>
  <c r="E7" i="1"/>
  <c r="BA56" i="4" s="1"/>
  <c r="J27" i="1" l="1"/>
  <c r="J26" i="1"/>
  <c r="Z7" i="16"/>
  <c r="AD4" i="10"/>
  <c r="I161" i="13" s="1"/>
  <c r="J24" i="1"/>
  <c r="J32" i="1"/>
  <c r="J28" i="1"/>
  <c r="P30" i="1"/>
  <c r="E24" i="1"/>
  <c r="P29" i="1"/>
  <c r="I82" i="16"/>
  <c r="I49" i="16"/>
  <c r="I91" i="16"/>
  <c r="I40" i="16"/>
  <c r="I54" i="16"/>
  <c r="I34" i="16"/>
  <c r="I103" i="16"/>
  <c r="I16" i="16"/>
  <c r="I95" i="16"/>
  <c r="I100" i="16"/>
  <c r="I101" i="16"/>
  <c r="I31" i="16"/>
  <c r="I71" i="16"/>
  <c r="I55" i="16"/>
  <c r="I3" i="16"/>
  <c r="I62" i="16"/>
  <c r="I45" i="16"/>
  <c r="I73" i="16"/>
  <c r="I107" i="16"/>
  <c r="I23" i="16"/>
  <c r="I113" i="16"/>
  <c r="I109" i="16"/>
  <c r="I53" i="16"/>
  <c r="I51" i="16"/>
  <c r="I44" i="16"/>
  <c r="I86" i="16"/>
  <c r="I87" i="16"/>
  <c r="I108" i="16"/>
  <c r="I6" i="16"/>
  <c r="I29" i="16"/>
  <c r="I64" i="16"/>
  <c r="I50" i="16"/>
  <c r="I61" i="16"/>
  <c r="I57" i="16"/>
  <c r="I98" i="16"/>
  <c r="I48" i="16"/>
  <c r="I10" i="16"/>
  <c r="I78" i="16"/>
  <c r="I105" i="16"/>
  <c r="I80" i="16"/>
  <c r="I96" i="16"/>
  <c r="I89" i="16"/>
  <c r="I99" i="16"/>
  <c r="I84" i="16"/>
  <c r="I106" i="16"/>
  <c r="I47" i="16"/>
  <c r="I102" i="16"/>
  <c r="I65" i="16"/>
  <c r="I52" i="16"/>
  <c r="BK4" i="1" s="1"/>
  <c r="I15" i="16"/>
  <c r="I83" i="16"/>
  <c r="I90" i="16"/>
  <c r="I37" i="16"/>
  <c r="I111" i="16"/>
  <c r="I17" i="16"/>
  <c r="I114" i="16"/>
  <c r="I42" i="16"/>
  <c r="I93" i="16"/>
  <c r="C36" i="11"/>
  <c r="D161" i="13" l="1"/>
  <c r="D87" i="16"/>
  <c r="D34" i="16"/>
  <c r="D42" i="16"/>
  <c r="D82" i="16"/>
  <c r="D17" i="16"/>
  <c r="D106" i="16"/>
  <c r="D95" i="16"/>
  <c r="D53" i="16"/>
  <c r="D48" i="16"/>
  <c r="D15" i="16"/>
  <c r="D14" i="16"/>
  <c r="D22" i="16"/>
  <c r="D63" i="16"/>
  <c r="D36" i="16"/>
  <c r="D12" i="16"/>
  <c r="D40" i="16"/>
  <c r="D89" i="16"/>
  <c r="D72" i="16"/>
  <c r="D35" i="16"/>
  <c r="D6" i="16"/>
  <c r="D96" i="16"/>
  <c r="D47" i="16"/>
  <c r="D23" i="16"/>
  <c r="D102" i="16"/>
  <c r="D71" i="16"/>
  <c r="D76" i="16"/>
  <c r="D9" i="16"/>
  <c r="D7" i="16"/>
  <c r="D8" i="16"/>
  <c r="D58" i="16"/>
  <c r="D43" i="16"/>
  <c r="D20" i="16"/>
  <c r="D104" i="16"/>
  <c r="D3" i="16"/>
  <c r="D29" i="16"/>
  <c r="D66" i="16"/>
  <c r="D39" i="16"/>
  <c r="D55" i="16"/>
  <c r="D103" i="16"/>
  <c r="D45" i="16"/>
  <c r="D49" i="16"/>
  <c r="D62" i="16"/>
  <c r="D113" i="16"/>
  <c r="D90" i="16"/>
  <c r="D61" i="16"/>
  <c r="D84" i="16"/>
  <c r="D101" i="16"/>
  <c r="D73" i="16"/>
  <c r="D57" i="16"/>
  <c r="D21" i="16"/>
  <c r="D41" i="16"/>
  <c r="D30" i="16"/>
  <c r="D18" i="16"/>
  <c r="D112" i="16"/>
  <c r="D69" i="16"/>
  <c r="D24" i="16"/>
  <c r="D94" i="16"/>
  <c r="D79" i="16"/>
  <c r="D19" i="16"/>
  <c r="D92" i="16"/>
  <c r="D16" i="16"/>
  <c r="D114" i="16"/>
  <c r="D52" i="16"/>
  <c r="D25" i="16"/>
  <c r="D10" i="16"/>
  <c r="D80" i="16"/>
  <c r="D100" i="16"/>
  <c r="D93" i="16"/>
  <c r="D50" i="16"/>
  <c r="D98" i="16"/>
  <c r="D107" i="16"/>
  <c r="D115" i="16"/>
  <c r="D59" i="16"/>
  <c r="D60" i="16"/>
  <c r="D13" i="16"/>
  <c r="D110" i="16"/>
  <c r="D56" i="16"/>
  <c r="D70" i="16"/>
  <c r="D78" i="16"/>
  <c r="D86" i="16"/>
  <c r="D37" i="16"/>
  <c r="D64" i="16"/>
  <c r="D31" i="16"/>
  <c r="D65" i="16"/>
  <c r="D111" i="16"/>
  <c r="D51" i="16"/>
  <c r="D44" i="16"/>
  <c r="D28" i="16"/>
  <c r="D67" i="16"/>
  <c r="D88" i="16"/>
  <c r="D81" i="16"/>
  <c r="D75" i="16"/>
  <c r="D99" i="16"/>
  <c r="D85" i="16"/>
  <c r="D77" i="16"/>
  <c r="D97" i="16"/>
  <c r="D26" i="16"/>
  <c r="D105" i="16"/>
  <c r="D46" i="16"/>
  <c r="D27" i="16"/>
  <c r="D11" i="16"/>
  <c r="D83" i="16"/>
  <c r="D32" i="16"/>
  <c r="D91" i="16"/>
  <c r="D109" i="16"/>
  <c r="D68" i="16"/>
  <c r="D108" i="16"/>
  <c r="D4" i="16"/>
  <c r="D54" i="16"/>
  <c r="D2" i="16"/>
  <c r="D33" i="16"/>
  <c r="D74" i="16"/>
  <c r="D5" i="16"/>
  <c r="D38" i="16"/>
  <c r="E513" i="10"/>
  <c r="E751" i="10"/>
  <c r="E556" i="10"/>
  <c r="E808" i="10"/>
  <c r="E698" i="10"/>
  <c r="E833" i="10"/>
  <c r="E655" i="10"/>
  <c r="E682" i="10"/>
  <c r="E605" i="10"/>
  <c r="E753" i="10"/>
  <c r="E756" i="10"/>
  <c r="E832" i="10"/>
  <c r="E471" i="10"/>
  <c r="E727" i="10"/>
  <c r="E687" i="10"/>
  <c r="E763" i="10"/>
  <c r="E508" i="10"/>
  <c r="E791" i="10"/>
  <c r="E699" i="10"/>
  <c r="E752" i="10"/>
  <c r="E844" i="10"/>
  <c r="E474" i="10"/>
  <c r="E594" i="10"/>
  <c r="E806" i="10"/>
  <c r="E476" i="10"/>
  <c r="E19" i="15"/>
  <c r="F127" i="23" l="1"/>
  <c r="CB34" i="8"/>
  <c r="P471" i="10"/>
  <c r="P752" i="10"/>
  <c r="P832" i="10"/>
  <c r="P808" i="10"/>
  <c r="P474" i="10"/>
  <c r="P833" i="10"/>
  <c r="P844" i="10"/>
  <c r="P698" i="10"/>
  <c r="P699" i="10"/>
  <c r="P476" i="10"/>
  <c r="P508" i="10"/>
  <c r="P605" i="10"/>
  <c r="P513" i="10"/>
  <c r="P727" i="10"/>
  <c r="P756" i="10"/>
  <c r="P806" i="10"/>
  <c r="P763" i="10"/>
  <c r="P682" i="10"/>
  <c r="P556" i="10"/>
  <c r="P791" i="10"/>
  <c r="P753" i="10"/>
  <c r="P751" i="10"/>
  <c r="P594" i="10"/>
  <c r="P687" i="10"/>
  <c r="P655" i="10"/>
  <c r="CY6" i="4"/>
  <c r="DG6" i="4"/>
  <c r="DB6" i="4"/>
  <c r="DF6" i="4"/>
  <c r="CZ6" i="4"/>
  <c r="DC6" i="4"/>
  <c r="DD6" i="4"/>
  <c r="DA6" i="4"/>
  <c r="CX6" i="4"/>
  <c r="DE6" i="4"/>
  <c r="BK4" i="15"/>
  <c r="J42" i="22" l="1"/>
  <c r="K42" i="22" s="1"/>
  <c r="J147" i="22"/>
  <c r="K147" i="22" s="1"/>
  <c r="J181" i="22"/>
  <c r="K181" i="22" s="1"/>
  <c r="J269" i="22"/>
  <c r="K269" i="22" s="1"/>
  <c r="J266" i="22"/>
  <c r="K266" i="22" s="1"/>
  <c r="J46" i="22"/>
  <c r="K46" i="22" s="1"/>
  <c r="J275" i="22"/>
  <c r="K275" i="22" s="1"/>
  <c r="J80" i="22"/>
  <c r="K80" i="22" s="1"/>
  <c r="J70" i="22"/>
  <c r="K70" i="22" s="1"/>
  <c r="J43" i="22"/>
  <c r="K43" i="22" s="1"/>
  <c r="J305" i="22"/>
  <c r="K305" i="22" s="1"/>
  <c r="J190" i="22"/>
  <c r="K190" i="22" s="1"/>
  <c r="J299" i="22"/>
  <c r="K299" i="22" s="1"/>
  <c r="J120" i="22"/>
  <c r="K120" i="22" s="1"/>
  <c r="J213" i="22"/>
  <c r="K213" i="22" s="1"/>
  <c r="J245" i="22"/>
  <c r="K245" i="22" s="1"/>
  <c r="J265" i="22"/>
  <c r="K265" i="22" s="1"/>
  <c r="J185" i="22"/>
  <c r="K185" i="22" s="1"/>
  <c r="J62" i="22"/>
  <c r="K62" i="22" s="1"/>
  <c r="J270" i="22"/>
  <c r="K270" i="22" s="1"/>
  <c r="J87" i="22"/>
  <c r="K87" i="22" s="1"/>
  <c r="J231" i="22"/>
  <c r="K231" i="22" s="1"/>
  <c r="E6" i="1"/>
  <c r="BA55" i="4" s="1"/>
  <c r="FM19" i="1" l="1"/>
  <c r="R26" i="1" s="1"/>
  <c r="Z6" i="16"/>
  <c r="AD10" i="10"/>
  <c r="O25" i="1"/>
  <c r="Q25" i="1" s="1"/>
  <c r="P27" i="1"/>
  <c r="C43" i="11"/>
  <c r="P26" i="1" l="1"/>
  <c r="E624" i="10"/>
  <c r="E668" i="10"/>
  <c r="E625" i="10"/>
  <c r="E754" i="10"/>
  <c r="E493" i="10"/>
  <c r="E800" i="10"/>
  <c r="E498" i="10"/>
  <c r="E835" i="10"/>
  <c r="E640" i="10"/>
  <c r="E519" i="10"/>
  <c r="E490" i="10"/>
  <c r="E575" i="10"/>
  <c r="E776" i="10"/>
  <c r="F44" i="16"/>
  <c r="F73" i="16"/>
  <c r="F83" i="16"/>
  <c r="F95" i="16"/>
  <c r="F80" i="16"/>
  <c r="F65" i="16"/>
  <c r="F87" i="16"/>
  <c r="F107" i="16"/>
  <c r="F50" i="16"/>
  <c r="F31" i="16"/>
  <c r="F54" i="16"/>
  <c r="F45" i="16"/>
  <c r="F49" i="16"/>
  <c r="F86" i="16"/>
  <c r="F113" i="16"/>
  <c r="F55" i="16"/>
  <c r="F84" i="16"/>
  <c r="F47" i="16"/>
  <c r="F16" i="16"/>
  <c r="F23" i="16"/>
  <c r="F21" i="16"/>
  <c r="F62" i="16"/>
  <c r="F61" i="16"/>
  <c r="F52" i="16"/>
  <c r="F71" i="16"/>
  <c r="F82" i="16"/>
  <c r="F106" i="16"/>
  <c r="F103" i="16"/>
  <c r="F29" i="16"/>
  <c r="F57" i="16"/>
  <c r="F64" i="16"/>
  <c r="F100" i="16"/>
  <c r="F93" i="16"/>
  <c r="F90" i="16"/>
  <c r="F108" i="16"/>
  <c r="F102" i="16"/>
  <c r="F48" i="16"/>
  <c r="F3" i="16"/>
  <c r="F37" i="16"/>
  <c r="F17" i="16"/>
  <c r="F34" i="16"/>
  <c r="F99" i="16"/>
  <c r="F40" i="16"/>
  <c r="F89" i="16"/>
  <c r="F91" i="16"/>
  <c r="F114" i="16"/>
  <c r="F96" i="16"/>
  <c r="F78" i="16"/>
  <c r="F101" i="16"/>
  <c r="F109" i="16"/>
  <c r="F105" i="16"/>
  <c r="F42" i="16"/>
  <c r="F15" i="16"/>
  <c r="F10" i="16"/>
  <c r="F6" i="16"/>
  <c r="F111" i="16"/>
  <c r="F51" i="16"/>
  <c r="F53" i="16"/>
  <c r="F98" i="16"/>
  <c r="J180" i="22"/>
  <c r="K180" i="22" s="1"/>
  <c r="J76" i="22"/>
  <c r="K76" i="22" s="1"/>
  <c r="J52" i="22"/>
  <c r="K52" i="22" s="1"/>
  <c r="J240" i="22"/>
  <c r="K240" i="22" s="1"/>
  <c r="J268" i="22"/>
  <c r="K268" i="22" s="1"/>
  <c r="J244" i="22"/>
  <c r="K244" i="22" s="1"/>
  <c r="J75" i="22"/>
  <c r="K75" i="22" s="1"/>
  <c r="J65" i="22"/>
  <c r="K65" i="22" s="1"/>
  <c r="J47" i="22"/>
  <c r="K47" i="22" s="1"/>
  <c r="J241" i="22"/>
  <c r="K241" i="22" s="1"/>
  <c r="J219" i="22"/>
  <c r="K219" i="22" s="1"/>
  <c r="J216" i="22"/>
  <c r="K216" i="22" s="1"/>
  <c r="J186" i="22"/>
  <c r="K186" i="22" s="1"/>
  <c r="P835" i="10" l="1"/>
  <c r="P498" i="10"/>
  <c r="P800" i="10"/>
  <c r="P490" i="10"/>
  <c r="P625" i="10"/>
  <c r="P776" i="10"/>
  <c r="P493" i="10"/>
  <c r="P575" i="10"/>
  <c r="P754" i="10"/>
  <c r="P519" i="10"/>
  <c r="P668" i="10"/>
  <c r="P640" i="10"/>
  <c r="P624" i="10"/>
  <c r="A496" i="22"/>
  <c r="BF48" i="22" l="1"/>
  <c r="BF45" i="22"/>
  <c r="BF44" i="22"/>
  <c r="BF49" i="22"/>
  <c r="BF50" i="22"/>
  <c r="BF46" i="22"/>
  <c r="BF51" i="22"/>
  <c r="BF43" i="22"/>
  <c r="BF47" i="22"/>
  <c r="BF42" i="22"/>
  <c r="T37" i="22"/>
  <c r="BF57" i="22" s="1"/>
  <c r="T41" i="22"/>
  <c r="BF61" i="22" s="1"/>
  <c r="T38" i="22"/>
  <c r="BF58" i="22" s="1"/>
  <c r="T40" i="22"/>
  <c r="BF60" i="22" s="1"/>
  <c r="T39" i="22"/>
  <c r="BF59" i="22" s="1"/>
  <c r="T35" i="22"/>
  <c r="BF55" i="22" s="1"/>
  <c r="T34" i="22"/>
  <c r="BF54" i="22" s="1"/>
  <c r="T36" i="22"/>
  <c r="BF56" i="22" s="1"/>
  <c r="T33" i="22"/>
  <c r="BF53" i="22" s="1"/>
  <c r="T32" i="22"/>
  <c r="T47" i="22" l="1"/>
  <c r="BF67" i="22" s="1"/>
  <c r="T42" i="22"/>
  <c r="BF52" i="22"/>
  <c r="T43" i="22"/>
  <c r="T50" i="22"/>
  <c r="BF70" i="22" s="1"/>
  <c r="T46" i="22"/>
  <c r="BF66" i="22" s="1"/>
  <c r="T45" i="22"/>
  <c r="BF65" i="22" s="1"/>
  <c r="T44" i="22"/>
  <c r="BF64" i="22" s="1"/>
  <c r="T48" i="22"/>
  <c r="BF68" i="22" s="1"/>
  <c r="T49" i="22"/>
  <c r="BF69" i="22" s="1"/>
  <c r="T51" i="22"/>
  <c r="BF71" i="22" s="1"/>
  <c r="BF62" i="22" l="1"/>
  <c r="T61" i="22"/>
  <c r="BF81" i="22" s="1"/>
  <c r="T53" i="22"/>
  <c r="BF73" i="22" s="1"/>
  <c r="T52" i="22"/>
  <c r="T54" i="22"/>
  <c r="BF74" i="22" s="1"/>
  <c r="T57" i="22"/>
  <c r="BF77" i="22" s="1"/>
  <c r="T58" i="22"/>
  <c r="BF78" i="22" s="1"/>
  <c r="T60" i="22"/>
  <c r="BF80" i="22" s="1"/>
  <c r="BF63" i="22"/>
  <c r="T55" i="22"/>
  <c r="BF75" i="22" s="1"/>
  <c r="T56" i="22"/>
  <c r="BF76" i="22" s="1"/>
  <c r="T59" i="22"/>
  <c r="BF79" i="22" s="1"/>
  <c r="AJ20" i="22" l="1"/>
  <c r="AJ12" i="22"/>
  <c r="AJ14" i="22"/>
  <c r="AJ19" i="22"/>
  <c r="AJ18" i="22"/>
  <c r="AJ17" i="22"/>
  <c r="AJ16" i="22"/>
  <c r="AJ15" i="22"/>
  <c r="AJ21" i="22"/>
  <c r="AJ13" i="22"/>
  <c r="BF72" i="22"/>
  <c r="AJ22" i="22" l="1"/>
  <c r="BF38" i="22"/>
  <c r="BF34" i="22"/>
  <c r="BF37" i="22"/>
  <c r="BF40" i="22"/>
  <c r="BF35" i="22"/>
  <c r="BF41" i="22"/>
  <c r="BF39" i="22"/>
  <c r="BF33" i="22"/>
  <c r="BF36" i="22"/>
  <c r="BF32" i="22" l="1"/>
  <c r="BF83" i="22"/>
  <c r="BF91" i="22"/>
  <c r="BF88" i="22"/>
  <c r="BF86" i="22"/>
  <c r="BF89" i="22"/>
  <c r="BF87" i="22"/>
  <c r="BF84" i="22"/>
  <c r="BF90" i="22"/>
  <c r="BF85" i="22"/>
  <c r="BF82" i="22" l="1"/>
  <c r="AJ31" i="22"/>
  <c r="BF101" i="22" s="1"/>
  <c r="AJ30" i="22"/>
  <c r="BF100" i="22" s="1"/>
  <c r="AJ27" i="22"/>
  <c r="BF97" i="22" s="1"/>
  <c r="AJ26" i="22"/>
  <c r="BF96" i="22" s="1"/>
  <c r="AJ25" i="22"/>
  <c r="BF95" i="22" s="1"/>
  <c r="AJ28" i="22"/>
  <c r="BF98" i="22" s="1"/>
  <c r="AJ24" i="22"/>
  <c r="BF94" i="22" s="1"/>
  <c r="AJ29" i="22"/>
  <c r="BF99" i="22" s="1"/>
  <c r="AJ23" i="22"/>
  <c r="BF93" i="22" l="1"/>
  <c r="T67" i="22"/>
  <c r="BF107" i="22" s="1"/>
  <c r="T71" i="22"/>
  <c r="BF111" i="22" s="1"/>
  <c r="T65" i="22"/>
  <c r="BF105" i="22" s="1"/>
  <c r="T62" i="22"/>
  <c r="BF102" i="22" s="1"/>
  <c r="T69" i="22"/>
  <c r="BF109" i="22" s="1"/>
  <c r="T63" i="22"/>
  <c r="T68" i="22"/>
  <c r="BF108" i="22" s="1"/>
  <c r="T66" i="22"/>
  <c r="BF106" i="22" s="1"/>
  <c r="T70" i="22"/>
  <c r="BF110" i="22" s="1"/>
  <c r="T64" i="22"/>
  <c r="BF104" i="22" s="1"/>
  <c r="BF92" i="22"/>
  <c r="T81" i="22" l="1"/>
  <c r="BF121" i="22" s="1"/>
  <c r="T80" i="22"/>
  <c r="BF120" i="22" s="1"/>
  <c r="BF103" i="22"/>
  <c r="T76" i="22"/>
  <c r="BF116" i="22" s="1"/>
  <c r="T72" i="22"/>
  <c r="BF112" i="22" s="1"/>
  <c r="T77" i="22"/>
  <c r="BF117" i="22" s="1"/>
  <c r="T78" i="22"/>
  <c r="BF118" i="22" s="1"/>
  <c r="T75" i="22"/>
  <c r="BF115" i="22" s="1"/>
  <c r="T74" i="22"/>
  <c r="BF114" i="22" s="1"/>
  <c r="T79" i="22"/>
  <c r="BF119" i="22" s="1"/>
  <c r="T73" i="22"/>
  <c r="BF113" i="22" s="1"/>
  <c r="T91" i="22" l="1"/>
  <c r="BF131" i="22" s="1"/>
  <c r="T87" i="22"/>
  <c r="BF127" i="22" s="1"/>
  <c r="T88" i="22"/>
  <c r="BF128" i="22" s="1"/>
  <c r="T84" i="22"/>
  <c r="BF124" i="22" s="1"/>
  <c r="T89" i="22"/>
  <c r="BF129" i="22" s="1"/>
  <c r="T86" i="22"/>
  <c r="BF126" i="22" s="1"/>
  <c r="T82" i="22"/>
  <c r="BF122" i="22" s="1"/>
  <c r="T90" i="22"/>
  <c r="BF130" i="22" s="1"/>
  <c r="T85" i="22"/>
  <c r="BF125" i="22" s="1"/>
  <c r="T83" i="22"/>
  <c r="BF123" i="22" s="1"/>
  <c r="T95" i="22" l="1"/>
  <c r="BF135" i="22" s="1"/>
  <c r="T99" i="22"/>
  <c r="BF139" i="22" s="1"/>
  <c r="T101" i="22"/>
  <c r="BF141" i="22" s="1"/>
  <c r="T98" i="22"/>
  <c r="BF138" i="22" s="1"/>
  <c r="T93" i="22"/>
  <c r="BF133" i="22" s="1"/>
  <c r="T96" i="22"/>
  <c r="BF136" i="22" s="1"/>
  <c r="T94" i="22"/>
  <c r="BF134" i="22" s="1"/>
  <c r="T92" i="22"/>
  <c r="T100" i="22"/>
  <c r="BF140" i="22" s="1"/>
  <c r="T97" i="22"/>
  <c r="BF137" i="22" s="1"/>
  <c r="BF132" i="22" l="1"/>
  <c r="AB2" i="22"/>
  <c r="AB4" i="22"/>
  <c r="BF144" i="22" s="1"/>
  <c r="AB5" i="22"/>
  <c r="BF145" i="22" s="1"/>
  <c r="AB3" i="22"/>
  <c r="BF143" i="22" s="1"/>
  <c r="AB6" i="22"/>
  <c r="BF146" i="22" s="1"/>
  <c r="AB9" i="22"/>
  <c r="BF149" i="22" s="1"/>
  <c r="AB7" i="22"/>
  <c r="BF147" i="22" s="1"/>
  <c r="AB11" i="22"/>
  <c r="BF151" i="22" s="1"/>
  <c r="AB8" i="22"/>
  <c r="BF148" i="22" s="1"/>
  <c r="AB10" i="22"/>
  <c r="BF150" i="22" s="1"/>
  <c r="AB18" i="22" l="1"/>
  <c r="BF158" i="22" s="1"/>
  <c r="AB21" i="22"/>
  <c r="BF161" i="22" s="1"/>
  <c r="AB19" i="22"/>
  <c r="BF159" i="22" s="1"/>
  <c r="AB12" i="22"/>
  <c r="BF152" i="22" s="1"/>
  <c r="AB16" i="22"/>
  <c r="BF156" i="22" s="1"/>
  <c r="AB20" i="22"/>
  <c r="BF160" i="22" s="1"/>
  <c r="BF142" i="22"/>
  <c r="AB15" i="22"/>
  <c r="BF155" i="22" s="1"/>
  <c r="AB14" i="22"/>
  <c r="BF154" i="22" s="1"/>
  <c r="AB17" i="22"/>
  <c r="BF157" i="22" s="1"/>
  <c r="AB13" i="22"/>
  <c r="BF153" i="22" s="1"/>
  <c r="AB29" i="22" l="1"/>
  <c r="BF169" i="22" s="1"/>
  <c r="AB24" i="22"/>
  <c r="BF164" i="22" s="1"/>
  <c r="AB23" i="22"/>
  <c r="BF163" i="22" s="1"/>
  <c r="AB31" i="22"/>
  <c r="BF171" i="22" s="1"/>
  <c r="AB28" i="22"/>
  <c r="BF168" i="22" s="1"/>
  <c r="AB26" i="22"/>
  <c r="BF166" i="22" s="1"/>
  <c r="AB30" i="22"/>
  <c r="BF170" i="22" s="1"/>
  <c r="AB22" i="22"/>
  <c r="AB25" i="22"/>
  <c r="BF165" i="22" s="1"/>
  <c r="AB27" i="22"/>
  <c r="BF167" i="22" s="1"/>
  <c r="AB41" i="22" l="1"/>
  <c r="BF182" i="22" s="1"/>
  <c r="AB32" i="22"/>
  <c r="BF172" i="22" s="1"/>
  <c r="AB36" i="22"/>
  <c r="BF176" i="22" s="1"/>
  <c r="AB35" i="22"/>
  <c r="BF175" i="22" s="1"/>
  <c r="BF162" i="22"/>
  <c r="AB40" i="22"/>
  <c r="BF181" i="22" s="1"/>
  <c r="AB38" i="22"/>
  <c r="BF179" i="22" s="1"/>
  <c r="AB33" i="22"/>
  <c r="BF173" i="22" s="1"/>
  <c r="AB39" i="22"/>
  <c r="BF180" i="22" s="1"/>
  <c r="AB34" i="22"/>
  <c r="BF174" i="22" s="1"/>
  <c r="AB37" i="22"/>
  <c r="BF177" i="22" s="1"/>
  <c r="AB49" i="22" l="1"/>
  <c r="BF190" i="22" s="1"/>
  <c r="AB48" i="22"/>
  <c r="BF189" i="22" s="1"/>
  <c r="AB50" i="22"/>
  <c r="BF191" i="22" s="1"/>
  <c r="AB45" i="22"/>
  <c r="BF186" i="22" s="1"/>
  <c r="AB46" i="22"/>
  <c r="BF187" i="22" s="1"/>
  <c r="AB42" i="22"/>
  <c r="AB51" i="22"/>
  <c r="BF192" i="22" s="1"/>
  <c r="AB43" i="22"/>
  <c r="BF184" i="22" s="1"/>
  <c r="AB47" i="22"/>
  <c r="BF188" i="22" s="1"/>
  <c r="AB44" i="22"/>
  <c r="BF185" i="22" s="1"/>
  <c r="AB61" i="22" l="1"/>
  <c r="BF202" i="22" s="1"/>
  <c r="AB57" i="22"/>
  <c r="BF198" i="22" s="1"/>
  <c r="AB55" i="22"/>
  <c r="BF196" i="22" s="1"/>
  <c r="AB53" i="22"/>
  <c r="BF194" i="22" s="1"/>
  <c r="AB52" i="22"/>
  <c r="AB54" i="22"/>
  <c r="BF195" i="22" s="1"/>
  <c r="AB56" i="22"/>
  <c r="BF197" i="22" s="1"/>
  <c r="AB59" i="22"/>
  <c r="BF200" i="22" s="1"/>
  <c r="AB60" i="22"/>
  <c r="BF201" i="22" s="1"/>
  <c r="BF183" i="22"/>
  <c r="AB58" i="22"/>
  <c r="BF199" i="22" s="1"/>
  <c r="AB63" i="22" l="1"/>
  <c r="BF204" i="22" s="1"/>
  <c r="AB70" i="22"/>
  <c r="BF211" i="22" s="1"/>
  <c r="AB67" i="22"/>
  <c r="BF208" i="22" s="1"/>
  <c r="AB66" i="22"/>
  <c r="BF207" i="22" s="1"/>
  <c r="AB69" i="22"/>
  <c r="BF210" i="22" s="1"/>
  <c r="AB68" i="22"/>
  <c r="BF209" i="22" s="1"/>
  <c r="AB62" i="22"/>
  <c r="BF203" i="22" s="1"/>
  <c r="AB71" i="22"/>
  <c r="BF212" i="22" s="1"/>
  <c r="AB65" i="22"/>
  <c r="BF206" i="22" s="1"/>
  <c r="AB64" i="22"/>
  <c r="BF205" i="22" s="1"/>
  <c r="BF193" i="22"/>
  <c r="AJ35" i="22" l="1"/>
  <c r="BF216" i="22" s="1"/>
  <c r="AJ32" i="22"/>
  <c r="AJ34" i="22"/>
  <c r="BF215" i="22" s="1"/>
  <c r="AJ40" i="22"/>
  <c r="BF221" i="22" s="1"/>
  <c r="AJ37" i="22"/>
  <c r="BF218" i="22" s="1"/>
  <c r="AJ41" i="22"/>
  <c r="BF222" i="22" s="1"/>
  <c r="AJ33" i="22"/>
  <c r="BF214" i="22" s="1"/>
  <c r="AJ39" i="22"/>
  <c r="BF220" i="22" s="1"/>
  <c r="AJ36" i="22"/>
  <c r="BF217" i="22" s="1"/>
  <c r="AJ38" i="22"/>
  <c r="BF219" i="22" s="1"/>
  <c r="B12" i="22" l="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AB72" i="22"/>
  <c r="AB74" i="22"/>
  <c r="BF225" i="22" s="1"/>
  <c r="AB81" i="22"/>
  <c r="BF232" i="22" s="1"/>
  <c r="AB73" i="22"/>
  <c r="BF224" i="22" s="1"/>
  <c r="AB77" i="22"/>
  <c r="BF228" i="22" s="1"/>
  <c r="AB76" i="22"/>
  <c r="BF227" i="22" s="1"/>
  <c r="AB80" i="22"/>
  <c r="BF231" i="22" s="1"/>
  <c r="AB79" i="22"/>
  <c r="BF230" i="22" s="1"/>
  <c r="AB78" i="22"/>
  <c r="BF229" i="22" s="1"/>
  <c r="AB75" i="22"/>
  <c r="BF226" i="22" s="1"/>
  <c r="BF213" i="22"/>
  <c r="B179" i="22" l="1"/>
  <c r="BF419" i="22"/>
  <c r="BF253" i="22"/>
  <c r="AB90" i="22"/>
  <c r="BF241" i="22" s="1"/>
  <c r="AB82" i="22"/>
  <c r="AB83" i="22"/>
  <c r="BF234" i="22" s="1"/>
  <c r="AB87" i="22"/>
  <c r="BF238" i="22" s="1"/>
  <c r="AB91" i="22"/>
  <c r="BF242" i="22" s="1"/>
  <c r="AB84" i="22"/>
  <c r="BF235" i="22" s="1"/>
  <c r="AB88" i="22"/>
  <c r="BF239" i="22" s="1"/>
  <c r="AB86" i="22"/>
  <c r="BF237" i="22" s="1"/>
  <c r="AB89" i="22"/>
  <c r="BF240" i="22" s="1"/>
  <c r="BF223" i="22"/>
  <c r="AB85" i="22"/>
  <c r="BF236" i="22" s="1"/>
  <c r="B180" i="22" l="1"/>
  <c r="BF420" i="22"/>
  <c r="AB99" i="22"/>
  <c r="BF250" i="22" s="1"/>
  <c r="AB92" i="22"/>
  <c r="BF243" i="22" s="1"/>
  <c r="AB97" i="22"/>
  <c r="BF248" i="22" s="1"/>
  <c r="AB101" i="22"/>
  <c r="BF252" i="22" s="1"/>
  <c r="AB93" i="22"/>
  <c r="BF244" i="22" s="1"/>
  <c r="AB94" i="22"/>
  <c r="BF245" i="22" s="1"/>
  <c r="AB100" i="22"/>
  <c r="BF251" i="22" s="1"/>
  <c r="AB95" i="22"/>
  <c r="BF246" i="22" s="1"/>
  <c r="AB98" i="22"/>
  <c r="BF249" i="22" s="1"/>
  <c r="AB96" i="22"/>
  <c r="BF247" i="22" s="1"/>
  <c r="BF233" i="22"/>
  <c r="BF254" i="22"/>
  <c r="B181" i="22" l="1"/>
  <c r="BF421" i="22"/>
  <c r="BF255" i="22"/>
  <c r="B182" i="22" l="1"/>
  <c r="BF422" i="22"/>
  <c r="BF256" i="22"/>
  <c r="B183" i="22" l="1"/>
  <c r="BF423" i="22"/>
  <c r="BF257" i="22"/>
  <c r="B184" i="22" l="1"/>
  <c r="BF424" i="22"/>
  <c r="BF258" i="22"/>
  <c r="B185" i="22" l="1"/>
  <c r="BF425" i="22"/>
  <c r="BF259" i="22"/>
  <c r="B186" i="22" l="1"/>
  <c r="BF426" i="22"/>
  <c r="BF260" i="22"/>
  <c r="B187" i="22" l="1"/>
  <c r="BF427" i="22"/>
  <c r="BF261" i="22"/>
  <c r="B188" i="22" l="1"/>
  <c r="BF428" i="22"/>
  <c r="BF262" i="22"/>
  <c r="B189" i="22" l="1"/>
  <c r="BF429" i="22"/>
  <c r="BF263" i="22"/>
  <c r="B190" i="22" l="1"/>
  <c r="BF430" i="22"/>
  <c r="BF264" i="22"/>
  <c r="B191" i="22" l="1"/>
  <c r="BF431" i="22"/>
  <c r="BF265" i="22"/>
  <c r="B192" i="22" l="1"/>
  <c r="BF432" i="22"/>
  <c r="BF266" i="22"/>
  <c r="B193" i="22" l="1"/>
  <c r="BF433" i="22"/>
  <c r="BF267" i="22"/>
  <c r="B194" i="22" l="1"/>
  <c r="BF434" i="22"/>
  <c r="BF268" i="22"/>
  <c r="B195" i="22" l="1"/>
  <c r="BF435" i="22"/>
  <c r="BF269" i="22"/>
  <c r="B196" i="22" l="1"/>
  <c r="BF436" i="22"/>
  <c r="BF270" i="22"/>
  <c r="B197" i="22" l="1"/>
  <c r="BF437" i="22"/>
  <c r="BF271" i="22"/>
  <c r="B198" i="22" l="1"/>
  <c r="BF438" i="22"/>
  <c r="BF272" i="22"/>
  <c r="B199" i="22" l="1"/>
  <c r="BF439" i="22"/>
  <c r="BF273" i="22"/>
  <c r="B200" i="22" l="1"/>
  <c r="BF440" i="22"/>
  <c r="BF274" i="22"/>
  <c r="B201" i="22" l="1"/>
  <c r="BF441" i="22"/>
  <c r="BF275" i="22"/>
  <c r="B202" i="22" l="1"/>
  <c r="BF442" i="22"/>
  <c r="BF276" i="22"/>
  <c r="B203" i="22" l="1"/>
  <c r="BF443" i="22"/>
  <c r="BF277" i="22"/>
  <c r="B204" i="22" l="1"/>
  <c r="BF444" i="22"/>
  <c r="BF278" i="22"/>
  <c r="B205" i="22" l="1"/>
  <c r="BF445" i="22"/>
  <c r="BF279" i="22"/>
  <c r="B206" i="22" l="1"/>
  <c r="BF446" i="22"/>
  <c r="BF280" i="22"/>
  <c r="B207" i="22" l="1"/>
  <c r="BF447" i="22"/>
  <c r="BF281" i="22"/>
  <c r="B208" i="22" l="1"/>
  <c r="BF448" i="22"/>
  <c r="BF282" i="22"/>
  <c r="B209" i="22" l="1"/>
  <c r="BF449" i="22"/>
  <c r="BF283" i="22"/>
  <c r="B210" i="22" l="1"/>
  <c r="BF450" i="22"/>
  <c r="BF284" i="22"/>
  <c r="B211" i="22" l="1"/>
  <c r="BF451" i="22"/>
  <c r="BF285" i="22"/>
  <c r="B212" i="22" l="1"/>
  <c r="BF452" i="22"/>
  <c r="BF286" i="22"/>
  <c r="B213" i="22" l="1"/>
  <c r="BF453" i="22"/>
  <c r="BF287" i="22"/>
  <c r="B214" i="22" l="1"/>
  <c r="BF454" i="22"/>
  <c r="BF288" i="22"/>
  <c r="B215" i="22" l="1"/>
  <c r="BF455" i="22"/>
  <c r="BF289" i="22"/>
  <c r="B216" i="22" l="1"/>
  <c r="BF456" i="22"/>
  <c r="BF290" i="22"/>
  <c r="B217" i="22" l="1"/>
  <c r="BF457" i="22"/>
  <c r="BF291" i="22"/>
  <c r="B218" i="22" l="1"/>
  <c r="BF458" i="22"/>
  <c r="BF292" i="22"/>
  <c r="B219" i="22" l="1"/>
  <c r="BF459" i="22"/>
  <c r="BF293" i="22"/>
  <c r="B220" i="22" l="1"/>
  <c r="BF460" i="22"/>
  <c r="BF294" i="22"/>
  <c r="B221" i="22" l="1"/>
  <c r="BF461" i="22"/>
  <c r="BF295" i="22"/>
  <c r="B222" i="22" l="1"/>
  <c r="BF462" i="22"/>
  <c r="BF296" i="22"/>
  <c r="B223" i="22" l="1"/>
  <c r="BF463" i="22"/>
  <c r="BF297" i="22"/>
  <c r="B224" i="22" l="1"/>
  <c r="BF464" i="22"/>
  <c r="BF298" i="22"/>
  <c r="B225" i="22" l="1"/>
  <c r="BF465" i="22"/>
  <c r="BF299" i="22"/>
  <c r="B226" i="22" l="1"/>
  <c r="BF466" i="22"/>
  <c r="BF300" i="22"/>
  <c r="B227" i="22" l="1"/>
  <c r="BF467" i="22"/>
  <c r="BF301" i="22"/>
  <c r="B228" i="22" l="1"/>
  <c r="BF468" i="22"/>
  <c r="BF302" i="22"/>
  <c r="B229" i="22" l="1"/>
  <c r="BF469" i="22"/>
  <c r="BF303" i="22"/>
  <c r="B230" i="22" l="1"/>
  <c r="BF470" i="22"/>
  <c r="BF304" i="22"/>
  <c r="B231" i="22" l="1"/>
  <c r="BF471" i="22"/>
  <c r="BF305" i="22"/>
  <c r="B232" i="22" l="1"/>
  <c r="BF472" i="22"/>
  <c r="BF306" i="22"/>
  <c r="B233" i="22" l="1"/>
  <c r="BF473" i="22"/>
  <c r="BF307" i="22"/>
  <c r="B234" i="22" l="1"/>
  <c r="BF474" i="22"/>
  <c r="BF308" i="22"/>
  <c r="B235" i="22" l="1"/>
  <c r="BF475" i="22"/>
  <c r="BF309" i="22"/>
  <c r="B236" i="22" l="1"/>
  <c r="BF476" i="22"/>
  <c r="BF310" i="22"/>
  <c r="B237" i="22" l="1"/>
  <c r="BF477" i="22"/>
  <c r="BF311" i="22"/>
  <c r="B238" i="22" l="1"/>
  <c r="BF478" i="22"/>
  <c r="BF312" i="22"/>
  <c r="B239" i="22" l="1"/>
  <c r="BF479" i="22"/>
  <c r="BF313" i="22"/>
  <c r="B240" i="22" l="1"/>
  <c r="BF480" i="22"/>
  <c r="BF314" i="22"/>
  <c r="B241" i="22" l="1"/>
  <c r="BF481" i="22"/>
  <c r="BF315" i="22"/>
  <c r="B242" i="22" l="1"/>
  <c r="BF482" i="22"/>
  <c r="BF316" i="22"/>
  <c r="B243" i="22" l="1"/>
  <c r="BF483" i="22"/>
  <c r="BF317" i="22"/>
  <c r="B244" i="22" l="1"/>
  <c r="BF484" i="22"/>
  <c r="BF318" i="22"/>
  <c r="B245" i="22" l="1"/>
  <c r="BF485" i="22"/>
  <c r="BF319" i="22"/>
  <c r="B246" i="22" l="1"/>
  <c r="BF486" i="22"/>
  <c r="BF320" i="22"/>
  <c r="B247" i="22" l="1"/>
  <c r="BF487" i="22"/>
  <c r="BF321" i="22"/>
  <c r="B248" i="22" l="1"/>
  <c r="BF488" i="22"/>
  <c r="BF322" i="22"/>
  <c r="B249" i="22" l="1"/>
  <c r="BF489" i="22"/>
  <c r="BF323" i="22"/>
  <c r="B250" i="22" l="1"/>
  <c r="BF490" i="22"/>
  <c r="BF324" i="22"/>
  <c r="B251" i="22" l="1"/>
  <c r="BF491" i="22"/>
  <c r="BF325" i="22"/>
  <c r="B252" i="22" l="1"/>
  <c r="BF492" i="22"/>
  <c r="BF326" i="22"/>
  <c r="B253" i="22" l="1"/>
  <c r="BF493" i="22"/>
  <c r="BF327" i="22"/>
  <c r="B254" i="22" l="1"/>
  <c r="BF494" i="22"/>
  <c r="BF328" i="22"/>
  <c r="B255" i="22" l="1"/>
  <c r="BF495" i="22"/>
  <c r="BF329" i="22"/>
  <c r="B256" i="22" l="1"/>
  <c r="BF496" i="22"/>
  <c r="BF330" i="22"/>
  <c r="B257" i="22" l="1"/>
  <c r="BF497" i="22"/>
  <c r="BF331" i="22"/>
  <c r="B258" i="22" l="1"/>
  <c r="BF498" i="22"/>
  <c r="BF332" i="22"/>
  <c r="B259" i="22" l="1"/>
  <c r="BF499" i="22"/>
  <c r="BF333" i="22"/>
  <c r="B260" i="22" l="1"/>
  <c r="BF500" i="22"/>
  <c r="BF334" i="22"/>
  <c r="B261" i="22" l="1"/>
  <c r="BF501" i="22"/>
  <c r="BF335" i="22"/>
  <c r="B262" i="22" l="1"/>
  <c r="BF502" i="22"/>
  <c r="BF336" i="22"/>
  <c r="B263" i="22" l="1"/>
  <c r="BF503" i="22"/>
  <c r="BF337" i="22"/>
  <c r="B264" i="22" l="1"/>
  <c r="BF504" i="22"/>
  <c r="BF338" i="22"/>
  <c r="B265" i="22" l="1"/>
  <c r="BF505" i="22"/>
  <c r="BF339" i="22"/>
  <c r="B266" i="22" l="1"/>
  <c r="BF506" i="22"/>
  <c r="BF340" i="22"/>
  <c r="B267" i="22" l="1"/>
  <c r="BF507" i="22"/>
  <c r="BF341" i="22"/>
  <c r="B268" i="22" l="1"/>
  <c r="BF508" i="22"/>
  <c r="BF342" i="22"/>
  <c r="B269" i="22" l="1"/>
  <c r="BF509" i="22"/>
  <c r="BF343" i="22"/>
  <c r="B270" i="22" l="1"/>
  <c r="BF510" i="22"/>
  <c r="BF344" i="22"/>
  <c r="B271" i="22" l="1"/>
  <c r="BF511" i="22"/>
  <c r="BF345" i="22"/>
  <c r="B272" i="22" l="1"/>
  <c r="BF512" i="22"/>
  <c r="BF346" i="22"/>
  <c r="B273" i="22" l="1"/>
  <c r="BF513" i="22"/>
  <c r="BF347" i="22"/>
  <c r="B274" i="22" l="1"/>
  <c r="BF514" i="22"/>
  <c r="BF348" i="22"/>
  <c r="B275" i="22" l="1"/>
  <c r="BF515" i="22"/>
  <c r="BF349" i="22"/>
  <c r="B276" i="22" l="1"/>
  <c r="BF516" i="22"/>
  <c r="BF350" i="22"/>
  <c r="B277" i="22" l="1"/>
  <c r="BF517" i="22"/>
  <c r="BF351" i="22"/>
  <c r="B278" i="22" l="1"/>
  <c r="BF518" i="22"/>
  <c r="BF352" i="22"/>
  <c r="B279" i="22" l="1"/>
  <c r="BF519" i="22"/>
  <c r="BF353" i="22"/>
  <c r="B280" i="22" l="1"/>
  <c r="BF520" i="22"/>
  <c r="BF354" i="22"/>
  <c r="B281" i="22" l="1"/>
  <c r="BF521" i="22"/>
  <c r="BF355" i="22"/>
  <c r="B282" i="22" l="1"/>
  <c r="BF522" i="22"/>
  <c r="BF356" i="22"/>
  <c r="B283" i="22" l="1"/>
  <c r="BF523" i="22"/>
  <c r="BF357" i="22"/>
  <c r="B284" i="22" l="1"/>
  <c r="BF524" i="22"/>
  <c r="BF358" i="22"/>
  <c r="B285" i="22" l="1"/>
  <c r="BF525" i="22"/>
  <c r="BF359" i="22"/>
  <c r="B286" i="22" l="1"/>
  <c r="BF526" i="22"/>
  <c r="BF360" i="22"/>
  <c r="B287" i="22" l="1"/>
  <c r="BF527" i="22"/>
  <c r="BF361" i="22"/>
  <c r="B288" i="22" l="1"/>
  <c r="BF528" i="22"/>
  <c r="BF362" i="22"/>
  <c r="B289" i="22" l="1"/>
  <c r="BF529" i="22"/>
  <c r="BF363" i="22"/>
  <c r="B290" i="22" l="1"/>
  <c r="BF530" i="22"/>
  <c r="BF364" i="22"/>
  <c r="B291" i="22" l="1"/>
  <c r="BF531" i="22"/>
  <c r="BF365" i="22"/>
  <c r="B292" i="22" l="1"/>
  <c r="BF532" i="22"/>
  <c r="BF366" i="22"/>
  <c r="B293" i="22" l="1"/>
  <c r="BF533" i="22"/>
  <c r="BF367" i="22"/>
  <c r="B294" i="22" l="1"/>
  <c r="BF534" i="22"/>
  <c r="BF368" i="22"/>
  <c r="B295" i="22" l="1"/>
  <c r="BF535" i="22"/>
  <c r="BF369" i="22"/>
  <c r="B296" i="22" l="1"/>
  <c r="BF536" i="22"/>
  <c r="BF370" i="22"/>
  <c r="B297" i="22" l="1"/>
  <c r="BF537" i="22"/>
  <c r="BF371" i="22"/>
  <c r="B298" i="22" l="1"/>
  <c r="BF538" i="22"/>
  <c r="BF372" i="22"/>
  <c r="B299" i="22" l="1"/>
  <c r="BF539" i="22"/>
  <c r="BF373" i="22"/>
  <c r="B300" i="22" l="1"/>
  <c r="BF540" i="22"/>
  <c r="BF374" i="22"/>
  <c r="B301" i="22" l="1"/>
  <c r="BF541" i="22"/>
  <c r="BF375" i="22"/>
  <c r="B302" i="22" l="1"/>
  <c r="BF542" i="22"/>
  <c r="BF376" i="22"/>
  <c r="B303" i="22" l="1"/>
  <c r="BF543" i="22"/>
  <c r="BF377" i="22"/>
  <c r="B304" i="22" l="1"/>
  <c r="BF544" i="22"/>
  <c r="BF378" i="22"/>
  <c r="B305" i="22" l="1"/>
  <c r="BF545" i="22"/>
  <c r="BF379" i="22"/>
  <c r="B306" i="22" l="1"/>
  <c r="BF546" i="22"/>
  <c r="BF380" i="22"/>
  <c r="B307" i="22" l="1"/>
  <c r="BF547" i="22"/>
  <c r="BF381" i="22"/>
  <c r="BF548" i="22" l="1"/>
  <c r="B308" i="22"/>
  <c r="BF382" i="22"/>
  <c r="B309" i="22" l="1"/>
  <c r="BF549" i="22"/>
  <c r="BF383" i="22"/>
  <c r="B310" i="22" l="1"/>
  <c r="BF550" i="22"/>
  <c r="BF384" i="22"/>
  <c r="B311" i="22" l="1"/>
  <c r="BF551" i="22"/>
  <c r="BF385" i="22"/>
  <c r="B312" i="22" l="1"/>
  <c r="BF552" i="22"/>
  <c r="BF386" i="22"/>
  <c r="B313" i="22" l="1"/>
  <c r="BF553" i="22"/>
  <c r="BF387" i="22"/>
  <c r="B314" i="22" l="1"/>
  <c r="BF554" i="22"/>
  <c r="BF388" i="22"/>
  <c r="B315" i="22" l="1"/>
  <c r="BF555" i="22"/>
  <c r="BF389" i="22"/>
  <c r="B316" i="22" l="1"/>
  <c r="BF556" i="22"/>
  <c r="BF390" i="22"/>
  <c r="BF557" i="22" l="1"/>
  <c r="B317" i="22"/>
  <c r="BF558" i="22" s="1"/>
  <c r="BF391" i="22"/>
  <c r="B318" i="22" l="1"/>
  <c r="BF559" i="22" s="1"/>
  <c r="BF392" i="22"/>
  <c r="B319" i="22" l="1"/>
  <c r="B320" i="22" s="1"/>
  <c r="BF393" i="22"/>
  <c r="BF560" i="22" l="1"/>
  <c r="B321" i="22"/>
  <c r="BF561" i="22"/>
  <c r="BF394" i="22"/>
  <c r="B322" i="22" l="1"/>
  <c r="BF562" i="22"/>
  <c r="BF395" i="22"/>
  <c r="B323" i="22" l="1"/>
  <c r="BF563" i="22"/>
  <c r="BF396" i="22"/>
  <c r="B324" i="22" l="1"/>
  <c r="BF564" i="22"/>
  <c r="BF397" i="22"/>
  <c r="B325" i="22" l="1"/>
  <c r="BF565" i="22"/>
  <c r="BF398" i="22"/>
  <c r="B326" i="22" l="1"/>
  <c r="BF566" i="22"/>
  <c r="BF399" i="22"/>
  <c r="B327" i="22" l="1"/>
  <c r="BF567" i="22"/>
  <c r="BF400" i="22"/>
  <c r="BF568" i="22" l="1"/>
  <c r="B328" i="22"/>
  <c r="BF401" i="22"/>
  <c r="B329" i="22" l="1"/>
  <c r="BF569" i="22"/>
  <c r="BF402" i="22"/>
  <c r="B330" i="22" l="1"/>
  <c r="BF570" i="22"/>
  <c r="BF403" i="22"/>
  <c r="B331" i="22" l="1"/>
  <c r="BF571" i="22"/>
  <c r="BF404" i="22"/>
  <c r="B332" i="22" l="1"/>
  <c r="BF572" i="22"/>
  <c r="BF405" i="22"/>
  <c r="B333" i="22" l="1"/>
  <c r="BF573" i="22"/>
  <c r="BF406" i="22"/>
  <c r="B334" i="22" l="1"/>
  <c r="BF574" i="22"/>
  <c r="BF407" i="22"/>
  <c r="B335" i="22" l="1"/>
  <c r="BF575" i="22"/>
  <c r="BF408" i="22"/>
  <c r="B336" i="22" l="1"/>
  <c r="BF576" i="22"/>
  <c r="BF409" i="22"/>
  <c r="B337" i="22" l="1"/>
  <c r="BF577" i="22"/>
  <c r="BF410" i="22"/>
  <c r="B338" i="22" l="1"/>
  <c r="BF578" i="22"/>
  <c r="BF411" i="22"/>
  <c r="B339" i="22" l="1"/>
  <c r="BF579" i="22"/>
  <c r="BF412" i="22"/>
  <c r="B340" i="22" l="1"/>
  <c r="BF580" i="22"/>
  <c r="BF413" i="22"/>
  <c r="B341" i="22" l="1"/>
  <c r="BF581" i="22"/>
  <c r="BF414" i="22"/>
  <c r="B342" i="22" l="1"/>
  <c r="BF582" i="22"/>
  <c r="BF415" i="22"/>
  <c r="B343" i="22" l="1"/>
  <c r="BF583" i="22"/>
  <c r="BF416" i="22"/>
  <c r="B344" i="22" l="1"/>
  <c r="BF584" i="22"/>
  <c r="BF417" i="22"/>
  <c r="B345" i="22" l="1"/>
  <c r="BF585" i="22"/>
  <c r="BF418" i="22"/>
  <c r="B346" i="22" l="1"/>
  <c r="BF586" i="22"/>
  <c r="B347" i="22" l="1"/>
  <c r="BF587" i="22"/>
  <c r="B348" i="22" l="1"/>
  <c r="BF588" i="22"/>
  <c r="B349" i="22" l="1"/>
  <c r="BF589" i="22"/>
  <c r="B350" i="22" l="1"/>
  <c r="BF590" i="22"/>
  <c r="B351" i="22" l="1"/>
  <c r="BF591" i="22"/>
  <c r="B352" i="22" l="1"/>
  <c r="BF592" i="22"/>
  <c r="B353" i="22" l="1"/>
  <c r="BF593" i="22"/>
  <c r="B354" i="22" l="1"/>
  <c r="BF594" i="22"/>
  <c r="B355" i="22" l="1"/>
  <c r="BF595" i="22"/>
  <c r="B356" i="22" l="1"/>
  <c r="BF596" i="22"/>
  <c r="B357" i="22" l="1"/>
  <c r="BF597" i="22"/>
  <c r="B358" i="22" l="1"/>
  <c r="BF598" i="22"/>
  <c r="B359" i="22" l="1"/>
  <c r="BF599" i="22"/>
  <c r="B360" i="22" l="1"/>
  <c r="BF600" i="22"/>
  <c r="B361" i="22" l="1"/>
  <c r="BF601" i="22"/>
  <c r="B362" i="22" l="1"/>
  <c r="BF602" i="22"/>
  <c r="B363" i="22" l="1"/>
  <c r="BF603" i="22"/>
  <c r="B364" i="22" l="1"/>
  <c r="BF604" i="22"/>
  <c r="B365" i="22" l="1"/>
  <c r="BF605" i="22"/>
  <c r="B366" i="22" l="1"/>
  <c r="BF606" i="22"/>
  <c r="B367" i="22" l="1"/>
  <c r="BF607" i="22"/>
  <c r="B368" i="22" l="1"/>
  <c r="BF608" i="22"/>
  <c r="B369" i="22" l="1"/>
  <c r="BF609" i="22"/>
  <c r="B370" i="22" l="1"/>
  <c r="BF610" i="22"/>
  <c r="B371" i="22" l="1"/>
  <c r="BF611" i="22"/>
  <c r="B372" i="22" l="1"/>
  <c r="BF612" i="22"/>
  <c r="B373" i="22" l="1"/>
  <c r="BF613" i="22"/>
  <c r="B374" i="22" l="1"/>
  <c r="BF614" i="22"/>
  <c r="B375" i="22" l="1"/>
  <c r="BF615" i="22"/>
  <c r="B376" i="22" l="1"/>
  <c r="BF616" i="22"/>
  <c r="B377" i="22" l="1"/>
  <c r="BF617" i="22"/>
  <c r="B378" i="22" l="1"/>
  <c r="BF618" i="22"/>
  <c r="B379" i="22" l="1"/>
  <c r="BF619" i="22"/>
  <c r="B380" i="22" l="1"/>
  <c r="BF620" i="22"/>
  <c r="B381" i="22" l="1"/>
  <c r="BF621" i="22"/>
  <c r="B382" i="22" l="1"/>
  <c r="BF622" i="22"/>
  <c r="B383" i="22" l="1"/>
  <c r="BF623" i="22"/>
  <c r="B384" i="22" l="1"/>
  <c r="BF624" i="22"/>
  <c r="B385" i="22" l="1"/>
  <c r="BF625" i="22"/>
  <c r="B386" i="22" l="1"/>
  <c r="BF626" i="22"/>
  <c r="B387" i="22" l="1"/>
  <c r="BF627" i="22"/>
  <c r="B388" i="22" l="1"/>
  <c r="BF628" i="22"/>
  <c r="B389" i="22" l="1"/>
  <c r="BF629" i="22"/>
  <c r="B390" i="22" l="1"/>
  <c r="BF630" i="22"/>
  <c r="B391" i="22" l="1"/>
  <c r="BF631" i="22"/>
  <c r="B392" i="22" l="1"/>
  <c r="BF632" i="22"/>
  <c r="B393" i="22" l="1"/>
  <c r="BF633" i="22"/>
  <c r="B394" i="22" l="1"/>
  <c r="BF634" i="22"/>
  <c r="B395" i="22" l="1"/>
  <c r="BF635" i="22"/>
  <c r="B396" i="22" l="1"/>
  <c r="BF636" i="22"/>
  <c r="B397" i="22" l="1"/>
  <c r="BF637" i="22"/>
  <c r="B398" i="22" l="1"/>
  <c r="BF638" i="22"/>
  <c r="B399" i="22" l="1"/>
  <c r="BF639" i="22"/>
  <c r="B400" i="22" l="1"/>
  <c r="BF640" i="22"/>
  <c r="B401" i="22" l="1"/>
  <c r="BF641" i="22"/>
  <c r="B402" i="22" l="1"/>
  <c r="BF642" i="22"/>
  <c r="B403" i="22" l="1"/>
  <c r="BF643" i="22"/>
  <c r="B404" i="22" l="1"/>
  <c r="BF644" i="22"/>
  <c r="B405" i="22" l="1"/>
  <c r="BF645" i="22"/>
  <c r="B406" i="22" l="1"/>
  <c r="BF646" i="22"/>
  <c r="B407" i="22" l="1"/>
  <c r="BF647" i="22"/>
  <c r="B408" i="22" l="1"/>
  <c r="BF648" i="22"/>
  <c r="B409" i="22" l="1"/>
  <c r="BF649" i="22"/>
  <c r="B410" i="22" l="1"/>
  <c r="BF650" i="22"/>
  <c r="B411" i="22" l="1"/>
  <c r="BF651" i="22"/>
  <c r="B412" i="22" l="1"/>
  <c r="BF652" i="22"/>
  <c r="B413" i="22" l="1"/>
  <c r="BF653" i="22"/>
  <c r="B414" i="22" l="1"/>
  <c r="BF654" i="22"/>
  <c r="B415" i="22" l="1"/>
  <c r="BF655" i="22"/>
  <c r="B416" i="22" l="1"/>
  <c r="BF656" i="22"/>
  <c r="B417" i="22" l="1"/>
  <c r="BF657" i="22"/>
  <c r="B418" i="22" l="1"/>
  <c r="BF658" i="22"/>
  <c r="B419" i="22" l="1"/>
  <c r="BF659" i="22"/>
  <c r="B420" i="22" l="1"/>
  <c r="BF660" i="22"/>
  <c r="B421" i="22" l="1"/>
  <c r="BF661" i="22"/>
  <c r="B422" i="22" l="1"/>
  <c r="BF662" i="22"/>
  <c r="B423" i="22" l="1"/>
  <c r="BF663" i="22"/>
  <c r="B424" i="22" l="1"/>
  <c r="BF664" i="22"/>
  <c r="B425" i="22" l="1"/>
  <c r="BF665" i="22"/>
  <c r="B426" i="22" l="1"/>
  <c r="BF666" i="22"/>
  <c r="B427" i="22" l="1"/>
  <c r="BF667" i="22"/>
  <c r="B428" i="22" l="1"/>
  <c r="BF668" i="22"/>
  <c r="B429" i="22" l="1"/>
  <c r="BF669" i="22"/>
  <c r="B430" i="22" l="1"/>
  <c r="BF670" i="22"/>
  <c r="B431" i="22" l="1"/>
  <c r="BF671" i="22"/>
  <c r="B432" i="22" l="1"/>
  <c r="BF672" i="22"/>
  <c r="B433" i="22" l="1"/>
  <c r="BF673" i="22"/>
  <c r="B434" i="22" l="1"/>
  <c r="BF674" i="22"/>
  <c r="B435" i="22" l="1"/>
  <c r="BF675" i="22"/>
  <c r="B436" i="22" l="1"/>
  <c r="BF676" i="22"/>
  <c r="B437" i="22" l="1"/>
  <c r="BF677" i="22"/>
  <c r="B438" i="22" l="1"/>
  <c r="BF678" i="22"/>
  <c r="B439" i="22" l="1"/>
  <c r="BF679" i="22"/>
  <c r="B440" i="22" l="1"/>
  <c r="BF680" i="22"/>
  <c r="B441" i="22" l="1"/>
  <c r="BF681" i="22"/>
  <c r="B442" i="22" l="1"/>
  <c r="BF682" i="22"/>
  <c r="B443" i="22" l="1"/>
  <c r="BF683" i="22"/>
  <c r="B444" i="22" l="1"/>
  <c r="BF684" i="22"/>
  <c r="B445" i="22" l="1"/>
  <c r="BF685" i="22"/>
  <c r="B446" i="22" l="1"/>
  <c r="BF686" i="22"/>
  <c r="B447" i="22" l="1"/>
  <c r="BF687" i="22"/>
  <c r="B448" i="22" l="1"/>
  <c r="BF688" i="22"/>
  <c r="B449" i="22" l="1"/>
  <c r="BF689" i="22"/>
  <c r="B450" i="22" l="1"/>
  <c r="BF690" i="22"/>
  <c r="B451" i="22" l="1"/>
  <c r="BF691" i="22"/>
  <c r="B452" i="22" l="1"/>
  <c r="BF692" i="22"/>
  <c r="B453" i="22" l="1"/>
  <c r="BF693" i="22"/>
  <c r="B454" i="22" l="1"/>
  <c r="BF694" i="22"/>
  <c r="B455" i="22" l="1"/>
  <c r="BF695" i="22"/>
  <c r="B456" i="22" l="1"/>
  <c r="BF696" i="22"/>
  <c r="B457" i="22" l="1"/>
  <c r="BF697" i="22"/>
  <c r="B458" i="22" l="1"/>
  <c r="BF698" i="22"/>
  <c r="B459" i="22" l="1"/>
  <c r="BF699" i="22"/>
  <c r="B460" i="22" l="1"/>
  <c r="BF700" i="22"/>
  <c r="B461" i="22" l="1"/>
  <c r="BF701" i="22"/>
  <c r="B462" i="22" l="1"/>
  <c r="BF702" i="22"/>
  <c r="B463" i="22" l="1"/>
  <c r="BF703" i="22"/>
  <c r="B464" i="22" l="1"/>
  <c r="BF704" i="22"/>
  <c r="B465" i="22" l="1"/>
  <c r="BF705" i="22"/>
  <c r="B466" i="22" l="1"/>
  <c r="BF706" i="22"/>
  <c r="B467" i="22" l="1"/>
  <c r="BF707" i="22"/>
  <c r="B468" i="22" l="1"/>
  <c r="BF708" i="22"/>
  <c r="B469" i="22" l="1"/>
  <c r="BF709" i="22"/>
  <c r="B470" i="22" l="1"/>
  <c r="BF710" i="22"/>
  <c r="B471" i="22" l="1"/>
  <c r="BF711" i="22"/>
  <c r="B472" i="22" l="1"/>
  <c r="BF712" i="22"/>
  <c r="B473" i="22" l="1"/>
  <c r="BF713" i="22"/>
  <c r="B474" i="22" l="1"/>
  <c r="BF714" i="22"/>
  <c r="B475" i="22" l="1"/>
  <c r="BF715" i="22"/>
  <c r="B476" i="22" l="1"/>
  <c r="BF716" i="22"/>
  <c r="B477" i="22" l="1"/>
  <c r="BF717" i="22"/>
  <c r="B478" i="22" l="1"/>
  <c r="BF718" i="22"/>
  <c r="B479" i="22" l="1"/>
  <c r="BF719" i="22"/>
  <c r="B480" i="22" l="1"/>
  <c r="BF720" i="22"/>
  <c r="B481" i="22" l="1"/>
  <c r="BF721" i="22"/>
  <c r="B482" i="22" l="1"/>
  <c r="BF722" i="22"/>
  <c r="B483" i="22" l="1"/>
  <c r="BF723" i="22"/>
  <c r="B484" i="22" l="1"/>
  <c r="BF724" i="22"/>
  <c r="B485" i="22" l="1"/>
  <c r="BF725" i="22"/>
  <c r="B486" i="22" l="1"/>
  <c r="BF726" i="22"/>
  <c r="B487" i="22" l="1"/>
  <c r="BF727" i="22"/>
  <c r="B488" i="22" l="1"/>
  <c r="BF728" i="22"/>
  <c r="B489" i="22" l="1"/>
  <c r="BF729" i="22"/>
  <c r="B490" i="22" l="1"/>
  <c r="BF730" i="22"/>
  <c r="B491" i="22" l="1"/>
  <c r="BF731" i="22"/>
  <c r="B492" i="22" l="1"/>
  <c r="BF732" i="22"/>
  <c r="B493" i="22" l="1"/>
  <c r="BF733" i="22"/>
  <c r="B494" i="22" l="1"/>
  <c r="BF734" i="22"/>
  <c r="B495" i="22" l="1"/>
  <c r="BF735" i="22"/>
  <c r="B5" i="23" l="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496" i="22"/>
  <c r="AC11" i="1" l="1"/>
  <c r="AC16" i="1"/>
  <c r="DU20" i="1"/>
  <c r="DU11" i="1"/>
  <c r="DU18" i="1"/>
  <c r="DU24" i="1"/>
  <c r="DU16" i="1"/>
  <c r="DU15" i="1"/>
  <c r="DU14" i="1"/>
  <c r="AC27" i="1"/>
  <c r="AC26" i="1"/>
  <c r="AC15" i="1"/>
  <c r="AC34" i="1"/>
  <c r="AC31" i="1"/>
  <c r="AC14" i="1"/>
  <c r="AC35" i="1"/>
  <c r="AC30" i="1"/>
  <c r="DU6" i="1"/>
  <c r="AC46" i="1"/>
  <c r="AC43" i="1"/>
  <c r="AC9" i="1"/>
  <c r="AC12" i="1"/>
  <c r="DU27" i="1"/>
  <c r="DU3" i="1"/>
  <c r="DU31" i="1"/>
  <c r="DU28" i="1"/>
  <c r="DU23" i="1"/>
  <c r="DU26" i="1"/>
  <c r="DU7" i="1"/>
  <c r="AC41" i="1"/>
  <c r="AC17" i="1"/>
  <c r="AC18" i="1"/>
  <c r="AC36" i="1"/>
  <c r="AC38" i="1"/>
  <c r="AC28" i="1"/>
  <c r="AC33" i="1"/>
  <c r="AC37" i="1"/>
  <c r="DU4" i="1"/>
  <c r="DU10" i="1"/>
  <c r="DU13" i="1"/>
  <c r="AC23" i="1"/>
  <c r="AC42" i="1"/>
  <c r="AC39" i="1"/>
  <c r="DU29" i="1"/>
  <c r="DU5" i="1"/>
  <c r="DU25" i="1"/>
  <c r="AC20" i="1"/>
  <c r="AC32" i="1"/>
  <c r="AC10" i="1"/>
  <c r="AC44" i="1"/>
  <c r="DU12" i="1"/>
  <c r="DU19" i="1"/>
  <c r="DU30" i="1"/>
  <c r="DU17" i="1"/>
  <c r="DU9" i="1"/>
  <c r="DU22" i="1"/>
  <c r="DU21" i="1"/>
  <c r="DU2" i="1"/>
  <c r="AC29" i="1"/>
  <c r="AC45" i="1"/>
  <c r="AC24" i="1"/>
  <c r="AC40" i="1"/>
  <c r="AC19" i="1"/>
  <c r="AC13" i="1"/>
  <c r="AC22" i="1"/>
  <c r="DU8" i="1"/>
  <c r="AC21" i="1"/>
  <c r="AC25" i="1"/>
  <c r="DU36" i="1"/>
  <c r="DU35" i="1"/>
  <c r="DU34" i="1"/>
  <c r="DU42" i="1"/>
  <c r="ES7" i="1"/>
  <c r="ES6" i="1"/>
  <c r="DU44" i="1"/>
  <c r="DU43" i="1"/>
  <c r="DU46" i="1"/>
  <c r="DU32" i="1"/>
  <c r="DU38" i="1"/>
  <c r="DU33" i="1"/>
  <c r="DU45" i="1"/>
  <c r="ES9" i="1"/>
  <c r="DU37" i="1"/>
  <c r="DU39" i="1"/>
  <c r="ES8" i="1"/>
  <c r="ES3" i="1"/>
  <c r="DU40" i="1"/>
  <c r="DU41" i="1"/>
  <c r="ES4" i="1"/>
  <c r="ES5" i="1"/>
  <c r="ES2" i="1"/>
  <c r="ES11" i="1"/>
  <c r="EZ11" i="1" s="1"/>
  <c r="ES10" i="1"/>
  <c r="ES13" i="1"/>
  <c r="FC13" i="1" s="1"/>
  <c r="ES12" i="1"/>
  <c r="ES15" i="1"/>
  <c r="EZ15" i="1" s="1"/>
  <c r="ES14" i="1"/>
  <c r="ES17" i="1"/>
  <c r="EO17" i="1" s="1"/>
  <c r="ES16" i="1"/>
  <c r="ES19" i="1"/>
  <c r="FC19" i="1" s="1"/>
  <c r="ES18" i="1"/>
  <c r="ES21" i="1"/>
  <c r="FC21" i="1" s="1"/>
  <c r="ES20" i="1"/>
  <c r="ES23" i="1"/>
  <c r="FC23" i="1" s="1"/>
  <c r="ES22" i="1"/>
  <c r="ES25" i="1"/>
  <c r="EZ25" i="1" s="1"/>
  <c r="ES24" i="1"/>
  <c r="ES27" i="1"/>
  <c r="EZ27" i="1" s="1"/>
  <c r="ES26" i="1"/>
  <c r="ES29" i="1"/>
  <c r="FC29" i="1" s="1"/>
  <c r="ES28" i="1"/>
  <c r="ES31" i="1"/>
  <c r="EZ31" i="1" s="1"/>
  <c r="ES30" i="1"/>
  <c r="ES33" i="1"/>
  <c r="EZ33" i="1" s="1"/>
  <c r="ES32" i="1"/>
  <c r="ES35" i="1"/>
  <c r="FC35" i="1" s="1"/>
  <c r="ES34" i="1"/>
  <c r="ES37" i="1"/>
  <c r="FC37" i="1" s="1"/>
  <c r="ES36" i="1"/>
  <c r="ES39" i="1"/>
  <c r="EZ39" i="1" s="1"/>
  <c r="ES38" i="1"/>
  <c r="ES41" i="1"/>
  <c r="EZ41" i="1" s="1"/>
  <c r="ES40" i="1"/>
  <c r="ES43" i="1"/>
  <c r="FC43" i="1" s="1"/>
  <c r="ES42" i="1"/>
  <c r="ES45" i="1"/>
  <c r="EZ45" i="1" s="1"/>
  <c r="ES44" i="1"/>
  <c r="GB12" i="1"/>
  <c r="ES46" i="1"/>
  <c r="AB632" i="8"/>
  <c r="AB584" i="8"/>
  <c r="AB536" i="8"/>
  <c r="AB488" i="8"/>
  <c r="AB440" i="8"/>
  <c r="AB392" i="8"/>
  <c r="AB344" i="8"/>
  <c r="AB296" i="8"/>
  <c r="AB248" i="8"/>
  <c r="AB200" i="8"/>
  <c r="AB152" i="8"/>
  <c r="AB104" i="8"/>
  <c r="AB56" i="8"/>
  <c r="AB8" i="8"/>
  <c r="B602" i="8"/>
  <c r="B554" i="8"/>
  <c r="B506" i="8"/>
  <c r="B458" i="8"/>
  <c r="B410" i="8"/>
  <c r="B362" i="8"/>
  <c r="B314" i="8"/>
  <c r="B266" i="8"/>
  <c r="B218" i="8"/>
  <c r="B170" i="8"/>
  <c r="B122" i="8"/>
  <c r="B74" i="8"/>
  <c r="B26" i="8"/>
  <c r="AB614" i="8"/>
  <c r="AB566" i="8"/>
  <c r="AB518" i="8"/>
  <c r="AB470" i="8"/>
  <c r="AB422" i="8"/>
  <c r="AB374" i="8"/>
  <c r="AB326" i="8"/>
  <c r="AB278" i="8"/>
  <c r="AB230" i="8"/>
  <c r="AB182" i="8"/>
  <c r="AB134" i="8"/>
  <c r="AB86" i="8"/>
  <c r="AB38" i="8"/>
  <c r="B632" i="8"/>
  <c r="B584" i="8"/>
  <c r="B536" i="8"/>
  <c r="B488" i="8"/>
  <c r="B440" i="8"/>
  <c r="B392" i="8"/>
  <c r="B344" i="8"/>
  <c r="B296" i="8"/>
  <c r="B248" i="8"/>
  <c r="B200" i="8"/>
  <c r="B152" i="8"/>
  <c r="B104" i="8"/>
  <c r="B56" i="8"/>
  <c r="B8" i="8"/>
  <c r="AB644" i="8"/>
  <c r="AB596" i="8"/>
  <c r="AB548" i="8"/>
  <c r="AB500" i="8"/>
  <c r="AB452" i="8"/>
  <c r="AB404" i="8"/>
  <c r="AB356" i="8"/>
  <c r="AB308" i="8"/>
  <c r="AB260" i="8"/>
  <c r="AB212" i="8"/>
  <c r="AB164" i="8"/>
  <c r="AB116" i="8"/>
  <c r="AB68" i="8"/>
  <c r="AB20" i="8"/>
  <c r="B614" i="8"/>
  <c r="B566" i="8"/>
  <c r="B518" i="8"/>
  <c r="B470" i="8"/>
  <c r="B422" i="8"/>
  <c r="B374" i="8"/>
  <c r="B326" i="8"/>
  <c r="B278" i="8"/>
  <c r="B230" i="8"/>
  <c r="B182" i="8"/>
  <c r="B134" i="8"/>
  <c r="B86" i="8"/>
  <c r="B38" i="8"/>
  <c r="AB626" i="8"/>
  <c r="AB578" i="8"/>
  <c r="AB530" i="8"/>
  <c r="AB482" i="8"/>
  <c r="AB434" i="8"/>
  <c r="AB386" i="8"/>
  <c r="AB338" i="8"/>
  <c r="AB290" i="8"/>
  <c r="AB242" i="8"/>
  <c r="AB194" i="8"/>
  <c r="AB146" i="8"/>
  <c r="AB98" i="8"/>
  <c r="AB50" i="8"/>
  <c r="B644" i="8"/>
  <c r="B596" i="8"/>
  <c r="B548" i="8"/>
  <c r="B500" i="8"/>
  <c r="B452" i="8"/>
  <c r="B404" i="8"/>
  <c r="B356" i="8"/>
  <c r="B308" i="8"/>
  <c r="B260" i="8"/>
  <c r="B212" i="8"/>
  <c r="B164" i="8"/>
  <c r="B116" i="8"/>
  <c r="B68" i="8"/>
  <c r="B20" i="8"/>
  <c r="AB608" i="8"/>
  <c r="AB560" i="8"/>
  <c r="AB512" i="8"/>
  <c r="AB464" i="8"/>
  <c r="AB416" i="8"/>
  <c r="AB368" i="8"/>
  <c r="AB320" i="8"/>
  <c r="AB272" i="8"/>
  <c r="AB224" i="8"/>
  <c r="AB176" i="8"/>
  <c r="AB128" i="8"/>
  <c r="AB80" i="8"/>
  <c r="AB32" i="8"/>
  <c r="B626" i="8"/>
  <c r="B578" i="8"/>
  <c r="B530" i="8"/>
  <c r="B482" i="8"/>
  <c r="B434" i="8"/>
  <c r="B386" i="8"/>
  <c r="B338" i="8"/>
  <c r="B290" i="8"/>
  <c r="B242" i="8"/>
  <c r="B194" i="8"/>
  <c r="B146" i="8"/>
  <c r="B98" i="8"/>
  <c r="B50" i="8"/>
  <c r="AB638" i="8"/>
  <c r="AB590" i="8"/>
  <c r="AB542" i="8"/>
  <c r="AB494" i="8"/>
  <c r="AB446" i="8"/>
  <c r="AB398" i="8"/>
  <c r="AB350" i="8"/>
  <c r="AB302" i="8"/>
  <c r="AB254" i="8"/>
  <c r="AB206" i="8"/>
  <c r="AB158" i="8"/>
  <c r="AB110" i="8"/>
  <c r="AB62" i="8"/>
  <c r="AB14" i="8"/>
  <c r="B608" i="8"/>
  <c r="B560" i="8"/>
  <c r="B512" i="8"/>
  <c r="B464" i="8"/>
  <c r="B416" i="8"/>
  <c r="B368" i="8"/>
  <c r="B320" i="8"/>
  <c r="B272" i="8"/>
  <c r="B224" i="8"/>
  <c r="B176" i="8"/>
  <c r="B128" i="8"/>
  <c r="B80" i="8"/>
  <c r="B32" i="8"/>
  <c r="AB620" i="8"/>
  <c r="AB572" i="8"/>
  <c r="AB524" i="8"/>
  <c r="AB476" i="8"/>
  <c r="AB428" i="8"/>
  <c r="AB380" i="8"/>
  <c r="AB332" i="8"/>
  <c r="AB284" i="8"/>
  <c r="AB236" i="8"/>
  <c r="AB188" i="8"/>
  <c r="AB140" i="8"/>
  <c r="AB92" i="8"/>
  <c r="AB44" i="8"/>
  <c r="B638" i="8"/>
  <c r="B590" i="8"/>
  <c r="B542" i="8"/>
  <c r="B494" i="8"/>
  <c r="B446" i="8"/>
  <c r="B398" i="8"/>
  <c r="B350" i="8"/>
  <c r="B302" i="8"/>
  <c r="B254" i="8"/>
  <c r="B206" i="8"/>
  <c r="B158" i="8"/>
  <c r="B110" i="8"/>
  <c r="B62" i="8"/>
  <c r="B14" i="8"/>
  <c r="AB602" i="8"/>
  <c r="AB554" i="8"/>
  <c r="AB506" i="8"/>
  <c r="AB458" i="8"/>
  <c r="AB410" i="8"/>
  <c r="AB362" i="8"/>
  <c r="AB314" i="8"/>
  <c r="AB266" i="8"/>
  <c r="AB218" i="8"/>
  <c r="AB170" i="8"/>
  <c r="AB122" i="8"/>
  <c r="AB74" i="8"/>
  <c r="AB26" i="8"/>
  <c r="B620" i="8"/>
  <c r="B572" i="8"/>
  <c r="B524" i="8"/>
  <c r="B476" i="8"/>
  <c r="B428" i="8"/>
  <c r="B380" i="8"/>
  <c r="B332" i="8"/>
  <c r="B284" i="8"/>
  <c r="B236" i="8"/>
  <c r="B188" i="8"/>
  <c r="B140" i="8"/>
  <c r="B92" i="8"/>
  <c r="B44" i="8"/>
  <c r="AM22" i="1" l="1"/>
  <c r="AJ22" i="1"/>
  <c r="Y22" i="1"/>
  <c r="AM24" i="1"/>
  <c r="AJ24" i="1"/>
  <c r="Y24" i="1"/>
  <c r="DQ21" i="1"/>
  <c r="EB21" i="1"/>
  <c r="EE21" i="1"/>
  <c r="EB30" i="1"/>
  <c r="DQ30" i="1"/>
  <c r="EE30" i="1"/>
  <c r="Y10" i="1"/>
  <c r="AM10" i="1"/>
  <c r="AJ10" i="1"/>
  <c r="EE5" i="1"/>
  <c r="EB5" i="1"/>
  <c r="DQ5" i="1"/>
  <c r="Y23" i="1"/>
  <c r="AM23" i="1"/>
  <c r="AJ23" i="1"/>
  <c r="Y37" i="1"/>
  <c r="AM37" i="1"/>
  <c r="AJ37" i="1"/>
  <c r="AM36" i="1"/>
  <c r="AJ36" i="1"/>
  <c r="Y36" i="1"/>
  <c r="EE7" i="1"/>
  <c r="EB7" i="1"/>
  <c r="DQ7" i="1"/>
  <c r="EB31" i="1"/>
  <c r="DQ31" i="1"/>
  <c r="EE31" i="1"/>
  <c r="Y9" i="1"/>
  <c r="AM9" i="1"/>
  <c r="AJ9" i="1"/>
  <c r="AJ30" i="1"/>
  <c r="AM30" i="1"/>
  <c r="Y30" i="1"/>
  <c r="Y34" i="1"/>
  <c r="AM34" i="1"/>
  <c r="AJ34" i="1"/>
  <c r="EB14" i="1"/>
  <c r="DQ14" i="1"/>
  <c r="EE14" i="1"/>
  <c r="EE18" i="1"/>
  <c r="EB18" i="1"/>
  <c r="DQ18" i="1"/>
  <c r="AJ11" i="1"/>
  <c r="Y11" i="1"/>
  <c r="AM11" i="1"/>
  <c r="DQ8" i="1"/>
  <c r="EE8" i="1"/>
  <c r="EB8" i="1"/>
  <c r="AM40" i="1"/>
  <c r="AJ40" i="1"/>
  <c r="Y40" i="1"/>
  <c r="EB2" i="1"/>
  <c r="DQ2" i="1"/>
  <c r="EE2" i="1"/>
  <c r="DQ17" i="1"/>
  <c r="EB17" i="1"/>
  <c r="EE17" i="1"/>
  <c r="AJ44" i="1"/>
  <c r="Y44" i="1"/>
  <c r="AM44" i="1"/>
  <c r="EE25" i="1"/>
  <c r="EB25" i="1"/>
  <c r="DQ25" i="1"/>
  <c r="AJ42" i="1"/>
  <c r="Y42" i="1"/>
  <c r="AM42" i="1"/>
  <c r="EE4" i="1"/>
  <c r="EB4" i="1"/>
  <c r="DQ4" i="1"/>
  <c r="AM38" i="1"/>
  <c r="Y38" i="1"/>
  <c r="AJ38" i="1"/>
  <c r="AJ41" i="1"/>
  <c r="Y41" i="1"/>
  <c r="AM41" i="1"/>
  <c r="EB28" i="1"/>
  <c r="EE28" i="1"/>
  <c r="DQ28" i="1"/>
  <c r="AM12" i="1"/>
  <c r="AJ12" i="1"/>
  <c r="Y12" i="1"/>
  <c r="EE6" i="1"/>
  <c r="EB6" i="1"/>
  <c r="DQ6" i="1"/>
  <c r="AM31" i="1"/>
  <c r="AJ31" i="1"/>
  <c r="Y31" i="1"/>
  <c r="AJ27" i="1"/>
  <c r="Y27" i="1"/>
  <c r="AM27" i="1"/>
  <c r="DQ24" i="1"/>
  <c r="EE24" i="1"/>
  <c r="EB24" i="1"/>
  <c r="AJ16" i="1"/>
  <c r="AM16" i="1"/>
  <c r="Y16" i="1"/>
  <c r="Y21" i="1"/>
  <c r="AM21" i="1"/>
  <c r="AJ21" i="1"/>
  <c r="AJ19" i="1"/>
  <c r="Y19" i="1"/>
  <c r="AM19" i="1"/>
  <c r="AJ29" i="1"/>
  <c r="Y29" i="1"/>
  <c r="AM29" i="1"/>
  <c r="EB9" i="1"/>
  <c r="DQ9" i="1"/>
  <c r="EE9" i="1"/>
  <c r="DQ12" i="1"/>
  <c r="EB12" i="1"/>
  <c r="EE12" i="1"/>
  <c r="Y20" i="1"/>
  <c r="AM20" i="1"/>
  <c r="AJ20" i="1"/>
  <c r="AJ39" i="1"/>
  <c r="AM39" i="1"/>
  <c r="Y39" i="1"/>
  <c r="EB10" i="1"/>
  <c r="DQ10" i="1"/>
  <c r="EE10" i="1"/>
  <c r="Y28" i="1"/>
  <c r="AM28" i="1"/>
  <c r="AJ28" i="1"/>
  <c r="AJ17" i="1"/>
  <c r="Y17" i="1"/>
  <c r="AM17" i="1"/>
  <c r="DQ23" i="1"/>
  <c r="EE23" i="1"/>
  <c r="EB23" i="1"/>
  <c r="EE27" i="1"/>
  <c r="EB27" i="1"/>
  <c r="DQ27" i="1"/>
  <c r="AM46" i="1"/>
  <c r="AJ46" i="1"/>
  <c r="Y46" i="1"/>
  <c r="AJ14" i="1"/>
  <c r="Y14" i="1"/>
  <c r="AM14" i="1"/>
  <c r="Y26" i="1"/>
  <c r="AM26" i="1"/>
  <c r="AJ26" i="1"/>
  <c r="EB16" i="1"/>
  <c r="EE16" i="1"/>
  <c r="DQ16" i="1"/>
  <c r="EB20" i="1"/>
  <c r="DQ20" i="1"/>
  <c r="EE20" i="1"/>
  <c r="AJ25" i="1"/>
  <c r="Y25" i="1"/>
  <c r="AM25" i="1"/>
  <c r="AM13" i="1"/>
  <c r="AJ13" i="1"/>
  <c r="Y13" i="1"/>
  <c r="AJ45" i="1"/>
  <c r="AM45" i="1"/>
  <c r="Y45" i="1"/>
  <c r="EB22" i="1"/>
  <c r="DQ22" i="1"/>
  <c r="EE22" i="1"/>
  <c r="EB19" i="1"/>
  <c r="DQ19" i="1"/>
  <c r="EE19" i="1"/>
  <c r="Y32" i="1"/>
  <c r="AM32" i="1"/>
  <c r="AJ32" i="1"/>
  <c r="EB29" i="1"/>
  <c r="DQ29" i="1"/>
  <c r="EE29" i="1"/>
  <c r="EB13" i="1"/>
  <c r="DQ13" i="1"/>
  <c r="EE13" i="1"/>
  <c r="AM33" i="1"/>
  <c r="AJ33" i="1"/>
  <c r="Y33" i="1"/>
  <c r="Y18" i="1"/>
  <c r="AM18" i="1"/>
  <c r="AJ18" i="1"/>
  <c r="EB26" i="1"/>
  <c r="DQ26" i="1"/>
  <c r="EE26" i="1"/>
  <c r="EB3" i="1"/>
  <c r="EE3" i="1"/>
  <c r="DQ3" i="1"/>
  <c r="AM43" i="1"/>
  <c r="AJ43" i="1"/>
  <c r="Y43" i="1"/>
  <c r="AM35" i="1"/>
  <c r="AJ35" i="1"/>
  <c r="Y35" i="1"/>
  <c r="AJ15" i="1"/>
  <c r="Y15" i="1"/>
  <c r="AM15" i="1"/>
  <c r="DQ15" i="1"/>
  <c r="EE15" i="1"/>
  <c r="EB15" i="1"/>
  <c r="DQ11" i="1"/>
  <c r="EE11" i="1"/>
  <c r="EB11" i="1"/>
  <c r="FC11" i="1"/>
  <c r="FC4" i="1"/>
  <c r="EO4" i="1"/>
  <c r="EZ4" i="1"/>
  <c r="EZ8" i="1"/>
  <c r="FC8" i="1"/>
  <c r="EO8" i="1"/>
  <c r="EB45" i="1"/>
  <c r="DQ45" i="1"/>
  <c r="EE45" i="1"/>
  <c r="EE46" i="1"/>
  <c r="EB46" i="1"/>
  <c r="DQ46" i="1"/>
  <c r="EZ7" i="1"/>
  <c r="FC7" i="1"/>
  <c r="EO7" i="1"/>
  <c r="DQ36" i="1"/>
  <c r="EB36" i="1"/>
  <c r="EE36" i="1"/>
  <c r="FC5" i="1"/>
  <c r="EZ5" i="1"/>
  <c r="EO5" i="1"/>
  <c r="EO3" i="1"/>
  <c r="EZ3" i="1"/>
  <c r="FC3" i="1"/>
  <c r="EZ9" i="1"/>
  <c r="EO9" i="1"/>
  <c r="FC9" i="1"/>
  <c r="EB32" i="1"/>
  <c r="DQ32" i="1"/>
  <c r="EE32" i="1"/>
  <c r="EZ6" i="1"/>
  <c r="FC6" i="1"/>
  <c r="EO6" i="1"/>
  <c r="EB35" i="1"/>
  <c r="DQ35" i="1"/>
  <c r="EE35" i="1"/>
  <c r="EZ2" i="1"/>
  <c r="EO2" i="1"/>
  <c r="FC2" i="1"/>
  <c r="EB40" i="1"/>
  <c r="DQ40" i="1"/>
  <c r="EE40" i="1"/>
  <c r="EB37" i="1"/>
  <c r="EE37" i="1"/>
  <c r="DQ37" i="1"/>
  <c r="EB38" i="1"/>
  <c r="DQ38" i="1"/>
  <c r="EE38" i="1"/>
  <c r="EB44" i="1"/>
  <c r="EE44" i="1"/>
  <c r="DQ44" i="1"/>
  <c r="EB34" i="1"/>
  <c r="DQ34" i="1"/>
  <c r="EE34" i="1"/>
  <c r="EE41" i="1"/>
  <c r="EB41" i="1"/>
  <c r="DQ41" i="1"/>
  <c r="EB39" i="1"/>
  <c r="DQ39" i="1"/>
  <c r="EE39" i="1"/>
  <c r="EB33" i="1"/>
  <c r="EE33" i="1"/>
  <c r="DQ33" i="1"/>
  <c r="EB43" i="1"/>
  <c r="DQ43" i="1"/>
  <c r="EE43" i="1"/>
  <c r="EE42" i="1"/>
  <c r="EB42" i="1"/>
  <c r="DQ42" i="1"/>
  <c r="EZ10" i="1"/>
  <c r="FC10" i="1"/>
  <c r="EO10" i="1"/>
  <c r="FC15" i="1"/>
  <c r="EO11" i="1"/>
  <c r="EO13" i="1"/>
  <c r="EZ12" i="1"/>
  <c r="FC12" i="1"/>
  <c r="EO12" i="1"/>
  <c r="EZ13" i="1"/>
  <c r="EO15" i="1"/>
  <c r="EZ14" i="1"/>
  <c r="FC14" i="1"/>
  <c r="EO14" i="1"/>
  <c r="FC17" i="1"/>
  <c r="EZ16" i="1"/>
  <c r="EO16" i="1"/>
  <c r="FC16" i="1"/>
  <c r="EZ17" i="1"/>
  <c r="EO19" i="1"/>
  <c r="EO18" i="1"/>
  <c r="EZ18" i="1"/>
  <c r="FC18" i="1"/>
  <c r="EZ19" i="1"/>
  <c r="EO21" i="1"/>
  <c r="FC20" i="1"/>
  <c r="EO20" i="1"/>
  <c r="EZ20" i="1"/>
  <c r="EZ21" i="1"/>
  <c r="EZ23" i="1"/>
  <c r="EO22" i="1"/>
  <c r="FC22" i="1"/>
  <c r="EZ22" i="1"/>
  <c r="EO23" i="1"/>
  <c r="EO25" i="1"/>
  <c r="EZ24" i="1"/>
  <c r="EO24" i="1"/>
  <c r="FC24" i="1"/>
  <c r="FC25" i="1"/>
  <c r="EO29" i="1"/>
  <c r="FC27" i="1"/>
  <c r="EO27" i="1"/>
  <c r="FC26" i="1"/>
  <c r="EO26" i="1"/>
  <c r="EZ26" i="1"/>
  <c r="FC31" i="1"/>
  <c r="EO28" i="1"/>
  <c r="EZ28" i="1"/>
  <c r="FC28" i="1"/>
  <c r="EZ29" i="1"/>
  <c r="EO33" i="1"/>
  <c r="EO31" i="1"/>
  <c r="EZ30" i="1"/>
  <c r="FC30" i="1"/>
  <c r="EO30" i="1"/>
  <c r="EO35" i="1"/>
  <c r="FC33" i="1"/>
  <c r="FC32" i="1"/>
  <c r="EZ32" i="1"/>
  <c r="EO32" i="1"/>
  <c r="FC34" i="1"/>
  <c r="EO34" i="1"/>
  <c r="EZ34" i="1"/>
  <c r="EO39" i="1"/>
  <c r="EZ35" i="1"/>
  <c r="EO37" i="1"/>
  <c r="FC36" i="1"/>
  <c r="EO36" i="1"/>
  <c r="EZ36" i="1"/>
  <c r="EZ37" i="1"/>
  <c r="FC39" i="1"/>
  <c r="EZ38" i="1"/>
  <c r="FC38" i="1"/>
  <c r="EO38" i="1"/>
  <c r="EO41" i="1"/>
  <c r="FC40" i="1"/>
  <c r="EZ40" i="1"/>
  <c r="EO40" i="1"/>
  <c r="FC41" i="1"/>
  <c r="EO43" i="1"/>
  <c r="EZ43" i="1"/>
  <c r="FC42" i="1"/>
  <c r="EZ42" i="1"/>
  <c r="EO42" i="1"/>
  <c r="EO45" i="1"/>
  <c r="FC44" i="1"/>
  <c r="EO44" i="1"/>
  <c r="EZ44" i="1"/>
  <c r="FC45" i="1"/>
  <c r="EO46" i="1"/>
  <c r="EZ46" i="1"/>
  <c r="FC46" i="1"/>
  <c r="K283" i="8"/>
  <c r="B283" i="8"/>
  <c r="B287" i="8"/>
  <c r="I284" i="8"/>
  <c r="I283" i="8"/>
  <c r="B286" i="8"/>
  <c r="I285" i="8"/>
  <c r="K475" i="8"/>
  <c r="B475" i="8"/>
  <c r="B479" i="8"/>
  <c r="I476" i="8"/>
  <c r="I475" i="8"/>
  <c r="B478" i="8"/>
  <c r="I477" i="8"/>
  <c r="AK25" i="8"/>
  <c r="AI27" i="8"/>
  <c r="AB29" i="8"/>
  <c r="AI26" i="8"/>
  <c r="AI25" i="8"/>
  <c r="AB28" i="8"/>
  <c r="AB25" i="8"/>
  <c r="AK217" i="8"/>
  <c r="AI219" i="8"/>
  <c r="AB221" i="8"/>
  <c r="AI218" i="8"/>
  <c r="AI217" i="8"/>
  <c r="AB220" i="8"/>
  <c r="AB217" i="8"/>
  <c r="AK409" i="8"/>
  <c r="AI411" i="8"/>
  <c r="AB413" i="8"/>
  <c r="AB412" i="8"/>
  <c r="AI409" i="8"/>
  <c r="AI410" i="8"/>
  <c r="AB409" i="8"/>
  <c r="AK601" i="8"/>
  <c r="AI603" i="8"/>
  <c r="AB605" i="8"/>
  <c r="AI602" i="8"/>
  <c r="AI601" i="8"/>
  <c r="AB604" i="8"/>
  <c r="AB601" i="8"/>
  <c r="K157" i="8"/>
  <c r="I157" i="8"/>
  <c r="B160" i="8"/>
  <c r="B157" i="8"/>
  <c r="B161" i="8"/>
  <c r="I159" i="8"/>
  <c r="I158" i="8"/>
  <c r="K349" i="8"/>
  <c r="B352" i="8"/>
  <c r="I351" i="8"/>
  <c r="I350" i="8"/>
  <c r="I349" i="8"/>
  <c r="B353" i="8"/>
  <c r="B349" i="8"/>
  <c r="I543" i="8"/>
  <c r="I541" i="8"/>
  <c r="B544" i="8"/>
  <c r="K541" i="8"/>
  <c r="B545" i="8"/>
  <c r="B541" i="8"/>
  <c r="I542" i="8"/>
  <c r="AK91" i="8"/>
  <c r="AB95" i="8"/>
  <c r="AB91" i="8"/>
  <c r="AI92" i="8"/>
  <c r="AI91" i="8"/>
  <c r="AB94" i="8"/>
  <c r="AI93" i="8"/>
  <c r="AK283" i="8"/>
  <c r="AB283" i="8"/>
  <c r="AI283" i="8"/>
  <c r="AI285" i="8"/>
  <c r="AI284" i="8"/>
  <c r="AB287" i="8"/>
  <c r="AB286" i="8"/>
  <c r="AK475" i="8"/>
  <c r="AB475" i="8"/>
  <c r="AI475" i="8"/>
  <c r="AI477" i="8"/>
  <c r="AI476" i="8"/>
  <c r="AB479" i="8"/>
  <c r="AB478" i="8"/>
  <c r="B31" i="8"/>
  <c r="I32" i="8"/>
  <c r="I33" i="8"/>
  <c r="B34" i="8"/>
  <c r="B35" i="8"/>
  <c r="K31" i="8"/>
  <c r="I31" i="8"/>
  <c r="I224" i="8"/>
  <c r="I225" i="8"/>
  <c r="B226" i="8"/>
  <c r="B227" i="8"/>
  <c r="K223" i="8"/>
  <c r="I223" i="8"/>
  <c r="B223" i="8"/>
  <c r="I415" i="8"/>
  <c r="B415" i="8"/>
  <c r="I417" i="8"/>
  <c r="B419" i="8"/>
  <c r="K415" i="8"/>
  <c r="I416" i="8"/>
  <c r="B418" i="8"/>
  <c r="B607" i="8"/>
  <c r="I609" i="8"/>
  <c r="I608" i="8"/>
  <c r="B611" i="8"/>
  <c r="B610" i="8"/>
  <c r="I607" i="8"/>
  <c r="K607" i="8"/>
  <c r="AI158" i="8"/>
  <c r="AB161" i="8"/>
  <c r="AB160" i="8"/>
  <c r="AB157" i="8"/>
  <c r="AK157" i="8"/>
  <c r="AI157" i="8"/>
  <c r="AI159" i="8"/>
  <c r="AB352" i="8"/>
  <c r="AB353" i="8"/>
  <c r="AI350" i="8"/>
  <c r="AB349" i="8"/>
  <c r="AK349" i="8"/>
  <c r="AI349" i="8"/>
  <c r="AI351" i="8"/>
  <c r="AI542" i="8"/>
  <c r="AB545" i="8"/>
  <c r="AB544" i="8"/>
  <c r="AB541" i="8"/>
  <c r="AK541" i="8"/>
  <c r="AI541" i="8"/>
  <c r="AI543" i="8"/>
  <c r="B97" i="8"/>
  <c r="B101" i="8"/>
  <c r="I99" i="8"/>
  <c r="I98" i="8"/>
  <c r="K97" i="8"/>
  <c r="I97" i="8"/>
  <c r="B100" i="8"/>
  <c r="I289" i="8"/>
  <c r="B289" i="8"/>
  <c r="B293" i="8"/>
  <c r="B292" i="8"/>
  <c r="K289" i="8"/>
  <c r="I291" i="8"/>
  <c r="I290" i="8"/>
  <c r="I481" i="8"/>
  <c r="B481" i="8"/>
  <c r="B485" i="8"/>
  <c r="B484" i="8"/>
  <c r="K481" i="8"/>
  <c r="I483" i="8"/>
  <c r="I482" i="8"/>
  <c r="AI32" i="8"/>
  <c r="AI31" i="8"/>
  <c r="AB34" i="8"/>
  <c r="AI33" i="8"/>
  <c r="AK31" i="8"/>
  <c r="AB35" i="8"/>
  <c r="AB31" i="8"/>
  <c r="AI224" i="8"/>
  <c r="AI223" i="8"/>
  <c r="AB226" i="8"/>
  <c r="AI225" i="8"/>
  <c r="AK223" i="8"/>
  <c r="AB227" i="8"/>
  <c r="AB223" i="8"/>
  <c r="AI417" i="8"/>
  <c r="AI416" i="8"/>
  <c r="AB419" i="8"/>
  <c r="AB418" i="8"/>
  <c r="AK415" i="8"/>
  <c r="AB415" i="8"/>
  <c r="AI415" i="8"/>
  <c r="AI608" i="8"/>
  <c r="AI609" i="8"/>
  <c r="AK607" i="8"/>
  <c r="AB610" i="8"/>
  <c r="AB611" i="8"/>
  <c r="AI607" i="8"/>
  <c r="AB607" i="8"/>
  <c r="B166" i="8"/>
  <c r="B167" i="8"/>
  <c r="K163" i="8"/>
  <c r="I163" i="8"/>
  <c r="B163" i="8"/>
  <c r="I164" i="8"/>
  <c r="I165" i="8"/>
  <c r="B359" i="8"/>
  <c r="B358" i="8"/>
  <c r="K355" i="8"/>
  <c r="I355" i="8"/>
  <c r="I357" i="8"/>
  <c r="B355" i="8"/>
  <c r="I356" i="8"/>
  <c r="I548" i="8"/>
  <c r="B551" i="8"/>
  <c r="B550" i="8"/>
  <c r="K547" i="8"/>
  <c r="I547" i="8"/>
  <c r="B547" i="8"/>
  <c r="I549" i="8"/>
  <c r="AB100" i="8"/>
  <c r="AB101" i="8"/>
  <c r="AK97" i="8"/>
  <c r="AI97" i="8"/>
  <c r="AB97" i="8"/>
  <c r="AI98" i="8"/>
  <c r="AI99" i="8"/>
  <c r="AI290" i="8"/>
  <c r="AB293" i="8"/>
  <c r="AK289" i="8"/>
  <c r="AI289" i="8"/>
  <c r="AB289" i="8"/>
  <c r="AB292" i="8"/>
  <c r="AI291" i="8"/>
  <c r="AI482" i="8"/>
  <c r="AB485" i="8"/>
  <c r="AK481" i="8"/>
  <c r="AI481" i="8"/>
  <c r="AB481" i="8"/>
  <c r="AB484" i="8"/>
  <c r="AI483" i="8"/>
  <c r="I39" i="8"/>
  <c r="I38" i="8"/>
  <c r="K37" i="8"/>
  <c r="I37" i="8"/>
  <c r="B40" i="8"/>
  <c r="B37" i="8"/>
  <c r="B41" i="8"/>
  <c r="B233" i="8"/>
  <c r="I230" i="8"/>
  <c r="K229" i="8"/>
  <c r="I229" i="8"/>
  <c r="B229" i="8"/>
  <c r="B232" i="8"/>
  <c r="I231" i="8"/>
  <c r="B425" i="8"/>
  <c r="I422" i="8"/>
  <c r="K421" i="8"/>
  <c r="I421" i="8"/>
  <c r="B421" i="8"/>
  <c r="B424" i="8"/>
  <c r="I423" i="8"/>
  <c r="B613" i="8"/>
  <c r="K613" i="8"/>
  <c r="I615" i="8"/>
  <c r="I614" i="8"/>
  <c r="I613" i="8"/>
  <c r="B616" i="8"/>
  <c r="B617" i="8"/>
  <c r="AB166" i="8"/>
  <c r="AI165" i="8"/>
  <c r="AK163" i="8"/>
  <c r="AB167" i="8"/>
  <c r="AB163" i="8"/>
  <c r="AI164" i="8"/>
  <c r="AI163" i="8"/>
  <c r="AB359" i="8"/>
  <c r="AB355" i="8"/>
  <c r="AK355" i="8"/>
  <c r="AI356" i="8"/>
  <c r="AI355" i="8"/>
  <c r="AI357" i="8"/>
  <c r="AB358" i="8"/>
  <c r="AI548" i="8"/>
  <c r="AI549" i="8"/>
  <c r="AB550" i="8"/>
  <c r="AB551" i="8"/>
  <c r="AK547" i="8"/>
  <c r="AB547" i="8"/>
  <c r="AI547" i="8"/>
  <c r="B55" i="8"/>
  <c r="I56" i="8"/>
  <c r="I57" i="8"/>
  <c r="B58" i="8"/>
  <c r="B59" i="8"/>
  <c r="K55" i="8"/>
  <c r="I55" i="8"/>
  <c r="K247" i="8"/>
  <c r="I249" i="8"/>
  <c r="B247" i="8"/>
  <c r="B251" i="8"/>
  <c r="B250" i="8"/>
  <c r="I248" i="8"/>
  <c r="I247" i="8"/>
  <c r="B443" i="8"/>
  <c r="B442" i="8"/>
  <c r="I440" i="8"/>
  <c r="I439" i="8"/>
  <c r="K439" i="8"/>
  <c r="I441" i="8"/>
  <c r="B439" i="8"/>
  <c r="I631" i="8"/>
  <c r="B631" i="8"/>
  <c r="K631" i="8"/>
  <c r="I632" i="8"/>
  <c r="I633" i="8"/>
  <c r="B634" i="8"/>
  <c r="B635" i="8"/>
  <c r="AI182" i="8"/>
  <c r="AI181" i="8"/>
  <c r="AB184" i="8"/>
  <c r="AI183" i="8"/>
  <c r="AK181" i="8"/>
  <c r="AB185" i="8"/>
  <c r="AB181" i="8"/>
  <c r="AB376" i="8"/>
  <c r="AI373" i="8"/>
  <c r="AI374" i="8"/>
  <c r="AI375" i="8"/>
  <c r="AK373" i="8"/>
  <c r="AB377" i="8"/>
  <c r="AB373" i="8"/>
  <c r="AI566" i="8"/>
  <c r="AI565" i="8"/>
  <c r="AB568" i="8"/>
  <c r="AI567" i="8"/>
  <c r="AK565" i="8"/>
  <c r="AB569" i="8"/>
  <c r="AB565" i="8"/>
  <c r="B121" i="8"/>
  <c r="B125" i="8"/>
  <c r="I123" i="8"/>
  <c r="I122" i="8"/>
  <c r="K121" i="8"/>
  <c r="I121" i="8"/>
  <c r="B124" i="8"/>
  <c r="I315" i="8"/>
  <c r="I314" i="8"/>
  <c r="B317" i="8"/>
  <c r="I313" i="8"/>
  <c r="K313" i="8"/>
  <c r="B313" i="8"/>
  <c r="B316" i="8"/>
  <c r="B505" i="8"/>
  <c r="B509" i="8"/>
  <c r="I507" i="8"/>
  <c r="I506" i="8"/>
  <c r="K505" i="8"/>
  <c r="I505" i="8"/>
  <c r="B508" i="8"/>
  <c r="AI56" i="8"/>
  <c r="AI55" i="8"/>
  <c r="AB58" i="8"/>
  <c r="AI57" i="8"/>
  <c r="AK55" i="8"/>
  <c r="AB59" i="8"/>
  <c r="AB55" i="8"/>
  <c r="AI249" i="8"/>
  <c r="AB247" i="8"/>
  <c r="AB251" i="8"/>
  <c r="AI248" i="8"/>
  <c r="AK247" i="8"/>
  <c r="AB250" i="8"/>
  <c r="AI247" i="8"/>
  <c r="AI441" i="8"/>
  <c r="AB439" i="8"/>
  <c r="AB443" i="8"/>
  <c r="AI440" i="8"/>
  <c r="AK439" i="8"/>
  <c r="AB442" i="8"/>
  <c r="AI439" i="8"/>
  <c r="AI632" i="8"/>
  <c r="AI631" i="8"/>
  <c r="AB634" i="8"/>
  <c r="AI633" i="8"/>
  <c r="AK631" i="8"/>
  <c r="AB635" i="8"/>
  <c r="AB631" i="8"/>
  <c r="B239" i="8"/>
  <c r="I236" i="8"/>
  <c r="I235" i="8"/>
  <c r="B238" i="8"/>
  <c r="I237" i="8"/>
  <c r="K235" i="8"/>
  <c r="B235" i="8"/>
  <c r="B431" i="8"/>
  <c r="I428" i="8"/>
  <c r="I427" i="8"/>
  <c r="B430" i="8"/>
  <c r="I429" i="8"/>
  <c r="K427" i="8"/>
  <c r="B427" i="8"/>
  <c r="B619" i="8"/>
  <c r="I620" i="8"/>
  <c r="I621" i="8"/>
  <c r="B622" i="8"/>
  <c r="B623" i="8"/>
  <c r="K619" i="8"/>
  <c r="I619" i="8"/>
  <c r="AB173" i="8"/>
  <c r="AI170" i="8"/>
  <c r="AI169" i="8"/>
  <c r="AB172" i="8"/>
  <c r="AB169" i="8"/>
  <c r="AK169" i="8"/>
  <c r="AI171" i="8"/>
  <c r="AB365" i="8"/>
  <c r="AB364" i="8"/>
  <c r="AI361" i="8"/>
  <c r="AI362" i="8"/>
  <c r="AB361" i="8"/>
  <c r="AK361" i="8"/>
  <c r="AI363" i="8"/>
  <c r="AB557" i="8"/>
  <c r="AI554" i="8"/>
  <c r="AI553" i="8"/>
  <c r="AB556" i="8"/>
  <c r="AB553" i="8"/>
  <c r="AK553" i="8"/>
  <c r="AI555" i="8"/>
  <c r="B112" i="8"/>
  <c r="B109" i="8"/>
  <c r="B113" i="8"/>
  <c r="I111" i="8"/>
  <c r="I110" i="8"/>
  <c r="K109" i="8"/>
  <c r="I109" i="8"/>
  <c r="I303" i="8"/>
  <c r="I302" i="8"/>
  <c r="I301" i="8"/>
  <c r="B305" i="8"/>
  <c r="B301" i="8"/>
  <c r="K301" i="8"/>
  <c r="B304" i="8"/>
  <c r="I495" i="8"/>
  <c r="I494" i="8"/>
  <c r="I493" i="8"/>
  <c r="B497" i="8"/>
  <c r="B493" i="8"/>
  <c r="K493" i="8"/>
  <c r="B496" i="8"/>
  <c r="AB46" i="8"/>
  <c r="AK43" i="8"/>
  <c r="AB43" i="8"/>
  <c r="AI44" i="8"/>
  <c r="AI43" i="8"/>
  <c r="AI45" i="8"/>
  <c r="AB47" i="8"/>
  <c r="AI235" i="8"/>
  <c r="AI237" i="8"/>
  <c r="AI236" i="8"/>
  <c r="AB239" i="8"/>
  <c r="AB238" i="8"/>
  <c r="AK235" i="8"/>
  <c r="AB235" i="8"/>
  <c r="AI427" i="8"/>
  <c r="AI429" i="8"/>
  <c r="AI428" i="8"/>
  <c r="AB431" i="8"/>
  <c r="AB430" i="8"/>
  <c r="AK427" i="8"/>
  <c r="AB427" i="8"/>
  <c r="AB619" i="8"/>
  <c r="AI620" i="8"/>
  <c r="AI619" i="8"/>
  <c r="AB622" i="8"/>
  <c r="AI621" i="8"/>
  <c r="AK619" i="8"/>
  <c r="AB623" i="8"/>
  <c r="B178" i="8"/>
  <c r="B179" i="8"/>
  <c r="K175" i="8"/>
  <c r="I175" i="8"/>
  <c r="B175" i="8"/>
  <c r="I176" i="8"/>
  <c r="I177" i="8"/>
  <c r="I369" i="8"/>
  <c r="B371" i="8"/>
  <c r="K367" i="8"/>
  <c r="I368" i="8"/>
  <c r="B370" i="8"/>
  <c r="I367" i="8"/>
  <c r="B367" i="8"/>
  <c r="B562" i="8"/>
  <c r="B563" i="8"/>
  <c r="K559" i="8"/>
  <c r="I559" i="8"/>
  <c r="B559" i="8"/>
  <c r="I560" i="8"/>
  <c r="I561" i="8"/>
  <c r="AB112" i="8"/>
  <c r="AB109" i="8"/>
  <c r="AK109" i="8"/>
  <c r="AI109" i="8"/>
  <c r="AI111" i="8"/>
  <c r="AI110" i="8"/>
  <c r="AB113" i="8"/>
  <c r="AI302" i="8"/>
  <c r="AB301" i="8"/>
  <c r="AK301" i="8"/>
  <c r="AI301" i="8"/>
  <c r="AI303" i="8"/>
  <c r="AB304" i="8"/>
  <c r="AB305" i="8"/>
  <c r="AI494" i="8"/>
  <c r="AB493" i="8"/>
  <c r="AK493" i="8"/>
  <c r="AI493" i="8"/>
  <c r="AI495" i="8"/>
  <c r="AB496" i="8"/>
  <c r="AB497" i="8"/>
  <c r="I51" i="8"/>
  <c r="I50" i="8"/>
  <c r="K49" i="8"/>
  <c r="I49" i="8"/>
  <c r="B52" i="8"/>
  <c r="B49" i="8"/>
  <c r="B53" i="8"/>
  <c r="B245" i="8"/>
  <c r="B244" i="8"/>
  <c r="K241" i="8"/>
  <c r="I243" i="8"/>
  <c r="I242" i="8"/>
  <c r="I241" i="8"/>
  <c r="B241" i="8"/>
  <c r="B437" i="8"/>
  <c r="B436" i="8"/>
  <c r="K433" i="8"/>
  <c r="I435" i="8"/>
  <c r="I434" i="8"/>
  <c r="I433" i="8"/>
  <c r="B433" i="8"/>
  <c r="B625" i="8"/>
  <c r="I626" i="8"/>
  <c r="I627" i="8"/>
  <c r="K625" i="8"/>
  <c r="I625" i="8"/>
  <c r="B628" i="8"/>
  <c r="B629" i="8"/>
  <c r="AB178" i="8"/>
  <c r="AI177" i="8"/>
  <c r="AK175" i="8"/>
  <c r="AB179" i="8"/>
  <c r="AB175" i="8"/>
  <c r="AI176" i="8"/>
  <c r="AI175" i="8"/>
  <c r="AB371" i="8"/>
  <c r="AB370" i="8"/>
  <c r="AK367" i="8"/>
  <c r="AB367" i="8"/>
  <c r="AI367" i="8"/>
  <c r="AI369" i="8"/>
  <c r="AI368" i="8"/>
  <c r="AB562" i="8"/>
  <c r="AK559" i="8"/>
  <c r="AB563" i="8"/>
  <c r="AB559" i="8"/>
  <c r="AI560" i="8"/>
  <c r="AI559" i="8"/>
  <c r="AI561" i="8"/>
  <c r="K115" i="8"/>
  <c r="I115" i="8"/>
  <c r="B115" i="8"/>
  <c r="I116" i="8"/>
  <c r="I117" i="8"/>
  <c r="B118" i="8"/>
  <c r="B119" i="8"/>
  <c r="K307" i="8"/>
  <c r="I307" i="8"/>
  <c r="I309" i="8"/>
  <c r="B307" i="8"/>
  <c r="I308" i="8"/>
  <c r="B311" i="8"/>
  <c r="B310" i="8"/>
  <c r="K499" i="8"/>
  <c r="I499" i="8"/>
  <c r="I501" i="8"/>
  <c r="B499" i="8"/>
  <c r="I500" i="8"/>
  <c r="B503" i="8"/>
  <c r="B502" i="8"/>
  <c r="AK49" i="8"/>
  <c r="AI49" i="8"/>
  <c r="AB49" i="8"/>
  <c r="AI50" i="8"/>
  <c r="AI51" i="8"/>
  <c r="AB52" i="8"/>
  <c r="AB53" i="8"/>
  <c r="AK241" i="8"/>
  <c r="AI241" i="8"/>
  <c r="AB241" i="8"/>
  <c r="AB244" i="8"/>
  <c r="AI243" i="8"/>
  <c r="AI242" i="8"/>
  <c r="AB245" i="8"/>
  <c r="AK433" i="8"/>
  <c r="AI433" i="8"/>
  <c r="AB433" i="8"/>
  <c r="AB436" i="8"/>
  <c r="AI435" i="8"/>
  <c r="AI434" i="8"/>
  <c r="AB437" i="8"/>
  <c r="AK625" i="8"/>
  <c r="AI625" i="8"/>
  <c r="AB625" i="8"/>
  <c r="AI626" i="8"/>
  <c r="AI627" i="8"/>
  <c r="AB628" i="8"/>
  <c r="AB629" i="8"/>
  <c r="K181" i="8"/>
  <c r="I181" i="8"/>
  <c r="B184" i="8"/>
  <c r="B181" i="8"/>
  <c r="B185" i="8"/>
  <c r="I183" i="8"/>
  <c r="I182" i="8"/>
  <c r="K373" i="8"/>
  <c r="I373" i="8"/>
  <c r="B373" i="8"/>
  <c r="B376" i="8"/>
  <c r="I375" i="8"/>
  <c r="B377" i="8"/>
  <c r="I374" i="8"/>
  <c r="I567" i="8"/>
  <c r="K565" i="8"/>
  <c r="I565" i="8"/>
  <c r="B568" i="8"/>
  <c r="B569" i="8"/>
  <c r="B565" i="8"/>
  <c r="I566" i="8"/>
  <c r="AK115" i="8"/>
  <c r="AB119" i="8"/>
  <c r="AB115" i="8"/>
  <c r="AI116" i="8"/>
  <c r="AI115" i="8"/>
  <c r="AB118" i="8"/>
  <c r="AI117" i="8"/>
  <c r="AK307" i="8"/>
  <c r="AI308" i="8"/>
  <c r="AI307" i="8"/>
  <c r="AI309" i="8"/>
  <c r="AB310" i="8"/>
  <c r="AB311" i="8"/>
  <c r="AB307" i="8"/>
  <c r="AK499" i="8"/>
  <c r="AI500" i="8"/>
  <c r="AI499" i="8"/>
  <c r="AI501" i="8"/>
  <c r="AB502" i="8"/>
  <c r="AB503" i="8"/>
  <c r="AB499" i="8"/>
  <c r="K7" i="8"/>
  <c r="I7" i="8"/>
  <c r="B7" i="8"/>
  <c r="I8" i="8"/>
  <c r="I9" i="8"/>
  <c r="B10" i="8"/>
  <c r="B11" i="8"/>
  <c r="B202" i="8"/>
  <c r="B203" i="8"/>
  <c r="K199" i="8"/>
  <c r="I199" i="8"/>
  <c r="B199" i="8"/>
  <c r="I200" i="8"/>
  <c r="I201" i="8"/>
  <c r="B395" i="8"/>
  <c r="B394" i="8"/>
  <c r="I392" i="8"/>
  <c r="I391" i="8"/>
  <c r="K391" i="8"/>
  <c r="I393" i="8"/>
  <c r="B391" i="8"/>
  <c r="B583" i="8"/>
  <c r="I585" i="8"/>
  <c r="I584" i="8"/>
  <c r="B587" i="8"/>
  <c r="B586" i="8"/>
  <c r="I583" i="8"/>
  <c r="K583" i="8"/>
  <c r="AB136" i="8"/>
  <c r="AI135" i="8"/>
  <c r="AK133" i="8"/>
  <c r="AB137" i="8"/>
  <c r="AB133" i="8"/>
  <c r="AI134" i="8"/>
  <c r="AI133" i="8"/>
  <c r="AI326" i="8"/>
  <c r="AI327" i="8"/>
  <c r="AK325" i="8"/>
  <c r="AB329" i="8"/>
  <c r="AB325" i="8"/>
  <c r="AB328" i="8"/>
  <c r="AI325" i="8"/>
  <c r="AB520" i="8"/>
  <c r="AI519" i="8"/>
  <c r="AK517" i="8"/>
  <c r="AB521" i="8"/>
  <c r="AB517" i="8"/>
  <c r="AI518" i="8"/>
  <c r="AI517" i="8"/>
  <c r="I75" i="8"/>
  <c r="I74" i="8"/>
  <c r="K73" i="8"/>
  <c r="I73" i="8"/>
  <c r="B76" i="8"/>
  <c r="B73" i="8"/>
  <c r="B77" i="8"/>
  <c r="B269" i="8"/>
  <c r="I265" i="8"/>
  <c r="K265" i="8"/>
  <c r="B265" i="8"/>
  <c r="B268" i="8"/>
  <c r="I267" i="8"/>
  <c r="I266" i="8"/>
  <c r="B461" i="8"/>
  <c r="I457" i="8"/>
  <c r="K457" i="8"/>
  <c r="B457" i="8"/>
  <c r="B460" i="8"/>
  <c r="I459" i="8"/>
  <c r="I458" i="8"/>
  <c r="AB10" i="8"/>
  <c r="AI9" i="8"/>
  <c r="AK7" i="8"/>
  <c r="AB11" i="8"/>
  <c r="AB7" i="8"/>
  <c r="AI8" i="8"/>
  <c r="AI7" i="8"/>
  <c r="AB202" i="8"/>
  <c r="AI201" i="8"/>
  <c r="AK199" i="8"/>
  <c r="AB203" i="8"/>
  <c r="AB199" i="8"/>
  <c r="AI200" i="8"/>
  <c r="AI199" i="8"/>
  <c r="AB395" i="8"/>
  <c r="AI392" i="8"/>
  <c r="AK391" i="8"/>
  <c r="AB394" i="8"/>
  <c r="AI391" i="8"/>
  <c r="AI393" i="8"/>
  <c r="AB391" i="8"/>
  <c r="AB586" i="8"/>
  <c r="AI585" i="8"/>
  <c r="AK583" i="8"/>
  <c r="AB587" i="8"/>
  <c r="AB583" i="8"/>
  <c r="AI584" i="8"/>
  <c r="AI583" i="8"/>
  <c r="I188" i="8"/>
  <c r="I189" i="8"/>
  <c r="B190" i="8"/>
  <c r="B191" i="8"/>
  <c r="K187" i="8"/>
  <c r="I187" i="8"/>
  <c r="B187" i="8"/>
  <c r="I380" i="8"/>
  <c r="I379" i="8"/>
  <c r="B382" i="8"/>
  <c r="I381" i="8"/>
  <c r="K379" i="8"/>
  <c r="B379" i="8"/>
  <c r="B383" i="8"/>
  <c r="B571" i="8"/>
  <c r="K571" i="8"/>
  <c r="I572" i="8"/>
  <c r="I573" i="8"/>
  <c r="B574" i="8"/>
  <c r="B575" i="8"/>
  <c r="I571" i="8"/>
  <c r="AI122" i="8"/>
  <c r="AI121" i="8"/>
  <c r="AB124" i="8"/>
  <c r="AB121" i="8"/>
  <c r="AK121" i="8"/>
  <c r="AI123" i="8"/>
  <c r="AB125" i="8"/>
  <c r="AB316" i="8"/>
  <c r="AI313" i="8"/>
  <c r="AI314" i="8"/>
  <c r="AB313" i="8"/>
  <c r="AK313" i="8"/>
  <c r="AI315" i="8"/>
  <c r="AB317" i="8"/>
  <c r="AI506" i="8"/>
  <c r="AI505" i="8"/>
  <c r="AB508" i="8"/>
  <c r="AB505" i="8"/>
  <c r="AK505" i="8"/>
  <c r="AI507" i="8"/>
  <c r="AB509" i="8"/>
  <c r="B61" i="8"/>
  <c r="B65" i="8"/>
  <c r="I63" i="8"/>
  <c r="I62" i="8"/>
  <c r="K61" i="8"/>
  <c r="I61" i="8"/>
  <c r="B64" i="8"/>
  <c r="I254" i="8"/>
  <c r="I253" i="8"/>
  <c r="B257" i="8"/>
  <c r="B253" i="8"/>
  <c r="K253" i="8"/>
  <c r="B256" i="8"/>
  <c r="I255" i="8"/>
  <c r="I446" i="8"/>
  <c r="I445" i="8"/>
  <c r="B449" i="8"/>
  <c r="B445" i="8"/>
  <c r="K445" i="8"/>
  <c r="B448" i="8"/>
  <c r="I447" i="8"/>
  <c r="B637" i="8"/>
  <c r="I639" i="8"/>
  <c r="B640" i="8"/>
  <c r="I638" i="8"/>
  <c r="K637" i="8"/>
  <c r="I637" i="8"/>
  <c r="B641" i="8"/>
  <c r="AI188" i="8"/>
  <c r="AI187" i="8"/>
  <c r="AB190" i="8"/>
  <c r="AI189" i="8"/>
  <c r="AK187" i="8"/>
  <c r="AB191" i="8"/>
  <c r="AB187" i="8"/>
  <c r="AI381" i="8"/>
  <c r="AI380" i="8"/>
  <c r="AB383" i="8"/>
  <c r="AB382" i="8"/>
  <c r="AK379" i="8"/>
  <c r="AB379" i="8"/>
  <c r="AI379" i="8"/>
  <c r="AI572" i="8"/>
  <c r="AI571" i="8"/>
  <c r="AB574" i="8"/>
  <c r="AI573" i="8"/>
  <c r="AK571" i="8"/>
  <c r="AB575" i="8"/>
  <c r="AB571" i="8"/>
  <c r="K127" i="8"/>
  <c r="I127" i="8"/>
  <c r="B127" i="8"/>
  <c r="I128" i="8"/>
  <c r="I129" i="8"/>
  <c r="B130" i="8"/>
  <c r="B131" i="8"/>
  <c r="K319" i="8"/>
  <c r="I320" i="8"/>
  <c r="B322" i="8"/>
  <c r="I319" i="8"/>
  <c r="B319" i="8"/>
  <c r="I321" i="8"/>
  <c r="B323" i="8"/>
  <c r="B514" i="8"/>
  <c r="B515" i="8"/>
  <c r="I511" i="8"/>
  <c r="B511" i="8"/>
  <c r="K511" i="8"/>
  <c r="I512" i="8"/>
  <c r="I513" i="8"/>
  <c r="AK61" i="8"/>
  <c r="AI61" i="8"/>
  <c r="AI63" i="8"/>
  <c r="AI62" i="8"/>
  <c r="AB65" i="8"/>
  <c r="AB64" i="8"/>
  <c r="AB61" i="8"/>
  <c r="AK253" i="8"/>
  <c r="AI253" i="8"/>
  <c r="AI255" i="8"/>
  <c r="AB256" i="8"/>
  <c r="AB257" i="8"/>
  <c r="AI254" i="8"/>
  <c r="AB253" i="8"/>
  <c r="AK445" i="8"/>
  <c r="AI445" i="8"/>
  <c r="AI447" i="8"/>
  <c r="AB448" i="8"/>
  <c r="AB449" i="8"/>
  <c r="AI446" i="8"/>
  <c r="AB445" i="8"/>
  <c r="AK637" i="8"/>
  <c r="AB641" i="8"/>
  <c r="AI638" i="8"/>
  <c r="AB640" i="8"/>
  <c r="AI639" i="8"/>
  <c r="AI637" i="8"/>
  <c r="AB637" i="8"/>
  <c r="K193" i="8"/>
  <c r="I193" i="8"/>
  <c r="B196" i="8"/>
  <c r="B193" i="8"/>
  <c r="B197" i="8"/>
  <c r="I195" i="8"/>
  <c r="I194" i="8"/>
  <c r="K385" i="8"/>
  <c r="I387" i="8"/>
  <c r="I386" i="8"/>
  <c r="I385" i="8"/>
  <c r="B385" i="8"/>
  <c r="B389" i="8"/>
  <c r="B388" i="8"/>
  <c r="K577" i="8"/>
  <c r="I577" i="8"/>
  <c r="B580" i="8"/>
  <c r="B577" i="8"/>
  <c r="B581" i="8"/>
  <c r="I579" i="8"/>
  <c r="I578" i="8"/>
  <c r="AK127" i="8"/>
  <c r="AB131" i="8"/>
  <c r="AB127" i="8"/>
  <c r="AI128" i="8"/>
  <c r="AI127" i="8"/>
  <c r="AB130" i="8"/>
  <c r="AI129" i="8"/>
  <c r="AK319" i="8"/>
  <c r="AB319" i="8"/>
  <c r="AI319" i="8"/>
  <c r="AI321" i="8"/>
  <c r="AI320" i="8"/>
  <c r="AB323" i="8"/>
  <c r="AB322" i="8"/>
  <c r="AK511" i="8"/>
  <c r="AB515" i="8"/>
  <c r="AB511" i="8"/>
  <c r="AI512" i="8"/>
  <c r="AI511" i="8"/>
  <c r="AB514" i="8"/>
  <c r="AI513" i="8"/>
  <c r="B67" i="8"/>
  <c r="I68" i="8"/>
  <c r="I69" i="8"/>
  <c r="B70" i="8"/>
  <c r="B71" i="8"/>
  <c r="K67" i="8"/>
  <c r="I67" i="8"/>
  <c r="I261" i="8"/>
  <c r="B259" i="8"/>
  <c r="I260" i="8"/>
  <c r="B263" i="8"/>
  <c r="B262" i="8"/>
  <c r="K259" i="8"/>
  <c r="I259" i="8"/>
  <c r="I453" i="8"/>
  <c r="B451" i="8"/>
  <c r="I452" i="8"/>
  <c r="B455" i="8"/>
  <c r="B454" i="8"/>
  <c r="K451" i="8"/>
  <c r="I451" i="8"/>
  <c r="B646" i="8"/>
  <c r="K643" i="8"/>
  <c r="I643" i="8"/>
  <c r="I645" i="8"/>
  <c r="B643" i="8"/>
  <c r="B647" i="8"/>
  <c r="I644" i="8"/>
  <c r="AB193" i="8"/>
  <c r="AI194" i="8"/>
  <c r="AI195" i="8"/>
  <c r="AB196" i="8"/>
  <c r="AB197" i="8"/>
  <c r="AK193" i="8"/>
  <c r="AI193" i="8"/>
  <c r="AB385" i="8"/>
  <c r="AB388" i="8"/>
  <c r="AI387" i="8"/>
  <c r="AI386" i="8"/>
  <c r="AB389" i="8"/>
  <c r="AK385" i="8"/>
  <c r="AI385" i="8"/>
  <c r="AB577" i="8"/>
  <c r="AI578" i="8"/>
  <c r="AI579" i="8"/>
  <c r="AB580" i="8"/>
  <c r="AB581" i="8"/>
  <c r="AK577" i="8"/>
  <c r="AI577" i="8"/>
  <c r="B136" i="8"/>
  <c r="B133" i="8"/>
  <c r="B137" i="8"/>
  <c r="I135" i="8"/>
  <c r="I134" i="8"/>
  <c r="K133" i="8"/>
  <c r="I133" i="8"/>
  <c r="B325" i="8"/>
  <c r="B328" i="8"/>
  <c r="I327" i="8"/>
  <c r="B329" i="8"/>
  <c r="I326" i="8"/>
  <c r="K325" i="8"/>
  <c r="I325" i="8"/>
  <c r="B520" i="8"/>
  <c r="B517" i="8"/>
  <c r="B521" i="8"/>
  <c r="I519" i="8"/>
  <c r="I518" i="8"/>
  <c r="K517" i="8"/>
  <c r="I517" i="8"/>
  <c r="AB67" i="8"/>
  <c r="AI68" i="8"/>
  <c r="AI67" i="8"/>
  <c r="AB70" i="8"/>
  <c r="AI69" i="8"/>
  <c r="AK67" i="8"/>
  <c r="AB71" i="8"/>
  <c r="AI259" i="8"/>
  <c r="AI261" i="8"/>
  <c r="AB262" i="8"/>
  <c r="AB263" i="8"/>
  <c r="AB259" i="8"/>
  <c r="AK259" i="8"/>
  <c r="AI260" i="8"/>
  <c r="AI451" i="8"/>
  <c r="AI453" i="8"/>
  <c r="AB454" i="8"/>
  <c r="AB455" i="8"/>
  <c r="AB451" i="8"/>
  <c r="AK451" i="8"/>
  <c r="AI452" i="8"/>
  <c r="AI643" i="8"/>
  <c r="AI645" i="8"/>
  <c r="AI644" i="8"/>
  <c r="AB647" i="8"/>
  <c r="AB646" i="8"/>
  <c r="AB643" i="8"/>
  <c r="AK643" i="8"/>
  <c r="B154" i="8"/>
  <c r="B155" i="8"/>
  <c r="K151" i="8"/>
  <c r="I151" i="8"/>
  <c r="B151" i="8"/>
  <c r="I152" i="8"/>
  <c r="I153" i="8"/>
  <c r="I344" i="8"/>
  <c r="I343" i="8"/>
  <c r="K343" i="8"/>
  <c r="I345" i="8"/>
  <c r="B343" i="8"/>
  <c r="B347" i="8"/>
  <c r="B346" i="8"/>
  <c r="B535" i="8"/>
  <c r="I536" i="8"/>
  <c r="I537" i="8"/>
  <c r="B538" i="8"/>
  <c r="B539" i="8"/>
  <c r="K535" i="8"/>
  <c r="I535" i="8"/>
  <c r="AK85" i="8"/>
  <c r="AB89" i="8"/>
  <c r="AB85" i="8"/>
  <c r="AI86" i="8"/>
  <c r="AI85" i="8"/>
  <c r="AB88" i="8"/>
  <c r="AI87" i="8"/>
  <c r="AK277" i="8"/>
  <c r="AB281" i="8"/>
  <c r="AB277" i="8"/>
  <c r="AB280" i="8"/>
  <c r="AI277" i="8"/>
  <c r="AI278" i="8"/>
  <c r="AI279" i="8"/>
  <c r="AK469" i="8"/>
  <c r="AB473" i="8"/>
  <c r="AB469" i="8"/>
  <c r="AB472" i="8"/>
  <c r="AI469" i="8"/>
  <c r="AI470" i="8"/>
  <c r="AI471" i="8"/>
  <c r="K25" i="8"/>
  <c r="I25" i="8"/>
  <c r="B28" i="8"/>
  <c r="B25" i="8"/>
  <c r="B29" i="8"/>
  <c r="I27" i="8"/>
  <c r="I26" i="8"/>
  <c r="K217" i="8"/>
  <c r="I217" i="8"/>
  <c r="B220" i="8"/>
  <c r="B217" i="8"/>
  <c r="B221" i="8"/>
  <c r="I219" i="8"/>
  <c r="I218" i="8"/>
  <c r="K409" i="8"/>
  <c r="B409" i="8"/>
  <c r="B412" i="8"/>
  <c r="I411" i="8"/>
  <c r="I410" i="8"/>
  <c r="B413" i="8"/>
  <c r="I409" i="8"/>
  <c r="K601" i="8"/>
  <c r="I601" i="8"/>
  <c r="B604" i="8"/>
  <c r="B601" i="8"/>
  <c r="B605" i="8"/>
  <c r="I603" i="8"/>
  <c r="I602" i="8"/>
  <c r="AK151" i="8"/>
  <c r="AB155" i="8"/>
  <c r="AB151" i="8"/>
  <c r="AI152" i="8"/>
  <c r="AI151" i="8"/>
  <c r="AB154" i="8"/>
  <c r="AI153" i="8"/>
  <c r="AK343" i="8"/>
  <c r="AB346" i="8"/>
  <c r="AI343" i="8"/>
  <c r="AI345" i="8"/>
  <c r="AB343" i="8"/>
  <c r="AB347" i="8"/>
  <c r="AI344" i="8"/>
  <c r="AK535" i="8"/>
  <c r="AB539" i="8"/>
  <c r="AB535" i="8"/>
  <c r="AI536" i="8"/>
  <c r="AI535" i="8"/>
  <c r="AB538" i="8"/>
  <c r="AI537" i="8"/>
  <c r="K91" i="8"/>
  <c r="I91" i="8"/>
  <c r="B91" i="8"/>
  <c r="I92" i="8"/>
  <c r="I93" i="8"/>
  <c r="B94" i="8"/>
  <c r="B95" i="8"/>
  <c r="K43" i="8"/>
  <c r="I43" i="8"/>
  <c r="B43" i="8"/>
  <c r="I44" i="8"/>
  <c r="I45" i="8"/>
  <c r="B46" i="8"/>
  <c r="B47" i="8"/>
  <c r="B142" i="8"/>
  <c r="B143" i="8"/>
  <c r="K139" i="8"/>
  <c r="I139" i="8"/>
  <c r="B139" i="8"/>
  <c r="I140" i="8"/>
  <c r="I141" i="8"/>
  <c r="B334" i="8"/>
  <c r="I333" i="8"/>
  <c r="K331" i="8"/>
  <c r="B331" i="8"/>
  <c r="B335" i="8"/>
  <c r="I332" i="8"/>
  <c r="I331" i="8"/>
  <c r="I524" i="8"/>
  <c r="B527" i="8"/>
  <c r="B526" i="8"/>
  <c r="I523" i="8"/>
  <c r="K523" i="8"/>
  <c r="B523" i="8"/>
  <c r="I525" i="8"/>
  <c r="AB76" i="8"/>
  <c r="AB73" i="8"/>
  <c r="AK73" i="8"/>
  <c r="AI75" i="8"/>
  <c r="AB77" i="8"/>
  <c r="AI74" i="8"/>
  <c r="AI73" i="8"/>
  <c r="AI266" i="8"/>
  <c r="AB265" i="8"/>
  <c r="AK265" i="8"/>
  <c r="AI267" i="8"/>
  <c r="AB269" i="8"/>
  <c r="AB268" i="8"/>
  <c r="AI265" i="8"/>
  <c r="AI458" i="8"/>
  <c r="AB457" i="8"/>
  <c r="AK457" i="8"/>
  <c r="AI459" i="8"/>
  <c r="AB461" i="8"/>
  <c r="AB460" i="8"/>
  <c r="AI457" i="8"/>
  <c r="I15" i="8"/>
  <c r="I14" i="8"/>
  <c r="K13" i="8"/>
  <c r="I13" i="8"/>
  <c r="B16" i="8"/>
  <c r="B13" i="8"/>
  <c r="B17" i="8"/>
  <c r="I207" i="8"/>
  <c r="I206" i="8"/>
  <c r="K205" i="8"/>
  <c r="I205" i="8"/>
  <c r="B208" i="8"/>
  <c r="B205" i="8"/>
  <c r="B209" i="8"/>
  <c r="B401" i="8"/>
  <c r="B397" i="8"/>
  <c r="K397" i="8"/>
  <c r="B400" i="8"/>
  <c r="I399" i="8"/>
  <c r="I398" i="8"/>
  <c r="I397" i="8"/>
  <c r="B589" i="8"/>
  <c r="I590" i="8"/>
  <c r="I591" i="8"/>
  <c r="K589" i="8"/>
  <c r="I589" i="8"/>
  <c r="B592" i="8"/>
  <c r="B593" i="8"/>
  <c r="AB142" i="8"/>
  <c r="AI141" i="8"/>
  <c r="AK139" i="8"/>
  <c r="AB143" i="8"/>
  <c r="AB139" i="8"/>
  <c r="AI140" i="8"/>
  <c r="AI139" i="8"/>
  <c r="AB335" i="8"/>
  <c r="AB334" i="8"/>
  <c r="AK331" i="8"/>
  <c r="AB331" i="8"/>
  <c r="AI331" i="8"/>
  <c r="AI333" i="8"/>
  <c r="AI332" i="8"/>
  <c r="AI524" i="8"/>
  <c r="AI525" i="8"/>
  <c r="AB526" i="8"/>
  <c r="AB527" i="8"/>
  <c r="AB523" i="8"/>
  <c r="AK523" i="8"/>
  <c r="AI523" i="8"/>
  <c r="B82" i="8"/>
  <c r="B83" i="8"/>
  <c r="K79" i="8"/>
  <c r="I79" i="8"/>
  <c r="B79" i="8"/>
  <c r="I80" i="8"/>
  <c r="I81" i="8"/>
  <c r="B274" i="8"/>
  <c r="I271" i="8"/>
  <c r="B271" i="8"/>
  <c r="I273" i="8"/>
  <c r="B275" i="8"/>
  <c r="K271" i="8"/>
  <c r="I272" i="8"/>
  <c r="B466" i="8"/>
  <c r="I463" i="8"/>
  <c r="B463" i="8"/>
  <c r="I465" i="8"/>
  <c r="B467" i="8"/>
  <c r="K463" i="8"/>
  <c r="I464" i="8"/>
  <c r="AI15" i="8"/>
  <c r="AI14" i="8"/>
  <c r="AB17" i="8"/>
  <c r="AB16" i="8"/>
  <c r="AB13" i="8"/>
  <c r="AK13" i="8"/>
  <c r="AI13" i="8"/>
  <c r="AI207" i="8"/>
  <c r="AI206" i="8"/>
  <c r="AB209" i="8"/>
  <c r="AB208" i="8"/>
  <c r="AB205" i="8"/>
  <c r="AK205" i="8"/>
  <c r="AI205" i="8"/>
  <c r="AI399" i="8"/>
  <c r="AB400" i="8"/>
  <c r="AB401" i="8"/>
  <c r="AI398" i="8"/>
  <c r="AB397" i="8"/>
  <c r="AK397" i="8"/>
  <c r="AI397" i="8"/>
  <c r="AI591" i="8"/>
  <c r="AI590" i="8"/>
  <c r="AB593" i="8"/>
  <c r="AB592" i="8"/>
  <c r="AB589" i="8"/>
  <c r="AK589" i="8"/>
  <c r="AI589" i="8"/>
  <c r="B148" i="8"/>
  <c r="B145" i="8"/>
  <c r="B149" i="8"/>
  <c r="I147" i="8"/>
  <c r="I146" i="8"/>
  <c r="K145" i="8"/>
  <c r="I145" i="8"/>
  <c r="I338" i="8"/>
  <c r="I337" i="8"/>
  <c r="B337" i="8"/>
  <c r="B341" i="8"/>
  <c r="B340" i="8"/>
  <c r="K337" i="8"/>
  <c r="I339" i="8"/>
  <c r="I529" i="8"/>
  <c r="B532" i="8"/>
  <c r="B533" i="8"/>
  <c r="B529" i="8"/>
  <c r="K529" i="8"/>
  <c r="I531" i="8"/>
  <c r="I530" i="8"/>
  <c r="AB79" i="8"/>
  <c r="AI80" i="8"/>
  <c r="AI79" i="8"/>
  <c r="AB82" i="8"/>
  <c r="AI81" i="8"/>
  <c r="AK79" i="8"/>
  <c r="AB83" i="8"/>
  <c r="AI271" i="8"/>
  <c r="AI273" i="8"/>
  <c r="AI272" i="8"/>
  <c r="AB275" i="8"/>
  <c r="AB274" i="8"/>
  <c r="AK271" i="8"/>
  <c r="AB271" i="8"/>
  <c r="AI463" i="8"/>
  <c r="AI465" i="8"/>
  <c r="AI464" i="8"/>
  <c r="AB467" i="8"/>
  <c r="AB466" i="8"/>
  <c r="AK463" i="8"/>
  <c r="AB463" i="8"/>
  <c r="I20" i="8"/>
  <c r="I21" i="8"/>
  <c r="B22" i="8"/>
  <c r="B23" i="8"/>
  <c r="K19" i="8"/>
  <c r="I19" i="8"/>
  <c r="B19" i="8"/>
  <c r="I212" i="8"/>
  <c r="I213" i="8"/>
  <c r="B214" i="8"/>
  <c r="B215" i="8"/>
  <c r="K211" i="8"/>
  <c r="I211" i="8"/>
  <c r="B211" i="8"/>
  <c r="B403" i="8"/>
  <c r="I404" i="8"/>
  <c r="B407" i="8"/>
  <c r="B406" i="8"/>
  <c r="K403" i="8"/>
  <c r="I403" i="8"/>
  <c r="I405" i="8"/>
  <c r="B595" i="8"/>
  <c r="K595" i="8"/>
  <c r="I596" i="8"/>
  <c r="I597" i="8"/>
  <c r="B598" i="8"/>
  <c r="B599" i="8"/>
  <c r="I595" i="8"/>
  <c r="AI146" i="8"/>
  <c r="AI147" i="8"/>
  <c r="AB148" i="8"/>
  <c r="AB149" i="8"/>
  <c r="AK145" i="8"/>
  <c r="AI145" i="8"/>
  <c r="AB145" i="8"/>
  <c r="AB340" i="8"/>
  <c r="AI339" i="8"/>
  <c r="AI338" i="8"/>
  <c r="AB341" i="8"/>
  <c r="AK337" i="8"/>
  <c r="AI337" i="8"/>
  <c r="AB337" i="8"/>
  <c r="AI530" i="8"/>
  <c r="AI531" i="8"/>
  <c r="AB532" i="8"/>
  <c r="AB533" i="8"/>
  <c r="AK529" i="8"/>
  <c r="AI529" i="8"/>
  <c r="AB529" i="8"/>
  <c r="B85" i="8"/>
  <c r="B89" i="8"/>
  <c r="I87" i="8"/>
  <c r="I86" i="8"/>
  <c r="K85" i="8"/>
  <c r="I85" i="8"/>
  <c r="B88" i="8"/>
  <c r="B280" i="8"/>
  <c r="I279" i="8"/>
  <c r="B281" i="8"/>
  <c r="I278" i="8"/>
  <c r="K277" i="8"/>
  <c r="I277" i="8"/>
  <c r="B277" i="8"/>
  <c r="B472" i="8"/>
  <c r="I471" i="8"/>
  <c r="B473" i="8"/>
  <c r="I470" i="8"/>
  <c r="K469" i="8"/>
  <c r="I469" i="8"/>
  <c r="B469" i="8"/>
  <c r="AI20" i="8"/>
  <c r="AI19" i="8"/>
  <c r="AB22" i="8"/>
  <c r="AI21" i="8"/>
  <c r="AK19" i="8"/>
  <c r="AB23" i="8"/>
  <c r="AB19" i="8"/>
  <c r="AI212" i="8"/>
  <c r="AI211" i="8"/>
  <c r="AB214" i="8"/>
  <c r="AI213" i="8"/>
  <c r="AK211" i="8"/>
  <c r="AB215" i="8"/>
  <c r="AB211" i="8"/>
  <c r="AI405" i="8"/>
  <c r="AB406" i="8"/>
  <c r="AB407" i="8"/>
  <c r="AB403" i="8"/>
  <c r="AK403" i="8"/>
  <c r="AI404" i="8"/>
  <c r="AI403" i="8"/>
  <c r="AI596" i="8"/>
  <c r="AI595" i="8"/>
  <c r="AB598" i="8"/>
  <c r="AI597" i="8"/>
  <c r="AK595" i="8"/>
  <c r="AB599" i="8"/>
  <c r="AB595" i="8"/>
  <c r="K103" i="8"/>
  <c r="I103" i="8"/>
  <c r="B103" i="8"/>
  <c r="I104" i="8"/>
  <c r="I105" i="8"/>
  <c r="B106" i="8"/>
  <c r="B107" i="8"/>
  <c r="I296" i="8"/>
  <c r="I295" i="8"/>
  <c r="K295" i="8"/>
  <c r="I297" i="8"/>
  <c r="B295" i="8"/>
  <c r="B299" i="8"/>
  <c r="B298" i="8"/>
  <c r="B491" i="8"/>
  <c r="B490" i="8"/>
  <c r="I488" i="8"/>
  <c r="I487" i="8"/>
  <c r="K487" i="8"/>
  <c r="I489" i="8"/>
  <c r="B487" i="8"/>
  <c r="AB37" i="8"/>
  <c r="AI38" i="8"/>
  <c r="AI37" i="8"/>
  <c r="AB40" i="8"/>
  <c r="AI39" i="8"/>
  <c r="AK37" i="8"/>
  <c r="AB41" i="8"/>
  <c r="AB229" i="8"/>
  <c r="AB232" i="8"/>
  <c r="AI229" i="8"/>
  <c r="AI230" i="8"/>
  <c r="AI231" i="8"/>
  <c r="AK229" i="8"/>
  <c r="AB233" i="8"/>
  <c r="AB421" i="8"/>
  <c r="AB424" i="8"/>
  <c r="AI421" i="8"/>
  <c r="AI422" i="8"/>
  <c r="AI423" i="8"/>
  <c r="AK421" i="8"/>
  <c r="AB425" i="8"/>
  <c r="AB613" i="8"/>
  <c r="AI614" i="8"/>
  <c r="AI613" i="8"/>
  <c r="AB616" i="8"/>
  <c r="AI615" i="8"/>
  <c r="AK613" i="8"/>
  <c r="AB617" i="8"/>
  <c r="B172" i="8"/>
  <c r="B169" i="8"/>
  <c r="B173" i="8"/>
  <c r="I171" i="8"/>
  <c r="I170" i="8"/>
  <c r="K169" i="8"/>
  <c r="I169" i="8"/>
  <c r="B364" i="8"/>
  <c r="I363" i="8"/>
  <c r="I362" i="8"/>
  <c r="B365" i="8"/>
  <c r="I361" i="8"/>
  <c r="K361" i="8"/>
  <c r="B361" i="8"/>
  <c r="B556" i="8"/>
  <c r="B553" i="8"/>
  <c r="B557" i="8"/>
  <c r="I555" i="8"/>
  <c r="I554" i="8"/>
  <c r="K553" i="8"/>
  <c r="I553" i="8"/>
  <c r="AB103" i="8"/>
  <c r="AI104" i="8"/>
  <c r="AI103" i="8"/>
  <c r="AB106" i="8"/>
  <c r="AI105" i="8"/>
  <c r="AK103" i="8"/>
  <c r="AB107" i="8"/>
  <c r="AI295" i="8"/>
  <c r="AI297" i="8"/>
  <c r="AB295" i="8"/>
  <c r="AB299" i="8"/>
  <c r="AI296" i="8"/>
  <c r="AK295" i="8"/>
  <c r="AB298" i="8"/>
  <c r="AI487" i="8"/>
  <c r="AI489" i="8"/>
  <c r="AB487" i="8"/>
  <c r="AB491" i="8"/>
  <c r="AI488" i="8"/>
  <c r="AK487" i="8"/>
  <c r="AB490" i="8"/>
  <c r="E54" i="11" l="1"/>
  <c r="E36" i="11"/>
</calcChain>
</file>

<file path=xl/comments1.xml><?xml version="1.0" encoding="utf-8"?>
<comments xmlns="http://schemas.openxmlformats.org/spreadsheetml/2006/main">
  <authors>
    <author>John Abbott</author>
  </authors>
  <commentList>
    <comment ref="Y3" authorId="0">
      <text>
        <r>
          <rPr>
            <b/>
            <sz val="9"/>
            <color indexed="81"/>
            <rFont val="Tahoma"/>
            <family val="2"/>
          </rPr>
          <t>At least 6 of your 30 ability dots MUST be spread across your associated abilities list on Page 1</t>
        </r>
      </text>
    </comment>
    <comment ref="BG3" authorId="0">
      <text>
        <r>
          <rPr>
            <b/>
            <sz val="9"/>
            <color indexed="81"/>
            <rFont val="Tahoma"/>
            <family val="2"/>
          </rPr>
          <t>If you used bonus points to purchase a boon, change the left column here to yes so it will calculate correctly</t>
        </r>
      </text>
    </comment>
    <comment ref="M20" authorId="0">
      <text>
        <r>
          <rPr>
            <b/>
            <sz val="9"/>
            <color indexed="81"/>
            <rFont val="Tahoma"/>
            <family val="2"/>
          </rPr>
          <t>Your willpower is your two highest Virtues combined</t>
        </r>
      </text>
    </comment>
    <comment ref="A36" authorId="0">
      <text>
        <r>
          <rPr>
            <b/>
            <sz val="9"/>
            <color indexed="81"/>
            <rFont val="Tahoma"/>
            <family val="2"/>
          </rPr>
          <t>Bonus points can be spent on anything you want at any point of character creation. You do NOT have to wait until the end.</t>
        </r>
      </text>
    </comment>
  </commentList>
</comments>
</file>

<file path=xl/comments2.xml><?xml version="1.0" encoding="utf-8"?>
<comments xmlns="http://schemas.openxmlformats.org/spreadsheetml/2006/main">
  <authors>
    <author>John Abbott</author>
  </authors>
  <commentList>
    <comment ref="S31" authorId="0">
      <text>
        <r>
          <rPr>
            <b/>
            <sz val="9"/>
            <color indexed="81"/>
            <rFont val="Tahoma"/>
            <family val="2"/>
          </rPr>
          <t>Your Willpower is the sum of your two highest Virtues. If you gain a dot to one of your two highest Virtues from any source, add the Willpower dot under the Freebies section of the dot tracking worksheet.</t>
        </r>
      </text>
    </comment>
  </commentList>
</comments>
</file>

<file path=xl/comments3.xml><?xml version="1.0" encoding="utf-8"?>
<comments xmlns="http://schemas.openxmlformats.org/spreadsheetml/2006/main">
  <authors>
    <author>John Abbott</author>
  </authors>
  <commentList>
    <comment ref="A3" authorId="0">
      <text>
        <r>
          <rPr>
            <b/>
            <sz val="9"/>
            <color indexed="81"/>
            <rFont val="Tahoma"/>
            <family val="2"/>
          </rPr>
          <t>To end a line and go to the next (like hitting enter in MSWord) while remaining in the same cell, press alt+enter.</t>
        </r>
        <r>
          <rPr>
            <sz val="9"/>
            <color indexed="81"/>
            <rFont val="Tahoma"/>
            <family val="2"/>
          </rPr>
          <t xml:space="preserve">
</t>
        </r>
      </text>
    </comment>
  </commentList>
</comments>
</file>

<file path=xl/comments4.xml><?xml version="1.0" encoding="utf-8"?>
<comments xmlns="http://schemas.openxmlformats.org/spreadsheetml/2006/main">
  <authors>
    <author>John Abbott</author>
  </authors>
  <commentList>
    <comment ref="C109" authorId="0">
      <text>
        <r>
          <rPr>
            <b/>
            <sz val="9"/>
            <color indexed="81"/>
            <rFont val="Tahoma"/>
            <family val="2"/>
          </rPr>
          <t>When you take Epic Appearance, you must select whether your scions is divinely gorgeous or divinely hideous. Some knacks are only available to the beautiful and some are only available to the hideous. Some knacks are available to both, but have different effects depending on which you choose.</t>
        </r>
      </text>
    </comment>
  </commentList>
</comments>
</file>

<file path=xl/comments5.xml><?xml version="1.0" encoding="utf-8"?>
<comments xmlns="http://schemas.openxmlformats.org/spreadsheetml/2006/main">
  <authors>
    <author>John Abbott</author>
  </authors>
  <commentList>
    <comment ref="U27" authorId="0">
      <text>
        <r>
          <rPr>
            <b/>
            <sz val="9"/>
            <color indexed="81"/>
            <rFont val="Tahoma"/>
            <family val="2"/>
          </rPr>
          <t>Your willpower is your two highest Virtues combined</t>
        </r>
      </text>
    </comment>
    <comment ref="BI29" authorId="0">
      <text>
        <r>
          <rPr>
            <b/>
            <sz val="9"/>
            <color indexed="81"/>
            <rFont val="Tahoma"/>
            <family val="2"/>
          </rPr>
          <t>In dot columns, only count NEW dots added to the birthrights on this list.</t>
        </r>
      </text>
    </comment>
    <comment ref="A36" authorId="0">
      <text>
        <r>
          <rPr>
            <b/>
            <sz val="9"/>
            <color indexed="81"/>
            <rFont val="Tahoma"/>
            <family val="2"/>
          </rPr>
          <t>Bonus points can be spent on anything you want at any point of character creation. You do NOT have to wait until the end.</t>
        </r>
      </text>
    </comment>
  </commentList>
</comments>
</file>

<file path=xl/comments6.xml><?xml version="1.0" encoding="utf-8"?>
<comments xmlns="http://schemas.openxmlformats.org/spreadsheetml/2006/main">
  <authors>
    <author>John Abbott</author>
  </authors>
  <commentList>
    <comment ref="U27" authorId="0">
      <text>
        <r>
          <rPr>
            <b/>
            <sz val="9"/>
            <color indexed="81"/>
            <rFont val="Tahoma"/>
            <family val="2"/>
          </rPr>
          <t>Your willpower is your two highest Virtues combined</t>
        </r>
      </text>
    </comment>
    <comment ref="BI29" authorId="0">
      <text>
        <r>
          <rPr>
            <b/>
            <sz val="9"/>
            <color indexed="81"/>
            <rFont val="Tahoma"/>
            <family val="2"/>
          </rPr>
          <t>In dot columns, only count NEW dots added to the birthrights on this list.</t>
        </r>
      </text>
    </comment>
    <comment ref="A36" authorId="0">
      <text>
        <r>
          <rPr>
            <b/>
            <sz val="9"/>
            <color indexed="81"/>
            <rFont val="Tahoma"/>
            <family val="2"/>
          </rPr>
          <t>Bonus points can be spent on anything you want at any point of character creation. You do NOT have to wait until the end.</t>
        </r>
      </text>
    </comment>
  </commentList>
</comments>
</file>

<file path=xl/comments7.xml><?xml version="1.0" encoding="utf-8"?>
<comments xmlns="http://schemas.openxmlformats.org/spreadsheetml/2006/main">
  <authors>
    <author>John Abbott</author>
  </authors>
  <commentList>
    <comment ref="A1" authorId="0">
      <text>
        <r>
          <rPr>
            <sz val="9"/>
            <color indexed="81"/>
            <rFont val="Tahoma"/>
            <family val="2"/>
          </rPr>
          <t>For Custom Weapons, enter the base weapon stats before the addition of attribute and abilities and it will be calculated on Page 3</t>
        </r>
      </text>
    </comment>
    <comment ref="BT4" authorId="0">
      <text>
        <r>
          <rPr>
            <b/>
            <sz val="9"/>
            <color indexed="81"/>
            <rFont val="Tahoma"/>
            <family val="2"/>
          </rPr>
          <t>Roll: Adds Legend to dice pool
Add: Adds Legend as automatic successes</t>
        </r>
      </text>
    </comment>
    <comment ref="BE6" authorId="0">
      <text>
        <r>
          <rPr>
            <b/>
            <sz val="9"/>
            <color indexed="81"/>
            <rFont val="Tahoma"/>
            <family val="2"/>
          </rPr>
          <t>Roll: Adds Legend to dice pool
Add: Adds Legend as automatic successes</t>
        </r>
      </text>
    </comment>
    <comment ref="BE31" authorId="0">
      <text>
        <r>
          <rPr>
            <b/>
            <sz val="9"/>
            <color indexed="81"/>
            <rFont val="Tahoma"/>
            <family val="2"/>
          </rPr>
          <t>Roll: Adds Legend to dice pool
Add: Adds Legend as automatic successes</t>
        </r>
      </text>
    </comment>
    <comment ref="BE56" authorId="0">
      <text>
        <r>
          <rPr>
            <b/>
            <sz val="9"/>
            <color indexed="81"/>
            <rFont val="Tahoma"/>
            <family val="2"/>
          </rPr>
          <t>Roll: Adds Legend to dice pool
Add: Adds Legend as automatic successes</t>
        </r>
      </text>
    </comment>
    <comment ref="BE81" authorId="0">
      <text>
        <r>
          <rPr>
            <b/>
            <sz val="9"/>
            <color indexed="81"/>
            <rFont val="Tahoma"/>
            <family val="2"/>
          </rPr>
          <t>Roll: Adds Legend to dice pool
Add: Adds Legend as automatic successes</t>
        </r>
      </text>
    </comment>
    <comment ref="BE106" authorId="0">
      <text>
        <r>
          <rPr>
            <b/>
            <sz val="9"/>
            <color indexed="81"/>
            <rFont val="Tahoma"/>
            <family val="2"/>
          </rPr>
          <t>Roll: Adds Legend to dice pool
Add: Adds Legend as automatic successes</t>
        </r>
      </text>
    </comment>
  </commentList>
</comments>
</file>

<file path=xl/comments8.xml><?xml version="1.0" encoding="utf-8"?>
<comments xmlns="http://schemas.openxmlformats.org/spreadsheetml/2006/main">
  <authors>
    <author>John Abbott</author>
  </authors>
  <commentList>
    <comment ref="A12" authorId="0">
      <text>
        <r>
          <rPr>
            <b/>
            <sz val="9"/>
            <color indexed="81"/>
            <rFont val="Tahoma"/>
            <family val="2"/>
          </rPr>
          <t xml:space="preserve">By the direct interpretation of the Arete description, bonus dice from Arete Marks, Brawl, Melee and Thrown add into both the Attack Roll and the Damage Roll, effectively doubling the bonus you get on every attack. This seems a bit too overpowered to me - especially when you get into Demigod and God level Arete - so I added this ruleset in. </t>
        </r>
      </text>
    </comment>
  </commentList>
</comments>
</file>

<file path=xl/comments9.xml><?xml version="1.0" encoding="utf-8"?>
<comments xmlns="http://schemas.openxmlformats.org/spreadsheetml/2006/main">
  <authors>
    <author>John Abbott</author>
  </authors>
  <commentList>
    <comment ref="O1" authorId="0">
      <text>
        <r>
          <rPr>
            <sz val="9"/>
            <color indexed="81"/>
            <rFont val="Tahoma"/>
            <family val="2"/>
          </rPr>
          <t>Dex + Athletics + Legend /2</t>
        </r>
      </text>
    </comment>
    <comment ref="Q1" authorId="0">
      <text>
        <r>
          <rPr>
            <b/>
            <sz val="9"/>
            <color indexed="81"/>
            <rFont val="Tahoma"/>
            <family val="2"/>
          </rPr>
          <t xml:space="preserve">Wits + Awareness
</t>
        </r>
      </text>
    </comment>
    <comment ref="R1" authorId="0">
      <text>
        <r>
          <rPr>
            <b/>
            <sz val="9"/>
            <color indexed="81"/>
            <rFont val="Tahoma"/>
            <family val="2"/>
          </rPr>
          <t>Stamina</t>
        </r>
      </text>
    </comment>
    <comment ref="S1" authorId="0">
      <text>
        <r>
          <rPr>
            <sz val="9"/>
            <color indexed="81"/>
            <rFont val="Tahoma"/>
            <family val="2"/>
          </rPr>
          <t xml:space="preserve">For supernaturals, 1/2 stamina rounded up
</t>
        </r>
      </text>
    </comment>
    <comment ref="AH1" authorId="0">
      <text>
        <r>
          <rPr>
            <sz val="9"/>
            <color indexed="81"/>
            <rFont val="Tahoma"/>
            <family val="2"/>
          </rPr>
          <t>Dex + Attack type</t>
        </r>
      </text>
    </comment>
    <comment ref="AI1" authorId="0">
      <text>
        <r>
          <rPr>
            <sz val="9"/>
            <color indexed="81"/>
            <rFont val="Tahoma"/>
            <family val="2"/>
          </rPr>
          <t>Weapon damage + Str + 1</t>
        </r>
      </text>
    </comment>
    <comment ref="AJ1" authorId="0">
      <text>
        <r>
          <rPr>
            <b/>
            <sz val="9"/>
            <color indexed="81"/>
            <rFont val="Tahoma"/>
            <family val="2"/>
          </rPr>
          <t>Dex + M/B + Weap Def / 2</t>
        </r>
      </text>
    </comment>
    <comment ref="AN1" authorId="0">
      <text>
        <r>
          <rPr>
            <sz val="9"/>
            <color indexed="81"/>
            <rFont val="Tahoma"/>
            <family val="2"/>
          </rPr>
          <t>Dex + Attack type</t>
        </r>
      </text>
    </comment>
    <comment ref="AO1" authorId="0">
      <text>
        <r>
          <rPr>
            <sz val="9"/>
            <color indexed="81"/>
            <rFont val="Tahoma"/>
            <family val="2"/>
          </rPr>
          <t>Weapon damage + Str + 1</t>
        </r>
      </text>
    </comment>
    <comment ref="AP1" authorId="0">
      <text>
        <r>
          <rPr>
            <b/>
            <sz val="9"/>
            <color indexed="81"/>
            <rFont val="Tahoma"/>
            <family val="2"/>
          </rPr>
          <t>Dex + M/B + Weap Def / 2</t>
        </r>
      </text>
    </comment>
    <comment ref="AT1" authorId="0">
      <text>
        <r>
          <rPr>
            <sz val="9"/>
            <color indexed="81"/>
            <rFont val="Tahoma"/>
            <family val="2"/>
          </rPr>
          <t>Dex + Attack type</t>
        </r>
      </text>
    </comment>
    <comment ref="AU1" authorId="0">
      <text>
        <r>
          <rPr>
            <sz val="9"/>
            <color indexed="81"/>
            <rFont val="Tahoma"/>
            <family val="2"/>
          </rPr>
          <t>Weapon damage + Str + 1</t>
        </r>
      </text>
    </comment>
    <comment ref="AV1" authorId="0">
      <text>
        <r>
          <rPr>
            <b/>
            <sz val="9"/>
            <color indexed="81"/>
            <rFont val="Tahoma"/>
            <family val="2"/>
          </rPr>
          <t>Dex + M/B + Weap Def / 2</t>
        </r>
      </text>
    </comment>
    <comment ref="AZ1" authorId="0">
      <text>
        <r>
          <rPr>
            <sz val="9"/>
            <color indexed="81"/>
            <rFont val="Tahoma"/>
            <family val="2"/>
          </rPr>
          <t>Dex + Attack type</t>
        </r>
      </text>
    </comment>
    <comment ref="BA1" authorId="0">
      <text>
        <r>
          <rPr>
            <sz val="9"/>
            <color indexed="81"/>
            <rFont val="Tahoma"/>
            <family val="2"/>
          </rPr>
          <t>Weapon damage + Str + 1</t>
        </r>
      </text>
    </comment>
    <comment ref="BB1" authorId="0">
      <text>
        <r>
          <rPr>
            <b/>
            <sz val="9"/>
            <color indexed="81"/>
            <rFont val="Tahoma"/>
            <family val="2"/>
          </rPr>
          <t>Dex + M/B + Weap Def / 2</t>
        </r>
      </text>
    </comment>
    <comment ref="BF1" authorId="0">
      <text>
        <r>
          <rPr>
            <sz val="9"/>
            <color indexed="81"/>
            <rFont val="Tahoma"/>
            <family val="2"/>
          </rPr>
          <t>Dex + Attack type</t>
        </r>
      </text>
    </comment>
    <comment ref="BG1" authorId="0">
      <text>
        <r>
          <rPr>
            <sz val="9"/>
            <color indexed="81"/>
            <rFont val="Tahoma"/>
            <family val="2"/>
          </rPr>
          <t>Weapon damage + Str + 1</t>
        </r>
      </text>
    </comment>
    <comment ref="BH1" authorId="0">
      <text>
        <r>
          <rPr>
            <b/>
            <sz val="9"/>
            <color indexed="81"/>
            <rFont val="Tahoma"/>
            <family val="2"/>
          </rPr>
          <t>Dex + M/B + Weap Def / 2</t>
        </r>
      </text>
    </comment>
    <comment ref="BL1" authorId="0">
      <text>
        <r>
          <rPr>
            <sz val="9"/>
            <color indexed="81"/>
            <rFont val="Tahoma"/>
            <family val="2"/>
          </rPr>
          <t>Dex + Attack type</t>
        </r>
      </text>
    </comment>
    <comment ref="BM1" authorId="0">
      <text>
        <r>
          <rPr>
            <sz val="9"/>
            <color indexed="81"/>
            <rFont val="Tahoma"/>
            <family val="2"/>
          </rPr>
          <t>Weapon damage + Str + 1</t>
        </r>
      </text>
    </comment>
    <comment ref="BN1" authorId="0">
      <text>
        <r>
          <rPr>
            <b/>
            <sz val="9"/>
            <color indexed="81"/>
            <rFont val="Tahoma"/>
            <family val="2"/>
          </rPr>
          <t>Dex + M/B + Weap Def / 2</t>
        </r>
      </text>
    </comment>
    <comment ref="BR1" authorId="0">
      <text>
        <r>
          <rPr>
            <sz val="9"/>
            <color indexed="81"/>
            <rFont val="Tahoma"/>
            <family val="2"/>
          </rPr>
          <t>Dex + Attack type</t>
        </r>
      </text>
    </comment>
    <comment ref="BS1" authorId="0">
      <text>
        <r>
          <rPr>
            <sz val="9"/>
            <color indexed="81"/>
            <rFont val="Tahoma"/>
            <family val="2"/>
          </rPr>
          <t>Weapon damage + Str + 1</t>
        </r>
      </text>
    </comment>
    <comment ref="BT1" authorId="0">
      <text>
        <r>
          <rPr>
            <b/>
            <sz val="9"/>
            <color indexed="81"/>
            <rFont val="Tahoma"/>
            <family val="2"/>
          </rPr>
          <t>Dex + M/B + Weap Def / 2</t>
        </r>
      </text>
    </comment>
  </commentList>
</comments>
</file>

<file path=xl/sharedStrings.xml><?xml version="1.0" encoding="utf-8"?>
<sst xmlns="http://schemas.openxmlformats.org/spreadsheetml/2006/main" count="40518" uniqueCount="3607">
  <si>
    <t>Name</t>
  </si>
  <si>
    <t>Calling</t>
  </si>
  <si>
    <t>Player</t>
  </si>
  <si>
    <t>Pantheon</t>
  </si>
  <si>
    <t>Nature</t>
  </si>
  <si>
    <t>God</t>
  </si>
  <si>
    <t>Book Level</t>
  </si>
  <si>
    <t>Current Step</t>
  </si>
  <si>
    <t>Attributes</t>
  </si>
  <si>
    <t>Associated Abilities</t>
  </si>
  <si>
    <t>Dots</t>
  </si>
  <si>
    <t>Bonus</t>
  </si>
  <si>
    <t>Ability</t>
  </si>
  <si>
    <t>Dexterity</t>
  </si>
  <si>
    <t>Stamina</t>
  </si>
  <si>
    <t>Priority</t>
  </si>
  <si>
    <t>Charisma</t>
  </si>
  <si>
    <t>Manipulation</t>
  </si>
  <si>
    <t>Appearance</t>
  </si>
  <si>
    <t>Perception</t>
  </si>
  <si>
    <t>Intelligence</t>
  </si>
  <si>
    <t>Wits</t>
  </si>
  <si>
    <t>First</t>
  </si>
  <si>
    <t>Second</t>
  </si>
  <si>
    <t>Third</t>
  </si>
  <si>
    <t>Fourth</t>
  </si>
  <si>
    <t>Fifth</t>
  </si>
  <si>
    <t>Sixth</t>
  </si>
  <si>
    <t>Total</t>
  </si>
  <si>
    <t>Rule Met</t>
  </si>
  <si>
    <t>Strength</t>
  </si>
  <si>
    <t>Virtues</t>
  </si>
  <si>
    <t>Remaining</t>
  </si>
  <si>
    <t>Cost</t>
  </si>
  <si>
    <t>Specialty</t>
  </si>
  <si>
    <t>Academics</t>
  </si>
  <si>
    <t>Animal Ken</t>
  </si>
  <si>
    <t>Athletics</t>
  </si>
  <si>
    <t>Awareness</t>
  </si>
  <si>
    <t>Brawl</t>
  </si>
  <si>
    <t>Command</t>
  </si>
  <si>
    <t>Empathy</t>
  </si>
  <si>
    <t>Fortitude</t>
  </si>
  <si>
    <t>Integrity</t>
  </si>
  <si>
    <t>Investigation</t>
  </si>
  <si>
    <t>Larceny</t>
  </si>
  <si>
    <t>Marksmanship</t>
  </si>
  <si>
    <t>Medicine</t>
  </si>
  <si>
    <t>Melee</t>
  </si>
  <si>
    <t>Occult</t>
  </si>
  <si>
    <t>Politics</t>
  </si>
  <si>
    <t>Presence</t>
  </si>
  <si>
    <t>Stealth</t>
  </si>
  <si>
    <t>Survival</t>
  </si>
  <si>
    <t>Thrown</t>
  </si>
  <si>
    <t>Art</t>
  </si>
  <si>
    <t>Control</t>
  </si>
  <si>
    <t>Craft</t>
  </si>
  <si>
    <t>Science</t>
  </si>
  <si>
    <t>Select</t>
  </si>
  <si>
    <t>Legend</t>
  </si>
  <si>
    <t>Starting Legend</t>
  </si>
  <si>
    <t>Knack</t>
  </si>
  <si>
    <t>Associated Purviews</t>
  </si>
  <si>
    <t>Associated Attributes</t>
  </si>
  <si>
    <t>Base</t>
  </si>
  <si>
    <t>Epic</t>
  </si>
  <si>
    <t>Epic Attributes</t>
  </si>
  <si>
    <t>Boons</t>
  </si>
  <si>
    <t>Abilities</t>
  </si>
  <si>
    <t>Purview</t>
  </si>
  <si>
    <t>Rank</t>
  </si>
  <si>
    <t>Favored</t>
  </si>
  <si>
    <t>Advantages Taken</t>
  </si>
  <si>
    <t>Birthrights</t>
  </si>
  <si>
    <t>Type</t>
  </si>
  <si>
    <t>Dot</t>
  </si>
  <si>
    <t>Subtype</t>
  </si>
  <si>
    <t>First Three Dots</t>
  </si>
  <si>
    <t>Fourth and Fifth Dots</t>
  </si>
  <si>
    <t>Bonus Points</t>
  </si>
  <si>
    <t>Quantity</t>
  </si>
  <si>
    <t>Points</t>
  </si>
  <si>
    <t>Willpower</t>
  </si>
  <si>
    <t>Legend Rating</t>
  </si>
  <si>
    <t>Birthright</t>
  </si>
  <si>
    <t>Total Spent</t>
  </si>
  <si>
    <t>Arete</t>
  </si>
  <si>
    <t>Bashing</t>
  </si>
  <si>
    <t>Lethal</t>
  </si>
  <si>
    <t>Aggravated</t>
  </si>
  <si>
    <t>Armor</t>
  </si>
  <si>
    <t>Mobility</t>
  </si>
  <si>
    <t>Dodge DV</t>
  </si>
  <si>
    <t>Dash</t>
  </si>
  <si>
    <t>Join Battle</t>
  </si>
  <si>
    <t>Rating</t>
  </si>
  <si>
    <t>VIRTUES</t>
  </si>
  <si>
    <t>Spent</t>
  </si>
  <si>
    <t>Exeperience</t>
  </si>
  <si>
    <t>Earned</t>
  </si>
  <si>
    <t>Monkey Climber</t>
  </si>
  <si>
    <t>Divine Wrath</t>
  </si>
  <si>
    <t>Holy Bound</t>
  </si>
  <si>
    <t>Uplifting Might</t>
  </si>
  <si>
    <t>Body Armor</t>
  </si>
  <si>
    <t>Lightning Sprinter</t>
  </si>
  <si>
    <t>Lift Capacity</t>
  </si>
  <si>
    <t>Health</t>
  </si>
  <si>
    <t>B</t>
  </si>
  <si>
    <t>L</t>
  </si>
  <si>
    <t>A</t>
  </si>
  <si>
    <t>Incap</t>
  </si>
  <si>
    <t>lvls</t>
  </si>
  <si>
    <t>Attacks</t>
  </si>
  <si>
    <t>Weapon</t>
  </si>
  <si>
    <t>Spd</t>
  </si>
  <si>
    <t>Accuracy</t>
  </si>
  <si>
    <t>Damage</t>
  </si>
  <si>
    <t>B/L</t>
  </si>
  <si>
    <t>Parry</t>
  </si>
  <si>
    <t>Range</t>
  </si>
  <si>
    <t>Relic Bonuses</t>
  </si>
  <si>
    <t>clip</t>
  </si>
  <si>
    <t>Speed</t>
  </si>
  <si>
    <t>Acc</t>
  </si>
  <si>
    <t>Other Equipment and Possessions</t>
  </si>
  <si>
    <t>Advantages</t>
  </si>
  <si>
    <t>Associated Epic Attributes</t>
  </si>
  <si>
    <t>Pantheon Purview</t>
  </si>
  <si>
    <t>Page</t>
  </si>
  <si>
    <t>Book</t>
  </si>
  <si>
    <t>Demigod</t>
  </si>
  <si>
    <t>Hero</t>
  </si>
  <si>
    <t>Relic</t>
  </si>
  <si>
    <t>Creature</t>
  </si>
  <si>
    <t>Guide</t>
  </si>
  <si>
    <t>Follower</t>
  </si>
  <si>
    <t>Benefits / Notes</t>
  </si>
  <si>
    <t>Physical</t>
  </si>
  <si>
    <t>Social</t>
  </si>
  <si>
    <t>Mental</t>
  </si>
  <si>
    <t>Penalty</t>
  </si>
  <si>
    <t>Old</t>
  </si>
  <si>
    <t>New</t>
  </si>
  <si>
    <t>Old Book</t>
  </si>
  <si>
    <t>New Book</t>
  </si>
  <si>
    <t>New Birthrights</t>
  </si>
  <si>
    <t>Improved Birthrights</t>
  </si>
  <si>
    <t>Favor</t>
  </si>
  <si>
    <t>Virtue 1</t>
  </si>
  <si>
    <t>Virtue 2</t>
  </si>
  <si>
    <t>Virtue 3</t>
  </si>
  <si>
    <t>Virtue 4</t>
  </si>
  <si>
    <t>Aesir</t>
  </si>
  <si>
    <t>Jotunblut</t>
  </si>
  <si>
    <t>Courage</t>
  </si>
  <si>
    <t>Endurance</t>
  </si>
  <si>
    <t>Expression</t>
  </si>
  <si>
    <t>Loyalty</t>
  </si>
  <si>
    <t>Amatsukami</t>
  </si>
  <si>
    <t>Tsukumo-Gami</t>
  </si>
  <si>
    <t>Duty</t>
  </si>
  <si>
    <t>Intellect</t>
  </si>
  <si>
    <t>Valor</t>
  </si>
  <si>
    <t>Atzlanti</t>
  </si>
  <si>
    <t>Itztli</t>
  </si>
  <si>
    <t>Conviction</t>
  </si>
  <si>
    <t>Taiyi</t>
  </si>
  <si>
    <t>Harmony</t>
  </si>
  <si>
    <t>Samsara</t>
  </si>
  <si>
    <t>Order</t>
  </si>
  <si>
    <t>Dodekatheon</t>
  </si>
  <si>
    <t>Vengeance</t>
  </si>
  <si>
    <t>Loa</t>
  </si>
  <si>
    <t>Cheval</t>
  </si>
  <si>
    <t>Piety</t>
  </si>
  <si>
    <t>Pesedjet</t>
  </si>
  <si>
    <t>Heku</t>
  </si>
  <si>
    <t>Enech</t>
  </si>
  <si>
    <t>Asha</t>
  </si>
  <si>
    <t>Industry</t>
  </si>
  <si>
    <t>Civitas</t>
  </si>
  <si>
    <t>Skill 1</t>
  </si>
  <si>
    <t>Skill 2</t>
  </si>
  <si>
    <t>Skill 3</t>
  </si>
  <si>
    <t>Skill 4</t>
  </si>
  <si>
    <t>Skill 5</t>
  </si>
  <si>
    <t>Skill 6</t>
  </si>
  <si>
    <t xml:space="preserve"> -- Aesir</t>
  </si>
  <si>
    <t>Baldur</t>
  </si>
  <si>
    <t>Freya</t>
  </si>
  <si>
    <t>Freyr</t>
  </si>
  <si>
    <t>Frjgg</t>
  </si>
  <si>
    <t>Heimdall</t>
  </si>
  <si>
    <t>melee</t>
  </si>
  <si>
    <t>Hel</t>
  </si>
  <si>
    <t>Loki</t>
  </si>
  <si>
    <t>Njord</t>
  </si>
  <si>
    <t>Odin</t>
  </si>
  <si>
    <t>Sif</t>
  </si>
  <si>
    <t>Thor</t>
  </si>
  <si>
    <t>Tyr</t>
  </si>
  <si>
    <t>Vidar</t>
  </si>
  <si>
    <t xml:space="preserve"> -- Amatsukami</t>
  </si>
  <si>
    <t>Amaterasu</t>
  </si>
  <si>
    <t>Hachiman</t>
  </si>
  <si>
    <t>Izanagi</t>
  </si>
  <si>
    <t>Izanami</t>
  </si>
  <si>
    <t>Marishiten</t>
  </si>
  <si>
    <t>Raiden</t>
  </si>
  <si>
    <t>Susano-o</t>
  </si>
  <si>
    <t>Tsuki-yomi</t>
  </si>
  <si>
    <t xml:space="preserve"> -- Atzlanti</t>
  </si>
  <si>
    <t>Huitzilopochtli</t>
  </si>
  <si>
    <t>Miclantecuhtli</t>
  </si>
  <si>
    <t>Quetzacoatl</t>
  </si>
  <si>
    <t>Tezcatlipoca</t>
  </si>
  <si>
    <t>Tlaloc</t>
  </si>
  <si>
    <t>Tlazolteotl</t>
  </si>
  <si>
    <t>Xipe Totec</t>
  </si>
  <si>
    <t xml:space="preserve"> -- Celestial Bureaucracy</t>
  </si>
  <si>
    <t>Chang'E</t>
  </si>
  <si>
    <t>Fuxi</t>
  </si>
  <si>
    <t>Guan Yu</t>
  </si>
  <si>
    <t>Guanyin</t>
  </si>
  <si>
    <t>Houyi</t>
  </si>
  <si>
    <t>Huang Di</t>
  </si>
  <si>
    <t>Nezha</t>
  </si>
  <si>
    <t>Nuwa</t>
  </si>
  <si>
    <t>Shennong</t>
  </si>
  <si>
    <t>Sun Wukong</t>
  </si>
  <si>
    <t>Xiwangmu</t>
  </si>
  <si>
    <t>Yanluo</t>
  </si>
  <si>
    <t xml:space="preserve"> -- Devas</t>
  </si>
  <si>
    <t>Agni</t>
  </si>
  <si>
    <t>Brahma</t>
  </si>
  <si>
    <t>Ganesha</t>
  </si>
  <si>
    <t>Indra</t>
  </si>
  <si>
    <t>Kali</t>
  </si>
  <si>
    <t>Lakshmi</t>
  </si>
  <si>
    <t>Parvati</t>
  </si>
  <si>
    <t>Sarasvati</t>
  </si>
  <si>
    <t>Shiva</t>
  </si>
  <si>
    <t>Vishnu</t>
  </si>
  <si>
    <t>Yama</t>
  </si>
  <si>
    <t xml:space="preserve"> -- Dodekatheon</t>
  </si>
  <si>
    <t>Aphrodite</t>
  </si>
  <si>
    <t>Apollo</t>
  </si>
  <si>
    <t>Ares</t>
  </si>
  <si>
    <t>Artemis</t>
  </si>
  <si>
    <t>Athena</t>
  </si>
  <si>
    <t>Caligula</t>
  </si>
  <si>
    <t>Dionysus</t>
  </si>
  <si>
    <t>Hades</t>
  </si>
  <si>
    <t>Hephaestus</t>
  </si>
  <si>
    <t>Hera</t>
  </si>
  <si>
    <t>Hermes</t>
  </si>
  <si>
    <t>Poseidon</t>
  </si>
  <si>
    <t>Quirinus</t>
  </si>
  <si>
    <t>Zues</t>
  </si>
  <si>
    <t xml:space="preserve"> -- Loa</t>
  </si>
  <si>
    <t>Baron Samedi</t>
  </si>
  <si>
    <t>Damballa</t>
  </si>
  <si>
    <t>Erzulie</t>
  </si>
  <si>
    <t>Kalfu</t>
  </si>
  <si>
    <t>Legba</t>
  </si>
  <si>
    <t>Ogoun</t>
  </si>
  <si>
    <t>Shango</t>
  </si>
  <si>
    <t xml:space="preserve"> -- Pesedjet</t>
  </si>
  <si>
    <t>Anubis</t>
  </si>
  <si>
    <t>Atum-Re</t>
  </si>
  <si>
    <t>Bastet</t>
  </si>
  <si>
    <t>Geb</t>
  </si>
  <si>
    <t>Horus</t>
  </si>
  <si>
    <t>Osiris</t>
  </si>
  <si>
    <t>Ptah</t>
  </si>
  <si>
    <t>Set</t>
  </si>
  <si>
    <t>Sobek</t>
  </si>
  <si>
    <t>Thoth</t>
  </si>
  <si>
    <t xml:space="preserve"> -- Tuatha</t>
  </si>
  <si>
    <t>Aengus</t>
  </si>
  <si>
    <t>Brigid</t>
  </si>
  <si>
    <t>Danu</t>
  </si>
  <si>
    <t>Dian Cecht</t>
  </si>
  <si>
    <t>Lugh</t>
  </si>
  <si>
    <t>Manannan Mac Lir</t>
  </si>
  <si>
    <t>Nuada</t>
  </si>
  <si>
    <t>Ogma</t>
  </si>
  <si>
    <t xml:space="preserve"> -- Yazata</t>
  </si>
  <si>
    <t>Anahita</t>
  </si>
  <si>
    <t>Ard</t>
  </si>
  <si>
    <t>Haoma</t>
  </si>
  <si>
    <t>Mah</t>
  </si>
  <si>
    <t>Mithra</t>
  </si>
  <si>
    <t>Sraosha</t>
  </si>
  <si>
    <t>Tishirna</t>
  </si>
  <si>
    <t>Vahram</t>
  </si>
  <si>
    <t>Vanu</t>
  </si>
  <si>
    <t>Zam</t>
  </si>
  <si>
    <t xml:space="preserve"> -- Yankee Pantheon</t>
  </si>
  <si>
    <t>Betsy Ross</t>
  </si>
  <si>
    <t>Br'er Rabbit</t>
  </si>
  <si>
    <t>Columbia</t>
  </si>
  <si>
    <t>John Henry</t>
  </si>
  <si>
    <t>Johnny Appleseed</t>
  </si>
  <si>
    <t>Paul Bunyan</t>
  </si>
  <si>
    <t>Pecos Bill</t>
  </si>
  <si>
    <t>Rosie the Riveter</t>
  </si>
  <si>
    <t>Uncle Sam</t>
  </si>
  <si>
    <t xml:space="preserve"> -- Allied Pantheon</t>
  </si>
  <si>
    <t>Lady Britiannia</t>
  </si>
  <si>
    <t>John Bull</t>
  </si>
  <si>
    <t>Robin Hood</t>
  </si>
  <si>
    <t>D'Artagnan</t>
  </si>
  <si>
    <t>Madame Guillotine</t>
  </si>
  <si>
    <t>Marianne</t>
  </si>
  <si>
    <t>Baba Yaga</t>
  </si>
  <si>
    <t>The Citizen</t>
  </si>
  <si>
    <t>Rodina Mat</t>
  </si>
  <si>
    <t>Natures</t>
  </si>
  <si>
    <t>Architect</t>
  </si>
  <si>
    <t>Autocrat</t>
  </si>
  <si>
    <t>Bravo</t>
  </si>
  <si>
    <t>Caregiver</t>
  </si>
  <si>
    <t>Competitor</t>
  </si>
  <si>
    <t>Cynic</t>
  </si>
  <si>
    <t>Fanatic</t>
  </si>
  <si>
    <t>Gallant</t>
  </si>
  <si>
    <t>Gambler</t>
  </si>
  <si>
    <t>Judge</t>
  </si>
  <si>
    <t>Libertine</t>
  </si>
  <si>
    <t>Loner</t>
  </si>
  <si>
    <t>Pacifist</t>
  </si>
  <si>
    <t>Pedagogue</t>
  </si>
  <si>
    <t>Penitent</t>
  </si>
  <si>
    <t>Perfectionist</t>
  </si>
  <si>
    <t>Rebel</t>
  </si>
  <si>
    <t>Rogue</t>
  </si>
  <si>
    <t>Survivor</t>
  </si>
  <si>
    <t>Traditionalist</t>
  </si>
  <si>
    <t>Trickster</t>
  </si>
  <si>
    <t>Visionary</t>
  </si>
  <si>
    <t>Specialized Abilities</t>
  </si>
  <si>
    <t>Epic Dots</t>
  </si>
  <si>
    <t>Test</t>
  </si>
  <si>
    <t>Yes</t>
  </si>
  <si>
    <t>No</t>
  </si>
  <si>
    <t>Select Book</t>
  </si>
  <si>
    <t>Companion</t>
  </si>
  <si>
    <t>Ragnarok</t>
  </si>
  <si>
    <t xml:space="preserve"> -- All Purpose</t>
  </si>
  <si>
    <t>Animal</t>
  </si>
  <si>
    <t>Chaos</t>
  </si>
  <si>
    <t>Darkness</t>
  </si>
  <si>
    <t>Death</t>
  </si>
  <si>
    <t>Earth</t>
  </si>
  <si>
    <t>Fertility</t>
  </si>
  <si>
    <t>Fire</t>
  </si>
  <si>
    <t>Guardian</t>
  </si>
  <si>
    <t>Justice</t>
  </si>
  <si>
    <t>Moon</t>
  </si>
  <si>
    <t>Psychopomp</t>
  </si>
  <si>
    <t>Sky</t>
  </si>
  <si>
    <t>Stars</t>
  </si>
  <si>
    <t>Sun</t>
  </si>
  <si>
    <t>War</t>
  </si>
  <si>
    <t>Water</t>
  </si>
  <si>
    <t xml:space="preserve"> -- Special</t>
  </si>
  <si>
    <t>Mystery</t>
  </si>
  <si>
    <t>Prophecy</t>
  </si>
  <si>
    <t>Magic</t>
  </si>
  <si>
    <t xml:space="preserve"> -- Pantheon</t>
  </si>
  <si>
    <t>Select Type</t>
  </si>
  <si>
    <t>Armor Crusher</t>
  </si>
  <si>
    <t>Crushing Grip</t>
  </si>
  <si>
    <t>Disfiguring Attack</t>
  </si>
  <si>
    <t>Divine Bound</t>
  </si>
  <si>
    <t>Divine Rampage</t>
  </si>
  <si>
    <t>Holy Rampage</t>
  </si>
  <si>
    <t>Hurl to the Moon</t>
  </si>
  <si>
    <t>Knockback Attack</t>
  </si>
  <si>
    <t>Knockback Wave</t>
  </si>
  <si>
    <t>Making It Look Easy</t>
  </si>
  <si>
    <t>Mighty Heave</t>
  </si>
  <si>
    <t>One Inch Punch</t>
  </si>
  <si>
    <t>Titanium Tools</t>
  </si>
  <si>
    <t>Anti-Gravity Climber</t>
  </si>
  <si>
    <t>Cat's Grace</t>
  </si>
  <si>
    <t>Divine Balance</t>
  </si>
  <si>
    <t>Escape Artist</t>
  </si>
  <si>
    <t>Microscopic Precision</t>
  </si>
  <si>
    <t>Omnidexterity</t>
  </si>
  <si>
    <t>Perfect Partner</t>
  </si>
  <si>
    <t>Photographic Penmanship</t>
  </si>
  <si>
    <t>Ricochet Symphony</t>
  </si>
  <si>
    <t>Roll With It</t>
  </si>
  <si>
    <t>Shot to the Heart</t>
  </si>
  <si>
    <t>Spider Climber</t>
  </si>
  <si>
    <t>Trick Shooter</t>
  </si>
  <si>
    <t>Untouchable Opponent</t>
  </si>
  <si>
    <t>Whirlwind Shield</t>
  </si>
  <si>
    <t>Damage Conversion</t>
  </si>
  <si>
    <t>Devourer</t>
  </si>
  <si>
    <t>Divine Damage Conversion</t>
  </si>
  <si>
    <t>Divine Fortitude</t>
  </si>
  <si>
    <t>Extended Youth</t>
  </si>
  <si>
    <t>Holy Fortitude</t>
  </si>
  <si>
    <t>Impenetrable</t>
  </si>
  <si>
    <t>Inner Furnace</t>
  </si>
  <si>
    <t>Internal Refinery</t>
  </si>
  <si>
    <t>Invulnerable Nail</t>
  </si>
  <si>
    <t>Raging Bull</t>
  </si>
  <si>
    <t>Regeneration</t>
  </si>
  <si>
    <t>Self-Healing</t>
  </si>
  <si>
    <t>Skin-Shedding</t>
  </si>
  <si>
    <t>Solipsistic Well-Being</t>
  </si>
  <si>
    <t>Tireless Worker</t>
  </si>
  <si>
    <t>Under Pressure</t>
  </si>
  <si>
    <t>Benefit of the Doubt</t>
  </si>
  <si>
    <t>BFF</t>
  </si>
  <si>
    <t>Blame James</t>
  </si>
  <si>
    <t>Blessing of Importance</t>
  </si>
  <si>
    <t>Borrowed Credibility</t>
  </si>
  <si>
    <t>Boys Will Be Boys</t>
  </si>
  <si>
    <t>Charmer</t>
  </si>
  <si>
    <t>Crowd Control</t>
  </si>
  <si>
    <t>Divine Figurehead</t>
  </si>
  <si>
    <t>Engender Love</t>
  </si>
  <si>
    <t>Hapless Cool</t>
  </si>
  <si>
    <t>Inspirational Figure</t>
  </si>
  <si>
    <t>Instant Seminar</t>
  </si>
  <si>
    <t>Never Say Die</t>
  </si>
  <si>
    <t>Paragon of Virtue</t>
  </si>
  <si>
    <t>Pied Piper</t>
  </si>
  <si>
    <t>Preach On</t>
  </si>
  <si>
    <t>Unimpeachable Reference</t>
  </si>
  <si>
    <t>Sources</t>
  </si>
  <si>
    <t xml:space="preserve"> -- Epic Attributes</t>
  </si>
  <si>
    <t>Knacks</t>
  </si>
  <si>
    <t>Creation</t>
  </si>
  <si>
    <t>XP</t>
  </si>
  <si>
    <t>Freebies</t>
  </si>
  <si>
    <t>Demigod Conversion</t>
  </si>
  <si>
    <t>God Conversion</t>
  </si>
  <si>
    <t>XP Spent</t>
  </si>
  <si>
    <t>Select Your God</t>
  </si>
  <si>
    <t>You're Done!</t>
  </si>
  <si>
    <t>Steps</t>
  </si>
  <si>
    <t>Choose your Pantheon and God carefully. Your pantheon dictates which virtues your character must live by and your parent god determines which abilities you learn more quickly and easily than others – both mundane and divine.</t>
  </si>
  <si>
    <t>Select Your Nature</t>
  </si>
  <si>
    <t>Select Your Calling</t>
  </si>
  <si>
    <t>Prioritize Your Attribute Groups</t>
  </si>
  <si>
    <t>Select Physical Attributes</t>
  </si>
  <si>
    <t>Select Social Attributes</t>
  </si>
  <si>
    <t>Select Mental Attributes</t>
  </si>
  <si>
    <t>Select Abilities</t>
  </si>
  <si>
    <t>Select Advantages</t>
  </si>
  <si>
    <t>Select Virtues</t>
  </si>
  <si>
    <t>Record Willpower</t>
  </si>
  <si>
    <t>Spend Bonus Points</t>
  </si>
  <si>
    <t>You are now legend 8, meaning you're a genuine, full-fledged god. There is no longer any part of you, physically, that is human. As such, you no longer rely upon your parent god for power and no longer list them on your character sheet. You also no longer need be bound to one of the traditional Pantheons. Should you and your group of comrades decide to start your own Pantheon, you may do so and it's name goes where your parent's pantheon once did on your sheet.</t>
  </si>
  <si>
    <t>A character’s nature, in terms of Scion, is a one-word description of their general outlook on life and/or means of traveling through it. In practical terms, it is a vague way of flavoring your character's personality. For a summary list of the standard natures, see Hero page 102. For a full description of each Nature, see Hero pages 112-117.</t>
  </si>
  <si>
    <t>Your character’s Calling is there to flesh out who you are a bit more. Rather than a simple personality archetype like Nature, you Calling is what your character does when he isn’t investigating supernatural activity, seducing an unwitting mortal or beating the snot out of some Titanspawn. It is their job. In the absence of a job, it is how they primarily spend their time.</t>
  </si>
  <si>
    <t>Attributes are broken down into three groups – physical, mental and social. What each group applies to is fairly straight-forward. At creation, all 9 attributes start at 1 dot and you get to add from there. You get 8 dots to spread across your Primary attribute group as you see fit, for a total of 11 dots. You get 6 dots to spread across your Secondary group for a total of 9 dots. You get 4 dots to spread across your Tertiary group for a total of 7 dots. While it is not mandatory to base your selections on the God or Calling you’ve chosen for your character, it is often wise to do so. 1 dot in an attribute represents a near insufficiency. 3 dots represents human average and 5 dots represents the pinnacle of human perfection in that attribute.</t>
  </si>
  <si>
    <t>No attribute can be above 5 until you have a Legend Rating of 6 or higher. Characters use Strength for physical activities such as lifting, jumping, climbing and throwing, as well as inflicting damage in hand-to-hand combat or breaking inanimate objects. Characters use Dexterity to determine how fast they run, how easily they hit their opponents in combat, and how well they operate tools, instruments and vehicles. Characters use Stamina to resist the effects of sickness, poisons or injury. It also governs tests of physical endurance, such as long-distance running, swimming underwater or mountain climbing.</t>
  </si>
  <si>
    <t>No attribute can be above 5 until you have a Legend Rating of 6 or higher. Characters use Charisma to charm their enemies, to win friends and allies and to inspire people when things look bleak. A character uses Manipulation to convince people to do what he wants, whether by trickery, deceit or force of will. Characters use Appearance when they want to intimidate, inspire or attract others using their physical looks alone</t>
  </si>
  <si>
    <t>No attribute can be above 5 until you have a Legend Rating of 6 or higher. Characters use Perception to gather and process information and to remain alert for signs of danger. Characters use Intelligence when they must draw upon their memory, creativity or powers of logic to find solutions to complex problems. Characters use Wits to talk their way out of tight spots, to reach the right decision in a moment of crisis or to react quickly in the face of danger. It is also used to determine how quickly a character acts in combat.</t>
  </si>
  <si>
    <t>Virtues are the philosophical and moral ideals by which your Pantheon judges your actions and, as such, by which you are naturally compelled to live your life. Each of your 4 virtues starts at 1 dot and you get 5 dots to spread among them as you please. At creation, you cannot raise a single virtue above 4 without spending Bonus Points to do so. For more information on how Virtues effect the game and descriptions of each one, see Hero pages 117-122 and, if you chose a Scion: Companion Pantheon, your pantheon's section in the book for details on any virtues that may be specific to them.</t>
  </si>
  <si>
    <t>Willpower represents your determination and resolve. It can be used to resist an instinctive urge from your Virtues, grant automatic successes to certain rolls, activate a knack or boon or resist mental attacks. Your starting Willpower is the sum of your two highest Virtues.</t>
  </si>
  <si>
    <t>You have 15 bonus points to spend as you please. On the Bonus Points section of this worksheet you can mouse over each trait to see how many bonus points each dot will cost you. There is also a table on Hero page 101.</t>
  </si>
  <si>
    <t>Congratulations! You're Done! Well, not completely. Now you just need to sort out your attacks and gear and whatnot on the main Character Sheet, but that's the easy part.</t>
  </si>
  <si>
    <t>Just like at creation, you have to prioritize your ability groups. You do not have to prioritize them the same way you did before. If you want to do them the same way, go for it. If not, that's swell too. This time around, your primary group gets 4 new dots, your secondary gets 3 new dots and your tertiary gets 2 new dots. Have at it!</t>
  </si>
  <si>
    <t>No attribute may be raised above 5 until you are Legend Rating 6 or higher, and after that an attribute cannot surpass your Legend Rating.</t>
  </si>
  <si>
    <t>No Attribute can be raised about your Legend Rating</t>
  </si>
  <si>
    <t>Again, you have 15 Bonus Points to spend. In case you forgot, the spending cost table is on Hero page 101</t>
  </si>
  <si>
    <t>Just like at creation, you have 10 dots to spend on boons and epic attributes and 5 dots to spend on Birthrights. This time your birthrights are not limited to 3 dots before Bonus Points. You can go all the way to 5 now. Don't forget to check out the nifty, new, way more powerful knacks and boons found on Demigod pages 53-99! Oh...and there's likely some Birthright stuff in there somewhere if ya look for it. *slap*</t>
  </si>
  <si>
    <t>You….you made it to God? Really? Ok, well…Go ahead and prioritize your attribute groups again. Just like before, you don't have to pick the same ones and you get 4/3/2 for primary/secondary/tertiary. On to the good stuff!</t>
  </si>
  <si>
    <t>Hey you! Yeah, you! You're a GOD! You've got GODLY POWAH! So here's the deal. First you add 1 dot to Epic Strength, Epic Dexterity, Epic Stamina and Epic Appearance. Why? Because you're a God now, suckah, and that's how we roll. THEN, you get 10 more dots to spend on Epic Attributes and boons. Again, your Epic Attributes and Boons always gotta be at least 1 dot below your Legend Rating. You also get another 5 dots to put towards Birthrights. Check out the super-powered knacks and boons in Scion:God pages 59-111. While you're at it, since you're a God now and all, go ahead and take a peek over at Scion:Companion page 151 - yeah, the section titled "Relic Design".</t>
  </si>
  <si>
    <t>and again, 15 more Bonus Points to spend. Back to page 101 of Hero.</t>
  </si>
  <si>
    <t>Select Your Pantheon</t>
  </si>
  <si>
    <t>You have 30 dots to spread among abilities. At least 6 dots must go to Favored Abilities, which are listed below. 1 dot represents basic ametuer skill. 3 dots represents a moderately high degree of proficiency. 5 dots represents and almost supernatural talent and understanding for the skill in question. At creation, no skill may be raised above 3 dots without using Bonus Points. Art, Control, Craft and Science are so broad in nature that they require specialization. You may take each Specialized ability as many times as you wish with different specializations, but dots from each specialization ONLY apply to that area of expertise.</t>
  </si>
  <si>
    <t>Now it's time for your supernatural power. You get 10 dots to divide up, as you wish, among Boons and Epic Attributes. You may never possess a Boon or Epic Attribute that is equal to or greater than your Legend Rating. Each dot of Epic Attribute does come with a free Knack. Once you have at least one dot in an Epic Attribute you may use bonus points or experience to purchase additional knacks for that attribute. For details on Epic Attributes and Knacks see Hero pages 126-136 and Companion pages 51-59. For details on Boons, see Hero pages 139-156 and Companion pages 71-82. If you chose a Pantheon from Scion: Companion, your pantheon-specific purview boons will be listed in the section for your pantheon.</t>
  </si>
  <si>
    <t>Select Your Birthrights</t>
  </si>
  <si>
    <t>Your get 5 dots to spread across up to 5 Birthrights. Birthrights come in 4 flavors: Relics, Followers,  Creatures, and Guides. Guides and Followers can be mortal or supernatural. At creation, no single birthright may be raised above 3 dots without spending Bonus Points. All Birthrights max out at 5 dots. For more information on birthrights, as well as ideas for what you might want, see Hero pages 156-169, 280-301, 324-328 and Companion pages 59-67. If you picked a pantheon from Companion, you will also find birthrights listed within your pantheon's section of the book. ALL BIRTHRIGHTS ARE PENDING STORYTELLER APPROVAL.</t>
  </si>
  <si>
    <t>Associated All-purpose Boons</t>
  </si>
  <si>
    <t>Spells</t>
  </si>
  <si>
    <t>Non-associated All-purpose Boons</t>
  </si>
  <si>
    <t>Associated Special Purviews</t>
  </si>
  <si>
    <t>Non-Associated Special Purviews</t>
  </si>
  <si>
    <t>Pantheon Purview Boons</t>
  </si>
  <si>
    <t>Total XP</t>
  </si>
  <si>
    <t>Attribute</t>
  </si>
  <si>
    <t>Prerequisite</t>
  </si>
  <si>
    <t>None</t>
  </si>
  <si>
    <t>Good work, chum! Now just add your boons, knacks, etc. to the your main page and you're good to go!</t>
  </si>
  <si>
    <t>There you go, my friend. Is it ok if I call you my friend? I hope so. Afterall, we made it all the way to Scion:God together. Then again, that might be all the more reason you don't want to be my friend anymore. Well, anyways, my friend, you're pretty much done with the conversion to godhood. Just gotta toss your new shineys onto the main page and then off to kick the smile off a Titan's face. Yeah, that's right. A Titan. No more spawnage business. What in Your name have you gotten yourself into now?</t>
  </si>
  <si>
    <t>For Birthrights being improved, only input the number of dots being increased, not the total dots.</t>
  </si>
  <si>
    <t>In all columns labeled "New" and "Bonus", input the number being added, not the new total.</t>
  </si>
  <si>
    <t>Secondary</t>
  </si>
  <si>
    <t>Primary</t>
  </si>
  <si>
    <t>Tertiary</t>
  </si>
  <si>
    <t>Epic Perception</t>
  </si>
  <si>
    <t>Animal (Jackal), Death, Guardian, Justice</t>
  </si>
  <si>
    <t>Epic Charisma, Epic Manipulation, Epic Perception</t>
  </si>
  <si>
    <t>Animal (Falcon), Sun</t>
  </si>
  <si>
    <t>Epic Charisma, Epic Dexterity, Epic Perception, Epic Wits</t>
  </si>
  <si>
    <t>Animal (Goose), Earth, Fertility, Justice</t>
  </si>
  <si>
    <t>Epic Strength</t>
  </si>
  <si>
    <t>Animal (Falcon), Justice, Moon, Sky, Sun</t>
  </si>
  <si>
    <t>Isis</t>
  </si>
  <si>
    <t>Epic Charisma, Epic Manipulation</t>
  </si>
  <si>
    <t>Fertility, Guardian, Health, Magic, Mystery</t>
  </si>
  <si>
    <t>Animal (Centipede, Ram), Death, Earth, Fertility, Justice</t>
  </si>
  <si>
    <t>Epic Intelligence</t>
  </si>
  <si>
    <t>Fire, Psychopomp</t>
  </si>
  <si>
    <t>Epic Manipulation, Epic Strength</t>
  </si>
  <si>
    <t>Animal (Salawa), Chaos, Guardian, Sky, War</t>
  </si>
  <si>
    <t>Epic Stamina, Epic Strength</t>
  </si>
  <si>
    <t>Animal (Crocodile), Fertility, War</t>
  </si>
  <si>
    <t>Animal (Baboon, Ibis), Justice, Magic, Moon</t>
  </si>
  <si>
    <t>Epic Appearance, Epic Charisma, Epic Manipulation</t>
  </si>
  <si>
    <t>Special</t>
  </si>
  <si>
    <t>Boon</t>
  </si>
  <si>
    <t>Attribute Dots</t>
  </si>
  <si>
    <t>Ability Dots</t>
  </si>
  <si>
    <t>Add Legend</t>
  </si>
  <si>
    <t>Epic Bonus</t>
  </si>
  <si>
    <t>Description</t>
  </si>
  <si>
    <t>Epic Appearance, Epic Charisma</t>
  </si>
  <si>
    <t>Health, Prophecy, Sun</t>
  </si>
  <si>
    <t>Epic Dexterity, Epic Perception</t>
  </si>
  <si>
    <t>Health, Moon</t>
  </si>
  <si>
    <t>Epic Intelligence, Epic Wits</t>
  </si>
  <si>
    <t>Animal (Owl), Health, Justice, War</t>
  </si>
  <si>
    <t>Epic Charisma, Epic Stamina</t>
  </si>
  <si>
    <t>Chaos, Fertility, Mystery</t>
  </si>
  <si>
    <t>Darkness, Death, Earth</t>
  </si>
  <si>
    <t>Epic Intelligence, Epic Stamina, Epic Strength</t>
  </si>
  <si>
    <t>Earth, Fire</t>
  </si>
  <si>
    <t>Animal (Peacock), Health, Magic</t>
  </si>
  <si>
    <t>Epic Dexterity, Epic Intelligence, Epic Wits</t>
  </si>
  <si>
    <t>Magic, Psychopomp</t>
  </si>
  <si>
    <t>Animal (horse), Earth, Water</t>
  </si>
  <si>
    <t>Epic Charisma, Epic Manipulation, Epic Strength</t>
  </si>
  <si>
    <t>Justice, Sky</t>
  </si>
  <si>
    <t>Guardian, Sun</t>
  </si>
  <si>
    <t>Fertility, Health, War</t>
  </si>
  <si>
    <t>Epic Charisma</t>
  </si>
  <si>
    <t>Fertility, Health, Sun, War</t>
  </si>
  <si>
    <t>Epic Charisma, Epic Intelligence</t>
  </si>
  <si>
    <t>Magic, Prophecy, Sky</t>
  </si>
  <si>
    <t>Epic Appearance, Epic Manipulation</t>
  </si>
  <si>
    <t>Epic Intelligence, Epic Manipulation, Epic Wits</t>
  </si>
  <si>
    <t>Chaos, Fire, Magic</t>
  </si>
  <si>
    <t>Epic Charisma, Epic Intelligence, Epic Manipulation, Epic Perception, Epic Stamina, Epic Wits</t>
  </si>
  <si>
    <t>Death, Magic, Mystery, Prophecy, Psychopomp, War</t>
  </si>
  <si>
    <t>Epic Charisma, Epic Stamina, Epic Strength</t>
  </si>
  <si>
    <t>Guardian, Sky</t>
  </si>
  <si>
    <t>Epic Charisma, Epic Stamina, Epic Strength, Epic Wits</t>
  </si>
  <si>
    <t>Justice, War</t>
  </si>
  <si>
    <t>Animal (Hummingbird, Eagle), Death, Guardian, Magic, Sun, War</t>
  </si>
  <si>
    <t>Animal (Dog), Death, Guardian</t>
  </si>
  <si>
    <t>Animal (Resplandent Quetzal), Fertility, Earth, Health, Justice, Psychopomp, Sky, Water</t>
  </si>
  <si>
    <t>Epic Appearance, Epic Charisma, Epic Dexterity, Epic Manipulation, Epic Wits</t>
  </si>
  <si>
    <t>Animal (Jaguar), Darkness, Magic, Moon, Mystery, Prophecy, Sun, War</t>
  </si>
  <si>
    <t>Epic Appearance</t>
  </si>
  <si>
    <t>Earth, Fertility, Health, Sky</t>
  </si>
  <si>
    <t>Epic Stamina</t>
  </si>
  <si>
    <t>Death, Fertility, Guardian, Health</t>
  </si>
  <si>
    <t>Epic Appearance, Epic Charisma, Epic Strength</t>
  </si>
  <si>
    <t>Fertility, Sun</t>
  </si>
  <si>
    <t>Epic Charisma, Epic Dexterity, Epic Wits</t>
  </si>
  <si>
    <t>Animal (Dove), Fertility, Guardian, War</t>
  </si>
  <si>
    <t>Epic Charisma, Epic Strength</t>
  </si>
  <si>
    <t>Psychopomp, Sky</t>
  </si>
  <si>
    <t>Epic Appearance, Epic Dexterity</t>
  </si>
  <si>
    <t>Epic Strength, Epic Wits</t>
  </si>
  <si>
    <t>Chaos, Psychopomp, Sky, Water</t>
  </si>
  <si>
    <t>Darkness, Moon, Psychopomp</t>
  </si>
  <si>
    <t>Darkness, Death, Earth, Health, Psychopomp</t>
  </si>
  <si>
    <t>Animal (Snake), Health, Mystery</t>
  </si>
  <si>
    <t>Guardian, War</t>
  </si>
  <si>
    <t>Chaos, Darkness, Magic, Moon</t>
  </si>
  <si>
    <t>Epic Charisma, Epic Wits</t>
  </si>
  <si>
    <t>Prophecy, Psychopomp, Sun</t>
  </si>
  <si>
    <t>Fire, Water</t>
  </si>
  <si>
    <t>Justice, Prophecy, Sky</t>
  </si>
  <si>
    <t>Animal (Birds), Health</t>
  </si>
  <si>
    <t>Animal (Swan), Fire, Health, Water</t>
  </si>
  <si>
    <t>Animal (Pigs), Guardian, War</t>
  </si>
  <si>
    <t>Epic Perception, Epic Stamina</t>
  </si>
  <si>
    <t>Earth, Fertility, Guardian, Water</t>
  </si>
  <si>
    <t>Epic Dexterity, Epic Intelligence, Epic Perception</t>
  </si>
  <si>
    <t>Health, Magic, Water</t>
  </si>
  <si>
    <t>Animal (Dog), Guardian, Health, Illusion, Magic, Sky, Water</t>
  </si>
  <si>
    <t>Epic Manipulation, Epic Wits</t>
  </si>
  <si>
    <t>Animal (Horses), Death, Illusion, Magic, Prophecy, Psychopomp, Water</t>
  </si>
  <si>
    <t>Epic Appearance, Epic Strength</t>
  </si>
  <si>
    <t>Animal (Corvids, Cattle), Chaos, Death, Fertility, Prophecy, War</t>
  </si>
  <si>
    <t>Epic Charisma, Epic Strength, Epic Perception</t>
  </si>
  <si>
    <t>Guardian, Justice, War</t>
  </si>
  <si>
    <t>Epic Dexterity, Epic Intelligence, Epic Strength</t>
  </si>
  <si>
    <t>Epic Dexterity, Epic Manipulation, Epic Wits</t>
  </si>
  <si>
    <t>Fire, Psychopomp, Sky</t>
  </si>
  <si>
    <t>Epic Perception, Epic Intelligence</t>
  </si>
  <si>
    <t>Earth, Fertility, Magic, Mystery, Psychopomp, Sun</t>
  </si>
  <si>
    <t>Epic Intelligence, Epic Perception</t>
  </si>
  <si>
    <t>Animal, Earth, Fire, Magic, Mystery, Prophecy, Psychopomp</t>
  </si>
  <si>
    <t>Fertility, Sky, War, Water</t>
  </si>
  <si>
    <t>Chaos, Darkness, Death, War</t>
  </si>
  <si>
    <t>Epic Appearance, Epic Perception</t>
  </si>
  <si>
    <t>Fertility, Guardian, Health, Mystery, Moon, Psychopomp, Water</t>
  </si>
  <si>
    <t>Epic Charisma, Epic Manipulation, Epic Wits</t>
  </si>
  <si>
    <t>Guardian, Health, Magic</t>
  </si>
  <si>
    <t>Epic Appearance, Epic Intelligence</t>
  </si>
  <si>
    <t>Fertility, Health, Prophecy, Water</t>
  </si>
  <si>
    <t>Epic Stamina, Epic Dexterity, Epic Appearance</t>
  </si>
  <si>
    <t>Chaos, Fire, Darkness, Mystery, Magic, War</t>
  </si>
  <si>
    <t>Surya</t>
  </si>
  <si>
    <t>Epic Strength, Epic Manipulation</t>
  </si>
  <si>
    <t>Animal, Chaos, Fire, Health, Sun, Prophecy, Mystery</t>
  </si>
  <si>
    <t>Epic Perception, Epic Strength, Epic Charisma, Epic Intelligence</t>
  </si>
  <si>
    <t>Animal, Fertility, Guardian, Health, Magic, Psychopomp, Water</t>
  </si>
  <si>
    <t>Epic Stamina, Epic Intelligence</t>
  </si>
  <si>
    <t>Death, Earth, Justice, Psychopomp</t>
  </si>
  <si>
    <t>Epic Appearance, Epic Wits</t>
  </si>
  <si>
    <t>Frost, Moon</t>
  </si>
  <si>
    <t>Epic Intelligence, Epic Perception, Epic Stamina</t>
  </si>
  <si>
    <t>Fertility, Prophecy, Sky, Sun</t>
  </si>
  <si>
    <t>Epic Charisma, Epic Manipulation, Epic Stamina</t>
  </si>
  <si>
    <t>Epic Appearance, Epic Charisma, Epic Perception</t>
  </si>
  <si>
    <t>Health, Mystery</t>
  </si>
  <si>
    <t>Epic Dexterity, Epic Stamina, Epic Strength</t>
  </si>
  <si>
    <t>Epic Intelligence, Epic Manipulation, Epic Stamina</t>
  </si>
  <si>
    <t>Earth, Guardian, Mystery, War</t>
  </si>
  <si>
    <t>Epic Dexterity, Epic Strength, Epic Wits</t>
  </si>
  <si>
    <t>Fire, Sky, War</t>
  </si>
  <si>
    <t>Epic Intelligence, Epic Stamina, Epic Wits</t>
  </si>
  <si>
    <t>Fertility, Magic, Moon, Psychopomp, Water</t>
  </si>
  <si>
    <t>Fertility, Fire, Health, Prophecy</t>
  </si>
  <si>
    <t>Animal (Monkeys), Chaos, War</t>
  </si>
  <si>
    <t>Epic Dexterity, Epic Stamina, Epic Wits</t>
  </si>
  <si>
    <t>Animal (Panther, Tiger), Health, Justice, Magic</t>
  </si>
  <si>
    <t>Epic Manipulation, Epic Perception</t>
  </si>
  <si>
    <t>Darkness, Death, Justice</t>
  </si>
  <si>
    <t>Epic Appearance, Epic Charisma, Epic Intelligence</t>
  </si>
  <si>
    <t>Health, War, Water</t>
  </si>
  <si>
    <t>Epic Dexterity, Epic Wits</t>
  </si>
  <si>
    <t>Fertility, Magic</t>
  </si>
  <si>
    <t>Earth, Fertility, Health, Magic</t>
  </si>
  <si>
    <t>Animal (Cattle), Moon</t>
  </si>
  <si>
    <t>Epic Strength, Epic Charisma</t>
  </si>
  <si>
    <t>Fire, Justice, Psychopomp, Sun, War</t>
  </si>
  <si>
    <t>Guardian, Justice, Prophecy</t>
  </si>
  <si>
    <t>Animal (horse), Guardian, Fertility, Stars, Water</t>
  </si>
  <si>
    <t>Epic Strength, Epic Stamina</t>
  </si>
  <si>
    <t>Animal (Boar), Fire, War</t>
  </si>
  <si>
    <t>Epic Dexterity, Epic Manipulation</t>
  </si>
  <si>
    <t>Chaos, Death, Psychopomp, Sky</t>
  </si>
  <si>
    <t>Earth, Mystery</t>
  </si>
  <si>
    <t>Fire, Sky, Water</t>
  </si>
  <si>
    <t>Animal (Boar), Darkness, Sun</t>
  </si>
  <si>
    <t>Chaos, Magic</t>
  </si>
  <si>
    <t>Animal (Wolf), War</t>
  </si>
  <si>
    <t>Epic Dexterity, Epix Intelligence</t>
  </si>
  <si>
    <t>Animal (Rabbit), Chaos</t>
  </si>
  <si>
    <t>Epic Charisma, Epic Perception</t>
  </si>
  <si>
    <t>Guardian, Psychopomp</t>
  </si>
  <si>
    <t>Fertility, Health</t>
  </si>
  <si>
    <t>Epic Strength, Epic Stamina, Epic Intelligence</t>
  </si>
  <si>
    <t>Animal (Ox), Earth</t>
  </si>
  <si>
    <t>Epic Dexterity, Epix Staminas, Epic Charisma</t>
  </si>
  <si>
    <t>Animal (Coyote, Horse), Psychopomp</t>
  </si>
  <si>
    <t>none</t>
  </si>
  <si>
    <t>Epic Intelligence, Epic Manipulation</t>
  </si>
  <si>
    <t>Animal (Eagle), Guardian, Justice, War</t>
  </si>
  <si>
    <t>Animal (Lion), Guardian, Justice, Water</t>
  </si>
  <si>
    <t>Animal (Bulldog), Psychopomp, War</t>
  </si>
  <si>
    <t>Epic Dexterity, Epic Appearance, Epic Charisma, Epic Wits</t>
  </si>
  <si>
    <t>Chaos, Darkness</t>
  </si>
  <si>
    <t>Death, Justice, Mystery</t>
  </si>
  <si>
    <t>Epic Perception, Epic Charisma</t>
  </si>
  <si>
    <t>Animal (Rooster), Guardian, Justice</t>
  </si>
  <si>
    <t>Animal (chicken), Chaos, Health, Magic, Sky</t>
  </si>
  <si>
    <t>Darkness, Guardian, Psychopomp</t>
  </si>
  <si>
    <t>Animal (Bear), Fertility, Justice, War</t>
  </si>
  <si>
    <t>Morrigan</t>
  </si>
  <si>
    <t>Dagda</t>
  </si>
  <si>
    <t>Illusion</t>
  </si>
  <si>
    <t>Frost</t>
  </si>
  <si>
    <t>TsukumoGami</t>
  </si>
  <si>
    <t>Dice Rolled</t>
  </si>
  <si>
    <t>Title</t>
  </si>
  <si>
    <t>Your Custom Equipment</t>
  </si>
  <si>
    <t>Clip</t>
  </si>
  <si>
    <t>Base Acc</t>
  </si>
  <si>
    <t>base DMG</t>
  </si>
  <si>
    <t>Base Def</t>
  </si>
  <si>
    <t>B/L/A</t>
  </si>
  <si>
    <t>Vehicle</t>
  </si>
  <si>
    <t>Bo</t>
  </si>
  <si>
    <t>Clinch</t>
  </si>
  <si>
    <t>Hadseax</t>
  </si>
  <si>
    <t>Hasta</t>
  </si>
  <si>
    <t>Kama</t>
  </si>
  <si>
    <t>Katana</t>
  </si>
  <si>
    <t>Khopesh</t>
  </si>
  <si>
    <t>Kontos</t>
  </si>
  <si>
    <t>Labrys</t>
  </si>
  <si>
    <t>Macana</t>
  </si>
  <si>
    <t>Machete</t>
  </si>
  <si>
    <t>Maquahuitl</t>
  </si>
  <si>
    <t>Naginata</t>
  </si>
  <si>
    <t>Scutum</t>
  </si>
  <si>
    <t>Skeggox</t>
  </si>
  <si>
    <t>Spatha</t>
  </si>
  <si>
    <t>Tepoztopilli</t>
  </si>
  <si>
    <t>Tonfa</t>
  </si>
  <si>
    <t>Trident</t>
  </si>
  <si>
    <t>Unarmed, Heavy</t>
  </si>
  <si>
    <t>Unarmed, Light</t>
  </si>
  <si>
    <t>Quauhololli</t>
  </si>
  <si>
    <t>Wakizashi</t>
  </si>
  <si>
    <t>Xiphos</t>
  </si>
  <si>
    <t>Crossbow</t>
  </si>
  <si>
    <t>Daikyu</t>
  </si>
  <si>
    <t>Dart</t>
  </si>
  <si>
    <t>Hankyu</t>
  </si>
  <si>
    <t>Pilum</t>
  </si>
  <si>
    <t>Yaomitl</t>
  </si>
  <si>
    <t>Beretta</t>
  </si>
  <si>
    <t>Glock</t>
  </si>
  <si>
    <t>Desert Eagle</t>
  </si>
  <si>
    <t>Peacemaker</t>
  </si>
  <si>
    <t>FN P90</t>
  </si>
  <si>
    <t>H&amp;K MP5</t>
  </si>
  <si>
    <t>Remington</t>
  </si>
  <si>
    <t>M16</t>
  </si>
  <si>
    <t>AK-47</t>
  </si>
  <si>
    <t>Mossberg</t>
  </si>
  <si>
    <t>Fatigue</t>
  </si>
  <si>
    <t>Biker Gear</t>
  </si>
  <si>
    <t>Bulletproof Vest</t>
  </si>
  <si>
    <t>Heavy Clothing</t>
  </si>
  <si>
    <t>Hide</t>
  </si>
  <si>
    <t>Leather</t>
  </si>
  <si>
    <t>Lamellar</t>
  </si>
  <si>
    <t>Riot Gear</t>
  </si>
  <si>
    <t>Mass</t>
  </si>
  <si>
    <t>Maneuverability</t>
  </si>
  <si>
    <t>Health Levels</t>
  </si>
  <si>
    <t>Armored Truck</t>
  </si>
  <si>
    <t>Car</t>
  </si>
  <si>
    <t>Motorcycle</t>
  </si>
  <si>
    <t>Pickup Truck</t>
  </si>
  <si>
    <t>Van</t>
  </si>
  <si>
    <t>Police Car</t>
  </si>
  <si>
    <t>Rickshaw</t>
  </si>
  <si>
    <t>Semi</t>
  </si>
  <si>
    <t>Brass Knuckles</t>
  </si>
  <si>
    <t>Garrote Wire</t>
  </si>
  <si>
    <t>Flexibile Weapons</t>
  </si>
  <si>
    <t>Iklwa</t>
  </si>
  <si>
    <t>Weighted-end Weapons</t>
  </si>
  <si>
    <t>Boomerang</t>
  </si>
  <si>
    <t>Discus (Razor)</t>
  </si>
  <si>
    <t>Pepper-Spray</t>
  </si>
  <si>
    <t>Shuriken</t>
  </si>
  <si>
    <t>Taser</t>
  </si>
  <si>
    <t>Hazmat Suit</t>
  </si>
  <si>
    <t>NBC Suit</t>
  </si>
  <si>
    <t>UHMWPE Armor</t>
  </si>
  <si>
    <t>Yoroi</t>
  </si>
  <si>
    <t>ATV</t>
  </si>
  <si>
    <t>Bicycle</t>
  </si>
  <si>
    <t>Canoe</t>
  </si>
  <si>
    <t>Hang-glider</t>
  </si>
  <si>
    <t>Helicopter</t>
  </si>
  <si>
    <t>Jet (Commercial)</t>
  </si>
  <si>
    <t>Jet (Private)</t>
  </si>
  <si>
    <t>Plane (Single-engine)</t>
  </si>
  <si>
    <t>Racing car</t>
  </si>
  <si>
    <t>Segway PT</t>
  </si>
  <si>
    <t>Sloop</t>
  </si>
  <si>
    <t>Speedboat</t>
  </si>
  <si>
    <t>Colt .45</t>
  </si>
  <si>
    <t>Luger</t>
  </si>
  <si>
    <t>Lee-Einfield No. 4</t>
  </si>
  <si>
    <t>M1 Garand</t>
  </si>
  <si>
    <t>MP40</t>
  </si>
  <si>
    <t>Meiji 38</t>
  </si>
  <si>
    <t>PPSh</t>
  </si>
  <si>
    <t>Sturmgewehr Stu .44</t>
  </si>
  <si>
    <t>Thompson M1</t>
  </si>
  <si>
    <t>Artillery, Small</t>
  </si>
  <si>
    <t>Artillery, Large</t>
  </si>
  <si>
    <t>Bazooka</t>
  </si>
  <si>
    <t>Bomb, 125lb</t>
  </si>
  <si>
    <t>Bomb, 250lb</t>
  </si>
  <si>
    <t>Bomb, 50lb</t>
  </si>
  <si>
    <t>cannon, light</t>
  </si>
  <si>
    <t>cannon, generic</t>
  </si>
  <si>
    <t>cannon, 88mm</t>
  </si>
  <si>
    <t>Hand Grenade</t>
  </si>
  <si>
    <t>Machinegun, generic</t>
  </si>
  <si>
    <t>MG 42</t>
  </si>
  <si>
    <t>Mortar</t>
  </si>
  <si>
    <t>Nebelwerfer Rocket</t>
  </si>
  <si>
    <t>B-17</t>
  </si>
  <si>
    <t>Battleship</t>
  </si>
  <si>
    <t>Bomber, Generic</t>
  </si>
  <si>
    <t>P-51 Mustang</t>
  </si>
  <si>
    <t>Tank, Generic</t>
  </si>
  <si>
    <t>U-boat</t>
  </si>
  <si>
    <t>Marks</t>
  </si>
  <si>
    <t>--</t>
  </si>
  <si>
    <t>N/A</t>
  </si>
  <si>
    <t>L/B</t>
  </si>
  <si>
    <t>V</t>
  </si>
  <si>
    <t>belt</t>
  </si>
  <si>
    <t>ACC</t>
  </si>
  <si>
    <t>DMG</t>
  </si>
  <si>
    <t>Custom1</t>
  </si>
  <si>
    <t>Custom2</t>
  </si>
  <si>
    <t>Custom3</t>
  </si>
  <si>
    <t>Custom4</t>
  </si>
  <si>
    <t>Custom5</t>
  </si>
  <si>
    <t>Custom6</t>
  </si>
  <si>
    <t>Custom7</t>
  </si>
  <si>
    <t>Custom8</t>
  </si>
  <si>
    <t>Custom9</t>
  </si>
  <si>
    <t>Custom10</t>
  </si>
  <si>
    <t>Kono's Kitana</t>
  </si>
  <si>
    <t>Nemean Hide</t>
  </si>
  <si>
    <t>Harpy Dagger</t>
  </si>
  <si>
    <t>Harpy  Knife</t>
  </si>
  <si>
    <t>Black Shuriken</t>
  </si>
  <si>
    <t>Tengu Katana</t>
  </si>
  <si>
    <t>Sojobo's Daikyu</t>
  </si>
  <si>
    <t>Sojobo's Katana</t>
  </si>
  <si>
    <t>Sojobo's Wakizashi</t>
  </si>
  <si>
    <t>Taimatsu-Maru's Daikyu</t>
  </si>
  <si>
    <t>Taimatsu-Maru's Katana</t>
  </si>
  <si>
    <t>Taimatsu-Maru's Wakizasha</t>
  </si>
  <si>
    <t>Brok's Foe-Cutter</t>
  </si>
  <si>
    <t>Fafnir's Foe-Cutter</t>
  </si>
  <si>
    <t>Fafnir's Warmaker</t>
  </si>
  <si>
    <t>Werner's Colt .45</t>
  </si>
  <si>
    <t>Werner's Rapier</t>
  </si>
  <si>
    <t>Set’s Was</t>
  </si>
  <si>
    <t>Hera's Spear</t>
  </si>
  <si>
    <t>Hera's Peacock Cloak</t>
  </si>
  <si>
    <t>Loki's Spatha</t>
  </si>
  <si>
    <t>Set's Armor</t>
  </si>
  <si>
    <t>The Fenrir Cloak</t>
  </si>
  <si>
    <t>Tezatlipoca's Jaguar Armor</t>
  </si>
  <si>
    <t>Tezcatlipoca’s maquahuitl</t>
  </si>
  <si>
    <t>Amenonuhoko</t>
  </si>
  <si>
    <t>Susano-o's Leaf-Cutter</t>
  </si>
  <si>
    <t>Susano-o's Gusoku Armor</t>
  </si>
  <si>
    <t>Kalfu's Machete</t>
  </si>
  <si>
    <t>Kalfu's Black Suit</t>
  </si>
  <si>
    <t>Imhotep's Khopesh</t>
  </si>
  <si>
    <t>Heracles’ club</t>
  </si>
  <si>
    <t>Heracles' Bow</t>
  </si>
  <si>
    <t>Heracles' Nemean-Lion Skin</t>
  </si>
  <si>
    <t>Nidung’s Bane</t>
  </si>
  <si>
    <t>Waylan's Glock</t>
  </si>
  <si>
    <t>Cortés’ rapier</t>
  </si>
  <si>
    <t>The Royal Sword of Empress Jingu</t>
  </si>
  <si>
    <t>Himiko's Bow</t>
  </si>
  <si>
    <t>Marinette’s machete</t>
  </si>
  <si>
    <t>The Pharaoh’s khopesh</t>
  </si>
  <si>
    <t>Relic Leopard's Skin Armor</t>
  </si>
  <si>
    <t>Armor of Aten</t>
  </si>
  <si>
    <t>Rasap bow</t>
  </si>
  <si>
    <t>Rasap spear</t>
  </si>
  <si>
    <t>Simbi Makaya’s</t>
  </si>
  <si>
    <t>Camaxtli’s Maquahuitl</t>
  </si>
  <si>
    <t>The Black Blade</t>
  </si>
  <si>
    <t>Sagaris</t>
  </si>
  <si>
    <t>Benkei's Armor</t>
  </si>
  <si>
    <t>Bagh-nakh</t>
  </si>
  <si>
    <t>Gandiva</t>
  </si>
  <si>
    <t>Str+Ath</t>
  </si>
  <si>
    <t>Lift</t>
  </si>
  <si>
    <t>Lift Boost</t>
  </si>
  <si>
    <t>Throw distance</t>
  </si>
  <si>
    <t>Supernatural Bonuses</t>
  </si>
  <si>
    <t>ft</t>
  </si>
  <si>
    <t>FoS Throw</t>
  </si>
  <si>
    <t>STR</t>
  </si>
  <si>
    <t>DEX</t>
  </si>
  <si>
    <t>STA</t>
  </si>
  <si>
    <t>CHA</t>
  </si>
  <si>
    <t>MAN</t>
  </si>
  <si>
    <t>APP</t>
  </si>
  <si>
    <t>PERC</t>
  </si>
  <si>
    <t>INT</t>
  </si>
  <si>
    <t>WITS</t>
  </si>
  <si>
    <t>willpower</t>
  </si>
  <si>
    <t>Legend Points</t>
  </si>
  <si>
    <t>Soak</t>
  </si>
  <si>
    <t>Weapon/Attack</t>
  </si>
  <si>
    <t>Defense</t>
  </si>
  <si>
    <t>Supernatural Powers</t>
  </si>
  <si>
    <t>Other Notes</t>
  </si>
  <si>
    <t>Animal (Cat), Moon, Prophecy, Sun</t>
  </si>
  <si>
    <t>Normal Lift</t>
  </si>
  <si>
    <t>Epic Lift</t>
  </si>
  <si>
    <t>Ability 1</t>
  </si>
  <si>
    <t>Ability 2</t>
  </si>
  <si>
    <t>Ability 3</t>
  </si>
  <si>
    <t>Ability 4</t>
  </si>
  <si>
    <t>Ability 5</t>
  </si>
  <si>
    <t>Ability 6</t>
  </si>
  <si>
    <t>Bonus Boons</t>
  </si>
  <si>
    <t>Str</t>
  </si>
  <si>
    <t>Dex</t>
  </si>
  <si>
    <t>Stam</t>
  </si>
  <si>
    <t>Cha</t>
  </si>
  <si>
    <t>Mani</t>
  </si>
  <si>
    <t>App</t>
  </si>
  <si>
    <t>Perc</t>
  </si>
  <si>
    <t>Int</t>
  </si>
  <si>
    <t>Age</t>
  </si>
  <si>
    <t>Date of Birth</t>
  </si>
  <si>
    <t>Hair Color</t>
  </si>
  <si>
    <t>Eye Color</t>
  </si>
  <si>
    <t>Ethnicity</t>
  </si>
  <si>
    <t>Nationality</t>
  </si>
  <si>
    <t>Height</t>
  </si>
  <si>
    <t>Weight</t>
  </si>
  <si>
    <t>Gender</t>
  </si>
  <si>
    <t>History</t>
  </si>
  <si>
    <t>Other Noteworthy</t>
  </si>
  <si>
    <t>On the Boons table to the left, enter the amount of each rank of boon that you have bought with XP for it to calculate XP spent properly. The rest is a binary system. When you buy a new dot with XP or get one for free from the Storyteller, mark a 1 in the box for that rank. Remember that XP cost for new dots is based on the rank of the dot being purchased, so you need to mark the box for the new rank, not simply tally up how many you've purchased.</t>
  </si>
  <si>
    <t>Will</t>
  </si>
  <si>
    <t>Boon Name</t>
  </si>
  <si>
    <t>Page #</t>
  </si>
  <si>
    <t>Epic Attribute</t>
  </si>
  <si>
    <t>Knack Name</t>
  </si>
  <si>
    <t>Roll</t>
  </si>
  <si>
    <t>Roll Legend</t>
  </si>
  <si>
    <t>Shockwave</t>
  </si>
  <si>
    <t>And The Crowd Goes Wild</t>
  </si>
  <si>
    <t>Blurt It Out</t>
  </si>
  <si>
    <t>Gods' Honest</t>
  </si>
  <si>
    <t>Overt Order</t>
  </si>
  <si>
    <t>Stench of Guilt</t>
  </si>
  <si>
    <t>Takes One to Know One</t>
  </si>
  <si>
    <t>Advantageous Circumstances</t>
  </si>
  <si>
    <t>Hard Sell</t>
  </si>
  <si>
    <t>Instant Hypnosis</t>
  </si>
  <si>
    <t>Knowing Glance</t>
  </si>
  <si>
    <t>Rumor Mill</t>
  </si>
  <si>
    <t>Implant False Memory</t>
  </si>
  <si>
    <t>Kill the Messenger</t>
  </si>
  <si>
    <t>Mass Hypnosis</t>
  </si>
  <si>
    <t>Secondhand Persuasion</t>
  </si>
  <si>
    <t>Trendsetter</t>
  </si>
  <si>
    <t>Deprogramming</t>
  </si>
  <si>
    <t>Not the Face</t>
  </si>
  <si>
    <t>Return to Sender</t>
  </si>
  <si>
    <t>Center of Attention</t>
  </si>
  <si>
    <t>Come Hither</t>
  </si>
  <si>
    <t>Dreadful Mien</t>
  </si>
  <si>
    <t>Lasting Impression</t>
  </si>
  <si>
    <t>Serpent's Gaze</t>
  </si>
  <si>
    <t>Blinding Visage</t>
  </si>
  <si>
    <t>Compelling Presence</t>
  </si>
  <si>
    <t>Inescapable Vision</t>
  </si>
  <si>
    <t>My Eyes Are Up Here</t>
  </si>
  <si>
    <t>Perfect Actor</t>
  </si>
  <si>
    <t>Detail Variation</t>
  </si>
  <si>
    <t>Doin' Fine</t>
  </si>
  <si>
    <t>Tailor Made</t>
  </si>
  <si>
    <t>Undeniable Resemblance</t>
  </si>
  <si>
    <t>Unusual Alteration</t>
  </si>
  <si>
    <t>Do Not Want</t>
  </si>
  <si>
    <t>Meet Me Backstage</t>
  </si>
  <si>
    <t>Visage Great and Terrible</t>
  </si>
  <si>
    <t>Perfect Pitch</t>
  </si>
  <si>
    <t>Predatory Focus</t>
  </si>
  <si>
    <t>Refined Palate</t>
  </si>
  <si>
    <t>Subliminal Warning</t>
  </si>
  <si>
    <t>Unfailing Recognition</t>
  </si>
  <si>
    <t>Broad-Spectrum Reception</t>
  </si>
  <si>
    <t>Environmental Awareness</t>
  </si>
  <si>
    <t>Spatial Attunement</t>
  </si>
  <si>
    <t>Supernal Hunter</t>
  </si>
  <si>
    <t>Telescopic Senses</t>
  </si>
  <si>
    <t>Clairvoyance</t>
  </si>
  <si>
    <t>Hear Prayers</t>
  </si>
  <si>
    <t>Parallel Attention</t>
  </si>
  <si>
    <t>Rarefield Electromagnetic Perception</t>
  </si>
  <si>
    <t>Sense Fatebound</t>
  </si>
  <si>
    <t>In Your Dreams</t>
  </si>
  <si>
    <t>Real McCoy</t>
  </si>
  <si>
    <t>Scent The Divine</t>
  </si>
  <si>
    <t>Fast Learner</t>
  </si>
  <si>
    <t>Know-It-All</t>
  </si>
  <si>
    <t>Math Genius</t>
  </si>
  <si>
    <t>Perfect Memory</t>
  </si>
  <si>
    <t>Teaching Prodigy</t>
  </si>
  <si>
    <t>Cipher</t>
  </si>
  <si>
    <t>Language Mastery</t>
  </si>
  <si>
    <t>Multitasking</t>
  </si>
  <si>
    <t>Star Pupil</t>
  </si>
  <si>
    <t>Wireless Interface</t>
  </si>
  <si>
    <t>Blockade of Reason</t>
  </si>
  <si>
    <t>Instant Translation</t>
  </si>
  <si>
    <t>Speed Reader</t>
  </si>
  <si>
    <t>Telepathy</t>
  </si>
  <si>
    <t>Well-Read Virgin</t>
  </si>
  <si>
    <t>Axiom</t>
  </si>
  <si>
    <t>Concept to Execution</t>
  </si>
  <si>
    <t>Tactical Planning</t>
  </si>
  <si>
    <t>Instant Investigator</t>
  </si>
  <si>
    <t>Meditative Focus</t>
  </si>
  <si>
    <t>Opening Gambit</t>
  </si>
  <si>
    <t>Rabbit Reflexes</t>
  </si>
  <si>
    <t>Social Chameleon</t>
  </si>
  <si>
    <t>Cobra Reflexes</t>
  </si>
  <si>
    <t>Eternal Vigilance</t>
  </si>
  <si>
    <t>Instant Assessment</t>
  </si>
  <si>
    <t>Monkey in the Middle</t>
  </si>
  <si>
    <t>Perfect Imposter</t>
  </si>
  <si>
    <t>Jack of All Trades</t>
  </si>
  <si>
    <t>Opening Salvo</t>
  </si>
  <si>
    <t>Psychic Profiler</t>
  </si>
  <si>
    <t>Scathing Retort</t>
  </si>
  <si>
    <t>Talent Mirror</t>
  </si>
  <si>
    <t>Adaptive Fighting</t>
  </si>
  <si>
    <t>Between the Ticks</t>
  </si>
  <si>
    <t>Don't Read the Manual</t>
  </si>
  <si>
    <t>Hang On</t>
  </si>
  <si>
    <t>Fast as Thought</t>
  </si>
  <si>
    <t>Raise Your Glass</t>
  </si>
  <si>
    <t>Whale's Breath</t>
  </si>
  <si>
    <t>Game Face</t>
  </si>
  <si>
    <t>Fool Me Once…</t>
  </si>
  <si>
    <t>Fight With Your Head</t>
  </si>
  <si>
    <t>Hurl to the Horizon</t>
  </si>
  <si>
    <t>Demi</t>
  </si>
  <si>
    <t>Comp</t>
  </si>
  <si>
    <t>Knackback Attack</t>
  </si>
  <si>
    <t>My Eyes Are Up here</t>
  </si>
  <si>
    <t>Takes One To Know One</t>
  </si>
  <si>
    <t>1 Legend</t>
  </si>
  <si>
    <t>1 Willpower</t>
  </si>
  <si>
    <t>5 Legend</t>
  </si>
  <si>
    <t>10 Legend</t>
  </si>
  <si>
    <t>2 Legend</t>
  </si>
  <si>
    <t>3 Legend</t>
  </si>
  <si>
    <t>1 Legend per scene</t>
  </si>
  <si>
    <t>1 Willpower + (1 Legend per Sq Yd)</t>
  </si>
  <si>
    <t>3 Legend per scene</t>
  </si>
  <si>
    <t>1 Legend per health level</t>
  </si>
  <si>
    <t>1 Legend + 1 Willpower</t>
  </si>
  <si>
    <t>5 Legend per dose</t>
  </si>
  <si>
    <t>1 Willpower + 1 Legend</t>
  </si>
  <si>
    <t>Varies</t>
  </si>
  <si>
    <t>Animal Communication</t>
  </si>
  <si>
    <t>Animal Command</t>
  </si>
  <si>
    <t>Animal Aspect</t>
  </si>
  <si>
    <t>Eye of the Storm</t>
  </si>
  <si>
    <t>Hornet's Nest</t>
  </si>
  <si>
    <t>Paralyzing Confusion</t>
  </si>
  <si>
    <t>Night Eyes</t>
  </si>
  <si>
    <t>Shadow Mask</t>
  </si>
  <si>
    <t>Shadow Refuge</t>
  </si>
  <si>
    <t>Death Sense</t>
  </si>
  <si>
    <t>Euthanasia</t>
  </si>
  <si>
    <t>Unquiet Corpse</t>
  </si>
  <si>
    <t>Safely Interred</t>
  </si>
  <si>
    <t>Echo Sounding</t>
  </si>
  <si>
    <t>Shaping</t>
  </si>
  <si>
    <t>Green Thumb</t>
  </si>
  <si>
    <t>Cleanse</t>
  </si>
  <si>
    <t>Bless or Blight</t>
  </si>
  <si>
    <t>Fire Immunity</t>
  </si>
  <si>
    <t>Bolster Fire</t>
  </si>
  <si>
    <t>Fire's Eye</t>
  </si>
  <si>
    <t>Vigil Brand</t>
  </si>
  <si>
    <t>Aegis</t>
  </si>
  <si>
    <t>Ward</t>
  </si>
  <si>
    <t>Assess Health</t>
  </si>
  <si>
    <t>Blessing of Health/Curse of Frailty</t>
  </si>
  <si>
    <t>Heal/Infect</t>
  </si>
  <si>
    <t>Judgment</t>
  </si>
  <si>
    <t>Guilt Apparitions</t>
  </si>
  <si>
    <t>Shield of Righteousness</t>
  </si>
  <si>
    <t>Smoking Mirror</t>
  </si>
  <si>
    <t>Tidal Interference</t>
  </si>
  <si>
    <t>Phase Cloak</t>
  </si>
  <si>
    <t>Unerring Orientation</t>
  </si>
  <si>
    <t>Where Are You?</t>
  </si>
  <si>
    <t>Unbarred Entry</t>
  </si>
  <si>
    <t>Sky's Grace</t>
  </si>
  <si>
    <t>Wind's Freedom</t>
  </si>
  <si>
    <t>Storm Augmentation</t>
  </si>
  <si>
    <t>Penetrating Glare</t>
  </si>
  <si>
    <t>Divine Radiance</t>
  </si>
  <si>
    <t>Heavenly Flare</t>
  </si>
  <si>
    <t>Blessing of Bravery</t>
  </si>
  <si>
    <t>Battle Cry</t>
  </si>
  <si>
    <t>Warrior Ideal</t>
  </si>
  <si>
    <t>Water Breathing</t>
  </si>
  <si>
    <t>Water Control</t>
  </si>
  <si>
    <t>Changing States</t>
  </si>
  <si>
    <t>Arete 1</t>
  </si>
  <si>
    <t>Arete 2</t>
  </si>
  <si>
    <t>Arete 3</t>
  </si>
  <si>
    <t>Rada's Eyes</t>
  </si>
  <si>
    <t>Petro's Hand</t>
  </si>
  <si>
    <t>Horse</t>
  </si>
  <si>
    <t>Ren Harvest</t>
  </si>
  <si>
    <t>Sekem Blaze</t>
  </si>
  <si>
    <t>Sekem Barrier</t>
  </si>
  <si>
    <t>Maguey Sting</t>
  </si>
  <si>
    <t>Combat Sacrifice</t>
  </si>
  <si>
    <t>Obsidian Mutilation</t>
  </si>
  <si>
    <t>Bestial Endowment</t>
  </si>
  <si>
    <t>Human Endowment</t>
  </si>
  <si>
    <t>Heroic Endowment</t>
  </si>
  <si>
    <t>The Wakeful Spirit</t>
  </si>
  <si>
    <t>The Watchful Spirit</t>
  </si>
  <si>
    <t>The Helpful Spirit</t>
  </si>
  <si>
    <t>Ariadne's Thread</t>
  </si>
  <si>
    <t>The Unlidded Eye</t>
  </si>
  <si>
    <t>Bona Fortuna</t>
  </si>
  <si>
    <t>Evil Eye</t>
  </si>
  <si>
    <t>Trading Fates</t>
  </si>
  <si>
    <t>Deus Ex Machina</t>
  </si>
  <si>
    <t>Demand A Labor</t>
  </si>
  <si>
    <t>Mystery 1</t>
  </si>
  <si>
    <t>Mystery 2</t>
  </si>
  <si>
    <t>Mystery 3</t>
  </si>
  <si>
    <t>Prophecy 1</t>
  </si>
  <si>
    <t>Prophecy 2</t>
  </si>
  <si>
    <t>Prophecy 3</t>
  </si>
  <si>
    <t>Ride Animal</t>
  </si>
  <si>
    <t>Animal Feature</t>
  </si>
  <si>
    <t>Animal Form</t>
  </si>
  <si>
    <t>Create Animal</t>
  </si>
  <si>
    <t>Sabot</t>
  </si>
  <si>
    <t>Recurring Distraction</t>
  </si>
  <si>
    <t>Crawling Chaos</t>
  </si>
  <si>
    <t>Instant Riot</t>
  </si>
  <si>
    <t>Shadow Step</t>
  </si>
  <si>
    <t>Shadow Craft</t>
  </si>
  <si>
    <t>Shadow Shroud</t>
  </si>
  <si>
    <t>Shadow Bodies</t>
  </si>
  <si>
    <t>Summon Ghost</t>
  </si>
  <si>
    <t>Mother's Touch</t>
  </si>
  <si>
    <t>Exorcism</t>
  </si>
  <si>
    <t>Haunted Mists</t>
  </si>
  <si>
    <t>Earth Armor</t>
  </si>
  <si>
    <t>Earth Travel</t>
  </si>
  <si>
    <t>Earth Body</t>
  </si>
  <si>
    <t>Landslide</t>
  </si>
  <si>
    <t>Natural Comoflage</t>
  </si>
  <si>
    <t>Twist Plants</t>
  </si>
  <si>
    <t>Accelerate Growth</t>
  </si>
  <si>
    <t>Verdant Creation</t>
  </si>
  <si>
    <t>Blazing Weapon</t>
  </si>
  <si>
    <t>Flame Travel</t>
  </si>
  <si>
    <t>Inferno</t>
  </si>
  <si>
    <t>Devil Body</t>
  </si>
  <si>
    <t>Unseen Shield</t>
  </si>
  <si>
    <t>Come Running</t>
  </si>
  <si>
    <t>Confer Knack</t>
  </si>
  <si>
    <t>Confer Immunity</t>
  </si>
  <si>
    <t>Cradlesong</t>
  </si>
  <si>
    <t>Control Aging</t>
  </si>
  <si>
    <t>Restore/Wither</t>
  </si>
  <si>
    <t>Holy Font/Epidemic</t>
  </si>
  <si>
    <t>Dream Wrack</t>
  </si>
  <si>
    <t>Scarlet Letter</t>
  </si>
  <si>
    <t>Sympathy Pains</t>
  </si>
  <si>
    <t>Psychic Prison</t>
  </si>
  <si>
    <t>Lunacy</t>
  </si>
  <si>
    <t>Eclipse Halo</t>
  </si>
  <si>
    <t>Phase Body</t>
  </si>
  <si>
    <t>Moon Chariot</t>
  </si>
  <si>
    <t>Come Along</t>
  </si>
  <si>
    <t>Terra Incognita</t>
  </si>
  <si>
    <t>Marathon Sprinter</t>
  </si>
  <si>
    <t>Rainbow Bridge</t>
  </si>
  <si>
    <t>Wind Grapple</t>
  </si>
  <si>
    <t>Cloud Sculptor</t>
  </si>
  <si>
    <t>Levin Fury</t>
  </si>
  <si>
    <t>Tornado Tamer</t>
  </si>
  <si>
    <t>Flare Missile</t>
  </si>
  <si>
    <t>Burn</t>
  </si>
  <si>
    <t>Solar Prominence</t>
  </si>
  <si>
    <t>Sun Chariot</t>
  </si>
  <si>
    <t>Battle Map</t>
  </si>
  <si>
    <t>Morale Failure</t>
  </si>
  <si>
    <t>Army of One</t>
  </si>
  <si>
    <t>Colossus Armor</t>
  </si>
  <si>
    <t>Create Water</t>
  </si>
  <si>
    <t>Desiccate</t>
  </si>
  <si>
    <t>Water Mastery</t>
  </si>
  <si>
    <t>Water Vortex</t>
  </si>
  <si>
    <t>Arete 4</t>
  </si>
  <si>
    <t>Arete 5</t>
  </si>
  <si>
    <t>Arete 6</t>
  </si>
  <si>
    <t>Arete 7</t>
  </si>
  <si>
    <t>Mind-Riding</t>
  </si>
  <si>
    <t>Waking Zombie</t>
  </si>
  <si>
    <t>Met Tet</t>
  </si>
  <si>
    <t>Team</t>
  </si>
  <si>
    <t>Influence Ba</t>
  </si>
  <si>
    <t>Heart Scarab</t>
  </si>
  <si>
    <t>Khaibit Trap</t>
  </si>
  <si>
    <t>Awakening the Akh</t>
  </si>
  <si>
    <t>Obsidian Excruciation</t>
  </si>
  <si>
    <t>Sacrifice of Will</t>
  </si>
  <si>
    <t>Poco A Poco</t>
  </si>
  <si>
    <t>The Burning Heart</t>
  </si>
  <si>
    <t>Supernal Bestial Endowment</t>
  </si>
  <si>
    <t>Supernal Human Endowment</t>
  </si>
  <si>
    <t>Epic Endowment</t>
  </si>
  <si>
    <t>Divine Endowment</t>
  </si>
  <si>
    <t>The Summoned Spirit</t>
  </si>
  <si>
    <t>The Impressed Spirit</t>
  </si>
  <si>
    <t>The Blinded Spirit</t>
  </si>
  <si>
    <t>The Abducted Spirit</t>
  </si>
  <si>
    <t>Fateful Connection</t>
  </si>
  <si>
    <t>Fate Prison</t>
  </si>
  <si>
    <t>Fate and Switch</t>
  </si>
  <si>
    <t>Transform Person</t>
  </si>
  <si>
    <t>Mystery 4</t>
  </si>
  <si>
    <t>Mystery 5</t>
  </si>
  <si>
    <t>Mystery 6</t>
  </si>
  <si>
    <t>Mystery 7</t>
  </si>
  <si>
    <t>Prophecy 4</t>
  </si>
  <si>
    <t>Prophecy 5</t>
  </si>
  <si>
    <t>Prophecy 6</t>
  </si>
  <si>
    <t>Prophecy 7</t>
  </si>
  <si>
    <t>Epic Enhancement</t>
  </si>
  <si>
    <t>Hybrid Chimera</t>
  </si>
  <si>
    <t>Protean Understanding</t>
  </si>
  <si>
    <t>Avatar of Animal (The Beast)</t>
  </si>
  <si>
    <t>Insanity</t>
  </si>
  <si>
    <t>Shuck Fate</t>
  </si>
  <si>
    <t>Unintended Purpose</t>
  </si>
  <si>
    <t>Avatar of Chaos (The Void)</t>
  </si>
  <si>
    <t>Strike Blind</t>
  </si>
  <si>
    <t>Oubliette</t>
  </si>
  <si>
    <t>Eclipse</t>
  </si>
  <si>
    <t>Avatar of Darkness (The Abyss)</t>
  </si>
  <si>
    <t>Open Underworld Portal</t>
  </si>
  <si>
    <t>Ghost Control</t>
  </si>
  <si>
    <t>Strike Dead/Deny Death</t>
  </si>
  <si>
    <t>Avatar of Death (The Reaper)</t>
  </si>
  <si>
    <t>Earth Creation</t>
  </si>
  <si>
    <t>Property Infusion</t>
  </si>
  <si>
    <t>Magma Control</t>
  </si>
  <si>
    <t>Avatar of Earth (The Shaper)</t>
  </si>
  <si>
    <t>Eternal Bloom</t>
  </si>
  <si>
    <t>Impossible Hybrid</t>
  </si>
  <si>
    <t>Endless Season</t>
  </si>
  <si>
    <t>Avatar of Fertility (The Green)</t>
  </si>
  <si>
    <t>Control Fire</t>
  </si>
  <si>
    <t>Ifrit</t>
  </si>
  <si>
    <t>Rain of Fire</t>
  </si>
  <si>
    <t>Avatar of Fire (The Devourer)</t>
  </si>
  <si>
    <t>Appropriated Vigil</t>
  </si>
  <si>
    <t>Divine Resolve</t>
  </si>
  <si>
    <t>Salvation Sacrifice</t>
  </si>
  <si>
    <t>Avatar of Guardian (The Sentinel)</t>
  </si>
  <si>
    <t>Human Clay</t>
  </si>
  <si>
    <t>Human Hybrid</t>
  </si>
  <si>
    <t>Plague/Cure</t>
  </si>
  <si>
    <t>Avatar of Health (The Savior/The Scourge)</t>
  </si>
  <si>
    <t>Sanctify Oath</t>
  </si>
  <si>
    <t>Overworld Judgment</t>
  </si>
  <si>
    <t>Divine Enforcement</t>
  </si>
  <si>
    <t>Tranquility</t>
  </si>
  <si>
    <t>Lunar Estate</t>
  </si>
  <si>
    <t>Finger Moon</t>
  </si>
  <si>
    <t>Avatar of Moon (The Mirror)</t>
  </si>
  <si>
    <t>Ride Along</t>
  </si>
  <si>
    <t>Otherworldly Portal</t>
  </si>
  <si>
    <t>Co-Location</t>
  </si>
  <si>
    <t>Avatar of Psychopomp (The Way)</t>
  </si>
  <si>
    <t>Create Air</t>
  </si>
  <si>
    <t>Cloud Body</t>
  </si>
  <si>
    <t>Weather Husbandry</t>
  </si>
  <si>
    <t>Avatar of Sky (The Storm)</t>
  </si>
  <si>
    <t>Inexorable Gravity</t>
  </si>
  <si>
    <t>Bleach</t>
  </si>
  <si>
    <t>Solar Crown</t>
  </si>
  <si>
    <t>Avatar of Sun (The Glory)</t>
  </si>
  <si>
    <t>Blessing of Ammunition</t>
  </si>
  <si>
    <t>Follower Army</t>
  </si>
  <si>
    <t>Surreal Draft</t>
  </si>
  <si>
    <t>Avatar of War (The General)</t>
  </si>
  <si>
    <t>Purify Water</t>
  </si>
  <si>
    <t>Liquid Form</t>
  </si>
  <si>
    <t>Tsunami</t>
  </si>
  <si>
    <t>Avatar of Water (The Flood)</t>
  </si>
  <si>
    <t>Arete 8</t>
  </si>
  <si>
    <t>Arete 9</t>
  </si>
  <si>
    <t>Arete 10</t>
  </si>
  <si>
    <t>Met Tet's Claim</t>
  </si>
  <si>
    <t>Upside-Down Horse</t>
  </si>
  <si>
    <t>Ugly Mule</t>
  </si>
  <si>
    <t>Ka Repository</t>
  </si>
  <si>
    <t>Khaibit Guide</t>
  </si>
  <si>
    <t>Ren Theft</t>
  </si>
  <si>
    <t>Reception of Sacrifice</t>
  </si>
  <si>
    <t>Communal Divinity</t>
  </si>
  <si>
    <t>Familial Sacrifice</t>
  </si>
  <si>
    <t>Dire Endowment</t>
  </si>
  <si>
    <t>Giant</t>
  </si>
  <si>
    <t>Eitr Antivenin</t>
  </si>
  <si>
    <t>The Industrious Spirit</t>
  </si>
  <si>
    <t>The Dancing Spirit</t>
  </si>
  <si>
    <t>The Relocated Spirit</t>
  </si>
  <si>
    <t>Birthright Bond</t>
  </si>
  <si>
    <t>Scion Adoption Rite</t>
  </si>
  <si>
    <t>Divine Unweaving</t>
  </si>
  <si>
    <t>Avatar of Magic (The Wyrd)</t>
  </si>
  <si>
    <t>Mystery 8</t>
  </si>
  <si>
    <t>Mystery 9</t>
  </si>
  <si>
    <t>Mystery 10</t>
  </si>
  <si>
    <t>Avatar if Mystery (The Wyrd)</t>
  </si>
  <si>
    <t>Prophecy 8</t>
  </si>
  <si>
    <t>Prophecy 9</t>
  </si>
  <si>
    <t>Prophecy 10</t>
  </si>
  <si>
    <t>Avatar of Prophecy (The Wyrd)</t>
  </si>
  <si>
    <t>Amnis</t>
  </si>
  <si>
    <t>Badarus</t>
  </si>
  <si>
    <t>Demosia</t>
  </si>
  <si>
    <t>Heshon</t>
  </si>
  <si>
    <t>Kuros</t>
  </si>
  <si>
    <t>Skaft</t>
  </si>
  <si>
    <t>Versak</t>
  </si>
  <si>
    <t>Scire</t>
  </si>
  <si>
    <t>Epic Charisma, Epic Stamina, Epic Intelligence</t>
  </si>
  <si>
    <t>Earth, Guardian, Health, Water</t>
  </si>
  <si>
    <t>Epic Intelligence, Epic Stamina</t>
  </si>
  <si>
    <t>Animal (Sea Snake), Earth, Mystery, Psychopomp, Water</t>
  </si>
  <si>
    <t>Epic Appearance, Epic Perception, Epic Wits</t>
  </si>
  <si>
    <t>Animal (Bat), Darkness, Moon, Magic, Mystery</t>
  </si>
  <si>
    <t>Epic Appearance, Epic Dexterity, Epic Strength</t>
  </si>
  <si>
    <t>Animal (Terror Bird), Chaos, Fertility, Magic</t>
  </si>
  <si>
    <t>Magic, Psychopomp, Sky</t>
  </si>
  <si>
    <t>Epic Charisma, Epic Intelligence, Epic Perception, Epic Wits</t>
  </si>
  <si>
    <t>Epic Intelligence, Epic Manipulation, Epic Perception</t>
  </si>
  <si>
    <t>Death, Guardian, Justice</t>
  </si>
  <si>
    <t>Atlanteans</t>
  </si>
  <si>
    <t xml:space="preserve"> -- Atlanteans</t>
  </si>
  <si>
    <t>Riastrad</t>
  </si>
  <si>
    <t>Brehon's Eye</t>
  </si>
  <si>
    <t>Hero's Geas</t>
  </si>
  <si>
    <t>Lay Token Geas</t>
  </si>
  <si>
    <t>Body and Spirit</t>
  </si>
  <si>
    <t>Bard's Tongue</t>
  </si>
  <si>
    <t>Lay Potent Geas</t>
  </si>
  <si>
    <t>Assumption of the Land</t>
  </si>
  <si>
    <t>Lay Mortal Geas</t>
  </si>
  <si>
    <t>Twist Geas</t>
  </si>
  <si>
    <t>Beyond the Ninth Wave</t>
  </si>
  <si>
    <t>Fundamental</t>
  </si>
  <si>
    <t>Literati</t>
  </si>
  <si>
    <t>Intuitive Adaptation</t>
  </si>
  <si>
    <t>Consequence</t>
  </si>
  <si>
    <t>Proper Tool</t>
  </si>
  <si>
    <t>Remote Control</t>
  </si>
  <si>
    <t>Masterful Vector</t>
  </si>
  <si>
    <t>Anticipation</t>
  </si>
  <si>
    <t>Deep Secret</t>
  </si>
  <si>
    <t>Ultimate Effect</t>
  </si>
  <si>
    <t>Faunaphagia</t>
  </si>
  <si>
    <t>Paper Tiger</t>
  </si>
  <si>
    <t>Labyrinthine Lingering</t>
  </si>
  <si>
    <t>Unlikely Pattern</t>
  </si>
  <si>
    <t>Afraid of the Dark</t>
  </si>
  <si>
    <t>Absorb Light</t>
  </si>
  <si>
    <t>Delay Rot</t>
  </si>
  <si>
    <t>Death of the Soul</t>
  </si>
  <si>
    <t>Rust/Shine</t>
  </si>
  <si>
    <t>Imprisoning Crystal</t>
  </si>
  <si>
    <t>Toxic Thorn</t>
  </si>
  <si>
    <t>Greenskin</t>
  </si>
  <si>
    <t>Flamin' Bullets</t>
  </si>
  <si>
    <t>Hotter than Hot</t>
  </si>
  <si>
    <t>Warning Line</t>
  </si>
  <si>
    <t>Watcher at the Threshold</t>
  </si>
  <si>
    <t>Bolster</t>
  </si>
  <si>
    <t>Antidote</t>
  </si>
  <si>
    <t>Guilt of the Damned</t>
  </si>
  <si>
    <t>Star Chamber</t>
  </si>
  <si>
    <t>Silver Blessing</t>
  </si>
  <si>
    <t>Mirror of Lunacy</t>
  </si>
  <si>
    <t>Spirit Lamp</t>
  </si>
  <si>
    <t>Heart of the Maze</t>
  </si>
  <si>
    <t>Weather Witch</t>
  </si>
  <si>
    <t>Divine Threnody</t>
  </si>
  <si>
    <t>Life-Giving Rays</t>
  </si>
  <si>
    <t>Fusion</t>
  </si>
  <si>
    <t>Mortal Stroke</t>
  </si>
  <si>
    <t>Siege Juggernaut</t>
  </si>
  <si>
    <t>Potability</t>
  </si>
  <si>
    <t>Drown</t>
  </si>
  <si>
    <t>Measured Foe</t>
  </si>
  <si>
    <t>Legendary Surge</t>
  </si>
  <si>
    <t>Tugging Heartstrings</t>
  </si>
  <si>
    <t>Bound Spirit</t>
  </si>
  <si>
    <t>Sanctify Band</t>
  </si>
  <si>
    <t>Meddlesome Fates</t>
  </si>
  <si>
    <t>Transient Visitation</t>
  </si>
  <si>
    <t>Steal Birthright</t>
  </si>
  <si>
    <t>Heart of Mine</t>
  </si>
  <si>
    <t>Magical Purge</t>
  </si>
  <si>
    <t>Five-Cycle Augmentation</t>
  </si>
  <si>
    <t>Yin-Yang Destruction</t>
  </si>
  <si>
    <t>Five-Cycle Conjunction</t>
  </si>
  <si>
    <t>Eight Trigram Tansformation</t>
  </si>
  <si>
    <t>QI Hand</t>
  </si>
  <si>
    <t>Living Hexagram Metamorphosis</t>
  </si>
  <si>
    <t>Ressurection Anchor</t>
  </si>
  <si>
    <t>Divinize Kuei</t>
  </si>
  <si>
    <t>Grand Unity Transformation</t>
  </si>
  <si>
    <t>Reshape Shen</t>
  </si>
  <si>
    <t>Kriya</t>
  </si>
  <si>
    <t>Karma</t>
  </si>
  <si>
    <t>Pratyave</t>
  </si>
  <si>
    <t>Tantra</t>
  </si>
  <si>
    <t>Bhava</t>
  </si>
  <si>
    <t>Avidya</t>
  </si>
  <si>
    <t>Mahaprasthana</t>
  </si>
  <si>
    <t>Maya</t>
  </si>
  <si>
    <t>Samsarana</t>
  </si>
  <si>
    <t>Moksha</t>
  </si>
  <si>
    <t>Storm the Gates</t>
  </si>
  <si>
    <t>Work Harder</t>
  </si>
  <si>
    <t>Work Smarter</t>
  </si>
  <si>
    <t>Fixit</t>
  </si>
  <si>
    <t>Gremlins</t>
  </si>
  <si>
    <t>Supply Chain</t>
  </si>
  <si>
    <t>Fire In The Belly</t>
  </si>
  <si>
    <t>Jury Rig</t>
  </si>
  <si>
    <t>Assembly Line</t>
  </si>
  <si>
    <t>Innovate</t>
  </si>
  <si>
    <t>The Project</t>
  </si>
  <si>
    <t>Distraction Maneuver</t>
  </si>
  <si>
    <t>Pool Ammo</t>
  </si>
  <si>
    <t>Gift of Virtue</t>
  </si>
  <si>
    <t>Gift of Health</t>
  </si>
  <si>
    <t>Gift of Ability</t>
  </si>
  <si>
    <t>Gift of Attribute</t>
  </si>
  <si>
    <t>Gift of Defense</t>
  </si>
  <si>
    <t>Pool Life</t>
  </si>
  <si>
    <t>One For All</t>
  </si>
  <si>
    <t>All For One</t>
  </si>
  <si>
    <t>Yaz</t>
  </si>
  <si>
    <t>Humata</t>
  </si>
  <si>
    <t>Hukhta</t>
  </si>
  <si>
    <t>Havarastra</t>
  </si>
  <si>
    <t>Amesha Spenta Yasht</t>
  </si>
  <si>
    <t>Amesha Spenta</t>
  </si>
  <si>
    <t>Amesha Spenta Yasht 2</t>
  </si>
  <si>
    <t>Amesha Spenta Yasht 3</t>
  </si>
  <si>
    <t>Amesha Spenta Yasht 4</t>
  </si>
  <si>
    <t>Seta Amesha Spenta</t>
  </si>
  <si>
    <t>Ashavan</t>
  </si>
  <si>
    <t>Perfect Timing</t>
  </si>
  <si>
    <t>Sense Age</t>
  </si>
  <si>
    <t>Aurora</t>
  </si>
  <si>
    <t>Still Object</t>
  </si>
  <si>
    <t>Twist Time</t>
  </si>
  <si>
    <t>Lucky Star</t>
  </si>
  <si>
    <t>Starfire</t>
  </si>
  <si>
    <t>Frozen Moment</t>
  </si>
  <si>
    <t>Celestial Estate</t>
  </si>
  <si>
    <t>Cloak of Stars</t>
  </si>
  <si>
    <t>Avatar of Stars (The Crown)</t>
  </si>
  <si>
    <t>Rag</t>
  </si>
  <si>
    <t>Frost Immunity</t>
  </si>
  <si>
    <t>Uller's Stride</t>
  </si>
  <si>
    <t>Hrimthurssar's Touch</t>
  </si>
  <si>
    <t>Frozen Panoply</t>
  </si>
  <si>
    <t>Winter's Misery</t>
  </si>
  <si>
    <t>Chill the Blood</t>
  </si>
  <si>
    <t>Blizzard Call</t>
  </si>
  <si>
    <t>Frozen Heart</t>
  </si>
  <si>
    <t>Flash Freeze</t>
  </si>
  <si>
    <t>Ymir's Hand</t>
  </si>
  <si>
    <t>Avatar of Frost (The Cold)</t>
  </si>
  <si>
    <t>The Subtle Knife</t>
  </si>
  <si>
    <t>Stolen Face</t>
  </si>
  <si>
    <t>I Say Thee Nay!</t>
  </si>
  <si>
    <t>Virility/Muliedrity</t>
  </si>
  <si>
    <t>Fury of War</t>
  </si>
  <si>
    <t>Fool's Gold</t>
  </si>
  <si>
    <t>Dreamcraft</t>
  </si>
  <si>
    <t>Loaned Identity</t>
  </si>
  <si>
    <t>Fansastic Vista</t>
  </si>
  <si>
    <t>Hidden Name</t>
  </si>
  <si>
    <t>Dreamworld</t>
  </si>
  <si>
    <t>False Pretenses</t>
  </si>
  <si>
    <t>The Best Trick</t>
  </si>
  <si>
    <t>Avatar of Illusion (The Trickster)</t>
  </si>
  <si>
    <t>Peaceful Meeting</t>
  </si>
  <si>
    <t>Traitor's Toast</t>
  </si>
  <si>
    <t>Illwind Curse</t>
  </si>
  <si>
    <t>Blood Mead</t>
  </si>
  <si>
    <t>Avoid a Fate</t>
  </si>
  <si>
    <t>Beast Shape</t>
  </si>
  <si>
    <t>Intelligence + Animal Ken</t>
  </si>
  <si>
    <t>Charisma + Animal Ken</t>
  </si>
  <si>
    <t>1 Legend Per Action</t>
  </si>
  <si>
    <t>Stamina + Animal Ken</t>
  </si>
  <si>
    <t>1 Legend Per Scene</t>
  </si>
  <si>
    <t>Intelligence + Awareness</t>
  </si>
  <si>
    <t>Wits + Empathy</t>
  </si>
  <si>
    <t>Dexterity + Larceny</t>
  </si>
  <si>
    <t>Dexterity + Stealth</t>
  </si>
  <si>
    <t>Perception + Empathy</t>
  </si>
  <si>
    <t>Charisma + Command</t>
  </si>
  <si>
    <t>Perception + Awareness</t>
  </si>
  <si>
    <t>Dexterity + Craft</t>
  </si>
  <si>
    <t>Stamina + Survival</t>
  </si>
  <si>
    <t>Stamina + Fortitude</t>
  </si>
  <si>
    <t>Stamina + Medicine</t>
  </si>
  <si>
    <t>Manipulation + Integrity</t>
  </si>
  <si>
    <t>Strength + Presence</t>
  </si>
  <si>
    <t>1 Legend per attack</t>
  </si>
  <si>
    <t>Appearance + Presence</t>
  </si>
  <si>
    <t>Charisma + Presence</t>
  </si>
  <si>
    <t>1 Lethal health level</t>
  </si>
  <si>
    <t>1 lethal health level per legend</t>
  </si>
  <si>
    <t>1 lethal health level + 1 legend</t>
  </si>
  <si>
    <t>1 lethal health level + 2 legend</t>
  </si>
  <si>
    <t>1 lethal health level + 3 legend</t>
  </si>
  <si>
    <t>1 legend per die of improvement</t>
  </si>
  <si>
    <t>dice penalties + fatebinding</t>
  </si>
  <si>
    <t>1 or more legend + fatebinding</t>
  </si>
  <si>
    <t>1 legend + fatebinding</t>
  </si>
  <si>
    <t>Intelligence + Control</t>
  </si>
  <si>
    <t>Charisma + Empathy</t>
  </si>
  <si>
    <t>Appearance + Command</t>
  </si>
  <si>
    <t>Charisma + Occult</t>
  </si>
  <si>
    <t>Presence + Survival</t>
  </si>
  <si>
    <t>Perception + Occult</t>
  </si>
  <si>
    <t>Wits + Occult</t>
  </si>
  <si>
    <t>Manipulation + Presence</t>
  </si>
  <si>
    <t>Wits + Presence</t>
  </si>
  <si>
    <t>Intelligence + Mystery</t>
  </si>
  <si>
    <t>Intelligence + Prophecy</t>
  </si>
  <si>
    <t>1 Legend per point of penalty</t>
  </si>
  <si>
    <t>1 to 5 Legend</t>
  </si>
  <si>
    <t>1 Legend per weapon</t>
  </si>
  <si>
    <t>1 Legend per Virtue Extremity per person</t>
  </si>
  <si>
    <t>1 Legend per 200 lbs</t>
  </si>
  <si>
    <t>1 Legend per person</t>
  </si>
  <si>
    <t>1 Legend per 200 miles</t>
  </si>
  <si>
    <t>3 Legend per attack</t>
  </si>
  <si>
    <t>4 Legend per dot of Epic Strength (max 16)</t>
  </si>
  <si>
    <t>1 Legend per missile</t>
  </si>
  <si>
    <t>1 Legend per 5 troops</t>
  </si>
  <si>
    <t>2 legend per duplicate</t>
  </si>
  <si>
    <t>2 legend per quantity</t>
  </si>
  <si>
    <t>5 legend</t>
  </si>
  <si>
    <t>1 aggravated health level per 5 (or 6) Legend</t>
  </si>
  <si>
    <t>One Heart</t>
  </si>
  <si>
    <t>1 Lethal Health level + 4 Legend</t>
  </si>
  <si>
    <t>1 lethal health level + 5 Legend</t>
  </si>
  <si>
    <t>1 Lethal health level + 6 Legend</t>
  </si>
  <si>
    <t>1 lethal health level + 7 Legend</t>
  </si>
  <si>
    <t>1 Legend (to transport)</t>
  </si>
  <si>
    <t>1 Legend per dot of Boon</t>
  </si>
  <si>
    <t>Intelligence + Craft</t>
  </si>
  <si>
    <t>Dexterity + Art</t>
  </si>
  <si>
    <t>Strength + Craft</t>
  </si>
  <si>
    <t>Intelligence + Survival</t>
  </si>
  <si>
    <t>Charisma + Craft</t>
  </si>
  <si>
    <t>Manipulation + Medicine</t>
  </si>
  <si>
    <t>Intelligence + Medicine</t>
  </si>
  <si>
    <t>Intelligence + Empathy</t>
  </si>
  <si>
    <t>Wits + Command</t>
  </si>
  <si>
    <t>Strength + Control</t>
  </si>
  <si>
    <t>Wits + Brawl</t>
  </si>
  <si>
    <t>Wits + Marksmanship</t>
  </si>
  <si>
    <t>Wits + Control</t>
  </si>
  <si>
    <t>Stamina + Command</t>
  </si>
  <si>
    <t>Stamina + Craft</t>
  </si>
  <si>
    <t>Strength + Medicine</t>
  </si>
  <si>
    <t>Manipulation + Cheval</t>
  </si>
  <si>
    <t>Intelligence + Occult</t>
  </si>
  <si>
    <t>Manipulation + Occult</t>
  </si>
  <si>
    <t>Charisma + Tsukumo-Gami</t>
  </si>
  <si>
    <t>Manipulation + Empathy</t>
  </si>
  <si>
    <t>Dexterity + Occult</t>
  </si>
  <si>
    <t>1 Will</t>
  </si>
  <si>
    <t>1 Will + 1 Legend</t>
  </si>
  <si>
    <t>1 Legend + 1 Will</t>
  </si>
  <si>
    <t>1 Legend OR 1 Will</t>
  </si>
  <si>
    <t>1 Legend + 1 Will per scene</t>
  </si>
  <si>
    <t>1 Will + (1 Legend per feature)</t>
  </si>
  <si>
    <t>1 Will + 3 Legend</t>
  </si>
  <si>
    <t>1 Will + 5 Legend</t>
  </si>
  <si>
    <t>1 Will or (1 legend + 1 Will)</t>
  </si>
  <si>
    <t>1 Legend or (3 Legend + 1 Will)</t>
  </si>
  <si>
    <t>2 Legend + 1 Will</t>
  </si>
  <si>
    <t>1 Will Dot</t>
  </si>
  <si>
    <t>1 Legend or (1 legend + 1 Will)</t>
  </si>
  <si>
    <t>1 Will + 1 Legend (+1 Legend per extra person)</t>
  </si>
  <si>
    <t>1 Will + 10 legend</t>
  </si>
  <si>
    <t>1 legend + 1 Will</t>
  </si>
  <si>
    <t>1 Will to create; 1 legend to activate</t>
  </si>
  <si>
    <t>3 Legend (+1 Will)</t>
  </si>
  <si>
    <t>1 Will + 2 Legend</t>
  </si>
  <si>
    <t>Roll 27</t>
  </si>
  <si>
    <t>1 Legend per year</t>
  </si>
  <si>
    <t>1 Legend per DV penalty</t>
  </si>
  <si>
    <t>Cost 54</t>
  </si>
  <si>
    <t>10, 15 or 20 Legend</t>
  </si>
  <si>
    <t>5+ Legend</t>
  </si>
  <si>
    <t>1 Legend per Cubic Yard</t>
  </si>
  <si>
    <t>5 Legend per Property</t>
  </si>
  <si>
    <t>2 Legend per plant/patch</t>
  </si>
  <si>
    <t>15 Legend</t>
  </si>
  <si>
    <t>1 Legend or 5 Legend</t>
  </si>
  <si>
    <t>2 Legend per attack</t>
  </si>
  <si>
    <t>Avatar of Justice (The Arbiter)</t>
  </si>
  <si>
    <t>5 Legend or 10 Legend</t>
  </si>
  <si>
    <t>(1 Will + 5 Legend) or 1 Will Dot</t>
  </si>
  <si>
    <t>1 will + 30 Legend</t>
  </si>
  <si>
    <t>(1 will + 5 Legend) Per bond</t>
  </si>
  <si>
    <t>1 will + 10 Legend</t>
  </si>
  <si>
    <t>1 will + 15 Legend</t>
  </si>
  <si>
    <t>5+ Legend (+1 will)</t>
  </si>
  <si>
    <t>5 Legend + 1 will dot</t>
  </si>
  <si>
    <t>(1 will + 5 Legend) per duplicate</t>
  </si>
  <si>
    <t>1 will + 5 Legend</t>
  </si>
  <si>
    <t>15 Legend, 5 Legend per dot of epic Strength (max 50)</t>
  </si>
  <si>
    <t>(1 will + 5 legend) per person</t>
  </si>
  <si>
    <t>varies</t>
  </si>
  <si>
    <t>2 Legend per bandage</t>
  </si>
  <si>
    <t>15 Legend + 1 will</t>
  </si>
  <si>
    <t>1 will to use</t>
  </si>
  <si>
    <t>1 Lethal + 8 Legend</t>
  </si>
  <si>
    <t>1 Lethal + 9 Legend</t>
  </si>
  <si>
    <t>1 Lethal + 10 Legend</t>
  </si>
  <si>
    <t>5 Legend per scene</t>
  </si>
  <si>
    <t>1 Will + 15 Legend</t>
  </si>
  <si>
    <t>10 Legend (+1 will Dot -- optional)</t>
  </si>
  <si>
    <t>(1 Legend per dot of birthright) + (1 Legend per object/being)</t>
  </si>
  <si>
    <t>Wits + Craft</t>
  </si>
  <si>
    <t>Wits + Medicine</t>
  </si>
  <si>
    <t>Intelligence + Science</t>
  </si>
  <si>
    <t>Charisma + Survival</t>
  </si>
  <si>
    <t>Dexterity + Medicine</t>
  </si>
  <si>
    <t>Strength + Fortitude</t>
  </si>
  <si>
    <t>Strength + Survival</t>
  </si>
  <si>
    <t>Manipulation + Command</t>
  </si>
  <si>
    <t>Intelligence + Presence</t>
  </si>
  <si>
    <t>Charisma + Legend</t>
  </si>
  <si>
    <t>1+ Legend</t>
  </si>
  <si>
    <t>Charisma + Integrity</t>
  </si>
  <si>
    <t>Integrity + Legend</t>
  </si>
  <si>
    <t>Perception + Science</t>
  </si>
  <si>
    <t>3+ Legend</t>
  </si>
  <si>
    <t>Perception + Legend</t>
  </si>
  <si>
    <t>Willpower + Legend</t>
  </si>
  <si>
    <t>1 or 2 Will + 3 or 5 Legend</t>
  </si>
  <si>
    <t>2 Will + 5 Legend per subject</t>
  </si>
  <si>
    <t>5 Legend + 1 Will</t>
  </si>
  <si>
    <t>Stamina + Empathy</t>
  </si>
  <si>
    <t>20 Legend + 1 Will</t>
  </si>
  <si>
    <t>Dexterity + Control</t>
  </si>
  <si>
    <t>1 Will + 10 Legend</t>
  </si>
  <si>
    <t>Wits + Stealth</t>
  </si>
  <si>
    <t>Intelligence + Art</t>
  </si>
  <si>
    <t>Wits + Awareness</t>
  </si>
  <si>
    <t>1 Will + 20 Legend</t>
  </si>
  <si>
    <t>Strength + Occult</t>
  </si>
  <si>
    <t>Charisma + Politics</t>
  </si>
  <si>
    <t>Charisma + Medicine</t>
  </si>
  <si>
    <t>10 Legend + 1 Will</t>
  </si>
  <si>
    <t>Strength + Science</t>
  </si>
  <si>
    <t>Dexterity + Science</t>
  </si>
  <si>
    <t>1 Will + 1 Legend per person</t>
  </si>
  <si>
    <t>2+ Legend</t>
  </si>
  <si>
    <t>Manipulation + Stealth</t>
  </si>
  <si>
    <t>3 legend</t>
  </si>
  <si>
    <t>20 Legend</t>
  </si>
  <si>
    <t>Will + Command + Legend</t>
  </si>
  <si>
    <t>4 Legend</t>
  </si>
  <si>
    <t>4 Legend + 1 Will</t>
  </si>
  <si>
    <t>2 Legend Dots</t>
  </si>
  <si>
    <t>30 Legend</t>
  </si>
  <si>
    <t>1 Legend per 2 units</t>
  </si>
  <si>
    <t>Intelligence + Command</t>
  </si>
  <si>
    <t>Stamina + Suirvival</t>
  </si>
  <si>
    <t>Perception + Craft</t>
  </si>
  <si>
    <t>Intelligence + Politics</t>
  </si>
  <si>
    <t>Intelligence + Integrity</t>
  </si>
  <si>
    <t>Perception + Medicine</t>
  </si>
  <si>
    <t>25 Legend + 1 Will</t>
  </si>
  <si>
    <t>Perception + Marksmanship</t>
  </si>
  <si>
    <t>Stamina + Integrity</t>
  </si>
  <si>
    <t>Manipulation + Larceny</t>
  </si>
  <si>
    <t>Manipulation + Art</t>
  </si>
  <si>
    <t>Wits + Art</t>
  </si>
  <si>
    <t>Manipulation + Survival</t>
  </si>
  <si>
    <t>1 Will + 4 Legend</t>
  </si>
  <si>
    <t>1 Will + 5 Legend per participant</t>
  </si>
  <si>
    <t>Manipulation + Craft</t>
  </si>
  <si>
    <t>1 Legend + 1 Lethal</t>
  </si>
  <si>
    <t>Wits + Arts</t>
  </si>
  <si>
    <t>Manipulation + Animal Ken</t>
  </si>
  <si>
    <t>Perception + Survival</t>
  </si>
  <si>
    <t>Tsukumo</t>
  </si>
  <si>
    <t>Boon Attributes</t>
  </si>
  <si>
    <t>Boon Abilities</t>
  </si>
  <si>
    <t>Special 1</t>
  </si>
  <si>
    <t>Special 2</t>
  </si>
  <si>
    <t>Special 3</t>
  </si>
  <si>
    <t>Special 4</t>
  </si>
  <si>
    <t>Special 5</t>
  </si>
  <si>
    <t>Special 6</t>
  </si>
  <si>
    <t>Special 7</t>
  </si>
  <si>
    <t>Special 8</t>
  </si>
  <si>
    <t>Special 9</t>
  </si>
  <si>
    <t>Special 10</t>
  </si>
  <si>
    <t>Highest</t>
  </si>
  <si>
    <t>highest</t>
  </si>
  <si>
    <t>(1 Will + 1 lethal) per act; 1 legend per set of units</t>
  </si>
  <si>
    <t>(1 Will + 3 Legend) per Attribute; (1 Will + 5 Legend) per Epic</t>
  </si>
  <si>
    <t>(Dexterity/Strength) + Brawl</t>
  </si>
  <si>
    <t>Simbi Makaya’s Staff</t>
  </si>
  <si>
    <t>-- UNARMED --</t>
  </si>
  <si>
    <t>-- RANGED --</t>
  </si>
  <si>
    <t>-- FIREARMS --</t>
  </si>
  <si>
    <t>-- THROWN --</t>
  </si>
  <si>
    <t>-- MELEE --</t>
  </si>
  <si>
    <t>-- NON-LETHAL --</t>
  </si>
  <si>
    <t>-- HEAVY MUNITIONS --</t>
  </si>
  <si>
    <t>-- RELICS --</t>
  </si>
  <si>
    <t>-- CUSTOM --</t>
  </si>
  <si>
    <t>In all columns labeled "Bonus" put the amount being added, not the new total.</t>
  </si>
  <si>
    <t>Welcome</t>
  </si>
  <si>
    <t>Blue means that the cell is relevant and can be added to.</t>
  </si>
  <si>
    <t xml:space="preserve">When you finish a step, all the relevant cells will return to white. </t>
  </si>
  <si>
    <t>When you finish the character creation process, the entire page will turn grey.</t>
  </si>
  <si>
    <t>Green means that you’ve entered the maximum value allowed for that cell or that the cell no longer needs changed for the step to be complete.</t>
  </si>
  <si>
    <t>For Birthrights being improved, only input the number of dots being added, not the total dots.</t>
  </si>
  <si>
    <t>Your character sheet auto-fills most values from the Creation, Conversion and Dot Tracking sheets. The exceptions are as follows:</t>
  </si>
  <si>
    <t>Experience Earned (keep a total, do not remove experience when you spend it)</t>
  </si>
  <si>
    <t>Resources used (Legend and Willpower Spent and Damage taken)</t>
  </si>
  <si>
    <t>-- NORMAL --</t>
  </si>
  <si>
    <t>-- ENVIRONMENTAL --</t>
  </si>
  <si>
    <t>-- RELIC --</t>
  </si>
  <si>
    <t>1 Legend per victim</t>
  </si>
  <si>
    <t>1 willpower</t>
  </si>
  <si>
    <t>Passive</t>
  </si>
  <si>
    <t>1 legend per thought</t>
  </si>
  <si>
    <t>Stat</t>
  </si>
  <si>
    <t>Extra Knacks</t>
  </si>
  <si>
    <t>Resources</t>
  </si>
  <si>
    <t>Knack-enhanced XP Spending</t>
  </si>
  <si>
    <t>Gained with Benefit of Star Pupil AND Teaching Prodigy</t>
  </si>
  <si>
    <t>Main</t>
  </si>
  <si>
    <t>Gained with benefit of Teaching Prodigy</t>
  </si>
  <si>
    <t>Gained with benefit of Star Pupil</t>
  </si>
  <si>
    <t>Panth. Purview</t>
  </si>
  <si>
    <t>spd</t>
  </si>
  <si>
    <t>def</t>
  </si>
  <si>
    <t>Custom11</t>
  </si>
  <si>
    <t>Custom12</t>
  </si>
  <si>
    <t>Custom13</t>
  </si>
  <si>
    <t>Custom14</t>
  </si>
  <si>
    <t>Custom15</t>
  </si>
  <si>
    <t>Available</t>
  </si>
  <si>
    <t>STRENGTH</t>
  </si>
  <si>
    <t>DEXTERITY</t>
  </si>
  <si>
    <t>STAMINA</t>
  </si>
  <si>
    <t>CHARISMA</t>
  </si>
  <si>
    <t>INTELLIGENCE</t>
  </si>
  <si>
    <t>PERCEPTION</t>
  </si>
  <si>
    <t>APPEARANCE</t>
  </si>
  <si>
    <t>MANIPULATION</t>
  </si>
  <si>
    <t>Purchased</t>
  </si>
  <si>
    <t>Skill</t>
  </si>
  <si>
    <t>Custom 1</t>
  </si>
  <si>
    <t>Custom 2</t>
  </si>
  <si>
    <t>Attack 1</t>
  </si>
  <si>
    <t>Attack 2</t>
  </si>
  <si>
    <t>Attack 3</t>
  </si>
  <si>
    <t>Attack 4</t>
  </si>
  <si>
    <t>Attack 5</t>
  </si>
  <si>
    <t>Attack 6</t>
  </si>
  <si>
    <t>Attack 7</t>
  </si>
  <si>
    <t>Custom Follower / Creature</t>
  </si>
  <si>
    <t>Virtue</t>
  </si>
  <si>
    <t>Custom 3</t>
  </si>
  <si>
    <t>Custom 4</t>
  </si>
  <si>
    <t>Custom 6</t>
  </si>
  <si>
    <t>Custom 5</t>
  </si>
  <si>
    <t>Virtue 1V</t>
  </si>
  <si>
    <t>Virtue 2V</t>
  </si>
  <si>
    <t>Virtue 3V</t>
  </si>
  <si>
    <t>Virtue 4V</t>
  </si>
  <si>
    <t>Supernatural</t>
  </si>
  <si>
    <t>Other</t>
  </si>
  <si>
    <t>Agg</t>
  </si>
  <si>
    <t>AA</t>
  </si>
  <si>
    <t>AB</t>
  </si>
  <si>
    <t>AC</t>
  </si>
  <si>
    <t>AD</t>
  </si>
  <si>
    <t>AE</t>
  </si>
  <si>
    <t>AF</t>
  </si>
  <si>
    <t>AG</t>
  </si>
  <si>
    <t>AH</t>
  </si>
  <si>
    <t>AI</t>
  </si>
  <si>
    <t>AJ</t>
  </si>
  <si>
    <t>5 Zombies</t>
  </si>
  <si>
    <t>20 Generic Mortals</t>
  </si>
  <si>
    <t>10 Generic Mortals</t>
  </si>
  <si>
    <t>30 Generic Mortals</t>
  </si>
  <si>
    <t>40 Generic Mortals</t>
  </si>
  <si>
    <t>50 Generic Mortals</t>
  </si>
  <si>
    <t>-0/-1/-1/-2/-2/-4/Incap</t>
  </si>
  <si>
    <t>Academics 1, Athletics 1, Awareness 1, Brawl 1, Control 1, Fortitude 1, Marksmanship 1, Science 1, Stealth 1</t>
  </si>
  <si>
    <t>3B</t>
  </si>
  <si>
    <t>6B</t>
  </si>
  <si>
    <t>5 Generic Thugs</t>
  </si>
  <si>
    <t>10 Generic Thugs</t>
  </si>
  <si>
    <t>15 Generic Thugs</t>
  </si>
  <si>
    <t>20 Generic Thugs</t>
  </si>
  <si>
    <t>25 Generic Thugs</t>
  </si>
  <si>
    <t>Athletics 2, Awareness 2, Brawl 2, Control 1, Fortitude 1, Larceny 2, Marksmanship 1, Melee 1, Stealth 1, Survival 1</t>
  </si>
  <si>
    <t>.38 Special</t>
  </si>
  <si>
    <t>Switchblade</t>
  </si>
  <si>
    <t>4L</t>
  </si>
  <si>
    <t>5 Seasoned Cops</t>
  </si>
  <si>
    <t>10 Seasoned Cops</t>
  </si>
  <si>
    <t>15 Seasoned Cops</t>
  </si>
  <si>
    <t>20 Seasoned Cops</t>
  </si>
  <si>
    <t>5 Grunt Soldiers</t>
  </si>
  <si>
    <t>10 Grunt Soldiers</t>
  </si>
  <si>
    <t>15 Grunt Soldiers</t>
  </si>
  <si>
    <t>20 Grunt Soldiers</t>
  </si>
  <si>
    <t>5 Beat Cops</t>
  </si>
  <si>
    <t>10 Beat Cops</t>
  </si>
  <si>
    <t>15 Beat Cops</t>
  </si>
  <si>
    <t>20 Beat Cops</t>
  </si>
  <si>
    <t>25 Beat Cops</t>
  </si>
  <si>
    <t>Academics 2, Athletics 2, Awareness 2, Brawl 2, Command 1, Control 2, Fortitude 1, Integrity 1, Marksmanship 3, Medicine 1, Melee 1, Stealth 1</t>
  </si>
  <si>
    <t>Nightstick</t>
  </si>
  <si>
    <t>4B</t>
  </si>
  <si>
    <t>5 SWAT officers</t>
  </si>
  <si>
    <t>10 SWAT officers</t>
  </si>
  <si>
    <t>15 SWAT officers</t>
  </si>
  <si>
    <t>20 SWAT officers</t>
  </si>
  <si>
    <t>7B</t>
  </si>
  <si>
    <t>6L</t>
  </si>
  <si>
    <t>5 Experienced Soldiers</t>
  </si>
  <si>
    <t>15 Experienced Soldiers</t>
  </si>
  <si>
    <t>20 Experienced Soldiers</t>
  </si>
  <si>
    <t>5 Mercenaries</t>
  </si>
  <si>
    <t>15 Mercenaries</t>
  </si>
  <si>
    <t>20 Mercenaries</t>
  </si>
  <si>
    <t>20 Special Forces Soldiers</t>
  </si>
  <si>
    <t>15 Special Forces Soldiers</t>
  </si>
  <si>
    <t>5 Special Forces Soldiers</t>
  </si>
  <si>
    <t>Academics 2, Athletics 3, Awareness 3, Brawl 3, Command 2, Control 2, Empathy 1, Integrity 3, Investigation 2, Larceny 1, Marksmanship 3, Medicine 1, Melee 2, Stealth 1</t>
  </si>
  <si>
    <t>Academics 2, Athletics 4, Awareness 3, Brawl 4, Command 3, Control 3, Fortitude 3, Integrity 3, Investigation 1, Larceny 1, Marksmanship 4, Medicine 2, Melee 4, Presence 2, Stealth 3, Thrown 1</t>
  </si>
  <si>
    <t>8B</t>
  </si>
  <si>
    <t>5B</t>
  </si>
  <si>
    <t>5L</t>
  </si>
  <si>
    <t>5 Amazons</t>
  </si>
  <si>
    <t>10 Amazons</t>
  </si>
  <si>
    <t>15 Amazons</t>
  </si>
  <si>
    <t>5 Dahomey Amazons</t>
  </si>
  <si>
    <t>10 Dahomey Amazons</t>
  </si>
  <si>
    <t>15 Dahomey Amazons</t>
  </si>
  <si>
    <t>5 Skjalmö Amazons</t>
  </si>
  <si>
    <t>10 Skjalmö Amazons</t>
  </si>
  <si>
    <t>15 Skjalmö Amazons</t>
  </si>
  <si>
    <t>5 Berserkers (Strength)</t>
  </si>
  <si>
    <t>10 Berserkers (Strength)</t>
  </si>
  <si>
    <t>15 Berserkers (Strength)</t>
  </si>
  <si>
    <t>20 Berserkers (Strength)</t>
  </si>
  <si>
    <t>5 Berserkers (Stamina)</t>
  </si>
  <si>
    <t>10 Berserkers (Stamina)</t>
  </si>
  <si>
    <t>15 Berserkers (Stamina)</t>
  </si>
  <si>
    <t>20 Berserkers (Stamina)</t>
  </si>
  <si>
    <t>5 Berserkers (Split)</t>
  </si>
  <si>
    <t>10 Berserkers (Split)</t>
  </si>
  <si>
    <t>15 Berserkers (Split)</t>
  </si>
  <si>
    <t>20 Berserkers (Split)</t>
  </si>
  <si>
    <t>In some situations, a police officer might be assigned riot gear (increasing soak by 3A/3L/6B, -2 mobility penalty), which does not stack with a bulletproof vest.</t>
  </si>
  <si>
    <t>Soak stats are with a bullet-proof vest. A SWAT Officer will often be issued tactical or riot gear instead, increasing soak by 3A/3L/6B, -2 mobility penalty</t>
  </si>
  <si>
    <t>Soak stats are with a bullet-proof vest. A Soldier will often be issued tactical gear instead, increasing soak by 3A/3L/6B, -2 mobility penalty</t>
  </si>
  <si>
    <t>Enhanced through Jotunblut 2. Must feed once per month or you lose their loyalty and they lose 1 dot of the Loyalty Virtue</t>
  </si>
  <si>
    <t>5 Berserkers 2 (All Strength)</t>
  </si>
  <si>
    <t>10 Berserkers 2 (All Strength)</t>
  </si>
  <si>
    <t>15 Berserkers 2 (All Strength)</t>
  </si>
  <si>
    <t>20 Berserkers 2 (All Strength)</t>
  </si>
  <si>
    <t>5 Berserkers 2 (All Stamina)</t>
  </si>
  <si>
    <t>10 Berserkers 2 (All Stamina)</t>
  </si>
  <si>
    <t>15 Berserkers 2 (All Stamina)</t>
  </si>
  <si>
    <t>20 Berserkers 2 (All Stamina)</t>
  </si>
  <si>
    <t>5 Berserkers 2 (More Strength)</t>
  </si>
  <si>
    <t>10 Berserkers 2 (More Strength)</t>
  </si>
  <si>
    <t>15 Berserkers 2 (More Strength)</t>
  </si>
  <si>
    <t>20 Berserkers 2 (More Strength)</t>
  </si>
  <si>
    <t>5 Berserkers 2 (More Stamina)</t>
  </si>
  <si>
    <t>10 Berserkers 2 (More Stamina)</t>
  </si>
  <si>
    <t>15 Berserkers 2 (More Stamina)</t>
  </si>
  <si>
    <t>20 Berserkers 2 (More Stamina)</t>
  </si>
  <si>
    <t>Enhanced through Jotunblut 3. Must feed once per 3 months or you lose their loyalty and they lose 1 dot of the Loyalty Virtue</t>
  </si>
  <si>
    <t>9B</t>
  </si>
  <si>
    <t>7L</t>
  </si>
  <si>
    <t>5 Cheval</t>
  </si>
  <si>
    <t>10 Cheval</t>
  </si>
  <si>
    <t>15 Cheval</t>
  </si>
  <si>
    <t>20 Cheval</t>
  </si>
  <si>
    <t>25 Cheval</t>
  </si>
  <si>
    <t>All Cheval Boons gain a +3 dice bonus when used on these followers</t>
  </si>
  <si>
    <t>5 Einharjar (medieval)</t>
  </si>
  <si>
    <t>10 Einharjar (medieval)</t>
  </si>
  <si>
    <t>5 Einharjar (World War I)</t>
  </si>
  <si>
    <t>10 Einharjar (World War I)</t>
  </si>
  <si>
    <t>5 Einharjar (World War II)</t>
  </si>
  <si>
    <t>Longbow</t>
  </si>
  <si>
    <t>Knife</t>
  </si>
  <si>
    <t>Lee-Einfeld</t>
  </si>
  <si>
    <t>Luger Pistol</t>
  </si>
  <si>
    <t>8L</t>
  </si>
  <si>
    <t>9L</t>
  </si>
  <si>
    <t>11L</t>
  </si>
  <si>
    <t>5 Maenad</t>
  </si>
  <si>
    <t>10 Maenad</t>
  </si>
  <si>
    <t>15 Maenad</t>
  </si>
  <si>
    <t>20 Maenad</t>
  </si>
  <si>
    <t>5 Shikome</t>
  </si>
  <si>
    <t>10 Shikome</t>
  </si>
  <si>
    <t>15 Shikome</t>
  </si>
  <si>
    <t>20 Shikome</t>
  </si>
  <si>
    <t>-0/-0/-0/-0/-0/-0/Incap</t>
  </si>
  <si>
    <t xml:space="preserve">Ignore all fear and mind-control effects. Suffer -2 penalty to all actions taken while in sunlight.
</t>
  </si>
  <si>
    <t>5 Myrmidons</t>
  </si>
  <si>
    <t>10 Myrmidons</t>
  </si>
  <si>
    <t>Myrmidons never age. They are effectively immortal unless slain.</t>
  </si>
  <si>
    <t>5 Spartoi</t>
  </si>
  <si>
    <t>10 Spartoi</t>
  </si>
  <si>
    <t>15 Spartoi</t>
  </si>
  <si>
    <t>Academics 2, Athletics 3, Awareness 3, Brawl 3, Command 2, Control 2, Empathy 1, Integrity 3, Investigation 2, Larceny 1, Medicine 1, Melee 3, Stealth 1</t>
  </si>
  <si>
    <t>5 Mummies</t>
  </si>
  <si>
    <t>10 Mummies</t>
  </si>
  <si>
    <t>15 Mummies</t>
  </si>
  <si>
    <t>20 Mummies</t>
  </si>
  <si>
    <t>10 Zombies</t>
  </si>
  <si>
    <t>15 Zombies</t>
  </si>
  <si>
    <t>20 Zombies</t>
  </si>
  <si>
    <t>-0/-0/-0/-0/-1/-1/-1/-1/-2/-2/-4/Incap</t>
  </si>
  <si>
    <t>Athletics 1, Awareness 2, Brawl 3</t>
  </si>
  <si>
    <t>Benu</t>
  </si>
  <si>
    <t>Coatl</t>
  </si>
  <si>
    <t>-0/-0/-0/-1/-
1/-1/-2/-2/-2/-4/Incap</t>
  </si>
  <si>
    <t>Athletics 3, Awareness 2, Brawl 2, Integrity 2, Investigation 2, Presence 3, Fortitude 2</t>
  </si>
  <si>
    <t>Flies at 60MPH out of combat or 4X normal move rate in combat</t>
  </si>
  <si>
    <t>Only available to Atzlánti scions. Requires 1 Dot Relic</t>
  </si>
  <si>
    <t>Bite</t>
  </si>
  <si>
    <t>Kirin</t>
  </si>
  <si>
    <t>-0/-0/-0/-1/-1/-1/-2/-2/-2/-4/Incap</t>
  </si>
  <si>
    <t>Athletics 3, Awareness 2, Brawl 2, Fortitude 3, Integrity 2, Investigation 2, Occult 2, Politics 5, Presence 3</t>
  </si>
  <si>
    <t>Only Available to Scions of the Amatsukami</t>
  </si>
  <si>
    <t>Gore</t>
  </si>
  <si>
    <t>Pegasus</t>
  </si>
  <si>
    <t>Taureau-Trois-Graines</t>
  </si>
  <si>
    <t>Athletics 4, Awareness 3, Brawl 3, Fortitude 5, Integrity 1, Presence 5, Survival 2</t>
  </si>
  <si>
    <t>Epic Attributes: Epic Strength 2 (Holy Rampage, Uplifting Might)
Tough Hide: The Taureau’s hide grants a 3A/3L/3B soak bonus.</t>
  </si>
  <si>
    <t>Only Available to Scions of the Loa.
Will allow you to ride on it, but will not act as a beast of burden otherwise.</t>
  </si>
  <si>
    <t>10L</t>
  </si>
  <si>
    <t>Trample</t>
  </si>
  <si>
    <t>Valkyrie Horse</t>
  </si>
  <si>
    <t>-0/-0/-1/-1/-2/-2/-4/Incap</t>
  </si>
  <si>
    <t>Epic Attributes: Epic Strength 1 (Uplifting Might)
Flight: A valkyrie horse flies at 70 miles per hour out of combat or at 3X its normal movement rate in combat.</t>
  </si>
  <si>
    <t>Athletics 4, Awareness 2, Brawl 4, Investigation 1, Presence 2, Fortitude 3, Stealth 2, Survival 3</t>
  </si>
  <si>
    <t>Only available to Scions of the Aesir.
Requires a 1 Dot Relic to summon.</t>
  </si>
  <si>
    <t>Ape</t>
  </si>
  <si>
    <t>Bear</t>
  </si>
  <si>
    <t>Bird (Small)</t>
  </si>
  <si>
    <t>Bird (Raptor)</t>
  </si>
  <si>
    <t>Boar</t>
  </si>
  <si>
    <t>Cat (Big)</t>
  </si>
  <si>
    <t>Cat (Domesticated)</t>
  </si>
  <si>
    <t>Cobra</t>
  </si>
  <si>
    <t>Crocodile</t>
  </si>
  <si>
    <t>Dog</t>
  </si>
  <si>
    <t>Dolphin</t>
  </si>
  <si>
    <t>Elephant</t>
  </si>
  <si>
    <t>Monkey</t>
  </si>
  <si>
    <t>Rat</t>
  </si>
  <si>
    <t>Shark</t>
  </si>
  <si>
    <t>Wolf</t>
  </si>
  <si>
    <t>Athletics 3, Awareness 3, Brawl 3, Investigation 1, Presence 2, Fortitude 3, Stealth 2, Survival 3</t>
  </si>
  <si>
    <t>-0/-0/-1/-1/-1/-2/-2/-4/Incap</t>
  </si>
  <si>
    <t>Athletics 2, Awareness 2, Brawl 3, Integrity 3, Investigation 2, Presence 3, Fortitude 3, Stealth 3, Survival 3</t>
  </si>
  <si>
    <t>Claw</t>
  </si>
  <si>
    <t>-0/-1/-2/Incap</t>
  </si>
  <si>
    <t>Athletics 3, Awareness 3, Brawl 1, Integrity 2, Investigation 2, Presence 1, Fortitude 3, Stealth 3, Survival 4</t>
  </si>
  <si>
    <t>Peck</t>
  </si>
  <si>
    <t>1L</t>
  </si>
  <si>
    <t>Most small birds may fly up to 30 MPH out of combat or 2x ormal move speed in combat</t>
  </si>
  <si>
    <t>Athletics 3, Awareness 4, Brawl 3, Investigation 3, Integrity 3, Presence 2, Fortitude 2, Stealth 3, Survival 3</t>
  </si>
  <si>
    <t>Most raptors may fly up to 70 MPH out of combat or 3X normal move speed in combat</t>
  </si>
  <si>
    <t>Talon</t>
  </si>
  <si>
    <t>Athletics 3, Awareness 1, Brawl 1, Fortitude 3, Stealth 1, Survival 2</t>
  </si>
  <si>
    <t>Athletics 4, Awareness 3, Brawl 3, Integrity 2, Investigation 2, Presence 3, Fortitude 3, Stealth 4, Survival 3</t>
  </si>
  <si>
    <t>-0/-1/-1/-2/-2/Incap</t>
  </si>
  <si>
    <t>Athletics 3, Awareness 3, Brawl 1, Investigation 2, Presence 1, Fortitude 1, Stealth 3, Survival 2</t>
  </si>
  <si>
    <t>2L</t>
  </si>
  <si>
    <t>-0/-1/-2/-2/Incap</t>
  </si>
  <si>
    <t>Athletics 3, Awareness 3, Brawl 1, Integrity 1, Presence 1, Fortitude 1, Stealth 1, Survival 2</t>
  </si>
  <si>
    <t>3L+Pois</t>
  </si>
  <si>
    <t>Spit</t>
  </si>
  <si>
    <t>Poison</t>
  </si>
  <si>
    <t>10 ft</t>
  </si>
  <si>
    <t>Athletics 3, Awareness 1, Brawl 3, Presence 2, Fortitude 3, Stealth 1, Survival 3</t>
  </si>
  <si>
    <t>Tail</t>
  </si>
  <si>
    <t>-0/-1/-1/-2/-4/Incap</t>
  </si>
  <si>
    <t>Athletics 2, Awareness 3, Brawl 1, Integrity 1, Investigation 1, Presence 2, Fortitude 3, Stealth 1, Survival 4</t>
  </si>
  <si>
    <t>Athletics 4, Awareness 3, Brawl 1, Integrity 2, Investigation 2, Presence 1, Fortitude 3, Stealth 1, Survival 2</t>
  </si>
  <si>
    <t>Ram</t>
  </si>
  <si>
    <t>Underway:</t>
  </si>
  <si>
    <t>Progress</t>
  </si>
  <si>
    <t>Planned:</t>
  </si>
  <si>
    <t>-- Have boon stat table on Character Sheet auto-pull boons from the Purchased Boons page, filtering out ones that don't have dice pools.</t>
  </si>
  <si>
    <t>This character sheet is to help in the character building and advancement process for White Wolf's Scion. It started out as a way to let new players with little or no experience build a character on their own, without needing to double-check everything they do with the Storyteller, but in use, I've found it also makes things quicker for experienced players as well. 
It has most, if not all material from Hero, Demigod, God, Companion, Yazata and Ragnarok. Most values will auto-calculate and auto-fill on the main character sheet. This worksheet is an explanation of how each page works.</t>
  </si>
  <si>
    <t>The Creation worksheet is where everything begins. 
All values that get entered here will be automatically pulled to the Character Sheet as you enter them. At the top of Page 1 is your step-by-step instructions. The “Current Step” box will tell you what you’re doing next and the large box below it will give details about what to do in that step. 
Two things that are not in the step-by-step are your character’s name and player name. Enter these whenever you want. 
As you go through the creation process, the cells relevant to the current step will be colored.</t>
  </si>
  <si>
    <t>Yellow means that the cell is a drop-down menu that either starts a chain or requires you to take further action after making a selection.</t>
  </si>
  <si>
    <t xml:space="preserve">If you enter a value in a cell that is more than you’re allowed to, the cell will turn red. 
Likewise, if you go over the maximum total value for the step (such as assigning more than 30 abilities), all cells relevant to the step will turn red. </t>
  </si>
  <si>
    <t>In all columns labeled “Bonus” you need to enter the number of dots being added, not the total number after adding bonuses.</t>
  </si>
  <si>
    <t xml:space="preserve">The Dot Tracking worksheet is where you’ll enter any advancements you obtain through the spending of experience or the beneficence of your Storyteller. All dots are tracked on this worksheet on various tables, though the bulk of the worksheet is hidden since it's all automated. When you want to buy a dot through experience or the Storyteller gives you a free dot in something, enter a 1 in the appropriate cell for the dot you’re getting. When you gain a dot through any means other than experience, the cell for that dot will go black on the experience table. The Freebies table works the same way. If you put it in the wrong cell, your dice-pools may calculate wrong and your experience definitely will. </t>
  </si>
  <si>
    <t>Armor/Attacks/Equipment – Weapon and Armor types need to be entered manually. Stats will fill automatically. Other equipment types will need to be filled in manually.</t>
  </si>
  <si>
    <t>Note: Relic weapons and armors listed in the books are already accounted for in the armory listings and do not need additional adjustments. Any custom relic armor you get will need to be listed in the Custom Equipment to show up properly on Page 1. 
If a custom Relic weapon has Speed, Accuracy or Damage bonuses, select the normal weapon on the Attacks page with the Relic bonuses listed to the side and it will automatically adjust the values in the appropriate columns.  If a custom Relic weapon has any other type of mechanical bonus, you will need to list it on the Custom Equipment page as well.</t>
  </si>
  <si>
    <t>©John Abbott 9/1/2013</t>
  </si>
  <si>
    <t>Leth.</t>
  </si>
  <si>
    <t>Work Remaining</t>
  </si>
  <si>
    <t>V2.0</t>
  </si>
  <si>
    <t>Mobility Penalties</t>
  </si>
  <si>
    <t>On</t>
  </si>
  <si>
    <t>Version</t>
  </si>
  <si>
    <t>Item</t>
  </si>
  <si>
    <t>-- Add custom pantheons table to Sandbox.</t>
  </si>
  <si>
    <t>Guides pg1</t>
  </si>
  <si>
    <t>Guides pg2</t>
  </si>
  <si>
    <t>-- Purchased Knacks Worksheet</t>
  </si>
  <si>
    <t>-- Guides and Relics</t>
  </si>
  <si>
    <t>Added a second page of Guides</t>
  </si>
  <si>
    <t>-- Character Sheet</t>
  </si>
  <si>
    <t>Added Fatigue to armor stat list</t>
  </si>
  <si>
    <t>Doubled the number of slots for Knacks from 107 to 214</t>
  </si>
  <si>
    <t>Doubled the number of slots for Boons from 107 to 214 for those overachieving God characters.</t>
  </si>
  <si>
    <t>-- Followers and Creatures</t>
  </si>
  <si>
    <t>-- Create and populate a Followers and Creatures reference sheet. Have followers and creatures auto-fill from dropdown.</t>
  </si>
  <si>
    <t>Dice Pool?</t>
  </si>
  <si>
    <t>Custom Purview 1</t>
  </si>
  <si>
    <t>Additional Relics pg1</t>
  </si>
  <si>
    <t>Additional Relics pg2</t>
  </si>
  <si>
    <t>Added a second page of Relics</t>
  </si>
  <si>
    <t>-- House Rules</t>
  </si>
  <si>
    <t>-- Sandbox</t>
  </si>
  <si>
    <t>Moved Custom Armor to this sheet, extended to 15 entries</t>
  </si>
  <si>
    <t>Moved Custom Weapons to this sheet, extended to 15 entries.</t>
  </si>
  <si>
    <t>Made 6 entries for custom Creatures and Followers</t>
  </si>
  <si>
    <t>-- Purchased Boons</t>
  </si>
  <si>
    <t>Created sheet</t>
  </si>
  <si>
    <t>This is, simply put, a place for you to add custom content to have it auto-fill the same way standard content does.</t>
  </si>
  <si>
    <t>Pantheon Specific Purview, except Arete, auto-fills at the top of the table once pantheon has been selected.</t>
  </si>
  <si>
    <t>Purview Name:</t>
  </si>
  <si>
    <t>All Purpose</t>
  </si>
  <si>
    <t>Roll Attribute</t>
  </si>
  <si>
    <t>Roll Ability</t>
  </si>
  <si>
    <t>PurviewType:</t>
  </si>
  <si>
    <t>Custom Purviews entered on the Sandbox sheet will appear at the bottom of the list. Custom Boons appear below them. Custom boons fill last on other sheets.</t>
  </si>
  <si>
    <t>Created Sheet</t>
  </si>
  <si>
    <t>Miscellaneous Work to be done</t>
  </si>
  <si>
    <t>-0/-0/-1/-1/-1/-2/-2/-2/-4/Incap</t>
  </si>
  <si>
    <t>Athletics 1, Awareness 2, Brawl 3, Presence 1, Fortitude 5, Survival 2</t>
  </si>
  <si>
    <t>16L</t>
  </si>
  <si>
    <t>14L</t>
  </si>
  <si>
    <t>Athletics 3, Awareness 2, Brawl 1, Integrity 1, Investigation 1, Presence 1, Fortitude 2, Survival 2</t>
  </si>
  <si>
    <t>Kick</t>
  </si>
  <si>
    <t>-0/-1/-2/-2/-4/Incap</t>
  </si>
  <si>
    <t>Athletics 5, Awareness 3, Brawl 3, Investigation 1, Presence 2, Stealth 3, Survival 3</t>
  </si>
  <si>
    <t>Athletics 2, Awareness 2, Brawl 1, Investigation 2, Stealth 3, Survival 4</t>
  </si>
  <si>
    <t>-0/-1/-1/-1/-2/-2/-2/4/Incap</t>
  </si>
  <si>
    <t>Athletics 5, Awareness 3, Brawl 3, Fortitude 3, Stealth 3, Survival 4</t>
  </si>
  <si>
    <t>Athletics 2, Awareness 2, Brawl 3, Investigation 1, Presence 2, Fortitude 3, Stealth 2, Survival 4</t>
  </si>
  <si>
    <t>Epic Strength 1 (Uplifting Might), Epic Dexterity 1 (Lightning Sprinter)
Cannot be permanently killed. If it dies, burn the corpse and a new amulet will be in the ashes.</t>
  </si>
  <si>
    <t>Can fly up to 100 MPH out of combat and 5X normal move speed in combat.
Only available to scions of the Pesedjet.</t>
  </si>
  <si>
    <t>Pheonix</t>
  </si>
  <si>
    <t>Can fly up to 100 MPH out of combat and 5X normal move speed in combat.
Only available to scions of the Dodekatheon.</t>
  </si>
  <si>
    <t>Can fly at up to 70 MPH out of combat or 3X normal move speed in combat.
Only available to Scions of the Dodekatheon</t>
  </si>
  <si>
    <t>The Golden Servant of Hephaestus</t>
  </si>
  <si>
    <t>-0/-0/-0/-0/-0/-0/-0/-0/-0/-0/Destroyed</t>
  </si>
  <si>
    <t>Academics 3, Art (All) 5, Athletics 3, Awareness 3, Brawl 2, Control (All) 1, Craft (All) 5, Empathy 3, Fortitude 4, Integrity 3, Investigation 2, Larceny 3, Melee 2, Occult 5, Science (All) 5, Stealth 2, Thrown 1</t>
  </si>
  <si>
    <t>Arete 4 (Craft)
Golden Body: Will never cut or break down unless deliberately damaged. All-purpose Hardness of 6.</t>
  </si>
  <si>
    <t>Only available to scions of the Dodekatheon</t>
  </si>
  <si>
    <t>Blowtorch</t>
  </si>
  <si>
    <t>Drill</t>
  </si>
  <si>
    <t>Hammer</t>
  </si>
  <si>
    <t>Saw</t>
  </si>
  <si>
    <t>Nail Gun</t>
  </si>
  <si>
    <t>Shabti (Small)</t>
  </si>
  <si>
    <t>Shabti (larger)</t>
  </si>
  <si>
    <t>Academics 2, Art (Any Single One) 4, Athletics 1, Awareness 2, Craft (Any Single One) 5, Integrity 3, Investigation 1, Larceny 3, Medicine 2, Occult 2, Science 3, Stealth 2</t>
  </si>
  <si>
    <t>Only available to scions of the Pesedjet</t>
  </si>
  <si>
    <t>-0/-1/-1/Deactivated</t>
  </si>
  <si>
    <t>-0/-1/-1/-2/-2/-4/Deactivated</t>
  </si>
  <si>
    <t>Minotaur</t>
  </si>
  <si>
    <t>Rapacity</t>
  </si>
  <si>
    <t>-0/-0/-0/-0/-0/-0/-0/-0/-4/Incap</t>
  </si>
  <si>
    <t>Animal Ken 3, Athletics 4, Awareness 2, Brawl 4, Fortitude 4, Integrity 1, Investigation 1, Melee 3, Presence (Intimidation only) 3, Stealth 1, Survival 4, Thrown 2</t>
  </si>
  <si>
    <t>Epic Strength 2 (Crushing Grip, Holy Rampage), Epic Stamina 2 (Damage Conversion, Self-Healing)</t>
  </si>
  <si>
    <t>Club</t>
  </si>
  <si>
    <t>15B</t>
  </si>
  <si>
    <t>12B</t>
  </si>
  <si>
    <t>Griffin</t>
  </si>
  <si>
    <t>-0/-0/-0/-0/-0/-0/-4/Incap</t>
  </si>
  <si>
    <t>Animal Ken 5, Athletics 4, Awareness 3, Brawl 5, Empathy 2, Fortitude 5, Integrity 5, Investigation 2, Presence 5, Stealth 3, Survival 2</t>
  </si>
  <si>
    <t>Epic Strength 1 (Holy Rampage), Epic Dexterity 2 (Cat’s Grace, Lightning Sprinter), Epic Stamina 2 (Holy Fortitude, Inner Furnace, Self-Healing, Devourer)</t>
  </si>
  <si>
    <t>Fly at 150 MPH out of combat
A skilled fletcher can use a griffin's feathers to make arrows that have double the normal range.</t>
  </si>
  <si>
    <t>Talons</t>
  </si>
  <si>
    <t>Athletics 3, Awareness 3, Brawl 4, Fortitude 4, Integrity 2, Investigation 2, Presence 1, Stealth 3, Survival 2</t>
  </si>
  <si>
    <t>Claws</t>
  </si>
  <si>
    <t>Hadhayosh</t>
  </si>
  <si>
    <t>Athletics4,Awareness3,Brawl3,Fortitude5, Integrity 1, Presence 5, Survival 2</t>
  </si>
  <si>
    <t>Huma</t>
  </si>
  <si>
    <t>Epic Strength 1 (Uplifting Might), Epic Appearance 1 (Center of Attention)</t>
  </si>
  <si>
    <t>Academics 2, Athletics 3, Awareness 3, Brawl 3, Command 2, Control 2, Empathy 1, Integrity 3, Investigation 2, Larceny 1, Marksmanship 3, Medicine 1, Melee 3, Stealth 1</t>
  </si>
  <si>
    <t>Liath Macha</t>
  </si>
  <si>
    <t>Dub Sainglend</t>
  </si>
  <si>
    <t>-0/-0/-0/-1/-1/-1/-1/-2/-2/-2/-2/-4/Incap</t>
  </si>
  <si>
    <t>Can run on water without falling in.
Only available to scion of the Tuatha</t>
  </si>
  <si>
    <t>Epic Strength 2 (Holy Bound, Holy Rampage), Epic Dexterity 1 (Lightning Sprinter)
Water Boons: Water Breathing, Water Control</t>
  </si>
  <si>
    <t>Epic Strength 1 (Holy Bound), Epic Stamina 1 (Holy Fortitude)
Water Boons: Water Breathing, Water Control</t>
  </si>
  <si>
    <t>The Flocks of Morrigan</t>
  </si>
  <si>
    <t>Epic Intelligence 1 (Perfect Memory), Epic Perception 2 (Predatory Focus, Subliminal Warning)</t>
  </si>
  <si>
    <t>The Hound of Lugh</t>
  </si>
  <si>
    <t>-0/-0/-1/-1/-1/-1/-2/-2/-2/-4/Incap</t>
  </si>
  <si>
    <t>Epic Strength 1 (Crushing Grip, performed with jaws)
Epic Perception 1 (Predatory Focus)
Epic Stamina 1 (Damage Conversion)
Epic Appearance 1 (Dreadful Mien)</t>
  </si>
  <si>
    <t>5 Red Branch Knights (Modern)</t>
  </si>
  <si>
    <t>10 Red Branch Knights (Modern)</t>
  </si>
  <si>
    <t>15 Red Branch Knights (Modern)</t>
  </si>
  <si>
    <t>5 Fianna (Modern)</t>
  </si>
  <si>
    <t>10 Fianna (Modern)</t>
  </si>
  <si>
    <t>15 Fianna (Modern)</t>
  </si>
  <si>
    <t>5 Red Branch Knights (Medieval)</t>
  </si>
  <si>
    <t>10 Red Branch Knights (Medieval)</t>
  </si>
  <si>
    <t>15 Red Branch Knights (Medieval)</t>
  </si>
  <si>
    <t>5 Fianna (Medieval)</t>
  </si>
  <si>
    <t>10 Fianna (Medieval)</t>
  </si>
  <si>
    <t>15 Fianna (Medieval)</t>
  </si>
  <si>
    <t>Kerit</t>
  </si>
  <si>
    <t>Attempts to use Enech boons on them gain a +3 dice pool bonus.
Only Available to Scions of the Tuatha</t>
  </si>
  <si>
    <t xml:space="preserve">Attempts to use Enech boons on them gain a +3 dice pool bonus.
</t>
  </si>
  <si>
    <t>Each Knight carries 1 Primary weapon and a knife.
Only Available to Scions of the Tuatha</t>
  </si>
  <si>
    <t>Each Fianna carries 1 Primary weapon and a knife.
Only Available to Scions of the Tuatha</t>
  </si>
  <si>
    <t>Athletics 4, Awareness 2, Brawl 3, Fortitude 2, Integrity 2, Presence 1, Stealth 4, Survival 4</t>
  </si>
  <si>
    <t>Epic Dexterity 1 (Monkey Climber)</t>
  </si>
  <si>
    <t>Mushhushshu</t>
  </si>
  <si>
    <t>Athletics 3, Awareness 2, Brawl 2, Integrity 1, Survival 2</t>
  </si>
  <si>
    <t>Epic Strength 1 (Uplifting Might)
Epic Stamina 1 (Holy Fortitude)
If given a relic urn with the creature, can turn into a small cloud of smoke to be "stabled" inside the urn.</t>
  </si>
  <si>
    <t>Thunderbird</t>
  </si>
  <si>
    <t>Athletics 4, Awareness 3, Brawl 3, Fortitude 4, Integrity 2, Presence 2, Survival 3</t>
  </si>
  <si>
    <t>Epic Strength 2 (Holy Rampage, Uplifting Might), Epic Stamina 1 (Holy Fortitude)
Thunder and Lightning: Effect of Storm Augmentation (Hero p146-147) on all unarmed strikes at no cost.</t>
  </si>
  <si>
    <t>A thunderbird’s favored tactic is to stun an opponent with its Storm Augmentation, then grab the prey, draw it high into the air and drop it to it's death.</t>
  </si>
  <si>
    <t>5 Anauša (Medieval)</t>
  </si>
  <si>
    <t>10 Anauša (Medieval)</t>
  </si>
  <si>
    <t>15 Anauša (Medieval)</t>
  </si>
  <si>
    <t>5 Anauša (Modern)</t>
  </si>
  <si>
    <t>10 Anauša (Modern)</t>
  </si>
  <si>
    <t>Anauša replace their dead every time they are summoned.
Summoning them costs 1 Legend.</t>
  </si>
  <si>
    <t>Each Anauša carries 1 Primary weapon and a knife.
Mercenaries that will serve any scion except those of the Dodekatheon.</t>
  </si>
  <si>
    <t>Athletics 3, Awareness 2, Brawl 2, Survival 3</t>
  </si>
  <si>
    <t>5 Ghilan</t>
  </si>
  <si>
    <t>10 Ghilan</t>
  </si>
  <si>
    <t>15 Ghilan</t>
  </si>
  <si>
    <t>5 Sprites</t>
  </si>
  <si>
    <t>10 Sprites</t>
  </si>
  <si>
    <t>15 Sprites</t>
  </si>
  <si>
    <t>25 Sprites</t>
  </si>
  <si>
    <t>20 Sprites</t>
  </si>
  <si>
    <t>-0/-1/-2/-4/Incap</t>
  </si>
  <si>
    <t>Animal Ken 1, Awareness 3, Craft 1, Empathy 3, Integrity 5, Larceny 3, Occult 1, Stealth 3</t>
  </si>
  <si>
    <t>An individual sprite can glow with a soft light equivalent to a candle by spending one point of Legend. This glow lasts for the scene, or until the sprite douses the light or is destroyed.</t>
  </si>
  <si>
    <t>Can fly, float and hover. Can only fly at normal walking speed.</t>
  </si>
  <si>
    <t>2B</t>
  </si>
  <si>
    <t>Zouwu</t>
  </si>
  <si>
    <t>Epic Strength 1 (Holy Bound) and Epic Dexterity 2 (Lightning Sprinter X2)
By spending a point of Legend, running speed quadruples to about 100 miles per hour.</t>
  </si>
  <si>
    <t>Only Available to scions of the Celestial Bureaucracy</t>
  </si>
  <si>
    <t>5 Horsefaces/Oxheads</t>
  </si>
  <si>
    <t>10 Horsefaces/Oxheads</t>
  </si>
  <si>
    <t>Immortal.
Can perceive immaterial ghosts.</t>
  </si>
  <si>
    <t>-0/-0/-0/-2/-2/-4/Incap</t>
  </si>
  <si>
    <t>Academics 1, Animal Ken 2, Athletics 1, Awareness 3, Brawl 3, Command 1, Empathy 1, Integrity 3, Marksmanship 3, Medicine 1, Melee 3, Survival 1, Thrown 1</t>
  </si>
  <si>
    <t>Qiongqi</t>
  </si>
  <si>
    <t>Ambition</t>
  </si>
  <si>
    <t>Malice</t>
  </si>
  <si>
    <t>Zealotry</t>
  </si>
  <si>
    <t>Athletics 4, Awareness 4, Brawl 3 (Swoop to Attack +3), Fortitude 4, Integrity 3, Investigation 3, Presence 3, Stealth 4, Survival 3</t>
  </si>
  <si>
    <t>Garuda</t>
  </si>
  <si>
    <t>Animal Ken (eagles) 4, Athletics 4, Awareness 3, Brawl 3, Command 4, Fortitude 2, Larceny 3, Melee 5, Presence 3, Stealth 5, Thrown 3</t>
  </si>
  <si>
    <t>Beak</t>
  </si>
  <si>
    <t>3L</t>
  </si>
  <si>
    <t>Chukwa</t>
  </si>
  <si>
    <t>-0,-0,-1,-1,-2,-2,-4, Incap</t>
  </si>
  <si>
    <t>-0/-0/-0 -1/-1/-1/-2/-2/-4/-4/Incap</t>
  </si>
  <si>
    <t>Awareness 4, Control 4, Fortitude 5, Integrity 2, Melee 2, Survival 3</t>
  </si>
  <si>
    <t>Epic Stamina 6 (Inner Furnace, Self-Healing, Holy Fortitude, Body Armor, Regeneration, Skin Shedding)
Nothing can pierce or crush the shell. Striking it's head requires a Trick Shot or aimed attack.</t>
  </si>
  <si>
    <t>Surabhi</t>
  </si>
  <si>
    <t>-0,-0, -0, -0, -0, -1, -1, -1, -1, -2, -2, -2, -2, -4, -4, -4, Incap</t>
  </si>
  <si>
    <t>Animal Ken (cows) 3, Awareness 4, Brawl 4, Command 4, Fortitude 5, Presence 5</t>
  </si>
  <si>
    <t>Hoof</t>
  </si>
  <si>
    <t>Chaturanga - Gaja</t>
  </si>
  <si>
    <t>Chaturanga - Ashva</t>
  </si>
  <si>
    <t>Chaturanga - Bhata</t>
  </si>
  <si>
    <t>Will never perform actions in combat except Guard unless directly attacked.
Only available to scions of The Deva</t>
  </si>
  <si>
    <t>Used for flanking opponents. Can Aim his attacks and perform a Coordinated Assult with you.
Only available to scions of The Devas.</t>
  </si>
  <si>
    <t>Primarily used for attacks with his spear.
Only available to scions of The Devas.</t>
  </si>
  <si>
    <t>Boon: Aegis
Grants access to War and Animal (Elephant) purviews.</t>
  </si>
  <si>
    <t>Grants access to War purview.</t>
  </si>
  <si>
    <t>Primarily uses the Guard action.
Only available to scions of The Devas.</t>
  </si>
  <si>
    <t>1 Dot Creature</t>
  </si>
  <si>
    <t>2 Dot Creature</t>
  </si>
  <si>
    <t>3 Dot Creature</t>
  </si>
  <si>
    <t>4 Dot Creature</t>
  </si>
  <si>
    <t>5 Dot Creature</t>
  </si>
  <si>
    <t>5 Dot Followers</t>
  </si>
  <si>
    <t>4 Dot Followers</t>
  </si>
  <si>
    <t>3 Dot Followers</t>
  </si>
  <si>
    <t>2 Dot Followers</t>
  </si>
  <si>
    <t>1 Dot Followers</t>
  </si>
  <si>
    <t>--Use Concatenate function to have dice pools on Character sheet and elsewhere show free successes from epic attributes</t>
  </si>
  <si>
    <t>Formulas in place.
Pantheon Purviews finished.
Dice Pool Y/N entered</t>
  </si>
  <si>
    <t>Dice Pool</t>
  </si>
  <si>
    <t>DV</t>
  </si>
  <si>
    <t>Climb Roll</t>
  </si>
  <si>
    <t>Swim Speed</t>
  </si>
  <si>
    <t>Terrain Roll</t>
  </si>
  <si>
    <t>Hold Breath</t>
  </si>
  <si>
    <t>Throw Multiplier</t>
  </si>
  <si>
    <t>Starvation</t>
  </si>
  <si>
    <t>Standard Move</t>
  </si>
  <si>
    <t>Climb Speed</t>
  </si>
  <si>
    <t>Jump Distance</t>
  </si>
  <si>
    <t>Strenous Work Time</t>
  </si>
  <si>
    <t>Vert.</t>
  </si>
  <si>
    <t>Hori.</t>
  </si>
  <si>
    <t>Epic Dash</t>
  </si>
  <si>
    <t>Epic Dodge DV</t>
  </si>
  <si>
    <t>Epic FoS Throw</t>
  </si>
  <si>
    <t>Free Presence 
Re-rolls Per Scene</t>
  </si>
  <si>
    <t>Climb - Dashing</t>
  </si>
  <si>
    <t>Body Armor Knack</t>
  </si>
  <si>
    <t>Epic Natural Soak</t>
  </si>
  <si>
    <t>Divine Fortitude - Food</t>
  </si>
  <si>
    <t>Divine Fortitude - Sleep</t>
  </si>
  <si>
    <t>Divine Fortitude - Water</t>
  </si>
  <si>
    <t>Dehydration</t>
  </si>
  <si>
    <t>Sleep</t>
  </si>
  <si>
    <t>Added listings for hardships</t>
  </si>
  <si>
    <t>Added dice pools for Climb and rough terrain movement</t>
  </si>
  <si>
    <t>Added stat listing for front page stats that knacks temporarily enhance by spending Legend Points</t>
  </si>
  <si>
    <t>Arete Bonus</t>
  </si>
  <si>
    <t>Movement, Hardship, Misc</t>
  </si>
  <si>
    <t>Combat</t>
  </si>
  <si>
    <t>Done</t>
  </si>
  <si>
    <t>-- Add "Purchased Knacks" worksheet.</t>
  </si>
  <si>
    <t xml:space="preserve">-- Add Purchased Boons Worksheet
</t>
  </si>
  <si>
    <t>Added worksheet.
Tables working properly.
Advantages page pull formulas working.
Fixed adjuster knack formulas on Character Sheet.</t>
  </si>
  <si>
    <t>-- Knacks and Boons</t>
  </si>
  <si>
    <t>Renamed to Advantages</t>
  </si>
  <si>
    <t>Knacks that are unavailable due to prerequisites will be blanked out.</t>
  </si>
  <si>
    <t>Advancement Tracking (Orange Tabs)</t>
  </si>
  <si>
    <t>Creation / Demigod Conversion / God Conversion (Blue Tabs)</t>
  </si>
  <si>
    <t>The Demigod and God conversion worksheets work basically the same way that the Creation sheet works, just shorter. You do your Demigod Conversion when your character’s Legend Rating reaches 5 and you do your God Conversion when your character’s Legend Rating reaches 9. All dot values you had before your conversions will be automatically filled in to the “Old” columns. 
You’ll notice that on the Demigod and God pages, the character name, calling and Nature do not auto-fill like the rest of the values do. These can be changed at each conversion. If you enter a new name, calling or nature on either of these pages they will take precedent over the values from previous stages. If you leave them blank on these pages, the values from previous stages will remain in effect.</t>
  </si>
  <si>
    <t xml:space="preserve">-- Add Sandbox. </t>
  </si>
  <si>
    <t>Sand</t>
  </si>
  <si>
    <t>Arete pull formulas working.
Tables for 3 Custom Purviews added - 21 boons each.
Enable the addition of individual custom boons within standard purviews.
Added custom Boons section to BoonRef page</t>
  </si>
  <si>
    <t>page added
Custom armor and tables moved, expanded. 
Custom Creatures and Followers table created
Auto-fill formulas updated for above work.
Tables created for custom Purviews and Boons
Link custom boons and custom purviews to the rest of the file</t>
  </si>
  <si>
    <t>The Hidden Folk (thug version)</t>
  </si>
  <si>
    <t>The Hidden Folk (soldier version)</t>
  </si>
  <si>
    <t>Academics 2, Athletics 3, Awareness 3, Brawl 3, Command 2, Control 2, Craft 3, Empathy 1, Integrity 3, Investigation 2, Larceny 1, Marksmanship 3, Medicine 1, Melee 2, Stealth 1</t>
  </si>
  <si>
    <t>Athletics 2, Awareness 2, Brawl 2, Control 1, Craft 3, Fortitude 1, Larceny 2, Marksmanship 1, Melee 1, Stealth 1, Survival 1</t>
  </si>
  <si>
    <t>Has first 2 boons of a single purview, appropriate to the type of spirit it is.</t>
  </si>
  <si>
    <t>Craft specialization is something appropriate to the type of spirit. If it is a wilderness spirit, substitute either Animal Ken or Survival for Craft skill</t>
  </si>
  <si>
    <t>CustomCF</t>
  </si>
  <si>
    <t>Creatures</t>
  </si>
  <si>
    <t>----Mundane</t>
  </si>
  <si>
    <t>----Mythical</t>
  </si>
  <si>
    <t>Reference sheet created.
Table filled with all content.
Custom table on Custom worksheet.
Followers and Creatures page auto-fills from table.</t>
  </si>
  <si>
    <t>Cobra venom is a neurotoxin.  See Hero P. 330 for mechanics</t>
  </si>
  <si>
    <t>Flies at 30 MPH out of combat or 2x normal move speed in combat.
Composed of 10-30 corvids.
Only available to scions of The Tuatha</t>
  </si>
  <si>
    <t>Each cultist will carry 1 firearm and 1 melee weapon. 
Only available to scions of the Yazata</t>
  </si>
  <si>
    <t>Flies at 100 MPH out of combat or 5X normal move speed in combat
burning it's corpse will leave behind a new amulet
Only available to the Yazata</t>
  </si>
  <si>
    <t>Epic Stamina 4 (Damage Conversion, Body Armor, Self-Healing, Solipsistic Well-being)
Boons: Assess Health, Blessing of Health, Heal/Infect, Pratyave
Milking produces Amitra (See Companion P178)</t>
  </si>
  <si>
    <t>Each Amazon will only carry 1 rifle and 1 side arm. All weapons included for player selection.
All attacks did not fit: Clinch - ACC 9, Damage 6B, SPeed 6.</t>
  </si>
  <si>
    <t xml:space="preserve">A Soldier can be issued tactical gear, increasing soak by 3A/3L/6B, -2 mobility penalty. 
Each will carry 1  rifle and 1 sidearm </t>
  </si>
  <si>
    <t xml:space="preserve">A Fianna can be issued tactical gear, increasing soak by 3A/3L/6B, -2 mobility penalty. 
Each will carry 1  rifle and 1 sidearm </t>
  </si>
  <si>
    <t>Take only bashing damage from firearms.
When they eat the flesh of a dead human, they heal a number of health levels equal to the meal's former Stamina score. Can't heal normally.
Immune to fear and mind-control effects.</t>
  </si>
  <si>
    <t xml:space="preserve">A Mercenary can be issued tactical gear, increasing soak by 3A/3L/6B, -2 mobility penalty. 
Each will  carry 1 rifle and most will only carry 1 side arm. </t>
  </si>
  <si>
    <t>Anauša may wear tactical gear, increasing soak by 3A/3L/6B, -2 mobility penalty. Each will only carry 1 rifle and 1 side arm. 
Will not serve  the Dodekatheon.</t>
  </si>
  <si>
    <t>When Einharjar are slain, you can resurrect them. See Hero P. 286 for details.
Each Einharjar carries 1 Primary weapon and a knife.</t>
  </si>
  <si>
    <t>When Einharjar are slain, you can resurrect them. See Hero P. 286 for details.
Each Einharjar carries 1 rifle, 1 pistol and 1 knife.</t>
  </si>
  <si>
    <t>When Einharjar are slain, you can resurrect them. See Hero P. 286 for details.
Each Einharjar carries one Primary weapon, 1 pistol and 1 knife.</t>
  </si>
  <si>
    <t>Each will carry 1 rifle and 1 side arm. 
Only Available to the Celestial Bureaucracy. May desert you if your actions go against CB.</t>
  </si>
  <si>
    <t>Ignore all fear and mind-control effects. Suffer -2 penalty to all actions taken while in sunlight.</t>
  </si>
  <si>
    <t>Suffer Bashing from firearms and ignores wound penalties accrued by fire-arms damage. 
Immune to mind-control and fear effects.</t>
  </si>
  <si>
    <t>Always female. Insatiable hunger for male flesh. 
Cannot resist red wine. See Hero P. 287 for mechanics
Requires Chaos Purview.</t>
  </si>
  <si>
    <t>Soak stats are with a bullet-proof vest. Each will carry 1 rifle and 1 side arm. 
All attacks did not fit: Clinch - ACC 8, Damage 5B, SPeed 6.</t>
  </si>
  <si>
    <t xml:space="preserve">A Knight can be issued tactical gear, increasing soak by 3A/3L/6B, -2 mobility penalty. 
Each will carry 1  rifle and 1 sidearm </t>
  </si>
  <si>
    <t xml:space="preserve">A Soldier can be issued tactical gear, increasing soak by 3A/3L/6B, -2 mobility penalty. 
Each will carry 1 rifle and 1 side arm. </t>
  </si>
  <si>
    <t xml:space="preserve">Can be repaired when damaged.
Only available to the Celestial Bureaucracy.
Stats are for a standard infantryman. </t>
  </si>
  <si>
    <t>Epic Strength 1 (Crushing Grip), Epic Stamina 1 (Self-Healing)
See Companion P. 100 for more details</t>
  </si>
  <si>
    <t>Swims at 40MPH. Can dive to a depth of one league. 
On land, move speed of 3.
Only available to scions of The Devas.</t>
  </si>
  <si>
    <t>Epic Strength 2 (Crushing Grip, Holy Rampage), Epic Dexterity 1 (Untouchable Opponent)
Boons: Animal Command, Battle Cry
Only available to The Deva</t>
  </si>
  <si>
    <t>Flies 50MPH out of combat or 6X normal speed in battle. 
Will always attack serpents. Eating them regains 1 legend point.</t>
  </si>
  <si>
    <t>Epic Strength 2 (Holy Bound,Uplifting Might)
When melted into a paste, the Hadhayosh's fat adds two automatic successes to any medicine roll it is used in. Cutting off enough from it when alive causes 2L damage.</t>
  </si>
  <si>
    <t>Can carry passengers at 60 MPH out of combat or 4X normal move speed in combat. Is fast enough to run on water.
Only available to the Yazata</t>
  </si>
  <si>
    <t>Can heal sick and injured people with it's horn. Roll the Kirin’s (Intelligence + Occult + Legend). The patient heals one lethal health level or two bashing health levels per success. Each healing attempt costs one Legend point.</t>
  </si>
  <si>
    <t>Tiger’s Roar: Enemies mustresist or delay their next action by 1 tick. 
Virtue Sense
See Companion P. 117 for more details
Only available to Scions who serve the Titans</t>
  </si>
  <si>
    <t>Quills: Unarmed attacks against it suffer damage.
Can fly 50MPH out of combat or 3X normal move speed in combat</t>
  </si>
  <si>
    <t>Changed to auto-fill from drop-down lists.</t>
  </si>
  <si>
    <t>Dropdown choices include all standard content plus 6 custom slots</t>
  </si>
  <si>
    <t>Illusion 1</t>
  </si>
  <si>
    <t>Illusion 2</t>
  </si>
  <si>
    <t>Illusion 3</t>
  </si>
  <si>
    <t>Illusion 4</t>
  </si>
  <si>
    <t>Illusion 5</t>
  </si>
  <si>
    <t>Illusion 6</t>
  </si>
  <si>
    <t>Illusion 7</t>
  </si>
  <si>
    <t>Illusion 8</t>
  </si>
  <si>
    <t>Illusion 9</t>
  </si>
  <si>
    <t>Illusion 10</t>
  </si>
  <si>
    <t>Magic Ruleset A - Growing Power</t>
  </si>
  <si>
    <t>All-Purpose Ruleset A - Growing Power</t>
  </si>
  <si>
    <t>Magic Ruleset B - Limitations of Power</t>
  </si>
  <si>
    <t>Demigod Content</t>
  </si>
  <si>
    <t>God Content</t>
  </si>
  <si>
    <t>Ragnarok Content</t>
  </si>
  <si>
    <t>Companion Content</t>
  </si>
  <si>
    <t>Yazata Content</t>
  </si>
  <si>
    <t>Standard</t>
  </si>
  <si>
    <t>Pantheon Boons - Growing Power</t>
  </si>
  <si>
    <t>Terracotta Warrior</t>
  </si>
  <si>
    <t>Serpopard</t>
  </si>
  <si>
    <t>Extendable Neck: Can extend it's neck up to 3 yards for ranged bite attack or +4 intimidation rolls.
Venomous Bite: Enemy must roll (Stam+Fort) against the Serpopard's Legend Rating. If they fail, the bite's damage is doubled.</t>
  </si>
  <si>
    <t>V3.0</t>
  </si>
  <si>
    <t>V3.0-4.0</t>
  </si>
  <si>
    <t>Made 5 entry tables for custom Purviews - Up to 21 boons per Purview</t>
  </si>
  <si>
    <t>Arete Skill</t>
  </si>
  <si>
    <t>Sheet added</t>
  </si>
  <si>
    <t>Added Book listing to allow or restrict content by book</t>
  </si>
  <si>
    <t>Added Magic Ruleset A</t>
  </si>
  <si>
    <t>Added Magic Ruleset B</t>
  </si>
  <si>
    <t>Added Mobility Penalties ruleset</t>
  </si>
  <si>
    <t>Added Illusion Ruleset</t>
  </si>
  <si>
    <t>Added All-Purpose Ruleset A</t>
  </si>
  <si>
    <t>Arete bonus dots now auto-fill from the Purchase Boons sheet</t>
  </si>
  <si>
    <t>Increased size of Guide Description box</t>
  </si>
  <si>
    <t>Arete tables for each Skill auto-fill to the right of the main table when Dodekatheon is selected on the Creation sheet.</t>
  </si>
  <si>
    <t>-- Apply House Rules to custom boons</t>
  </si>
  <si>
    <t>Expected Version</t>
  </si>
  <si>
    <t>-- Add boon and knack descriptions to reference tables so they auto-fill to advantages sheet.</t>
  </si>
  <si>
    <t>-- Add custom knacks to Sandbox.</t>
  </si>
  <si>
    <t>Added Pantheon Boons Ruleset A</t>
  </si>
  <si>
    <t>Illusion Rules</t>
  </si>
  <si>
    <t>Skill listings for Art, Control, Craft and Science will now auto-pull from Creation, DemigodConversion and GodConversion, in that order.</t>
  </si>
  <si>
    <t>-- Add House Rules page</t>
  </si>
  <si>
    <t>Added House Rules page.
Content can be restricted by book if the storyteller does not have access or otherwise doesn't want to make it available.
Added some preliminary rulesets.
All rulesets functional.</t>
  </si>
  <si>
    <t>This Update:</t>
  </si>
  <si>
    <t>Unarmored</t>
  </si>
  <si>
    <t>Arete 1 Academics</t>
  </si>
  <si>
    <t>Arete 2 Academics</t>
  </si>
  <si>
    <t>Arete 3 Academics</t>
  </si>
  <si>
    <t>Arete 4 Academics</t>
  </si>
  <si>
    <t>Arete 5 Academics</t>
  </si>
  <si>
    <t>Arete 6 Academics</t>
  </si>
  <si>
    <t>Arete 7 Academics</t>
  </si>
  <si>
    <t>Arete 8 Academics</t>
  </si>
  <si>
    <t>Arete 9 Academics</t>
  </si>
  <si>
    <t>Arete 10 Academics</t>
  </si>
  <si>
    <t>Arete 1 Animal Ken</t>
  </si>
  <si>
    <t>Arete 2 Animal Ken</t>
  </si>
  <si>
    <t>Arete 3 Animal Ken</t>
  </si>
  <si>
    <t>Arete 4 Animal Ken</t>
  </si>
  <si>
    <t>Arete 5 Animal Ken</t>
  </si>
  <si>
    <t>Arete 6 Animal Ken</t>
  </si>
  <si>
    <t>Arete 7 Animal Ken</t>
  </si>
  <si>
    <t>Arete 8 Animal Ken</t>
  </si>
  <si>
    <t>Arete 9 Animal Ken</t>
  </si>
  <si>
    <t>Arete 10 Animal Ken</t>
  </si>
  <si>
    <t>Arete 1 Athletics</t>
  </si>
  <si>
    <t>Arete 2 Athletics</t>
  </si>
  <si>
    <t>Arete 3 Athletics</t>
  </si>
  <si>
    <t>Arete 4 Athletics</t>
  </si>
  <si>
    <t>Arete 5 Athletics</t>
  </si>
  <si>
    <t>Arete 6 Athletics</t>
  </si>
  <si>
    <t>Arete 7 Athletics</t>
  </si>
  <si>
    <t>Arete 8 Athletics</t>
  </si>
  <si>
    <t>Arete 9 Athletics</t>
  </si>
  <si>
    <t>Arete 10 Athletics</t>
  </si>
  <si>
    <t>Arete 1 Awareness</t>
  </si>
  <si>
    <t>Arete 2 Awareness</t>
  </si>
  <si>
    <t>Arete 3 Awareness</t>
  </si>
  <si>
    <t>Arete 4 Awareness</t>
  </si>
  <si>
    <t>Arete 5 Awareness</t>
  </si>
  <si>
    <t>Arete 6 Awareness</t>
  </si>
  <si>
    <t>Arete 7 Awareness</t>
  </si>
  <si>
    <t>Arete 8 Awareness</t>
  </si>
  <si>
    <t>Arete 9 Awareness</t>
  </si>
  <si>
    <t>Arete 10 Awareness</t>
  </si>
  <si>
    <t>Arete 1 Brawl</t>
  </si>
  <si>
    <t>Arete 2 Brawl</t>
  </si>
  <si>
    <t>Arete 3 Brawl</t>
  </si>
  <si>
    <t>Arete 4 Brawl</t>
  </si>
  <si>
    <t>Arete 5 Brawl</t>
  </si>
  <si>
    <t>Arete 6 Brawl</t>
  </si>
  <si>
    <t>Arete 7 Brawl</t>
  </si>
  <si>
    <t>Arete 8 Brawl</t>
  </si>
  <si>
    <t>Arete 9 Brawl</t>
  </si>
  <si>
    <t>Arete 10 Brawl</t>
  </si>
  <si>
    <t>Arete 1 Command</t>
  </si>
  <si>
    <t>Arete 2 Command</t>
  </si>
  <si>
    <t>Arete 3 Command</t>
  </si>
  <si>
    <t>Arete 4 Command</t>
  </si>
  <si>
    <t>Arete 5 Command</t>
  </si>
  <si>
    <t>Arete 6 Command</t>
  </si>
  <si>
    <t>Arete 7 Command</t>
  </si>
  <si>
    <t>Arete 8 Command</t>
  </si>
  <si>
    <t>Arete 9 Command</t>
  </si>
  <si>
    <t>Arete 10 Command</t>
  </si>
  <si>
    <t>Arete 1 Empathy</t>
  </si>
  <si>
    <t>Arete 2 Empathy</t>
  </si>
  <si>
    <t>Arete 3 Empathy</t>
  </si>
  <si>
    <t>Arete 4 Empathy</t>
  </si>
  <si>
    <t>Arete 5 Empathy</t>
  </si>
  <si>
    <t>Arete 6 Empathy</t>
  </si>
  <si>
    <t>Arete 7 Empathy</t>
  </si>
  <si>
    <t>Arete 8 Empathy</t>
  </si>
  <si>
    <t>Arete 9 Empathy</t>
  </si>
  <si>
    <t>Arete 10 Empathy</t>
  </si>
  <si>
    <t>Arete 1 Fortitude</t>
  </si>
  <si>
    <t>Arete 2 Fortitude</t>
  </si>
  <si>
    <t>Arete 3 Fortitude</t>
  </si>
  <si>
    <t>Arete 4 Fortitude</t>
  </si>
  <si>
    <t>Arete 5 Fortitude</t>
  </si>
  <si>
    <t>Arete 6 Fortitude</t>
  </si>
  <si>
    <t>Arete 7 Fortitude</t>
  </si>
  <si>
    <t>Arete 8 Fortitude</t>
  </si>
  <si>
    <t>Arete 9 Fortitude</t>
  </si>
  <si>
    <t>Arete 10 Fortitude</t>
  </si>
  <si>
    <t>Arete 1 Integrity</t>
  </si>
  <si>
    <t>Arete 2 Integrity</t>
  </si>
  <si>
    <t>Arete 3 Integrity</t>
  </si>
  <si>
    <t>Arete 4 Integrity</t>
  </si>
  <si>
    <t>Arete 5 Integrity</t>
  </si>
  <si>
    <t>Arete 6 Integrity</t>
  </si>
  <si>
    <t>Arete 7 Integrity</t>
  </si>
  <si>
    <t>Arete 8 Integrity</t>
  </si>
  <si>
    <t>Arete 9 Integrity</t>
  </si>
  <si>
    <t>Arete 10 Integrity</t>
  </si>
  <si>
    <t>Arete 1 Investigation</t>
  </si>
  <si>
    <t>Arete 2 Investigation</t>
  </si>
  <si>
    <t>Arete 3 Investigation</t>
  </si>
  <si>
    <t>Arete 4 Investigation</t>
  </si>
  <si>
    <t>Arete 5 Investigation</t>
  </si>
  <si>
    <t>Arete 6 Investigation</t>
  </si>
  <si>
    <t>Arete 7 Investigation</t>
  </si>
  <si>
    <t>Arete 8 Investigation</t>
  </si>
  <si>
    <t>Arete 9 Investigation</t>
  </si>
  <si>
    <t>Arete 10 Investigation</t>
  </si>
  <si>
    <t>Arete 1 Larceny</t>
  </si>
  <si>
    <t>Arete 2 Larceny</t>
  </si>
  <si>
    <t>Arete 3 Larceny</t>
  </si>
  <si>
    <t>Arete 4 Larceny</t>
  </si>
  <si>
    <t>Arete 5 Larceny</t>
  </si>
  <si>
    <t>Arete 6 Larceny</t>
  </si>
  <si>
    <t>Arete 7 Larceny</t>
  </si>
  <si>
    <t>Arete 8 Larceny</t>
  </si>
  <si>
    <t>Arete 9 Larceny</t>
  </si>
  <si>
    <t>Arete 10 Larceny</t>
  </si>
  <si>
    <t>Arete 1 Marksmanship</t>
  </si>
  <si>
    <t>Arete 2 Marksmanship</t>
  </si>
  <si>
    <t>Arete 3 Marksmanship</t>
  </si>
  <si>
    <t>Arete 4 Marksmanship</t>
  </si>
  <si>
    <t>Arete 5 Marksmanship</t>
  </si>
  <si>
    <t>Arete 6 Marksmanship</t>
  </si>
  <si>
    <t>Arete 7 Marksmanship</t>
  </si>
  <si>
    <t>Arete 8 Marksmanship</t>
  </si>
  <si>
    <t>Arete 9 Marksmanship</t>
  </si>
  <si>
    <t>Arete 10 Marksmanship</t>
  </si>
  <si>
    <t>Arete 1 Medicine</t>
  </si>
  <si>
    <t>Arete 2 Medicine</t>
  </si>
  <si>
    <t>Arete 3 Medicine</t>
  </si>
  <si>
    <t>Arete 4 Medicine</t>
  </si>
  <si>
    <t>Arete 5 Medicine</t>
  </si>
  <si>
    <t>Arete 6 Medicine</t>
  </si>
  <si>
    <t>Arete 7 Medicine</t>
  </si>
  <si>
    <t>Arete 8 Medicine</t>
  </si>
  <si>
    <t>Arete 9 Medicine</t>
  </si>
  <si>
    <t>Arete 10 Medicine</t>
  </si>
  <si>
    <t>Arete 1 Melee</t>
  </si>
  <si>
    <t>Arete 2 Melee</t>
  </si>
  <si>
    <t>Arete 3 Melee</t>
  </si>
  <si>
    <t>Arete 4 Melee</t>
  </si>
  <si>
    <t>Arete 5 Melee</t>
  </si>
  <si>
    <t>Arete 6 Melee</t>
  </si>
  <si>
    <t>Arete 7 Melee</t>
  </si>
  <si>
    <t>Arete 8 Melee</t>
  </si>
  <si>
    <t>Arete 9 Melee</t>
  </si>
  <si>
    <t>Arete 10 Melee</t>
  </si>
  <si>
    <t>Arete 1 Occult</t>
  </si>
  <si>
    <t>Arete 2 Occult</t>
  </si>
  <si>
    <t>Arete 3 Occult</t>
  </si>
  <si>
    <t>Arete 4 Occult</t>
  </si>
  <si>
    <t>Arete 5 Occult</t>
  </si>
  <si>
    <t>Arete 6 Occult</t>
  </si>
  <si>
    <t>Arete 7 Occult</t>
  </si>
  <si>
    <t>Arete 8 Occult</t>
  </si>
  <si>
    <t>Arete 9 Occult</t>
  </si>
  <si>
    <t>Arete 10 Occult</t>
  </si>
  <si>
    <t>Arete 1 Politics</t>
  </si>
  <si>
    <t>Arete 2 Politics</t>
  </si>
  <si>
    <t>Arete 3 Politics</t>
  </si>
  <si>
    <t>Arete 4 Politics</t>
  </si>
  <si>
    <t>Arete 5 Politics</t>
  </si>
  <si>
    <t>Arete 6 Politics</t>
  </si>
  <si>
    <t>Arete 7 Politics</t>
  </si>
  <si>
    <t>Arete 8 Politics</t>
  </si>
  <si>
    <t>Arete 9 Politics</t>
  </si>
  <si>
    <t>Arete 10 Politics</t>
  </si>
  <si>
    <t>Arete 1 Presence</t>
  </si>
  <si>
    <t>Arete 2 Presence</t>
  </si>
  <si>
    <t>Arete 3 Presence</t>
  </si>
  <si>
    <t>Arete 4 Presence</t>
  </si>
  <si>
    <t>Arete 5 Presence</t>
  </si>
  <si>
    <t>Arete 6 Presence</t>
  </si>
  <si>
    <t>Arete 7 Presence</t>
  </si>
  <si>
    <t>Arete 8 Presence</t>
  </si>
  <si>
    <t>Arete 9 Presence</t>
  </si>
  <si>
    <t>Arete 10 Presence</t>
  </si>
  <si>
    <t>Arete 1 Stealth</t>
  </si>
  <si>
    <t>Arete 2 Stealth</t>
  </si>
  <si>
    <t>Arete 3 Stealth</t>
  </si>
  <si>
    <t>Arete 4 Stealth</t>
  </si>
  <si>
    <t>Arete 5 Stealth</t>
  </si>
  <si>
    <t>Arete 6 Stealth</t>
  </si>
  <si>
    <t>Arete 7 Stealth</t>
  </si>
  <si>
    <t>Arete 8 Stealth</t>
  </si>
  <si>
    <t>Arete 9 Stealth</t>
  </si>
  <si>
    <t>Arete 10 Stealth</t>
  </si>
  <si>
    <t>Arete 1 Survival</t>
  </si>
  <si>
    <t>Arete 2 Survival</t>
  </si>
  <si>
    <t>Arete 3 Survival</t>
  </si>
  <si>
    <t>Arete 4 Survival</t>
  </si>
  <si>
    <t>Arete 5 Survival</t>
  </si>
  <si>
    <t>Arete 6 Survival</t>
  </si>
  <si>
    <t>Arete 7 Survival</t>
  </si>
  <si>
    <t>Arete 8 Survival</t>
  </si>
  <si>
    <t>Arete 9 Survival</t>
  </si>
  <si>
    <t>Arete 10 Survival</t>
  </si>
  <si>
    <t>Arete 1 Thrown</t>
  </si>
  <si>
    <t>Arete 2 Thrown</t>
  </si>
  <si>
    <t>Arete 3 Thrown</t>
  </si>
  <si>
    <t>Arete 4 Thrown</t>
  </si>
  <si>
    <t>Arete 5 Thrown</t>
  </si>
  <si>
    <t>Arete 6 Thrown</t>
  </si>
  <si>
    <t>Arete 7 Thrown</t>
  </si>
  <si>
    <t>Arete 8 Thrown</t>
  </si>
  <si>
    <t>Arete 9 Thrown</t>
  </si>
  <si>
    <t>Arete 10 Thrown</t>
  </si>
  <si>
    <t>Arete 1 Art</t>
  </si>
  <si>
    <t>Arete 2 Art</t>
  </si>
  <si>
    <t>Arete 3 Art</t>
  </si>
  <si>
    <t>Arete 4 Art</t>
  </si>
  <si>
    <t>Arete 5 Art</t>
  </si>
  <si>
    <t>Arete 6 Art</t>
  </si>
  <si>
    <t>Arete 7 Art</t>
  </si>
  <si>
    <t>Arete 8 Art</t>
  </si>
  <si>
    <t>Arete 9 Art</t>
  </si>
  <si>
    <t>Arete 10 Art</t>
  </si>
  <si>
    <t>Arete 1 Control</t>
  </si>
  <si>
    <t>Arete 2 Control</t>
  </si>
  <si>
    <t>Arete 3 Control</t>
  </si>
  <si>
    <t>Arete 4 Control</t>
  </si>
  <si>
    <t>Arete 5 Control</t>
  </si>
  <si>
    <t>Arete 6 Control</t>
  </si>
  <si>
    <t>Arete 7 Control</t>
  </si>
  <si>
    <t>Arete 8 Control</t>
  </si>
  <si>
    <t>Arete 9 Control</t>
  </si>
  <si>
    <t>Arete 10 Control</t>
  </si>
  <si>
    <t>Arete 1 Craft</t>
  </si>
  <si>
    <t>Arete 2 Craft</t>
  </si>
  <si>
    <t>Arete 3 Craft</t>
  </si>
  <si>
    <t>Arete 4 Craft</t>
  </si>
  <si>
    <t>Arete 5 Craft</t>
  </si>
  <si>
    <t>Arete 6 Craft</t>
  </si>
  <si>
    <t>Arete 7 Craft</t>
  </si>
  <si>
    <t>Arete 8 Craft</t>
  </si>
  <si>
    <t>Arete 9 Craft</t>
  </si>
  <si>
    <t>Arete 10 Craft</t>
  </si>
  <si>
    <t>Arete 1 Science</t>
  </si>
  <si>
    <t>Arete 2 Science</t>
  </si>
  <si>
    <t>Arete 3 Science</t>
  </si>
  <si>
    <t>Arete 4 Science</t>
  </si>
  <si>
    <t>Arete 5 Science</t>
  </si>
  <si>
    <t>Arete 6 Science</t>
  </si>
  <si>
    <t>Arete 7 Science</t>
  </si>
  <si>
    <t>Arete 8 Science</t>
  </si>
  <si>
    <t>Arete 9 Science</t>
  </si>
  <si>
    <t>Arete 10 Science</t>
  </si>
  <si>
    <t>Fairy Troop (Animal)</t>
  </si>
  <si>
    <t>Fairy Troop (Chaos)</t>
  </si>
  <si>
    <t>Fairy Troop (Darkness)</t>
  </si>
  <si>
    <t>Fairy Troop (Death)</t>
  </si>
  <si>
    <t>Fairy Troop (Earth)</t>
  </si>
  <si>
    <t>Fairy Troop (Fertility)</t>
  </si>
  <si>
    <t>Fairy Troop (Fire)</t>
  </si>
  <si>
    <t>Fairy Troop (Frost)</t>
  </si>
  <si>
    <t>Fairy Troop (Guardian)</t>
  </si>
  <si>
    <t>Fairy Troop (Health)</t>
  </si>
  <si>
    <t>Fairy Troop (Justice)</t>
  </si>
  <si>
    <t>Fairy Troop (Moon)</t>
  </si>
  <si>
    <t>Fairy Troop (Psychopomp)</t>
  </si>
  <si>
    <t>Fairy Troop (Sky)</t>
  </si>
  <si>
    <t>Fairy Troop (Stars)</t>
  </si>
  <si>
    <t>Fairy Troop (Sun)</t>
  </si>
  <si>
    <t>Fairy Troop (War)</t>
  </si>
  <si>
    <t>Fairy Troop (Water)</t>
  </si>
  <si>
    <t>Willpower + Occult</t>
  </si>
  <si>
    <t>Like its prerequisite Knack, a character can spend Legend against a single incoming attack and reduce the severity of that attack. If he spends five points of Legend, he can reduce all the aggravated damage from a single attack to lethal damage, which he has a better chance of soaking.</t>
  </si>
  <si>
    <t>The character is the epitome of the holy ascetic. The periods for which she is able to go without food, water and sleep all double. The amount of time she is able to work at a strenuous task without stopping also doubles.</t>
  </si>
  <si>
    <t>Association Ruleset A - 
Increased Potency</t>
  </si>
  <si>
    <t>Added Association Ruleset A</t>
  </si>
  <si>
    <t>Art*</t>
  </si>
  <si>
    <t>Animal Ken*</t>
  </si>
  <si>
    <t>Empathy*</t>
  </si>
  <si>
    <t>Medicine*</t>
  </si>
  <si>
    <t>Occult*</t>
  </si>
  <si>
    <t>Presence*</t>
  </si>
  <si>
    <t>Awareness*</t>
  </si>
  <si>
    <t>Command*</t>
  </si>
  <si>
    <t>Control*</t>
  </si>
  <si>
    <t>Stealth*</t>
  </si>
  <si>
    <t>Craft*</t>
  </si>
  <si>
    <t>Integrity*</t>
  </si>
  <si>
    <t>Science*</t>
  </si>
  <si>
    <t>Survival*</t>
  </si>
  <si>
    <t>Academics*</t>
  </si>
  <si>
    <t>Brawl*</t>
  </si>
  <si>
    <t>Fortitude*</t>
  </si>
  <si>
    <t>Politics*</t>
  </si>
  <si>
    <t>Melee*</t>
  </si>
  <si>
    <t>Larceny*</t>
  </si>
  <si>
    <t>Athletics*</t>
  </si>
  <si>
    <t>Marksmanship*</t>
  </si>
  <si>
    <t>Investigation*</t>
  </si>
  <si>
    <t>Thrown*</t>
  </si>
  <si>
    <t>melee*</t>
  </si>
  <si>
    <t>New Dots</t>
  </si>
  <si>
    <t>Grants 1 bonus die on all rolls using the Academics Skill</t>
  </si>
  <si>
    <t>Grants 2 bonus dice on all rolls using the Academics skill. You can sacrifice 2 bonus dice in exchange for 1 chance to re-roll if the roll fails.</t>
  </si>
  <si>
    <t>Grants 4 bonus dice on all rolls using the Academics skill. You can sacrifice bonus dice in exchange chances to re-roll if the roll fails, at a rate of 2 bonus dice per potential re-roll chance.</t>
  </si>
  <si>
    <t>Grants 7 bonus dice on all rolls using the Academics skill. You can sacrifice bonus dice in exchange chances to re-roll if the roll fails, at a rate of 2 bonus dice per potential re-roll chance.</t>
  </si>
  <si>
    <t>Grants 11 bonus dice on all rolls using the Academics skill. You can sacrifice bonus dice in exchange chances to re-roll if the roll fails, at a rate of 2 bonus dice per potential re-roll chance.</t>
  </si>
  <si>
    <t>Grants 16 bonus dice on all rolls using the Academics skill. You can sacrifice bonus dice in exchange chances to re-roll if the roll fails, at a rate of 2 bonus dice per potential re-roll chance.</t>
  </si>
  <si>
    <t>Grants 22 bonus dice on all rolls using the Academics skill. You can sacrifice bonus dice in exchange chances to re-roll if the roll fails, at a rate of 2 bonus dice per potential re-roll chance.</t>
  </si>
  <si>
    <t>Grants 29 bonus dice on all rolls using the Academics skill. You can sacrifice bonus dice in exchange chances to re-roll if the roll fails, at a rate of 2 bonus dice per potential re-roll chance.</t>
  </si>
  <si>
    <t>Grants 37 bonus dice on all rolls using the Academics skill. You can sacrifice bonus dice in exchange chances to re-roll if the roll fails, at a rate of 2 bonus dice per potential re-roll chance.</t>
  </si>
  <si>
    <t>Grants 46 bonus dice on all rolls using the Academics skill. You can sacrifice bonus dice in exchange chances to re-roll if the roll fails, at a rate of 2 bonus dice per potential re-roll chance.</t>
  </si>
  <si>
    <t>Grants 1 bonus die on all rolls using the Animal Ken Skill</t>
  </si>
  <si>
    <t>Grants 2 bonus dice on all rolls using the Animal Ken skill. You can sacrifice 2 bonus dice in exchange for 1 chance to re-roll if the roll fails.</t>
  </si>
  <si>
    <t>Grants 4 bonus dice on all rolls using the Animal Ken skill. You can sacrifice bonus dice in exchange chances to re-roll if the roll fails, at a rate of 2 bonus dice per potential re-roll chance.</t>
  </si>
  <si>
    <t>Grants 7 bonus dice on all rolls using the Animal Ken skill. You can sacrifice bonus dice in exchange chances to re-roll if the roll fails, at a rate of 2 bonus dice per potential re-roll chance.</t>
  </si>
  <si>
    <t>Grants 11 bonus dice on all rolls using the Animal Ken skill. You can sacrifice bonus dice in exchange chances to re-roll if the roll fails, at a rate of 2 bonus dice per potential re-roll chance.</t>
  </si>
  <si>
    <t>Grants 16 bonus dice on all rolls using the Animal Ken skill. You can sacrifice bonus dice in exchange chances to re-roll if the roll fails, at a rate of 2 bonus dice per potential re-roll chance.</t>
  </si>
  <si>
    <t>Grants 22 bonus dice on all rolls using the Animal Ken skill. You can sacrifice bonus dice in exchange chances to re-roll if the roll fails, at a rate of 2 bonus dice per potential re-roll chance.</t>
  </si>
  <si>
    <t>Grants 29 bonus dice on all rolls using the Animal Ken skill. You can sacrifice bonus dice in exchange chances to re-roll if the roll fails, at a rate of 2 bonus dice per potential re-roll chance.</t>
  </si>
  <si>
    <t>Grants 37 bonus dice on all rolls using the Animal Ken skill. You can sacrifice bonus dice in exchange chances to re-roll if the roll fails, at a rate of 2 bonus dice per potential re-roll chance.</t>
  </si>
  <si>
    <t>Grants 46 bonus dice on all rolls using the Animal Ken skill. You can sacrifice bonus dice in exchange chances to re-roll if the roll fails, at a rate of 2 bonus dice per potential re-roll chance.</t>
  </si>
  <si>
    <t>Grants 1 bonus die on all rolls using the Art Skill</t>
  </si>
  <si>
    <t>Grants 2 bonus dice on all rolls using the Art skill. You can sacrifice 2 bonus dice in exchange for 1 chance to re-roll if the roll fails.</t>
  </si>
  <si>
    <t>Grants 4 bonus dice on all rolls using the Art skill. You can sacrifice bonus dice in exchange chances to re-roll if the roll fails, at a rate of 2 bonus dice per potential re-roll chance.</t>
  </si>
  <si>
    <t>Grants 7 bonus dice on all rolls using the Art skill. You can sacrifice bonus dice in exchange chances to re-roll if the roll fails, at a rate of 2 bonus dice per potential re-roll chance.</t>
  </si>
  <si>
    <t>Grants 11 bonus dice on all rolls using the Art skill. You can sacrifice bonus dice in exchange chances to re-roll if the roll fails, at a rate of 2 bonus dice per potential re-roll chance.</t>
  </si>
  <si>
    <t>Grants 16 bonus dice on all rolls using the Art skill. You can sacrifice bonus dice in exchange chances to re-roll if the roll fails, at a rate of 2 bonus dice per potential re-roll chance.</t>
  </si>
  <si>
    <t>Grants 22 bonus dice on all rolls using the Art skill. You can sacrifice bonus dice in exchange chances to re-roll if the roll fails, at a rate of 2 bonus dice per potential re-roll chance.</t>
  </si>
  <si>
    <t>Grants 29 bonus dice on all rolls using the Art skill. You can sacrifice bonus dice in exchange chances to re-roll if the roll fails, at a rate of 2 bonus dice per potential re-roll chance.</t>
  </si>
  <si>
    <t>Grants 37 bonus dice on all rolls using the Art skill. You can sacrifice bonus dice in exchange chances to re-roll if the roll fails, at a rate of 2 bonus dice per potential re-roll chance.</t>
  </si>
  <si>
    <t>Grants 46 bonus dice on all rolls using the Art skill. You can sacrifice bonus dice in exchange chances to re-roll if the roll fails, at a rate of 2 bonus dice per potential re-roll chance.</t>
  </si>
  <si>
    <t>Grants 1 bonus die on all rolls using the Athletics Skill</t>
  </si>
  <si>
    <t>Grants 2 bonus dice on all rolls using the Athletics skill. You can sacrifice 2 bonus dice in exchange for 1 chance to re-roll if the roll fails.</t>
  </si>
  <si>
    <t>Grants 4 bonus dice on all rolls using the Athletics skill. You can sacrifice bonus dice in exchange chances to re-roll if the roll fails, at a rate of 2 bonus dice per potential re-roll chance.</t>
  </si>
  <si>
    <t>Grants 7 bonus dice on all rolls using the Athletics skill. You can sacrifice bonus dice in exchange chances to re-roll if the roll fails, at a rate of 2 bonus dice per potential re-roll chance.</t>
  </si>
  <si>
    <t>Grants 11 bonus dice on all rolls using the Athletics skill. You can sacrifice bonus dice in exchange chances to re-roll if the roll fails, at a rate of 2 bonus dice per potential re-roll chance.</t>
  </si>
  <si>
    <t>Grants 16 bonus dice on all rolls using the Athletics skill. You can sacrifice bonus dice in exchange chances to re-roll if the roll fails, at a rate of 2 bonus dice per potential re-roll chance.</t>
  </si>
  <si>
    <t>Grants 22 bonus dice on all rolls using the Athletics skill. You can sacrifice bonus dice in exchange chances to re-roll if the roll fails, at a rate of 2 bonus dice per potential re-roll chance.</t>
  </si>
  <si>
    <t>Grants 29 bonus dice on all rolls using the Athletics skill. You can sacrifice bonus dice in exchange chances to re-roll if the roll fails, at a rate of 2 bonus dice per potential re-roll chance.</t>
  </si>
  <si>
    <t>Grants 37 bonus dice on all rolls using the Athletics skill. You can sacrifice bonus dice in exchange chances to re-roll if the roll fails, at a rate of 2 bonus dice per potential re-roll chance.</t>
  </si>
  <si>
    <t>Grants 46 bonus dice on all rolls using the Athletics skill. You can sacrifice bonus dice in exchange chances to re-roll if the roll fails, at a rate of 2 bonus dice per potential re-roll chance.</t>
  </si>
  <si>
    <t>Grants 1 bonus die on all rolls using the Awareness Skill</t>
  </si>
  <si>
    <t>Grants 2 bonus dice on all rolls using the Awareness skill. You can sacrifice 2 bonus dice in exchange for 1 chance to re-roll if the roll fails.</t>
  </si>
  <si>
    <t>Grants 4 bonus dice on all rolls using the Awareness skill. You can sacrifice bonus dice in exchange chances to re-roll if the roll fails, at a rate of 2 bonus dice per potential re-roll chance.</t>
  </si>
  <si>
    <t>Grants 7 bonus dice on all rolls using the Awareness skill. You can sacrifice bonus dice in exchange chances to re-roll if the roll fails, at a rate of 2 bonus dice per potential re-roll chance.</t>
  </si>
  <si>
    <t>Grants 11 bonus dice on all rolls using the Awareness skill. You can sacrifice bonus dice in exchange chances to re-roll if the roll fails, at a rate of 2 bonus dice per potential re-roll chance.</t>
  </si>
  <si>
    <t>Grants 16 bonus dice on all rolls using the Awareness skill. You can sacrifice bonus dice in exchange chances to re-roll if the roll fails, at a rate of 2 bonus dice per potential re-roll chance.</t>
  </si>
  <si>
    <t>Grants 22 bonus dice on all rolls using the Awareness skill. You can sacrifice bonus dice in exchange chances to re-roll if the roll fails, at a rate of 2 bonus dice per potential re-roll chance.</t>
  </si>
  <si>
    <t>Grants 29 bonus dice on all rolls using the Awareness skill. You can sacrifice bonus dice in exchange chances to re-roll if the roll fails, at a rate of 2 bonus dice per potential re-roll chance.</t>
  </si>
  <si>
    <t>Grants 37 bonus dice on all rolls using the Awareness skill. You can sacrifice bonus dice in exchange chances to re-roll if the roll fails, at a rate of 2 bonus dice per potential re-roll chance.</t>
  </si>
  <si>
    <t>Grants 46 bonus dice on all rolls using the Awareness skill. You can sacrifice bonus dice in exchange chances to re-roll if the roll fails, at a rate of 2 bonus dice per potential re-roll chance.</t>
  </si>
  <si>
    <t>Grants 1 bonus die on all rolls using the Brawl Skill</t>
  </si>
  <si>
    <t>Grants 2 bonus dice on all rolls using the Brawl skill. You can sacrifice 2 bonus dice in exchange for 1 chance to re-roll if the roll fails.</t>
  </si>
  <si>
    <t>Grants 4 bonus dice on all rolls using the Brawl skill. You can sacrifice bonus dice in exchange chances to re-roll if the roll fails, at a rate of 2 bonus dice per potential re-roll chance.</t>
  </si>
  <si>
    <t>Grants 7 bonus dice on all rolls using the Brawl skill. You can sacrifice bonus dice in exchange chances to re-roll if the roll fails, at a rate of 2 bonus dice per potential re-roll chance.</t>
  </si>
  <si>
    <t>Grants 11 bonus dice on all rolls using the Brawl skill. You can sacrifice bonus dice in exchange chances to re-roll if the roll fails, at a rate of 2 bonus dice per potential re-roll chance.</t>
  </si>
  <si>
    <t>Grants 16 bonus dice on all rolls using the Brawl skill. You can sacrifice bonus dice in exchange chances to re-roll if the roll fails, at a rate of 2 bonus dice per potential re-roll chance.</t>
  </si>
  <si>
    <t>Grants 22 bonus dice on all rolls using the Brawl skill. You can sacrifice bonus dice in exchange chances to re-roll if the roll fails, at a rate of 2 bonus dice per potential re-roll chance.</t>
  </si>
  <si>
    <t>Grants 29 bonus dice on all rolls using the Brawl skill. You can sacrifice bonus dice in exchange chances to re-roll if the roll fails, at a rate of 2 bonus dice per potential re-roll chance.</t>
  </si>
  <si>
    <t>Grants 37 bonus dice on all rolls using the Brawl skill. You can sacrifice bonus dice in exchange chances to re-roll if the roll fails, at a rate of 2 bonus dice per potential re-roll chance.</t>
  </si>
  <si>
    <t>Grants 46 bonus dice on all rolls using the Brawl skill. You can sacrifice bonus dice in exchange chances to re-roll if the roll fails, at a rate of 2 bonus dice per potential re-roll chance.</t>
  </si>
  <si>
    <t>Grants 1 bonus die on all rolls using the Command Skill</t>
  </si>
  <si>
    <t>Grants 2 bonus dice on all rolls using the Command skill. You can sacrifice 2 bonus dice in exchange for 1 chance to re-roll if the roll fails.</t>
  </si>
  <si>
    <t>Grants 4 bonus dice on all rolls using the Command skill. You can sacrifice bonus dice in exchange chances to re-roll if the roll fails, at a rate of 2 bonus dice per potential re-roll chance.</t>
  </si>
  <si>
    <t>Grants 7 bonus dice on all rolls using the Command skill. You can sacrifice bonus dice in exchange chances to re-roll if the roll fails, at a rate of 2 bonus dice per potential re-roll chance.</t>
  </si>
  <si>
    <t>Grants 11 bonus dice on all rolls using the Command skill. You can sacrifice bonus dice in exchange chances to re-roll if the roll fails, at a rate of 2 bonus dice per potential re-roll chance.</t>
  </si>
  <si>
    <t>Grants 16 bonus dice on all rolls using the Command skill. You can sacrifice bonus dice in exchange chances to re-roll if the roll fails, at a rate of 2 bonus dice per potential re-roll chance.</t>
  </si>
  <si>
    <t>Grants 22 bonus dice on all rolls using the Command skill. You can sacrifice bonus dice in exchange chances to re-roll if the roll fails, at a rate of 2 bonus dice per potential re-roll chance.</t>
  </si>
  <si>
    <t>Grants 29 bonus dice on all rolls using the Command skill. You can sacrifice bonus dice in exchange chances to re-roll if the roll fails, at a rate of 2 bonus dice per potential re-roll chance.</t>
  </si>
  <si>
    <t>Grants 37 bonus dice on all rolls using the Command skill. You can sacrifice bonus dice in exchange chances to re-roll if the roll fails, at a rate of 2 bonus dice per potential re-roll chance.</t>
  </si>
  <si>
    <t>Grants 46 bonus dice on all rolls using the Command skill. You can sacrifice bonus dice in exchange chances to re-roll if the roll fails, at a rate of 2 bonus dice per potential re-roll chance.</t>
  </si>
  <si>
    <t>Grants 1 bonus die on all rolls using the Control Skill</t>
  </si>
  <si>
    <t>Grants 2 bonus dice on all rolls using the Control skill. You can sacrifice 2 bonus dice in exchange for 1 chance to re-roll if the roll fails.</t>
  </si>
  <si>
    <t>Grants 4 bonus dice on all rolls using the Control skill. You can sacrifice bonus dice in exchange chances to re-roll if the roll fails, at a rate of 2 bonus dice per potential re-roll chance.</t>
  </si>
  <si>
    <t>Grants 7 bonus dice on all rolls using the Control skill. You can sacrifice bonus dice in exchange chances to re-roll if the roll fails, at a rate of 2 bonus dice per potential re-roll chance.</t>
  </si>
  <si>
    <t>Grants 11 bonus dice on all rolls using the Control skill. You can sacrifice bonus dice in exchange chances to re-roll if the roll fails, at a rate of 2 bonus dice per potential re-roll chance.</t>
  </si>
  <si>
    <t>Grants 16 bonus dice on all rolls using the Control skill. You can sacrifice bonus dice in exchange chances to re-roll if the roll fails, at a rate of 2 bonus dice per potential re-roll chance.</t>
  </si>
  <si>
    <t>Grants 22 bonus dice on all rolls using the Control skill. You can sacrifice bonus dice in exchange chances to re-roll if the roll fails, at a rate of 2 bonus dice per potential re-roll chance.</t>
  </si>
  <si>
    <t>Grants 29 bonus dice on all rolls using the Control skill. You can sacrifice bonus dice in exchange chances to re-roll if the roll fails, at a rate of 2 bonus dice per potential re-roll chance.</t>
  </si>
  <si>
    <t>Grants 37 bonus dice on all rolls using the Control skill. You can sacrifice bonus dice in exchange chances to re-roll if the roll fails, at a rate of 2 bonus dice per potential re-roll chance.</t>
  </si>
  <si>
    <t>Grants 46 bonus dice on all rolls using the Control skill. You can sacrifice bonus dice in exchange chances to re-roll if the roll fails, at a rate of 2 bonus dice per potential re-roll chance.</t>
  </si>
  <si>
    <t>Grants 1 bonus die on all rolls using the Craft Skill</t>
  </si>
  <si>
    <t>Grants 2 bonus dice on all rolls using the Craft skill. You can sacrifice 2 bonus dice in exchange for 1 chance to re-roll if the roll fails.</t>
  </si>
  <si>
    <t>Grants 4 bonus dice on all rolls using the Craft skill. You can sacrifice bonus dice in exchange chances to re-roll if the roll fails, at a rate of 2 bonus dice per potential re-roll chance.</t>
  </si>
  <si>
    <t>Grants 7 bonus dice on all rolls using the Craft skill. You can sacrifice bonus dice in exchange chances to re-roll if the roll fails, at a rate of 2 bonus dice per potential re-roll chance.</t>
  </si>
  <si>
    <t>Grants 11 bonus dice on all rolls using the Craft skill. You can sacrifice bonus dice in exchange chances to re-roll if the roll fails, at a rate of 2 bonus dice per potential re-roll chance.</t>
  </si>
  <si>
    <t>Grants 16 bonus dice on all rolls using the Craft skill. You can sacrifice bonus dice in exchange chances to re-roll if the roll fails, at a rate of 2 bonus dice per potential re-roll chance.</t>
  </si>
  <si>
    <t>Grants 22 bonus dice on all rolls using the Craft skill. You can sacrifice bonus dice in exchange chances to re-roll if the roll fails, at a rate of 2 bonus dice per potential re-roll chance.</t>
  </si>
  <si>
    <t>Grants 29 bonus dice on all rolls using the Craft skill. You can sacrifice bonus dice in exchange chances to re-roll if the roll fails, at a rate of 2 bonus dice per potential re-roll chance.</t>
  </si>
  <si>
    <t>Grants 37 bonus dice on all rolls using the Craft skill. You can sacrifice bonus dice in exchange chances to re-roll if the roll fails, at a rate of 2 bonus dice per potential re-roll chance.</t>
  </si>
  <si>
    <t>Grants 46 bonus dice on all rolls using the Craft skill. You can sacrifice bonus dice in exchange chances to re-roll if the roll fails, at a rate of 2 bonus dice per potential re-roll chance.</t>
  </si>
  <si>
    <t>Grants 1 bonus die on all rolls using the Empathy Skill</t>
  </si>
  <si>
    <t>Grants 2 bonus dice on all rolls using the Empathy skill. You can sacrifice 2 bonus dice in exchange for 1 chance to re-roll if the roll fails.</t>
  </si>
  <si>
    <t>Grants 4 bonus dice on all rolls using the Empathy skill. You can sacrifice bonus dice in exchange chances to re-roll if the roll fails, at a rate of 2 bonus dice per potential re-roll chance.</t>
  </si>
  <si>
    <t>Grants 7 bonus dice on all rolls using the Empathy skill. You can sacrifice bonus dice in exchange chances to re-roll if the roll fails, at a rate of 2 bonus dice per potential re-roll chance.</t>
  </si>
  <si>
    <t>Grants 11 bonus dice on all rolls using the Empathy skill. You can sacrifice bonus dice in exchange chances to re-roll if the roll fails, at a rate of 2 bonus dice per potential re-roll chance.</t>
  </si>
  <si>
    <t>Grants 16 bonus dice on all rolls using the Empathy skill. You can sacrifice bonus dice in exchange chances to re-roll if the roll fails, at a rate of 2 bonus dice per potential re-roll chance.</t>
  </si>
  <si>
    <t>Grants 22 bonus dice on all rolls using the Empathy skill. You can sacrifice bonus dice in exchange chances to re-roll if the roll fails, at a rate of 2 bonus dice per potential re-roll chance.</t>
  </si>
  <si>
    <t>Grants 29 bonus dice on all rolls using the Empathy skill. You can sacrifice bonus dice in exchange chances to re-roll if the roll fails, at a rate of 2 bonus dice per potential re-roll chance.</t>
  </si>
  <si>
    <t>Grants 37 bonus dice on all rolls using the Empathy skill. You can sacrifice bonus dice in exchange chances to re-roll if the roll fails, at a rate of 2 bonus dice per potential re-roll chance.</t>
  </si>
  <si>
    <t>Grants 46 bonus dice on all rolls using the Empathy skill. You can sacrifice bonus dice in exchange chances to re-roll if the roll fails, at a rate of 2 bonus dice per potential re-roll chance.</t>
  </si>
  <si>
    <t>Grants 1 bonus die on all rolls using the Fortitude Skill</t>
  </si>
  <si>
    <t>Grants 2 bonus dice on all rolls using the Fortitude skill. You can sacrifice 2 bonus dice in exchange for 1 chance to re-roll if the roll fails.</t>
  </si>
  <si>
    <t>Grants 4 bonus dice on all rolls using the Fortitude skill. You can sacrifice bonus dice in exchange chances to re-roll if the roll fails, at a rate of 2 bonus dice per potential re-roll chance.</t>
  </si>
  <si>
    <t>Grants 7 bonus dice on all rolls using the Fortitude skill. You can sacrifice bonus dice in exchange chances to re-roll if the roll fails, at a rate of 2 bonus dice per potential re-roll chance.</t>
  </si>
  <si>
    <t>Grants 11 bonus dice on all rolls using the Fortitude skill. You can sacrifice bonus dice in exchange chances to re-roll if the roll fails, at a rate of 2 bonus dice per potential re-roll chance.</t>
  </si>
  <si>
    <t>Grants 16 bonus dice on all rolls using the Fortitude skill. You can sacrifice bonus dice in exchange chances to re-roll if the roll fails, at a rate of 2 bonus dice per potential re-roll chance.</t>
  </si>
  <si>
    <t>Grants 22 bonus dice on all rolls using the Fortitude skill. You can sacrifice bonus dice in exchange chances to re-roll if the roll fails, at a rate of 2 bonus dice per potential re-roll chance.</t>
  </si>
  <si>
    <t>Grants 29 bonus dice on all rolls using the Fortitude skill. You can sacrifice bonus dice in exchange chances to re-roll if the roll fails, at a rate of 2 bonus dice per potential re-roll chance.</t>
  </si>
  <si>
    <t>Grants 37 bonus dice on all rolls using the Fortitude skill. You can sacrifice bonus dice in exchange chances to re-roll if the roll fails, at a rate of 2 bonus dice per potential re-roll chance.</t>
  </si>
  <si>
    <t>Grants 46 bonus dice on all rolls using the Fortitude skill. You can sacrifice bonus dice in exchange chances to re-roll if the roll fails, at a rate of 2 bonus dice per potential re-roll chance.</t>
  </si>
  <si>
    <t>Grants 1 bonus die on all rolls using the Integrity Skill</t>
  </si>
  <si>
    <t>Grants 2 bonus dice on all rolls using the Integrity skill. You can sacrifice 2 bonus dice in exchange for 1 chance to re-roll if the roll fails.</t>
  </si>
  <si>
    <t>Grants 4 bonus dice on all rolls using the Integrity skill. You can sacrifice bonus dice in exchange chances to re-roll if the roll fails, at a rate of 2 bonus dice per potential re-roll chance.</t>
  </si>
  <si>
    <t>Grants 7 bonus dice on all rolls using the Integrity skill. You can sacrifice bonus dice in exchange chances to re-roll if the roll fails, at a rate of 2 bonus dice per potential re-roll chance.</t>
  </si>
  <si>
    <t>Grants 11 bonus dice on all rolls using the Integrity skill. You can sacrifice bonus dice in exchange chances to re-roll if the roll fails, at a rate of 2 bonus dice per potential re-roll chance.</t>
  </si>
  <si>
    <t>Grants 16 bonus dice on all rolls using the Integrity skill. You can sacrifice bonus dice in exchange chances to re-roll if the roll fails, at a rate of 2 bonus dice per potential re-roll chance.</t>
  </si>
  <si>
    <t>Grants 22 bonus dice on all rolls using the Integrity skill. You can sacrifice bonus dice in exchange chances to re-roll if the roll fails, at a rate of 2 bonus dice per potential re-roll chance.</t>
  </si>
  <si>
    <t>Grants 29 bonus dice on all rolls using the Integrity skill. You can sacrifice bonus dice in exchange chances to re-roll if the roll fails, at a rate of 2 bonus dice per potential re-roll chance.</t>
  </si>
  <si>
    <t>Grants 37 bonus dice on all rolls using the Integrity skill. You can sacrifice bonus dice in exchange chances to re-roll if the roll fails, at a rate of 2 bonus dice per potential re-roll chance.</t>
  </si>
  <si>
    <t>Grants 46 bonus dice on all rolls using the Integrity skill. You can sacrifice bonus dice in exchange chances to re-roll if the roll fails, at a rate of 2 bonus dice per potential re-roll chance.</t>
  </si>
  <si>
    <t>Grants 1 bonus die on all rolls using the Investigation Skill</t>
  </si>
  <si>
    <t>Grants 2 bonus dice on all rolls using the Investigation skill. You can sacrifice 2 bonus dice in exchange for 1 chance to re-roll if the roll fails.</t>
  </si>
  <si>
    <t>Grants 4 bonus dice on all rolls using the Investigation skill. You can sacrifice bonus dice in exchange chances to re-roll if the roll fails, at a rate of 2 bonus dice per potential re-roll chance.</t>
  </si>
  <si>
    <t>Grants 7 bonus dice on all rolls using the Investigation skill. You can sacrifice bonus dice in exchange chances to re-roll if the roll fails, at a rate of 2 bonus dice per potential re-roll chance.</t>
  </si>
  <si>
    <t>Grants 11 bonus dice on all rolls using the Investigation skill. You can sacrifice bonus dice in exchange chances to re-roll if the roll fails, at a rate of 2 bonus dice per potential re-roll chance.</t>
  </si>
  <si>
    <t>Grants 16 bonus dice on all rolls using the Investigation skill. You can sacrifice bonus dice in exchange chances to re-roll if the roll fails, at a rate of 2 bonus dice per potential re-roll chance.</t>
  </si>
  <si>
    <t>Grants 22 bonus dice on all rolls using the Investigation skill. You can sacrifice bonus dice in exchange chances to re-roll if the roll fails, at a rate of 2 bonus dice per potential re-roll chance.</t>
  </si>
  <si>
    <t>Grants 29 bonus dice on all rolls using the Investigation skill. You can sacrifice bonus dice in exchange chances to re-roll if the roll fails, at a rate of 2 bonus dice per potential re-roll chance.</t>
  </si>
  <si>
    <t>Grants 37 bonus dice on all rolls using the Investigation skill. You can sacrifice bonus dice in exchange chances to re-roll if the roll fails, at a rate of 2 bonus dice per potential re-roll chance.</t>
  </si>
  <si>
    <t>Grants 46 bonus dice on all rolls using the Investigation skill. You can sacrifice bonus dice in exchange chances to re-roll if the roll fails, at a rate of 2 bonus dice per potential re-roll chance.</t>
  </si>
  <si>
    <t>Grants 1 bonus die on all rolls using the Larceny Skill</t>
  </si>
  <si>
    <t>Grants 2 bonus dice on all rolls using the Larceny skill. You can sacrifice 2 bonus dice in exchange for 1 chance to re-roll if the roll fails.</t>
  </si>
  <si>
    <t>Grants 4 bonus dice on all rolls using the Larceny skill. You can sacrifice bonus dice in exchange chances to re-roll if the roll fails, at a rate of 2 bonus dice per potential re-roll chance.</t>
  </si>
  <si>
    <t>Grants 7 bonus dice on all rolls using the Larceny skill. You can sacrifice bonus dice in exchange chances to re-roll if the roll fails, at a rate of 2 bonus dice per potential re-roll chance.</t>
  </si>
  <si>
    <t>Grants 11 bonus dice on all rolls using the Larceny skill. You can sacrifice bonus dice in exchange chances to re-roll if the roll fails, at a rate of 2 bonus dice per potential re-roll chance.</t>
  </si>
  <si>
    <t>Grants 16 bonus dice on all rolls using the Larceny skill. You can sacrifice bonus dice in exchange chances to re-roll if the roll fails, at a rate of 2 bonus dice per potential re-roll chance.</t>
  </si>
  <si>
    <t>Grants 22 bonus dice on all rolls using the Larceny skill. You can sacrifice bonus dice in exchange chances to re-roll if the roll fails, at a rate of 2 bonus dice per potential re-roll chance.</t>
  </si>
  <si>
    <t>Grants 29 bonus dice on all rolls using the Larceny skill. You can sacrifice bonus dice in exchange chances to re-roll if the roll fails, at a rate of 2 bonus dice per potential re-roll chance.</t>
  </si>
  <si>
    <t>Grants 37 bonus dice on all rolls using the Larceny skill. You can sacrifice bonus dice in exchange chances to re-roll if the roll fails, at a rate of 2 bonus dice per potential re-roll chance.</t>
  </si>
  <si>
    <t>Grants 46 bonus dice on all rolls using the Larceny skill. You can sacrifice bonus dice in exchange chances to re-roll if the roll fails, at a rate of 2 bonus dice per potential re-roll chance.</t>
  </si>
  <si>
    <t>Grants 1 bonus die on all rolls using the Marksmanship Skill</t>
  </si>
  <si>
    <t>Grants 2 bonus dice on all rolls using the Marksmanship skill. You can sacrifice 2 bonus dice in exchange for 1 chance to re-roll if the roll fails.</t>
  </si>
  <si>
    <t>Grants 4 bonus dice on all rolls using the Marksmanship skill. You can sacrifice bonus dice in exchange chances to re-roll if the roll fails, at a rate of 2 bonus dice per potential re-roll chance.</t>
  </si>
  <si>
    <t>Grants 7 bonus dice on all rolls using the Marksmanship skill. You can sacrifice bonus dice in exchange chances to re-roll if the roll fails, at a rate of 2 bonus dice per potential re-roll chance.</t>
  </si>
  <si>
    <t>Grants 11 bonus dice on all rolls using the Marksmanship skill. You can sacrifice bonus dice in exchange chances to re-roll if the roll fails, at a rate of 2 bonus dice per potential re-roll chance.</t>
  </si>
  <si>
    <t>Grants 16 bonus dice on all rolls using the Marksmanship skill. You can sacrifice bonus dice in exchange chances to re-roll if the roll fails, at a rate of 2 bonus dice per potential re-roll chance.</t>
  </si>
  <si>
    <t>Grants 22 bonus dice on all rolls using the Marksmanship skill. You can sacrifice bonus dice in exchange chances to re-roll if the roll fails, at a rate of 2 bonus dice per potential re-roll chance.</t>
  </si>
  <si>
    <t>Grants 29 bonus dice on all rolls using the Marksmanship skill. You can sacrifice bonus dice in exchange chances to re-roll if the roll fails, at a rate of 2 bonus dice per potential re-roll chance.</t>
  </si>
  <si>
    <t>Grants 37 bonus dice on all rolls using the Marksmanship skill. You can sacrifice bonus dice in exchange chances to re-roll if the roll fails, at a rate of 2 bonus dice per potential re-roll chance.</t>
  </si>
  <si>
    <t>Grants 46 bonus dice on all rolls using the Marksmanship skill. You can sacrifice bonus dice in exchange chances to re-roll if the roll fails, at a rate of 2 bonus dice per potential re-roll chance.</t>
  </si>
  <si>
    <t>Grants 1 bonus die on all rolls using the Medicine Skill</t>
  </si>
  <si>
    <t>Grants 2 bonus dice on all rolls using the Medicine skill. You can sacrifice 2 bonus dice in exchange for 1 chance to re-roll if the roll fails.</t>
  </si>
  <si>
    <t>Grants 4 bonus dice on all rolls using the Medicine skill. You can sacrifice bonus dice in exchange chances to re-roll if the roll fails, at a rate of 2 bonus dice per potential re-roll chance.</t>
  </si>
  <si>
    <t>Grants 7 bonus dice on all rolls using the Medicine skill. You can sacrifice bonus dice in exchange chances to re-roll if the roll fails, at a rate of 2 bonus dice per potential re-roll chance.</t>
  </si>
  <si>
    <t>Grants 11 bonus dice on all rolls using the Medicine skill. You can sacrifice bonus dice in exchange chances to re-roll if the roll fails, at a rate of 2 bonus dice per potential re-roll chance.</t>
  </si>
  <si>
    <t>Grants 16 bonus dice on all rolls using the Medicine skill. You can sacrifice bonus dice in exchange chances to re-roll if the roll fails, at a rate of 2 bonus dice per potential re-roll chance.</t>
  </si>
  <si>
    <t>Grants 22 bonus dice on all rolls using the Medicine skill. You can sacrifice bonus dice in exchange chances to re-roll if the roll fails, at a rate of 2 bonus dice per potential re-roll chance.</t>
  </si>
  <si>
    <t>Grants 29 bonus dice on all rolls using the Medicine skill. You can sacrifice bonus dice in exchange chances to re-roll if the roll fails, at a rate of 2 bonus dice per potential re-roll chance.</t>
  </si>
  <si>
    <t>Grants 37 bonus dice on all rolls using the Medicine skill. You can sacrifice bonus dice in exchange chances to re-roll if the roll fails, at a rate of 2 bonus dice per potential re-roll chance.</t>
  </si>
  <si>
    <t>Grants 46 bonus dice on all rolls using the Medicine skill. You can sacrifice bonus dice in exchange chances to re-roll if the roll fails, at a rate of 2 bonus dice per potential re-roll chance.</t>
  </si>
  <si>
    <t>Grants 1 bonus die on all rolls using the Melee Skill</t>
  </si>
  <si>
    <t>Grants 2 bonus dice on all rolls using the Melee skill. You can sacrifice 2 bonus dice in exchange for 1 chance to re-roll if the roll fails.</t>
  </si>
  <si>
    <t>Grants 4 bonus dice on all rolls using the Melee skill. You can sacrifice bonus dice in exchange chances to re-roll if the roll fails, at a rate of 2 bonus dice per potential re-roll chance.</t>
  </si>
  <si>
    <t>Grants 7 bonus dice on all rolls using the Melee skill. You can sacrifice bonus dice in exchange chances to re-roll if the roll fails, at a rate of 2 bonus dice per potential re-roll chance.</t>
  </si>
  <si>
    <t>Grants 11 bonus dice on all rolls using the Melee skill. You can sacrifice bonus dice in exchange chances to re-roll if the roll fails, at a rate of 2 bonus dice per potential re-roll chance.</t>
  </si>
  <si>
    <t>Grants 16 bonus dice on all rolls using the Melee skill. You can sacrifice bonus dice in exchange chances to re-roll if the roll fails, at a rate of 2 bonus dice per potential re-roll chance.</t>
  </si>
  <si>
    <t>Grants 22 bonus dice on all rolls using the Melee skill. You can sacrifice bonus dice in exchange chances to re-roll if the roll fails, at a rate of 2 bonus dice per potential re-roll chance.</t>
  </si>
  <si>
    <t>Grants 29 bonus dice on all rolls using the Melee skill. You can sacrifice bonus dice in exchange chances to re-roll if the roll fails, at a rate of 2 bonus dice per potential re-roll chance.</t>
  </si>
  <si>
    <t>Grants 37 bonus dice on all rolls using the Melee skill. You can sacrifice bonus dice in exchange chances to re-roll if the roll fails, at a rate of 2 bonus dice per potential re-roll chance.</t>
  </si>
  <si>
    <t>Grants 46 bonus dice on all rolls using the Melee skill. You can sacrifice bonus dice in exchange chances to re-roll if the roll fails, at a rate of 2 bonus dice per potential re-roll chance.</t>
  </si>
  <si>
    <t>Grants 1 bonus die on all rolls using the Occult Skill</t>
  </si>
  <si>
    <t>Grants 2 bonus dice on all rolls using the Occult skill. You can sacrifice 2 bonus dice in exchange for 1 chance to re-roll if the roll fails.</t>
  </si>
  <si>
    <t>Grants 4 bonus dice on all rolls using the Occult skill. You can sacrifice bonus dice in exchange chances to re-roll if the roll fails, at a rate of 2 bonus dice per potential re-roll chance.</t>
  </si>
  <si>
    <t>Grants 7 bonus dice on all rolls using the Occult skill. You can sacrifice bonus dice in exchange chances to re-roll if the roll fails, at a rate of 2 bonus dice per potential re-roll chance.</t>
  </si>
  <si>
    <t>Grants 11 bonus dice on all rolls using the Occult skill. You can sacrifice bonus dice in exchange chances to re-roll if the roll fails, at a rate of 2 bonus dice per potential re-roll chance.</t>
  </si>
  <si>
    <t>Grants 16 bonus dice on all rolls using the Occult skill. You can sacrifice bonus dice in exchange chances to re-roll if the roll fails, at a rate of 2 bonus dice per potential re-roll chance.</t>
  </si>
  <si>
    <t>Grants 22 bonus dice on all rolls using the Occult skill. You can sacrifice bonus dice in exchange chances to re-roll if the roll fails, at a rate of 2 bonus dice per potential re-roll chance.</t>
  </si>
  <si>
    <t>Grants 29 bonus dice on all rolls using the Occult skill. You can sacrifice bonus dice in exchange chances to re-roll if the roll fails, at a rate of 2 bonus dice per potential re-roll chance.</t>
  </si>
  <si>
    <t>Grants 37 bonus dice on all rolls using the Occult skill. You can sacrifice bonus dice in exchange chances to re-roll if the roll fails, at a rate of 2 bonus dice per potential re-roll chance.</t>
  </si>
  <si>
    <t>Grants 46 bonus dice on all rolls using the Occult skill. You can sacrifice bonus dice in exchange chances to re-roll if the roll fails, at a rate of 2 bonus dice per potential re-roll chance.</t>
  </si>
  <si>
    <t>Grants 1 bonus die on all rolls using the Politics Skill</t>
  </si>
  <si>
    <t>Grants 2 bonus dice on all rolls using the Politics skill. You can sacrifice 2 bonus dice in exchange for 1 chance to re-roll if the roll fails.</t>
  </si>
  <si>
    <t>Grants 4 bonus dice on all rolls using the Politics skill. You can sacrifice bonus dice in exchange chances to re-roll if the roll fails, at a rate of 2 bonus dice per potential re-roll chance.</t>
  </si>
  <si>
    <t>Grants 7 bonus dice on all rolls using the Politics skill. You can sacrifice bonus dice in exchange chances to re-roll if the roll fails, at a rate of 2 bonus dice per potential re-roll chance.</t>
  </si>
  <si>
    <t>Grants 11 bonus dice on all rolls using the Politics skill. You can sacrifice bonus dice in exchange chances to re-roll if the roll fails, at a rate of 2 bonus dice per potential re-roll chance.</t>
  </si>
  <si>
    <t>Grants 16 bonus dice on all rolls using the Politics skill. You can sacrifice bonus dice in exchange chances to re-roll if the roll fails, at a rate of 2 bonus dice per potential re-roll chance.</t>
  </si>
  <si>
    <t>Grants 22 bonus dice on all rolls using the Politics skill. You can sacrifice bonus dice in exchange chances to re-roll if the roll fails, at a rate of 2 bonus dice per potential re-roll chance.</t>
  </si>
  <si>
    <t>Grants 29 bonus dice on all rolls using the Politics skill. You can sacrifice bonus dice in exchange chances to re-roll if the roll fails, at a rate of 2 bonus dice per potential re-roll chance.</t>
  </si>
  <si>
    <t>Grants 37 bonus dice on all rolls using the Politics skill. You can sacrifice bonus dice in exchange chances to re-roll if the roll fails, at a rate of 2 bonus dice per potential re-roll chance.</t>
  </si>
  <si>
    <t>Grants 46 bonus dice on all rolls using the Politics skill. You can sacrifice bonus dice in exchange chances to re-roll if the roll fails, at a rate of 2 bonus dice per potential re-roll chance.</t>
  </si>
  <si>
    <t>Grants 1 bonus die on all rolls using the Presence Skill</t>
  </si>
  <si>
    <t>Grants 2 bonus dice on all rolls using the Presence skill. You can sacrifice 2 bonus dice in exchange for 1 chance to re-roll if the roll fails.</t>
  </si>
  <si>
    <t>Grants 4 bonus dice on all rolls using the Presence skill. You can sacrifice bonus dice in exchange chances to re-roll if the roll fails, at a rate of 2 bonus dice per potential re-roll chance.</t>
  </si>
  <si>
    <t>Grants 7 bonus dice on all rolls using the Presence skill. You can sacrifice bonus dice in exchange chances to re-roll if the roll fails, at a rate of 2 bonus dice per potential re-roll chance.</t>
  </si>
  <si>
    <t>Grants 11 bonus dice on all rolls using the Presence skill. You can sacrifice bonus dice in exchange chances to re-roll if the roll fails, at a rate of 2 bonus dice per potential re-roll chance.</t>
  </si>
  <si>
    <t>Grants 16 bonus dice on all rolls using the Presence skill. You can sacrifice bonus dice in exchange chances to re-roll if the roll fails, at a rate of 2 bonus dice per potential re-roll chance.</t>
  </si>
  <si>
    <t>Grants 22 bonus dice on all rolls using the Presence skill. You can sacrifice bonus dice in exchange chances to re-roll if the roll fails, at a rate of 2 bonus dice per potential re-roll chance.</t>
  </si>
  <si>
    <t>Grants 29 bonus dice on all rolls using the Presence skill. You can sacrifice bonus dice in exchange chances to re-roll if the roll fails, at a rate of 2 bonus dice per potential re-roll chance.</t>
  </si>
  <si>
    <t>Grants 37 bonus dice on all rolls using the Presence skill. You can sacrifice bonus dice in exchange chances to re-roll if the roll fails, at a rate of 2 bonus dice per potential re-roll chance.</t>
  </si>
  <si>
    <t>Grants 46 bonus dice on all rolls using the Presence skill. You can sacrifice bonus dice in exchange chances to re-roll if the roll fails, at a rate of 2 bonus dice per potential re-roll chance.</t>
  </si>
  <si>
    <t>Grants 1 bonus die on all rolls using the Science Skill</t>
  </si>
  <si>
    <t>Grants 2 bonus dice on all rolls using the Science skill. You can sacrifice 2 bonus dice in exchange for 1 chance to re-roll if the roll fails.</t>
  </si>
  <si>
    <t>Grants 4 bonus dice on all rolls using the Science skill. You can sacrifice bonus dice in exchange chances to re-roll if the roll fails, at a rate of 2 bonus dice per potential re-roll chance.</t>
  </si>
  <si>
    <t>Grants 7 bonus dice on all rolls using the Science skill. You can sacrifice bonus dice in exchange chances to re-roll if the roll fails, at a rate of 2 bonus dice per potential re-roll chance.</t>
  </si>
  <si>
    <t>Grants 11 bonus dice on all rolls using the Science skill. You can sacrifice bonus dice in exchange chances to re-roll if the roll fails, at a rate of 2 bonus dice per potential re-roll chance.</t>
  </si>
  <si>
    <t>Grants 16 bonus dice on all rolls using the Science skill. You can sacrifice bonus dice in exchange chances to re-roll if the roll fails, at a rate of 2 bonus dice per potential re-roll chance.</t>
  </si>
  <si>
    <t>Grants 22 bonus dice on all rolls using the Science skill. You can sacrifice bonus dice in exchange chances to re-roll if the roll fails, at a rate of 2 bonus dice per potential re-roll chance.</t>
  </si>
  <si>
    <t>Grants 29 bonus dice on all rolls using the Science skill. You can sacrifice bonus dice in exchange chances to re-roll if the roll fails, at a rate of 2 bonus dice per potential re-roll chance.</t>
  </si>
  <si>
    <t>Grants 37 bonus dice on all rolls using the Science skill. You can sacrifice bonus dice in exchange chances to re-roll if the roll fails, at a rate of 2 bonus dice per potential re-roll chance.</t>
  </si>
  <si>
    <t>Grants 46 bonus dice on all rolls using the Science skill. You can sacrifice bonus dice in exchange chances to re-roll if the roll fails, at a rate of 2 bonus dice per potential re-roll chance.</t>
  </si>
  <si>
    <t>Grants 1 bonus die on all rolls using the Stealth Skill</t>
  </si>
  <si>
    <t>Grants 2 bonus dice on all rolls using the Stealth skill. You can sacrifice 2 bonus dice in exchange for 1 chance to re-roll if the roll fails.</t>
  </si>
  <si>
    <t>Grants 4 bonus dice on all rolls using the Stealth skill. You can sacrifice bonus dice in exchange chances to re-roll if the roll fails, at a rate of 2 bonus dice per potential re-roll chance.</t>
  </si>
  <si>
    <t>Grants 7 bonus dice on all rolls using the Stealth skill. You can sacrifice bonus dice in exchange chances to re-roll if the roll fails, at a rate of 2 bonus dice per potential re-roll chance.</t>
  </si>
  <si>
    <t>Grants 11 bonus dice on all rolls using the Stealth skill. You can sacrifice bonus dice in exchange chances to re-roll if the roll fails, at a rate of 2 bonus dice per potential re-roll chance.</t>
  </si>
  <si>
    <t>Grants 16 bonus dice on all rolls using the Stealth skill. You can sacrifice bonus dice in exchange chances to re-roll if the roll fails, at a rate of 2 bonus dice per potential re-roll chance.</t>
  </si>
  <si>
    <t>Grants 22 bonus dice on all rolls using the Stealth skill. You can sacrifice bonus dice in exchange chances to re-roll if the roll fails, at a rate of 2 bonus dice per potential re-roll chance.</t>
  </si>
  <si>
    <t>Grants 29 bonus dice on all rolls using the Stealth skill. You can sacrifice bonus dice in exchange chances to re-roll if the roll fails, at a rate of 2 bonus dice per potential re-roll chance.</t>
  </si>
  <si>
    <t>Grants 37 bonus dice on all rolls using the Stealth skill. You can sacrifice bonus dice in exchange chances to re-roll if the roll fails, at a rate of 2 bonus dice per potential re-roll chance.</t>
  </si>
  <si>
    <t>Grants 46 bonus dice on all rolls using the Stealth skill. You can sacrifice bonus dice in exchange chances to re-roll if the roll fails, at a rate of 2 bonus dice per potential re-roll chance.</t>
  </si>
  <si>
    <t>Grants 1 bonus die on all rolls using the Survival Skill</t>
  </si>
  <si>
    <t>Grants 2 bonus dice on all rolls using the Survival skill. You can sacrifice 2 bonus dice in exchange for 1 chance to re-roll if the roll fails.</t>
  </si>
  <si>
    <t>Grants 4 bonus dice on all rolls using the Survival skill. You can sacrifice bonus dice in exchange chances to re-roll if the roll fails, at a rate of 2 bonus dice per potential re-roll chance.</t>
  </si>
  <si>
    <t>Grants 7 bonus dice on all rolls using the Survival skill. You can sacrifice bonus dice in exchange chances to re-roll if the roll fails, at a rate of 2 bonus dice per potential re-roll chance.</t>
  </si>
  <si>
    <t>Grants 11 bonus dice on all rolls using the Survival skill. You can sacrifice bonus dice in exchange chances to re-roll if the roll fails, at a rate of 2 bonus dice per potential re-roll chance.</t>
  </si>
  <si>
    <t>Grants 16 bonus dice on all rolls using the Survival skill. You can sacrifice bonus dice in exchange chances to re-roll if the roll fails, at a rate of 2 bonus dice per potential re-roll chance.</t>
  </si>
  <si>
    <t>Grants 22 bonus dice on all rolls using the Survival skill. You can sacrifice bonus dice in exchange chances to re-roll if the roll fails, at a rate of 2 bonus dice per potential re-roll chance.</t>
  </si>
  <si>
    <t>Grants 29 bonus dice on all rolls using the Survival skill. You can sacrifice bonus dice in exchange chances to re-roll if the roll fails, at a rate of 2 bonus dice per potential re-roll chance.</t>
  </si>
  <si>
    <t>Grants 37 bonus dice on all rolls using the Survival skill. You can sacrifice bonus dice in exchange chances to re-roll if the roll fails, at a rate of 2 bonus dice per potential re-roll chance.</t>
  </si>
  <si>
    <t>Grants 46 bonus dice on all rolls using the Survival skill. You can sacrifice bonus dice in exchange chances to re-roll if the roll fails, at a rate of 2 bonus dice per potential re-roll chance.</t>
  </si>
  <si>
    <t>Grants 1 bonus die on all rolls using the Thrown Skill</t>
  </si>
  <si>
    <t>Grants 2 bonus dice on all rolls using the Thrown skill. You can sacrifice 2 bonus dice in exchange for 1 chance to re-roll if the roll fails.</t>
  </si>
  <si>
    <t>Grants 4 bonus dice on all rolls using the Thrown skill. You can sacrifice bonus dice in exchange chances to re-roll if the roll fails, at a rate of 2 bonus dice per potential re-roll chance.</t>
  </si>
  <si>
    <t>Grants 7 bonus dice on all rolls using the Thrown skill. You can sacrifice bonus dice in exchange chances to re-roll if the roll fails, at a rate of 2 bonus dice per potential re-roll chance.</t>
  </si>
  <si>
    <t>Grants 11 bonus dice on all rolls using the Thrown skill. You can sacrifice bonus dice in exchange chances to re-roll if the roll fails, at a rate of 2 bonus dice per potential re-roll chance.</t>
  </si>
  <si>
    <t>Grants 16 bonus dice on all rolls using the Thrown skill. You can sacrifice bonus dice in exchange chances to re-roll if the roll fails, at a rate of 2 bonus dice per potential re-roll chance.</t>
  </si>
  <si>
    <t>Grants 22 bonus dice on all rolls using the Thrown skill. You can sacrifice bonus dice in exchange chances to re-roll if the roll fails, at a rate of 2 bonus dice per potential re-roll chance.</t>
  </si>
  <si>
    <t>Grants 29 bonus dice on all rolls using the Thrown skill. You can sacrifice bonus dice in exchange chances to re-roll if the roll fails, at a rate of 2 bonus dice per potential re-roll chance.</t>
  </si>
  <si>
    <t>Grants 37 bonus dice on all rolls using the Thrown skill. You can sacrifice bonus dice in exchange chances to re-roll if the roll fails, at a rate of 2 bonus dice per potential re-roll chance.</t>
  </si>
  <si>
    <t>Grants 46 bonus dice on all rolls using the Thrown skill. You can sacrifice bonus dice in exchange chances to re-roll if the roll fails, at a rate of 2 bonus dice per potential re-roll chance.</t>
  </si>
  <si>
    <t>Dessicate</t>
  </si>
  <si>
    <t>Turn a group of people into your own Rube Goldberg machine. Taking only a moment to glance around the room, you decide what result you want to achieve and take the ﬁrst small step toward achieving that end. The effect can take no more than a scene to accomplish, and it can be no more than a personal, temporal gain for himself.</t>
  </si>
  <si>
    <t>Any dots you have in Athletics are considered to be automatic successes when you roll a dice pool that includes Athletics. If you spend 1 Legend, Arete bonus dice become automatic successes as well. Values that derive from Athletics rating (such as Dodge DV or the feats of strength total) are not affected by this Knack, nor are any Boons.</t>
  </si>
  <si>
    <t xml:space="preserve">Select a purview listed on Yaz pg 15. You can activate boons from this purview without your associated Birthright. When you use your Birthright to activate boons from this purview, add bonus dice equal to Legend on activation rolls. Lasts 1 scene. </t>
  </si>
  <si>
    <t>Select a second purview listed on Yaz pg 15. You may only use this on 1 purview per scene.</t>
  </si>
  <si>
    <t>Select a third purview listed on Yaz pg 15. You may only use this on 1 purview per scene.</t>
  </si>
  <si>
    <t>Select a fourth purview listed on Yaz pg 15. You may only use this on 1 purview per scene.</t>
  </si>
  <si>
    <t>Your Amesha Spentas manifest to assist you. Uses your dice pools, relevant boons, Legend points, natural soak, acts by your will but takes separate actions. Only harmed by supernatural attacks. Has five -0 Health levels. Lasts 1min per success. Can be used once per scene. Choose a 5th purview from Yaz pg. 15</t>
  </si>
  <si>
    <t>Activate after missing on an attack. On your next attack against that same opponent, add Epic Wits as extra dice on the attack roll, to a maximum of +3. Demigods can spend 2 legend to add up to +6, Gods can spend 3 Legend to add their full Epic Wits. If you miss again or don't attack, the bonus is lost.</t>
  </si>
  <si>
    <t>Legend = new EA value</t>
  </si>
  <si>
    <t>Legend = new EA value per person</t>
  </si>
  <si>
    <t>1 Will + Legend = new EA value per person</t>
  </si>
  <si>
    <t>1 to 3 Legend</t>
  </si>
  <si>
    <t>Passive or 1 Legend</t>
  </si>
  <si>
    <t>Climb freely on any vertical surface, regardless of foot-holds. Can walk on the vertical surface as if on the ground. Climbing no longer counts as a separate action. If you lose contact with the surface, gravity takes hold as normal. If hit by knockdown or knockback, roll (Dex + Ath) to maintain contact with the climbing surface. Lasts 1 scene.</t>
  </si>
  <si>
    <t>5 Legend per Scene</t>
  </si>
  <si>
    <t>Act out of turn in combat. Can only be used once per scene.</t>
  </si>
  <si>
    <t>When in control of a grapple, your clinch attack now deals Lethal damage. You can choose to downgrade it to Bashing at no cost.</t>
  </si>
  <si>
    <t>Convert all Lethal damage from a single attack to Bashing damage. Cannot effect Aggrivated damage. An overload of Bashing damage still upgrades to Lethal damage. The Knack works only on incoming damage from a single attack.</t>
  </si>
  <si>
    <t>Allows you to upgrade unarmed attacks to Aggravated damage. Using this knack removes Epic Strength bonus from damage calculation.</t>
  </si>
  <si>
    <t>5 Legend per attack</t>
  </si>
  <si>
    <t>You can effortlessly maintain you balance on objects that should not even be able to hold your weight.</t>
  </si>
  <si>
    <t xml:space="preserve">Converts the distance increment a character can jump from yards to hundreds of yards. In “flight,” you retain full DVs and attack dice pools.  </t>
  </si>
  <si>
    <t>Passive, 1 Legend</t>
  </si>
  <si>
    <t>Doubles the maximum height and distance of your jumps.</t>
  </si>
  <si>
    <t>Doubles the distance you can throw an object as a feat of strength and doubles the range of Thrown weapons. Does not improve your aim at greater distances.</t>
  </si>
  <si>
    <t>Any object larger than Normal size that you are capable of lifting can be thrown as far as any Normal sized object without penalty. When throwing a Normal sized item as a Thrown attack, the damage is increased to Aggravated and it takes on the Piercing quality if it did not already have it.</t>
  </si>
  <si>
    <t>You instantly understand anything said or written that you hear or read. Your written vocabulary in a language you do not know is limited to words that you have read.</t>
  </si>
  <si>
    <t xml:space="preserve">You are immune to all forms of poison, toxin and disease. You can also refine any poison, toxin or disease you are exposed to into a single dose of an antidote for that poison/toxin or cure to that disease. </t>
  </si>
  <si>
    <t>Roll (Int + Ability + Legend) and make a deducative statement. The ability depends on the deducation. If the roll succeeds, the ST will tell you if it is true, false or based on a wrong assumption.</t>
  </si>
  <si>
    <t>You may ask the ST 1 question per success about events that have happened in the story. They must be pointed and specific questions that are relevant to the members of the Band. The ST cannot lie but does not have to be elaborate. Usable once per story. Failing the roll is not a use, but botching it does.</t>
  </si>
  <si>
    <t>Once per story, you can gain hints about significant future events from the ST. A fail does not count as a use. Increased successes can lead to more hints or to hints being less obscure and more directly helpful to the player.</t>
  </si>
  <si>
    <t>You can mentally interface with any computer that is turned on and you can see. You can use it to the same degree as if you were using a keyboard and mouse. Doing so imposes a -2 destraction penalty unless you also have the Multitasking Knack.</t>
  </si>
  <si>
    <t>Allows you to apply your full Parry DV to Thrown attacks and bows/crossbows. You can knock the projectiles aside or snag them out of the air armed or unarmed. With a stunt, you can try to parry bullets if you have an object that could withstand the impact of doing so. It lasts for one scene.</t>
  </si>
  <si>
    <t xml:space="preserve">Triples how long you can hold your breath. Makes you immune to water pressure. </t>
  </si>
  <si>
    <t>Allows you to switch your Epic Appearance status between ugly and beautiful, granting you access to all Appearance knacks.</t>
  </si>
  <si>
    <t>Doubles the bonus to Dodge DV you gain from Epic Dexterity and allows you to ignore an amount of DV penalties from terrain equal to your Epic Dexterity dots. Only takes effect if you are actively dodging attacks. Last for one scene.</t>
  </si>
  <si>
    <t>Doubles the bonus gained by taking an Aimed attack. If you use an Aimed attack to do so, you ignore the difficulty penalties assocated with disarming someone with a ranged attack and marking someone without harming them.</t>
  </si>
  <si>
    <t>Allows you to heal Bashing and Lethal damage instantly.</t>
  </si>
  <si>
    <t>Thrown attacks can be ricocheted around to mitigate DV bonuses from Cover. It can ricochet once per dot in Epic Dexterity. Each ricochet takes away one point of penalty on the throw’s roll due to cover, a shield, showing off or attempting to disarm the target. When the thrown item ﬁnally hits the target, it does so at its full force.</t>
  </si>
  <si>
    <t>Allows you to instantly heal Aggravated damage and regenerate destroyed limbs, extrimities and organs. Doing so costs one Legend point per body part so restored.</t>
  </si>
  <si>
    <t>When active, you gain bonuses from wounds instead of penalties. Even if Epic Stamina would obviate the penalty in whole or in part, you still gain the full bonus. When you suffer an injury when active you can spend a point of Legend to restore a point of Legend. Activating costs three points of Legend. Its effects last for one scene.</t>
  </si>
  <si>
    <t>When you do not see a sneak attack coming, you instinctively defends yourself with double your highest applicable DV. You do not join battle everyone else does after the attack is resolved. If you also have Cobra Reflexes, you choose which to use at the time of the sneak attack.</t>
  </si>
  <si>
    <t>When you fail to notice a surprise attack coming, you instinctively counterattack with such speed that it is also treated as a surprise attack against your attacker. If you also have Rabbit Reflexes, you choose which to use at the time of the sneak attack.</t>
  </si>
  <si>
    <t>Roll (Perc+Surv) to pick up a prey's scent and you can track your prey by scent alone or by almost-invisible physical signs. You can  track your prey across any terrain as long as they don't take extreme pains to mask their passing. Picking up a lost trail with this Knack requires a new (Perc+Surv) roll.</t>
  </si>
  <si>
    <t>Summons 5 minor nature spirits associated with the animal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</si>
  <si>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Chaos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</si>
  <si>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Darkness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</si>
  <si>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Death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</si>
  <si>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Earth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</si>
  <si>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Fertility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</si>
  <si>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Fire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</si>
  <si>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Frost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</si>
  <si>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Guardian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</si>
  <si>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Health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</si>
  <si>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Justice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</si>
  <si>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Moon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</si>
  <si>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Psychopomp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</si>
  <si>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Sky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</si>
  <si>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Stars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</si>
  <si>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Sun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</si>
  <si>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War purview into your service for 1 day per success. They serve loyally but will not risk their lives. You must also provide some form of material offering for their loyalty. You can only have 1 band of spirits via boons at once.</t>
  </si>
  <si>
    <t>Summons 5 minor nature spirits associated with the Water purview into your service for 1 day per success. They serve loyally but will not risk their lives. You must also provide some form of material offering for their loyalty. You can only have 1 band of spirits via boons at once.</t>
  </si>
  <si>
    <t>Enables 2-way communication with an animal. Does not make animals smarter and does not change their dispositions.</t>
  </si>
  <si>
    <t>An animal will obey a single simple task. It cannot seem suicidal or impossible to the animal, but the animal cannot balk at an order that doesn’t immediately seem so. The order can describe a single immediate action or one with a single condition. Does not enable communication with the animal.</t>
  </si>
  <si>
    <t xml:space="preserve">Pass through a chaotic situation untouched. The chaos must be completely unrelated to you. </t>
  </si>
  <si>
    <t>You can see in complete darkness as clearly as in light of day, losing only the ability to perceive colors.</t>
  </si>
  <si>
    <t>Applies to final attribute group. Works as Hukhta except granted EA dot can be given to multiple people at range. All targeted people must be within (Legend x 10) yards of You, but she does not need to see them. Costs and rules are the same as Hukhta. Hukhta and Havarastra do not stack.</t>
  </si>
  <si>
    <t>When you go out of your way to treat a fellow Scion like a true friend, you completely reﬁll their Willpower points. For mortals, their willpower is refilled and they gain an extra dot of Willpower for the scene. When that extra dot goes away their spent Willpower refills again. You can affect a person only once per scene with this Knack.</t>
  </si>
  <si>
    <t>You will never lack for sustenance again. Any substance that is a liquid at room temperature can be used to quench thirst and any substance that is a solid at room temperature can be consumed to abate hunger.</t>
  </si>
  <si>
    <t>By buckling down and intently studying certain subjects, You internalizes them in a fraction of the time it would take a lesser intellect. In so doing, he cuts the experience point cost for purchasing dots in Academics, Medicine, Occult, Politics or Science in half, rounding down.</t>
  </si>
  <si>
    <t>Any tool or item that You picks up benefits from the same bends and loopholes in the laws of physics that allow Epic Strength to defy both leverage and structural integrity.</t>
  </si>
  <si>
    <t>You grants a beast four extra dots to be divided as he sees fit between its Strength and Stamina. The beast also gains two extra -0 health levels. The beast remains loyal to only You, who can still train him as normal, but that loyalty must be renewed once every three months (roughly one season).</t>
  </si>
  <si>
    <t>You takes on a metaphorical characteristic associated with it, creating a dice bonus for rolls involving the Attribute most closely associated with that characteristic. The bonus equals the number of successes, and lasts for one action per Legend point spent up front to fuel the Boon.</t>
  </si>
  <si>
    <t>You can hide within any shadow into which your body fits completely. Supernatural attempts aided by Epic Perception or Arete (Awareness) proceed as normal, protested by your activation roll. You can hide within the shadow as long as it remains large enough.</t>
  </si>
  <si>
    <t xml:space="preserve">As Holy Rampage except: If the target object is not under your control its Hardness and soak are considered to be halved against your attack. If the target object is freestanding or under You’s control, the object’s Hardness and soak are considered to be 0 against You’s attack. </t>
  </si>
  <si>
    <t>You can instantly, automatically assess the current medical condition of a single living patient in your presence. He can tell how many levels of damage the patient is suffering, as well as any physical addictions he suffers, any illnesses or diseases with which he is infected and any genetic defects that afflict him.</t>
  </si>
  <si>
    <t>Create your own, 7th Amesha Spenta, for any All-Purpose Purview you want. Your new Amesha Spenta has the same effects as the basic six, with the same cost to manifest. You may now spend 15 Legend and 1 Willpower to evoke all seven of your Amesha Spentas as helpers at the same time.</t>
  </si>
  <si>
    <t>Immune to knockdown effects and ignore penalties for unstable footing and trecyourous terrain.</t>
  </si>
  <si>
    <t>Can make a single clinch attack deal Aggravated damage. Unarmed attacks now deal Lethal damage instead of Bashing. Can use Flat of the Blade rules (youro pg. 199) to reduce unarmed damage to Bashing.</t>
  </si>
  <si>
    <t>The character can read and comprehend with perfect clarity an entire block of text—such as two facing pages of an open book—in the amount of time it takes your to blink. She need only be able to see the entire block clearly enough to focus your eyes on any given word in it.</t>
  </si>
  <si>
    <t>Expands the Fast Learner knack to include Athletics, Brawl, Craft, Control, Investigation, Larceny, Marksmanship, Melee, Survival and Thrown. Having a Scion teacyour with the Teaching Prodigy Knack doubles the reduction again, just as it does for Fast Learner.</t>
  </si>
  <si>
    <t>When purchasing this boon, pick an attribute group. Activating this boon adds 1 dot to an EA in that group. this can raise an EA beyond what the character’s Legend rating allows but not above 10 dots. Lasts 1 scene and can only be used once per scene.</t>
  </si>
  <si>
    <t>Pick a second attribute group. Works as Humata for this group. Also, you can grant a companion 1 dot of EA from eithis of the 2 attribute groups you have selected by touching them. Rules and costs are the same as for EA dots gained yourself. Can be used on mortals, scions and othis supernatural folk.</t>
  </si>
  <si>
    <t>Spend 1 point of Legend and a single listener will give you the benefit of the doubt on what you are telling them, regardless of whethis or not they would normally be inclined to believe you.</t>
  </si>
  <si>
    <t>this Boon acts the same as Amesha Spenta, except that once per scene, You may now call three Amesha Spentas at once to help your. You also now has access to all six of the Amesha Spentas.</t>
  </si>
  <si>
    <t>When you use Boys Will Be Boys, you can also activate this knack to place shift blame from yourself to someone else. this Knack only functions if the use of Boys Will Be Boys also functioned; if that attempt fails, then this Knack also fails, although the Legend points are still spent</t>
  </si>
  <si>
    <t>this Boon functions as “Lay Token Geas,” save that it lays a Potent Geas on the target.</t>
  </si>
  <si>
    <t>this Boon functions as Lay Token Geas, save that it lays a Mortal Geas on the target.</t>
  </si>
  <si>
    <t>You grants a beast a single extra dot in eithis Strength or Stamina. The beast becomes loyal to only You, who can also train him as normal, but that loyalty must be renewed once every month.</t>
  </si>
  <si>
    <t>You may imbue a human with two free Attribute dots that can be spent into the human’s Strength and/or Stamina. The human remains loyal to You for a single month but grows irritable around othis people. A Scion cannot use this Boon on a beast.</t>
  </si>
  <si>
    <t>this Knack doubles the amount of time a Scion can work at a strenuous task once. Divine Fortitude also completely obviates a Scion’s need for food. You may take Divine Fortitude more than once to obviate the need to for Sleep and Water as well, but the time you can work at a strenuous task is only doubled once.</t>
  </si>
  <si>
    <t>this Knack doubles the amount of time a Scion can work at a strenuous task once. Divine Fortitude also completely obviates a Scion’s need for Sleep. You may take Divine Fortitude more than once to obviate the need to forFood and Water as well, but the time you can work at a strenuous task is only doubled once.</t>
  </si>
  <si>
    <t>this Knack doubles the amount of time a Scion can work at a strenuous task once. Divine Fortitude also completely obviates a Scion’s need for Water. You may take Divine Fortitude more than once to obviate the need to for Sleep and Food as well, but the time you can work at a strenuous task is only doubled once.</t>
  </si>
  <si>
    <t>When you apply your full might to breaking something the item’s Hardness is halved against the attack. this bonus applies only when you attempts to break an inanimate object that is eithis freestanding or under your control.</t>
  </si>
  <si>
    <t xml:space="preserve">Once per scene, You can restore a spent Legend point by downing a single serving of alcohol quickly and with at least a bit of flair. Activating this Knack bars a Scion from using your Epic Stamina to resist intoxication and nullifies the effects of such knacks against that drink. Only normal Stamina applies. </t>
  </si>
  <si>
    <t>For the duration of the scene, when making an aimed attack (of any kind) at a known weak spot on an enemy, the difficulty associated with the targeted attack is reduced by an amount equal to your dots in Epic Dexterity. this cannot reduce the difficulty below 0.</t>
  </si>
  <si>
    <t>For a single attack that you don't see, hear or othiswise perceive coming, you ignore all damage from the attack. You can use this Knack only once per scene.</t>
  </si>
  <si>
    <t>When you makes signiﬁcant efforts to tutor a student in a subject the experience point cost for purchasing dots in the Ability the teacyour teaches is cut in half, rounded down. this bonus stacks with the Fast Learner knack, making new dots require 1/4 the normal experience, rounded down.</t>
  </si>
  <si>
    <t xml:space="preserve">Epic Stamina boosts the amount of time a character can work at a fatiguing task. this Knack extends that boost into infinity. </t>
  </si>
  <si>
    <t>Makes you immune to damage from extreme pressure or lack-thise-of.</t>
  </si>
  <si>
    <t>Doubles the amount you can lift as a Feat of Strength. this Knack doesn’t affect a character’s ability to break or throw an object.</t>
  </si>
  <si>
    <t>Apply Epic Intelligence bonus dice to any Intelligence-based roll required to glean information, regardless of whethis you have any dots in the Ability in question. this Knack works only for rolls intended to dredge up information.</t>
  </si>
  <si>
    <t>You can not only coax information from a kami, but also set it to some passive task on your behalf. She can, for example, have the kami watch out for a specific person, observe any titanspawn who approach, or remember and repeat anything anothis Scion says to it. this period of duty lasts for a number of days equal to the number of successes the character amassed on the activation roll.</t>
  </si>
  <si>
    <t>You transform into a specimen of your chosen animal. Your physical and social stats change to that of the animal, and you lose the use of any EA thisein. He maintains your mental stats and can utilize mental EA's and knacks. He can communicate with animals of the same type.</t>
  </si>
  <si>
    <t>On success, you become instantly aware of what single, simple action will best result in eithis creating the most chaos possible or abating the chaos already present. The ST should explain only which action will lead to which outcome, not how.</t>
  </si>
  <si>
    <t xml:space="preserve">You pull a shadow down from the brim of you hat or up from beneath your collar and wrap it around your head, wasking your face and voice from recognition, even against equipment that can see in the dark. You can see through this mask, and othis Scions using Night Eyes can recognize you through it. </t>
  </si>
  <si>
    <t>You can fully sense ghosts that have chosen not to manifest. You can also look at a dead body and know what killed it. The CoD is generic.</t>
  </si>
  <si>
    <t>You can touch a corpse or cadaver and perfectly preserve it from rot and decay for 1 day per threshold success. When the power wears off, decay continues as normal - it does not "catch up."</t>
  </si>
  <si>
    <t>Touch a corpse or it's grave with your hand or birthright and raise it into a mindless zombie (or pantheon-equivalent) under your service. It lasts until it is destroyed or you die.</t>
  </si>
  <si>
    <t>You can change your physical form beyond the range of normal human variation. Any appearance-based change is acceptable, though no change can add any bonus dots or capabilities. Subjecting a feature to an unusual alteration costs a single Legend point. Changing it back to normal costs anothis Legend point.</t>
  </si>
  <si>
    <t>You can not only perceive things at great distances, but perceive them as if they were happening right in front of you.</t>
  </si>
  <si>
    <t>After watching someone take an action that requires a dice pool or DV rating, you can copy their dice pools on a number of rolls equal to half the legend you spend when witnessing their action. You do not get the benefit of their EA's but can use your own EA's to supplement the dice pools. You can copy dice pools and DV's equal to your Legend, counted separately.</t>
  </si>
  <si>
    <t>If you can find a place that you know for a fact your prey has been in the last 24 hours, you can follow their path unerringly so long as you can remain within 100 yards of that path or have the Telescopic Senses knack allowing you to perceive their path. No amount of effort, aside from going beyond your capability to follow, will make you lose the trail.</t>
  </si>
  <si>
    <t>When detecting an ambush, you gain a dice bonus equal to your Epic Perception on the (Wits + Awareness) roll.</t>
  </si>
  <si>
    <t>On any verticle surface with sufficient holds, you can climb at a full Dash pace and need no rolls to keep from falling unless to take a second action during your climb. You can now scale sheer surfaces and climb upside down across the bottom of horizontal surfaces at your normal move rate.</t>
  </si>
  <si>
    <t xml:space="preserve">You can physically interact with ghosts, even if they are not manifest, and can damage them with all forms of attack regardless of whether or not they are powered by supernatural abilities. </t>
  </si>
  <si>
    <t>You can sculpt stone, concrete, fired clay or metal with your bare hands. Up to 1 cubic foot becomes malleable for as long as you are touching it. With a successful (Dex+Craft) roll, you can shape it into any form your nimble fingers can produce. Once you break contact, it loses all malleability and sets in its new form.</t>
  </si>
  <si>
    <t>Your body is covered in an earthen armor with Bashing and Lethal hardness and soak of half your Legend Rating rounded up and the mobility penalty of riot gear. It lasts for the rest of the scene, at the end of which it shatters and falls to your feet.</t>
  </si>
  <si>
    <t>You can create or remove heavy oxidation on a metal object. Its Hardness decreases to half normal, and if the object is a precision item (like a gun), it has a 50% chance to malfunction any time it’s used. You must touch the object, and it has no effect on metals that don’t rust or upon Relics.</t>
  </si>
  <si>
    <t>For 1 Legend you become a statue of any kind of metal or stone you wish, gaining Hardness and B/L soak equal to your legend and increasing your weight by 15lbs dot of legend. For an additional 2 Legend you are able to move to the full extent of your Dex and Epic Dex.</t>
  </si>
  <si>
    <t>Whether caught in a landslide, a cave-in or otherwise buried alive, you have nothing to fear from the force and pressure of stone and earth. You will not suffocate from being under stone, metal or earth but it does not protect you from starvation or dehydration.</t>
  </si>
  <si>
    <t>You can move through earth, metal and stone like a swimmer through water if it is large enough to contain your body. Unless you have Safely Interred, you still have to "come up" for air.</t>
  </si>
  <si>
    <t>Protects one large plant or 1 square yard of small plants against deterioration from lack of water, sunlight and nutrients for 1 year. The plant(s) still must be in an environment of natural tolerance and is not protected against blight or animals.</t>
  </si>
  <si>
    <t>For a number of large plants or a number of square yards of smaller plants equal to the successes on the roll, a current blight disappears as though it never occured and vermin find the plants unappealing. Doesn’t protect against future blights, and it stops only the current generation of vermin infestation.</t>
  </si>
  <si>
    <t>You sprout a single thorn from your hand or foot, usable with an unarmed strike to poison a victim. The poison's attributes are determined by successes, according to the table on Companion pg. 73. Thorn lasts until the end of the scene. Unarmed strikes must deal damage to inflict poison.</t>
  </si>
  <si>
    <t>A number of acres of plants equal to you successes are eitherprotected from blight and vermin infestation for a year or inflicted with blight or vermin infestation that immediately kills all of the plants.</t>
  </si>
  <si>
    <t>Your flesh becomes woody and slightly tough, for +1B/L Soak. 4 hours of sunlight a day obviates your need for food completely. Your blood becomes thick and sticky, completely mitigating any bleeding that might happen as a result of wounds. Lasts a number of scenes equal to your Legend.</t>
  </si>
  <si>
    <t>When hiding in flora, your body grows plants to hide you better. Mundane senses cannot find you. Predatory Focus or Arete (Survival) allow supernaturals to find the area you are in. Only hunters with the Supernal Hunter Knack are actually skilled enough to find a Scion who’s using this Boon to hide.</t>
  </si>
  <si>
    <t>For minutes equal to your successes, a number of acres of plants equal to your Legend to grow incredibly fast based on how much Legend you spend. Each minute: 1 Legend - 1 month. 2 Legend - 1 season. 3 Legend - 1 year. 4 Legend - 1 decade. 5 Legend - 1 century. Once they reach max natural size they stop growing.</t>
  </si>
  <si>
    <t>You give eternal life to 1 sq. mi. of plants per 2 Legend spent, up to a max of the successes rolled. Short of being set aflame or torn to pieces, the plants will always recover from damage and never die.</t>
  </si>
  <si>
    <t>You will never take damage from fire, heat or smoke. This does not, however, protect you Birthrights or other possessions.</t>
  </si>
  <si>
    <t>You and the boon you use to channel Frost boons are immune to even the most extreme colds and winter weather conditions, including other boons in the Frost purview. You also ignore terrain penalties from moving on bare ice. Your other possessions are not protected by this boon.</t>
  </si>
  <si>
    <t>See God Page 82</t>
  </si>
  <si>
    <t>See God Page 84</t>
  </si>
  <si>
    <t>See God Page 86-87</t>
  </si>
  <si>
    <t>See God Page 85</t>
  </si>
  <si>
    <t>See God Page 88</t>
  </si>
  <si>
    <t>See God Page 89</t>
  </si>
  <si>
    <t>See God page 91</t>
  </si>
  <si>
    <t>See Ragnarok Page 38</t>
  </si>
  <si>
    <t>See God Page 91-92</t>
  </si>
  <si>
    <t>See God Page 93</t>
  </si>
  <si>
    <t>See Ragnarok Page 44</t>
  </si>
  <si>
    <t>See God Page 95</t>
  </si>
  <si>
    <t>See God Page 96-97</t>
  </si>
  <si>
    <t>See God Page 98</t>
  </si>
  <si>
    <t>See God Page 100</t>
  </si>
  <si>
    <t>See Yazata Page 19</t>
  </si>
  <si>
    <t>See God Page 101</t>
  </si>
  <si>
    <t>See God Page 103</t>
  </si>
  <si>
    <t>See God Page 104</t>
  </si>
  <si>
    <t>See God Page 111</t>
  </si>
  <si>
    <t>Makes a bath-tub sized amount of stagnant, poisonous or diseased water safe to drink. It will not make it look, smell or taste any better and will not clear out things like algea or moss, but it will be drinkable.</t>
  </si>
  <si>
    <t>You can breathe water and are protected from extreme temperatures of water. Switching between breathing water and air requires a full action idle to empty your lungs.</t>
  </si>
  <si>
    <t>When you touch an opponent’s bare skin, you can suck the water right out of that opponent’s body. This attack inflicts an amount of lethal damage equal to successes on the activation roll, minus the opponent’s lethal soak.</t>
  </si>
  <si>
    <t>You can see through particulate occlusions, murky water (if you are in it) and translucent objects that others can only see silhouettes as if they were not there. You can also see clearly in extremely low light, though complete darkness still leaves you blinded.</t>
  </si>
  <si>
    <t>You can fly! Movement in all directions is at your normal Move and Dash speeds. You can also hover in mid air. Lasts 1 scene.</t>
  </si>
  <si>
    <t>You take no damage from falling and can double the maximum distances of your jump (stacks with Holy Bound knack). You can also use Sky's Grace to reduce knock-back distance you suffer to any distance you wish, with a minimum of 1 yard.</t>
  </si>
  <si>
    <r>
      <t xml:space="preserve">Custom Purviews
</t>
    </r>
    <r>
      <rPr>
        <sz val="11"/>
        <color theme="1"/>
        <rFont val="Calibri"/>
        <family val="2"/>
        <scheme val="minor"/>
      </rPr>
      <t>Note: Boon description boxes allow roughly 400 characters (including spaces). Please keep this in mind when entering descriptions. Longer descriptions will need to be entered on the Detailed Notes sheet.</t>
    </r>
  </si>
  <si>
    <r>
      <t xml:space="preserve">Custom Boons
</t>
    </r>
    <r>
      <rPr>
        <sz val="10"/>
        <color theme="1"/>
        <rFont val="Calibri"/>
        <family val="2"/>
        <scheme val="minor"/>
      </rPr>
      <t>Note: Boon description boxes allow roughly 400 characters (including spaces). Please keep this in mind when entering descriptions. Longer descriptions will need to be entered on the Detailed Notes sheet.</t>
    </r>
  </si>
  <si>
    <t>Page 1</t>
  </si>
  <si>
    <t>Page 2</t>
  </si>
  <si>
    <t>Page 3</t>
  </si>
  <si>
    <t>Page 4</t>
  </si>
  <si>
    <t>Page 5</t>
  </si>
  <si>
    <t>Page 6</t>
  </si>
  <si>
    <t>Page 7</t>
  </si>
  <si>
    <t>Page 8</t>
  </si>
  <si>
    <t>Page 9</t>
  </si>
  <si>
    <t>Page 10</t>
  </si>
  <si>
    <t>-- Note Sheets</t>
  </si>
  <si>
    <t>Added 10 pages for miscellaneous notes</t>
  </si>
  <si>
    <t>Sandox/House Rules (Black Tabs at the end)</t>
  </si>
  <si>
    <t>The Sandbox page is a place for you to add your custom content. Weapons, purviews, boons, followers, creatures, armor, etc.
When you add your custom content here, it will automatically link into the appropriate reference tables to be selectable in all the right places throughout the rest of the file, with all calculations complete.
At the moment, I do not have custom knacks on the Sandbox sheet. I would rather not add these until I have a way to make them directly effect calculations and I haven't figured out the best way to make that user-friendly yet. I hope to include this feature in V3.0</t>
  </si>
  <si>
    <t>Character Sheet and Note Sheet (Grey tabs)</t>
  </si>
  <si>
    <t>Specialized Abilities (The types and dot values will transfer over but the sub-type won't)</t>
  </si>
  <si>
    <t>Description/history page.</t>
  </si>
  <si>
    <t>On the Note Sheets tab, I have made available 10 pages for keeping miscellaneous notes, including Special Skills subtypes, details about boons such as what animal type an animal boon is specialized in, fuller descriptions of custom boons, information about custom knacks you may have, mission notes or any other details about your character, his/her past or the current story you may wish to keep track of that doesn't have a dedicated space on other sheets.</t>
  </si>
  <si>
    <t>Supernatural Advantages (Green tabs)</t>
  </si>
  <si>
    <t>Guides tend to have unique relationships and/or qualities with a Scion (even if they're core material), so those do not auto-fill.</t>
  </si>
  <si>
    <t xml:space="preserve">The advantage pages are pretty straightforward. 
</t>
  </si>
  <si>
    <t>For Followers and Creatures, select the Type and Subtype and the rest of their information will auto-fill. The only thing you'll need to add (if you want to) is a name. 
In the Types list, Follower1 through Follower5 refers to the dot level required for the follower or group of followers.</t>
  </si>
  <si>
    <t>By making some gesture to make a mortal feel important, you reﬁll their Willpower for the scene. For other scions it reﬁlls only one point of Willpower per dot of Epic Charisma have. A character can receive this Willpower boost only once per scene from the same Scion. You don't need to believe they are important.</t>
  </si>
  <si>
    <t xml:space="preserve">When you grow angry at a mortal you can sear your visage into the mortal’s retinas. If Your Epic App. represents beauty, they meander aimlessly, dazzled by your divine radiance. If it represents ugliness, they stagger around in a blind panic unable to get the awful visage out of your head. Rules for dealing with blindness are on Hero pg. 186 </t>
  </si>
  <si>
    <t>You turn conversation towards information you want and upon activating this knack, the target can't help but speak their mind. A victim still has a slim chance to catch himself before bringing disaster crashing down. The victim rolls (Will+Int+Legend) against a difﬁculty equal to (Your Epic Man + 1). If this roll succeeds, the player may then spend a point of Willpower to avert the slip of the tongue.</t>
  </si>
  <si>
    <t>When someone uses a supernatural persuasion effort—including the addition of bonus dice from an Epic Attribute—that calls for a mental resistance roll of (Will+Int+Legend), you can apply your bonus successes from your Epic Int to that roll. Doing so costs your one Legend point per resistance roll.</t>
  </si>
  <si>
    <t>You can parry lethal melee attacks while unarmed as a passive. You can cover your body with a metal coating that grants B/L soak equal to your legend rating with mobility -1. Armor is thin enough to fit under other armor (stacking with the protection it provides) and lasts 1 scene.</t>
  </si>
  <si>
    <t>When instructing someone to deliver a message or otherwise speak on your behalf, you can roll your full Charisma-based dice pool, adding in all available bonus successes. For days equal to your Epic Cha., they can substitute your roll for their own by claiming to speak in your name. Works with any person or creature of equal or lesser Legend Rating</t>
  </si>
  <si>
    <t>When you get in trouble with an authority figure, shrug haplessly, grin foolishly or likewise and the offended party decides that whatever the character did wasn’t really that bad. You get a slap on the wrist, a stern warning or no punishment at all, depending on when you use it. Beings of equal Legend get a contest roll. With beings of higher Legend it doesn't work.</t>
  </si>
  <si>
    <t>You can see waves in the infrared and ultraviolet ends of the electromagnetic spectrum, see magnetic ﬁelds, hear electricity humming within insulated wires and detect ultrasonic vibrations. You can smell the free electrons of a radioactive substance and even feel television and radio waves, though you can’t quite translate them. You have to be actively trying to do so, though.</t>
  </si>
  <si>
    <t xml:space="preserve">You walk into a room, spend a point of Legend, and all eyes turn to you. you can hold everyone’s attention for a number of minutes equal to your Epic App. X Legend spent. The onlookers can carry on with what they’re doing and keep talking among themselves, but their attention remains ﬁxed on You. Titanspawn and Scions can resist this Knack. </t>
  </si>
  <si>
    <t>You can smother an upwelling of panic, suspicion or utter hatred directed at you for one scene. The suppressed emotion doesn’t go away. It merely remains beneath the surface. If You can’t set the person’s mind at ease by scene’s end, the suppressed emotion returns in full force the next time You leave the affected person’s presence.</t>
  </si>
  <si>
    <t>You can break any encryption and decode any message created by someone without Epic Intelligence, without the need for a roll. You can also design a one- time code for a speciﬁc recipient that cannot be broken by anyone without Epic Intelligence. Only a fellow Scion with Epic Intelligence can even attempt to break the code. The person for whom the coded message is intended can automatically read the message clearly and easily.</t>
  </si>
  <si>
    <t>Concentrate on any location you have spent at least a scene in the past and you can see, hear and smell what is happening there clearly. While the character does so, he cannot see, hear or smell anything that’s happening around your body. You can taste or feel things by looking at them. (Refined Palate Knack lets you do so remotely). Observing something on another plane of reality triples the activation cost.</t>
  </si>
  <si>
    <t>You cool an angry crowd’s urge for instant action and buy yourself enough time to try to talk some sense into everyone. This effect lasts for the scene, after which the mob either disperses or renews its shenanigans with its original vigor.</t>
  </si>
  <si>
    <t>With Epic Intelligence and the Craft and Science Abilities, a Scion can manufacture a wide range of items, but this Knack enables You to build uncanny devices that defy conventional reason or function. See Companion page 58 for full details.</t>
  </si>
  <si>
    <t>Single out one recipient at a time and send them some form of visual message to come to you and they will do just about anything to get to you. They must understand the message and knock how to find you. Restricted to Beautiful scions and does not work on Beautiful scions with a higher Epic Appearance rating.</t>
  </si>
  <si>
    <t>You can break Epic Cha. and Epic Man. influences on other people. Cost is based on the Legend and Will spent to activate the knack you're countering and you must also know the knack you're countering.</t>
  </si>
  <si>
    <t>You can change minor physical details such as eye color, hair length, hair color, hairstyle or skin tone. You can change your height by three inches in either direction of your normal and change your apparent weight and muscle tone by 10% of your normal. You can also go from filthy to perfectly clean in an instant, as well as to remove any minor scars from past injuries. Changes are purely cosmetic.</t>
  </si>
  <si>
    <t>No matter what happens to damage you take, you always looks like you're in the prime of health. You always walks away without a scratch or a mark. Even if someone lops off one of your limbs, the stump left over looks like it grew that way naturally. You still take damage, your body just offers no sign of injury. If you die, you leave a flawless corpse.</t>
  </si>
  <si>
    <t>You size up a single item and then put togethis an intuitive judgment of how to use it. No matter how complex the item, you grasp at least the rudiments of its functions and can use the item for the rest of the scene as if the you had one dot in the appropriate Ability. This Knack has no effect if you already possesses the requisite skill.</t>
  </si>
  <si>
    <t>You can detect even the most minute changes around you well before anyone else. Barring supernatural concealment, it is impossible for a surprise attack to catch you unaware. You join battle and react without having to roll to notice the hidden attack. If you reﬂexively spend a point of Legend, you may call out a warning as well. You are also perfectly aware of the passage of time.</t>
  </si>
  <si>
    <t>In a clinch, you get additional automatic successes equal to your Epix Dex dots. When physically restrained, spending 1 point of Legend instantly frees you from those restraints. Any onlooker who is neither a member of your Band nor Fatebound to you prevents the second use from working. Remote onlookers do not hinder this knack.</t>
  </si>
  <si>
    <t>You are never taken by surprise by unexpected attacks, even with supernatural concealment. Join battle as soon as the attack occurs, with your full DV's. If you are sleeping and someone tries to spring an unexpected attack, roll your full dice pool to notice the attack as if you were awake. If the roll succeeds, you wake just in time to react to the attack.</t>
  </si>
  <si>
    <t>When you take this knack, you stop aging in any way. This knack becomes redundant when you reach God level Legend.</t>
  </si>
  <si>
    <t xml:space="preserve">For 1 scene, you counteract the automatic successes, bonus dice and similar benefits conferred by Knacks and Boons used by one target. The total number of such bonuses counteracted cannot exceed your automatic success from Epic Int. Negate bonuses from Knacks/Boons, and automatic successes and bonuses from EAs themselves. Does not affect stunt bonuses or extra dice from invoking Virtues. </t>
  </si>
  <si>
    <t>For 1 scene you can automatically see through all illusions created by a being of lower legend. You can also recognize signs of who the illusionist is if they have fooled you before.</t>
  </si>
  <si>
    <t>You can take an intuitive “read” of a crime scene and make a reasonably accurate assessment of what transpired there. You roll (Wits+Investigation). If the roll succeeds, you learn details about what crimes have been committed there. Doesn’t reveal speciﬁc, plot-sensitive information that isn’t readily apparent, but it should provide enough clues in a single glance for the character to develop solid leads that further the story.</t>
  </si>
  <si>
    <t>When making a roll using an Ability you have no dots in, you can add bonus successes equal to the dots in the appropriate EA for the roll.</t>
  </si>
  <si>
    <t>On a successful attack, you can choose for the attack to inﬂict no harm but to impose one yard of knockback per threshold success above the defender’s DV instead of damage. Hardness can still cancel out this effect if it is greater than the attack’s raw damage.</t>
  </si>
  <si>
    <t>Once you have heard a few sentences of a new language, you can speak that language as if you grew up among native speakers. Until you learn (normally) the alphabet and written syntax, you can only transliterate into a language you know when trying to write the new language.</t>
  </si>
  <si>
    <t>Doubles your Dash speed and long-term running speed (again). You can run across short gaps, up steep inclines and even over low walls without pause. You can traverse any incline of less than 60 degrees for any distance and travel up a wall or across a gap of (Legend x 5) feet. You must already be running to do so and if you slow down or stop, you fall or otherwise cannot scale the wall or pass the obstacle. Lasts 1 scene.</t>
  </si>
  <si>
    <t>Doubles your Dash speed. Lets you run on the surface of ankle- to shoulder- deep water or mud (ignoring penalties) as long as you were Dashing before hitting the water and do not stop or slow down until you reach the other side.</t>
  </si>
  <si>
    <t>You are a walking, talking calculator. As long as you knows all the ﬁgures involved, you can crunch the numbers in your head with only a moment’s pause. You can also use mathematical shorthand and rapid calculation to estimate things like how many jellybeans are in a glass jar or how many titanspawn-possessed Civil War re-enactors are currently rushing toward your across the picnic grounds.</t>
  </si>
  <si>
    <t>You never lose your cool. No matter what’s happening, you keep your mind on what you're doing while maintaining sufﬁcient vigilance to avoid getting caught up in the hubbub all around you. As such, the character is able to eliminate one point of environmental distraction penalty per dot she has of Epic Wits.</t>
  </si>
  <si>
    <t>Triples the distance you can throw an object as a Feat of Strength (after doubling for Hurl to the Horizon). Does not affect the distance a Scion can throw a normal-sized object, but it does intensify the damage such an object can cause. Thrown weapons that normally deal Bashing now deal Lethal and have the Peircing quality. Thrown weapons that would normally cause lethal damage ignore armor when you use Mighty Heave.</t>
  </si>
  <si>
    <t>As long as you have sufﬁcient hand- and footholds, you climb at a normal Move speed and can take a second action at the same time (per the multiple action rules on p. 179) while still moving along the climbing surface. You cannot “Dash” while climbing, but the bonus to your movement granted by your Epic Dexterity still applies.</t>
  </si>
  <si>
    <t>You suffer no coordinated attack penalty or onslaught penalty in combat when multiple attackers try to rush you all at once.</t>
  </si>
  <si>
    <t>You can carry on as many separate primarily mental activities as you have dots of Legend simultaneously and with your full attention. You never suffer distraction penalties for mental actions, nor are your separate simultaneous mental actions penalized as per the multiple action rules (see Scion: youro, p. 179).</t>
  </si>
  <si>
    <t>Roll (Manipulation+Occult) with 1 bonus success to create any detailed illusion you wish. Onlookers roll (Perception + Awareness + Legend) to resist and see through the illusion.</t>
  </si>
  <si>
    <t>Roll (Manipulation+Occult) with 2 bonus successes to create any detailed illusion you wish. Onlookers roll (Perception + Awareness + Legend) to resist and see through the illusion.</t>
  </si>
  <si>
    <t>Roll (Manipulation+Occult) with 3 bonus successes to create any detailed illusion you wish. Onlookers roll (Perception + Awareness + Legend) to resist and see through the illusion.</t>
  </si>
  <si>
    <t>Roll (Manipulation+Occult) with 4 bonus successes to create any detailed illusion you wish. Onlookers roll (Perception + Awareness + Legend) to resist and see through the illusion.</t>
  </si>
  <si>
    <t>Roll (Manipulation+Occult) with 5 bonus successes to create any detailed illusion you wish. Onlookers roll (Perception + Awareness + Legend) to resist and see through the illusion.</t>
  </si>
  <si>
    <t>Roll (Manipulation+Occult) with 6 bonus successes to create any detailed illusion you wish. Onlookers roll (Perception + Awareness + Legend) to resist and see through the illusion.</t>
  </si>
  <si>
    <t>Roll (Manipulation+Occult) with 7 bonus successes to create any detailed illusion you wish. Onlookers roll (Perception + Awareness + Legend) to resist and see through the illusion.</t>
  </si>
  <si>
    <t>Roll (Manipulation+Occult) with 8 bonus successes to create any detailed illusion you wish. Onlookers roll (Perception + Awareness + Legend) to resist and see through the illusion.</t>
  </si>
  <si>
    <t>Roll (Manipulation+Occult) with 9 bonus successes to create any detailed illusion you wish. Onlookers roll (Perception + Awareness + Legend) to resist and see through the illusion.</t>
  </si>
  <si>
    <t>Roll (Manipulation+Occult) with 10 bonus successes to create any detailed illusion you wish. Onlookers roll (Perception + Awareness + Legend) to resist and see through the illusion.</t>
  </si>
  <si>
    <t>When You spend a Legend point, and direct your unholy monstrousness at a single target, they run for their life and hide until the next sunrise. People affected by this Knack run away with self-preservation in mind, so they won’t sprint blindly into traffic or try to swim across a shark tank to safety. Scions whose Epic App represents divine beauty cannot use this Knack.</t>
  </si>
  <si>
    <t>When You spend a Legend point, and direct your "game face" at a single target, they run for their life and hide until the next sunrise. People affected by this Knack run away with self-preservation in mind, so they won’t sprint blindly into traffic or try to swim across a shark tank to safety. Scions whose Epic App represents divine ugliness cannot use this Knack.</t>
  </si>
  <si>
    <t>You perform a gesture of sincerity and your would-be mark accepts that you are telling the truth about the subject at hand, no questions asked, for the rest of the story. If used to convince someone of the truth, no mortal force can convince them you were lying. If used to convince someone of a lie, convincing them you lied is extremely difficult.</t>
  </si>
  <si>
    <t>Allows you to settle in to a prolonged Feat of Strength and extend it for a number of days equal to your Legend rating. You ignore hunger, thirst, exhaustion and other factors that might othiswise interrupt you. Without Epic Stamina, though, you will likely collapse from exhaustion as soon as you are done.</t>
  </si>
  <si>
    <t>For 1 scene, no matter what you do, say or allow to happen that makes a fool out of you, anyone who sees you thinks you're cool anyway.</t>
  </si>
  <si>
    <t>As the Overt Order knack but works on any number of people who hear the command.</t>
  </si>
  <si>
    <t>You can hear all prayers that are spoken aloud to you by name no matter where they come from or where you are. Must be Legend 9.</t>
  </si>
  <si>
    <t>Roll (App+Pres+Legend). For 1 scene, all attackers must roll (Will+Integrity+Legend). If they score fewer successes, the difference becomes a bonus to your DVs against that attacker for the rest of the scene. If they roll more, the knack has no effect on that person. Each attacker rolls separately. Epic Appearance must represent ugliness.</t>
  </si>
  <si>
    <t>As Pied Piper but mortals cannot resist this effect and legendary characters of lesser Legend receive only a standard (Will+Integrity+Legend) roll with a difficulty equal to the user’s (Legend+Epic Cha) to resist.</t>
  </si>
  <si>
    <t>You roll (Cha+Pres+Legend) vs. the victim’s (Will+Integrity+Legend) roll. If you win the contest, the victim is blindly enthralled and will do anything in their power to please you for days equal to your threshold successes. Works regardless of whether or not you have a higher Legend Rating than the victim.</t>
  </si>
  <si>
    <t>Your Body Armor now gains agg soak equal to half your Legend, trumps the Piercing quality, and can be extended around any article of clothing you're wearing, though not any handheld or bulky worn item he might be using. A zoot suit, including the hat, would be fine; an astronaut’s EVA suit would be a bit much.</t>
  </si>
  <si>
    <t>Once you have used Instant Hypnosis, you can choose to change the victim's memory or create one from scratch instead of giving them a command. When Instant Hypnosis is done, nothing can convince a mortal that the new memory is false. If it is a being with a Legend Rating, they assume it is true unless someone can prove it false.</t>
  </si>
  <si>
    <t>When you fall unconscious (either for sleep or being knocked out) you tune part of your mind in to your divine senses. When you wake, you remember everything you heard, smelled, felt and tasted while asleep as if you had been awake the entire time. Perfect Memory greatly enhanced this knack's effectiveness. If knocked out you can reflexively activate this knack.</t>
  </si>
  <si>
    <t>You burn a mental vision of yourself so deeply into the victim’s mind that everyone they see who is of the same sex as you seems to be wearing your face. They cannot regain spent Willpower points while under this effect. A demigod can do the same for Scion victims as well, but it will wear off on its own after the victim has spent 24 hours with no points of Willpower.</t>
  </si>
  <si>
    <t>Any organic matter can quell hunger and any water can quench thirst, no matter how rotten it may be or what drugs or other toxins it may contain. Any and all drugs, poisons, venoms, etc. that you swallow are burned up without effect. This does not protect you from inhaled/contact poisons or from things injected directly into your bloodstream.</t>
  </si>
  <si>
    <t>You give a speech to gathised listeners. As long as your words are intended to inspire them in some way, every mortal and scion who can hear you clearly without the aid of amplifying or broadcast equipment listens spellbound and receives a point of Willpower at the speech’s end. Titanspawn do not gain willpower but are compelled to let you finish speaking.</t>
  </si>
  <si>
    <t>You instantly assess all combat-related stats, abilities, powers and weaknesses of a foe as they relate to your own abilities. I.E. more or less dots than you have, weaknesses you can exploit, immunities or resistances to powers you might use against them, and powers you may be weak against.</t>
  </si>
  <si>
    <t>You instantly plunges a victim into a hypnotic trance and can implant one hidden command that the victim must obey at the time of your choosing. See Demigod page 61 for specific rules.</t>
  </si>
  <si>
    <t xml:space="preserve">You spend at least a minute lecturing a crowd on a topic and roll (Cha+ Pres+Legend). One person per success gains temporary use of your Ability score for the rest of the scene. You can perform this quick instruction for any one Ability, but everyone in the crowd hears the same speech and can benefit from the same Ability. Heroes can grant each person a max of 3 temporary dots. Demigods can grant up to 4 dots, and Gods can grant 5. </t>
  </si>
  <si>
    <t xml:space="preserve">For a second, an area the size of a fingernail gains a Hardness equal to your Epic Sta. </t>
  </si>
  <si>
    <t xml:space="preserve">You roll your mani-based dice pool, confer it on an emmissary and instruct that emissary to try to convince someone of something important on your behalf. They then use your roll when delivering your message. You can also seed an effect that the recipient believes the message is solely the emissary’s efforts and remains unaware of your influence. </t>
  </si>
  <si>
    <t>You clap your hands, slams a foe to the ground, bellows a war cry or performs some othis similar action, and everyone within a number of yards equal to the your Legend is potentially hurled backward. You roll Strength, receiving bonus successes from your Epic Strength, and everyone within the radius of effect compares their DV to the result. Anyone whose DV doesn’t measure up is knocked back one yard per threshold success.</t>
  </si>
  <si>
    <t>When you are aware that another character is keeping a dangerous secret, you need only make eye contact with the guilty party and they suddenly realize that someone else knows. They lose all unspent Willpower points. You can use this on the same person only once per day and it does nothing if they aren't actually hiding something.</t>
  </si>
  <si>
    <t>You are widely read and has a ridiculously well-rounded education and can speak on an endless list of topics. This knack represents a wealth of trivia knowledge, but does not represent an expertise on any topic.</t>
  </si>
  <si>
    <t>Any action you can perform as a feat of strength, you can perform as if it’s no effort at all. Since such feats of strength are so easy, you can execute multiple actions while performing feats of strength.</t>
  </si>
  <si>
    <t xml:space="preserve">Lasts 24 hours, can only be used on one person at a time. If Beautiful: Target gains 1 Willpower point (which may exceed theirs maximum) and an extra die on any Art, Athletics, Command, Craft or Integrity dice pools. If Ugly: Your victim loses 1 willpower point that they cannot regain until the effect wears offand one die from all Academics, Awareness, Control, Politics or Presence dice pools. </t>
  </si>
  <si>
    <t xml:space="preserve">As Instant Hypnosis  but it works on a crowd. You must get everyone's attention first. Your (Man+Comm+Legend) roll is contested by the average (Will+Legend) of the assembled audience, not on an individual basis. If you succeed, it effects as many audience members as you have successes on the roll. </t>
  </si>
  <si>
    <t>As the Come Hither knack except it allows you to send someone to a designated location where they will wait, hoping for you to come to them. Cannot be used if your Epic App. Represents ugliness.</t>
  </si>
  <si>
    <t>Your ability to control fine manipulation becomes so highly attenuated that she can manipulate materials on an absurdly small scale. Microscopic Precision does not equal microscopic vision, so You must still have some way to see what she’s manipulating. Lasts for one scene.</t>
  </si>
  <si>
    <t>Mortals completely ignore your Appearance score (both Epic and mundane). They won’t recognize you later unless you uses this Knack again, and they won’t be able to describe you in great detail to anyone else. While using this Knack, you cannot use any other Epic Appearance Knacks against mortals, nor can you apply your Epic App to rolls pertaining to dealing with that mortal at all until he lifts the effect. Lasts 1 scene but can be ended sooner.</t>
  </si>
  <si>
    <t>When you take a beating for some spectacular failure, all you have to do is ﬂash a thumbs-up, holler an “I’m okay!” or show a smile full of dangling teeth. When you does, people in your Band who can see your gain one Willpower point per health level you have suffered in total. You can inspire your fellows thus only once per scene, but you can do so even if you are knocked to Incap or killed—after which, you collapse.</t>
  </si>
  <si>
    <t>You do something to show you're not quite ready to take a blow and roll (Man+ Emp+Legend) against your attacker's (Will+Integ+Legend). If you win, they hesitate and their attack delays to the next tick. They must be able to see you and you must know that the attack is coming. Works once per scene.</t>
  </si>
  <si>
    <t xml:space="preserve">You can use both hands with equal facility and suffers no penalties when trying to manipulate an object with your tongue or your toes; even while using some other contorted body part, you suffers only half the usual penalties (rounded down) for the awkwardness of the situation. </t>
  </si>
  <si>
    <t>You develops the ability to put your massive strength to good use on a single, small point. With just a flick of a finger, a jab of an elbow or a headbutt, You delivers the entire force of your Epic Strength. This does not increase your damage output, but even when bound or restricted from moving in some way, you can bring all of your Epic Strength to bear in an attack. Lasts for a single application.</t>
  </si>
  <si>
    <t>When you join battle, you can simply spend a point of Legend to automatically go ﬁrst in the reaction count. If more than one character involved in a combat scene has this Knack, the character with the highest (Wits+Epic Wits) total goes ﬁrst. If characters with this Knack have equal totals, default to a separate Join Battle roll to see which of them acts ﬁrst.</t>
  </si>
  <si>
    <t>When you say something witty (or just catty) to a person and that remark is designed to trip him up or humiliate him, they loses one Willpower point. The only caveat to this Knack is that the player must actually come up with the gibe in question. It doesn’t have to be good; you just has to say something.</t>
  </si>
  <si>
    <t>You bark out a command that the target must obey. The command must be one you can give and the victim can perform in a single action. A victim of this Knack can interpret the command loosely to make it not directly suicidal, but not if all he’s trying to do is keep out of trouble.</t>
  </si>
  <si>
    <t>You spend a minute giving a brief inspirational speech, then charges ahead into the fray (be it fighting titanspawn or heading to the lab to find a last-ditch cure for a Titan-created plague). You roll (Cha+Comm+Legend). For each success scored, one person in the crowd becomes fired up with your Virtue. The mortal listener gains one dot in a Virtue that you possesses. You can use this Knack only once per scene.</t>
  </si>
  <si>
    <t>You can divide your attention equally between every source of input to which you are exposed, to the detriment of none. Lasts 1 scene.</t>
  </si>
  <si>
    <t xml:space="preserve">You can put on an emotional display so convincing that anyone who can see him clearly enough, and in person, to read your emotion feels that same emotion just as strongly as you are displaying - real or not. That emotional state lasts for the rest of the scene. </t>
  </si>
  <si>
    <t>You remember everything about your past from before the game started to the current moment in the story. If ever the player forgets a salient point or key bit of information from previous sessions, they need only ask the ST and the ST will remind them. It’s a good idea for the character’s player to take copious notes on each session’s events and double-check them with the ST, if only to alleviate some of the stress on the ST.</t>
  </si>
  <si>
    <t xml:space="preserve">When impersonating someone else, you can discern with preternatural quickness how the people who think you're that person expect them to react. As you roleplay the impersonation (and the imposter himself does so also), the ST simply informs you of what the characters’ expectations are, and you chooses your reactions accordingly. </t>
  </si>
  <si>
    <t>You are extremely good at modifying your movements to coordinate perfectly with other people. This Knack comes in handy in the ballroom, the bedroom, and in the thick of battle equally well. You can attach yourself to any coordinated assault you see fit, without the player of the person coordinating the assault having to include the character in the dice roll to do so. If you are in a two person coordinated assault, no roll is needed by either of you.</t>
  </si>
  <si>
    <t xml:space="preserve">Allows you to grant someone the use of the Benefit of the Doubt knack when speaking on your behalf. </t>
  </si>
  <si>
    <t>You can automatically recognize any people to whom you are Fatebound. You can also recognize an imposter when someone tries to mimic the voice or appearance of someone to whom you are Fatebound. If someone is not Fatebound, you can spend 1 Will to gain this benefit with them for the rest of the story. You can always recognize when someone who is not in disguise is biologically related to someone you know well.</t>
  </si>
  <si>
    <t>As Detail Variation but any morphology and physiognomy that exists on the spectrum of human variety is a valid change. (including changing gender). When the change is done, your new App can be from one dot to as many dots as you actually have. your Epic App dots are automatically included at their full value. You can use this Knack to perfectly mimic the appearance of anyone you have seen with a (Dex+Emp) roll.</t>
  </si>
  <si>
    <t>Works as Rumor Mill but it influences how people act rather than what they believe. See God Page 70 for specific rules and influence table.</t>
  </si>
  <si>
    <t>You can think thoughts directly into other people’s brains for them. These thoughts come through in a recipient’s head as words spoken in the sender’s voice, and are recognizable as coming in from outside. You must be able to see the person, and you must spend one Legend point per sent per sentence. If you have Multitasking, you can send the same thought to multiple people at once. Does not allow mind-reading.</t>
  </si>
  <si>
    <t>Whenever you hear a person knowingly tell a lie, you are automatically aware of the deception. This Knack doesn’t reveal what the truth actually is, nor does it work on text written by someone who knows it’s false or when someone speaks untrue words in a language you does not understand.</t>
  </si>
  <si>
    <t>You exude a sheen of ichor that shapes itself into any style and cut of clothing you can imagine. Costs one Legend point for one whole suit, and it’s instantaneous. Once the clothing exists, it takes on the texture and solidity of whatever fabric the you prefer. You can create armor but it will have no armor values. When removed from your body and the rest of the clothes, clothes created by this knack disolve into nothing.</t>
  </si>
  <si>
    <t>As long as you aren’t caught off gaurd by a surprise attack, you can choose to substitute your Intelligence score (including Epic Intelligence) for your Wits when making Join Battle rolls.</t>
  </si>
  <si>
    <t xml:space="preserve">If you hear a topic come up while the someone is speaking that reminds them of a misdeed they are keeping secret, you sense the presence of that secret. They needn’t feel guilty as long as they are or have made efforts to keep it secret. This Knack can’t reveal what secret they hide, nor does it point out speciﬁcally what was said in the conversation that reminded him of the transgression. </t>
  </si>
  <si>
    <t xml:space="preserve">You can draw, paint or othiswise create a two-dimensional image with the clarity of a high-end digital camera. Anything you have seen and can remember clearly enough, you can reproduce on a page exactly as it looks in your mind’s eye. </t>
  </si>
  <si>
    <t xml:space="preserve">You have the innate ability to detect even the subtlest variation in musical pitch. </t>
  </si>
  <si>
    <t xml:space="preserve">Until the next sunrise, mortals who look in your direction are compelled to be near you and get your attention, and they’ll follow you from locale to locale for as long as you keep leading them. You can have as many groupies as your Epic Cha dots normally grant him bonus successes on Charisma rolls. </t>
  </si>
  <si>
    <t xml:space="preserve">As Inspirational Figure but more effective. Mortals and Scions who hear it fully regain spent Willpower. This Knack also has a more insidious dimension. Spending a point of Willpower lets you inspire Titanspawn instead. Each titanspawn who hears him regains a point of spent Willpower. </t>
  </si>
  <si>
    <t xml:space="preserve">Just by looking at a person of lesser Legend, you can tell their weight, height, age, sex (if it’s unclear to casual inspection) and whethis they have divine heritage or not. With just a few lines of conversation, you can also tell their nature, calling and primary Virtue (if any). Finally, if they are Fatebound to someone and is acting out a Fatebound Role, you can figure out what that role is. </t>
  </si>
  <si>
    <t>Makes the electromagnetic perceptions granted by Broad-Spectrum Reception part of your normal perceptions. You can refine these perceptions to an even sharper degree for the duration of a scene. If you can feel radio waves or cell phone signals, you can listen to them as if you were an electronic receiver. If she notices television signals, you can watch a program carried on those signals in your mind’s eye.</t>
  </si>
  <si>
    <t>You are able to discern when any creature that you can sense is in a form that is not its default shape. You don’t necessarily know what the creature’s normal form should be, just that it’s been changed somehow into something different. This Knack doesn’t detect illusions.</t>
  </si>
  <si>
    <t>With a sniff or taste, you can ﬁgure out what ingredients compose a substance, and in what proportions. You can sniff out drugs or poisons that have been added to food or drink, as well as detect airborne toxins. The Knack registers each component separately and provides an indication whether it would be dangerous to consume. You remember the taste and smell of various ingredients so you can recognize them if exposed to them again.</t>
  </si>
  <si>
    <t>Sometimes, when you send a minion off to do your bidding, you want that minion to come back. With Return to Sender, you prompt them to return immediately after performing a task delegated with Epic Mani. If the initial command fails, then Return to Sender has no effect, but the Legend point is still expended.</t>
  </si>
  <si>
    <t>Your body is so lithe and supple or so unnaturally malleable that you can bend like the greenest reed and rarely ever break. Even if you can’t get entirely out of the way of an attack, you can dissipate some of the force behind the blow and mitigate some of the damage. When attacked, you can spend 1 Legend and add a value equal to your dots in Epic Dexterity to any soak value you have that is above zero.</t>
  </si>
  <si>
    <t>You seed rumor and cast it adrift in conversation with someone (even a stranger) and watch it bloom in the public imagination. For rules and effectiveness table, see Demigod Page 61</t>
  </si>
  <si>
    <t>Allows you to counter Opening Salvo, and works just like Opening Salvo. Doing so strips the victim of all Willpower points and doesn’t allow them to recoup those lost points for one full day. If someone uses this to counter your Opening Salvo, you can activate it to begin an "insult battle." Doing so only requires one activation each for each of you and lasts until one of you wins.</t>
  </si>
  <si>
    <t>With just a sniff of the air, you catch the signature scent that wafts off any Scion, marking the subject as more than mortal. You can tell which pantheon they are from if you have encountered it before.</t>
  </si>
  <si>
    <t>Allows you to use your Epic Mani through text or written word. The attempt must be addressed specifically to a target. Each attempt gets one chance to work and the target gets only one chance to resist.</t>
  </si>
  <si>
    <t>When you are near a Fated character when their Fated role has been activated, you can sense it. By spending a point of Legend, you can instantly know who the Fated character is and who or what they are bound to (if it is nearby). Does not tell you the nature of the bond between them.</t>
  </si>
  <si>
    <t>You make eye contact (activation forces your target to do so) and your target is rendered Inactive until you breaks eye contact. You can still act, but maintaining eye contract causes you a -2 penalty for any othis action she takes. Characters of equal or higher Legend rating may spend 1 Will to negate the effect, making them immune for the rest of the scene.</t>
  </si>
  <si>
    <t>You are so strong that you can direct your incredible power through the ground or ﬂoor to affect enemies at range. See Demigod Page 55 for rules and more information.</t>
  </si>
  <si>
    <t>If an enemy’s attack against you inﬂicts enough damage to cause knockback, you can spend 1 Legend and 1 Willpower to negate all damage from the attack. You are still knocked back, but you land perfectly unharmed however far away the knockback threw you. You can use this Knack only once per scene.</t>
  </si>
  <si>
    <t>When you find yourself in a foreign social setting, you can observe the behavior of people around you and react preternaturally quickly to their reactions to your behavior to fake like you ﬁt in just about anywhere, with any class of people. You still have to dress the part, and a language barrier might pose problems, but you won’t embarrass or draw attention to yourself unless you goes out of your way to do so on purpose.</t>
  </si>
  <si>
    <t>When you purchases this power, you immediately choose a single Legendary geas that is general in nature or one appropriate to your divine parent. Any time you purchases a Boon from a non-associated purview, you can choose to take a geas appropriate to a God of the Tuatha associated with that Purview, allowing you to take the Boon as if it was associated.</t>
  </si>
  <si>
    <t>You can force a Token Geas onto another character. The ST chooses the details of the geas.</t>
  </si>
  <si>
    <t>You declaim your greatest virtue and admit your weakest and gain bonuses according to those Virtues. Can purchase a second time to do the same to others once you have used Brehon's Eye to learn their Virtues. See Companion Page 23 for details</t>
  </si>
  <si>
    <t>The words of the bard are always heeded because he has taken care to see deeply into someone’s nature and knows the truth of them. You claim part of a bard’s enech, and your words about that person are rendered truthful. To be spoken of well by a bard is to excel in life; to be mocked by one is to know scorn, shame and failure. See Companion Page 23 for rules.</t>
  </si>
  <si>
    <t>Once per scene you roll (Perc+Emp) with bonuses from Epic Perc. and learn the Highest Virtue, Lowest Virtue and Nature for one person per success who is in your presence, starting with those of highest Legend and working your way down.</t>
  </si>
  <si>
    <t>If you know the full details of a target’s geas, you can change the details of that geas. He may change the geas within its Type or within its Source. This costs 5 Legend for Token Geasa, 8 Legend for Potent Geasa and 12 Legend for Mortal Geasa. The target doesn't know it has happened until they break the newly changed geas.</t>
  </si>
  <si>
    <t>When you lead a Coordinated Assault, you can extend the DV penalties to a number of enemies equal to half the number of allies included in the Coordinated Assault. Applies to the enemies who are closest to you. Can be used once per battle.</t>
  </si>
  <si>
    <t>Your allies instantly share a single pool of ammo. A bullet fired always comes from the gun with the most ammo in it. Includes one ally per success on the activation roll, and all weapons effected must use the same ammo. Allies can switch weapons and maintain the effect as long as the new gun uses the same ammo. Lasts 1 scene.</t>
  </si>
  <si>
    <t>You give an ally a number of your dots of Virtue up to the number of successes rolled, but must pay Legend for each dot transferred in this way. The recipient may use all the advantages but also suffers from all the disadvantages of the new/increased Virtue. You still roll for Virtue as if you had your normal amount. Lasts 1 scene.</t>
  </si>
  <si>
    <t>You transfer a number of health level boxes up to the number of successes rolled, grantinghe recipient that many -0 health levels. If you are wounded when you use it, those wounds go to the recipient. All their wounds shift into the boxes you give. When the effect ends, you gain any wounds that were recorded in the health boxes you gave them.</t>
  </si>
  <si>
    <t>For each success scored, you may transfer up to one dot of abilities to one recipient. You may transfer as many dots from as many Abilities as he can afford, but none of the recipient's Abilities may be raised beyond five by these means. The effects of this transfer last one scene.</t>
  </si>
  <si>
    <t>You can transfer dots in Att or Will to a single person up to the number of successes. They are limited to the normal max att. range based on their own Legend. You can also gift an Epic Att, at a cost of 1 Will and 1 Legend per point transferred. The effects of this boon last for one scene.</t>
  </si>
  <si>
    <t>You may take a penalty to your DV's up to the number of successes and grant a bonus of the same amount to one recipient. You must remain within 200 ft of the recipient. If separated by a greater distance, they recipient loses the bonus even though you keep the penalty. If the distance is closed again, they regain the DV bonus. The effects of this Boon last for one scene.</t>
  </si>
  <si>
    <t>Any injury received by any member of the squad will be suffered by the member of the squad with the most available health levels. Each success on the roll allows you to include one person in the pool. Straying more than 50 feet from the rest of the group removes a person from the pool until they close distance again. Lasts 1 scene.</t>
  </si>
  <si>
    <t xml:space="preserve">For each success, you may transfer up to two dots of Abilities, Attributes, Epic Attributes, health levels, Willpower or Virtues to any character or characters of your choosing. Successes may also be used to transfer Boons or Knacks on a one-for-one basis. They may not have any score raised above their normal max based on their Legend. </t>
  </si>
  <si>
    <t>Allows one ally per success to be included in a bond that allows them telepathic communication and the use of each other's abilities - both natural and supernatural - so long as they remain within 50 feet of each other. See Companion page 246 for specific allowances and rules.</t>
  </si>
  <si>
    <t>You bind yourself to the enech of a location, becoming one with the land. See Companion page 24 for details.</t>
  </si>
  <si>
    <t>You choose a single Purview and remove yourself entirely from that concept as it interacts within the world. While withdrawn from that Purview, you cannot be affected by the powers of that Purview, nor by effects that are based in it and cannot use Boons from the Purview. This Boon may be activated multiple times, at a cost of 20 Legend and 1 Will point per activation.</t>
  </si>
  <si>
    <t>Whenever someone speaks of your deeds, or whenever you see news of your exploits in print somewhere, you roll (Cha+Emp) and gain a number of Legend points equal to successes. The story must be specifically about you, which the context should make clear. It cannot be something you commanded spoken/written and must be evidence that your legend is spreading.</t>
  </si>
  <si>
    <t>Sekem is the light, the power and the energy of your soul. You channel that powerful light through your gaze to intimidate a foe. Such a foe can be an animal, a person, a Scion or even one of the titanspawn, and You need only look it in the eyes and spend a point of Legend. See Hero page 151 for specific rules.</t>
  </si>
  <si>
    <t>You roll (App+Comm). On success, acts as Sekem Blaze but you do not need to make eye contact - it effects anyone looking upon you.</t>
  </si>
  <si>
    <t>Forces one of your own Virtues on a mortal target. If they are scion, you instead inflict the Virtue Extremity of one of your Virtues. You must be able to capture your victim’s attention and stare into their eyes for a number of minutes equal to your rating in the Virtue being imposed.</t>
  </si>
  <si>
    <t xml:space="preserve">In a workshop in your spare time, you crafts small scarabs out of imperishable materials. These can be used to preserve a corpse permanently. Also sends the corpse’s ghost back to the underworld. If a necromancer raises a body that has a heart scarab attached to it, the heart scarab doubles the body’s Stamina for the purposes of determining soak.
</t>
  </si>
  <si>
    <t>Create a seal on a solid surface. When activated, the shadow of any sentient being who crosses it becomes trapped, trapping them as well. See Demigod Page 93 for specific rules.</t>
  </si>
  <si>
    <t>Creates bandages that will instantly and completely heal one box of damage when used. Heals the most severe damage suffered. Each bandage can be used once and then disintegrates.</t>
  </si>
  <si>
    <t>You make yourself a Guide for another being (as the Birthright) and open a line of communications for them to contact you with.</t>
  </si>
  <si>
    <t>With this Boon, you uncovers someone’s True Name (their ren) and use it to compel that person to do your bidding. See God page 106 for specific details.</t>
  </si>
  <si>
    <t>Reduces fatigue penalties by 1 per success for 12 hours.</t>
  </si>
  <si>
    <t>Allows You to double the speed with which you perform one type of repetitive manual labor such as stacking sandbags, digging a foxhole or peeling potatoes. Applies to one task and lasts for one scene.</t>
  </si>
  <si>
    <t xml:space="preserve">With only the bang of a hammer and a few twists of a screwdriver, you can spend 2 Legend to repair even the most grievously damaged equipment or vehicles almost instantly. You repair a number of health levels equal to the number of successes on the roll. </t>
  </si>
  <si>
    <t xml:space="preserve">You send invisible spirits of entropy into one visible piece of mechanical equipment such as an engine, a gun, or a time bomb. They cause the machine to go on the fritz for a number of ticks up to double the number of successes scored on the roll. </t>
  </si>
  <si>
    <t>When activating this power, you decide on one item small enough to fit inside a pocket (you also need a pocket). Can use it as many times, for as many different items as you want except: After failing a roll you cannot use it for that item until you properly resupply. After botching a roll you cannot use it at all until you properly resupply.</t>
  </si>
  <si>
    <t xml:space="preserve">For each success, you may temporarily add one dot to a Virtue, to a maximum of five dots in each Virtue. Each dot costs 2 Legend. You can add fewer Virtues than your successes, pay the Legend cost only for dots added. </t>
  </si>
  <si>
    <t>You repair the remnants of an object that has been reduced to zero or fewer health levels. A single success on the roll returns the object to 1 health level. Any user will suffer -4 to all rolls using this device. Threshold Successes after the first reduce this penality 1-for-1. You can use the Fixit Boon to further repair the object.</t>
  </si>
  <si>
    <t>So resourceful is You that he can create nearly anything with only a few rare resources, and can mass produce equipment with the wave of a hand. For specific creation rules, see Companion Page 230.</t>
  </si>
  <si>
    <t xml:space="preserve">By concentrating on an item for one action, each two successes rolled (rounded up) allows the player to add a +1 bonus to one of that item's traits such. No item may receive more than a total bonus of +5 for all traits combined. </t>
  </si>
  <si>
    <t>You concentrate for 5 ticks and summon into existence 4ft diameter atomic bomb that weighs 400 lbs. Sixteen ticks later, it detonates dealing 5L of fire damage and 1A of radiation per success on your (Int+Sci) roll. The damage cannot be dodged or parried, but it may be soaked. The damage is reduced by 5L and 1A for every 50 feet the blast travels from the epicenter.</t>
  </si>
  <si>
    <t>Once per day you can shed 1L worth of your own blood in exchange for a single point of Legend.</t>
  </si>
  <si>
    <t>You sacrifice points of DV against an incoming attack. If the attack hits your as a result of this reduced DV and inflicts even a single point of damage, you gain a number of points of Legend equal to the DV you sacrificed. Can be used unlimited times, but your Legend pool cannot be raised above your normal maximum.</t>
  </si>
  <si>
    <t>As Maguey Sting, but less limited. If you succeed on a Conviction roll, you can inflict as many health levels of lethal damage upon yourself as you wishes, earning a point of Legend for every health level you suffers. (These points may exceed the normal maximum, but extra points disappear after 1 week.) You can do this once per week.</t>
  </si>
  <si>
    <t>Allows you to use Obsidian Mutilation while sacrificing the blood of a mortal, titanspawn or fellow Scion instead of yourself. They must either give blood willingly or be under your control. You can make this sacrifice only once per week from the same victim. You can also remove the heart of someone who has died in combat and sacrificing it, gaining 5 Legend and 1 Willpower.</t>
  </si>
  <si>
    <t>When you contemplate a goal that is important not only to your, but to the Atzlánti, you may give yourself over to the Gods temporarily in pursuit of that goal, gaining various bonuses and suffering the Fanatic Zeal Virtue Extremity. See Demigod Page 94 for details.</t>
  </si>
  <si>
    <t xml:space="preserve">You remove an irreplaceable part of a victim’s body and burn it in a ritual. Each part you remove inflicts one level of agg damage and earns for you five Legend points. You must remove and burn the body part yourself, and the victim must be alive at the time of sacrifice. </t>
  </si>
  <si>
    <t>You tear the still-beating heart from a living victim and stuff it into your own mouth. When you swallow the throbbing heart, you slice open the skin of your chest and tear it back to reveal your ribcage. Only your heart is visible within, and it bursts into flames. For the rest of the scene, your effective Legend Rating is increased. See Demigod Page 95 for details.</t>
  </si>
  <si>
    <t>Blood shed in your name empowers you, and you takes a cut of any Legend granted to any of your Scions for using hero and demigod level Itztli boons. You need only take a deep breath and let the power flow into you from far away.</t>
  </si>
  <si>
    <t xml:space="preserve">You can freely transfer Legend points to any other God, regardless of their pantheon. Doing so requires only that the Gods commingle their ichor in some way—from a wet kiss to a handshake between two slashed palms. The exchange is considered a miscellaneous action (Speed 5, DV -2), during which the God using this Boon can transfer as many Legend points to the recipient as he sees fit. </t>
  </si>
  <si>
    <t>You attempt to make a sacrifice of your own sibling, child or parent. If you are successful, your Legend-point maximum increases for one year. See God page 107 for details and rules.</t>
  </si>
  <si>
    <t>You can imbue a human with three free Attribute dots to be spent into the human’s Strength and/or Stamina. The person remains loyal to You for three months (roughly one season) and remains equally irritable with othis people. A Scion cannot use this Boon on a beast.</t>
  </si>
  <si>
    <t xml:space="preserve">You can now imbue a human with four free Attribute dots to be spent into the human’s Strength and/or Stamina. They also gains two extra -0 health levels. The person remains loyal to You for three months (roughly one season). this devotion is such that the person’s imposed Loyalty Virtue rises to 5. A Scion cannot use this Boon on a beast. </t>
  </si>
  <si>
    <t>You can imbue a human with five free Attribute dots to be spent on the human’s Strength and/or Stamina. The recipient also gains four extra -0 health levels. The person remains loyal to You for six months with an imposed Loyalty of 5. It also raises the berserk’s imposed Courage to 5. A Scion cannot use this Boon on a beast.</t>
  </si>
  <si>
    <t>You can imbue a human with 6 free Att dots to be spent into the human’s Strength and/or Stamina or one dot to be spent into Epic Str or Epic Sta. Doing the latter also grants the human either Crushing Grip or Holy Fortitude. The recipient also gains six extra -0 health levels. As with Epic Endowment, the berserk’s imposed Loyalty and Courage are both 5. A Scion cannot use this Boon on a beast.</t>
  </si>
  <si>
    <t>A beast gains 3 dots each of sta and str, 1 dot each of Epic Str and Epic Sta (but no knacks), 1 dot of Legend and four -0 health levels. The beast’s size increases by 50%. The dire beast is loyal to only you. Stat and size changes are premanent, but the loyalty must be renewed once a year.</t>
  </si>
  <si>
    <t>A mortal gains 8 dots of stam/str, 2 dots each of Epic Stam and Epic Str (you decide knacks), Legend 2, Courage 5, Endurance 3, Expression 1, Loyalty 5 and eight -0 health levels. Their size increases by 50%. These changes are permanent. They are loyal to you for 1 year, after which they become rogue unless you renew the bond.</t>
  </si>
  <si>
    <t>By subduing a Giant's thrall and feeding them your Eitr, you can under the enthrallment, returning the thrall to their normal stats and removing their loyalty to the Giant.</t>
  </si>
  <si>
    <t>You can add bonus dice to any roll using Science or Craft. The number of bonus dice equals the rank your highest Scire Boon.</t>
  </si>
  <si>
    <t>You touch an object that contains information and in a moment, all of the information floods into your mind. You don’t necessarily understand all of the fine details of the data, but you have access to all of the raw facts; the information is downloaded into your brain. Without the Perfect Memory Knack, the information starts fading and becomes useless after 1 scene.</t>
  </si>
  <si>
    <t>Your bonus dice from Fundamental can apply to any task in which the Atlantean uses a technological device. If the task also uses Craft or Science, the bonus can stack with Fundamental, providing double the bonus dice. Lasts until the end of the scene.</t>
  </si>
  <si>
    <t>With but a glance, You look at a simple object or tool and ponders, “What would happen if I….” and intuitively gain an answer to the question, even if you don't have all the information needed to logically deduce the result.</t>
  </si>
  <si>
    <t>For 1 scene, all items you wear, carry and hold gain all your immunities and resistances, including those gained from mundane and epic stamina, knacks and boons.</t>
  </si>
  <si>
    <t>You can control devices at a distance by pantomiming the actions that the device is to take. Works on one item at a time for 1 scene. See Companion page 69 for details.</t>
  </si>
  <si>
    <t>You eat a piece of meat from the appropriate animal and roll (Stam+Animal Ken). The successes scored indicate the number of points of Abilities that You may borrow from the animal. A Scion can only borrow Abilities up to the level possessed by the animal, although these dots can add on to your existing skill dots to a maximum total of five. Lasts 1 scene.</t>
  </si>
  <si>
    <t>During a battle, you can loose a horrible battle cry that unnerves your foes. Every enemy who hears it loses one die from all attack rolls for a number of attacks equal to your Legend rating. You can use electronics to amplify range, but you must be at the site of the battle. Can be used once per combat scene.</t>
  </si>
  <si>
    <t>Your body twists and warps, taking on a freakish form as you turn into an uncontrollable rage monster. Also activates other boons and knacks simultaneously. See Companion page 20 for details.</t>
  </si>
  <si>
    <t>With any AoE attack or effect from a supernatural power or technological device, you can choose to exclude individuals or areas inside the effect. Roll (Wits+Marks) to determines how many targets you can choose to exclude from an area effect. Only works with a technological device or an effect of a Relic (be it a special power of the Relic or a Boon invoked with it).</t>
  </si>
  <si>
    <t>Activating before taking an action allows you to undo the action after it has resolved and choose a different course of action. You can use Anticipation multiple times in one turn, so long as you pay the Legend point cost before new each action.</t>
  </si>
  <si>
    <t>You can so thoroughly remove a fact from common memory and knowlede that even you don't remember it. Once erased, it disappears from the knowledge of everyone who knew it and from every source of information that carried it. See Companion page 70 for details.</t>
  </si>
  <si>
    <t>Roll (Int+Sci) to attempt to violate the laws of causality. On a success, you ignore any one action taken against you. The action still happens, it just doesn't effect you. Cannot negate or avoid Fatebindings, Fateful Aura effects or the powers of a God in Avatar form. Does not protect others around you. Can be used only once per story.</t>
  </si>
  <si>
    <t>You completely take over the body of an animal, entering it with your conscious mind. While doing so, you are completely unaware of what is going on around you. If the animal dies, the effect immediately ends.</t>
  </si>
  <si>
    <t>You can change a portion of your anatomy to a shape matching the analogous portion of your chosen animal’s anatomy for one scene. The exact effect of the change is up to you, dependent upon ST approval. You can take one 1 feature per 5 sucesses on the activation roll. You can end it early if you choose.</t>
  </si>
  <si>
    <t>You can create mundane animals from 1L worth of your own blood. They are as loyal as a birthright creature. See Demigod Page 70 for full details and other creation costs.</t>
  </si>
  <si>
    <t>You create an image or icon of an animal (or take out one you already have handy) and roll (Int+Art) and the image or icon comes to life as a full-sized mundane animal. See Companion Page 71 for details and costs.</t>
  </si>
  <si>
    <t>You can increase the size, Dexterity or Mental or Social attributes of a mundane animal or give it dots in an Epic Physical Attribute. Increases the animal's Legend Rating by 1. Can only use it on the same animal once, but may increase stats to their limits on that use. See God page 81 for specific costs.</t>
  </si>
  <si>
    <t xml:space="preserve">Purchasing this boon passively makes any Animal Purview boon you have apply to all animals as though they were your chosen animal. </t>
  </si>
  <si>
    <t>With this Boon, the God is able to blend living animals that should not be able to procreate with one another.  See God page 81 for details and limitations.</t>
  </si>
  <si>
    <t>For a single instant, your victim sees everything cast in shadow, with frightening overtones and hideous, nightmarish contortions. It shakes them, causing them to lose a single point of Willpower. Does not effect beings with higher Legend rating than you. Beings with equal or lower Legend score roll (Will+Integ+Legend) to resist.</t>
  </si>
  <si>
    <t>Your body turns pitch-black, and you become a sinkhole for light. You gain your Legend as a bonus on all Stealth rolls while active. You also become immune to all effects of the Sun Purview when used by someone with a lower Legend than you and absorb radiation from the infrared spectrum all the way up to cosmic rays with no ill effect. Lasts for one scene.</t>
  </si>
  <si>
    <t>Allows you to reshape a shadow as you desire or draw from it any simple weapons or tools made of solid shadow.</t>
  </si>
  <si>
    <t>When a living being is Incap, you can bring them death with a touch.</t>
  </si>
  <si>
    <t>You reach into a fire the size of a campfire or larger and pull out a melee weapon made of flame. You have a base number of points equal to your Legend for each weapon. These points can add to a base Accuracy +0, Damage +0 and Defense -1, and they can subtract from a starting Speed 6. You can also put a physical weapon into the flame and apply those bonuses to it's stats instead. Lasts 1 scene.</t>
  </si>
  <si>
    <t>You pour fire into a projectile weapon and for the rest of the scene it fires legend-fueled fire ammo. Add +1 Acc and Damage. It also deals Lethal damage to creatures that normally take Bashing from bullets and other projectiles.</t>
  </si>
  <si>
    <t>By having a mortal consume a trace amount of your ichor, you can grant them the use of any one Epic Stam knack you possess for days equal to your Legend.</t>
  </si>
  <si>
    <t xml:space="preserve">When your Vigil Brand is active on a mortal, you can have them consume a trace amount of your Ichor to grant them the use of any 1 Immunity Boon you possess. </t>
  </si>
  <si>
    <t>The caster declares a target (a person, place or thing) and can unerringly track that target by following the perturbations in the threads of Fate. If the target is a place, you can always find your way back, no matter how disoriented or lost you are. Lasts for one day per success, but it can be increased on a daily basis by spending one Legend point.</t>
  </si>
  <si>
    <t>Each success gives you knowledge of one Purview or EA the subject has, starting with the highest level and working down from there. Equal level Purviews and EA's are ordered by ST selection. Only tells you want purview or EA they have, not what they don't or what Boons/Knacks they have.</t>
  </si>
  <si>
    <t>You show some symbol of truce and anyone who enters the scene with malicious intent must spend 1 Will to initiate violence, breaking the spell. The spell prevents accidental quarrels and flashes of temper. If someone breaks the truce, they become Fatebound to You. Otherwise, You are Fatebound to a random person who becomes a friend while Fatebound, or the Fatebinding lodges to the place of truce itself.</t>
  </si>
  <si>
    <t>Allows you to see magic and supernatural powers that are normally invisible to mortal sight. Also faintly reveals the threads of Fate that entwine people, revealing strong or thick threads and allowing the caster to determine a Scion’s or other supernatural being’s Legend score.</t>
  </si>
  <si>
    <t>Reveals if a drink is poisoned by shattering the vessel if it is. You gain a hostile Fatebinding to whoever poisoned the drink.</t>
  </si>
  <si>
    <t>Each success gives you one die to “spend” to add to any dice pool for any rolls you make for the remainder of the scene. You can apportion multiple successes however you wish, but the maximum Fortune dice he can add to any single roll cannot exceed half your Willpower score. Can be used more than once per scene.</t>
  </si>
  <si>
    <t>You curse a target with a withering glance or insulting gesture. Success levies a dice penalty on the dice pool for the target’s next action that requires a roll. One die is subtracted per dot of your Presence (or one die if you have no rating in this Ability). Each success on the casting affects one additional roll.</t>
  </si>
  <si>
    <t>Whenever your victim attempts a social feat that calls for a dice roll, they break wind. Loudly. Odorously. Remove two successes from their roll. Can turn a formerly successful roll into a botch. Happens once per success on your activation roll. The Fatebinding from being the target of this curse lasts only 1 scene, but the enmity may last forever.</t>
  </si>
  <si>
    <t>You gift a target with some of your own Legendary energy. For each success scored on the activation roll, you can transfer 1 Legend point to the subject. Casting the spell consumes 1 Legend point, and the caster can then send over any amount of Legend, up to the limit of your own remaining pool. The subject doesn’t have to be willing, but excess Legend points are lost.</t>
  </si>
  <si>
    <t>On your next action that requires a roll, you take a dice penalty equal to the successes on your activation roll for this spell. In exchange, you grant another person an equal number of bonus dice to apply to future rolls as they see fit.</t>
  </si>
  <si>
    <t>Allows you to create a mead that grants the drinker one dot each to the blood donor's highest Attribute and Ability for one day. If the donor is killed and you use their heart's blood, it lasts 1 month. The drinker can make the bonus dots permanent at half the normal XP cost. See Ragnarok Page 45 for full details.</t>
  </si>
  <si>
    <t xml:space="preserve">You can demand that a person perform a task for him. Until it is done, they cannot spend Willpower on any action unless it aids the completion of your task. </t>
  </si>
  <si>
    <t xml:space="preserve">The caster calls for help—and Fate answers in its own way. Basically, the ST can get as dramatic and creative as he wishes, but he is under no onus to do so. He can choose a quite mundane rescue if he so desires. You are Fatebound to the person, place or means of your rescue. </t>
  </si>
  <si>
    <t>The caster measures the Fatebinding between two people — possibly including yourself — and pulls on the thread to draw them closer. Every two successes scored on the (Cha+Pres) roll increases the strength of the Fatebinding by one step. You become Fatebound to both subjects, if you weren't already.</t>
  </si>
  <si>
    <t xml:space="preserve">You utters a potent curse, loop the target’s thread of Fate around a particular location and pull it taut. The thread passes (metaphysically) through the target’s body and anchors their spirit to that location. Upon their death, their spirit becomes a ghost locked to that location. </t>
  </si>
  <si>
    <t>When you have some sympathetic link to a victim, you can loop their fate around it and cinch it tight, turning that link into a conduit through which you can target the victim with Boons and Spells no matter how far away they are.</t>
  </si>
  <si>
    <t>With either a curse or an extremely well-worded request, you binds a victim’s fate to a physical location. The location is 500 square feet in area per dot of Legend you has, but it can take any shape you desire, in order to conform to an existing structure’s floor plan. They cannot leave the area to which you bind bind them.</t>
  </si>
  <si>
    <t xml:space="preserve">Allows you to bind the members of your Band together (one per success), creating a level 1 fate binding between all members and allowing them to gift willpower points to each other at will as a reflexive action. </t>
  </si>
  <si>
    <t>You name a subject (Person, animal or object) and a harmful incident that could maim, kill or destroy the subject and until the next full moon, the subject is immune to that particular Fate. It has to be specific, and the spell only protects from death, maiming or destruction from that source. The source can still cause them significant inconvenience.</t>
  </si>
  <si>
    <t xml:space="preserve">You take the form of a normal animal. You assume the animal’s physical traits while retaining your own mental abilities, including EA's. Animals of that type sense something odd and grow agitated near you unless you use some other power to charm or fool them. </t>
  </si>
  <si>
    <t>You switch the personalities of two intelligent creatures. See Demigod Page 98 for specific effects.</t>
  </si>
  <si>
    <t xml:space="preserve">You create a new Fatebinding between the two targets. You choose the nature of the binding. You are not obligated to tell them about the new Fatebinding. Every two successes scored on gives one level of Fatebinding between the two targets. </t>
  </si>
  <si>
    <t>Allows you to use one of your self-transformation Boons on the victim’s body. See Demigod Page 98 for full details.</t>
  </si>
  <si>
    <t>Allows you to perform a Visitation through your child scion's dreams. They remember it perfectly and are left with all the effects of a normal Visitation, including birthrights.</t>
  </si>
  <si>
    <t>You bind the fate of an item, a creature, a person or a group of people to that of your Scion child, making it a true Birthright that belongs solely to the intended Scion. If it’s a relic, it functions reliably only in their hands. If the Birthright represents a creature, a person or a group of people, those beings are loyal to your Scion child.</t>
  </si>
  <si>
    <t>You temporarily steal away one of the Birthrights of some other Scion. You gain use of the stolen Birthright for a number of days equal to your Mani rating. Alternatively, you can gift the stolen Birthright to any other creature to which you have a Fatebinding.</t>
  </si>
  <si>
    <t>For a number of days equal to the successes scored on the activation roll, you and your target share the same Fatebindings. Further, if one of you dies during that time, the other dies as well.</t>
  </si>
  <si>
    <t>Allows you to adopt an un-Visited scion from their parent God who is willing to allow the adoption.</t>
  </si>
  <si>
    <t>You can undo a spell cast by someone else without knowing the spell in question. You need only spend the same amount of Legend and/or Will the original caster spent and accrue more successes on a (Dex+Occ) roll than the original caster got on the activation roll. If he does so, the spell comes undone at once with no ill effects. Can only undo spells below 8-dots cast by beings of equal or lower Legend Ratings.</t>
  </si>
  <si>
    <t>You hinder a target's ability to cast spells. Roll (Int+Occ) and when they try to cast a spell, they must amass more successes on the activation roll than you. If they fail, so does the spell. Remains in effect for a number of hours equal to your (IntxLegend).</t>
  </si>
  <si>
    <t>Allows you to micromanage the weather in an area with a radius of 5mi X Legend Rating. You can inflict or ease environmental damage and environmental penalties on others, which you remain immune to.</t>
  </si>
  <si>
    <t>You touch one or more weapons and upgrade their damage to Aggravated on their next attack.</t>
  </si>
  <si>
    <t>You multiply yourself into a coordinated unit of exact copies. You can't activate boons while duplicated but boons active at the time of duplication remain active for all duplicates. They must perform roughly the same action at the same time, unless you use the multiple action rules to split them into two groups. Lasts 1 scene.</t>
  </si>
  <si>
    <t>Create a virtual, 3D contour map of a battlefield, complete with terrain features and troop movements. this map can take up an area no larger than four square yards, and it can show only an area that You has scouted personally or has had scouted within 24 hours. It symbolically indicates your troops and equipment, the enemy’s troops and equipment, and any uninvolved civilians in different colors. Lasts 1 scene.</t>
  </si>
  <si>
    <t>Your melee attacks all gain the Piercing quality. Last for one scene.</t>
  </si>
  <si>
    <t xml:space="preserve">On a successful activation roll, the victim freezes in place, suddenly unable to think, speak or act. They're unaware of what goes on around them, and have no memory of the moments before or after the use of this Boon. The effect lasts for a number of actions equal to the successes on the activation roll, and it erases the victim’s memory for an equal amount of time before the roll. </t>
  </si>
  <si>
    <t xml:space="preserve">You can break even the most complicated machine with just the power of your mind. On success, the machine breaks down and ceases functioning immediately. In order to repair it, a character must accumulate an equal number of successes on an extended (Dex+Craft) roll. Works only on complex machines, not simple ones. </t>
  </si>
  <si>
    <t>You stand in a place where a choice of direction could be made and summon the confusion of chaos into the area. For the rest of the scene, anyone who enters that intersection becomes unable to determine direction. Compasses wildly spin, GPS locators lose their signal and landmarks shift and can’t be pinned down. You and anyone touching you are immune to the effect.</t>
  </si>
  <si>
    <t>You sing a chorus from a silly song or make some awful witticism and use this Boon to stick that random bit of inanity into the mind of every person who hears and understands you when she does it. Those who cannot resist the effect suffer a distraction penalty equal to the number of Legend points you spent to activate the effect on all rolls for 24 hours.</t>
  </si>
  <si>
    <t xml:space="preserve">You stands before a crowd and shouts some incendiary catch phrase. On success, a riot breaks out. Five people per success on the roll immediately lose all sense of decorum and civility and start wrecking the joint. </t>
  </si>
  <si>
    <t>The target is mentally paralyzed for a number of hours equal to your Legend Rating. They also lose their memory for the same amount of time prior to the boon activating. The effect is transmittable to anyone who can see the victim (or subsequent victims) clearly, even if only by way of magnifying devices.</t>
  </si>
  <si>
    <t>You can drive groups of people insane. With the base activation, you can affect a number of targets equal to your Legend rating. See God page 83 for details.</t>
  </si>
  <si>
    <t>The God picks up a series of items, then throws them up into the air. When they land, they amazingly come togethis in the form desired by the God or in a position that the God wishes. The difficulty of this trick depends on the number of items used and the complexity of the final item. See Companion page 71 for specific details.</t>
  </si>
  <si>
    <t>After circumstances force the ST to roll your Legend as a dice pool to determine Fatebinding, you may attempt to foist the Fatebinding on to another character. Doing so triggers a new Fatebinding roll to bind you to your target. This one cannot be foisted on to another person.</t>
  </si>
  <si>
    <t>By knocking the earth, you get a sense of its general composition and density, as well as finding holes or caves beneath the surface. If you're looking for something specific in the earth—such as gold, oil or a human body—this Boon reveals its distance from you and depth from the epicenter instead. The Boon works only at ground level or on the up-thrust surface of a mountainside.</t>
  </si>
  <si>
    <t>The Boon can take away or restore a person’s reproductive capabilities. This effect lasts for one year per success on the activation roll. Used on a pregnant person, makes the unborn child come into the world strong and healthy or sickly and deformed. You can also use this Boon on an infant within the first 24 hours after its birth.</t>
  </si>
  <si>
    <t>You can repair a patient’s injuries or inflict harm directly. You can choose to immediately cause/heal Bashing damage or to upgrade/downgrade damage between Bashing and Lethal - both in a number equal to your successes on the activation roll. Can only be used on the same person once per scene but you can use it on as many people per day as you want.</t>
  </si>
  <si>
    <t>Instantly removes any poisons and diseases from a person's body. Does not heal any damage, degeneration or scarring the disease or poison may have caused before being purged.</t>
  </si>
  <si>
    <t xml:space="preserve">You sing or play some sweet lullaby and a number of living creatures equal to the successes on the activation roll drift quietly off to sleep for a number of hours equal to your Legend. </t>
  </si>
  <si>
    <t>You touch something with a gender and guarantee that the next act of sexual intercourse in which that the creature engages that could result in offspring does result in offspring. Even infertile participants become temporarily fertile, and birth control devices fail. Undead and similar creatures are (thankfully) unaffected.</t>
  </si>
  <si>
    <t>With a touch, You can greatly slow down or accelerate a mortal’s aging. So doing, he can eithis devastate an enemy with the ravages of time or bless a friend with nigh-eternal life. The more Legend points spent to fuel this effect, the quicker or slower the affected target ages. Only works on mortal humans and mundane creatures with no Legend.</t>
  </si>
  <si>
    <t>You can heal (in a mortal) all bashing or 3 lethal or 1 aggravated or regrow 1 destroyed bodypart. Alternatively can cause them 1A damage that causes a body part to whither and be destroyed beyond any natural healing.</t>
  </si>
  <si>
    <t>For a number of targets equal you (LegendX3) you can instantly heal/cause Bashing damage or Upgrade/Downgrade between Bashing and Lethal damage for a number of health levels equal to the successes on your activation roll. Can use it on as many targets as you want in one day but can only use it on the same target once per day.</t>
  </si>
  <si>
    <t>You look at the moon and can see reflected in it a bird’s-eye view of the surrounding terrain to a radius in miles equal to your Legend. You can focus on any point in the reflection and see it clearly, but you can’t see through physical objects or change the angle from the top-down perspective. Doesn’t function on new moon nights but can be If the moon is visible during the day.</t>
  </si>
  <si>
    <t>Gives one item all of the supernatural properties of silver for 1 scene.</t>
  </si>
  <si>
    <t>You capture the attention of the spirit of an inanimate object and speak to it for a few minutes. You can find out information the spirit has directly experienced. The uniqueness and age of an object allow it more information. Also, most don’t pay too much attention to their surroundings unless something truly unusual happens.</t>
  </si>
  <si>
    <t>You can convince the kami within an object to enhance the mundane function of that object. You gain a dice bonus equal to the number of Legend points you spend on the effect, which lasts for a number of days equal to the number of successes on the activation roll. If you use this Boon on one of your Birthright items, you can enhance only its mundane function.</t>
  </si>
  <si>
    <t xml:space="preserve">By constructing a temporary shrine devoted to a kami whose name you know, you can call upon that kami wherever you are. The spirit’s face materializes in the shrine, and you may use any Tsukumo-Gami Boons you have on it. The kami can also show an image of what’s happening at the kami’s physical location. </t>
  </si>
  <si>
    <t>For every 6 successes on the roll, you create one replica of the item. You can leave the item behind and just carry the replica with you. You can use the replica to summon the item to your hand from anywhere in the world. Doing so destroys the replica. Can create more than one replica per use, each requiring an additional 6 successes.</t>
  </si>
  <si>
    <t>If you steal someone else's Birthright, you can convince the kami of the item that you are it's rightful owner for a number of days equal to the successes on your activation roll. Takes 1 day of prep to do so. When the effect ends, the item will not work for you even in it's mundane functions.</t>
  </si>
  <si>
    <t xml:space="preserve">On a successful contested roll, the kami of an item is forced to instantly appear before you in its fully material form. For the rest of the scene, the kami is honor-bound to defer to and obey you as if it were a Birthright Follower. You can use this on as many different spirits at once, as you have Legend and Will to spend. </t>
  </si>
  <si>
    <t>A kami is the undeniable master of the item of which it is the spirit. You can command a kami of lower Legend to put its mastery to use  duplicating the item instantaneously from the original. The item must be something that can be moved as one discrete piece, but as long as that’s true, it can be of any size. The duplicate only has the mundane properties of the original.</t>
  </si>
  <si>
    <t>You cause an item in your possession to act on it's own as if you were using it, using your attribute and ability ratings for it's dice pools.</t>
  </si>
  <si>
    <t>With a contested roll, allows you to fully separate a kami from the object it inhabits, removing any special properties or divine powers from the object. If you have another empty object, you can attach the spirit to that object.</t>
  </si>
  <si>
    <t>If you can identify a specific physical property of a material that falls under the Earth Purview, you can switch its quality out with the property of another material under the same Purview.</t>
  </si>
  <si>
    <t>You imagine a specific shape you want nearby plant life to take, and your will makes it so. The plant life bends and twists as needed to make the shape, and then proceeds to grow as normal. Cannot be used as an attack but can be used to create bindings or trap someone.</t>
  </si>
  <si>
    <t>You can cause plants to spontaneously generate out of nothing at all. Generates a number of large plants (or square yards of a patch of smaller plants) equal to the successes achieved on the roll plus your Legend. These plants survive for one year under any conditions barring blight or physical destruction by living creatures.</t>
  </si>
  <si>
    <t>A number of victims equal to your (Epic App+Legend) total immediately stop all action and are entranced by you until the end of the scene or until you are out of their LoS. When the effect ends, they remember nothing that happened after the ﬁrst moment they saw you. Mortals and Scions of lesser or equal Legend are unable to look away on their own, but Scions with a greater Legend may resist.</t>
  </si>
  <si>
    <t>You are so aware of your surroundings that your other senses  compensate for your eyes in identifying nearby objects outside your LoS. To a certain extent, you can perceive what’s going on around you in a 360-degree arc. Also, you suffer no penalties for ﬁghting blind as long as he can hear or smell your opponents.</t>
  </si>
  <si>
    <t>A single flame in your LoS no longer needs oxygen or fuel to burn for the rest of the scene. You can also create a candle-sized flame on the tip of your finger or relic that doesn't need oxygen or fuel. It can ignite flamable substances but it isn't large enough to do damage on it's own.</t>
  </si>
  <si>
    <t>You can see out of any fire that is already within your LoS or you have affected with Bolster Fire.</t>
  </si>
  <si>
    <t>You leap into a fire and come out another fire within LoS or that you have used Bolster Fire on. Both flames must be as big around as you are. You don't actually touch the flames, so Fire Immunity is not needed and your possessions are in no danger.</t>
  </si>
  <si>
    <t>You can step into one shadow and emerge instantly from any shadow within your LoS. Doing so doesn’t interrupt your action. The shadows through which you move must be large enough to accommodate your entire body.</t>
  </si>
  <si>
    <t>Description
EA = Epic Attribute
ST = Storyteller
LoS = Line of Sight</t>
  </si>
  <si>
    <t>You can experience another person’s perceptions as if they were your own.  The victim is unaware of your attention if they are mortal. Beings of Legend have a chance to notice.</t>
  </si>
  <si>
    <t xml:space="preserve">While using Rada's Eyes, you can now force the person you are "riding" to take a single action once per scene. The action uses the victim's mundane traits only. </t>
  </si>
  <si>
    <t>When using Rada's Eyes, you can now take full control of their body for 1 scene. All actions use your attributes and abilities except for Appearance. You become completely oblivious to what is happening around your own body while you do this.</t>
  </si>
  <si>
    <t>You touch a person, an object or the entrance to a location and mark the subject. When the subject is in physical danger, you receive a reflexive intuition. You can then roll to learn the subject’s condition, location and current situation. Only one subject at a time.</t>
  </si>
  <si>
    <t>You touch a mortal or an object, and roll (Stam+Fort), adding your usual bonuses. The subject is gains a temporary hardness (or has it's hardness increased) equal to the successes for 24 hours.</t>
  </si>
  <si>
    <t>You touch the entrance to a location and ward it against a certain type of creature, barring entrance to them for days equal to successes on the activation roll. Protected area is a sphere with a circumference area of 500 Sqaure feet times your Legend Rating.</t>
  </si>
  <si>
    <t>You accuse someone of a past action and on a success, you intuitively know whether or not they are guilty as charged. A failure yields an indeterminate reading and you can’t try to determine the same subject’s guilt for 24 hours. A botch yields a false reading.</t>
  </si>
  <si>
    <t>You accuse someone of a past guilt that you know to be true and on success, the accusation causes the victim to periodically hallucinate like Macbeth. These hallucinations occur randomly, torturing the guilty party with the knowledge that justice hasn’t been served. They also render him unable to regain Willpower.</t>
  </si>
  <si>
    <t>When you are about to witness an innocent being harmed as punishment for something they didn't do, this boon allows you to fully shield them that unjust punishment. The action is not stopped, they just suffer no damage from it.</t>
  </si>
  <si>
    <t>You exert a gravity on all enemies with whom you are in close combat. A success on a (Str+Pres) roll activates this Boon, and you spends a number of points of Legend (No more than your Legend Rating). Your close-quarters opponents suffer a DV penalty equal to the Legend points you spent for the rest of the combat scene.</t>
  </si>
  <si>
    <t>In an area you know well, you can never be lost. In an area you don't know well, your sense of direction is flawless. Given correct directions, you will never forget them. Studying a map for 5 minutes imprints that map in your mind perfectly. For the cost of one Legend, you can learn how far away, and in what direction Home is.</t>
  </si>
  <si>
    <t>If someone makes remote contact with you by any means, you get a sense of how far away he is and in what direction. The sensation remains even after the period of contact ends, but it doesn’t follow the person around if that person moves. It can only lead a Scion to where the communication ended.</t>
  </si>
  <si>
    <t xml:space="preserve">As long as a solid surface is has a thickness less than what you can move in a single step, you can pass through it as though it wasn't there. All your worn and carried items make the transition with you, but you can’t pull anyone else along behind. If the solid surface is too thick for you to be able to pass through, it remains as solid to you as it does to everyone else. </t>
  </si>
  <si>
    <t xml:space="preserve">For a short time, threads of lightning coil around your fists or weapon, or skirling winds sweep around you as you move. On successful attacks, you can double any knockback you inflict. If an attack deals even 1 point of damage, the victim can be stunned, until their next action.
</t>
  </si>
  <si>
    <t>You generate soft light for one scene. It can be a general glow like that from a lantern or a beam of light like that from a flashlight. You can concentrate your light into a single intense burst that gleams from some reflective surface on your person, imposing a -2 distraction penalty on the victim’s non-reflexive actions until your next action or focus it to a pinpoint intense enough to ignite an accelerant.</t>
  </si>
  <si>
    <t>You build up and releas a flash of sunlight that nobody can look away from. Contested rolls for effect: If you lose, nothing happens. On a draw, they suffer -2 distraction penalty until your next action. If you win, they are blinded and inactive until your next action and suffer a -3 penalty after that.</t>
  </si>
  <si>
    <t>Intoning a benediction over a person or group prepared to engage in battle, every character on your side of the conflict who hears the benediction gains a point of Willpower as well as two temporary bonus dots of Valor that last until the battle ends. You may amplify your voice electronically, but you must be present at the battle and give the blessing live.</t>
  </si>
  <si>
    <t>You adopts some idealized warrior aspect. This attitude unnerves and intimidates any opponent who faces you, inflicting a penalty equal to your Legend on any attack roll the opponent makes. Lasts a number of consecutive actions during the battle equal to the successes you rolled to activate it, and you can invoke it only once during any given battle.</t>
  </si>
  <si>
    <t>Grants you the ability to manipulate water for a limited amount of time in a number of ways. Only works on liquid water. See Hero page 148 for details.</t>
  </si>
  <si>
    <t>You can instantly change the state of a body of water just by touching it and the water remains in its new state for a number of actions equal to the successes rolled to activate the Boon. Water under this effect is also subject to Water Control as long as you maintain contact with some portion of it.</t>
  </si>
  <si>
    <t>While you are using Rada’s Eyes, you can listen in on the thoughts of the person whose senses you're riding. While you have access to your victim’s conscious thoughts, you garner only what context those thoughts provide. While using Rada’s Eyes, you need only spend an additional point of Legend in order to listen in on the host’s thoughts.</t>
  </si>
  <si>
    <t xml:space="preserve">When you have a mortal victim completely under your control, you can temporarily pull the victim’s spirit out of their body and boss the body around as your mindless slave. </t>
  </si>
  <si>
    <t>While using Rada's Eyes, your body becomes incorporeal and you step into the person's body like a ghost. You can either assert complete control over their body or remain undetected by the subject, using it simply as a means to protect yourself from being harmed while using Rada's Eyes. Lasts days equal to your Legend, or until you end it. L or A damage inflicted on the subject can force you out.</t>
  </si>
  <si>
    <t>Allows you to assume complete control of a number of people  up to your Legend Rating. All subjects must be in your LoS to be effected. Lasts 1 scene, and your body slumps over as if it is unoccupied while it's active.</t>
  </si>
  <si>
    <t>A ghostly form rises from within you while your body slumps to the ground. In this form, you are intangible but remains visible to physical creatures. You are now visible to ghosts and spirits but can interact with them physically now too. You can remain in this form for a short while. See Demigod page 93 for full details.</t>
  </si>
  <si>
    <t>You sweep your arms in a savage gesture that tears the light out of the air. A semispherical area with a radius in yards equal to (successes x 5) becomes pitch black. Only characters with Night Eyes can see anything within the area of effect. Lasts as long as you stay in the area of effect and wills it to remain. Each hour of direct sunlight reduces the radius of the effect by 10 yards.</t>
  </si>
  <si>
    <t xml:space="preserve">You wrap a shadow around your body and it engulfs you. Then, for every five successes on the activation roll, a semi-tangible shadow duplicate steps out of your tenebrous form. Each duplicate has your mundane Physical Attributes and Abilities that represent physical acumen. These semi-solid duplicates can wield physical weapons or ones created with Shadow Craft. </t>
  </si>
  <si>
    <t>You force a ghost to come to you with a contested roll. If you win, the ghost disappears from wherever it was and reappears before you. When it arrives, it is under no compulsion to materialize for any witnesses or to even acknowledge your attention. A ghost cannot be summoned across a ward or an unbroken line of salt.</t>
  </si>
  <si>
    <t>You can either expel a single ghost from a mortal host it’s possessing, hurl it from the World altogethis, or repel a group of ghosts from the immediate area. You can also attempt to drive back a horde of ghosts.</t>
  </si>
  <si>
    <t xml:space="preserve">You exhale a white mist that sinks to the ground and flows outward to cover the surrounding area in a knee-deep blanket. The mist lasts for the rest of the scene. Ghosts that enter the affected area cannot leave it. They become fully material and cannot dematerialize. </t>
  </si>
  <si>
    <t>You can mentally reshape any bare earth or stone within your LoS, out to a range of 50 yards per dot of Legend he has. You can reshape five cubic yards of earth per success. You can continue to do so until the end of the scene.</t>
  </si>
  <si>
    <t xml:space="preserve">You cause an area in your LoS to instantly burst into flame. The flame has the intensity of a bonfire, and it covers an area with a radius in yards equal to the number of successes on the activation roll. The flames stand as high from a flat surface as you are tall. This fire can burn without fuel for a number of minutes equal to You’s Legend. </t>
  </si>
  <si>
    <t xml:space="preserve">Your body becomes a human-shaped pillar of white-hot flame. Your touch inflicts Lethal damage equal to your Legend. If they are a lower Legend character with Fire Immunity, that damage is reduced by their Legend. Also gives you extra soak to all damage equal to your Legend. You can throw an unending supply of fire projectiles at distant targets with successful (Dexterity + Thrown) rolls. </t>
  </si>
  <si>
    <t xml:space="preserve">You project an invisible, semi-spherical shield of pure force around yourself and those you're trying to protect. Maximum size is 500 sq ft X Legend, but you can make it smaller. Ghosts, spirits and physical beings of lesser Legend cannot penetrate it. Lasts for one scene. </t>
  </si>
  <si>
    <t xml:space="preserve">You immediately rush to the aid of anyone or anything on whom you have placed a Vigil Brand. When you get a sensation that your branded charge is in danger, you can instantly teleport to the subject of the brand. </t>
  </si>
  <si>
    <t xml:space="preserve">You plague a victim with torturous dreams of a recent crime and its aftermath. You must know the gist of the events of the crime as well as the crime’s aftermath, but you don’t need to know all the details. When they wake, their Willpower pool is completely empty, and can’t be refilled for a number of days equal to your Legend. </t>
  </si>
  <si>
    <t>When you know that someone is guilty of some wrongdoing, you can make sure everyone else knows it too. An arcane mark appears on their flesh and will not wash off or fade away. Whenever you spend a point of Legend and commands them to do so, they must draw attention to the mark and tell anyone who can see him why it was placed there. Lasts a number of years equal to your Legend.</t>
  </si>
  <si>
    <t xml:space="preserve">You tie together the physical health of as many people who are present as possible. That is, if one person in the group suffers any damage, everyone included in the effect suffers the same pain and damage. </t>
  </si>
  <si>
    <t xml:space="preserve">You cause someone to believe they have been captured and taken away to be held in a prison for years on end, only to snap out of it and find that it has been mere minutes. The years in prison were real to them, though, and they suffer the effects of years of isolation. They lose Dots from Charisma, Manipulation or Willpower (your choice). </t>
  </si>
  <si>
    <t xml:space="preserve">You captures the attention of a group of people and drives them temporarily mad. Affected victims suffer the Virtue Extremity from one of your chosen Virtues. For an extra Legend point per person, they suffer an additional Virtue Extremity. </t>
  </si>
  <si>
    <t>You turn away from your enemies as the moon turns it's face from the earth, granting bonuses to stealth rolls for the rest of the scene. See Hero page 145 for specific details.</t>
  </si>
  <si>
    <t>You turn away from your enemies as the moon turns it's face from the earth, granting bonuses to DV for the rest of the scene. See Demigod page 84 for specific details.</t>
  </si>
  <si>
    <t>Summon a silver chariot pulled by two black horses with manes, hooves and eyes of pure moonlight. Can carry 200 lbs X Legend points spent, moves up to 500 mph and can fly as high as you want. Can only be used at night and lasts until daybreak.</t>
  </si>
  <si>
    <t xml:space="preserve">You can mystically feel your way to the nearest terra incognita, Touchstone or other strange place to your location. When you arrive, you get a general sense of what you have to do to enter. </t>
  </si>
  <si>
    <t>When you do nothing but run, you can increase your Dash speed by a factor of five after any bonuses or additions from Epic Dexterity or the like. Allows you to run on the surface of water, mud, snow and other similar terrain challenges without sinking.</t>
  </si>
  <si>
    <t xml:space="preserve">Magical teleportation. The only limitation is that this Boon does not allow travel across the borders that separate otherworldly realms from each other or from the World. You cover a distance equal to 200 miles per point of Legend spent. </t>
  </si>
  <si>
    <t xml:space="preserve">By directing freak gusts of wind and the airborne detritus that collects in them, you can wrestle with opponents without even touching them. </t>
  </si>
  <si>
    <t>You can shape and sculpt clouds in your LoS with the motions of your hands. You can’t add or erase clouds, but he can stretch thick clouds thin or compress many wispy clouds into one large, billowy mass. If a stiff wind picks up at a high altitude, you can make a circle with your fingers and block off that section of the sky to keep your masterpiece from being torn apart.</t>
  </si>
  <si>
    <t xml:space="preserve">You cause lightning to come down from the sky or leap from your birthright relic to smite the victim, inflicting 15 Lethal damage plus extra successes on the Marksmanship roll. Also inflicts Knockdown or Knockback. Can create additional lightning bolts for 3 Legend each, targeting the same or different enemies.
</t>
  </si>
  <si>
    <t>You have a pet tornado. Say it with me. "I have a pet tornado."
See Demigod Page 87 for details.</t>
  </si>
  <si>
    <t>As long as you have a weapon that can fire it, you create glowing ammunition out of pure sunlight, adding your Legend to damage as bonus successes before Soak is applied. Attacks made using this Boon always inflict lethal damage— unless the target has a special susceptibility to sunlight—and always have the Piercing quality.</t>
  </si>
  <si>
    <t>Anyone who touches you (or is touched by you) with exposed flesh or with skin covered only by a layer or two of clothing suffers a number of dice of lethal damage equal to You’s Legend. (this damage comes in addition to any damage You might inflict in a clinch or othis unarmed attack.) The character’s skin radiates this heat for one scene. Fire Immunity does not protect against this heat.</t>
  </si>
  <si>
    <t>You concentrates for one action (Speed 5) as pairs of black sunspots swirl across your body. A broad band of sunfire arcs off you and dissipates slowly in the air, disrupting all forms of radio signals in the air around your for a number of yards equal to successes on the roll. Lasts for five seconds X your Legend, and the area of effect moves with you.</t>
  </si>
  <si>
    <t>Summon a gold chariot pulled by two white horses with manes, hooves and eyes of pure sunlight. Can carry 200 lbs X Legend points spent, moves up to 500 mph and can fly as high as you want. Can only be used during the day and lasts until nightfall.</t>
  </si>
  <si>
    <t xml:space="preserve">You can shake an enemy’s leadership and seed an outbreak of cowardice among the men. </t>
  </si>
  <si>
    <t>You create a 15-foot tall metal collosus around you. For an additional 2 Legend you can equip it with a melee weapon of appropriate size.  Adds 15 dots to your Strength, an all-purpose soak of 20 and Hardness of 10. The colossus moves with your Dex and Abilities, but weighs 1,000 pounds. Lasts 1 scene.</t>
  </si>
  <si>
    <t>You extends your hands and water pours forth from your open palms. For every two Legend points spent, she can create a quantity of gallons equal to the successes on the activation roll. Comes out at a rate of about 2 gallons per minute.</t>
  </si>
  <si>
    <t>Works as Water Control except you can now exert your full Strength and even Epic Strength through the water on. You can also stiffen water’s surface such that not only you, but other people who fit onto the affected area can all walk on it. You can manipulate up to 10 cubic yards of water (roughly 2,000 gallons) per dot of Legend she has.</t>
  </si>
  <si>
    <t xml:space="preserve">You have a pet vortex. The vortex must be generated from a sufficient quantity of liquid water. It can be a standing waterspout or a sunken whirlpool and it can change at your discretion. </t>
  </si>
  <si>
    <t>You can use this power reflexively to reroll a failed action a number of times. On a failed roll, you reflexively roll a dice pool equal to their Legend rating. For every two successes accrued, they may reroll that action again one more time (so four successes would allow two rerolls). Sacrificing a point of Legend to reroll an action cannot be used in conjunction with this Boon.</t>
  </si>
  <si>
    <t>Whenever the ST makes a roll in secret, You can spend a point of legend and the reason for the roll. The ST must tell you, but not the other players. For a point of willpower, you can learn the outcome of the ST's roll.</t>
  </si>
  <si>
    <t>When another person successfully performs a supernatural action against you, you can spend a point of Willpower to perform the same action against them, even if you could not normally perform the action yourself. Only effective against beings with a lower Legend rating. If it requires a dice roll, you use your own stats, not theirs.</t>
  </si>
  <si>
    <t>You stay prone for at least one round in a yogic position. Once a round is complete, you roll (Perc+Samsara+Legend) and choose up to three targets within (Legend x 10) feet. As long as these targets remain within range, they gain a combined DV bonus equal to your successes, divided between them as you see fit. You do not have to remain prone for it to continue. Lasts 1 scene.</t>
  </si>
  <si>
    <t>By focusing your mind for a tick, you can create an object from nothing. You announce the item before attempting. It can exceed no more than one of the following: It must fit in your hands, cannot be magical and cannot be living or sentient. The item lasts 1 day.</t>
  </si>
  <si>
    <t xml:space="preserve">You can force another being to fully exploit their ignorance of the sublime and divine. On a successful contested roll, the target becomes ignorant of one of their supernatural abilities. </t>
  </si>
  <si>
    <t>Stave off the forces of death in your vicinity, at least temporarily. See Companion Page 174 for details.</t>
  </si>
  <si>
    <t xml:space="preserve">After spending the appropriate Legend, you roll (Mani+Pres). For each success, you create an illusory duplicate of yourself. They share your abilities and attributes but not your supernatural powers. They act on their own and can affect the world as though they were real.
</t>
  </si>
  <si>
    <t xml:space="preserve">You cause the victim’s lungs to start filling with fluid. Over the course of several ticks, the target drowns on this viscous internal flood until it either fights off the demigod’s power or collapses in a heap. You must touch their bare skin to start the drowning process </t>
  </si>
  <si>
    <t>You become capable of using your normal weapons (or unarmed attacks) as artillery. Your attacks can lash out to a distance of 5 ft X Legend. When You strike against an object, your scything energy aura inflicts +10 dice of damage and halves the Hardness of the object. Against creatures or people, it grant a +5 bonus to the damage inflicted and automatically causes knockback.</t>
  </si>
  <si>
    <t>You generate an incredible internal kiln that releases tremendous amounts of energy. A shimmering halo of heat surrounds him as your body crackles with power. As long as this inner fusion reaction continues, you are capable of absorbing matter, transforming it into newer, denser material and releasing energy simultaneously. See Companion Page 78 for full details.</t>
  </si>
  <si>
    <t xml:space="preserve">A soft, golden glow emanates from You, just bright enough to read by. While bathed in this golden light, living beings heal more rapidly than normal. All healing times are halved after an hour of being within your refreshing light, including for You yourself. </t>
  </si>
  <si>
    <t>You can dampen and amplify sound. With Art 3 or higher in music or oratory specialty, you can create voices on the wind. Any power that requires an oral trigger can be invoked at distance.</t>
  </si>
  <si>
    <t xml:space="preserve">You can predict the vagaries of natural weather up to a number of days in advance equal to the successes. While within an area for which you have predicted the weather, you suffers no penalties from natural weather phenomena less than a hurricane or thunderstorm. </t>
  </si>
  <si>
    <t xml:space="preserve">This Boon allows a Psychopomp to open an Axis Mundi connection point to those who might not normally be able to pass through it. </t>
  </si>
  <si>
    <t>You hold up a reflective surface to another Scion who is in the throes of a Virtue Extremity, then utter a cryptic phrase of advice or a soothing balm for the troubled subject. On success of a contested roll, you cause the Scion to snap out of their madness immediately.</t>
  </si>
  <si>
    <t>You can use a sympathetic link to make someone instantly aware of how to get to you. Their instructions update as they move. Max range of 100miXsuccessesXLegend. Crossing between worlds requires 15 successes, subtracting them from the distance calculation. Does not compell them to come to you, just makes them know how. Lasts 1 scene. Can be extended at the end of each scene for 3 Legend.</t>
  </si>
  <si>
    <t>You become a beacon to ghosts, spirits and strange wandering energies. For a range of miles equal to the threshold successes X Legend, you stand out to everything in the spirit world. Spirits come and cluster around you and ghosts you seek out for guidance. They are not compelled to do so, but many of them will.</t>
  </si>
  <si>
    <t>You call out to Fate to balance the universal scales. The target's Fate becomes twisted by the demands of justice, and Fate conspires to see that the target is punished for the sins that it has commited. The execution of such punishment can be convoluted but doesn't have to be. Every sin and crime they have committed comes back to haunt them in a very real way.</t>
  </si>
  <si>
    <t>You call out one of the failings of a foe while striking him. If the power succeeds, they becomes wracked with guilt at their lack of integrity. They lose 1 dot to all 4 Virtues for one scene.</t>
  </si>
  <si>
    <t>When you have marked a passwageway with Vigil Brand, any time someone or something tries to pass through it you can instantly teleport to the passageway. Functions for any Vigil Brand that you lay at an area that could be considered a threshold — a doorway, gate, bridge, intersection, window or even a hole in the ground.</t>
  </si>
  <si>
    <t xml:space="preserve">You trace a line across the ground as long as you wish to make it, so long as you trace the entire line in one pass. At the end, you name a creature. This can be as specific or as general as you wish. If a creature of that sort crosses the line, you immediately becomes aware of it. </t>
  </si>
  <si>
    <t xml:space="preserve">Once active, all your Fire Boons trump the Fire Immunity Boon and can injure or kill creatures that are made entirely of fire. </t>
  </si>
  <si>
    <t>On a contested roll, you imprison a target in a crystal that holds them in statis. While trapped, they are immune to physical attack. While encased, the subject does not age, breathe or suffer from any ongoing conditions.</t>
  </si>
  <si>
    <t>The God indicates a single divine target within LoS, then severs that target from its connection to divinity. On success of a contested roll, the subject immediately loses all divine power, in effect becoming a normal mortal. It does not function on a God that is currently in Avatar form, nor does it affect Titans (although it can affect a Titan’s avatar).</t>
  </si>
  <si>
    <t>If you take enough damage to be considered dead, you can sacrifice two dots of Legend to be reborn. your soul does not wither into the ether, your body does not rot. You simply are reborn with your entire identity intact. Any lost powers due to the sacrifice of Legend Dots are gone forever and must be purchased again with experience points.</t>
  </si>
  <si>
    <t>You remove yourself from Fate's grasp temporarily. The World reacts as if you did not exist. Nothing can sense you or interact with you, and you cannot physically interact with anything without spending a point of Legend to do so.</t>
  </si>
  <si>
    <t>When someone takes an action that is effected by their Legend, you touch them and "pass along" a Dot of Legend for the effectiveness of the action. Can be used in a chain by multiple Scions, granting the final recipient 1 Legend Dot boost per Scion. The total bonus cannot go above the highest Legend of all participants and cannot raise the person above 12 Legend.</t>
  </si>
  <si>
    <t>When someone uses an All-Purpose Purview Boon or spell against you, and you have a tick free to Guard, you can attempt to fully negate the effects you would suffer from the Boon or spell. If the boon or spell has more than one target or is an AoE, this does not protect others. The Boon or Spell still goes off as normal, you are just immune to it's effects.</t>
  </si>
  <si>
    <t>You alter a boon to act as though it were part of two Purviews at once. The altered Boon still has the game effect of its original Purview, but a visual effect based on the other Purview. You define one of your Boons as conjoined to another Purview, and choose another each time you gain another dot of Taiyi.</t>
  </si>
  <si>
    <t>Note: Custom boons do not factor into House Rules yet. I expect to have them working in V3.0</t>
  </si>
  <si>
    <t>You transform matter into new forms and substances.  See Companion Page 97 for specific details.</t>
  </si>
  <si>
    <t>Any action you can take with your hands, you can now do by telekinesis. The subject being influenced must be in LoS. The actions use your normal dice pools as though you were actually taking the action. Can use for multiple actions at once and can take physical actions at the same time. Doing so suffers penalties as per the Multiple Actions Rule.</t>
  </si>
  <si>
    <t>Functions like Eight Trigram Transformation, but can affect living targets. this includes creating life from the inanimate. However, You cannot create intelligence or a soul where none existed before. You can also transform yourself into a demonic creature, an application called the Devil-Sage Body. See Companion Page 98 for details</t>
  </si>
  <si>
    <t xml:space="preserve">You form a permanent Fatebinding with another Scion, God or creature with a minimum Legend of 5, sacrificing 10 Legend points each which cannot be regained unless you renounce the Fateful link (and with it, your chance for resurrection). If you die, the other character can bring you back. However, your Legend score drops by 1. </t>
  </si>
  <si>
    <t>You can create whatever surroundings you want in a wide area centered on yourself. You can create simple, inanimate objects living creatures, natural forces, or virtually anything else you can imagine, depending on what other Boons you know. See Companion Page 98 for details and mechanics.</t>
  </si>
  <si>
    <t>You transform other Gods, spirits and lesser immortals. They must be willing or somehow compelled not to resist. You define the transformed entity’s new Legend, Attributes, Abilities, Epic Attributes, Boons, Virtues — everything. See Companion Page 99 for rules and limitations.</t>
  </si>
  <si>
    <t>Allows you to put a protective ward on a willing person such that any future attempts by others to use Cheval boons on them contest the rolls against your dice pools instead of those of the person you are protecting.</t>
  </si>
  <si>
    <t>You take complete control of a person and breathe them in, body, mind and soul, granting a number of benefits to you. You can do so with as many people at once as you have dots in Legend. See God 105 for details.</t>
  </si>
  <si>
    <t>You can now use one- to nine-dot Cheval Boons on titanspawn and other supernatural creatures whose Legend score is less than your unless that victim is a God or Titan. The activation roll or condition remains the same, as do any resistance rolls the victim might be entitled to. The cost of any Cheval Boon used against a titanspawn or supernatural creature doubles, however.</t>
  </si>
  <si>
    <t>You can use any item at hand as if it were another completely different item of a similar size. For a number of days equal to the roll’s successes, the item serves in all ways but appearance as another item of your choosing. If you sacrifices a permanent dot of Willpower, the effect is permanent. Must be same size or larger than the "new" item.</t>
  </si>
  <si>
    <t>With the base activation,you can affect a number of targets equal to your Legend. Each additional Legend point adds the same number of victims. On success of a contested roll, the victims go blind. For beings without Legend, this is permanent. For beings with Legendyours, lasts for days equal to threshold successes. For beings with a higher Legend, Lasts for hours equal to threshold successes.</t>
  </si>
  <si>
    <t xml:space="preserve">You can break a clinch by throwing a foe into a realm of black nothingness. Lesser characters disappear into the darkness of the Oubliette, never to be seen again. You can also let yourself into the Oubliette and out again. Other characters hurled into the Oubliette find themselves floating alone in smothering blackness. </t>
  </si>
  <si>
    <t xml:space="preserve">You cause a thin, glowing corona of fire to appear in the air behind your head. This halo perfectly resembles the halo around the moon during a solar eclipse. The halo remains perpendicular to all witnesses’ lines of sight simultaneously. Anyone who looks directly at You is temporarily blinded, inflicting a -4 penalty on all dice pools and DVs for successive actions equal to your Legend. </t>
  </si>
  <si>
    <t>You rip light out of the very air, creating a deep darkness out to (roll successes x 5) square miles in a semispherical shape. It is not reduced by direct sunlight. Only beings with Night Eyes can see inside the darkness.</t>
  </si>
  <si>
    <t>Opens a portal into a safe tract of the Underworld that has been staked out by your pantheon. If you have a special patch of Underworld staked out for your own, the portal opens within that patch’s bounds. You can take with you a number of willing followers equal to your successes the activation roll. The portals from this only allow entrance to, not exit from, the Underworld.</t>
  </si>
  <si>
    <t>You have nigh-absolute dominion over the souls of the departed. See God page 85 for details.</t>
  </si>
  <si>
    <t xml:space="preserve">You speak a victim's name and, if you success on a contested roll, the victim dies immediately, regardless of their current state of health. If the target is the corpse of a person who recently died, that person might very well come back to life when the God commands him to wait. If someone with the body can heal at least one of the deceased person’s health levels before the spirit returns they returns to life. </t>
  </si>
  <si>
    <t>You create stone, earth and metal from nothing. Any substance that the Earth Purview covers is fair game. On a successful roll, you create a maximum volume equal to one cubic yard per success, for the cost of one Legend point per cubic yard. Forms as a single solid sphere. Can create only one type of material per activation roll.</t>
  </si>
  <si>
    <t>For one scene, you become completely immune to the touch of lava and can control it to a limited degree with your mind. See God Page 87 for details.</t>
  </si>
  <si>
    <t>Your botanical mastery is such that you can combine two healthy plants into a hybrid that cannot occur in nature. The hybrid can successfully pollinate other plants of either of its parents’ types, creating a 50-50 split in regular and hybrid seeds. See God Page 88 for specific details.</t>
  </si>
  <si>
    <t xml:space="preserve">On success, all the plants in the affected area react as if it were the exemplary depths of the season you choose regardless of current climate or soil conditions. Minimum radius of 1 mile and minimum duration of 1 year. Each success on the activation roll extends either the radius or duration by one unit. </t>
  </si>
  <si>
    <t>You can move and shape fire with your mind. For 5 Legend you can manipulate 10 cu. yards of fire (based on its surface area and height). Each additional Legend point increases that by 10 cu. yards. Can expand smaller flames to fill the space allowed. Damage from this fire bypasses Fire Immunity for anyone with lower Legend than you.</t>
  </si>
  <si>
    <t>You turn faithful mortal worshipers into powerful servants of living flame. With activation, you can transform a number of willing mortals equal to your Legend. Each additional Legend point adds another number of willing mortals equal to your Legend. See God Page 89 for more details.</t>
  </si>
  <si>
    <t>The God raises a hand and calls down a torrent of blazing projectiles from the sky above. Each projectile explodes on impact into a fire at least 5 sq. yards in area. Center of area must be in LoS. Lasts 10 minutes. Radius equal to 100 yards X successes. See God Page 90 for damage and defense rules.</t>
  </si>
  <si>
    <t>You can check up on the subject of a Vigil Brand that you did not lay down. The brand must have been laid down by one of your Scions, someone to whom you are Fatebound or someone whose Gaurdian Birthright relic your ichor helped to consecrate. Allows the use of Come Running on those subjects.</t>
  </si>
  <si>
    <t>When you are made aware that a valued ally is facing seemingly insurmountable temptation or coercion and is about to have to roll (Will+Integ+Legend) to resist some supernatural effect, you roll (Int+Emp). On success, your target’s resistance roll gains a number of bonus successes equal to your successes.</t>
  </si>
  <si>
    <t>When you know that an attack is targetting someone you have a Vigil Brand on, you can absorb all the damage the attack inflicts. He checks this redirected damage against any Hardness, armor or soak he has, which can completely eliminate the attack’s effect if he’s tough enough.</t>
  </si>
  <si>
    <t xml:space="preserve">You can effect almost limitless physical changes on a mortal within the scope of human variety. They must be under your control but need not be willing. As long as you can work with the mortal’s flesh and bones for five minutes uninterrupted, you can reshape them as you see fit.
</t>
  </si>
  <si>
    <t>This Boon works in one of two ways. First, it can allow a God to make bizarre modifications to a living human being that should not be biologically possible. The second is that it can allow you to blend a mortal with a different kind of living thing or inanimate object. The latter requires other boons in conjunction. See God Page 92 for specific rules.</t>
  </si>
  <si>
    <t xml:space="preserve">You can create a disease from scratch or completely erase a disease from someone who’s suffering its effects. </t>
  </si>
  <si>
    <t xml:space="preserve">You can enforce an oath with the full power of divine justice. Fate itself punishes those who break sanctified oaths, regardless of what recompense the offended party might also seek. </t>
  </si>
  <si>
    <t>What the God says is law in the ears of those who hear it. The law might not last forever, but while it does, none can deny its authority. See Page 94 for details.</t>
  </si>
  <si>
    <t xml:space="preserve">Your mind passively becomes a comprehensive legal database that maintains a complete list of the written laws of any society. Upon activation, you instantly become aware of all persons in a given area that either are breaking a law or have done so without being punished. You can then divinely compelled them to turn themselves in to the nearest legitimate authorities with a full confession. </t>
  </si>
  <si>
    <t>Heals ravages of the mind. If they are temporary, they are healed permanently. If they are premanent (from brand damage or the like), the cure is temporary unless the biological cause is healed. Using it on someone with no mental illness or extremity temporarily forces them into a state of reflective serenity.</t>
  </si>
  <si>
    <t>When the character learns this Boon, he earns himself a private, fully stocked and staffed estate on the moon. Invited guests can come easily. Uninvited guests require powerful Psychopomp Boons and definite knowledge that the estate exists. You, your staff and invited guests (and no one else) are protected from the environmental conditions of the moon while inside your estate.</t>
  </si>
  <si>
    <t>Allows you to provide another with protection from ranged attacks that do physical damage, even if they are proppelled by supernatural means. See God page 96 for details</t>
  </si>
  <si>
    <t xml:space="preserve">You can open doorways between the World, the Overworld, the Underworld and any terrae incognitae connected to any of those. Only allows travel from one plane to another. </t>
  </si>
  <si>
    <t xml:space="preserve">You can be in several places at once. Legend and Willpower pools are shared among all duplicates. </t>
  </si>
  <si>
    <t xml:space="preserve">You can use this boon to do one of two things. First, you can perform the eponymous action, surrounding yourself with pure, breathable air. Second, you can suck in a big breath and let it all out in one explosive gust as a miscellaneous action. </t>
  </si>
  <si>
    <t>You turn your body and items being worn or carried into an ephemera of cloud, becoming impervious to physical damage, and allowing you to squeeze through the narrowest gaps. In this form, you can also fly. Having a body made of clouds does have its drawbacks, however. See God Page 98 for details</t>
  </si>
  <si>
    <t xml:space="preserve">You exert an undeniable, inescapable gravitational pull on everyone around you. They don’t slide toward you, but they cannot move away from you. </t>
  </si>
  <si>
    <t>The God glows briefly and emits a white-hot flash. Anyone within a spherical radius equal to your Legend suffers a number of levels of lethal damage equal to your Legend. This damage takes the form of blistering second-degree sunburns. Standing water or snow cooks off instantly, and any physical object exposed to the flash is bleached a few shades paler. Fire Immunity may not protect against this Boon.</t>
  </si>
  <si>
    <t>On success, you pluck a golden coronet from around the sun and place it around your head. On activation, the crown protects you from ranged attacks. Mundane attacks are instantly stopped. Attacks propeled by supernatural means have a chance to bypass the protection.</t>
  </si>
  <si>
    <t>You grant a weapon unlimited ammunition. While the effect lasts, the weapon will never jam or misfire. Even botches on (Dexterity + Marksmanship) rolls won’t cause such mishaps.</t>
  </si>
  <si>
    <t>For a limited time, you dramatically increases the number of Followers you have on the battlefield. The total number of your Followers increases is multiplied by your Legend. this increase in ranks lasts for one scene, and the God can successfully use the power only once per scene.</t>
  </si>
  <si>
    <t xml:space="preserve">You can conscript new soldiers from your surroundings—even from nature itself. When you are in the presence of some substance, item or phenomenon governed by a Purview other than War that is associated with you, you create soldiers out of that substance, item or phenomenon. See God Page 102 for details.
</t>
  </si>
  <si>
    <t>By touching a source of water, a God can purge it of every impurity that isn’t a water molecule. The only material that is not purged is the salt in seawater, if the God chooses to selectively ignore it. Effects up to (100 cu. yards X Legend X Successes)</t>
  </si>
  <si>
    <t xml:space="preserve">You can transform your body into pure, clear water. The water can take any shape, from that of its current container—with a volume equal to that of the character’s natural form—to a humanoid form that resembles the character. </t>
  </si>
  <si>
    <t xml:space="preserve">You can control any water in your LoS by thought alone. If you sacrifice a Willpower dot when you can make the water stay in that shape indefinitely. Not only can you exert your full Strength and Epic Strength through the entire volume of the water you're manipulating, you can increase that strength dramatically. You can mentally control up to 1,000 cu. yards of water per dot of Legend you have. </t>
  </si>
  <si>
    <t>You enter a bloodlust rage that puts berserkers to shame. For each success on the activation roll, you get one bonus die to add to any attack rolls, damage rolls or tests to intimidate for the rest of the combat scene. You cannot use boons or knacks that require you to be calm. You must use all the bonus dice before the effect ends and you can calm down.</t>
  </si>
  <si>
    <t>Allows you to "skate" across any flat surface (does not need to be level), adding 5 yards to your Move and Dash actions. Also allows you to skate across water and snow that could not normally hold your weight. Lasts one scene, and you can switch between walking and skating as you please. You don't fall from losing traction but you can still be tripped up or suffer knockback/knockdown.</t>
  </si>
  <si>
    <t xml:space="preserve">You hands become supernaturally cold. Unarmed attacks gain extra dice of Bashing damage equal to 1/2 your Legend (round up). Holding an easily chilled object causes it to frost over. Metal weapons in your hands gain the above damage bonus of their normal damage type. For an extra point of Legend, you can instantly freeze a quantity of liquid equal to your Legend rating in cubic yards.
</t>
  </si>
  <si>
    <t>You summons cold air around your hands and conjures objects made of ice. Certain standardized applications call for various dice rolls; simply conjuring sheets or blocks of ice do not. See Ragnarok page 37 for details</t>
  </si>
  <si>
    <t>Allows you to grant Frost Immunity to one creature per Legend point spent (including yourself if you don't have it) for the duration of the scene.</t>
  </si>
  <si>
    <t>You instill a supernatural chill in your target, making every non-reflexive action take them one tick longer, and reducing their Dex by 1 dot for the remainder of the scene. Repeated attacks cause further loss of Dexterity but do not add more ticks to the Speed of actions. Reducing a victim’s Dexterity to 0 renders them inactive.</t>
  </si>
  <si>
    <t>In an area up to 5 yards in radius per success, at a maximum range equal to (Legend x 50) yards, you can make the temperature plummet, create or shift ice and snow, and even create avalanches and crevasses. You can also use this to alleviate the same conditions. Lasts 1 scene.</t>
  </si>
  <si>
    <t xml:space="preserve">If you succeed on the contested roll, you can apply your net successes toward quelling your victim’s Virtues and Willpower. Successes can be spent 1-for-1 to reduce their dots of Virtues, or you can spend successes equal to their Willpower Dots to make them incapable of spending Willpower points at all. Lasts for a number of ticks equal to (Legend x 5). </t>
  </si>
  <si>
    <t xml:space="preserve">You can freeze a single item or creature in an instant. On success, the target’s temperature drops nearly to absolute zero. Inflicts Bashing damage equal to (threshold successes + Legend), that ignore soak. </t>
  </si>
  <si>
    <t>You can inflict glacial cold over a radius in miles equals your Legend rating. For the next day, the area suffers numbing cold. Beings within the area suffer a one-point Dexterity penalty and add one tick to the Speed of all actions if they do not stay close to a source of warmth.</t>
  </si>
  <si>
    <t>You commit to the unwavering defense of a subject. Until the scene ends, nothing can sway you from your commitment to protecting your charge. Successes on the activation roll give a number of benefits that last until the end of the scene. See Ragnarok Page 34 for full details</t>
  </si>
  <si>
    <t>You can make a single item (small enough to hide under a jacket and hold in one hand) undetectable. Once you use the object in an obvious fashion, it becomes evident to everyone. The concealment lasts at most a single scene in any case. It is not invisible or transparent, people just ignore that it is there.</t>
  </si>
  <si>
    <t>Makes attempts to impersonate another person easier to pull off. Grants a +2 or +5 bonus to the attempt. Can also be used to create a false identity of your own design. See Ragnarok Page 39 for full details.</t>
  </si>
  <si>
    <t>Can make something worthless appear to be something of equal size that has significantly greater worth. Anything that you can hold in one hand counts as one “item,” so a handful of leaves could all be disguised at once. Items appear the behave as the illusory items (leaves turn to coins fall rather than float) but do not have the new item's properties .</t>
  </si>
  <si>
    <t>Allows you to craft illusions that do not correlate with anything real that can only be perceived by your intended target(s). Lasts only as long as you concentrate on maintaining it. While doing so, you cannot take any action that would require a dice pool. Can only have as many targets as you have dots in Int, and can only create illusions you can picture in your own mind.</t>
  </si>
  <si>
    <t>You can disguise a person or a significant object as something else. Ignores differences in size between the real object and the image.</t>
  </si>
  <si>
    <t xml:space="preserve">You conceal an entire building or natural feature. A forest can appear as a glittering faerie glade; a ruined hovel can appear as a golden castle. Can cover an area up to (50 Cu. yards X your Legend). Interacting with the area is not enough to banish the illusion. </t>
  </si>
  <si>
    <t>While active, any attempts to gain information about you using mundane means, Psychopomp, Mystery or Prophecy require a contested roll against your activation successes to succeed. Alternatively, you can redirect these attempts to make the inquirer get information about someone else instead.</t>
  </si>
  <si>
    <t>You hurl the subject into a complete imaginary world—in their mind, anyway. This illusion can mimic the subject’s real surroundings with just a few carefully selected alterations, or you can evoke a fantasy world as bizarre as anything in dreams. See Ragnarok Page 42 for full details.</t>
  </si>
  <si>
    <t xml:space="preserve">You cast away your own appearance and assume the likeness of some other creature or object, not limited by size, props or mobility. For the rest of the scene, you can appear to be whatever he like, down to the size of a flea or up to the size of a mountain.
</t>
  </si>
  <si>
    <t xml:space="preserve">You conjures an illusion (from nothing) of some item or creature that does not exist at all. For a short time, that illusion becomes real in all ways. It can cause damage, influence the environment, etc. all of which lasts as if it was real until the Boon effect ends, at which point all things revert to reality. </t>
  </si>
  <si>
    <t>You are passively always aware of the passage of time and can sense supernatural distortions of time</t>
  </si>
  <si>
    <t>Perfect Timing (Stars)</t>
  </si>
  <si>
    <t>Perfect Timing (Moon)</t>
  </si>
  <si>
    <t xml:space="preserve">If You touches an object, she can instantly discover its age. The power is specific to the object being touched; when the shard of glass was part of window, it was a different object with a different age. However, every two threshold successes reveals one additional age that is relevant to the object. </t>
  </si>
  <si>
    <t>You gather a cloak of shimmering light around your body, resembling the polar aurora or a deep space nebula. The unearthly lights blur your outline, increasing your Dodge and Parry DVs by half the activation successes rolled (round down). Does not stack with othis effects that enhance DV, such as Untouchable Opponent or Tidal Interference.</t>
  </si>
  <si>
    <t>Freezes an object in space and time, unchanging, wherever it is for a number of minutes equal to your Legend. No mundane force can move or affect the object. Epic Strength or an Arete for Athletics may be able to move it.</t>
  </si>
  <si>
    <t>You can reflexively change the way time affects an individual, speeding up or slowing down the time around that person. See yazata page 18 for specific effects.</t>
  </si>
  <si>
    <t>You spend an entire night studying the night sky on a clear night, where the stars are visible and roll (Perc+Aware). On success, you finding a “lucky star” that enhances subsequent rolls involving one Ability chosen by you when you use this Boon. For one week, your Ability dice for that Ability become automatic successes. You may not use Lucky Star again until the week is up.</t>
  </si>
  <si>
    <t xml:space="preserve">You are covered in blue-white starfire. Touching you deals agg damage equal to your Legend. The starfire can encompass Relic melee weapons, adding to their damage as well. You partially blinds anyone who looks directly at you from less than 30 yards away. Can be boosted to cause environmental damage at short range. Lasts 1 scene or until you end it. Fire Immunity offers no protection from this. </t>
  </si>
  <si>
    <t xml:space="preserve">You can step outside of time, or push or pull others outside of time. People outside time can move around and do whatever they want to each other, but everything that is still within time is impossible for them to affect. </t>
  </si>
  <si>
    <t xml:space="preserve">You gain a fully stocked, fully staffed, private estate in outer space: anywhere from the sunscorched wastes of Mercury to the ice fields of Pluto, floating in the jet streams of Jupiter or even lodged in a constellation. You, and any invited guest, find the celestial estate a comfortable abode. Anyone else finds the environment quite deadly. </t>
  </si>
  <si>
    <t>You make the activation roll as you pull a cloak of stars from the night sky itself. At a later time, you spend the Legend to activate the boon and the cloak closes around you, protecting you from close combat attacks. Most mundane attacks pass straight through you. For major mundane attacks and attacks powered by supernatural means, your DV is increased by (Successes+Legend).</t>
  </si>
  <si>
    <t>Made entry table for 50 custom boons for adding to All Purpose Purviews and Magic</t>
  </si>
  <si>
    <t>Boons that are not available to you are greyed out.</t>
  </si>
  <si>
    <t>Boons and Knacks auto-fill all information once you have marked them as Purchased on their appropriate Orange Tab page. Boons fill in sorted by Purview --&gt; Rank --&gt; Alphabetical, while Knacks fill in sorted by Attribute --&gt; Alphabetical.
Boon and knack descriptions are limited to 400 and 460 characters respectively (including spaces), so they are basic descriptions of what the power does. For full descriptions, please refer to their listings in the books.
In the boon listing on the character sheet page, only boons with a dice pool for activation are listed. All boons purchased are listed on this sheet.</t>
  </si>
  <si>
    <t xml:space="preserve">This sheet began as a pet project for personal use. I hope you enjoy it. 
I have a day job and a 10 year old, so updates may be slow going. If you have any suggestions for improvements, find something calculating wrong or have any general comments, you can contact me at johnabbott22@gmail.com
Play on, my friends.
~John
</t>
  </si>
  <si>
    <r>
      <t xml:space="preserve">The House Rules page allows Story Tellers (STs) to easily limit the content by book in the event that the ST doesn't own the book or simply doesn't want the content available. It also has several alternate rulesets that automatically alter calculations and tables throughout the file. 
</t>
    </r>
    <r>
      <rPr>
        <u/>
        <sz val="11"/>
        <color theme="1"/>
        <rFont val="Calibri"/>
        <family val="2"/>
        <scheme val="minor"/>
      </rPr>
      <t>If you have a house rule you would like added to the sheet, email me about it and I'll see if I can get it on the sheet.</t>
    </r>
  </si>
  <si>
    <r>
      <t xml:space="preserve">Boon Description
</t>
    </r>
    <r>
      <rPr>
        <b/>
        <sz val="12"/>
        <color theme="1"/>
        <rFont val="Calibri"/>
        <family val="2"/>
        <scheme val="minor"/>
      </rPr>
      <t>Note: EA = Epic Attribute, ST = Storyteller, LoS = Line of Sight</t>
    </r>
  </si>
  <si>
    <r>
      <t xml:space="preserve">Knack Description
</t>
    </r>
    <r>
      <rPr>
        <b/>
        <sz val="12"/>
        <color theme="1"/>
        <rFont val="Calibri"/>
        <family val="2"/>
        <scheme val="minor"/>
      </rPr>
      <t>Note: EA = Epic Attribute, ST = Storyteller, LoS = Line of Sight</t>
    </r>
  </si>
  <si>
    <t>Cult of Mithra - 5 Cultists</t>
  </si>
  <si>
    <t>Cult of Mithra - 10 Cultists</t>
  </si>
  <si>
    <t>Cult of Mithra - 15 Cultists</t>
  </si>
  <si>
    <t>Cult of Mithra - 20 Cultists</t>
  </si>
  <si>
    <t>You speak a few heartening words and wave your Relic or activate the pressure points and meridians on a series of targets. For each success scored, one target gains one temporary health level. This bonus health level lasts for the remainder of the scene. When the health level disappears, any wounds that filled it also subside; it does not overflow into normal damage.</t>
  </si>
  <si>
    <t>The Purchased Knacks worksheet is, again, pretty straightforward.
Mark purchased boons here and they will auto-fill on the advantages sheet. The character sheet also uses this page to determine value changes for knacks that directly effect dice pools and stat values.
When a knack becomes useless (such as a Cobra Reflexes after purchasing Eternal Vigilance) it becomes unavailable for purchase. If you already had the knack when this happens, it does not refund xp or other points. That is up to the ST to allow.
Knacks you can't purchase yet are greyed. Knacks from restricted books are blanked out.</t>
  </si>
  <si>
    <t>The Purchased Boons worksheet is pretty straightforward. 
When you gain a new boon, mark it as purchased on this page and it will auto-fill on the Advantages sheet. The Character sheet also uses this page to auto-fill boons to the appropriate section, filtering out boons that don't have dice pools.
Once you have selected your pantheon, the pantheon purview will fill in at the top of the list. The exception is Arete, which I've placed to the side (blanked out until Dodekatheon is selected) for calculation purposes.
Boons you can't purchase yet are greyed. Boons from restricted books are blanked out.</t>
  </si>
  <si>
    <t>Arete Assault - OP</t>
  </si>
  <si>
    <t>Off</t>
  </si>
  <si>
    <t>Mundane</t>
  </si>
  <si>
    <t>dots</t>
  </si>
  <si>
    <t>arete</t>
  </si>
  <si>
    <t>mundane</t>
  </si>
  <si>
    <t>epic</t>
  </si>
  <si>
    <t>Value</t>
  </si>
  <si>
    <t>Purview Dice</t>
  </si>
  <si>
    <t>Will Dice</t>
  </si>
  <si>
    <t>Virtue Dice</t>
  </si>
  <si>
    <t>Apply Arete</t>
  </si>
  <si>
    <t>Apply Epic</t>
  </si>
  <si>
    <t>yes</t>
  </si>
  <si>
    <t>Purview Rating</t>
  </si>
  <si>
    <t>Roll Virtue</t>
  </si>
  <si>
    <t>Roll Willpower</t>
  </si>
  <si>
    <t>Custom Purview 2</t>
  </si>
  <si>
    <t>Custom Purview 3</t>
  </si>
  <si>
    <t>Custom Purview 4</t>
  </si>
  <si>
    <t>Custom Purview 5</t>
  </si>
  <si>
    <t xml:space="preserve">With Art, Craft, Control and Science, the books don't specify whether you must have a single specialty with 3 dots or a combined type of 3 dots. This is up to your ST. </t>
  </si>
  <si>
    <t>Single</t>
  </si>
  <si>
    <t>Gained with benefit of Fast Learner/Star Pupil</t>
  </si>
  <si>
    <t>Gained with Benefit of Fast Learner/Star Pupil AND Teaching Prodigy</t>
  </si>
  <si>
    <t>Extra Knacks from XP/Freebies</t>
  </si>
  <si>
    <t>Source</t>
  </si>
  <si>
    <t>Boon/Knack</t>
  </si>
  <si>
    <t>Beautiful</t>
  </si>
  <si>
    <t>Multiple</t>
  </si>
  <si>
    <t>Stat formulas now pull directly from new Purchased Knack sheet</t>
  </si>
  <si>
    <t>Boon Dice Pool list changed to accomodate both Boons and Knacks - Autofills as you mark Boons and Knacks purchased on the appropriate pages, filtering out the ones with no activation rolls.</t>
  </si>
  <si>
    <t>Added two extra advantages lists that blank out until needed.</t>
  </si>
  <si>
    <t>All dice pools on the main page are now formatted as # + #. Number on the left is dice rolled, number on the right is automatic successes.</t>
  </si>
  <si>
    <t>Knacks now auto-fill all Purchased Knacks sheet as you mark them as purchased</t>
  </si>
  <si>
    <t>Boons now auto-fill all Purchased Boons sheet as you mark them as purchased</t>
  </si>
  <si>
    <t>For the sake of space, boon and knack descriptions are shortened to basic descriptions. For full details, refer to the books.</t>
  </si>
  <si>
    <t>For characters with Arete, Ability stats are listed a # + #, with their core stat on the left and their arete bonus dice on the right.</t>
  </si>
  <si>
    <t>Allows you to include others in the effect of any other Psychopomp boon except Unerring Orientation and Where Are You</t>
  </si>
  <si>
    <t>Where Are You</t>
  </si>
  <si>
    <t>Allows you to apply the effects of other Psychopomp boons to a vehicle and all passengers. Unerring Orientation, Where Are Youand Terra Incognita GPS systems. If the character uses Marathon Sprinter increases the vehicle's top speed 5 fold or increases it to your top speed with the same boon, whichever is faster. All other boons can only be used when you are in Control of the vehicle.</t>
  </si>
  <si>
    <t/>
  </si>
  <si>
    <t>-- Update Creation sheet to allow people to start at Demigod or God level without having to start at Hero and work up.</t>
  </si>
  <si>
    <t>-- Adding fan-made content from Onyx Path Forums?</t>
  </si>
  <si>
    <t>-- Create Storyteller sandbox. 
Antagonist reference, auto-fill to table. Side-table for customization. Include attack type over-ride.
Relic creation table.
??Possibly a separate file entirely??
??place custom pantheon here, perhaps??</t>
  </si>
  <si>
    <t>Roll Description
(I.E. Dex + Athletics)</t>
  </si>
  <si>
    <t>Note: This workbook was made in Excel 2010. There were drastic changes between 2007 and 2010, which caused significant issues in Version 1. I have break-tested this version of the sheet in 2007 and 2010, but I don't have access to any other versions of MS Excel, so there may be issues in other versions, as well as in Open Office or Google Docs.</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</si>
</sst>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b/>
      <sz val="11"/>
      <color theme="1"/>
      <name val="Calibri"/>
      <family val="2"/>
      <scheme val="minor"/>
    </font>
    <font>
      <b/>
      <sz val="20"/>
      <color theme="1"/>
      <name val="Calibri"/>
      <family val="2"/>
      <scheme val="minor"/>
    </font>
    <font>
      <b/>
      <sz val="12"/>
      <color theme="1"/>
      <name val="Calibri"/>
      <family val="2"/>
      <scheme val="minor"/>
    </font>
    <font>
      <sz val="9"/>
      <color indexed="81"/>
      <name val="Tahoma"/>
      <family val="2"/>
    </font>
    <font>
      <b/>
      <sz val="9"/>
      <color indexed="81"/>
      <name val="Tahoma"/>
      <family val="2"/>
    </font>
    <font>
      <sz val="12"/>
      <color theme="1"/>
      <name val="Calibri"/>
      <family val="2"/>
      <scheme val="minor"/>
    </font>
    <font>
      <b/>
      <sz val="14"/>
      <color theme="1"/>
      <name val="Calibri"/>
      <family val="2"/>
      <scheme val="minor"/>
    </font>
    <font>
      <sz val="18"/>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sz val="11"/>
      <color theme="1"/>
      <name val="Calibri"/>
      <family val="2"/>
      <scheme val="minor"/>
    </font>
    <font>
      <b/>
      <sz val="18"/>
      <color theme="1"/>
      <name val="Calibri"/>
      <family val="2"/>
      <scheme val="minor"/>
    </font>
    <font>
      <b/>
      <u/>
      <sz val="14"/>
      <color theme="1"/>
      <name val="Calibri"/>
      <family val="2"/>
      <scheme val="minor"/>
    </font>
    <font>
      <sz val="14"/>
      <color theme="1"/>
      <name val="Calibri"/>
      <family val="2"/>
      <scheme val="minor"/>
    </font>
    <font>
      <sz val="10"/>
      <color theme="1"/>
      <name val="Calibri"/>
      <family val="2"/>
      <scheme val="minor"/>
    </font>
    <font>
      <sz val="10"/>
      <name val="Calibri"/>
      <family val="2"/>
      <scheme val="minor"/>
    </font>
    <font>
      <u/>
      <sz val="11"/>
      <color theme="1"/>
      <name val="Calibri"/>
      <family val="2"/>
      <scheme val="minor"/>
    </font>
  </fonts>
  <fills count="14">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1"/>
        <bgColor indexed="64"/>
      </patternFill>
    </fill>
    <fill>
      <patternFill patternType="solid">
        <fgColor rgb="FFFFFFCC"/>
      </patternFill>
    </fill>
    <fill>
      <patternFill patternType="solid">
        <fgColor theme="0" tint="-0.14999847407452621"/>
        <bgColor indexed="64"/>
      </patternFill>
    </fill>
    <fill>
      <patternFill patternType="solid">
        <fgColor theme="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rgb="FF7F7F7F"/>
      </right>
      <top style="thin">
        <color rgb="FF7F7F7F"/>
      </top>
      <bottom style="thin">
        <color rgb="FF7F7F7F"/>
      </bottom>
      <diagonal/>
    </border>
    <border>
      <left style="thin">
        <color rgb="FF7F7F7F"/>
      </left>
      <right style="thin">
        <color rgb="FF7F7F7F"/>
      </right>
      <top style="thin">
        <color rgb="FF7F7F7F"/>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7F7F7F"/>
      </right>
      <top style="thin">
        <color rgb="FF7F7F7F"/>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9" fillId="2" borderId="0" applyNumberFormat="0" applyBorder="0" applyAlignment="0" applyProtection="0"/>
    <xf numFmtId="0" fontId="10" fillId="3" borderId="0" applyNumberFormat="0" applyBorder="0" applyAlignment="0" applyProtection="0"/>
    <xf numFmtId="0" fontId="11" fillId="4" borderId="63" applyNumberFormat="0" applyAlignment="0" applyProtection="0"/>
    <xf numFmtId="0" fontId="12" fillId="11" borderId="68" applyNumberFormat="0" applyFont="0" applyAlignment="0" applyProtection="0"/>
  </cellStyleXfs>
  <cellXfs count="1254">
    <xf numFmtId="0" fontId="0" fillId="0" borderId="0" xfId="0"/>
    <xf numFmtId="0" fontId="1"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Font="1" applyAlignment="1" applyProtection="1">
      <alignment horizontal="center" vertical="center"/>
      <protection hidden="1"/>
    </xf>
    <xf numFmtId="16" fontId="0" fillId="0" borderId="0" xfId="0" applyNumberFormat="1" applyAlignment="1" applyProtection="1">
      <alignment horizontal="center" vertical="center"/>
      <protection hidden="1"/>
    </xf>
    <xf numFmtId="0" fontId="1" fillId="0" borderId="42" xfId="0" applyFont="1" applyBorder="1" applyAlignment="1" applyProtection="1">
      <alignment horizontal="center" vertical="center"/>
      <protection hidden="1"/>
    </xf>
    <xf numFmtId="0" fontId="6" fillId="0" borderId="53" xfId="0" applyFont="1" applyBorder="1" applyAlignment="1" applyProtection="1">
      <alignment horizontal="center" vertical="center"/>
      <protection hidden="1"/>
    </xf>
    <xf numFmtId="0" fontId="6" fillId="0" borderId="53" xfId="0" applyFont="1" applyFill="1" applyBorder="1" applyAlignment="1" applyProtection="1">
      <alignment horizontal="center" vertical="center"/>
      <protection hidden="1"/>
    </xf>
    <xf numFmtId="0" fontId="6" fillId="0" borderId="54" xfId="0" applyFont="1" applyFill="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54" xfId="0" applyFont="1" applyBorder="1" applyAlignment="1" applyProtection="1">
      <alignment horizontal="center" vertical="center"/>
      <protection hidden="1"/>
    </xf>
    <xf numFmtId="0" fontId="6" fillId="0" borderId="42" xfId="0" applyFont="1" applyFill="1"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0" borderId="54" xfId="0" applyBorder="1" applyAlignment="1" applyProtection="1">
      <alignment horizontal="center" vertical="center"/>
      <protection hidden="1"/>
    </xf>
    <xf numFmtId="0" fontId="0" fillId="0" borderId="0" xfId="0" applyProtection="1">
      <protection hidden="1"/>
    </xf>
    <xf numFmtId="0" fontId="0" fillId="0" borderId="1" xfId="0" quotePrefix="1" applyBorder="1" applyAlignment="1" applyProtection="1">
      <alignment horizontal="center"/>
      <protection hidden="1"/>
    </xf>
    <xf numFmtId="0" fontId="0" fillId="0" borderId="28" xfId="0" applyBorder="1" applyAlignment="1" applyProtection="1">
      <alignment horizontal="center"/>
      <protection hidden="1"/>
    </xf>
    <xf numFmtId="0" fontId="0" fillId="0" borderId="17" xfId="0" quotePrefix="1" applyBorder="1" applyAlignment="1" applyProtection="1">
      <alignment horizontal="center"/>
      <protection hidden="1"/>
    </xf>
    <xf numFmtId="0" fontId="0" fillId="0" borderId="0" xfId="0" applyAlignment="1" applyProtection="1">
      <protection hidden="1"/>
    </xf>
    <xf numFmtId="0" fontId="1" fillId="0" borderId="0" xfId="0" applyFont="1" applyFill="1" applyBorder="1" applyAlignment="1" applyProtection="1">
      <alignment horizontal="center" vertical="center"/>
      <protection hidden="1"/>
    </xf>
    <xf numFmtId="0" fontId="0" fillId="0" borderId="49" xfId="0" applyFont="1" applyBorder="1" applyAlignment="1" applyProtection="1">
      <alignment horizontal="center" vertical="center"/>
      <protection hidden="1"/>
    </xf>
    <xf numFmtId="0" fontId="0" fillId="0" borderId="20" xfId="0" applyFont="1" applyBorder="1" applyAlignment="1" applyProtection="1">
      <alignment horizontal="center" vertical="center"/>
      <protection hidden="1"/>
    </xf>
    <xf numFmtId="0" fontId="0" fillId="0" borderId="21" xfId="0" applyFont="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42" xfId="0"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1" fillId="0" borderId="0" xfId="0" applyFont="1" applyAlignment="1" applyProtection="1">
      <alignment horizontal="center"/>
      <protection hidden="1"/>
    </xf>
    <xf numFmtId="0" fontId="0" fillId="0" borderId="0" xfId="0" applyAlignment="1" applyProtection="1">
      <alignment horizontal="left" vertical="center"/>
      <protection hidden="1"/>
    </xf>
    <xf numFmtId="0" fontId="0" fillId="0" borderId="0" xfId="0" applyAlignment="1" applyProtection="1">
      <alignment horizontal="left"/>
      <protection hidden="1"/>
    </xf>
    <xf numFmtId="0" fontId="0" fillId="0" borderId="21" xfId="0" applyFill="1" applyBorder="1" applyAlignment="1" applyProtection="1">
      <alignment horizontal="center" vertical="center"/>
      <protection hidden="1"/>
    </xf>
    <xf numFmtId="0" fontId="3" fillId="0" borderId="4" xfId="0"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16" fontId="0" fillId="0" borderId="0" xfId="0" applyNumberFormat="1" applyBorder="1" applyAlignment="1" applyProtection="1">
      <alignment horizontal="center" vertical="center"/>
      <protection hidden="1"/>
    </xf>
    <xf numFmtId="0" fontId="0" fillId="0" borderId="55"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16" xfId="0"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Protection="1">
      <protection hidden="1"/>
    </xf>
    <xf numFmtId="0" fontId="0" fillId="0" borderId="16" xfId="0" applyFill="1" applyBorder="1" applyAlignment="1" applyProtection="1">
      <alignment horizontal="center" vertical="center"/>
      <protection hidden="1"/>
    </xf>
    <xf numFmtId="0" fontId="0" fillId="0" borderId="6" xfId="0" applyFont="1"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0" fillId="0" borderId="0" xfId="0" applyFill="1" applyAlignment="1" applyProtection="1">
      <alignment horizontal="center" vertical="center" wrapText="1"/>
      <protection hidden="1"/>
    </xf>
    <xf numFmtId="0" fontId="0" fillId="0" borderId="33" xfId="0" applyBorder="1" applyAlignment="1" applyProtection="1">
      <alignment horizontal="center" vertical="center"/>
      <protection hidden="1"/>
    </xf>
    <xf numFmtId="0" fontId="1" fillId="0" borderId="62" xfId="0" applyFont="1" applyBorder="1" applyAlignment="1" applyProtection="1">
      <alignment horizontal="center" vertical="center"/>
      <protection hidden="1"/>
    </xf>
    <xf numFmtId="0" fontId="6" fillId="0" borderId="55" xfId="0" applyFont="1" applyBorder="1" applyAlignment="1" applyProtection="1">
      <alignment horizontal="center" vertical="center"/>
      <protection hidden="1"/>
    </xf>
    <xf numFmtId="0" fontId="0" fillId="0" borderId="43" xfId="0" applyBorder="1" applyAlignment="1" applyProtection="1">
      <alignment horizontal="center" vertical="center"/>
      <protection hidden="1"/>
    </xf>
    <xf numFmtId="0" fontId="1" fillId="0" borderId="33" xfId="0" applyFont="1" applyBorder="1" applyAlignment="1" applyProtection="1">
      <alignment horizontal="center" vertical="center"/>
      <protection hidden="1"/>
    </xf>
    <xf numFmtId="0" fontId="0" fillId="0" borderId="3" xfId="0" applyFont="1" applyFill="1" applyBorder="1" applyAlignment="1" applyProtection="1">
      <alignment horizontal="center" vertical="center"/>
      <protection hidden="1"/>
    </xf>
    <xf numFmtId="0" fontId="0" fillId="0" borderId="5" xfId="0" applyFont="1" applyFill="1" applyBorder="1" applyAlignment="1" applyProtection="1">
      <alignment horizontal="center" vertical="center"/>
      <protection hidden="1"/>
    </xf>
    <xf numFmtId="0" fontId="0" fillId="0" borderId="17" xfId="0" applyFont="1" applyFill="1" applyBorder="1" applyAlignment="1" applyProtection="1">
      <alignment horizontal="center" vertical="center"/>
      <protection hidden="1"/>
    </xf>
    <xf numFmtId="0" fontId="0" fillId="0" borderId="7" xfId="0" applyFont="1" applyFill="1" applyBorder="1" applyAlignment="1" applyProtection="1">
      <alignment horizontal="center" vertical="center"/>
      <protection hidden="1"/>
    </xf>
    <xf numFmtId="0" fontId="0" fillId="0" borderId="3" xfId="0" applyFont="1" applyFill="1" applyBorder="1" applyAlignment="1" applyProtection="1">
      <alignment horizontal="center" vertical="center" wrapText="1"/>
      <protection hidden="1"/>
    </xf>
    <xf numFmtId="0" fontId="0" fillId="0" borderId="16" xfId="0" applyFont="1" applyFill="1" applyBorder="1" applyAlignment="1" applyProtection="1">
      <alignment horizontal="center" vertical="center" wrapText="1"/>
      <protection hidden="1"/>
    </xf>
    <xf numFmtId="0" fontId="0" fillId="0" borderId="16" xfId="0" applyFill="1" applyBorder="1" applyAlignment="1" applyProtection="1">
      <alignment horizontal="center" vertical="center" wrapText="1"/>
      <protection hidden="1"/>
    </xf>
    <xf numFmtId="0" fontId="0" fillId="0" borderId="22" xfId="0" applyFill="1" applyBorder="1" applyAlignment="1" applyProtection="1">
      <alignment horizontal="center" vertical="center"/>
      <protection hidden="1"/>
    </xf>
    <xf numFmtId="0" fontId="6" fillId="0" borderId="18" xfId="0" applyFont="1" applyBorder="1" applyAlignment="1" applyProtection="1">
      <alignment horizontal="center" vertical="center"/>
      <protection hidden="1"/>
    </xf>
    <xf numFmtId="0" fontId="6" fillId="0" borderId="35" xfId="0" applyFont="1" applyBorder="1" applyAlignment="1" applyProtection="1">
      <alignment horizontal="center" vertical="center"/>
      <protection hidden="1"/>
    </xf>
    <xf numFmtId="0" fontId="1" fillId="0" borderId="62" xfId="0" applyFont="1" applyFill="1" applyBorder="1" applyAlignment="1" applyProtection="1">
      <alignment horizontal="center" vertical="center"/>
      <protection hidden="1"/>
    </xf>
    <xf numFmtId="0" fontId="6" fillId="0" borderId="33" xfId="0" applyFont="1" applyBorder="1" applyAlignment="1" applyProtection="1">
      <alignment horizontal="center" vertical="center"/>
      <protection hidden="1"/>
    </xf>
    <xf numFmtId="0" fontId="6"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0" fontId="6" fillId="0" borderId="41" xfId="0" applyFont="1" applyBorder="1" applyAlignment="1" applyProtection="1">
      <alignment horizontal="center" vertical="center"/>
      <protection hidden="1"/>
    </xf>
    <xf numFmtId="0" fontId="3" fillId="0" borderId="41" xfId="0" applyFont="1" applyBorder="1" applyAlignment="1" applyProtection="1">
      <alignment horizontal="center" vertical="center"/>
      <protection hidden="1"/>
    </xf>
    <xf numFmtId="0" fontId="3" fillId="0" borderId="41" xfId="0" applyFont="1" applyFill="1" applyBorder="1" applyAlignment="1" applyProtection="1">
      <alignment horizontal="center" vertical="center"/>
      <protection hidden="1"/>
    </xf>
    <xf numFmtId="0" fontId="6" fillId="0" borderId="41" xfId="0" applyFont="1" applyFill="1" applyBorder="1" applyAlignment="1" applyProtection="1">
      <alignment horizontal="center" vertical="center"/>
      <protection hidden="1"/>
    </xf>
    <xf numFmtId="0" fontId="6" fillId="0" borderId="43" xfId="0" applyFont="1" applyFill="1" applyBorder="1" applyAlignment="1" applyProtection="1">
      <alignment horizontal="center" vertical="center"/>
      <protection hidden="1"/>
    </xf>
    <xf numFmtId="0" fontId="3" fillId="0" borderId="65" xfId="0" applyFont="1" applyFill="1" applyBorder="1" applyAlignment="1" applyProtection="1">
      <alignment horizontal="center" vertical="center"/>
      <protection hidden="1"/>
    </xf>
    <xf numFmtId="0" fontId="0" fillId="0" borderId="41" xfId="0"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9" fillId="2" borderId="1" xfId="1" applyBorder="1" applyAlignment="1" applyProtection="1">
      <alignment horizontal="center" vertical="center"/>
      <protection hidden="1"/>
    </xf>
    <xf numFmtId="0" fontId="9" fillId="2" borderId="17" xfId="1" applyBorder="1" applyAlignment="1" applyProtection="1">
      <alignment horizontal="center" vertical="center"/>
      <protection hidden="1"/>
    </xf>
    <xf numFmtId="0" fontId="9" fillId="2" borderId="2" xfId="1" applyBorder="1" applyAlignment="1" applyProtection="1">
      <alignment horizontal="center" vertical="center"/>
      <protection hidden="1"/>
    </xf>
    <xf numFmtId="0" fontId="9" fillId="2" borderId="7" xfId="1" applyBorder="1" applyAlignment="1" applyProtection="1">
      <alignment horizontal="center" vertical="center"/>
      <protection hidden="1"/>
    </xf>
    <xf numFmtId="0" fontId="9" fillId="2" borderId="20" xfId="1" applyBorder="1" applyAlignment="1" applyProtection="1">
      <alignment horizontal="center" vertical="center"/>
      <protection hidden="1"/>
    </xf>
    <xf numFmtId="0" fontId="9" fillId="2" borderId="5" xfId="1" applyBorder="1" applyAlignment="1" applyProtection="1">
      <alignment horizontal="center" vertical="center"/>
      <protection hidden="1"/>
    </xf>
    <xf numFmtId="0" fontId="9" fillId="2" borderId="4" xfId="1" applyBorder="1" applyAlignment="1" applyProtection="1">
      <alignment horizontal="center" vertical="center"/>
      <protection hidden="1"/>
    </xf>
    <xf numFmtId="0" fontId="11" fillId="4" borderId="63" xfId="3" applyAlignment="1" applyProtection="1">
      <alignment horizontal="center" vertical="center"/>
      <protection hidden="1"/>
    </xf>
    <xf numFmtId="0" fontId="9" fillId="2" borderId="18" xfId="1" applyBorder="1" applyAlignment="1" applyProtection="1">
      <alignment horizontal="center" vertical="center"/>
      <protection hidden="1"/>
    </xf>
    <xf numFmtId="0" fontId="11" fillId="4" borderId="69" xfId="3" applyBorder="1" applyAlignment="1" applyProtection="1">
      <alignment horizontal="center" vertical="center"/>
      <protection hidden="1"/>
    </xf>
    <xf numFmtId="0" fontId="11" fillId="4" borderId="70" xfId="3" applyBorder="1" applyAlignment="1" applyProtection="1">
      <alignment horizontal="center" vertical="center"/>
      <protection hidden="1"/>
    </xf>
    <xf numFmtId="0" fontId="0" fillId="0" borderId="16" xfId="0" applyBorder="1" applyAlignment="1" applyProtection="1">
      <alignment horizontal="center"/>
      <protection hidden="1"/>
    </xf>
    <xf numFmtId="0" fontId="0" fillId="0" borderId="1"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 xfId="0" applyBorder="1" applyAlignment="1" applyProtection="1">
      <alignment horizontal="center"/>
      <protection hidden="1"/>
    </xf>
    <xf numFmtId="0" fontId="1" fillId="0" borderId="3" xfId="0" applyFont="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0" fontId="0" fillId="0" borderId="15"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0" fontId="0" fillId="0" borderId="7" xfId="0" applyBorder="1" applyAlignment="1" applyProtection="1">
      <alignment horizontal="center"/>
      <protection hidden="1"/>
    </xf>
    <xf numFmtId="0" fontId="1" fillId="0" borderId="4" xfId="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17" xfId="0" applyBorder="1" applyAlignment="1" applyProtection="1">
      <alignment horizontal="center"/>
      <protection hidden="1"/>
    </xf>
    <xf numFmtId="0" fontId="0" fillId="0" borderId="22"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0" xfId="0" applyAlignment="1" applyProtection="1">
      <alignment horizontal="center"/>
      <protection hidden="1"/>
    </xf>
    <xf numFmtId="0" fontId="0" fillId="0" borderId="0" xfId="0" applyBorder="1" applyAlignment="1" applyProtection="1">
      <alignment horizontal="center" vertical="center"/>
      <protection hidden="1"/>
    </xf>
    <xf numFmtId="0" fontId="0" fillId="0" borderId="25" xfId="0" applyBorder="1" applyAlignment="1" applyProtection="1">
      <alignment horizontal="center"/>
      <protection hidden="1"/>
    </xf>
    <xf numFmtId="0" fontId="0" fillId="0" borderId="27" xfId="0" applyBorder="1" applyAlignment="1" applyProtection="1">
      <alignment horizontal="center"/>
      <protection hidden="1"/>
    </xf>
    <xf numFmtId="0" fontId="0" fillId="0" borderId="19" xfId="0" applyBorder="1" applyAlignment="1" applyProtection="1">
      <alignment horizontal="center" vertical="center"/>
      <protection hidden="1"/>
    </xf>
    <xf numFmtId="0" fontId="1" fillId="0" borderId="38" xfId="0" applyFont="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hidden="1"/>
    </xf>
    <xf numFmtId="0" fontId="0" fillId="0" borderId="17"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vertical="center" wrapText="1"/>
      <protection hidden="1"/>
    </xf>
    <xf numFmtId="0" fontId="1" fillId="0" borderId="73" xfId="0" applyFont="1" applyBorder="1" applyAlignment="1" applyProtection="1">
      <alignment horizontal="center"/>
      <protection hidden="1"/>
    </xf>
    <xf numFmtId="0" fontId="1" fillId="0" borderId="72" xfId="0" applyFont="1" applyBorder="1" applyAlignment="1" applyProtection="1">
      <alignment horizontal="center"/>
      <protection hidden="1"/>
    </xf>
    <xf numFmtId="0" fontId="1" fillId="0" borderId="56" xfId="0" applyFont="1" applyBorder="1" applyAlignment="1" applyProtection="1">
      <alignment horizontal="center"/>
      <protection hidden="1"/>
    </xf>
    <xf numFmtId="0" fontId="0" fillId="0" borderId="4" xfId="0" quotePrefix="1" applyBorder="1" applyAlignment="1" applyProtection="1">
      <alignment horizontal="center"/>
      <protection hidden="1"/>
    </xf>
    <xf numFmtId="0" fontId="1" fillId="0" borderId="72" xfId="0" applyFont="1" applyFill="1" applyBorder="1" applyAlignment="1" applyProtection="1">
      <alignment horizontal="center" vertical="center"/>
      <protection hidden="1"/>
    </xf>
    <xf numFmtId="0" fontId="0" fillId="0" borderId="1" xfId="0" applyBorder="1" applyProtection="1">
      <protection locked="0"/>
    </xf>
    <xf numFmtId="0" fontId="0" fillId="0" borderId="1" xfId="0" applyBorder="1" applyAlignment="1" applyProtection="1">
      <protection locked="0"/>
    </xf>
    <xf numFmtId="0" fontId="0" fillId="0" borderId="2" xfId="0" applyBorder="1" applyAlignment="1" applyProtection="1">
      <protection locked="0"/>
    </xf>
    <xf numFmtId="0" fontId="0" fillId="0" borderId="64" xfId="0" applyBorder="1" applyAlignment="1" applyProtection="1">
      <alignment horizontal="center" vertical="center"/>
      <protection hidden="1"/>
    </xf>
    <xf numFmtId="0" fontId="9" fillId="2" borderId="65" xfId="1" applyBorder="1" applyAlignment="1" applyProtection="1">
      <alignment horizontal="center" vertical="center"/>
      <protection hidden="1"/>
    </xf>
    <xf numFmtId="0" fontId="9" fillId="2" borderId="41" xfId="1" applyBorder="1" applyAlignment="1" applyProtection="1">
      <alignment horizontal="center" vertical="center"/>
      <protection hidden="1"/>
    </xf>
    <xf numFmtId="0" fontId="9" fillId="2" borderId="26" xfId="1" applyBorder="1" applyAlignment="1" applyProtection="1">
      <alignment horizontal="center" vertical="center"/>
      <protection hidden="1"/>
    </xf>
    <xf numFmtId="0" fontId="9" fillId="2" borderId="22" xfId="1" applyBorder="1" applyAlignment="1" applyProtection="1">
      <alignment horizontal="center" vertical="center"/>
      <protection hidden="1"/>
    </xf>
    <xf numFmtId="0" fontId="9" fillId="2" borderId="25" xfId="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10" fillId="3" borderId="42" xfId="2" quotePrefix="1" applyBorder="1" applyAlignment="1" applyProtection="1">
      <alignment horizontal="center"/>
      <protection hidden="1"/>
    </xf>
    <xf numFmtId="0" fontId="10" fillId="3" borderId="53" xfId="2" applyBorder="1" applyAlignment="1" applyProtection="1">
      <alignment horizontal="center"/>
      <protection hidden="1"/>
    </xf>
    <xf numFmtId="0" fontId="10" fillId="3" borderId="53" xfId="2" quotePrefix="1" applyBorder="1" applyAlignment="1" applyProtection="1">
      <alignment horizontal="center"/>
      <protection hidden="1"/>
    </xf>
    <xf numFmtId="0" fontId="9" fillId="2" borderId="38" xfId="1" applyBorder="1" applyAlignment="1" applyProtection="1">
      <alignment horizontal="center" vertical="center"/>
      <protection hidden="1"/>
    </xf>
    <xf numFmtId="0" fontId="11" fillId="4" borderId="77" xfId="3" applyBorder="1" applyAlignment="1" applyProtection="1">
      <alignment horizontal="center" vertical="center"/>
      <protection hidden="1"/>
    </xf>
    <xf numFmtId="0" fontId="0" fillId="11" borderId="53" xfId="4" applyFont="1" applyBorder="1" applyAlignment="1" applyProtection="1">
      <alignment horizontal="center"/>
      <protection hidden="1"/>
    </xf>
    <xf numFmtId="0" fontId="0" fillId="11" borderId="53" xfId="4" quotePrefix="1" applyFont="1" applyBorder="1" applyAlignment="1" applyProtection="1">
      <alignment horizontal="center" vertical="center"/>
      <protection hidden="1"/>
    </xf>
    <xf numFmtId="0" fontId="0" fillId="11" borderId="65" xfId="4" quotePrefix="1" applyFont="1" applyBorder="1" applyAlignment="1" applyProtection="1">
      <alignment horizontal="center" vertical="center"/>
      <protection hidden="1"/>
    </xf>
    <xf numFmtId="0" fontId="0" fillId="11" borderId="41" xfId="4" applyFont="1" applyBorder="1" applyAlignment="1" applyProtection="1">
      <alignment horizontal="center"/>
      <protection hidden="1"/>
    </xf>
    <xf numFmtId="0" fontId="0" fillId="11" borderId="41" xfId="4" quotePrefix="1" applyFont="1" applyBorder="1" applyAlignment="1" applyProtection="1">
      <alignment horizontal="center" vertical="center"/>
      <protection hidden="1"/>
    </xf>
    <xf numFmtId="0" fontId="0" fillId="0" borderId="78" xfId="0" applyBorder="1" applyAlignment="1" applyProtection="1">
      <alignment horizontal="center" vertical="center"/>
      <protection hidden="1"/>
    </xf>
    <xf numFmtId="0" fontId="0" fillId="0" borderId="79"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0" xfId="0" applyAlignment="1"/>
    <xf numFmtId="0" fontId="1" fillId="0" borderId="0" xfId="0" applyFont="1" applyFill="1" applyAlignment="1" applyProtection="1">
      <protection hidden="1"/>
    </xf>
    <xf numFmtId="0" fontId="0" fillId="0" borderId="17" xfId="0" applyBorder="1" applyAlignment="1" applyProtection="1">
      <protection locked="0"/>
    </xf>
    <xf numFmtId="0" fontId="0" fillId="0" borderId="0" xfId="0" applyBorder="1" applyAlignment="1" applyProtection="1">
      <alignment horizontal="center"/>
      <protection locked="0"/>
    </xf>
    <xf numFmtId="0" fontId="1" fillId="0" borderId="1" xfId="0" applyFont="1" applyFill="1" applyBorder="1" applyAlignment="1"/>
    <xf numFmtId="0" fontId="1" fillId="0" borderId="0" xfId="0" applyFont="1" applyFill="1" applyAlignment="1"/>
    <xf numFmtId="0" fontId="0" fillId="0" borderId="0" xfId="0" applyFill="1" applyAlignment="1"/>
    <xf numFmtId="0" fontId="0" fillId="0" borderId="0" xfId="0" quotePrefix="1" applyFill="1" applyAlignment="1"/>
    <xf numFmtId="0" fontId="0" fillId="0" borderId="0" xfId="0" applyAlignment="1">
      <alignment vertical="top"/>
    </xf>
    <xf numFmtId="0" fontId="0" fillId="0" borderId="1" xfId="0" applyBorder="1" applyAlignment="1">
      <alignment vertical="top" wrapText="1"/>
    </xf>
    <xf numFmtId="0" fontId="0" fillId="0" borderId="18" xfId="0" applyBorder="1" applyAlignment="1" applyProtection="1">
      <alignment horizontal="center" vertical="center"/>
      <protection hidden="1"/>
    </xf>
    <xf numFmtId="0" fontId="0" fillId="0" borderId="1" xfId="0" applyBorder="1" applyAlignment="1" applyProtection="1">
      <alignment horizontal="center"/>
      <protection hidden="1"/>
    </xf>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1" fillId="0" borderId="72" xfId="0" applyFont="1" applyBorder="1" applyAlignment="1" applyProtection="1">
      <alignment horizontal="center"/>
      <protection hidden="1"/>
    </xf>
    <xf numFmtId="0" fontId="1" fillId="0" borderId="73" xfId="0" applyFont="1" applyBorder="1" applyAlignment="1" applyProtection="1">
      <alignment horizontal="center"/>
      <protection hidden="1"/>
    </xf>
    <xf numFmtId="0" fontId="0" fillId="0" borderId="5" xfId="0" applyBorder="1" applyAlignment="1" applyProtection="1">
      <alignment horizontal="center"/>
      <protection hidden="1"/>
    </xf>
    <xf numFmtId="0" fontId="0" fillId="0" borderId="7" xfId="0" applyBorder="1" applyAlignment="1" applyProtection="1">
      <alignment horizontal="center"/>
      <protection hidden="1"/>
    </xf>
    <xf numFmtId="0" fontId="1" fillId="0" borderId="74" xfId="0" applyFont="1" applyBorder="1" applyAlignment="1" applyProtection="1">
      <alignment horizontal="center"/>
      <protection hidden="1"/>
    </xf>
    <xf numFmtId="0" fontId="0" fillId="0" borderId="17" xfId="0" applyBorder="1" applyAlignment="1" applyProtection="1">
      <alignment horizontal="center"/>
      <protection hidden="1"/>
    </xf>
    <xf numFmtId="0" fontId="0" fillId="0" borderId="1" xfId="0" applyFill="1" applyBorder="1" applyAlignment="1" applyProtection="1">
      <alignment horizontal="center"/>
      <protection hidden="1"/>
    </xf>
    <xf numFmtId="0" fontId="0" fillId="0" borderId="16" xfId="0" applyFill="1" applyBorder="1" applyAlignment="1" applyProtection="1">
      <alignment horizontal="center"/>
      <protection hidden="1"/>
    </xf>
    <xf numFmtId="0" fontId="0" fillId="0" borderId="6" xfId="0" applyFill="1" applyBorder="1" applyAlignment="1" applyProtection="1">
      <alignment horizontal="center"/>
      <protection hidden="1"/>
    </xf>
    <xf numFmtId="0" fontId="0" fillId="0" borderId="17" xfId="0" applyFill="1" applyBorder="1" applyAlignment="1" applyProtection="1">
      <alignment horizontal="center"/>
      <protection hidden="1"/>
    </xf>
    <xf numFmtId="0" fontId="0" fillId="0" borderId="2" xfId="0" applyFill="1" applyBorder="1" applyAlignment="1" applyProtection="1">
      <alignment horizontal="center"/>
      <protection hidden="1"/>
    </xf>
    <xf numFmtId="0" fontId="0" fillId="0" borderId="7" xfId="0" applyFill="1" applyBorder="1" applyAlignment="1" applyProtection="1">
      <alignment horizontal="center"/>
      <protection hidden="1"/>
    </xf>
    <xf numFmtId="0" fontId="0" fillId="0" borderId="0" xfId="0" quotePrefix="1"/>
    <xf numFmtId="0" fontId="0" fillId="0" borderId="0" xfId="0" applyAlignment="1">
      <alignment vertical="top" wrapText="1"/>
    </xf>
    <xf numFmtId="0" fontId="0" fillId="0" borderId="0" xfId="0" applyBorder="1" applyAlignment="1">
      <alignment vertical="top"/>
    </xf>
    <xf numFmtId="0" fontId="13" fillId="0" borderId="0" xfId="0" applyFont="1" applyBorder="1" applyAlignment="1">
      <alignment vertical="top" wrapText="1"/>
    </xf>
    <xf numFmtId="0" fontId="0" fillId="0" borderId="16" xfId="0" quotePrefix="1" applyBorder="1" applyAlignment="1">
      <alignment vertical="top" wrapText="1"/>
    </xf>
    <xf numFmtId="0" fontId="0" fillId="0" borderId="6" xfId="0" quotePrefix="1" applyBorder="1" applyAlignment="1">
      <alignment vertical="top" wrapText="1"/>
    </xf>
    <xf numFmtId="0" fontId="0" fillId="0" borderId="2" xfId="0" applyBorder="1" applyAlignment="1">
      <alignment vertical="top"/>
    </xf>
    <xf numFmtId="0" fontId="0" fillId="0" borderId="17" xfId="0" applyBorder="1" applyAlignment="1">
      <alignment horizontal="center" vertical="top" wrapText="1"/>
    </xf>
    <xf numFmtId="16" fontId="0" fillId="0" borderId="0" xfId="0" quotePrefix="1" applyNumberFormat="1" applyFill="1" applyAlignment="1"/>
    <xf numFmtId="0" fontId="0" fillId="0" borderId="7" xfId="0" applyBorder="1" applyAlignment="1">
      <alignment horizontal="center" vertical="top"/>
    </xf>
    <xf numFmtId="0" fontId="0" fillId="0" borderId="17" xfId="0" applyBorder="1" applyAlignment="1">
      <alignment horizontal="center" vertical="top"/>
    </xf>
    <xf numFmtId="0" fontId="0" fillId="0" borderId="16" xfId="0" applyBorder="1" applyAlignment="1"/>
    <xf numFmtId="0" fontId="0" fillId="0" borderId="6" xfId="0" applyBorder="1" applyAlignment="1"/>
    <xf numFmtId="0" fontId="0" fillId="0" borderId="20" xfId="0" applyBorder="1" applyAlignment="1" applyProtection="1">
      <protection locked="0"/>
    </xf>
    <xf numFmtId="0" fontId="0" fillId="0" borderId="21" xfId="0" applyBorder="1" applyAlignment="1" applyProtection="1">
      <protection locked="0"/>
    </xf>
    <xf numFmtId="0" fontId="0" fillId="0" borderId="0" xfId="0" applyBorder="1" applyAlignment="1" applyProtection="1">
      <protection locked="0"/>
    </xf>
    <xf numFmtId="0" fontId="0" fillId="0" borderId="4" xfId="0" applyBorder="1" applyAlignment="1" applyProtection="1">
      <protection locked="0"/>
    </xf>
    <xf numFmtId="0" fontId="0" fillId="0" borderId="5" xfId="0" quotePrefix="1" applyBorder="1" applyAlignment="1" applyProtection="1">
      <protection locked="0"/>
    </xf>
    <xf numFmtId="0" fontId="0" fillId="0" borderId="0" xfId="0" quotePrefix="1" applyBorder="1" applyAlignment="1" applyProtection="1">
      <protection locked="0"/>
    </xf>
    <xf numFmtId="0" fontId="0" fillId="0" borderId="7" xfId="0" applyBorder="1" applyAlignment="1" applyProtection="1">
      <protection locked="0"/>
    </xf>
    <xf numFmtId="0" fontId="0" fillId="0" borderId="5" xfId="0" applyBorder="1" applyAlignment="1" applyProtection="1">
      <protection locked="0"/>
    </xf>
    <xf numFmtId="0" fontId="0" fillId="0" borderId="72" xfId="0" applyBorder="1" applyAlignment="1" applyProtection="1">
      <protection locked="0"/>
    </xf>
    <xf numFmtId="0" fontId="0" fillId="0" borderId="74" xfId="0" applyBorder="1" applyAlignment="1" applyProtection="1">
      <protection locked="0"/>
    </xf>
    <xf numFmtId="0" fontId="0" fillId="0" borderId="15" xfId="0" applyBorder="1" applyAlignment="1" applyProtection="1">
      <protection locked="0"/>
    </xf>
    <xf numFmtId="0" fontId="0" fillId="0" borderId="27" xfId="0" applyBorder="1" applyAlignment="1" applyProtection="1">
      <protection locked="0"/>
    </xf>
    <xf numFmtId="0" fontId="0" fillId="0" borderId="60" xfId="0" applyBorder="1" applyAlignment="1" applyProtection="1">
      <protection locked="0"/>
    </xf>
    <xf numFmtId="0" fontId="0" fillId="0" borderId="61" xfId="0" applyBorder="1" applyAlignment="1" applyProtection="1">
      <protection locked="0"/>
    </xf>
    <xf numFmtId="0" fontId="0" fillId="0" borderId="6" xfId="0" applyFill="1" applyBorder="1" applyAlignment="1" applyProtection="1">
      <alignment horizontal="center" vertical="center"/>
      <protection hidden="1"/>
    </xf>
    <xf numFmtId="0" fontId="0" fillId="0" borderId="0" xfId="0" applyFont="1" applyFill="1" applyAlignment="1"/>
    <xf numFmtId="0" fontId="0" fillId="0" borderId="0" xfId="0" quotePrefix="1" applyProtection="1">
      <protection hidden="1"/>
    </xf>
    <xf numFmtId="0" fontId="0" fillId="0" borderId="1" xfId="0" applyBorder="1" applyAlignment="1">
      <alignment horizontal="center" vertical="top" wrapText="1"/>
    </xf>
    <xf numFmtId="0" fontId="0" fillId="0" borderId="22" xfId="0" applyBorder="1" applyAlignment="1" applyProtection="1">
      <alignment horizontal="center"/>
      <protection hidden="1"/>
    </xf>
    <xf numFmtId="0" fontId="1" fillId="0" borderId="59" xfId="0" applyFont="1" applyBorder="1" applyAlignment="1" applyProtection="1">
      <alignment horizontal="center"/>
      <protection hidden="1"/>
    </xf>
    <xf numFmtId="0" fontId="1" fillId="0" borderId="60" xfId="0" applyFont="1" applyBorder="1" applyAlignment="1" applyProtection="1">
      <alignment horizontal="center"/>
      <protection hidden="1"/>
    </xf>
    <xf numFmtId="0" fontId="0" fillId="0" borderId="49" xfId="0" applyBorder="1" applyAlignment="1"/>
    <xf numFmtId="0" fontId="0" fillId="0" borderId="2" xfId="0" applyBorder="1" applyAlignment="1">
      <alignment vertical="top" wrapText="1"/>
    </xf>
    <xf numFmtId="0" fontId="0" fillId="0" borderId="3" xfId="0" quotePrefix="1" applyBorder="1" applyAlignment="1">
      <alignment vertical="top" wrapText="1"/>
    </xf>
    <xf numFmtId="0" fontId="0" fillId="0" borderId="4" xfId="0" applyBorder="1" applyAlignment="1">
      <alignment vertical="top" wrapText="1"/>
    </xf>
    <xf numFmtId="0" fontId="0" fillId="0" borderId="5" xfId="0" applyBorder="1" applyAlignment="1">
      <alignment horizontal="center" vertical="top"/>
    </xf>
    <xf numFmtId="0" fontId="0" fillId="0" borderId="0" xfId="0" applyFill="1" applyBorder="1" applyAlignment="1"/>
    <xf numFmtId="0" fontId="0" fillId="0" borderId="0" xfId="0" quotePrefix="1" applyFill="1" applyBorder="1" applyAlignment="1"/>
    <xf numFmtId="0" fontId="0" fillId="0" borderId="0" xfId="0" applyAlignment="1" applyProtection="1">
      <alignment vertical="center" wrapText="1"/>
    </xf>
    <xf numFmtId="0" fontId="0" fillId="0" borderId="24" xfId="0" applyBorder="1" applyAlignment="1" applyProtection="1">
      <alignment horizontal="center"/>
      <protection hidden="1"/>
    </xf>
    <xf numFmtId="0" fontId="0" fillId="0" borderId="22" xfId="0" applyFill="1" applyBorder="1" applyAlignment="1" applyProtection="1">
      <alignment horizontal="center"/>
      <protection hidden="1"/>
    </xf>
    <xf numFmtId="0" fontId="0" fillId="0" borderId="25" xfId="0" applyFill="1" applyBorder="1" applyAlignment="1" applyProtection="1">
      <alignment horizontal="center"/>
      <protection hidden="1"/>
    </xf>
    <xf numFmtId="0" fontId="0" fillId="0" borderId="26"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21" xfId="0" applyBorder="1" applyAlignment="1" applyProtection="1">
      <alignment horizontal="center"/>
      <protection hidden="1"/>
    </xf>
    <xf numFmtId="0" fontId="1" fillId="0" borderId="61" xfId="0" applyFont="1" applyBorder="1" applyAlignment="1" applyProtection="1">
      <alignment horizontal="center"/>
      <protection hidden="1"/>
    </xf>
    <xf numFmtId="0" fontId="14" fillId="0" borderId="59" xfId="0" applyFont="1" applyBorder="1" applyAlignment="1">
      <alignment horizontal="center" vertical="top" wrapText="1"/>
    </xf>
    <xf numFmtId="0" fontId="14" fillId="0" borderId="60" xfId="0" applyFont="1" applyBorder="1" applyAlignment="1">
      <alignment horizontal="center" vertical="top" wrapText="1"/>
    </xf>
    <xf numFmtId="0" fontId="14" fillId="0" borderId="61" xfId="0" applyFont="1" applyBorder="1" applyAlignment="1">
      <alignment horizontal="center" vertical="top" wrapText="1"/>
    </xf>
    <xf numFmtId="0" fontId="0" fillId="0" borderId="58" xfId="0" applyBorder="1" applyAlignment="1">
      <alignment horizontal="center" vertical="center"/>
    </xf>
    <xf numFmtId="0" fontId="0" fillId="8" borderId="5" xfId="0" applyFill="1" applyBorder="1" applyAlignment="1" applyProtection="1">
      <alignment horizontal="center" vertical="center"/>
      <protection locked="0"/>
    </xf>
    <xf numFmtId="0" fontId="0" fillId="8" borderId="17" xfId="0" applyFill="1" applyBorder="1" applyAlignment="1" applyProtection="1">
      <alignment horizontal="center" vertical="center"/>
      <protection locked="0"/>
    </xf>
    <xf numFmtId="0" fontId="0" fillId="8" borderId="27" xfId="0" applyFill="1"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0" fillId="0" borderId="0" xfId="0" applyProtection="1">
      <protection locked="0"/>
    </xf>
    <xf numFmtId="0" fontId="0" fillId="0" borderId="0" xfId="0" applyAlignment="1" applyProtection="1">
      <alignment vertical="center"/>
      <protection locked="0"/>
    </xf>
    <xf numFmtId="0" fontId="14" fillId="0" borderId="81" xfId="0" applyFont="1" applyBorder="1" applyAlignment="1">
      <alignment horizontal="center" vertical="top" wrapText="1"/>
    </xf>
    <xf numFmtId="0" fontId="14" fillId="0" borderId="82" xfId="0" applyFont="1" applyBorder="1" applyAlignment="1">
      <alignment horizontal="center" vertical="top" wrapText="1"/>
    </xf>
    <xf numFmtId="0" fontId="1" fillId="0" borderId="33" xfId="0" applyFont="1" applyBorder="1" applyAlignment="1" applyProtection="1">
      <protection hidden="1"/>
    </xf>
    <xf numFmtId="0" fontId="1" fillId="0" borderId="32" xfId="0" applyFont="1" applyBorder="1" applyAlignment="1" applyProtection="1">
      <protection hidden="1"/>
    </xf>
    <xf numFmtId="0" fontId="1" fillId="0" borderId="22" xfId="0" applyFont="1" applyBorder="1" applyAlignment="1" applyProtection="1">
      <protection hidden="1"/>
    </xf>
    <xf numFmtId="0" fontId="1" fillId="0" borderId="64" xfId="0" applyFont="1" applyBorder="1" applyAlignment="1" applyProtection="1">
      <protection hidden="1"/>
    </xf>
    <xf numFmtId="0" fontId="1" fillId="0" borderId="36" xfId="0" applyFont="1" applyBorder="1" applyAlignment="1" applyProtection="1">
      <protection hidden="1"/>
    </xf>
    <xf numFmtId="0" fontId="1" fillId="0" borderId="25" xfId="0" applyFont="1" applyBorder="1" applyAlignment="1" applyProtection="1">
      <protection hidden="1"/>
    </xf>
    <xf numFmtId="0" fontId="1" fillId="0" borderId="62" xfId="0" applyFont="1" applyBorder="1" applyAlignment="1" applyProtection="1">
      <protection hidden="1"/>
    </xf>
    <xf numFmtId="0" fontId="1" fillId="0" borderId="67" xfId="0" applyFont="1" applyBorder="1" applyAlignment="1" applyProtection="1">
      <protection hidden="1"/>
    </xf>
    <xf numFmtId="0" fontId="1" fillId="0" borderId="24" xfId="0" applyFont="1" applyBorder="1" applyAlignment="1" applyProtection="1">
      <protection hidden="1"/>
    </xf>
    <xf numFmtId="0" fontId="0" fillId="8" borderId="4" xfId="0" applyFill="1" applyBorder="1" applyAlignment="1" applyProtection="1">
      <alignment horizontal="center" vertical="center"/>
      <protection locked="0"/>
    </xf>
    <xf numFmtId="0" fontId="0" fillId="0" borderId="5" xfId="0" applyBorder="1" applyAlignment="1">
      <alignment horizontal="center" vertical="top" wrapText="1"/>
    </xf>
    <xf numFmtId="0" fontId="0" fillId="0" borderId="59" xfId="0" quotePrefix="1" applyBorder="1" applyAlignment="1">
      <alignment vertical="top" wrapText="1"/>
    </xf>
    <xf numFmtId="0" fontId="0" fillId="0" borderId="60" xfId="0" applyBorder="1" applyAlignment="1">
      <alignment vertical="top"/>
    </xf>
    <xf numFmtId="0" fontId="0" fillId="0" borderId="61" xfId="0" applyBorder="1" applyAlignment="1">
      <alignment horizontal="center" vertical="top" wrapText="1"/>
    </xf>
    <xf numFmtId="0" fontId="0" fillId="11" borderId="31" xfId="4" quotePrefix="1" applyFont="1" applyBorder="1" applyAlignment="1" applyProtection="1">
      <alignment horizontal="center" vertical="center"/>
      <protection hidden="1"/>
    </xf>
    <xf numFmtId="0" fontId="0" fillId="0" borderId="6" xfId="0" applyFill="1" applyBorder="1" applyAlignment="1" applyProtection="1">
      <alignment horizontal="center" vertical="center" wrapText="1"/>
      <protection hidden="1"/>
    </xf>
    <xf numFmtId="0" fontId="0" fillId="0" borderId="16" xfId="0" applyBorder="1" applyAlignment="1" applyProtection="1">
      <alignment horizontal="center"/>
      <protection hidden="1"/>
    </xf>
    <xf numFmtId="0" fontId="0" fillId="0" borderId="1"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0" fontId="0" fillId="0" borderId="2" xfId="0" applyBorder="1" applyAlignment="1" applyProtection="1">
      <alignment horizontal="center"/>
      <protection hidden="1"/>
    </xf>
    <xf numFmtId="0" fontId="0" fillId="0" borderId="5" xfId="0" applyBorder="1" applyAlignment="1" applyProtection="1">
      <alignment horizontal="center"/>
      <protection hidden="1"/>
    </xf>
    <xf numFmtId="0" fontId="0" fillId="0" borderId="17" xfId="0" applyBorder="1" applyAlignment="1" applyProtection="1">
      <alignment horizontal="center"/>
      <protection hidden="1"/>
    </xf>
    <xf numFmtId="0" fontId="0" fillId="0" borderId="0" xfId="0" applyBorder="1" applyAlignment="1" applyProtection="1">
      <alignment horizontal="center" vertical="center"/>
      <protection hidden="1"/>
    </xf>
    <xf numFmtId="0" fontId="0" fillId="8" borderId="2" xfId="0" applyFill="1" applyBorder="1" applyAlignment="1" applyProtection="1">
      <alignment horizontal="center" vertical="center"/>
      <protection locked="0"/>
    </xf>
    <xf numFmtId="0" fontId="1" fillId="0" borderId="1" xfId="0" applyFont="1" applyFill="1" applyBorder="1" applyAlignment="1">
      <alignment vertical="top"/>
    </xf>
    <xf numFmtId="0" fontId="0" fillId="0" borderId="0" xfId="0" applyFill="1" applyBorder="1" applyAlignment="1">
      <alignment vertical="top"/>
    </xf>
    <xf numFmtId="0" fontId="0" fillId="0" borderId="0" xfId="0" applyFill="1" applyAlignment="1">
      <alignment vertical="top"/>
    </xf>
    <xf numFmtId="0" fontId="0" fillId="0" borderId="0" xfId="0" quotePrefix="1" applyFill="1" applyAlignment="1">
      <alignment vertical="top"/>
    </xf>
    <xf numFmtId="0" fontId="1" fillId="0" borderId="59" xfId="0" applyFont="1" applyBorder="1" applyAlignment="1">
      <alignment horizontal="center" vertical="center"/>
    </xf>
    <xf numFmtId="0" fontId="0" fillId="0" borderId="0" xfId="0" applyAlignment="1" applyProtection="1">
      <alignment horizontal="center" vertical="center"/>
      <protection locked="0"/>
    </xf>
    <xf numFmtId="0" fontId="0" fillId="0" borderId="3" xfId="0" applyBorder="1" applyAlignment="1" applyProtection="1">
      <protection locked="0"/>
    </xf>
    <xf numFmtId="0" fontId="16" fillId="0" borderId="5" xfId="0" applyFont="1" applyBorder="1" applyAlignment="1" applyProtection="1">
      <protection locked="0"/>
    </xf>
    <xf numFmtId="0" fontId="0" fillId="0" borderId="16" xfId="0" applyBorder="1" applyAlignment="1" applyProtection="1">
      <protection locked="0"/>
    </xf>
    <xf numFmtId="0" fontId="16" fillId="0" borderId="17" xfId="0" applyFont="1" applyBorder="1" applyAlignment="1" applyProtection="1">
      <protection locked="0"/>
    </xf>
    <xf numFmtId="0" fontId="0" fillId="0" borderId="6" xfId="0" applyBorder="1" applyAlignment="1" applyProtection="1">
      <protection locked="0"/>
    </xf>
    <xf numFmtId="0" fontId="16" fillId="0" borderId="7" xfId="0" applyFont="1" applyBorder="1" applyAlignment="1" applyProtection="1">
      <protection locked="0"/>
    </xf>
    <xf numFmtId="0" fontId="0" fillId="13" borderId="0" xfId="0" applyFill="1"/>
    <xf numFmtId="0" fontId="0" fillId="13" borderId="0" xfId="0" quotePrefix="1" applyFill="1"/>
    <xf numFmtId="0" fontId="0" fillId="13" borderId="0" xfId="0" applyFill="1" applyAlignment="1">
      <alignment horizontal="center"/>
    </xf>
    <xf numFmtId="0" fontId="0" fillId="0" borderId="28" xfId="0" quotePrefix="1" applyBorder="1" applyAlignment="1">
      <alignment vertical="top" wrapText="1"/>
    </xf>
    <xf numFmtId="0" fontId="0" fillId="0" borderId="0" xfId="0" quotePrefix="1" applyAlignment="1">
      <alignment vertical="top" wrapText="1"/>
    </xf>
    <xf numFmtId="0" fontId="0" fillId="8" borderId="5" xfId="0" applyFill="1" applyBorder="1" applyAlignment="1" applyProtection="1">
      <alignment horizontal="center" vertical="center" wrapText="1"/>
      <protection hidden="1"/>
    </xf>
    <xf numFmtId="0" fontId="0" fillId="8" borderId="17" xfId="0" applyFill="1" applyBorder="1" applyAlignment="1" applyProtection="1">
      <alignment horizontal="center" vertical="center" wrapText="1"/>
      <protection hidden="1"/>
    </xf>
    <xf numFmtId="0" fontId="0" fillId="8" borderId="7" xfId="0" applyFill="1" applyBorder="1" applyAlignment="1" applyProtection="1">
      <alignment horizontal="center" vertical="center" wrapText="1"/>
      <protection hidden="1"/>
    </xf>
    <xf numFmtId="0" fontId="0" fillId="8" borderId="3" xfId="0" applyFill="1" applyBorder="1" applyAlignment="1" applyProtection="1">
      <alignment horizontal="center" vertical="center" wrapText="1"/>
      <protection hidden="1"/>
    </xf>
    <xf numFmtId="0" fontId="0" fillId="8" borderId="16" xfId="0" applyFill="1" applyBorder="1" applyAlignment="1" applyProtection="1">
      <alignment horizontal="center" vertical="center" wrapText="1"/>
      <protection hidden="1"/>
    </xf>
    <xf numFmtId="0" fontId="0" fillId="8" borderId="28" xfId="0" applyFill="1" applyBorder="1" applyAlignment="1" applyProtection="1">
      <alignment horizontal="center" vertical="center" wrapText="1"/>
      <protection hidden="1"/>
    </xf>
    <xf numFmtId="0" fontId="0" fillId="8" borderId="6" xfId="0" applyFill="1" applyBorder="1" applyAlignment="1" applyProtection="1">
      <alignment horizontal="center" vertical="center" wrapText="1"/>
      <protection hidden="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0" xfId="0" applyBorder="1" applyAlignment="1" applyProtection="1">
      <alignment horizontal="center" vertical="center"/>
    </xf>
    <xf numFmtId="0" fontId="0" fillId="0" borderId="7" xfId="0" applyBorder="1" applyAlignment="1" applyProtection="1">
      <alignment horizontal="center" vertical="center"/>
      <protection locked="0"/>
    </xf>
    <xf numFmtId="0" fontId="0" fillId="0" borderId="0" xfId="0" applyProtection="1"/>
    <xf numFmtId="0" fontId="0" fillId="0" borderId="1" xfId="0" applyBorder="1" applyAlignment="1" applyProtection="1">
      <alignment horizontal="center"/>
    </xf>
    <xf numFmtId="0" fontId="0" fillId="0" borderId="17" xfId="0" applyBorder="1" applyProtection="1"/>
    <xf numFmtId="0" fontId="0" fillId="0" borderId="1" xfId="0" applyFont="1" applyBorder="1" applyProtection="1"/>
    <xf numFmtId="0" fontId="0" fillId="0" borderId="1" xfId="0" applyBorder="1" applyProtection="1"/>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0" xfId="0" applyFill="1" applyProtection="1"/>
    <xf numFmtId="0" fontId="0" fillId="0" borderId="1" xfId="0" applyBorder="1" applyAlignment="1" applyProtection="1">
      <alignment horizontal="center" vertical="center"/>
    </xf>
    <xf numFmtId="0" fontId="0" fillId="0" borderId="17" xfId="0" applyBorder="1" applyAlignment="1" applyProtection="1">
      <alignment horizontal="center" vertical="center"/>
    </xf>
    <xf numFmtId="0" fontId="1" fillId="0" borderId="60" xfId="0" applyFont="1" applyBorder="1" applyProtection="1"/>
    <xf numFmtId="0" fontId="1" fillId="0" borderId="60" xfId="0" applyFont="1" applyBorder="1" applyAlignment="1" applyProtection="1"/>
    <xf numFmtId="0" fontId="1" fillId="0" borderId="61" xfId="0" applyFont="1" applyBorder="1" applyProtection="1"/>
    <xf numFmtId="0" fontId="1" fillId="0" borderId="76" xfId="0" applyFont="1" applyBorder="1" applyAlignment="1" applyProtection="1"/>
    <xf numFmtId="0" fontId="0" fillId="0" borderId="26" xfId="0" applyBorder="1" applyAlignment="1" applyProtection="1">
      <protection locked="0"/>
    </xf>
    <xf numFmtId="0" fontId="1" fillId="0" borderId="4" xfId="0" applyFont="1" applyBorder="1" applyAlignment="1" applyProtection="1">
      <alignment horizontal="center" vertical="center"/>
    </xf>
    <xf numFmtId="0" fontId="0" fillId="0" borderId="1" xfId="0" applyBorder="1" applyAlignment="1" applyProtection="1"/>
    <xf numFmtId="0" fontId="0" fillId="0" borderId="22" xfId="0" applyBorder="1" applyAlignment="1" applyProtection="1">
      <protection locked="0"/>
    </xf>
    <xf numFmtId="0" fontId="0" fillId="0" borderId="2" xfId="0" applyBorder="1" applyAlignment="1" applyProtection="1">
      <alignment horizontal="center" vertical="center"/>
    </xf>
    <xf numFmtId="0" fontId="0" fillId="0" borderId="7" xfId="0" applyBorder="1" applyAlignment="1" applyProtection="1">
      <alignment horizontal="center" vertical="center"/>
    </xf>
    <xf numFmtId="0" fontId="0" fillId="0" borderId="2" xfId="0" applyBorder="1" applyAlignment="1" applyProtection="1"/>
    <xf numFmtId="0" fontId="0" fillId="0" borderId="7" xfId="0" applyBorder="1" applyProtection="1"/>
    <xf numFmtId="0" fontId="0" fillId="0" borderId="25" xfId="0" applyBorder="1" applyAlignment="1" applyProtection="1">
      <protection locked="0"/>
    </xf>
    <xf numFmtId="0" fontId="1" fillId="0" borderId="4" xfId="0" applyFont="1" applyBorder="1" applyAlignment="1" applyProtection="1"/>
    <xf numFmtId="0" fontId="1" fillId="0" borderId="4" xfId="0" applyFont="1" applyBorder="1" applyAlignment="1" applyProtection="1">
      <alignment horizontal="center"/>
    </xf>
    <xf numFmtId="0" fontId="1" fillId="0" borderId="5" xfId="0" applyFont="1" applyBorder="1" applyAlignment="1" applyProtection="1">
      <alignment horizontal="center"/>
    </xf>
    <xf numFmtId="0" fontId="0" fillId="0" borderId="5" xfId="0" applyBorder="1" applyAlignment="1" applyProtection="1">
      <alignment vertical="center"/>
    </xf>
    <xf numFmtId="0" fontId="0" fillId="0" borderId="17" xfId="0" applyBorder="1" applyAlignment="1" applyProtection="1">
      <alignment vertical="center"/>
    </xf>
    <xf numFmtId="0" fontId="0" fillId="13" borderId="0" xfId="0" applyFill="1" applyAlignment="1" applyProtection="1"/>
    <xf numFmtId="0" fontId="0" fillId="13" borderId="0" xfId="0" applyFill="1" applyProtection="1"/>
    <xf numFmtId="0" fontId="0" fillId="0" borderId="0" xfId="0" applyAlignment="1" applyProtection="1"/>
    <xf numFmtId="0" fontId="1" fillId="0" borderId="0" xfId="0" applyFont="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Border="1" applyAlignment="1" applyProtection="1"/>
    <xf numFmtId="0" fontId="0" fillId="0" borderId="0" xfId="0" applyFill="1" applyBorder="1" applyAlignment="1" applyProtection="1"/>
    <xf numFmtId="0" fontId="0" fillId="0" borderId="0" xfId="0" applyAlignment="1" applyProtection="1">
      <alignment horizontal="center"/>
    </xf>
    <xf numFmtId="0" fontId="0" fillId="0" borderId="0" xfId="0" applyFill="1" applyAlignment="1" applyProtection="1"/>
    <xf numFmtId="0" fontId="1" fillId="0" borderId="59" xfId="0" applyFont="1" applyFill="1" applyBorder="1" applyAlignment="1" applyProtection="1">
      <alignment horizontal="center" vertical="center"/>
    </xf>
    <xf numFmtId="0" fontId="1" fillId="0" borderId="60" xfId="0" applyFont="1" applyFill="1" applyBorder="1" applyAlignment="1" applyProtection="1">
      <alignment horizontal="center" vertical="center"/>
    </xf>
    <xf numFmtId="0" fontId="1" fillId="0" borderId="61" xfId="0" applyFont="1" applyFill="1" applyBorder="1" applyAlignment="1" applyProtection="1">
      <alignment horizontal="center" vertical="center"/>
    </xf>
    <xf numFmtId="0" fontId="1" fillId="0" borderId="15" xfId="0" applyFont="1" applyFill="1" applyBorder="1" applyAlignment="1" applyProtection="1">
      <alignment horizontal="center" vertical="center"/>
    </xf>
    <xf numFmtId="0" fontId="1" fillId="0" borderId="60" xfId="0" applyFont="1" applyFill="1" applyBorder="1" applyAlignment="1" applyProtection="1">
      <alignment horizontal="center"/>
    </xf>
    <xf numFmtId="0" fontId="0" fillId="0" borderId="0" xfId="0" applyFill="1" applyAlignment="1" applyProtection="1">
      <alignment horizontal="center"/>
    </xf>
    <xf numFmtId="0" fontId="1" fillId="0" borderId="73" xfId="0" applyFont="1" applyFill="1" applyBorder="1" applyAlignment="1" applyProtection="1">
      <alignment horizontal="center" vertical="center"/>
    </xf>
    <xf numFmtId="0" fontId="1" fillId="0" borderId="72" xfId="0" applyFont="1" applyFill="1" applyBorder="1" applyAlignment="1" applyProtection="1">
      <alignment horizontal="center"/>
    </xf>
    <xf numFmtId="0" fontId="1" fillId="0" borderId="72" xfId="0" applyFont="1" applyFill="1" applyBorder="1" applyAlignment="1" applyProtection="1">
      <alignment horizontal="center" vertical="center"/>
    </xf>
    <xf numFmtId="0" fontId="1" fillId="0" borderId="74"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5"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xf>
    <xf numFmtId="0" fontId="0" fillId="0" borderId="4" xfId="0" applyFill="1" applyBorder="1" applyAlignment="1" applyProtection="1">
      <alignment horizontal="center" vertical="center"/>
    </xf>
    <xf numFmtId="0" fontId="0" fillId="0" borderId="5" xfId="0" applyFill="1" applyBorder="1" applyAlignment="1" applyProtection="1"/>
    <xf numFmtId="0" fontId="0" fillId="0" borderId="3" xfId="0" applyFill="1" applyBorder="1" applyAlignment="1" applyProtection="1">
      <alignment horizontal="center" vertical="center"/>
    </xf>
    <xf numFmtId="0" fontId="0" fillId="0" borderId="4" xfId="0" applyFont="1" applyBorder="1" applyAlignment="1" applyProtection="1">
      <alignment horizontal="center"/>
    </xf>
    <xf numFmtId="0" fontId="0" fillId="0" borderId="4" xfId="0" applyFont="1" applyFill="1" applyBorder="1" applyAlignment="1" applyProtection="1"/>
    <xf numFmtId="0" fontId="0" fillId="0" borderId="5" xfId="0" applyFont="1" applyFill="1" applyBorder="1" applyAlignment="1" applyProtection="1">
      <protection locked="0"/>
    </xf>
    <xf numFmtId="0" fontId="0" fillId="0" borderId="16"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17"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xf>
    <xf numFmtId="0" fontId="0" fillId="0" borderId="17" xfId="0" applyFill="1" applyBorder="1" applyAlignment="1" applyProtection="1"/>
    <xf numFmtId="0" fontId="0" fillId="0" borderId="16" xfId="0" applyFill="1" applyBorder="1" applyAlignment="1" applyProtection="1">
      <alignment horizontal="center" vertical="center"/>
    </xf>
    <xf numFmtId="0" fontId="0" fillId="0" borderId="1" xfId="0" applyFont="1" applyBorder="1" applyAlignment="1" applyProtection="1">
      <alignment horizontal="center"/>
    </xf>
    <xf numFmtId="0" fontId="0" fillId="0" borderId="1" xfId="0" applyFont="1" applyFill="1" applyBorder="1" applyAlignment="1" applyProtection="1"/>
    <xf numFmtId="0" fontId="0" fillId="0" borderId="17" xfId="0" applyFont="1" applyFill="1" applyBorder="1" applyAlignment="1" applyProtection="1">
      <protection locked="0"/>
    </xf>
    <xf numFmtId="0" fontId="1" fillId="0" borderId="3" xfId="0" applyFont="1" applyBorder="1" applyAlignment="1" applyProtection="1"/>
    <xf numFmtId="0" fontId="1" fillId="0" borderId="33" xfId="0" applyFont="1" applyBorder="1" applyAlignment="1" applyProtection="1"/>
    <xf numFmtId="0" fontId="1" fillId="0" borderId="16" xfId="0" applyFont="1" applyBorder="1" applyAlignment="1" applyProtection="1"/>
    <xf numFmtId="0" fontId="0" fillId="0" borderId="6"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7" xfId="0" applyFont="1" applyFill="1" applyBorder="1" applyAlignment="1" applyProtection="1">
      <alignment horizontal="center" vertical="center"/>
      <protection locked="0"/>
    </xf>
    <xf numFmtId="0" fontId="0" fillId="0" borderId="6" xfId="0" applyFill="1" applyBorder="1" applyAlignment="1" applyProtection="1">
      <alignment horizontal="center" vertical="center"/>
    </xf>
    <xf numFmtId="0" fontId="0" fillId="0" borderId="2" xfId="0" applyFont="1" applyBorder="1" applyAlignment="1" applyProtection="1">
      <alignment horizontal="center"/>
    </xf>
    <xf numFmtId="0" fontId="0" fillId="0" borderId="7" xfId="0" applyFont="1" applyFill="1" applyBorder="1" applyAlignment="1" applyProtection="1">
      <protection locked="0"/>
    </xf>
    <xf numFmtId="0" fontId="0" fillId="0" borderId="0" xfId="0" applyFill="1" applyAlignment="1" applyProtection="1">
      <alignment horizontal="center" vertical="center"/>
    </xf>
    <xf numFmtId="0" fontId="0" fillId="0" borderId="0" xfId="0" applyFill="1" applyAlignment="1" applyProtection="1">
      <protection locked="0"/>
    </xf>
    <xf numFmtId="0" fontId="0" fillId="0" borderId="7" xfId="0" applyFill="1" applyBorder="1" applyAlignment="1" applyProtection="1"/>
    <xf numFmtId="0" fontId="0" fillId="0" borderId="49" xfId="0" applyFont="1" applyFill="1" applyBorder="1" applyAlignment="1" applyProtection="1">
      <alignment horizontal="center" vertical="center"/>
    </xf>
    <xf numFmtId="0" fontId="0" fillId="0" borderId="20" xfId="0" applyFont="1"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49" xfId="0" applyFill="1" applyBorder="1" applyAlignment="1" applyProtection="1">
      <alignment horizontal="center" vertical="center"/>
    </xf>
    <xf numFmtId="0" fontId="0" fillId="0" borderId="81"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38" xfId="0" applyFill="1" applyBorder="1" applyAlignment="1" applyProtection="1">
      <alignment horizontal="center" vertical="center"/>
    </xf>
    <xf numFmtId="0" fontId="1" fillId="10" borderId="3" xfId="0" applyFont="1" applyFill="1" applyBorder="1" applyAlignment="1" applyProtection="1">
      <alignment horizontal="center" vertical="center"/>
    </xf>
    <xf numFmtId="0" fontId="1" fillId="10" borderId="4" xfId="0" applyFont="1" applyFill="1" applyBorder="1" applyAlignment="1" applyProtection="1">
      <alignment horizontal="center" vertical="center"/>
    </xf>
    <xf numFmtId="0" fontId="1" fillId="0" borderId="5" xfId="0" applyFont="1" applyBorder="1" applyAlignment="1" applyProtection="1">
      <alignment horizontal="center" vertical="center"/>
    </xf>
    <xf numFmtId="0" fontId="1" fillId="0" borderId="4" xfId="0" applyFont="1" applyFill="1" applyBorder="1" applyAlignment="1" applyProtection="1">
      <alignment horizontal="center" vertical="center"/>
    </xf>
    <xf numFmtId="0" fontId="1" fillId="0" borderId="5" xfId="0" applyFont="1" applyFill="1" applyBorder="1" applyAlignment="1" applyProtection="1">
      <alignment horizontal="center" vertical="center"/>
    </xf>
    <xf numFmtId="0" fontId="1" fillId="10" borderId="24" xfId="0" applyFont="1" applyFill="1" applyBorder="1" applyAlignment="1" applyProtection="1">
      <alignment horizontal="center" vertical="center"/>
    </xf>
    <xf numFmtId="0" fontId="0" fillId="0" borderId="38" xfId="0" applyBorder="1" applyAlignment="1" applyProtection="1">
      <alignment horizontal="center" vertical="center"/>
    </xf>
    <xf numFmtId="0" fontId="0" fillId="0" borderId="5" xfId="0" applyFill="1" applyBorder="1" applyAlignment="1" applyProtection="1">
      <alignment horizontal="center" vertical="center"/>
    </xf>
    <xf numFmtId="0" fontId="0" fillId="0" borderId="18" xfId="0" applyBorder="1" applyAlignment="1" applyProtection="1">
      <alignment horizontal="center" vertical="center"/>
    </xf>
    <xf numFmtId="0" fontId="0" fillId="10" borderId="6" xfId="0" applyFill="1" applyBorder="1" applyAlignment="1" applyProtection="1">
      <alignment horizontal="center" vertical="center"/>
    </xf>
    <xf numFmtId="0" fontId="0" fillId="10" borderId="2" xfId="0" applyFill="1" applyBorder="1" applyAlignment="1" applyProtection="1">
      <alignment horizontal="center" vertical="center"/>
    </xf>
    <xf numFmtId="0" fontId="0" fillId="0" borderId="2" xfId="0" applyBorder="1" applyAlignment="1" applyProtection="1">
      <alignment horizontal="center" vertical="center"/>
      <protection locked="0"/>
    </xf>
    <xf numFmtId="0" fontId="0" fillId="10" borderId="16" xfId="0" applyFill="1" applyBorder="1" applyAlignment="1" applyProtection="1">
      <alignment horizontal="center" vertical="center"/>
    </xf>
    <xf numFmtId="0" fontId="0" fillId="0" borderId="1"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10" borderId="25" xfId="0" applyFill="1" applyBorder="1" applyAlignment="1" applyProtection="1">
      <alignment horizontal="center" vertical="center"/>
    </xf>
    <xf numFmtId="0" fontId="0" fillId="10" borderId="22" xfId="0" applyFill="1" applyBorder="1" applyAlignment="1" applyProtection="1">
      <alignment horizontal="center" vertical="center"/>
    </xf>
    <xf numFmtId="0" fontId="0" fillId="0" borderId="15" xfId="0" applyBorder="1" applyAlignment="1" applyProtection="1">
      <alignment horizontal="center" vertical="center"/>
    </xf>
    <xf numFmtId="0" fontId="0" fillId="0" borderId="19" xfId="0" applyBorder="1" applyAlignment="1" applyProtection="1">
      <alignment horizontal="center" vertical="center"/>
    </xf>
    <xf numFmtId="0" fontId="1" fillId="0" borderId="3" xfId="0" applyFont="1" applyFill="1" applyBorder="1" applyAlignment="1" applyProtection="1">
      <alignment horizontal="center" vertical="center"/>
    </xf>
    <xf numFmtId="0" fontId="1" fillId="0" borderId="74" xfId="0" applyFont="1" applyBorder="1" applyAlignment="1" applyProtection="1">
      <alignment horizontal="center" vertical="center"/>
    </xf>
    <xf numFmtId="0" fontId="0" fillId="0" borderId="0" xfId="0" applyBorder="1" applyProtection="1"/>
    <xf numFmtId="0" fontId="0" fillId="0" borderId="35" xfId="0" applyBorder="1" applyAlignment="1" applyProtection="1">
      <alignment horizontal="center" vertical="center"/>
    </xf>
    <xf numFmtId="0" fontId="0" fillId="0" borderId="27" xfId="0" applyBorder="1" applyAlignment="1" applyProtection="1">
      <alignment horizontal="center" vertical="center"/>
    </xf>
    <xf numFmtId="0" fontId="0" fillId="0" borderId="16" xfId="0" applyBorder="1" applyAlignment="1" applyProtection="1">
      <alignment horizontal="center" vertical="center"/>
      <protection locked="0"/>
    </xf>
    <xf numFmtId="0" fontId="0" fillId="10" borderId="16" xfId="0" applyFill="1" applyBorder="1" applyAlignment="1" applyProtection="1">
      <alignment horizontal="center" vertical="center"/>
      <protection locked="0"/>
    </xf>
    <xf numFmtId="0" fontId="0" fillId="10" borderId="1" xfId="0" applyFill="1" applyBorder="1" applyAlignment="1" applyProtection="1">
      <alignment horizontal="center" vertical="center"/>
      <protection locked="0"/>
    </xf>
    <xf numFmtId="0" fontId="0" fillId="10" borderId="17" xfId="0" applyFill="1" applyBorder="1" applyAlignment="1" applyProtection="1">
      <alignment horizontal="center" vertical="center"/>
      <protection locked="0"/>
    </xf>
    <xf numFmtId="0" fontId="0" fillId="0" borderId="0" xfId="0" applyBorder="1" applyAlignment="1" applyProtection="1">
      <alignment vertical="center"/>
    </xf>
    <xf numFmtId="0" fontId="1" fillId="0" borderId="24" xfId="0" applyFont="1" applyFill="1" applyBorder="1" applyAlignment="1" applyProtection="1">
      <alignment horizontal="center" vertical="center"/>
    </xf>
    <xf numFmtId="0" fontId="0" fillId="13" borderId="16" xfId="0" applyFill="1" applyBorder="1" applyAlignment="1" applyProtection="1">
      <alignment horizontal="center" vertical="center"/>
      <protection locked="0"/>
    </xf>
    <xf numFmtId="0" fontId="0" fillId="13" borderId="1" xfId="0" applyFill="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1" fillId="0" borderId="3" xfId="0" applyFont="1" applyBorder="1" applyAlignment="1" applyProtection="1">
      <alignment horizontal="center" vertical="center"/>
    </xf>
    <xf numFmtId="0" fontId="1" fillId="0" borderId="24" xfId="0" applyFont="1" applyBorder="1" applyAlignment="1" applyProtection="1">
      <alignment horizontal="center" vertical="center"/>
    </xf>
    <xf numFmtId="0" fontId="0" fillId="0" borderId="6"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20" xfId="0" applyBorder="1" applyAlignment="1" applyProtection="1">
      <alignment horizontal="center" vertical="center"/>
    </xf>
    <xf numFmtId="0" fontId="0" fillId="0" borderId="20" xfId="0" applyFill="1" applyBorder="1" applyAlignment="1" applyProtection="1">
      <alignment horizontal="center" vertical="center"/>
    </xf>
    <xf numFmtId="0" fontId="0" fillId="0" borderId="48" xfId="0" applyFill="1" applyBorder="1" applyAlignment="1" applyProtection="1">
      <alignment horizontal="center" vertical="center"/>
    </xf>
    <xf numFmtId="0" fontId="0" fillId="0" borderId="21" xfId="0" applyFill="1" applyBorder="1" applyAlignment="1" applyProtection="1">
      <alignment horizontal="center" vertical="center"/>
    </xf>
    <xf numFmtId="0" fontId="1" fillId="0" borderId="4" xfId="0" applyFont="1" applyBorder="1" applyAlignment="1" applyProtection="1">
      <alignment vertical="center"/>
    </xf>
    <xf numFmtId="0" fontId="1" fillId="0" borderId="20" xfId="0" applyFont="1" applyBorder="1" applyAlignment="1" applyProtection="1">
      <alignment vertical="center"/>
    </xf>
    <xf numFmtId="0" fontId="1" fillId="0" borderId="21" xfId="0" applyFont="1" applyBorder="1" applyAlignment="1" applyProtection="1">
      <alignment vertical="center"/>
    </xf>
    <xf numFmtId="0" fontId="0" fillId="0" borderId="4" xfId="0" applyBorder="1" applyAlignment="1" applyProtection="1">
      <alignment vertical="center"/>
    </xf>
    <xf numFmtId="0" fontId="0" fillId="0" borderId="2" xfId="0" applyBorder="1" applyAlignment="1" applyProtection="1">
      <alignment vertical="center"/>
      <protection locked="0"/>
    </xf>
    <xf numFmtId="0" fontId="0" fillId="0" borderId="7" xfId="0" applyBorder="1" applyAlignment="1" applyProtection="1">
      <alignment vertical="center"/>
      <protection locked="0"/>
    </xf>
    <xf numFmtId="0" fontId="0" fillId="0" borderId="2" xfId="0" applyBorder="1" applyAlignment="1" applyProtection="1">
      <alignment vertical="center"/>
    </xf>
    <xf numFmtId="0" fontId="0" fillId="0" borderId="7" xfId="0" applyBorder="1" applyAlignment="1" applyProtection="1">
      <alignment vertical="center"/>
    </xf>
    <xf numFmtId="0" fontId="1" fillId="0" borderId="5" xfId="0" applyFont="1" applyBorder="1" applyAlignment="1" applyProtection="1">
      <alignment vertical="center"/>
    </xf>
    <xf numFmtId="0" fontId="2" fillId="0" borderId="0" xfId="0" applyFont="1" applyBorder="1" applyAlignment="1" applyProtection="1">
      <alignment horizontal="center" vertical="center"/>
    </xf>
    <xf numFmtId="0" fontId="1" fillId="0" borderId="0" xfId="0" applyFont="1" applyAlignment="1" applyProtection="1">
      <alignment horizontal="center"/>
    </xf>
    <xf numFmtId="0" fontId="1"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0" xfId="0" applyBorder="1" applyAlignment="1" applyProtection="1">
      <alignment horizontal="center" vertical="center" wrapText="1"/>
    </xf>
    <xf numFmtId="0" fontId="1" fillId="0" borderId="24" xfId="0" applyFont="1" applyBorder="1" applyAlignment="1" applyProtection="1">
      <alignment horizontal="center"/>
    </xf>
    <xf numFmtId="0" fontId="1" fillId="0" borderId="0" xfId="0" applyFont="1" applyBorder="1" applyAlignment="1" applyProtection="1">
      <alignment horizontal="center"/>
    </xf>
    <xf numFmtId="0" fontId="1" fillId="0" borderId="49" xfId="0" applyFont="1" applyBorder="1" applyAlignment="1" applyProtection="1"/>
    <xf numFmtId="0" fontId="1" fillId="0" borderId="21" xfId="0" applyFont="1" applyBorder="1" applyAlignment="1" applyProtection="1">
      <alignment horizontal="center"/>
    </xf>
    <xf numFmtId="0" fontId="1" fillId="0" borderId="20" xfId="0" applyFont="1" applyBorder="1" applyAlignment="1" applyProtection="1"/>
    <xf numFmtId="0" fontId="1" fillId="0" borderId="26" xfId="0" applyFont="1" applyBorder="1" applyAlignment="1" applyProtection="1"/>
    <xf numFmtId="0" fontId="1" fillId="0" borderId="72" xfId="0" applyFont="1" applyBorder="1" applyAlignment="1" applyProtection="1"/>
    <xf numFmtId="0" fontId="1" fillId="0" borderId="74" xfId="0" applyFont="1" applyBorder="1" applyAlignment="1" applyProtection="1"/>
    <xf numFmtId="0" fontId="1" fillId="0" borderId="0" xfId="0" applyFont="1" applyBorder="1" applyAlignment="1" applyProtection="1"/>
    <xf numFmtId="0" fontId="1" fillId="0" borderId="1" xfId="0" applyFont="1" applyBorder="1" applyAlignment="1" applyProtection="1"/>
    <xf numFmtId="0" fontId="1" fillId="0" borderId="22" xfId="0" applyFont="1" applyBorder="1" applyAlignment="1" applyProtection="1"/>
    <xf numFmtId="0" fontId="1" fillId="0" borderId="6" xfId="0" applyFont="1" applyBorder="1" applyAlignment="1" applyProtection="1"/>
    <xf numFmtId="0" fontId="1" fillId="0" borderId="2" xfId="0" applyFont="1" applyBorder="1" applyAlignment="1" applyProtection="1"/>
    <xf numFmtId="0" fontId="1" fillId="0" borderId="73" xfId="0" applyFont="1" applyBorder="1" applyAlignment="1" applyProtection="1"/>
    <xf numFmtId="0" fontId="1" fillId="0" borderId="23" xfId="0" applyFont="1" applyBorder="1" applyAlignment="1" applyProtection="1"/>
    <xf numFmtId="0" fontId="1" fillId="0" borderId="28" xfId="0" applyFont="1" applyBorder="1" applyAlignment="1" applyProtection="1"/>
    <xf numFmtId="0" fontId="1" fillId="0" borderId="3" xfId="0" applyFont="1" applyBorder="1" applyAlignment="1" applyProtection="1">
      <alignment horizontal="center"/>
    </xf>
    <xf numFmtId="0" fontId="0" fillId="0" borderId="0" xfId="0" applyBorder="1" applyAlignment="1" applyProtection="1">
      <alignment horizontal="center"/>
    </xf>
    <xf numFmtId="0" fontId="1" fillId="0" borderId="11" xfId="0" applyFont="1" applyFill="1" applyBorder="1" applyAlignment="1" applyProtection="1">
      <alignment horizontal="center"/>
    </xf>
    <xf numFmtId="0" fontId="0" fillId="0" borderId="29" xfId="0" applyFill="1" applyBorder="1" applyAlignment="1" applyProtection="1"/>
    <xf numFmtId="0" fontId="0" fillId="8" borderId="15" xfId="0" applyFill="1" applyBorder="1" applyAlignment="1" applyProtection="1">
      <alignment horizontal="center" vertical="center"/>
      <protection locked="0"/>
    </xf>
    <xf numFmtId="0" fontId="0" fillId="8" borderId="27" xfId="0" applyFill="1" applyBorder="1" applyAlignment="1" applyProtection="1">
      <alignment horizontal="center" vertical="center" wrapText="1"/>
      <protection hidden="1"/>
    </xf>
    <xf numFmtId="0" fontId="0" fillId="0" borderId="4" xfId="0" applyBorder="1" applyProtection="1"/>
    <xf numFmtId="0" fontId="0" fillId="0" borderId="4" xfId="0" applyBorder="1" applyAlignment="1" applyProtection="1"/>
    <xf numFmtId="0" fontId="0" fillId="0" borderId="5" xfId="0" applyBorder="1" applyProtection="1"/>
    <xf numFmtId="0" fontId="0" fillId="0" borderId="2" xfId="0" applyBorder="1" applyProtection="1"/>
    <xf numFmtId="0" fontId="1" fillId="0" borderId="60" xfId="0" applyFont="1" applyFill="1" applyBorder="1" applyAlignment="1" applyProtection="1">
      <alignment horizontal="center" vertical="center"/>
      <protection hidden="1"/>
    </xf>
    <xf numFmtId="0" fontId="1" fillId="0" borderId="61" xfId="0" applyFont="1" applyFill="1" applyBorder="1" applyAlignment="1" applyProtection="1">
      <alignment horizontal="center" vertical="center"/>
      <protection hidden="1"/>
    </xf>
    <xf numFmtId="0" fontId="1" fillId="0" borderId="76" xfId="0" applyFont="1" applyFill="1" applyBorder="1" applyAlignment="1" applyProtection="1">
      <alignment horizontal="center" vertical="center"/>
      <protection hidden="1"/>
    </xf>
    <xf numFmtId="0" fontId="1" fillId="0" borderId="83" xfId="0" applyFont="1" applyFill="1" applyBorder="1" applyAlignment="1" applyProtection="1">
      <alignment horizontal="center" vertical="center" wrapText="1"/>
      <protection hidden="1"/>
    </xf>
    <xf numFmtId="0" fontId="1" fillId="0" borderId="75" xfId="0" applyFont="1" applyFill="1" applyBorder="1" applyAlignment="1" applyProtection="1">
      <alignment horizontal="center" vertical="center"/>
      <protection hidden="1"/>
    </xf>
    <xf numFmtId="0" fontId="1" fillId="0" borderId="59" xfId="0" applyFont="1" applyFill="1" applyBorder="1" applyAlignment="1" applyProtection="1">
      <alignment horizontal="center" vertical="center"/>
      <protection hidden="1"/>
    </xf>
    <xf numFmtId="0" fontId="0" fillId="0" borderId="38" xfId="0" applyBorder="1" applyAlignment="1" applyProtection="1">
      <protection locked="0"/>
    </xf>
    <xf numFmtId="0" fontId="0" fillId="0" borderId="18" xfId="0" applyBorder="1" applyAlignment="1" applyProtection="1">
      <protection locked="0"/>
    </xf>
    <xf numFmtId="0" fontId="0" fillId="0" borderId="35" xfId="0" applyBorder="1" applyAlignment="1" applyProtection="1">
      <protection locked="0"/>
    </xf>
    <xf numFmtId="0" fontId="0" fillId="0" borderId="24" xfId="0" applyBorder="1" applyAlignment="1" applyProtection="1">
      <protection locked="0"/>
    </xf>
    <xf numFmtId="0" fontId="0" fillId="0" borderId="49" xfId="0" applyBorder="1" applyAlignment="1" applyProtection="1">
      <protection locked="0"/>
    </xf>
    <xf numFmtId="0" fontId="0" fillId="0" borderId="51" xfId="0" applyBorder="1" applyAlignment="1" applyProtection="1">
      <protection locked="0"/>
    </xf>
    <xf numFmtId="0" fontId="16" fillId="0" borderId="21" xfId="0" applyFont="1" applyBorder="1" applyAlignment="1" applyProtection="1">
      <protection locked="0"/>
    </xf>
    <xf numFmtId="0" fontId="0" fillId="0" borderId="4" xfId="0" applyFill="1" applyBorder="1" applyAlignment="1">
      <alignment horizontal="center" vertical="center"/>
    </xf>
    <xf numFmtId="0" fontId="0" fillId="0" borderId="4" xfId="0"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33"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protection hidden="1"/>
    </xf>
    <xf numFmtId="0" fontId="0" fillId="0" borderId="1" xfId="0" applyFill="1" applyBorder="1" applyAlignment="1">
      <alignment horizontal="center" vertical="center"/>
    </xf>
    <xf numFmtId="0" fontId="0" fillId="0" borderId="0" xfId="0" applyFill="1"/>
    <xf numFmtId="0" fontId="0" fillId="0" borderId="33" xfId="0" applyFont="1" applyFill="1" applyBorder="1" applyAlignment="1" applyProtection="1">
      <alignment horizontal="center" vertical="center"/>
      <protection hidden="1"/>
    </xf>
    <xf numFmtId="0" fontId="0" fillId="0" borderId="33" xfId="0" applyFill="1" applyBorder="1" applyAlignment="1" applyProtection="1">
      <alignment horizontal="center" vertical="center" wrapText="1"/>
      <protection hidden="1"/>
    </xf>
    <xf numFmtId="0" fontId="0" fillId="0" borderId="33" xfId="0" applyFill="1" applyBorder="1" applyAlignment="1"/>
    <xf numFmtId="0" fontId="0" fillId="0" borderId="16" xfId="0" applyFill="1" applyBorder="1" applyAlignment="1">
      <alignment horizontal="center" vertical="center"/>
    </xf>
    <xf numFmtId="0" fontId="0" fillId="0" borderId="64" xfId="0" applyFill="1" applyBorder="1" applyAlignment="1" applyProtection="1">
      <alignment horizontal="center" vertical="center" wrapText="1"/>
      <protection hidden="1"/>
    </xf>
    <xf numFmtId="0" fontId="0" fillId="0" borderId="2" xfId="0" applyFont="1" applyFill="1" applyBorder="1" applyAlignment="1" applyProtection="1">
      <alignment horizontal="center" vertical="center"/>
      <protection hidden="1"/>
    </xf>
    <xf numFmtId="0" fontId="0" fillId="0" borderId="2" xfId="0" applyFill="1" applyBorder="1" applyAlignment="1">
      <alignment horizontal="center" vertical="center"/>
    </xf>
    <xf numFmtId="0" fontId="0" fillId="0" borderId="2" xfId="0" applyFill="1" applyBorder="1" applyAlignment="1" applyProtection="1">
      <alignment horizontal="center" vertical="center"/>
      <protection hidden="1"/>
    </xf>
    <xf numFmtId="0" fontId="0" fillId="0" borderId="62" xfId="0" applyFill="1" applyBorder="1" applyAlignment="1"/>
    <xf numFmtId="0" fontId="0" fillId="0" borderId="3" xfId="0" applyFill="1" applyBorder="1" applyAlignment="1">
      <alignment horizontal="center" vertical="center"/>
    </xf>
    <xf numFmtId="0" fontId="0" fillId="0" borderId="0" xfId="0" applyFill="1" applyBorder="1" applyProtection="1">
      <protection hidden="1"/>
    </xf>
    <xf numFmtId="0" fontId="0" fillId="0" borderId="0" xfId="0" applyFill="1" applyBorder="1"/>
    <xf numFmtId="0" fontId="0" fillId="0" borderId="0" xfId="0" applyAlignment="1" applyProtection="1">
      <alignment horizontal="center"/>
    </xf>
    <xf numFmtId="0" fontId="1" fillId="0" borderId="6"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60" xfId="0" applyFont="1" applyBorder="1" applyAlignment="1" applyProtection="1">
      <alignment horizontal="center" vertical="center"/>
    </xf>
    <xf numFmtId="0" fontId="1" fillId="0" borderId="49" xfId="0" applyFont="1" applyBorder="1" applyAlignment="1" applyProtection="1">
      <alignment horizontal="center" vertical="center"/>
    </xf>
    <xf numFmtId="0" fontId="1" fillId="0" borderId="20" xfId="0" applyFont="1" applyBorder="1" applyAlignment="1" applyProtection="1">
      <alignment horizontal="center" vertical="center"/>
    </xf>
    <xf numFmtId="0" fontId="1" fillId="0" borderId="7" xfId="0" applyFont="1" applyFill="1" applyBorder="1" applyAlignment="1" applyProtection="1">
      <alignment horizontal="center" vertical="center"/>
    </xf>
    <xf numFmtId="0" fontId="1" fillId="0" borderId="0" xfId="0" applyFont="1" applyBorder="1" applyAlignment="1" applyProtection="1">
      <alignment horizontal="center" vertical="center"/>
    </xf>
    <xf numFmtId="0" fontId="0" fillId="0" borderId="18" xfId="0" applyBorder="1" applyAlignment="1" applyProtection="1">
      <alignment horizontal="center"/>
      <protection locked="0"/>
    </xf>
    <xf numFmtId="0" fontId="1" fillId="0" borderId="38" xfId="0" applyFont="1" applyBorder="1" applyAlignment="1" applyProtection="1">
      <alignment horizontal="center"/>
    </xf>
    <xf numFmtId="0" fontId="0" fillId="0" borderId="35" xfId="0" applyBorder="1" applyAlignment="1" applyProtection="1">
      <alignment horizontal="center"/>
      <protection locked="0"/>
    </xf>
    <xf numFmtId="0" fontId="0" fillId="0" borderId="28" xfId="0"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0" fillId="0" borderId="15" xfId="0" applyFont="1" applyBorder="1" applyAlignment="1" applyProtection="1">
      <alignment horizontal="center"/>
    </xf>
    <xf numFmtId="0" fontId="0" fillId="0" borderId="15" xfId="0" applyFont="1" applyFill="1" applyBorder="1" applyAlignment="1" applyProtection="1"/>
    <xf numFmtId="0" fontId="0" fillId="0" borderId="27" xfId="0" applyFont="1" applyFill="1" applyBorder="1" applyAlignment="1" applyProtection="1">
      <protection locked="0"/>
    </xf>
    <xf numFmtId="0" fontId="0" fillId="0" borderId="3"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0" borderId="5" xfId="0" applyFill="1" applyBorder="1" applyAlignment="1" applyProtection="1">
      <alignment horizontal="center" vertical="center"/>
      <protection locked="0"/>
    </xf>
    <xf numFmtId="0" fontId="0" fillId="0" borderId="16"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17" xfId="0" applyFill="1" applyBorder="1" applyAlignment="1" applyProtection="1">
      <alignment horizontal="center" vertical="center"/>
      <protection locked="0"/>
    </xf>
    <xf numFmtId="0" fontId="0" fillId="0" borderId="6" xfId="0"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61" xfId="0" applyFont="1" applyBorder="1" applyAlignment="1" applyProtection="1">
      <alignment horizontal="center" vertical="center"/>
    </xf>
    <xf numFmtId="0" fontId="0" fillId="0" borderId="5" xfId="0" applyFont="1" applyBorder="1" applyAlignment="1" applyProtection="1">
      <alignment horizontal="center" vertical="center"/>
    </xf>
    <xf numFmtId="0" fontId="0" fillId="0" borderId="28" xfId="0" applyBorder="1" applyAlignment="1" applyProtection="1">
      <alignment horizontal="center" vertical="center"/>
    </xf>
    <xf numFmtId="0" fontId="0" fillId="0" borderId="49" xfId="0" applyBorder="1" applyAlignment="1" applyProtection="1">
      <alignment horizontal="center" vertical="center"/>
    </xf>
    <xf numFmtId="0" fontId="0" fillId="0" borderId="21" xfId="0" applyFont="1" applyBorder="1" applyAlignment="1" applyProtection="1">
      <alignment horizontal="center" vertical="center"/>
    </xf>
    <xf numFmtId="0" fontId="1" fillId="0" borderId="59" xfId="0" applyFont="1" applyBorder="1" applyAlignment="1" applyProtection="1">
      <alignment horizontal="center" vertical="center" wrapText="1"/>
    </xf>
    <xf numFmtId="0" fontId="0" fillId="10" borderId="16" xfId="0" applyFill="1" applyBorder="1" applyAlignment="1" applyProtection="1">
      <alignment horizontal="center" vertical="center"/>
    </xf>
    <xf numFmtId="0" fontId="0" fillId="10" borderId="1" xfId="0" applyFill="1" applyBorder="1" applyAlignment="1" applyProtection="1">
      <alignment horizontal="center" vertical="center"/>
    </xf>
    <xf numFmtId="0" fontId="0" fillId="10" borderId="17" xfId="0" applyFill="1" applyBorder="1" applyAlignment="1" applyProtection="1">
      <alignment horizontal="center" vertical="center"/>
    </xf>
    <xf numFmtId="0" fontId="0" fillId="0" borderId="6" xfId="0" applyFill="1" applyBorder="1" applyAlignment="1">
      <alignment horizontal="center" vertical="center"/>
    </xf>
    <xf numFmtId="0" fontId="0" fillId="0" borderId="1" xfId="0"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0" xfId="0" applyFill="1" applyAlignment="1" applyProtection="1">
      <protection hidden="1"/>
    </xf>
    <xf numFmtId="0" fontId="1" fillId="0" borderId="59" xfId="0" applyFont="1" applyFill="1" applyBorder="1" applyAlignment="1" applyProtection="1">
      <alignment horizontal="center" vertical="center" wrapText="1"/>
      <protection hidden="1"/>
    </xf>
    <xf numFmtId="0" fontId="1" fillId="0" borderId="60" xfId="0" applyFont="1" applyFill="1" applyBorder="1" applyAlignment="1" applyProtection="1">
      <alignment horizontal="center" vertical="center" wrapText="1"/>
      <protection hidden="1"/>
    </xf>
    <xf numFmtId="0" fontId="1" fillId="0" borderId="75" xfId="0" applyFont="1" applyFill="1" applyBorder="1" applyAlignment="1" applyProtection="1">
      <alignment horizontal="center" vertical="center" wrapText="1"/>
      <protection hidden="1"/>
    </xf>
    <xf numFmtId="0" fontId="0" fillId="0" borderId="20" xfId="0" applyFill="1" applyBorder="1" applyAlignment="1" applyProtection="1">
      <alignment horizontal="center" vertical="center" wrapText="1"/>
      <protection hidden="1"/>
    </xf>
    <xf numFmtId="0" fontId="0" fillId="0" borderId="48" xfId="0" applyFill="1" applyBorder="1" applyAlignment="1" applyProtection="1">
      <alignment horizontal="center" vertical="center" wrapText="1"/>
      <protection hidden="1"/>
    </xf>
    <xf numFmtId="0" fontId="0" fillId="0" borderId="49" xfId="0" applyFill="1" applyBorder="1" applyAlignment="1">
      <alignment horizontal="center" vertical="center"/>
    </xf>
    <xf numFmtId="0" fontId="0" fillId="0" borderId="20" xfId="0" applyFill="1" applyBorder="1" applyAlignment="1" applyProtection="1">
      <alignment horizontal="center" vertical="center"/>
      <protection hidden="1"/>
    </xf>
    <xf numFmtId="0" fontId="0" fillId="0" borderId="20" xfId="0" applyFill="1" applyBorder="1" applyAlignment="1">
      <alignment horizontal="center" vertical="center"/>
    </xf>
    <xf numFmtId="0" fontId="0" fillId="0" borderId="0" xfId="0" applyFont="1" applyFill="1" applyBorder="1" applyProtection="1"/>
    <xf numFmtId="0" fontId="0" fillId="0" borderId="17" xfId="0" applyBorder="1" applyAlignment="1" applyProtection="1">
      <alignment horizontal="center"/>
      <protection locked="0"/>
    </xf>
    <xf numFmtId="0" fontId="1" fillId="0" borderId="3" xfId="0" applyFont="1" applyBorder="1" applyAlignment="1" applyProtection="1">
      <alignment horizontal="center" vertical="center"/>
    </xf>
    <xf numFmtId="0" fontId="1" fillId="0" borderId="4"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2"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7" xfId="0" applyBorder="1" applyAlignment="1" applyProtection="1">
      <alignment horizontal="center"/>
      <protection locked="0"/>
    </xf>
    <xf numFmtId="0" fontId="0" fillId="0" borderId="15" xfId="0" applyBorder="1" applyAlignment="1" applyProtection="1">
      <alignment horizontal="center" vertical="center"/>
    </xf>
    <xf numFmtId="0" fontId="0" fillId="0" borderId="1" xfId="0" applyBorder="1" applyAlignment="1" applyProtection="1">
      <alignment horizontal="center" vertical="center"/>
    </xf>
    <xf numFmtId="0" fontId="0" fillId="0" borderId="20" xfId="0" applyBorder="1" applyAlignment="1" applyProtection="1">
      <alignment horizontal="center" vertical="center"/>
    </xf>
    <xf numFmtId="0" fontId="0" fillId="0" borderId="16" xfId="0" applyBorder="1" applyAlignment="1" applyProtection="1">
      <alignment horizontal="center" vertical="center"/>
    </xf>
    <xf numFmtId="0" fontId="0" fillId="0" borderId="6" xfId="0" applyBorder="1" applyAlignment="1" applyProtection="1">
      <alignment horizontal="center" vertical="center"/>
    </xf>
    <xf numFmtId="0" fontId="1" fillId="0" borderId="7" xfId="0" applyFont="1" applyFill="1" applyBorder="1" applyAlignment="1" applyProtection="1">
      <alignment horizontal="center" vertical="center"/>
    </xf>
    <xf numFmtId="0" fontId="1" fillId="10" borderId="5" xfId="0" applyFont="1" applyFill="1" applyBorder="1" applyAlignment="1" applyProtection="1">
      <alignment horizontal="center" vertical="center"/>
    </xf>
    <xf numFmtId="0" fontId="0" fillId="10" borderId="7" xfId="0" applyFill="1" applyBorder="1" applyAlignment="1" applyProtection="1">
      <alignment horizontal="center" vertical="center"/>
    </xf>
    <xf numFmtId="0" fontId="0" fillId="0" borderId="61" xfId="0" applyFill="1" applyBorder="1" applyAlignment="1">
      <alignment horizontal="center" vertical="center" wrapText="1"/>
    </xf>
    <xf numFmtId="0" fontId="0" fillId="0" borderId="58" xfId="0" applyFill="1" applyBorder="1" applyAlignment="1">
      <alignment horizontal="center" vertical="center"/>
    </xf>
    <xf numFmtId="0" fontId="0" fillId="0" borderId="59" xfId="0" applyFill="1" applyBorder="1" applyAlignment="1">
      <alignment horizontal="center" vertical="center"/>
    </xf>
    <xf numFmtId="0" fontId="16" fillId="0" borderId="5" xfId="0" applyFont="1" applyFill="1" applyBorder="1" applyAlignment="1">
      <alignment horizontal="left" vertical="top" wrapText="1"/>
    </xf>
    <xf numFmtId="0" fontId="16" fillId="0" borderId="17" xfId="0" applyFont="1" applyFill="1" applyBorder="1" applyAlignment="1">
      <alignment horizontal="left" vertical="top" wrapText="1"/>
    </xf>
    <xf numFmtId="0" fontId="17" fillId="0" borderId="17" xfId="0" applyFont="1" applyFill="1" applyBorder="1" applyAlignment="1">
      <alignment horizontal="left" vertical="top" wrapText="1"/>
    </xf>
    <xf numFmtId="0" fontId="16" fillId="0" borderId="7" xfId="0" applyFont="1" applyFill="1" applyBorder="1" applyAlignment="1">
      <alignment horizontal="left" vertical="top" wrapText="1"/>
    </xf>
    <xf numFmtId="0" fontId="0" fillId="0" borderId="0" xfId="0" applyFill="1" applyAlignment="1">
      <alignment horizontal="left" vertical="top" wrapText="1"/>
    </xf>
    <xf numFmtId="0" fontId="0" fillId="0" borderId="0" xfId="0" applyBorder="1" applyAlignment="1" applyProtection="1">
      <alignment horizontal="center" vertical="center" wrapText="1"/>
      <protection hidden="1"/>
    </xf>
    <xf numFmtId="0" fontId="0" fillId="0" borderId="4" xfId="0" applyFill="1" applyBorder="1" applyAlignment="1" applyProtection="1">
      <alignment horizontal="center" vertical="center"/>
    </xf>
    <xf numFmtId="0" fontId="0" fillId="0" borderId="0" xfId="0" applyFont="1" applyFill="1" applyBorder="1" applyAlignment="1" applyProtection="1"/>
    <xf numFmtId="0" fontId="0" fillId="0" borderId="27"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1" xfId="0" applyFont="1" applyBorder="1" applyAlignment="1" applyProtection="1">
      <alignment horizontal="center"/>
    </xf>
    <xf numFmtId="0" fontId="0" fillId="0" borderId="1" xfId="0" applyBorder="1" applyAlignment="1" applyProtection="1">
      <alignment horizontal="center" vertical="center"/>
      <protection locked="0"/>
    </xf>
    <xf numFmtId="0" fontId="0" fillId="0" borderId="21" xfId="0" applyBorder="1" applyAlignment="1" applyProtection="1">
      <alignment horizontal="center"/>
      <protection locked="0"/>
    </xf>
    <xf numFmtId="0" fontId="0" fillId="0" borderId="17" xfId="0" applyBorder="1" applyAlignment="1" applyProtection="1">
      <alignment horizontal="center" vertical="center"/>
      <protection locked="0"/>
    </xf>
    <xf numFmtId="0" fontId="0" fillId="0" borderId="5" xfId="0" applyFill="1" applyBorder="1" applyAlignment="1" applyProtection="1">
      <alignment horizontal="center" vertical="center"/>
      <protection locked="0"/>
    </xf>
    <xf numFmtId="0" fontId="0" fillId="0" borderId="17"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16" xfId="0" applyFill="1" applyBorder="1" applyAlignment="1" applyProtection="1">
      <alignment horizontal="center" vertical="center"/>
    </xf>
    <xf numFmtId="0" fontId="0" fillId="0" borderId="49" xfId="0" quotePrefix="1" applyBorder="1" applyAlignment="1">
      <alignment vertical="top" wrapText="1"/>
    </xf>
    <xf numFmtId="0" fontId="0" fillId="0" borderId="21" xfId="0" applyBorder="1" applyAlignment="1">
      <alignment horizontal="center" vertical="top" wrapText="1"/>
    </xf>
    <xf numFmtId="0" fontId="0" fillId="0" borderId="0" xfId="0" applyBorder="1" applyAlignment="1" applyProtection="1">
      <alignment horizontal="center" vertical="center" wrapText="1"/>
      <protection hidden="1"/>
    </xf>
    <xf numFmtId="0" fontId="0" fillId="0" borderId="21" xfId="0" applyFill="1" applyBorder="1" applyAlignment="1" applyProtection="1">
      <alignment horizontal="center" vertical="center"/>
      <protection locked="0"/>
    </xf>
    <xf numFmtId="0" fontId="0" fillId="0" borderId="5" xfId="0" applyFill="1" applyBorder="1" applyAlignment="1" applyProtection="1">
      <protection locked="0"/>
    </xf>
    <xf numFmtId="0" fontId="0" fillId="0" borderId="17" xfId="0" applyFill="1" applyBorder="1" applyAlignment="1" applyProtection="1">
      <protection locked="0"/>
    </xf>
    <xf numFmtId="0" fontId="0" fillId="0" borderId="7" xfId="0" applyFill="1" applyBorder="1" applyAlignment="1" applyProtection="1">
      <protection locked="0"/>
    </xf>
    <xf numFmtId="0" fontId="0" fillId="0" borderId="28" xfId="0" applyFont="1" applyFill="1" applyBorder="1" applyAlignment="1" applyProtection="1">
      <alignment horizontal="center" vertical="center"/>
    </xf>
    <xf numFmtId="0" fontId="0" fillId="0" borderId="27" xfId="0" applyFill="1" applyBorder="1" applyAlignment="1" applyProtection="1">
      <alignment horizontal="center" vertical="center"/>
      <protection locked="0"/>
    </xf>
    <xf numFmtId="0" fontId="0" fillId="0" borderId="2" xfId="0" applyFont="1" applyFill="1" applyBorder="1" applyAlignment="1" applyProtection="1"/>
    <xf numFmtId="0" fontId="0" fillId="0" borderId="28" xfId="0" applyFont="1" applyFill="1" applyBorder="1" applyAlignment="1" applyProtection="1">
      <alignment horizontal="center" vertical="center"/>
      <protection hidden="1"/>
    </xf>
    <xf numFmtId="0" fontId="16" fillId="0" borderId="27" xfId="0" applyFont="1" applyFill="1" applyBorder="1" applyAlignment="1">
      <alignment horizontal="left" vertical="top" wrapText="1"/>
    </xf>
    <xf numFmtId="0" fontId="0" fillId="0" borderId="49" xfId="0" applyFill="1" applyBorder="1" applyAlignment="1" applyProtection="1">
      <alignment horizontal="center" vertical="center"/>
      <protection hidden="1"/>
    </xf>
    <xf numFmtId="0" fontId="0" fillId="0" borderId="48" xfId="0" applyBorder="1" applyAlignment="1" applyProtection="1">
      <protection locked="0"/>
    </xf>
    <xf numFmtId="0" fontId="0" fillId="0" borderId="67" xfId="0" applyBorder="1" applyAlignment="1" applyProtection="1">
      <protection locked="0"/>
    </xf>
    <xf numFmtId="0" fontId="0" fillId="0" borderId="32" xfId="0" applyBorder="1" applyAlignment="1" applyProtection="1">
      <protection locked="0"/>
    </xf>
    <xf numFmtId="0" fontId="0" fillId="0" borderId="36" xfId="0" applyBorder="1" applyAlignment="1" applyProtection="1">
      <protection locked="0"/>
    </xf>
    <xf numFmtId="0" fontId="15" fillId="0" borderId="8" xfId="0" applyFont="1" applyBorder="1" applyAlignment="1" applyProtection="1">
      <alignment horizontal="center" wrapText="1"/>
      <protection hidden="1"/>
    </xf>
    <xf numFmtId="0" fontId="15" fillId="0" borderId="9" xfId="0" applyFont="1" applyBorder="1" applyAlignment="1" applyProtection="1">
      <alignment horizontal="center" wrapText="1"/>
      <protection hidden="1"/>
    </xf>
    <xf numFmtId="0" fontId="15" fillId="0" borderId="10" xfId="0" applyFont="1" applyBorder="1" applyAlignment="1" applyProtection="1">
      <alignment horizontal="center" wrapText="1"/>
      <protection hidden="1"/>
    </xf>
    <xf numFmtId="0" fontId="15" fillId="0" borderId="11" xfId="0" applyFont="1" applyBorder="1" applyAlignment="1" applyProtection="1">
      <alignment horizontal="center" wrapText="1"/>
      <protection hidden="1"/>
    </xf>
    <xf numFmtId="0" fontId="15" fillId="0" borderId="0" xfId="0" applyFont="1" applyBorder="1" applyAlignment="1" applyProtection="1">
      <alignment horizontal="center" wrapText="1"/>
      <protection hidden="1"/>
    </xf>
    <xf numFmtId="0" fontId="15" fillId="0" borderId="12" xfId="0" applyFont="1" applyBorder="1" applyAlignment="1" applyProtection="1">
      <alignment horizontal="center" wrapText="1"/>
      <protection hidden="1"/>
    </xf>
    <xf numFmtId="0" fontId="15" fillId="0" borderId="13" xfId="0" applyFont="1" applyBorder="1" applyAlignment="1" applyProtection="1">
      <alignment horizontal="center" wrapText="1"/>
      <protection hidden="1"/>
    </xf>
    <xf numFmtId="0" fontId="15" fillId="0" borderId="14" xfId="0" applyFont="1" applyBorder="1" applyAlignment="1" applyProtection="1">
      <alignment horizontal="center" wrapText="1"/>
      <protection hidden="1"/>
    </xf>
    <xf numFmtId="0" fontId="15" fillId="0" borderId="39" xfId="0" applyFont="1" applyBorder="1" applyAlignment="1" applyProtection="1">
      <alignment horizontal="center" wrapText="1"/>
      <protection hidden="1"/>
    </xf>
    <xf numFmtId="0" fontId="0" fillId="0" borderId="57"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0" fillId="0" borderId="71" xfId="0"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7" fillId="0" borderId="9"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7" fillId="0" borderId="14" xfId="0" applyFont="1" applyBorder="1" applyAlignment="1" applyProtection="1">
      <alignment horizontal="center" vertical="center" wrapText="1"/>
      <protection hidden="1"/>
    </xf>
    <xf numFmtId="0" fontId="7" fillId="0" borderId="39" xfId="0" applyFont="1"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80"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12" borderId="33" xfId="0" applyFill="1" applyBorder="1" applyAlignment="1" applyProtection="1">
      <alignment horizontal="center" vertical="center"/>
      <protection hidden="1"/>
    </xf>
    <xf numFmtId="0" fontId="0" fillId="12" borderId="32" xfId="0" applyFill="1" applyBorder="1" applyAlignment="1" applyProtection="1">
      <alignment horizontal="center" vertical="center"/>
      <protection hidden="1"/>
    </xf>
    <xf numFmtId="0" fontId="0" fillId="12" borderId="41" xfId="0" applyFill="1"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41" xfId="0" applyBorder="1" applyAlignment="1" applyProtection="1">
      <alignment horizontal="center" vertical="center"/>
      <protection hidden="1"/>
    </xf>
    <xf numFmtId="0" fontId="0" fillId="0" borderId="33" xfId="0" applyFill="1" applyBorder="1" applyAlignment="1" applyProtection="1">
      <alignment horizontal="center" vertical="center"/>
      <protection hidden="1"/>
    </xf>
    <xf numFmtId="0" fontId="0" fillId="0" borderId="32" xfId="0" applyFill="1" applyBorder="1" applyAlignment="1" applyProtection="1">
      <alignment horizontal="center" vertical="center"/>
      <protection hidden="1"/>
    </xf>
    <xf numFmtId="0" fontId="0" fillId="0" borderId="41" xfId="0" applyFill="1" applyBorder="1" applyAlignment="1" applyProtection="1">
      <alignment horizontal="center" vertical="center"/>
      <protection hidden="1"/>
    </xf>
    <xf numFmtId="0" fontId="0" fillId="12" borderId="37" xfId="0" applyFill="1" applyBorder="1" applyAlignment="1" applyProtection="1">
      <alignment horizontal="center" vertical="center" wrapText="1"/>
      <protection hidden="1"/>
    </xf>
    <xf numFmtId="0" fontId="0" fillId="12" borderId="34" xfId="0" applyFill="1" applyBorder="1" applyAlignment="1" applyProtection="1">
      <alignment horizontal="center" vertical="center" wrapText="1"/>
      <protection hidden="1"/>
    </xf>
    <xf numFmtId="0" fontId="0" fillId="12" borderId="43" xfId="0" applyFill="1" applyBorder="1" applyAlignment="1" applyProtection="1">
      <alignment horizontal="center" vertical="center" wrapText="1"/>
      <protection hidden="1"/>
    </xf>
    <xf numFmtId="0" fontId="0" fillId="12" borderId="80" xfId="0" applyFill="1" applyBorder="1" applyAlignment="1" applyProtection="1">
      <alignment horizontal="center" vertical="center" wrapText="1"/>
      <protection hidden="1"/>
    </xf>
    <xf numFmtId="0" fontId="0" fillId="12" borderId="29" xfId="0" applyFill="1" applyBorder="1" applyAlignment="1" applyProtection="1">
      <alignment horizontal="center" vertical="center" wrapText="1"/>
      <protection hidden="1"/>
    </xf>
    <xf numFmtId="0" fontId="0" fillId="12" borderId="31" xfId="0" applyFill="1" applyBorder="1" applyAlignment="1" applyProtection="1">
      <alignment horizontal="center" vertical="center" wrapText="1"/>
      <protection hidden="1"/>
    </xf>
    <xf numFmtId="0" fontId="0" fillId="0" borderId="64" xfId="0" applyFill="1" applyBorder="1" applyAlignment="1" applyProtection="1">
      <alignment horizontal="center" vertical="center"/>
      <protection hidden="1"/>
    </xf>
    <xf numFmtId="0" fontId="0" fillId="0" borderId="36" xfId="0" applyFill="1" applyBorder="1" applyAlignment="1" applyProtection="1">
      <alignment horizontal="center" vertical="center"/>
      <protection hidden="1"/>
    </xf>
    <xf numFmtId="0" fontId="0" fillId="0" borderId="46" xfId="0" applyFill="1" applyBorder="1" applyAlignment="1" applyProtection="1">
      <alignment horizontal="center" vertical="center"/>
      <protection hidden="1"/>
    </xf>
    <xf numFmtId="0" fontId="7" fillId="0" borderId="11" xfId="0" applyFont="1" applyBorder="1" applyAlignment="1" applyProtection="1">
      <alignment horizontal="center" vertical="center" wrapText="1"/>
      <protection hidden="1"/>
    </xf>
    <xf numFmtId="0" fontId="7" fillId="0" borderId="0"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37"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43"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39" xfId="0" applyBorder="1" applyAlignment="1" applyProtection="1">
      <alignment horizontal="center" vertical="center" wrapText="1"/>
      <protection hidden="1"/>
    </xf>
    <xf numFmtId="0" fontId="0" fillId="0" borderId="11" xfId="0" applyBorder="1" applyAlignment="1" applyProtection="1">
      <alignment horizontal="center"/>
      <protection hidden="1"/>
    </xf>
    <xf numFmtId="0" fontId="0" fillId="0" borderId="0" xfId="0" applyBorder="1" applyAlignment="1" applyProtection="1">
      <alignment horizontal="center"/>
      <protection hidden="1"/>
    </xf>
    <xf numFmtId="0" fontId="0" fillId="0" borderId="12" xfId="0" applyBorder="1" applyAlignment="1" applyProtection="1">
      <alignment horizontal="center"/>
      <protection hidden="1"/>
    </xf>
    <xf numFmtId="0" fontId="0" fillId="9" borderId="11" xfId="0" applyFill="1" applyBorder="1" applyAlignment="1" applyProtection="1">
      <alignment horizontal="center"/>
      <protection hidden="1"/>
    </xf>
    <xf numFmtId="0" fontId="0" fillId="9" borderId="0" xfId="0" applyFill="1" applyBorder="1" applyAlignment="1" applyProtection="1">
      <alignment horizontal="center"/>
      <protection hidden="1"/>
    </xf>
    <xf numFmtId="0" fontId="0" fillId="9" borderId="12" xfId="0" applyFill="1" applyBorder="1" applyAlignment="1" applyProtection="1">
      <alignment horizontal="center"/>
      <protection hidden="1"/>
    </xf>
    <xf numFmtId="0" fontId="0" fillId="7" borderId="11" xfId="0" applyFill="1" applyBorder="1" applyAlignment="1" applyProtection="1">
      <alignment horizontal="center" vertical="center"/>
      <protection hidden="1"/>
    </xf>
    <xf numFmtId="0" fontId="0" fillId="7" borderId="0" xfId="0" applyFill="1" applyBorder="1" applyAlignment="1" applyProtection="1">
      <alignment horizontal="center" vertical="center"/>
      <protection hidden="1"/>
    </xf>
    <xf numFmtId="0" fontId="0" fillId="7" borderId="12" xfId="0" applyFill="1" applyBorder="1" applyAlignment="1" applyProtection="1">
      <alignment horizontal="center" vertical="center"/>
      <protection hidden="1"/>
    </xf>
    <xf numFmtId="0" fontId="0" fillId="8" borderId="11" xfId="0" applyFill="1" applyBorder="1" applyAlignment="1" applyProtection="1">
      <alignment horizontal="center" vertical="center" wrapText="1"/>
      <protection hidden="1"/>
    </xf>
    <xf numFmtId="0" fontId="0" fillId="8" borderId="0" xfId="0" applyFill="1" applyBorder="1" applyAlignment="1" applyProtection="1">
      <alignment horizontal="center" vertical="center" wrapText="1"/>
      <protection hidden="1"/>
    </xf>
    <xf numFmtId="0" fontId="0" fillId="8" borderId="12" xfId="0" applyFill="1" applyBorder="1" applyAlignment="1" applyProtection="1">
      <alignment horizontal="center" vertical="center" wrapText="1"/>
      <protection hidden="1"/>
    </xf>
    <xf numFmtId="0" fontId="0" fillId="6" borderId="11" xfId="0" applyFill="1" applyBorder="1" applyAlignment="1" applyProtection="1">
      <alignment horizontal="center" wrapText="1"/>
      <protection hidden="1"/>
    </xf>
    <xf numFmtId="0" fontId="0" fillId="6" borderId="0" xfId="0" applyFill="1" applyBorder="1" applyAlignment="1" applyProtection="1">
      <alignment horizontal="center" wrapText="1"/>
      <protection hidden="1"/>
    </xf>
    <xf numFmtId="0" fontId="0" fillId="6" borderId="12" xfId="0" applyFill="1" applyBorder="1" applyAlignment="1" applyProtection="1">
      <alignment horizontal="center" wrapText="1"/>
      <protection hidden="1"/>
    </xf>
    <xf numFmtId="0" fontId="0" fillId="5" borderId="11" xfId="0" applyFill="1" applyBorder="1" applyAlignment="1" applyProtection="1">
      <alignment horizontal="center" wrapText="1"/>
      <protection hidden="1"/>
    </xf>
    <xf numFmtId="0" fontId="0" fillId="5" borderId="0" xfId="0" applyFill="1" applyBorder="1" applyAlignment="1" applyProtection="1">
      <alignment horizontal="center" wrapText="1"/>
      <protection hidden="1"/>
    </xf>
    <xf numFmtId="0" fontId="0" fillId="5" borderId="12" xfId="0"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0" xfId="0" applyBorder="1" applyAlignment="1" applyProtection="1">
      <alignment horizontal="center" wrapText="1"/>
      <protection hidden="1"/>
    </xf>
    <xf numFmtId="0" fontId="0" fillId="0" borderId="12" xfId="0" applyBorder="1" applyAlignment="1" applyProtection="1">
      <alignment horizontal="center" wrapText="1"/>
      <protection hidden="1"/>
    </xf>
    <xf numFmtId="0" fontId="0" fillId="0" borderId="33"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1" xfId="0" applyBorder="1" applyAlignment="1" applyProtection="1">
      <alignment horizontal="center"/>
    </xf>
    <xf numFmtId="0" fontId="0" fillId="0" borderId="33" xfId="0" applyBorder="1" applyAlignment="1" applyProtection="1">
      <alignment horizontal="center"/>
    </xf>
    <xf numFmtId="0" fontId="0" fillId="0" borderId="32" xfId="0" applyBorder="1" applyAlignment="1" applyProtection="1">
      <alignment horizontal="center"/>
    </xf>
    <xf numFmtId="0" fontId="0" fillId="0" borderId="41" xfId="0" applyBorder="1" applyAlignment="1" applyProtection="1">
      <alignment horizontal="center"/>
    </xf>
    <xf numFmtId="0" fontId="0" fillId="0" borderId="19" xfId="0" applyBorder="1" applyAlignment="1" applyProtection="1">
      <alignment horizontal="center"/>
    </xf>
    <xf numFmtId="0" fontId="0" fillId="0" borderId="34" xfId="0" applyBorder="1" applyAlignment="1" applyProtection="1">
      <alignment horizontal="center"/>
    </xf>
    <xf numFmtId="0" fontId="0" fillId="0" borderId="43" xfId="0" applyBorder="1" applyAlignment="1" applyProtection="1">
      <alignment horizontal="center"/>
    </xf>
    <xf numFmtId="0" fontId="0" fillId="0" borderId="48" xfId="0" applyBorder="1" applyAlignment="1" applyProtection="1">
      <alignment horizontal="center"/>
    </xf>
    <xf numFmtId="0" fontId="0" fillId="0" borderId="29" xfId="0" applyBorder="1" applyAlignment="1" applyProtection="1">
      <alignment horizontal="center"/>
    </xf>
    <xf numFmtId="0" fontId="0" fillId="0" borderId="31" xfId="0" applyBorder="1" applyAlignment="1" applyProtection="1">
      <alignment horizontal="center"/>
    </xf>
    <xf numFmtId="0" fontId="0" fillId="0" borderId="44" xfId="0" applyBorder="1" applyAlignment="1" applyProtection="1">
      <alignment horizontal="center"/>
    </xf>
    <xf numFmtId="0" fontId="0" fillId="0" borderId="14" xfId="0" applyBorder="1" applyAlignment="1" applyProtection="1">
      <alignment horizontal="center"/>
    </xf>
    <xf numFmtId="0" fontId="0" fillId="0" borderId="39"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0" fillId="0" borderId="0" xfId="0" applyAlignment="1" applyProtection="1">
      <alignment horizontal="center"/>
    </xf>
    <xf numFmtId="0" fontId="0" fillId="0" borderId="10" xfId="0" applyBorder="1" applyAlignment="1" applyProtection="1">
      <alignment horizontal="center"/>
    </xf>
    <xf numFmtId="0" fontId="0" fillId="0" borderId="12" xfId="0" applyBorder="1" applyAlignment="1" applyProtection="1">
      <alignment horizontal="center"/>
    </xf>
    <xf numFmtId="0" fontId="1" fillId="0" borderId="16" xfId="0" applyFont="1" applyBorder="1" applyAlignment="1" applyProtection="1">
      <alignment horizontal="center"/>
    </xf>
    <xf numFmtId="0" fontId="1" fillId="0" borderId="1" xfId="0" applyFont="1" applyBorder="1" applyAlignment="1" applyProtection="1">
      <alignment horizontal="center"/>
    </xf>
    <xf numFmtId="0" fontId="0" fillId="0" borderId="17" xfId="0" applyBorder="1" applyAlignment="1" applyProtection="1">
      <alignment horizontal="center"/>
    </xf>
    <xf numFmtId="0" fontId="0" fillId="0" borderId="16" xfId="0" applyBorder="1" applyAlignment="1" applyProtection="1">
      <alignment horizontal="center"/>
      <protection locked="0"/>
    </xf>
    <xf numFmtId="0" fontId="0" fillId="0" borderId="1" xfId="0" applyBorder="1" applyAlignment="1" applyProtection="1">
      <alignment horizontal="center"/>
      <protection locked="0"/>
    </xf>
    <xf numFmtId="0" fontId="2" fillId="0" borderId="8"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4" xfId="0" applyFont="1" applyBorder="1" applyAlignment="1" applyProtection="1">
      <alignment horizontal="center" vertical="center"/>
    </xf>
    <xf numFmtId="0" fontId="1" fillId="0" borderId="62" xfId="0" applyFont="1" applyBorder="1" applyAlignment="1" applyProtection="1">
      <alignment horizontal="center"/>
    </xf>
    <xf numFmtId="0" fontId="1" fillId="0" borderId="67" xfId="0" applyFont="1" applyBorder="1" applyAlignment="1" applyProtection="1">
      <alignment horizontal="center"/>
    </xf>
    <xf numFmtId="0" fontId="1" fillId="0" borderId="65" xfId="0" applyFont="1" applyBorder="1" applyAlignment="1" applyProtection="1">
      <alignment horizontal="center"/>
    </xf>
    <xf numFmtId="0" fontId="1" fillId="0" borderId="13" xfId="0" applyFont="1" applyBorder="1" applyAlignment="1" applyProtection="1">
      <alignment horizontal="center"/>
    </xf>
    <xf numFmtId="0" fontId="1" fillId="0" borderId="14" xfId="0" applyFont="1" applyBorder="1" applyAlignment="1" applyProtection="1">
      <alignment horizontal="center"/>
    </xf>
    <xf numFmtId="0" fontId="1" fillId="0" borderId="39" xfId="0" applyFont="1" applyBorder="1" applyAlignment="1" applyProtection="1">
      <alignment horizontal="center"/>
    </xf>
    <xf numFmtId="0" fontId="0" fillId="0" borderId="35" xfId="0" applyBorder="1" applyAlignment="1" applyProtection="1">
      <alignment horizontal="center"/>
    </xf>
    <xf numFmtId="0" fontId="0" fillId="0" borderId="36" xfId="0" applyBorder="1" applyAlignment="1" applyProtection="1">
      <alignment horizontal="center"/>
    </xf>
    <xf numFmtId="0" fontId="0" fillId="0" borderId="46" xfId="0" applyBorder="1" applyAlignment="1" applyProtection="1">
      <alignment horizontal="center"/>
    </xf>
    <xf numFmtId="0" fontId="1" fillId="0" borderId="6" xfId="0" applyFont="1" applyBorder="1" applyAlignment="1" applyProtection="1">
      <alignment horizontal="center"/>
    </xf>
    <xf numFmtId="0" fontId="1" fillId="0" borderId="2" xfId="0" applyFont="1" applyBorder="1" applyAlignment="1" applyProtection="1">
      <alignment horizontal="center"/>
    </xf>
    <xf numFmtId="0" fontId="0" fillId="0" borderId="18" xfId="0" applyBorder="1" applyAlignment="1" applyProtection="1">
      <alignment horizontal="center"/>
    </xf>
    <xf numFmtId="0" fontId="0" fillId="0" borderId="18" xfId="0" applyBorder="1" applyAlignment="1" applyProtection="1">
      <alignment horizontal="center"/>
      <protection locked="0"/>
    </xf>
    <xf numFmtId="0" fontId="0" fillId="0" borderId="2" xfId="0" applyBorder="1" applyAlignment="1" applyProtection="1">
      <alignment horizontal="center"/>
    </xf>
    <xf numFmtId="0" fontId="1" fillId="0" borderId="4" xfId="0" applyFont="1" applyBorder="1" applyAlignment="1" applyProtection="1">
      <alignment horizontal="center"/>
    </xf>
    <xf numFmtId="0" fontId="1" fillId="0" borderId="5" xfId="0" applyFont="1" applyBorder="1" applyAlignment="1" applyProtection="1">
      <alignment horizontal="center"/>
    </xf>
    <xf numFmtId="0" fontId="1" fillId="0" borderId="3" xfId="0" applyFont="1" applyBorder="1" applyAlignment="1" applyProtection="1">
      <alignment horizontal="center"/>
    </xf>
    <xf numFmtId="0" fontId="0" fillId="0" borderId="22" xfId="0" applyBorder="1" applyAlignment="1" applyProtection="1">
      <alignment horizontal="center"/>
    </xf>
    <xf numFmtId="0" fontId="0" fillId="0" borderId="23"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7" xfId="0" applyBorder="1" applyAlignment="1" applyProtection="1">
      <alignment horizontal="center"/>
    </xf>
    <xf numFmtId="0" fontId="1" fillId="0" borderId="3" xfId="0" applyFont="1" applyBorder="1" applyAlignment="1" applyProtection="1">
      <alignment horizontal="center" vertical="center"/>
    </xf>
    <xf numFmtId="0" fontId="1" fillId="0" borderId="4" xfId="0" applyFont="1" applyBorder="1" applyAlignment="1" applyProtection="1">
      <alignment horizontal="center" vertical="center"/>
    </xf>
    <xf numFmtId="0" fontId="1" fillId="0" borderId="16" xfId="0" applyFont="1" applyBorder="1" applyAlignment="1" applyProtection="1">
      <alignment horizontal="center" vertical="center"/>
    </xf>
    <xf numFmtId="0" fontId="1" fillId="0" borderId="1" xfId="0" applyFont="1" applyBorder="1" applyAlignment="1" applyProtection="1">
      <alignment horizontal="center" vertical="center"/>
    </xf>
    <xf numFmtId="0" fontId="0" fillId="0" borderId="4"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0" fillId="0" borderId="10" xfId="0" applyBorder="1" applyAlignment="1" applyProtection="1">
      <alignment horizontal="center" vertical="center"/>
    </xf>
    <xf numFmtId="0" fontId="0" fillId="0" borderId="11" xfId="0" applyBorder="1" applyAlignment="1" applyProtection="1">
      <alignment horizontal="center" vertical="center"/>
    </xf>
    <xf numFmtId="0" fontId="0" fillId="0" borderId="0" xfId="0" applyBorder="1" applyAlignment="1" applyProtection="1">
      <alignment horizontal="center" vertical="center"/>
    </xf>
    <xf numFmtId="0" fontId="0" fillId="0" borderId="12" xfId="0" applyBorder="1" applyAlignment="1" applyProtection="1">
      <alignment horizontal="center" vertical="center"/>
    </xf>
    <xf numFmtId="0" fontId="0" fillId="0" borderId="6" xfId="0" applyBorder="1" applyAlignment="1" applyProtection="1">
      <alignment horizontal="center"/>
    </xf>
    <xf numFmtId="0" fontId="0" fillId="0" borderId="15" xfId="0" applyBorder="1" applyAlignment="1" applyProtection="1">
      <alignment horizontal="center"/>
    </xf>
    <xf numFmtId="0" fontId="1" fillId="0" borderId="15" xfId="0" applyFont="1" applyBorder="1" applyAlignment="1" applyProtection="1">
      <alignment horizontal="center"/>
    </xf>
    <xf numFmtId="0" fontId="2" fillId="0" borderId="10" xfId="0" applyFont="1" applyBorder="1" applyAlignment="1" applyProtection="1">
      <alignment horizontal="center" vertical="center"/>
    </xf>
    <xf numFmtId="0" fontId="2" fillId="0" borderId="39" xfId="0" applyFont="1" applyBorder="1" applyAlignment="1" applyProtection="1">
      <alignment horizontal="center" vertical="center"/>
    </xf>
    <xf numFmtId="0" fontId="0" fillId="0" borderId="16" xfId="0" applyBorder="1" applyAlignment="1" applyProtection="1">
      <alignment horizontal="center"/>
    </xf>
    <xf numFmtId="0" fontId="1" fillId="0" borderId="18" xfId="0"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1" fillId="0" borderId="33" xfId="0" applyFont="1" applyBorder="1" applyAlignment="1" applyProtection="1">
      <alignment horizontal="center"/>
      <protection locked="0"/>
    </xf>
    <xf numFmtId="0" fontId="1" fillId="0" borderId="32" xfId="0" applyFont="1" applyBorder="1" applyAlignment="1" applyProtection="1">
      <alignment horizontal="center"/>
      <protection locked="0"/>
    </xf>
    <xf numFmtId="0" fontId="1" fillId="0" borderId="22" xfId="0" applyFont="1" applyBorder="1" applyAlignment="1" applyProtection="1">
      <alignment horizontal="center"/>
      <protection locked="0"/>
    </xf>
    <xf numFmtId="0" fontId="1" fillId="0" borderId="1" xfId="0" applyFont="1" applyBorder="1" applyAlignment="1" applyProtection="1">
      <alignment horizontal="center" vertical="top" textRotation="180"/>
    </xf>
    <xf numFmtId="0" fontId="1" fillId="0" borderId="2" xfId="0" applyFont="1" applyBorder="1" applyAlignment="1" applyProtection="1">
      <alignment horizontal="center" vertical="top" textRotation="180"/>
    </xf>
    <xf numFmtId="0" fontId="0" fillId="0" borderId="25" xfId="0" applyBorder="1" applyAlignment="1" applyProtection="1">
      <alignment horizontal="center"/>
    </xf>
    <xf numFmtId="0" fontId="0" fillId="0" borderId="19" xfId="0" applyBorder="1" applyAlignment="1" applyProtection="1">
      <alignment horizontal="center" vertical="center" wrapText="1"/>
    </xf>
    <xf numFmtId="0" fontId="0" fillId="0" borderId="34" xfId="0" applyBorder="1" applyAlignment="1" applyProtection="1">
      <alignment horizontal="center" vertical="center" wrapText="1"/>
    </xf>
    <xf numFmtId="0" fontId="0" fillId="0" borderId="43" xfId="0" applyBorder="1" applyAlignment="1" applyProtection="1">
      <alignment horizontal="center" vertical="center" wrapText="1"/>
    </xf>
    <xf numFmtId="0" fontId="0" fillId="0" borderId="50"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39" xfId="0" applyBorder="1" applyAlignment="1" applyProtection="1">
      <alignment horizontal="center" vertical="center" wrapText="1"/>
    </xf>
    <xf numFmtId="0" fontId="1" fillId="0" borderId="33" xfId="0" applyFont="1" applyBorder="1" applyAlignment="1" applyProtection="1">
      <alignment horizontal="center"/>
    </xf>
    <xf numFmtId="0" fontId="1" fillId="0" borderId="32" xfId="0" applyFont="1" applyBorder="1" applyAlignment="1" applyProtection="1">
      <alignment horizontal="center"/>
    </xf>
    <xf numFmtId="0" fontId="1" fillId="0" borderId="22" xfId="0" applyFont="1" applyBorder="1" applyAlignment="1" applyProtection="1">
      <alignment horizontal="center"/>
    </xf>
    <xf numFmtId="0" fontId="0" fillId="0" borderId="1" xfId="0" applyFont="1" applyBorder="1" applyAlignment="1" applyProtection="1">
      <alignment horizontal="center"/>
    </xf>
    <xf numFmtId="0" fontId="0" fillId="0" borderId="22" xfId="0" applyFont="1" applyBorder="1" applyAlignment="1" applyProtection="1">
      <alignment horizontal="center"/>
    </xf>
    <xf numFmtId="0" fontId="0" fillId="0" borderId="17" xfId="0" applyFont="1" applyBorder="1" applyAlignment="1" applyProtection="1">
      <alignment horizontal="center"/>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1" xfId="0" applyBorder="1" applyAlignment="1" applyProtection="1">
      <alignment horizontal="center" vertical="center"/>
    </xf>
    <xf numFmtId="0" fontId="0" fillId="0" borderId="17" xfId="0" applyBorder="1" applyAlignment="1" applyProtection="1">
      <alignment horizontal="center" vertical="center"/>
    </xf>
    <xf numFmtId="0" fontId="1" fillId="0" borderId="23" xfId="0" applyFont="1" applyBorder="1" applyAlignment="1" applyProtection="1">
      <alignment horizontal="center"/>
    </xf>
    <xf numFmtId="0" fontId="0" fillId="0" borderId="27" xfId="0" applyBorder="1" applyAlignment="1" applyProtection="1">
      <alignment horizontal="center"/>
    </xf>
    <xf numFmtId="0" fontId="0" fillId="0" borderId="0" xfId="0" applyBorder="1" applyAlignment="1" applyProtection="1">
      <alignment horizontal="center"/>
    </xf>
    <xf numFmtId="0" fontId="0" fillId="0" borderId="13" xfId="0" applyBorder="1" applyAlignment="1" applyProtection="1">
      <alignment horizontal="center"/>
    </xf>
    <xf numFmtId="0" fontId="1" fillId="0" borderId="17" xfId="0" applyFont="1" applyBorder="1" applyAlignment="1" applyProtection="1">
      <alignment horizontal="center"/>
    </xf>
    <xf numFmtId="0" fontId="1" fillId="0" borderId="24" xfId="0" applyFont="1" applyBorder="1" applyAlignment="1" applyProtection="1">
      <alignment horizontal="center" vertical="center"/>
    </xf>
    <xf numFmtId="0" fontId="1" fillId="0" borderId="22" xfId="0" applyFont="1" applyBorder="1" applyAlignment="1" applyProtection="1">
      <alignment horizontal="center" vertical="center"/>
    </xf>
    <xf numFmtId="0" fontId="0" fillId="0" borderId="23" xfId="0" applyBorder="1" applyAlignment="1" applyProtection="1">
      <alignment horizontal="center"/>
    </xf>
    <xf numFmtId="0" fontId="0" fillId="0" borderId="30" xfId="0" applyBorder="1" applyAlignment="1" applyProtection="1">
      <alignment horizontal="center"/>
    </xf>
    <xf numFmtId="0" fontId="1" fillId="0" borderId="20" xfId="0" applyFont="1" applyBorder="1" applyAlignment="1" applyProtection="1">
      <alignment horizontal="center"/>
    </xf>
    <xf numFmtId="0" fontId="1" fillId="0" borderId="21" xfId="0" applyFont="1" applyBorder="1" applyAlignment="1" applyProtection="1">
      <alignment horizontal="center"/>
    </xf>
    <xf numFmtId="0" fontId="1" fillId="0" borderId="28" xfId="0" applyFont="1" applyBorder="1" applyAlignment="1" applyProtection="1">
      <alignment horizontal="center" vertical="center"/>
    </xf>
    <xf numFmtId="0" fontId="1" fillId="0" borderId="15" xfId="0" applyFont="1" applyBorder="1" applyAlignment="1" applyProtection="1">
      <alignment horizontal="center" vertical="center"/>
    </xf>
    <xf numFmtId="0" fontId="1" fillId="0" borderId="52" xfId="0" applyFont="1" applyBorder="1" applyAlignment="1" applyProtection="1">
      <alignment horizontal="center" vertical="center"/>
    </xf>
    <xf numFmtId="0" fontId="1" fillId="0" borderId="51"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9" xfId="0" applyBorder="1" applyAlignment="1" applyProtection="1">
      <alignment horizontal="center" vertical="center"/>
    </xf>
    <xf numFmtId="0" fontId="0" fillId="0" borderId="51" xfId="0" applyBorder="1" applyAlignment="1" applyProtection="1">
      <alignment horizontal="center" vertical="center"/>
    </xf>
    <xf numFmtId="0" fontId="0" fillId="0" borderId="50" xfId="0" applyBorder="1" applyAlignment="1" applyProtection="1">
      <alignment horizontal="center" vertical="center"/>
    </xf>
    <xf numFmtId="0" fontId="0" fillId="10" borderId="1" xfId="0" applyFill="1" applyBorder="1" applyAlignment="1" applyProtection="1">
      <alignment horizontal="center"/>
    </xf>
    <xf numFmtId="0" fontId="0" fillId="10" borderId="17" xfId="0" applyFill="1" applyBorder="1" applyAlignment="1" applyProtection="1">
      <alignment horizontal="center"/>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2"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1" xfId="0" applyBorder="1" applyAlignment="1" applyProtection="1">
      <alignment horizontal="center" vertical="center" wrapText="1"/>
    </xf>
    <xf numFmtId="0" fontId="1" fillId="0" borderId="0" xfId="0" applyFont="1" applyBorder="1" applyAlignment="1" applyProtection="1">
      <alignment horizontal="center" vertical="center"/>
    </xf>
    <xf numFmtId="0" fontId="1" fillId="0" borderId="12" xfId="0"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39"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2" xfId="0" applyFont="1" applyBorder="1" applyAlignment="1" applyProtection="1">
      <alignment horizontal="center" vertical="center"/>
    </xf>
    <xf numFmtId="0" fontId="0" fillId="0" borderId="2" xfId="0" applyBorder="1" applyAlignment="1" applyProtection="1">
      <alignment horizontal="center" vertical="center"/>
    </xf>
    <xf numFmtId="0" fontId="1" fillId="0" borderId="56" xfId="0" applyFont="1" applyBorder="1" applyAlignment="1" applyProtection="1">
      <alignment horizontal="center" vertical="center"/>
    </xf>
    <xf numFmtId="0" fontId="1" fillId="0" borderId="9" xfId="0" applyFont="1" applyBorder="1" applyAlignment="1" applyProtection="1">
      <alignment horizontal="center" vertical="center"/>
    </xf>
    <xf numFmtId="0" fontId="1" fillId="0" borderId="40" xfId="0" applyFont="1" applyBorder="1" applyAlignment="1" applyProtection="1">
      <alignment horizontal="center" vertical="center"/>
    </xf>
    <xf numFmtId="0" fontId="1" fillId="0" borderId="44" xfId="0" applyFont="1" applyBorder="1" applyAlignment="1" applyProtection="1">
      <alignment horizontal="center" vertical="center"/>
    </xf>
    <xf numFmtId="0" fontId="1" fillId="0" borderId="45" xfId="0" applyFont="1" applyBorder="1" applyAlignment="1" applyProtection="1">
      <alignment horizontal="center" vertical="center"/>
    </xf>
    <xf numFmtId="0" fontId="1" fillId="0" borderId="38" xfId="0" applyFont="1" applyBorder="1" applyAlignment="1" applyProtection="1">
      <alignment horizontal="center" vertical="center"/>
    </xf>
    <xf numFmtId="0" fontId="1" fillId="0" borderId="35" xfId="0" applyFont="1" applyBorder="1" applyAlignment="1" applyProtection="1">
      <alignment horizontal="center" vertical="center"/>
    </xf>
    <xf numFmtId="0" fontId="0" fillId="0" borderId="66"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37" xfId="0" applyBorder="1" applyAlignment="1" applyProtection="1">
      <alignment horizontal="center"/>
    </xf>
    <xf numFmtId="0" fontId="0" fillId="0" borderId="45" xfId="0" applyBorder="1" applyAlignment="1" applyProtection="1">
      <alignment horizontal="center"/>
    </xf>
    <xf numFmtId="0" fontId="1" fillId="0" borderId="35" xfId="0" applyFont="1" applyBorder="1" applyAlignment="1" applyProtection="1">
      <alignment horizontal="center"/>
    </xf>
    <xf numFmtId="0" fontId="0" fillId="0" borderId="7" xfId="0" applyBorder="1" applyAlignment="1" applyProtection="1">
      <alignment horizontal="center" vertical="center"/>
    </xf>
    <xf numFmtId="0" fontId="0" fillId="0" borderId="1" xfId="0" applyBorder="1" applyAlignment="1" applyProtection="1">
      <alignment horizontal="center" vertical="center"/>
      <protection locked="0"/>
    </xf>
    <xf numFmtId="0" fontId="2" fillId="0" borderId="24"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7" xfId="0" applyFont="1" applyBorder="1" applyAlignment="1" applyProtection="1">
      <alignment horizontal="center" vertical="center"/>
    </xf>
    <xf numFmtId="0" fontId="1" fillId="0" borderId="59" xfId="0" applyFont="1" applyBorder="1" applyAlignment="1" applyProtection="1">
      <alignment horizontal="center"/>
    </xf>
    <xf numFmtId="0" fontId="1" fillId="0" borderId="60" xfId="0" applyFont="1" applyBorder="1" applyAlignment="1" applyProtection="1">
      <alignment horizontal="center"/>
    </xf>
    <xf numFmtId="0" fontId="0" fillId="0" borderId="20" xfId="0" applyBorder="1" applyAlignment="1" applyProtection="1">
      <alignment horizontal="center"/>
      <protection locked="0"/>
    </xf>
    <xf numFmtId="0" fontId="0" fillId="0" borderId="21" xfId="0" applyBorder="1" applyAlignment="1" applyProtection="1">
      <alignment horizontal="center"/>
      <protection locked="0"/>
    </xf>
    <xf numFmtId="0" fontId="2" fillId="0" borderId="3" xfId="0" applyFont="1" applyBorder="1" applyAlignment="1" applyProtection="1">
      <alignment horizontal="center" vertical="center"/>
    </xf>
    <xf numFmtId="0" fontId="2" fillId="0" borderId="28"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7"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27" xfId="0" applyFont="1" applyBorder="1" applyAlignment="1" applyProtection="1">
      <alignment horizontal="center" vertical="center"/>
    </xf>
    <xf numFmtId="0" fontId="1" fillId="0" borderId="61" xfId="0" applyFont="1" applyBorder="1" applyAlignment="1" applyProtection="1">
      <alignment horizontal="center"/>
    </xf>
    <xf numFmtId="0" fontId="0" fillId="0" borderId="60" xfId="0" applyBorder="1" applyAlignment="1" applyProtection="1">
      <alignment horizontal="center"/>
    </xf>
    <xf numFmtId="0" fontId="0" fillId="0" borderId="75" xfId="0" applyBorder="1" applyAlignment="1" applyProtection="1">
      <alignment horizontal="center"/>
    </xf>
    <xf numFmtId="0" fontId="1" fillId="0" borderId="59" xfId="0" applyFont="1" applyBorder="1" applyAlignment="1" applyProtection="1">
      <alignment horizontal="center" vertical="center"/>
    </xf>
    <xf numFmtId="0" fontId="1" fillId="0" borderId="60" xfId="0" applyFont="1" applyBorder="1" applyAlignment="1" applyProtection="1">
      <alignment horizontal="center" vertical="center"/>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6"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0" fillId="0" borderId="1" xfId="0" quotePrefix="1"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2" fillId="0" borderId="26"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21" xfId="0" applyFont="1" applyBorder="1" applyAlignment="1" applyProtection="1">
      <alignment horizontal="center" vertical="center"/>
    </xf>
    <xf numFmtId="0" fontId="1" fillId="0" borderId="40" xfId="0" applyFont="1" applyBorder="1" applyAlignment="1" applyProtection="1">
      <alignment horizontal="center"/>
    </xf>
    <xf numFmtId="0" fontId="1" fillId="0" borderId="72" xfId="0" applyFont="1" applyBorder="1" applyAlignment="1" applyProtection="1">
      <alignment horizontal="center"/>
    </xf>
    <xf numFmtId="0" fontId="1" fillId="0" borderId="74" xfId="0" applyFont="1" applyBorder="1" applyAlignment="1" applyProtection="1">
      <alignment horizontal="center"/>
    </xf>
    <xf numFmtId="0" fontId="0" fillId="0" borderId="41" xfId="0" applyBorder="1" applyAlignment="1" applyProtection="1">
      <alignment horizontal="center"/>
      <protection locked="0"/>
    </xf>
    <xf numFmtId="0" fontId="0" fillId="0" borderId="38" xfId="0"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35" xfId="0" applyBorder="1" applyAlignment="1" applyProtection="1">
      <alignment horizontal="center" vertical="center" wrapText="1"/>
    </xf>
    <xf numFmtId="0" fontId="0" fillId="0" borderId="15" xfId="0" applyBorder="1" applyAlignment="1" applyProtection="1">
      <alignment horizontal="center" vertical="center" wrapText="1"/>
    </xf>
    <xf numFmtId="0" fontId="1" fillId="0" borderId="52" xfId="0" applyFont="1" applyBorder="1" applyAlignment="1" applyProtection="1">
      <alignment horizontal="center"/>
    </xf>
    <xf numFmtId="0" fontId="1" fillId="0" borderId="51" xfId="0" applyFont="1" applyBorder="1" applyAlignment="1" applyProtection="1">
      <alignment horizontal="center"/>
    </xf>
    <xf numFmtId="0" fontId="1" fillId="0" borderId="50" xfId="0" applyFont="1" applyBorder="1" applyAlignment="1" applyProtection="1">
      <alignment horizontal="center"/>
    </xf>
    <xf numFmtId="0" fontId="0" fillId="0" borderId="18" xfId="0" applyBorder="1" applyAlignment="1" applyProtection="1">
      <alignment horizontal="center" vertical="center"/>
    </xf>
    <xf numFmtId="0" fontId="2" fillId="0" borderId="38" xfId="0" applyFont="1" applyBorder="1" applyAlignment="1" applyProtection="1">
      <alignment horizontal="center" vertical="center"/>
    </xf>
    <xf numFmtId="0" fontId="2" fillId="0" borderId="19" xfId="0" applyFont="1" applyBorder="1" applyAlignment="1" applyProtection="1">
      <alignment horizontal="center" vertical="center"/>
    </xf>
    <xf numFmtId="0" fontId="1" fillId="0" borderId="64" xfId="0" applyFont="1" applyBorder="1" applyAlignment="1" applyProtection="1">
      <alignment horizontal="center" vertical="center"/>
    </xf>
    <xf numFmtId="0" fontId="1" fillId="0" borderId="36" xfId="0" applyFont="1" applyBorder="1" applyAlignment="1" applyProtection="1">
      <alignment horizontal="center" vertical="center"/>
    </xf>
    <xf numFmtId="0" fontId="1" fillId="0" borderId="25" xfId="0" applyFont="1" applyBorder="1" applyAlignment="1" applyProtection="1">
      <alignment horizontal="center" vertical="center"/>
    </xf>
    <xf numFmtId="0" fontId="1" fillId="0" borderId="38" xfId="0" applyFont="1" applyBorder="1" applyAlignment="1" applyProtection="1">
      <alignment horizontal="center"/>
    </xf>
    <xf numFmtId="0" fontId="1" fillId="0" borderId="6" xfId="0" applyFont="1" applyBorder="1" applyAlignment="1" applyProtection="1">
      <alignment vertical="center"/>
    </xf>
    <xf numFmtId="0" fontId="1" fillId="0" borderId="2" xfId="0" applyFont="1" applyBorder="1" applyAlignment="1" applyProtection="1">
      <alignment vertical="center"/>
    </xf>
    <xf numFmtId="0" fontId="0" fillId="0" borderId="35" xfId="0" applyBorder="1" applyAlignment="1" applyProtection="1">
      <alignment horizontal="center" vertical="center"/>
    </xf>
    <xf numFmtId="0" fontId="1" fillId="0" borderId="4" xfId="0" applyFont="1" applyFill="1" applyBorder="1" applyAlignment="1" applyProtection="1">
      <alignment horizontal="center" vertical="center"/>
    </xf>
    <xf numFmtId="0" fontId="1" fillId="0" borderId="24" xfId="0" applyFont="1" applyBorder="1" applyAlignment="1" applyProtection="1">
      <alignment horizontal="center"/>
    </xf>
    <xf numFmtId="0" fontId="0" fillId="0" borderId="58" xfId="0" applyBorder="1" applyAlignment="1" applyProtection="1">
      <alignment horizontal="center"/>
    </xf>
    <xf numFmtId="0" fontId="0" fillId="0" borderId="36" xfId="0" applyBorder="1" applyAlignment="1" applyProtection="1">
      <alignment horizontal="center" vertical="center"/>
    </xf>
    <xf numFmtId="0" fontId="0" fillId="0" borderId="25" xfId="0" applyBorder="1" applyAlignment="1" applyProtection="1">
      <alignment horizontal="center" vertical="center"/>
    </xf>
    <xf numFmtId="0" fontId="0" fillId="0" borderId="38" xfId="0" applyBorder="1" applyAlignment="1" applyProtection="1">
      <alignment horizontal="center" vertical="center"/>
    </xf>
    <xf numFmtId="0" fontId="0" fillId="0" borderId="67" xfId="0" applyBorder="1" applyAlignment="1" applyProtection="1">
      <alignment horizontal="center" vertical="center"/>
    </xf>
    <xf numFmtId="0" fontId="2" fillId="0" borderId="49" xfId="0" applyFont="1" applyBorder="1" applyAlignment="1" applyProtection="1">
      <alignment horizontal="center" vertical="center"/>
    </xf>
    <xf numFmtId="0" fontId="2" fillId="0" borderId="48"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35" xfId="0" applyFont="1" applyBorder="1" applyAlignment="1" applyProtection="1">
      <alignment horizontal="center" vertical="center"/>
    </xf>
    <xf numFmtId="0" fontId="1" fillId="0" borderId="16" xfId="0" applyFont="1" applyBorder="1" applyAlignment="1" applyProtection="1">
      <alignment vertical="center"/>
    </xf>
    <xf numFmtId="0" fontId="1" fillId="0" borderId="1" xfId="0" applyFont="1" applyBorder="1" applyAlignment="1" applyProtection="1">
      <alignment vertical="center"/>
    </xf>
    <xf numFmtId="0" fontId="1" fillId="0" borderId="25" xfId="0" applyFont="1" applyBorder="1" applyAlignment="1" applyProtection="1">
      <alignment horizontal="center"/>
    </xf>
    <xf numFmtId="0" fontId="0" fillId="0" borderId="5" xfId="0" applyBorder="1" applyAlignment="1" applyProtection="1">
      <alignment horizontal="center"/>
    </xf>
    <xf numFmtId="0" fontId="1" fillId="0" borderId="33" xfId="0" applyFont="1" applyBorder="1" applyAlignment="1" applyProtection="1">
      <alignment horizontal="center" vertical="center"/>
    </xf>
    <xf numFmtId="0" fontId="1" fillId="0" borderId="32" xfId="0" applyFont="1" applyBorder="1" applyAlignment="1" applyProtection="1">
      <alignment horizontal="center" vertical="center"/>
    </xf>
    <xf numFmtId="0" fontId="1" fillId="0" borderId="3" xfId="0" applyFont="1" applyFill="1" applyBorder="1" applyAlignment="1" applyProtection="1">
      <alignment horizontal="center" vertical="center"/>
    </xf>
    <xf numFmtId="0" fontId="1" fillId="0" borderId="6"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0" fillId="0" borderId="36" xfId="0" applyBorder="1" applyAlignment="1" applyProtection="1">
      <alignment horizontal="center"/>
      <protection locked="0"/>
    </xf>
    <xf numFmtId="0" fontId="1" fillId="0" borderId="3" xfId="0" applyFont="1" applyBorder="1" applyAlignment="1" applyProtection="1">
      <alignment vertical="center"/>
    </xf>
    <xf numFmtId="0" fontId="1" fillId="0" borderId="4" xfId="0" applyFont="1" applyBorder="1" applyAlignment="1" applyProtection="1">
      <alignment vertical="center"/>
    </xf>
    <xf numFmtId="0" fontId="0" fillId="0" borderId="35"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2" xfId="0" applyBorder="1" applyProtection="1"/>
    <xf numFmtId="0" fontId="0" fillId="0" borderId="22" xfId="0" applyBorder="1" applyProtection="1"/>
    <xf numFmtId="0" fontId="1" fillId="0" borderId="64" xfId="0" applyFont="1" applyBorder="1" applyAlignment="1" applyProtection="1">
      <alignment horizontal="center"/>
    </xf>
    <xf numFmtId="0" fontId="0" fillId="0" borderId="36" xfId="0" applyBorder="1" applyProtection="1"/>
    <xf numFmtId="0" fontId="0" fillId="0" borderId="25" xfId="0" applyBorder="1" applyProtection="1"/>
    <xf numFmtId="0" fontId="0" fillId="0" borderId="61" xfId="0" applyBorder="1" applyAlignment="1" applyProtection="1">
      <alignment horizontal="center"/>
    </xf>
    <xf numFmtId="0" fontId="1" fillId="0" borderId="76" xfId="0" applyFont="1" applyBorder="1" applyAlignment="1" applyProtection="1">
      <alignment horizontal="center"/>
    </xf>
    <xf numFmtId="0" fontId="0" fillId="0" borderId="38" xfId="0" applyBorder="1" applyAlignment="1" applyProtection="1">
      <alignment horizontal="center" vertical="center"/>
      <protection locked="0"/>
    </xf>
    <xf numFmtId="0" fontId="0" fillId="0" borderId="20" xfId="0" applyBorder="1" applyAlignment="1" applyProtection="1">
      <alignment horizontal="center" vertical="center"/>
    </xf>
    <xf numFmtId="0" fontId="0" fillId="0" borderId="21" xfId="0" applyBorder="1" applyAlignment="1" applyProtection="1">
      <alignment horizontal="center" vertical="center"/>
    </xf>
    <xf numFmtId="0" fontId="0" fillId="0" borderId="27" xfId="0" applyBorder="1" applyAlignment="1" applyProtection="1">
      <alignment horizontal="center" vertical="center"/>
    </xf>
    <xf numFmtId="0" fontId="1" fillId="0" borderId="36" xfId="0" applyFont="1" applyBorder="1" applyAlignment="1" applyProtection="1">
      <alignment horizontal="center"/>
    </xf>
    <xf numFmtId="0" fontId="0" fillId="0" borderId="24" xfId="0" applyBorder="1" applyAlignment="1" applyProtection="1">
      <alignment horizontal="center" vertical="center"/>
    </xf>
    <xf numFmtId="0" fontId="0" fillId="0" borderId="57" xfId="0" applyBorder="1" applyAlignment="1" applyProtection="1">
      <alignment horizontal="center"/>
    </xf>
    <xf numFmtId="0" fontId="0" fillId="0" borderId="38" xfId="0" applyBorder="1" applyAlignment="1" applyProtection="1">
      <alignment horizontal="center"/>
    </xf>
    <xf numFmtId="0" fontId="0" fillId="0" borderId="7" xfId="0" applyBorder="1" applyAlignment="1" applyProtection="1">
      <alignment horizontal="center" vertical="center" wrapText="1"/>
    </xf>
    <xf numFmtId="0" fontId="1" fillId="0" borderId="8" xfId="0" applyFont="1" applyBorder="1" applyAlignment="1" applyProtection="1">
      <alignment horizontal="center"/>
    </xf>
    <xf numFmtId="0" fontId="1" fillId="0" borderId="9" xfId="0" applyFont="1" applyBorder="1" applyAlignment="1" applyProtection="1">
      <alignment horizontal="center"/>
    </xf>
    <xf numFmtId="0" fontId="1" fillId="0" borderId="10" xfId="0" applyFont="1" applyBorder="1" applyAlignment="1" applyProtection="1">
      <alignment horizontal="center"/>
    </xf>
    <xf numFmtId="0" fontId="1" fillId="0" borderId="26" xfId="0" applyFont="1" applyBorder="1" applyAlignment="1" applyProtection="1">
      <alignment horizontal="center" vertical="center" wrapText="1"/>
    </xf>
    <xf numFmtId="0" fontId="1" fillId="0" borderId="20" xfId="0" applyFont="1" applyBorder="1" applyAlignment="1" applyProtection="1">
      <alignment horizontal="center" vertical="center" wrapText="1"/>
    </xf>
    <xf numFmtId="0" fontId="1" fillId="0" borderId="23"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73" xfId="0" applyFont="1" applyBorder="1" applyAlignment="1" applyProtection="1">
      <alignment horizontal="center" vertical="center"/>
    </xf>
    <xf numFmtId="0" fontId="1" fillId="0" borderId="72" xfId="0" applyFont="1" applyBorder="1" applyAlignment="1" applyProtection="1">
      <alignment horizontal="center" vertical="center"/>
    </xf>
    <xf numFmtId="0" fontId="1" fillId="0" borderId="74"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0" fillId="0" borderId="4" xfId="0" applyFont="1" applyBorder="1" applyAlignment="1" applyProtection="1">
      <alignment horizontal="center" vertical="center" wrapText="1"/>
    </xf>
    <xf numFmtId="0" fontId="0" fillId="0" borderId="5" xfId="0" applyFont="1" applyBorder="1" applyAlignment="1" applyProtection="1">
      <alignment horizontal="center" vertical="center" wrapText="1"/>
    </xf>
    <xf numFmtId="0" fontId="0" fillId="0" borderId="15" xfId="0" applyFont="1" applyBorder="1" applyAlignment="1" applyProtection="1">
      <alignment horizontal="center" vertical="center" wrapText="1"/>
    </xf>
    <xf numFmtId="0" fontId="0" fillId="0" borderId="27" xfId="0" applyFont="1" applyBorder="1" applyAlignment="1" applyProtection="1">
      <alignment horizontal="center" vertical="center" wrapText="1"/>
    </xf>
    <xf numFmtId="0" fontId="1" fillId="0" borderId="49" xfId="0" applyFont="1" applyBorder="1" applyAlignment="1" applyProtection="1">
      <alignment horizontal="center" vertical="center" wrapText="1"/>
    </xf>
    <xf numFmtId="0" fontId="1" fillId="0" borderId="28" xfId="0" applyFont="1" applyBorder="1" applyAlignment="1" applyProtection="1">
      <alignment horizontal="center" vertical="center" wrapText="1"/>
    </xf>
    <xf numFmtId="0" fontId="0" fillId="0" borderId="48" xfId="0" applyBorder="1" applyAlignment="1" applyProtection="1">
      <alignment horizontal="center" vertical="center"/>
    </xf>
    <xf numFmtId="0" fontId="1" fillId="0" borderId="48"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0" fontId="0" fillId="0" borderId="5"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7" fillId="0" borderId="24"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21" xfId="0" applyFont="1" applyBorder="1" applyAlignment="1" applyProtection="1">
      <alignment horizontal="center" vertical="center"/>
    </xf>
    <xf numFmtId="0" fontId="1" fillId="0" borderId="73" xfId="0" applyFont="1" applyFill="1" applyBorder="1" applyAlignment="1" applyProtection="1">
      <alignment horizontal="center"/>
    </xf>
    <xf numFmtId="0" fontId="1" fillId="0" borderId="72" xfId="0" applyFont="1" applyFill="1" applyBorder="1" applyAlignment="1" applyProtection="1">
      <alignment horizontal="center"/>
    </xf>
    <xf numFmtId="0" fontId="1" fillId="0" borderId="56" xfId="0" applyFont="1" applyFill="1" applyBorder="1" applyAlignment="1" applyProtection="1">
      <alignment horizontal="center"/>
    </xf>
    <xf numFmtId="0" fontId="0" fillId="0" borderId="62" xfId="0" applyBorder="1" applyAlignment="1" applyProtection="1">
      <alignment horizontal="center"/>
      <protection locked="0"/>
    </xf>
    <xf numFmtId="0" fontId="0" fillId="0" borderId="67" xfId="0" applyBorder="1" applyAlignment="1" applyProtection="1">
      <alignment horizontal="center"/>
      <protection locked="0"/>
    </xf>
    <xf numFmtId="0" fontId="0" fillId="0" borderId="65" xfId="0" applyBorder="1" applyAlignment="1" applyProtection="1">
      <alignment horizontal="center"/>
      <protection locked="0"/>
    </xf>
    <xf numFmtId="0" fontId="1" fillId="0" borderId="8" xfId="0" applyFont="1" applyBorder="1" applyAlignment="1" applyProtection="1">
      <alignment horizontal="center" vertical="center"/>
    </xf>
    <xf numFmtId="0" fontId="1" fillId="0" borderId="13" xfId="0" applyFont="1" applyBorder="1" applyAlignment="1" applyProtection="1">
      <alignment horizontal="center" vertical="center"/>
    </xf>
    <xf numFmtId="0" fontId="0" fillId="0" borderId="1" xfId="0" applyFont="1" applyFill="1" applyBorder="1" applyAlignment="1" applyProtection="1">
      <alignment horizontal="center"/>
    </xf>
    <xf numFmtId="0" fontId="0" fillId="0" borderId="1" xfId="0" applyFill="1" applyBorder="1" applyAlignment="1" applyProtection="1">
      <alignment horizontal="center" vertical="center"/>
    </xf>
    <xf numFmtId="0" fontId="0" fillId="0" borderId="17" xfId="0" applyFill="1" applyBorder="1" applyAlignment="1" applyProtection="1">
      <alignment horizontal="center" vertical="center"/>
    </xf>
    <xf numFmtId="0" fontId="0" fillId="0" borderId="16" xfId="0" applyFont="1" applyFill="1" applyBorder="1" applyAlignment="1" applyProtection="1">
      <alignment horizontal="center"/>
    </xf>
    <xf numFmtId="0" fontId="0" fillId="0" borderId="3" xfId="0" applyFont="1" applyFill="1" applyBorder="1" applyAlignment="1" applyProtection="1">
      <alignment horizontal="center"/>
    </xf>
    <xf numFmtId="0" fontId="0" fillId="0" borderId="4" xfId="0" applyFont="1" applyFill="1" applyBorder="1" applyAlignment="1" applyProtection="1">
      <alignment horizontal="center"/>
    </xf>
    <xf numFmtId="0" fontId="0" fillId="0" borderId="4" xfId="0"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4" xfId="0" applyFill="1" applyBorder="1" applyAlignment="1" applyProtection="1">
      <alignment horizontal="center"/>
    </xf>
    <xf numFmtId="0" fontId="0" fillId="0" borderId="1" xfId="0" applyFill="1" applyBorder="1" applyAlignment="1" applyProtection="1">
      <alignment horizontal="center"/>
    </xf>
    <xf numFmtId="0" fontId="0" fillId="0" borderId="6" xfId="0" applyFont="1" applyFill="1" applyBorder="1" applyAlignment="1" applyProtection="1">
      <alignment horizontal="center"/>
    </xf>
    <xf numFmtId="0" fontId="0" fillId="0" borderId="2" xfId="0" applyFont="1" applyFill="1" applyBorder="1" applyAlignment="1" applyProtection="1">
      <alignment horizontal="center"/>
    </xf>
    <xf numFmtId="0" fontId="0" fillId="0" borderId="2" xfId="0"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2" xfId="0" applyFill="1" applyBorder="1" applyAlignment="1" applyProtection="1">
      <alignment horizontal="center"/>
    </xf>
    <xf numFmtId="0" fontId="1" fillId="0" borderId="81" xfId="0" applyFont="1" applyBorder="1" applyAlignment="1" applyProtection="1">
      <alignment horizontal="center"/>
    </xf>
    <xf numFmtId="0" fontId="1" fillId="0" borderId="66" xfId="0" applyFont="1" applyBorder="1" applyAlignment="1" applyProtection="1">
      <alignment horizontal="center"/>
    </xf>
    <xf numFmtId="0" fontId="0" fillId="0" borderId="66" xfId="0" applyBorder="1" applyAlignment="1" applyProtection="1">
      <alignment horizontal="center"/>
    </xf>
    <xf numFmtId="0" fontId="0" fillId="0" borderId="82" xfId="0" applyBorder="1" applyAlignment="1" applyProtection="1">
      <alignment horizontal="center"/>
    </xf>
    <xf numFmtId="0" fontId="1" fillId="0" borderId="8"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40" xfId="0" applyFont="1" applyBorder="1" applyAlignment="1" applyProtection="1">
      <alignment horizontal="center" vertical="center" wrapText="1"/>
    </xf>
    <xf numFmtId="0" fontId="1" fillId="0" borderId="13"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45" xfId="0" applyFont="1" applyBorder="1" applyAlignment="1" applyProtection="1">
      <alignment horizontal="center" vertical="center" wrapText="1"/>
    </xf>
    <xf numFmtId="0" fontId="0" fillId="0" borderId="56" xfId="0"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 fillId="0" borderId="11" xfId="0" applyFont="1" applyBorder="1" applyAlignment="1" applyProtection="1">
      <alignment horizontal="center" vertical="center"/>
    </xf>
    <xf numFmtId="0" fontId="1" fillId="0" borderId="30" xfId="0" applyFont="1" applyBorder="1" applyAlignment="1" applyProtection="1">
      <alignment horizontal="center" vertical="center"/>
    </xf>
    <xf numFmtId="0" fontId="1" fillId="0" borderId="80" xfId="0" applyFont="1" applyBorder="1" applyAlignment="1" applyProtection="1">
      <alignment horizontal="center" vertical="center"/>
    </xf>
    <xf numFmtId="0" fontId="1" fillId="0" borderId="29" xfId="0" applyFont="1" applyBorder="1" applyAlignment="1" applyProtection="1">
      <alignment horizontal="center" vertical="center"/>
    </xf>
    <xf numFmtId="0" fontId="1" fillId="0" borderId="26" xfId="0" applyFont="1" applyBorder="1" applyAlignment="1" applyProtection="1">
      <alignment horizontal="center" vertical="center"/>
    </xf>
    <xf numFmtId="0" fontId="0" fillId="0" borderId="56"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0" fontId="1" fillId="0" borderId="38" xfId="0" applyFont="1" applyBorder="1" applyAlignment="1" applyProtection="1">
      <alignment horizontal="center" vertical="center" wrapText="1"/>
    </xf>
    <xf numFmtId="0" fontId="0" fillId="13" borderId="56" xfId="0" applyFill="1" applyBorder="1" applyAlignment="1" applyProtection="1">
      <alignment horizontal="center" vertical="center" wrapText="1"/>
    </xf>
    <xf numFmtId="0" fontId="0" fillId="13" borderId="10" xfId="0" applyFill="1" applyBorder="1" applyAlignment="1" applyProtection="1">
      <alignment horizontal="center" vertical="center" wrapText="1"/>
    </xf>
    <xf numFmtId="0" fontId="0" fillId="13" borderId="48" xfId="0" applyFill="1" applyBorder="1" applyAlignment="1" applyProtection="1">
      <alignment horizontal="center" vertical="center" wrapText="1"/>
    </xf>
    <xf numFmtId="0" fontId="0" fillId="13" borderId="31" xfId="0" applyFill="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2" fillId="0" borderId="23" xfId="0" applyFont="1" applyBorder="1" applyAlignment="1" applyProtection="1">
      <alignment horizontal="center" vertical="center"/>
    </xf>
    <xf numFmtId="0" fontId="1" fillId="0" borderId="74" xfId="0" applyFont="1" applyFill="1" applyBorder="1" applyAlignment="1" applyProtection="1">
      <alignment horizontal="center"/>
    </xf>
    <xf numFmtId="0" fontId="16" fillId="13" borderId="8" xfId="0" applyFont="1" applyFill="1" applyBorder="1" applyAlignment="1" applyProtection="1">
      <alignment horizontal="left" vertical="top"/>
      <protection locked="0"/>
    </xf>
    <xf numFmtId="0" fontId="16" fillId="13" borderId="9" xfId="0" applyFont="1" applyFill="1" applyBorder="1" applyAlignment="1" applyProtection="1">
      <alignment horizontal="left" vertical="top"/>
      <protection locked="0"/>
    </xf>
    <xf numFmtId="0" fontId="16" fillId="13" borderId="10" xfId="0" applyFont="1" applyFill="1" applyBorder="1" applyAlignment="1" applyProtection="1">
      <alignment horizontal="left" vertical="top"/>
      <protection locked="0"/>
    </xf>
    <xf numFmtId="0" fontId="16" fillId="13" borderId="11" xfId="0" applyFont="1" applyFill="1" applyBorder="1" applyAlignment="1" applyProtection="1">
      <alignment horizontal="left" vertical="top"/>
      <protection locked="0"/>
    </xf>
    <xf numFmtId="0" fontId="16" fillId="13" borderId="0" xfId="0" applyFont="1" applyFill="1" applyBorder="1" applyAlignment="1" applyProtection="1">
      <alignment horizontal="left" vertical="top"/>
      <protection locked="0"/>
    </xf>
    <xf numFmtId="0" fontId="16" fillId="13" borderId="12" xfId="0" applyFont="1" applyFill="1" applyBorder="1" applyAlignment="1" applyProtection="1">
      <alignment horizontal="left" vertical="top"/>
      <protection locked="0"/>
    </xf>
    <xf numFmtId="0" fontId="16" fillId="13" borderId="13" xfId="0" applyFont="1" applyFill="1" applyBorder="1" applyAlignment="1" applyProtection="1">
      <alignment horizontal="left" vertical="top"/>
      <protection locked="0"/>
    </xf>
    <xf numFmtId="0" fontId="16" fillId="13" borderId="14" xfId="0" applyFont="1" applyFill="1" applyBorder="1" applyAlignment="1" applyProtection="1">
      <alignment horizontal="left" vertical="top"/>
      <protection locked="0"/>
    </xf>
    <xf numFmtId="0" fontId="16" fillId="13" borderId="39" xfId="0" applyFont="1" applyFill="1" applyBorder="1" applyAlignment="1" applyProtection="1">
      <alignment horizontal="left" vertical="top"/>
      <protection locked="0"/>
    </xf>
    <xf numFmtId="0" fontId="2" fillId="13" borderId="8" xfId="0" applyFont="1" applyFill="1" applyBorder="1" applyAlignment="1" applyProtection="1">
      <alignment horizontal="center" vertical="center"/>
    </xf>
    <xf numFmtId="0" fontId="2" fillId="13" borderId="9" xfId="0" applyFont="1" applyFill="1" applyBorder="1" applyAlignment="1" applyProtection="1">
      <alignment horizontal="center" vertical="center"/>
    </xf>
    <xf numFmtId="0" fontId="2" fillId="13" borderId="10" xfId="0" applyFont="1" applyFill="1" applyBorder="1" applyAlignment="1" applyProtection="1">
      <alignment horizontal="center" vertical="center"/>
    </xf>
    <xf numFmtId="0" fontId="2" fillId="13" borderId="13" xfId="0" applyFont="1" applyFill="1" applyBorder="1" applyAlignment="1" applyProtection="1">
      <alignment horizontal="center" vertical="center"/>
    </xf>
    <xf numFmtId="0" fontId="2" fillId="13" borderId="14" xfId="0" applyFont="1" applyFill="1" applyBorder="1" applyAlignment="1" applyProtection="1">
      <alignment horizontal="center" vertical="center"/>
    </xf>
    <xf numFmtId="0" fontId="2" fillId="13" borderId="39" xfId="0" applyFont="1" applyFill="1" applyBorder="1" applyAlignment="1" applyProtection="1">
      <alignment horizontal="center" vertical="center"/>
    </xf>
    <xf numFmtId="0" fontId="0" fillId="13" borderId="57" xfId="0" applyFill="1" applyBorder="1" applyAlignment="1" applyProtection="1">
      <alignment horizontal="center"/>
    </xf>
    <xf numFmtId="0" fontId="0" fillId="13" borderId="58" xfId="0" applyFill="1" applyBorder="1" applyAlignment="1" applyProtection="1">
      <alignment horizontal="center"/>
    </xf>
    <xf numFmtId="0" fontId="0" fillId="13" borderId="71" xfId="0" applyFill="1" applyBorder="1" applyAlignment="1" applyProtection="1">
      <alignment horizontal="center"/>
    </xf>
    <xf numFmtId="0" fontId="0" fillId="0" borderId="16"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62" xfId="0" applyFont="1" applyBorder="1" applyAlignment="1" applyProtection="1">
      <alignment horizontal="center" vertical="center" wrapText="1"/>
      <protection hidden="1"/>
    </xf>
    <xf numFmtId="0" fontId="0" fillId="0" borderId="67" xfId="0" applyFont="1" applyBorder="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0" fontId="0" fillId="0" borderId="19"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0" borderId="48"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45" xfId="0" applyBorder="1" applyAlignment="1" applyProtection="1">
      <alignment horizontal="center" vertical="center" wrapText="1"/>
      <protection hidden="1"/>
    </xf>
    <xf numFmtId="0" fontId="0" fillId="0" borderId="37" xfId="0" applyFont="1" applyBorder="1" applyAlignment="1" applyProtection="1">
      <alignment horizontal="center" vertical="center" wrapText="1"/>
      <protection hidden="1"/>
    </xf>
    <xf numFmtId="0" fontId="0" fillId="0" borderId="34" xfId="0" applyFont="1" applyBorder="1" applyAlignment="1" applyProtection="1">
      <alignment horizontal="center" vertical="center" wrapText="1"/>
      <protection hidden="1"/>
    </xf>
    <xf numFmtId="0" fontId="0" fillId="0" borderId="23"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0" fontId="0" fillId="0" borderId="29" xfId="0" applyFont="1" applyBorder="1" applyAlignment="1" applyProtection="1">
      <alignment horizontal="center" vertical="center" wrapText="1"/>
      <protection hidden="1"/>
    </xf>
    <xf numFmtId="0" fontId="0" fillId="0" borderId="26"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0" fontId="0" fillId="0" borderId="38" xfId="0" applyBorder="1" applyAlignment="1" applyProtection="1">
      <alignment horizontal="center" vertical="center" wrapText="1"/>
      <protection hidden="1"/>
    </xf>
    <xf numFmtId="0" fontId="0" fillId="0" borderId="24" xfId="0" applyBorder="1" applyAlignment="1" applyProtection="1">
      <alignment horizontal="center" vertical="center" wrapText="1"/>
      <protection hidden="1"/>
    </xf>
    <xf numFmtId="0" fontId="1" fillId="0" borderId="37" xfId="0" applyFont="1" applyBorder="1" applyAlignment="1" applyProtection="1">
      <alignment horizontal="center" vertical="center" wrapText="1"/>
      <protection hidden="1"/>
    </xf>
    <xf numFmtId="0" fontId="1" fillId="0" borderId="34" xfId="0" applyFont="1" applyBorder="1" applyAlignment="1" applyProtection="1">
      <alignment horizontal="center" vertical="center" wrapText="1"/>
      <protection hidden="1"/>
    </xf>
    <xf numFmtId="0" fontId="1" fillId="0" borderId="23" xfId="0" applyFont="1" applyBorder="1" applyAlignment="1" applyProtection="1">
      <alignment horizontal="center" vertical="center" wrapText="1"/>
      <protection hidden="1"/>
    </xf>
    <xf numFmtId="0" fontId="1" fillId="0" borderId="11" xfId="0" applyFont="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1" fillId="0" borderId="6"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56"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2" fillId="0" borderId="50"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2" fillId="0" borderId="12" xfId="0" applyFont="1" applyBorder="1" applyAlignment="1" applyProtection="1">
      <alignment horizontal="center" vertical="center" wrapText="1"/>
      <protection hidden="1"/>
    </xf>
    <xf numFmtId="0" fontId="2" fillId="0" borderId="44" xfId="0" applyFont="1" applyBorder="1" applyAlignment="1" applyProtection="1">
      <alignment horizontal="center" vertical="center" wrapText="1"/>
      <protection hidden="1"/>
    </xf>
    <xf numFmtId="0" fontId="2" fillId="0" borderId="14" xfId="0" applyFont="1" applyBorder="1" applyAlignment="1" applyProtection="1">
      <alignment horizontal="center" vertical="center" wrapText="1"/>
      <protection hidden="1"/>
    </xf>
    <xf numFmtId="0" fontId="2" fillId="0" borderId="39" xfId="0" applyFont="1" applyBorder="1" applyAlignment="1" applyProtection="1">
      <alignment horizontal="center" vertical="center" wrapText="1"/>
      <protection hidden="1"/>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 xfId="0" quotePrefix="1" applyBorder="1" applyAlignment="1" applyProtection="1">
      <alignment horizontal="center" vertical="center" wrapText="1"/>
    </xf>
    <xf numFmtId="0" fontId="2" fillId="0" borderId="16"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17" xfId="0" applyFont="1" applyBorder="1" applyAlignment="1" applyProtection="1">
      <alignment horizontal="center" vertical="center"/>
    </xf>
    <xf numFmtId="0" fontId="0" fillId="0" borderId="17" xfId="0" applyBorder="1" applyAlignment="1" applyProtection="1">
      <alignment horizontal="center" vertical="center" wrapText="1"/>
      <protection locked="0"/>
    </xf>
    <xf numFmtId="0" fontId="0" fillId="0" borderId="37"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 xfId="0" applyFill="1" applyBorder="1" applyAlignment="1" applyProtection="1">
      <alignment horizontal="center" vertical="center" wrapText="1"/>
    </xf>
    <xf numFmtId="0" fontId="0" fillId="0" borderId="4" xfId="0" applyFill="1" applyBorder="1" applyAlignment="1" applyProtection="1">
      <alignment horizontal="center" vertical="center" wrapText="1"/>
    </xf>
    <xf numFmtId="0" fontId="0" fillId="0" borderId="16" xfId="0"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0" fontId="0" fillId="0" borderId="6" xfId="0" applyFill="1" applyBorder="1" applyAlignment="1" applyProtection="1">
      <alignment horizontal="center" vertical="center" wrapText="1"/>
    </xf>
    <xf numFmtId="0" fontId="0" fillId="0" borderId="2" xfId="0" applyFill="1" applyBorder="1" applyAlignment="1" applyProtection="1">
      <alignment horizontal="center" vertical="center" wrapText="1"/>
    </xf>
    <xf numFmtId="0" fontId="0" fillId="0" borderId="5" xfId="0" applyFill="1" applyBorder="1" applyAlignment="1" applyProtection="1">
      <alignment horizontal="center" vertical="center"/>
      <protection locked="0"/>
    </xf>
    <xf numFmtId="0" fontId="0" fillId="0" borderId="17"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17" xfId="0" applyFont="1" applyFill="1" applyBorder="1" applyAlignment="1" applyProtection="1">
      <alignment horizontal="center" vertical="center"/>
      <protection locked="0"/>
    </xf>
    <xf numFmtId="0" fontId="0" fillId="0" borderId="22" xfId="0" applyBorder="1" applyAlignment="1" applyProtection="1">
      <alignment horizontal="center" vertical="center"/>
    </xf>
    <xf numFmtId="0" fontId="8" fillId="0" borderId="11"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14"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0" fillId="10" borderId="16" xfId="0" applyFill="1" applyBorder="1" applyAlignment="1" applyProtection="1">
      <alignment horizontal="center" vertical="center"/>
    </xf>
    <xf numFmtId="0" fontId="0" fillId="10" borderId="1" xfId="0" applyFill="1" applyBorder="1" applyAlignment="1" applyProtection="1">
      <alignment horizontal="center" vertical="center"/>
    </xf>
    <xf numFmtId="0" fontId="0" fillId="10" borderId="17" xfId="0" applyFill="1" applyBorder="1" applyAlignment="1" applyProtection="1">
      <alignment horizontal="center" vertical="center"/>
    </xf>
    <xf numFmtId="0" fontId="0" fillId="10" borderId="16" xfId="0" applyFill="1" applyBorder="1" applyAlignment="1" applyProtection="1">
      <alignment horizontal="center"/>
    </xf>
    <xf numFmtId="0" fontId="0" fillId="10" borderId="18"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18" xfId="0" applyFill="1" applyBorder="1" applyAlignment="1" applyProtection="1">
      <alignment horizontal="center" vertical="center"/>
    </xf>
    <xf numFmtId="0" fontId="0" fillId="0" borderId="16" xfId="0" applyFill="1" applyBorder="1" applyAlignment="1" applyProtection="1">
      <alignment horizontal="center"/>
    </xf>
    <xf numFmtId="0" fontId="0" fillId="0" borderId="18" xfId="0" applyFill="1" applyBorder="1" applyAlignment="1" applyProtection="1">
      <alignment horizontal="center"/>
    </xf>
    <xf numFmtId="0" fontId="0" fillId="10" borderId="22" xfId="0" applyFill="1" applyBorder="1" applyAlignment="1" applyProtection="1">
      <alignment horizontal="center"/>
    </xf>
    <xf numFmtId="0" fontId="0" fillId="10" borderId="22" xfId="0" applyFill="1" applyBorder="1" applyAlignment="1" applyProtection="1">
      <alignment horizontal="center" vertical="center"/>
    </xf>
    <xf numFmtId="0" fontId="0" fillId="0" borderId="6" xfId="0" applyFill="1" applyBorder="1" applyAlignment="1" applyProtection="1">
      <alignment horizontal="center"/>
    </xf>
    <xf numFmtId="0" fontId="0" fillId="0" borderId="35" xfId="0" applyFill="1" applyBorder="1" applyAlignment="1" applyProtection="1">
      <alignment horizontal="center"/>
    </xf>
    <xf numFmtId="0" fontId="2" fillId="0" borderId="11" xfId="0" applyFont="1" applyBorder="1" applyAlignment="1" applyProtection="1">
      <alignment horizontal="center" vertical="center"/>
    </xf>
    <xf numFmtId="0" fontId="2" fillId="0" borderId="0" xfId="0" applyFont="1" applyBorder="1" applyAlignment="1" applyProtection="1">
      <alignment horizontal="center" vertical="center"/>
    </xf>
    <xf numFmtId="0" fontId="1" fillId="0" borderId="10"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2"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1" fillId="10" borderId="8" xfId="0" applyFont="1" applyFill="1" applyBorder="1" applyAlignment="1" applyProtection="1">
      <alignment horizontal="center" vertical="center" wrapText="1"/>
    </xf>
    <xf numFmtId="0" fontId="1" fillId="10" borderId="9" xfId="0" applyFont="1" applyFill="1" applyBorder="1" applyAlignment="1" applyProtection="1">
      <alignment horizontal="center" vertical="center" wrapText="1"/>
    </xf>
    <xf numFmtId="0" fontId="1" fillId="10" borderId="10" xfId="0" applyFont="1" applyFill="1" applyBorder="1" applyAlignment="1" applyProtection="1">
      <alignment horizontal="center" vertical="center" wrapText="1"/>
    </xf>
    <xf numFmtId="0" fontId="1" fillId="10" borderId="11" xfId="0" applyFont="1" applyFill="1" applyBorder="1" applyAlignment="1" applyProtection="1">
      <alignment horizontal="center" vertical="center" wrapText="1"/>
    </xf>
    <xf numFmtId="0" fontId="1" fillId="10" borderId="0" xfId="0" applyFont="1" applyFill="1" applyBorder="1" applyAlignment="1" applyProtection="1">
      <alignment horizontal="center" vertical="center" wrapText="1"/>
    </xf>
    <xf numFmtId="0" fontId="1" fillId="10" borderId="12" xfId="0" applyFont="1" applyFill="1" applyBorder="1" applyAlignment="1" applyProtection="1">
      <alignment horizontal="center" vertical="center" wrapText="1"/>
    </xf>
    <xf numFmtId="0" fontId="1" fillId="10" borderId="13" xfId="0" applyFont="1" applyFill="1" applyBorder="1" applyAlignment="1" applyProtection="1">
      <alignment horizontal="center" vertical="center" wrapText="1"/>
    </xf>
    <xf numFmtId="0" fontId="1" fillId="10" borderId="14" xfId="0" applyFont="1" applyFill="1" applyBorder="1" applyAlignment="1" applyProtection="1">
      <alignment horizontal="center" vertical="center" wrapText="1"/>
    </xf>
    <xf numFmtId="0" fontId="1" fillId="10" borderId="39" xfId="0" applyFont="1" applyFill="1" applyBorder="1" applyAlignment="1" applyProtection="1">
      <alignment horizontal="center" vertical="center" wrapText="1"/>
    </xf>
    <xf numFmtId="0" fontId="1" fillId="10" borderId="3" xfId="0" applyFont="1" applyFill="1" applyBorder="1" applyAlignment="1" applyProtection="1">
      <alignment horizontal="center" vertical="center"/>
    </xf>
    <xf numFmtId="0" fontId="1" fillId="10" borderId="4" xfId="0" applyFont="1" applyFill="1" applyBorder="1" applyAlignment="1" applyProtection="1">
      <alignment horizontal="center" vertical="center"/>
    </xf>
    <xf numFmtId="0" fontId="1" fillId="10" borderId="5" xfId="0" applyFont="1" applyFill="1" applyBorder="1" applyAlignment="1" applyProtection="1">
      <alignment horizontal="center" vertical="center"/>
    </xf>
    <xf numFmtId="0" fontId="0" fillId="10" borderId="25" xfId="0" applyFill="1" applyBorder="1" applyAlignment="1" applyProtection="1">
      <alignment horizontal="center"/>
    </xf>
    <xf numFmtId="0" fontId="0" fillId="10" borderId="2" xfId="0" applyFill="1" applyBorder="1" applyAlignment="1" applyProtection="1">
      <alignment horizontal="center"/>
    </xf>
    <xf numFmtId="0" fontId="0" fillId="10" borderId="7" xfId="0" applyFill="1" applyBorder="1" applyAlignment="1" applyProtection="1">
      <alignment horizontal="center"/>
    </xf>
    <xf numFmtId="0" fontId="0" fillId="10" borderId="6" xfId="0" applyFill="1" applyBorder="1" applyAlignment="1" applyProtection="1">
      <alignment horizontal="center"/>
    </xf>
    <xf numFmtId="0" fontId="1" fillId="10" borderId="3" xfId="0" applyFont="1" applyFill="1" applyBorder="1" applyAlignment="1" applyProtection="1">
      <alignment horizontal="center" vertical="center" wrapText="1"/>
    </xf>
    <xf numFmtId="0" fontId="1" fillId="10" borderId="4" xfId="0" applyFont="1" applyFill="1" applyBorder="1" applyAlignment="1" applyProtection="1">
      <alignment horizontal="center" vertical="center" wrapText="1"/>
    </xf>
    <xf numFmtId="0" fontId="1" fillId="10" borderId="5" xfId="0" applyFont="1" applyFill="1" applyBorder="1" applyAlignment="1" applyProtection="1">
      <alignment horizontal="center" vertical="center" wrapText="1"/>
    </xf>
    <xf numFmtId="0" fontId="1" fillId="10" borderId="16" xfId="0"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wrapText="1"/>
    </xf>
    <xf numFmtId="0" fontId="1" fillId="10" borderId="17" xfId="0" applyFont="1" applyFill="1" applyBorder="1" applyAlignment="1" applyProtection="1">
      <alignment horizontal="center" vertical="center" wrapText="1"/>
    </xf>
    <xf numFmtId="0" fontId="1" fillId="10" borderId="6" xfId="0" applyFont="1" applyFill="1" applyBorder="1" applyAlignment="1" applyProtection="1">
      <alignment horizontal="center" vertical="center" wrapText="1"/>
    </xf>
    <xf numFmtId="0" fontId="1" fillId="10" borderId="2" xfId="0" applyFont="1" applyFill="1" applyBorder="1" applyAlignment="1" applyProtection="1">
      <alignment horizontal="center" vertical="center" wrapText="1"/>
    </xf>
    <xf numFmtId="0" fontId="1" fillId="10" borderId="7" xfId="0" applyFont="1" applyFill="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17"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0" fillId="0" borderId="16" xfId="0" applyBorder="1" applyAlignment="1" applyProtection="1">
      <alignment horizontal="center" vertical="center"/>
    </xf>
    <xf numFmtId="0" fontId="0" fillId="13" borderId="16" xfId="0" applyFill="1" applyBorder="1" applyAlignment="1" applyProtection="1">
      <alignment horizontal="center" vertical="center"/>
    </xf>
    <xf numFmtId="0" fontId="0" fillId="13" borderId="1" xfId="0" applyFill="1" applyBorder="1" applyAlignment="1" applyProtection="1">
      <alignment horizontal="center" vertical="center"/>
    </xf>
    <xf numFmtId="0" fontId="0" fillId="13" borderId="17" xfId="0" applyFill="1" applyBorder="1" applyAlignment="1" applyProtection="1">
      <alignment horizontal="center" vertical="center"/>
    </xf>
    <xf numFmtId="0" fontId="1" fillId="0" borderId="49" xfId="0" applyFont="1" applyBorder="1" applyAlignment="1" applyProtection="1">
      <alignment horizontal="center" vertical="center"/>
    </xf>
    <xf numFmtId="0" fontId="1" fillId="0" borderId="20" xfId="0" applyFont="1" applyBorder="1" applyAlignment="1" applyProtection="1">
      <alignment horizontal="center" vertical="center"/>
    </xf>
    <xf numFmtId="0" fontId="1" fillId="0" borderId="21" xfId="0" applyFont="1" applyBorder="1" applyAlignment="1" applyProtection="1">
      <alignment horizontal="center" vertical="center"/>
    </xf>
    <xf numFmtId="0" fontId="1" fillId="0" borderId="7" xfId="0" applyFont="1" applyBorder="1" applyAlignment="1" applyProtection="1">
      <alignment horizontal="center" vertical="center"/>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3" xfId="0" applyBorder="1" applyAlignment="1" applyProtection="1">
      <alignment horizontal="center" vertical="center" wrapText="1"/>
    </xf>
    <xf numFmtId="0" fontId="0" fillId="0" borderId="6" xfId="0" applyBorder="1" applyAlignment="1" applyProtection="1">
      <alignment horizontal="center" vertical="center"/>
    </xf>
    <xf numFmtId="0" fontId="0" fillId="0" borderId="16" xfId="0"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6" xfId="0" applyFont="1" applyBorder="1" applyAlignment="1" applyProtection="1">
      <alignment horizontal="center" vertical="center"/>
    </xf>
    <xf numFmtId="0" fontId="0" fillId="0" borderId="2" xfId="0" applyFont="1" applyBorder="1" applyAlignment="1" applyProtection="1">
      <alignment horizontal="center" vertical="center"/>
    </xf>
    <xf numFmtId="0" fontId="0" fillId="0" borderId="17" xfId="0" applyFont="1" applyBorder="1" applyAlignment="1" applyProtection="1">
      <alignment horizontal="center" vertical="center"/>
    </xf>
    <xf numFmtId="0" fontId="0" fillId="0" borderId="7" xfId="0" applyFont="1" applyBorder="1" applyAlignment="1" applyProtection="1">
      <alignment horizontal="center" vertical="center"/>
    </xf>
    <xf numFmtId="0" fontId="0" fillId="0" borderId="28" xfId="0" applyFont="1" applyBorder="1" applyAlignment="1" applyProtection="1">
      <alignment horizontal="center" vertical="center"/>
    </xf>
    <xf numFmtId="0" fontId="0" fillId="0" borderId="15" xfId="0" applyFont="1" applyBorder="1" applyAlignment="1" applyProtection="1">
      <alignment horizontal="center" vertical="center"/>
    </xf>
    <xf numFmtId="0" fontId="1" fillId="0" borderId="23" xfId="0" applyFont="1" applyBorder="1" applyAlignment="1" applyProtection="1">
      <alignment horizontal="center" vertical="center"/>
    </xf>
    <xf numFmtId="0" fontId="0" fillId="0" borderId="23" xfId="0" applyBorder="1" applyAlignment="1" applyProtection="1">
      <alignment horizontal="center" vertical="center"/>
    </xf>
    <xf numFmtId="0" fontId="0" fillId="0" borderId="3" xfId="0" applyBorder="1" applyAlignment="1" applyProtection="1">
      <alignment horizontal="center" vertical="center"/>
    </xf>
    <xf numFmtId="0" fontId="0" fillId="0" borderId="14" xfId="0" applyBorder="1" applyAlignment="1" applyProtection="1">
      <alignment horizontal="center" vertical="center"/>
    </xf>
    <xf numFmtId="0" fontId="0" fillId="0" borderId="39" xfId="0" applyBorder="1" applyAlignment="1" applyProtection="1">
      <alignment horizontal="center" vertical="center"/>
    </xf>
    <xf numFmtId="0" fontId="0" fillId="0" borderId="60" xfId="0" applyBorder="1" applyAlignment="1" applyProtection="1">
      <alignment horizontal="center" vertical="center"/>
    </xf>
    <xf numFmtId="0" fontId="0" fillId="0" borderId="61" xfId="0" applyBorder="1" applyAlignment="1" applyProtection="1">
      <alignment horizontal="center" vertical="center"/>
    </xf>
    <xf numFmtId="0" fontId="0" fillId="0" borderId="28"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6" xfId="0" applyBorder="1" applyAlignment="1" applyProtection="1">
      <alignment horizontal="center" vertical="center"/>
      <protection locked="0"/>
    </xf>
    <xf numFmtId="0" fontId="0" fillId="0" borderId="29" xfId="0" applyBorder="1" applyAlignment="1" applyProtection="1">
      <alignment horizontal="center" vertical="center"/>
    </xf>
    <xf numFmtId="0" fontId="1" fillId="0" borderId="1" xfId="0" applyFont="1" applyBorder="1" applyAlignment="1" applyProtection="1">
      <alignment horizontal="center" vertical="center" textRotation="180"/>
    </xf>
    <xf numFmtId="0" fontId="1" fillId="0" borderId="2" xfId="0" applyFont="1" applyBorder="1" applyAlignment="1" applyProtection="1">
      <alignment horizontal="center" vertical="center" textRotation="180"/>
    </xf>
    <xf numFmtId="0" fontId="1" fillId="0" borderId="6"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1" fillId="0" borderId="5" xfId="0" applyFont="1" applyFill="1" applyBorder="1" applyAlignment="1" applyProtection="1">
      <alignment horizontal="center" vertical="center"/>
    </xf>
    <xf numFmtId="0" fontId="1" fillId="0" borderId="7" xfId="0" applyFont="1" applyFill="1" applyBorder="1" applyAlignment="1" applyProtection="1">
      <alignment horizontal="center" vertical="center"/>
    </xf>
    <xf numFmtId="0" fontId="0" fillId="0" borderId="56"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1" fillId="0" borderId="72" xfId="0" applyFont="1" applyFill="1" applyBorder="1" applyAlignment="1" applyProtection="1">
      <alignment horizontal="center" vertical="center" wrapText="1"/>
    </xf>
    <xf numFmtId="0" fontId="1" fillId="0" borderId="66" xfId="0" applyFont="1" applyFill="1" applyBorder="1" applyAlignment="1" applyProtection="1">
      <alignment horizontal="center" vertical="center"/>
    </xf>
    <xf numFmtId="0" fontId="1" fillId="0" borderId="66"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0" fillId="0" borderId="38" xfId="0" applyBorder="1" applyAlignment="1" applyProtection="1">
      <alignment horizontal="center"/>
      <protection locked="0"/>
    </xf>
    <xf numFmtId="0" fontId="1" fillId="0" borderId="57" xfId="0" applyFont="1" applyFill="1" applyBorder="1" applyAlignment="1" applyProtection="1">
      <alignment horizontal="center"/>
    </xf>
    <xf numFmtId="0" fontId="1" fillId="0" borderId="76" xfId="0" applyFont="1" applyFill="1" applyBorder="1" applyAlignment="1" applyProtection="1">
      <alignment horizontal="center"/>
    </xf>
    <xf numFmtId="0" fontId="0" fillId="0" borderId="46" xfId="0" applyBorder="1" applyAlignment="1" applyProtection="1">
      <alignment horizontal="center"/>
      <protection locked="0"/>
    </xf>
    <xf numFmtId="0" fontId="1" fillId="0" borderId="73" xfId="0" applyFont="1" applyBorder="1" applyAlignment="1" applyProtection="1">
      <alignment horizontal="center"/>
    </xf>
    <xf numFmtId="0" fontId="1" fillId="0" borderId="56" xfId="0" applyFont="1" applyBorder="1" applyAlignment="1" applyProtection="1">
      <alignment horizontal="center"/>
    </xf>
    <xf numFmtId="0" fontId="0" fillId="0" borderId="4" xfId="0" quotePrefix="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2" fillId="0" borderId="8" xfId="0" applyFont="1" applyBorder="1" applyAlignment="1" applyProtection="1">
      <alignment horizontal="center" vertical="center" wrapText="1"/>
    </xf>
    <xf numFmtId="0" fontId="2" fillId="0" borderId="12" xfId="0" applyFont="1" applyBorder="1" applyAlignment="1" applyProtection="1">
      <alignment horizontal="center" vertical="center"/>
    </xf>
    <xf numFmtId="0" fontId="0" fillId="0" borderId="4"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0" fontId="0" fillId="0" borderId="15" xfId="0" applyFont="1" applyBorder="1" applyAlignment="1" applyProtection="1">
      <alignment horizontal="center" vertical="center"/>
      <protection locked="0"/>
    </xf>
    <xf numFmtId="0" fontId="0" fillId="0" borderId="19" xfId="0" applyFont="1" applyBorder="1" applyAlignment="1" applyProtection="1">
      <alignment horizontal="center" vertical="center"/>
      <protection locked="0"/>
    </xf>
    <xf numFmtId="0" fontId="0" fillId="0" borderId="27" xfId="0" applyFont="1" applyBorder="1" applyAlignment="1" applyProtection="1">
      <alignment horizontal="center" vertical="center"/>
      <protection locked="0"/>
    </xf>
    <xf numFmtId="0" fontId="1" fillId="0" borderId="2" xfId="0" applyFont="1" applyBorder="1" applyAlignment="1" applyProtection="1">
      <alignment horizontal="center"/>
      <protection locked="0"/>
    </xf>
    <xf numFmtId="0" fontId="1" fillId="0" borderId="15" xfId="0" applyFont="1" applyFill="1" applyBorder="1" applyAlignment="1" applyProtection="1">
      <alignment horizontal="center" vertical="center"/>
    </xf>
    <xf numFmtId="0" fontId="1" fillId="0" borderId="15" xfId="0" applyFont="1" applyFill="1" applyBorder="1" applyAlignment="1" applyProtection="1">
      <alignment horizontal="center" vertical="center" wrapText="1"/>
    </xf>
    <xf numFmtId="0" fontId="1" fillId="0" borderId="56" xfId="0" applyFont="1" applyFill="1" applyBorder="1" applyAlignment="1" applyProtection="1">
      <alignment horizontal="center" vertical="center"/>
    </xf>
    <xf numFmtId="0" fontId="1" fillId="0" borderId="44" xfId="0" applyFont="1" applyFill="1" applyBorder="1" applyAlignment="1" applyProtection="1">
      <alignment horizontal="center" vertical="center"/>
    </xf>
    <xf numFmtId="0" fontId="1" fillId="0" borderId="73" xfId="0" applyFont="1" applyFill="1" applyBorder="1" applyAlignment="1" applyProtection="1">
      <alignment horizontal="center" vertical="center"/>
    </xf>
    <xf numFmtId="0" fontId="1" fillId="0" borderId="81" xfId="0" applyFont="1" applyFill="1" applyBorder="1" applyAlignment="1" applyProtection="1">
      <alignment horizontal="center" vertical="center"/>
    </xf>
    <xf numFmtId="0" fontId="15" fillId="0" borderId="11" xfId="0" applyFont="1" applyBorder="1" applyAlignment="1" applyProtection="1">
      <alignment horizontal="center" vertical="center" wrapText="1"/>
      <protection hidden="1"/>
    </xf>
    <xf numFmtId="0" fontId="13" fillId="0" borderId="59" xfId="0" applyFont="1" applyBorder="1" applyAlignment="1">
      <alignment horizontal="center" vertical="top" wrapText="1"/>
    </xf>
    <xf numFmtId="0" fontId="13" fillId="0" borderId="60" xfId="0" applyFont="1" applyBorder="1" applyAlignment="1">
      <alignment horizontal="center" vertical="top" wrapText="1"/>
    </xf>
    <xf numFmtId="0" fontId="13" fillId="0" borderId="61" xfId="0" applyFont="1" applyBorder="1" applyAlignment="1">
      <alignment horizontal="center" vertical="top" wrapText="1"/>
    </xf>
    <xf numFmtId="0" fontId="13" fillId="0" borderId="8" xfId="0" applyFont="1" applyBorder="1" applyAlignment="1">
      <alignment horizontal="center" vertical="top" wrapText="1"/>
    </xf>
    <xf numFmtId="0" fontId="13" fillId="0" borderId="9" xfId="0" applyFont="1" applyBorder="1" applyAlignment="1">
      <alignment horizontal="center" vertical="top" wrapText="1"/>
    </xf>
    <xf numFmtId="0" fontId="13" fillId="0" borderId="10" xfId="0" applyFont="1" applyBorder="1" applyAlignment="1">
      <alignment horizontal="center" vertical="top" wrapText="1"/>
    </xf>
    <xf numFmtId="0" fontId="0" fillId="0" borderId="57" xfId="0" quotePrefix="1" applyBorder="1" applyAlignment="1">
      <alignment horizontal="left" vertical="top" wrapText="1"/>
    </xf>
    <xf numFmtId="0" fontId="0" fillId="0" borderId="58" xfId="0" quotePrefix="1" applyBorder="1" applyAlignment="1">
      <alignment horizontal="left" vertical="top" wrapText="1"/>
    </xf>
    <xf numFmtId="0" fontId="0" fillId="0" borderId="71" xfId="0" quotePrefix="1" applyBorder="1" applyAlignment="1">
      <alignment horizontal="left" vertical="top" wrapText="1"/>
    </xf>
    <xf numFmtId="0" fontId="1" fillId="0" borderId="3" xfId="0" applyFont="1" applyFill="1" applyBorder="1" applyAlignment="1" applyProtection="1">
      <alignment horizontal="center" vertical="center"/>
      <protection hidden="1"/>
    </xf>
    <xf numFmtId="0" fontId="1" fillId="0" borderId="5"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cellXfs>
  <cellStyles count="5">
    <cellStyle name="Good" xfId="1" builtinId="26"/>
    <cellStyle name="Input" xfId="3" builtinId="20"/>
    <cellStyle name="Neutral" xfId="2" builtinId="28"/>
    <cellStyle name="Normal" xfId="0" builtinId="0"/>
    <cellStyle name="Note" xfId="4" builtinId="10"/>
  </cellStyles>
  <dxfs count="819">
    <dxf>
      <fill>
        <patternFill>
          <bgColor rgb="FFFF0000"/>
        </patternFill>
      </fill>
    </dxf>
    <dxf>
      <font>
        <color theme="0"/>
      </font>
    </dxf>
    <dxf>
      <font>
        <color theme="0"/>
      </font>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0" tint="-0.24994659260841701"/>
        </patternFill>
      </fill>
    </dxf>
    <dxf>
      <fill>
        <patternFill>
          <bgColor rgb="FFFF0000"/>
        </patternFill>
      </fill>
    </dxf>
    <dxf>
      <fill>
        <patternFill>
          <bgColor rgb="FF00B0F0"/>
        </patternFill>
      </fill>
    </dxf>
    <dxf>
      <fill>
        <patternFill>
          <bgColor rgb="FF00B0F0"/>
        </patternFill>
      </fill>
    </dxf>
    <dxf>
      <fill>
        <patternFill>
          <bgColor theme="0"/>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rgb="FF00B0F0"/>
        </patternFill>
      </fill>
    </dxf>
    <dxf>
      <fill>
        <patternFill>
          <bgColor theme="0" tint="-0.24994659260841701"/>
        </patternFill>
      </fill>
    </dxf>
    <dxf>
      <fill>
        <patternFill>
          <bgColor rgb="FF00B0F0"/>
        </patternFill>
      </fill>
    </dxf>
    <dxf>
      <fill>
        <patternFill>
          <bgColor rgb="FF00B050"/>
        </patternFill>
      </fill>
    </dxf>
    <dxf>
      <fill>
        <patternFill>
          <bgColor rgb="FFFF0000"/>
        </patternFill>
      </fill>
    </dxf>
    <dxf>
      <fill>
        <patternFill>
          <bgColor theme="0" tint="-0.24994659260841701"/>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theme="0"/>
        </patternFill>
      </fill>
    </dxf>
    <dxf>
      <fill>
        <patternFill>
          <bgColor rgb="FFFF0000"/>
        </patternFill>
      </fill>
    </dxf>
    <dxf>
      <fill>
        <patternFill>
          <bgColor rgb="FF00B0F0"/>
        </patternFill>
      </fill>
    </dxf>
    <dxf>
      <fill>
        <patternFill>
          <bgColor theme="0"/>
        </patternFill>
      </fill>
    </dxf>
    <dxf>
      <fill>
        <patternFill>
          <bgColor rgb="FFFF0000"/>
        </patternFill>
      </fill>
    </dxf>
    <dxf>
      <fill>
        <patternFill>
          <bgColor rgb="FF00B0F0"/>
        </patternFill>
      </fill>
    </dxf>
    <dxf>
      <fill>
        <patternFill>
          <bgColor theme="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00B050"/>
        </patternFill>
      </fill>
    </dxf>
    <dxf>
      <fill>
        <patternFill>
          <bgColor rgb="FF00B0F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theme="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theme="0" tint="-0.24994659260841701"/>
        </patternFill>
      </fill>
    </dxf>
    <dxf>
      <fill>
        <patternFill>
          <bgColor rgb="FF00B0F0"/>
        </patternFill>
      </fill>
    </dxf>
    <dxf>
      <fill>
        <patternFill>
          <bgColor rgb="FF00B050"/>
        </patternFill>
      </fill>
    </dxf>
    <dxf>
      <fill>
        <patternFill>
          <bgColor rgb="FFFF0000"/>
        </patternFill>
      </fill>
    </dxf>
    <dxf>
      <fill>
        <patternFill>
          <bgColor theme="0" tint="-0.24994659260841701"/>
        </patternFill>
      </fill>
    </dxf>
    <dxf>
      <fill>
        <patternFill>
          <bgColor rgb="FF00B0F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F0"/>
        </patternFill>
      </fill>
    </dxf>
    <dxf>
      <fill>
        <patternFill>
          <bgColor theme="0" tint="-0.24994659260841701"/>
        </patternFill>
      </fill>
    </dxf>
    <dxf>
      <fill>
        <patternFill>
          <bgColor rgb="FF00B0F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theme="0"/>
        </patternFill>
      </fill>
    </dxf>
    <dxf>
      <fill>
        <patternFill>
          <bgColor rgb="FF00B0F0"/>
        </patternFill>
      </fill>
    </dxf>
    <dxf>
      <fill>
        <patternFill>
          <bgColor theme="0"/>
        </patternFill>
      </fill>
    </dxf>
    <dxf>
      <fill>
        <patternFill>
          <bgColor rgb="FF00B0F0"/>
        </patternFill>
      </fill>
    </dxf>
    <dxf>
      <fill>
        <patternFill>
          <bgColor theme="0"/>
        </patternFill>
      </fill>
    </dxf>
    <dxf>
      <fill>
        <patternFill>
          <bgColor rgb="FF00B0F0"/>
        </patternFill>
      </fill>
    </dxf>
    <dxf>
      <fill>
        <patternFill>
          <bgColor rgb="FF00B050"/>
        </patternFill>
      </fill>
    </dxf>
    <dxf>
      <fill>
        <patternFill>
          <bgColor rgb="FF00B050"/>
        </patternFill>
      </fill>
    </dxf>
    <dxf>
      <fill>
        <patternFill>
          <bgColor rgb="FF00B0F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theme="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patternType="solid">
          <bgColor theme="0"/>
        </patternFill>
      </fill>
    </dxf>
    <dxf>
      <font>
        <color theme="0"/>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0"/>
      </font>
      <fill>
        <patternFill patternType="solid">
          <bgColor theme="0"/>
        </patternFill>
      </fill>
      <border>
        <left/>
        <right/>
        <top/>
        <bottom/>
        <vertical/>
        <horizontal/>
      </border>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ont>
        <color theme="0"/>
      </font>
      <fill>
        <patternFill>
          <bgColor theme="0"/>
        </patternFill>
      </fill>
    </dxf>
    <dxf>
      <font>
        <color theme="0"/>
      </font>
      <fill>
        <patternFill patternType="none">
          <bgColor auto="1"/>
        </patternFill>
      </fill>
    </dxf>
    <dxf>
      <font>
        <color theme="0"/>
      </font>
      <border>
        <left/>
        <right/>
        <top/>
        <bottom/>
        <vertical/>
        <horizontal/>
      </border>
    </dxf>
    <dxf>
      <font>
        <color theme="0"/>
      </font>
      <border>
        <right/>
        <top/>
        <bottom/>
        <vertical/>
        <horizontal/>
      </border>
    </dxf>
    <dxf>
      <font>
        <color theme="0"/>
      </font>
      <border>
        <left/>
        <right/>
        <top/>
        <bottom/>
        <vertical/>
        <horizontal/>
      </border>
    </dxf>
    <dxf>
      <font>
        <color theme="0"/>
      </font>
      <border>
        <right/>
        <top/>
        <bottom/>
        <vertical/>
        <horizontal/>
      </border>
    </dxf>
    <dxf>
      <font>
        <color theme="0"/>
      </font>
    </dxf>
    <dxf>
      <font>
        <color theme="0"/>
      </font>
    </dxf>
    <dxf>
      <font>
        <color theme="0"/>
      </font>
    </dxf>
    <dxf>
      <font>
        <color theme="0"/>
      </font>
    </dxf>
    <dxf>
      <font>
        <color theme="0"/>
      </font>
    </dxf>
    <dxf>
      <font>
        <color theme="0"/>
      </font>
      <border>
        <left/>
        <right/>
        <top/>
        <bottom/>
        <vertical/>
        <horizontal/>
      </border>
    </dxf>
    <dxf>
      <font>
        <color theme="0"/>
      </font>
      <border>
        <left/>
        <right style="thin">
          <color auto="1"/>
        </right>
        <top/>
        <bottom/>
        <vertical/>
        <horizontal/>
      </border>
    </dxf>
    <dxf>
      <font>
        <color theme="0"/>
      </font>
      <border>
        <left/>
        <right style="thin">
          <color auto="1"/>
        </right>
        <top style="thin">
          <color auto="1"/>
        </top>
        <bottom/>
        <vertical/>
        <horizontal/>
      </border>
    </dxf>
    <dxf>
      <font>
        <color theme="0"/>
      </font>
      <border>
        <left/>
        <right/>
        <top/>
        <bottom/>
        <vertical/>
        <horizontal/>
      </border>
    </dxf>
    <dxf>
      <font>
        <color theme="0"/>
      </font>
      <border>
        <right/>
        <top/>
        <bottom/>
        <vertical/>
        <horizontal/>
      </border>
    </dxf>
    <dxf>
      <font>
        <color theme="0"/>
      </font>
      <border>
        <left/>
        <right/>
        <top/>
        <bottom/>
        <vertical/>
        <horizontal/>
      </border>
    </dxf>
    <dxf>
      <font>
        <color theme="0"/>
      </font>
      <border>
        <right/>
        <top/>
        <bottom/>
        <vertical/>
        <horizontal/>
      </border>
    </dxf>
    <dxf>
      <font>
        <color theme="0"/>
      </font>
    </dxf>
    <dxf>
      <font>
        <color theme="0"/>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F0"/>
        </patternFill>
      </fill>
    </dxf>
    <dxf>
      <fill>
        <patternFill>
          <bgColor theme="0"/>
        </patternFill>
      </fill>
    </dxf>
    <dxf>
      <fill>
        <patternFill>
          <bgColor theme="0" tint="-0.1499679555650502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5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theme="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50"/>
        </patternFill>
      </fill>
    </dxf>
    <dxf>
      <fill>
        <patternFill>
          <bgColor rgb="FF00B050"/>
        </patternFill>
      </fill>
    </dxf>
    <dxf>
      <fill>
        <patternFill>
          <bgColor rgb="FF00B0F0"/>
        </patternFill>
      </fill>
    </dxf>
    <dxf>
      <fill>
        <patternFill>
          <bgColor theme="0"/>
        </patternFill>
      </fill>
    </dxf>
    <dxf>
      <fill>
        <patternFill>
          <bgColor rgb="FFFF0000"/>
        </patternFill>
      </fill>
    </dxf>
    <dxf>
      <fill>
        <patternFill>
          <bgColor theme="0"/>
        </patternFill>
      </fill>
    </dxf>
    <dxf>
      <fill>
        <patternFill>
          <bgColor rgb="FF00B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50"/>
        </pattern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5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C76"/>
  <sheetViews>
    <sheetView tabSelected="1" zoomScaleNormal="100" workbookViewId="0"/>
  </sheetViews>
  <sheetFormatPr defaultRowHeight="15" x14ac:dyDescent="0.25"/>
  <cols>
    <col min="1" max="2" width="9.140625" style="267"/>
    <col min="3" max="3" width="21.140625" style="267" bestFit="1" customWidth="1"/>
    <col min="4" max="16384" width="9.140625" style="267"/>
  </cols>
  <sheetData>
    <row r="1" spans="1:3" x14ac:dyDescent="0.25">
      <c r="A1" s="267" t="s">
        <v>2052</v>
      </c>
    </row>
    <row r="3" spans="1:3" x14ac:dyDescent="0.25">
      <c r="A3" s="268" t="s">
        <v>2075</v>
      </c>
    </row>
    <row r="4" spans="1:3" x14ac:dyDescent="0.25">
      <c r="A4" s="268"/>
      <c r="B4" s="267" t="s">
        <v>2080</v>
      </c>
    </row>
    <row r="5" spans="1:3" x14ac:dyDescent="0.25">
      <c r="A5" s="268"/>
      <c r="C5" s="267" t="s">
        <v>2081</v>
      </c>
    </row>
    <row r="6" spans="1:3" x14ac:dyDescent="0.25">
      <c r="B6" s="267" t="s">
        <v>2076</v>
      </c>
    </row>
    <row r="7" spans="1:3" x14ac:dyDescent="0.25">
      <c r="B7" s="267" t="s">
        <v>2077</v>
      </c>
    </row>
    <row r="8" spans="1:3" x14ac:dyDescent="0.25">
      <c r="B8" s="267" t="s">
        <v>2078</v>
      </c>
    </row>
    <row r="9" spans="1:3" x14ac:dyDescent="0.25">
      <c r="B9" s="267" t="s">
        <v>2365</v>
      </c>
    </row>
    <row r="10" spans="1:3" x14ac:dyDescent="0.25">
      <c r="B10" s="267" t="s">
        <v>3546</v>
      </c>
    </row>
    <row r="12" spans="1:3" x14ac:dyDescent="0.25">
      <c r="A12" s="268" t="s">
        <v>2074</v>
      </c>
    </row>
    <row r="13" spans="1:3" x14ac:dyDescent="0.25">
      <c r="A13" s="268"/>
      <c r="B13" s="267" t="s">
        <v>2367</v>
      </c>
    </row>
    <row r="14" spans="1:3" x14ac:dyDescent="0.25">
      <c r="A14" s="268"/>
      <c r="B14" s="267" t="s">
        <v>2368</v>
      </c>
    </row>
    <row r="15" spans="1:3" x14ac:dyDescent="0.25">
      <c r="A15" s="268"/>
      <c r="B15" s="267" t="s">
        <v>2381</v>
      </c>
    </row>
    <row r="16" spans="1:3" x14ac:dyDescent="0.25">
      <c r="A16" s="268"/>
      <c r="B16" s="267" t="s">
        <v>2373</v>
      </c>
      <c r="C16" s="269"/>
    </row>
    <row r="17" spans="1:3" x14ac:dyDescent="0.25">
      <c r="A17" s="268"/>
      <c r="B17" s="267" t="s">
        <v>2369</v>
      </c>
      <c r="C17" s="269"/>
    </row>
    <row r="18" spans="1:3" x14ac:dyDescent="0.25">
      <c r="A18" s="268"/>
      <c r="B18" s="267" t="s">
        <v>2370</v>
      </c>
      <c r="C18" s="269"/>
    </row>
    <row r="19" spans="1:3" x14ac:dyDescent="0.25">
      <c r="A19" s="268"/>
      <c r="B19" s="267" t="s">
        <v>2650</v>
      </c>
      <c r="C19" s="269"/>
    </row>
    <row r="20" spans="1:3" x14ac:dyDescent="0.25">
      <c r="A20" s="268"/>
      <c r="B20" s="267" t="s">
        <v>2371</v>
      </c>
    </row>
    <row r="21" spans="1:3" x14ac:dyDescent="0.25">
      <c r="B21" s="267" t="s">
        <v>2372</v>
      </c>
    </row>
    <row r="23" spans="1:3" x14ac:dyDescent="0.25">
      <c r="A23" s="268" t="s">
        <v>3088</v>
      </c>
    </row>
    <row r="24" spans="1:3" x14ac:dyDescent="0.25">
      <c r="B24" s="267" t="s">
        <v>3089</v>
      </c>
    </row>
    <row r="26" spans="1:3" x14ac:dyDescent="0.25">
      <c r="A26" s="268" t="s">
        <v>2063</v>
      </c>
    </row>
    <row r="27" spans="1:3" x14ac:dyDescent="0.25">
      <c r="A27" s="268"/>
      <c r="B27" s="267" t="s">
        <v>2064</v>
      </c>
    </row>
    <row r="28" spans="1:3" x14ac:dyDescent="0.25">
      <c r="A28" s="268"/>
      <c r="B28" s="267" t="s">
        <v>2374</v>
      </c>
    </row>
    <row r="29" spans="1:3" x14ac:dyDescent="0.25">
      <c r="A29" s="268"/>
      <c r="B29" s="267" t="s">
        <v>3590</v>
      </c>
    </row>
    <row r="30" spans="1:3" x14ac:dyDescent="0.25">
      <c r="A30" s="268"/>
      <c r="B30" s="267" t="s">
        <v>3591</v>
      </c>
    </row>
    <row r="31" spans="1:3" x14ac:dyDescent="0.25">
      <c r="A31" s="268"/>
      <c r="B31" s="267" t="s">
        <v>3592</v>
      </c>
    </row>
    <row r="32" spans="1:3" x14ac:dyDescent="0.25">
      <c r="A32" s="268"/>
      <c r="B32" s="267" t="s">
        <v>2276</v>
      </c>
    </row>
    <row r="33" spans="1:2" x14ac:dyDescent="0.25">
      <c r="A33" s="268"/>
      <c r="B33" s="267" t="s">
        <v>2277</v>
      </c>
    </row>
    <row r="34" spans="1:2" x14ac:dyDescent="0.25">
      <c r="A34" s="268"/>
      <c r="B34" s="267" t="s">
        <v>2278</v>
      </c>
    </row>
    <row r="35" spans="1:2" x14ac:dyDescent="0.25">
      <c r="A35" s="268"/>
      <c r="B35" s="267" t="s">
        <v>2383</v>
      </c>
    </row>
    <row r="36" spans="1:2" x14ac:dyDescent="0.25">
      <c r="A36" s="268"/>
      <c r="B36" s="267" t="s">
        <v>3593</v>
      </c>
    </row>
    <row r="37" spans="1:2" x14ac:dyDescent="0.25">
      <c r="A37" s="268"/>
      <c r="B37" s="267" t="s">
        <v>3597</v>
      </c>
    </row>
    <row r="38" spans="1:2" x14ac:dyDescent="0.25">
      <c r="A38" s="268"/>
    </row>
    <row r="39" spans="1:2" x14ac:dyDescent="0.25">
      <c r="A39" s="268" t="s">
        <v>2286</v>
      </c>
    </row>
    <row r="40" spans="1:2" x14ac:dyDescent="0.25">
      <c r="A40" s="268"/>
      <c r="B40" s="267" t="s">
        <v>2287</v>
      </c>
    </row>
    <row r="41" spans="1:2" x14ac:dyDescent="0.25">
      <c r="A41" s="268"/>
      <c r="B41" s="267" t="s">
        <v>2065</v>
      </c>
    </row>
    <row r="42" spans="1:2" x14ac:dyDescent="0.25">
      <c r="A42" s="268"/>
      <c r="B42" s="267" t="s">
        <v>3594</v>
      </c>
    </row>
    <row r="43" spans="1:2" x14ac:dyDescent="0.25">
      <c r="A43" s="268"/>
      <c r="B43" s="267" t="s">
        <v>2066</v>
      </c>
    </row>
    <row r="44" spans="1:2" x14ac:dyDescent="0.25">
      <c r="A44" s="268"/>
      <c r="B44" s="267" t="s">
        <v>3595</v>
      </c>
    </row>
    <row r="45" spans="1:2" x14ac:dyDescent="0.25">
      <c r="A45" s="268"/>
      <c r="B45" s="267" t="s">
        <v>3596</v>
      </c>
    </row>
    <row r="46" spans="1:2" x14ac:dyDescent="0.25">
      <c r="A46" s="268"/>
    </row>
    <row r="47" spans="1:2" x14ac:dyDescent="0.25">
      <c r="A47" s="268" t="s">
        <v>2067</v>
      </c>
    </row>
    <row r="48" spans="1:2" x14ac:dyDescent="0.25">
      <c r="A48" s="268"/>
      <c r="B48" s="267" t="s">
        <v>2338</v>
      </c>
    </row>
    <row r="49" spans="1:2" x14ac:dyDescent="0.25">
      <c r="A49" s="268"/>
      <c r="B49" s="267" t="s">
        <v>2339</v>
      </c>
    </row>
    <row r="50" spans="1:2" x14ac:dyDescent="0.25">
      <c r="A50" s="268"/>
    </row>
    <row r="51" spans="1:2" x14ac:dyDescent="0.25">
      <c r="A51" s="268" t="s">
        <v>2061</v>
      </c>
    </row>
    <row r="52" spans="1:2" x14ac:dyDescent="0.25">
      <c r="B52" s="268" t="s">
        <v>2375</v>
      </c>
    </row>
    <row r="53" spans="1:2" x14ac:dyDescent="0.25">
      <c r="B53" s="268" t="s">
        <v>2062</v>
      </c>
    </row>
    <row r="54" spans="1:2" x14ac:dyDescent="0.25">
      <c r="B54" s="268" t="s">
        <v>2073</v>
      </c>
    </row>
    <row r="56" spans="1:2" x14ac:dyDescent="0.25">
      <c r="A56" s="268" t="s">
        <v>2079</v>
      </c>
    </row>
    <row r="57" spans="1:2" x14ac:dyDescent="0.25">
      <c r="B57" s="267" t="s">
        <v>2080</v>
      </c>
    </row>
    <row r="58" spans="1:2" x14ac:dyDescent="0.25">
      <c r="B58" s="267" t="s">
        <v>2082</v>
      </c>
    </row>
    <row r="59" spans="1:2" x14ac:dyDescent="0.25">
      <c r="B59" s="267" t="s">
        <v>2376</v>
      </c>
    </row>
    <row r="60" spans="1:2" x14ac:dyDescent="0.25">
      <c r="B60" s="267" t="s">
        <v>3547</v>
      </c>
    </row>
    <row r="61" spans="1:2" x14ac:dyDescent="0.25">
      <c r="B61" s="267" t="s">
        <v>2088</v>
      </c>
    </row>
    <row r="63" spans="1:2" x14ac:dyDescent="0.25">
      <c r="A63" s="268" t="s">
        <v>2060</v>
      </c>
    </row>
    <row r="64" spans="1:2" x14ac:dyDescent="0.25">
      <c r="B64" s="267" t="s">
        <v>2089</v>
      </c>
    </row>
    <row r="65" spans="1:2" x14ac:dyDescent="0.25">
      <c r="B65" s="267" t="s">
        <v>2288</v>
      </c>
    </row>
    <row r="67" spans="1:2" x14ac:dyDescent="0.25">
      <c r="A67" s="268"/>
    </row>
    <row r="70" spans="1:2" x14ac:dyDescent="0.25">
      <c r="A70" s="268"/>
    </row>
    <row r="73" spans="1:2" x14ac:dyDescent="0.25">
      <c r="A73" s="268"/>
    </row>
    <row r="76" spans="1:2" x14ac:dyDescent="0.25">
      <c r="A76" s="268"/>
    </row>
  </sheetData>
  <sheetProtection password="E9C2" sheet="1" objects="1" scenarios="1" selectLockedCells="1"/>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9" tint="-0.249977111117893"/>
  </sheetPr>
  <dimension ref="A1:J192"/>
  <sheetViews>
    <sheetView topLeftCell="C1" workbookViewId="0">
      <pane ySplit="1" topLeftCell="A2" activePane="bottomLeft" state="frozen"/>
      <selection activeCell="B1" sqref="B1"/>
      <selection pane="bottomLeft" activeCell="E4" sqref="E4"/>
    </sheetView>
  </sheetViews>
  <sheetFormatPr defaultRowHeight="15" x14ac:dyDescent="0.25"/>
  <cols>
    <col min="1" max="2" width="4" style="313" hidden="1" customWidth="1"/>
    <col min="3" max="3" width="34.85546875" style="318" bestFit="1" customWidth="1"/>
    <col min="4" max="4" width="9.28515625" style="318" customWidth="1"/>
    <col min="5" max="5" width="10.140625" style="484" bestFit="1" customWidth="1"/>
    <col min="6" max="6" width="6.28515625" style="313" hidden="1" customWidth="1"/>
    <col min="7" max="7" width="2" style="313" hidden="1" customWidth="1"/>
    <col min="8" max="8" width="20.42578125" style="313" hidden="1" customWidth="1"/>
    <col min="9" max="9" width="18.5703125" style="313" hidden="1" customWidth="1"/>
    <col min="10" max="10" width="9.140625" style="313"/>
    <col min="11" max="11" width="19.85546875" style="313" bestFit="1" customWidth="1"/>
    <col min="12" max="16384" width="9.140625" style="313"/>
  </cols>
  <sheetData>
    <row r="1" spans="1:10" ht="15.75" thickBot="1" x14ac:dyDescent="0.3">
      <c r="C1" s="514" t="s">
        <v>3585</v>
      </c>
      <c r="D1" s="487">
        <f>DotTracking!AD27+DotTracking!BB27</f>
        <v>0</v>
      </c>
      <c r="E1" s="509">
        <f>IF(E172-D172&lt;0,0,E172-D172)+IF(E151-D151&lt;0,0,E151-D151)+IF(E130-D130&lt;0,0,E130-D130)+IF(E108-D108&lt;0,0,E108-D108)+IF(E88-D88&lt;0,0,E88-D88)+IF(E68-D68&lt;0,0,E68-D68)+IF(E44-D44&lt;0,0,E44-D44)+IF(E23-D23&lt;0,0,E23-D23)+IF(E2-D2&lt;0,0,E2-D2)</f>
        <v>0</v>
      </c>
    </row>
    <row r="2" spans="1:10" x14ac:dyDescent="0.25">
      <c r="C2" s="488" t="s">
        <v>1783</v>
      </c>
      <c r="D2" s="489">
        <f>CharacterSheet!F6+COUNTIF(Creation!AN6:AS33,"Strength")+COUNTIF(DemigodConversion!AN6:AS33,"Strength")+COUNTIF(GodConversion!AN6:AS33,"Strength")</f>
        <v>0</v>
      </c>
      <c r="E2" s="513">
        <f>COUNTIF(E4:E22,"Yes")</f>
        <v>0</v>
      </c>
      <c r="F2" s="491"/>
    </row>
    <row r="3" spans="1:10" ht="15.75" thickBot="1" x14ac:dyDescent="0.3">
      <c r="C3" s="485" t="s">
        <v>62</v>
      </c>
      <c r="D3" s="486" t="s">
        <v>1782</v>
      </c>
      <c r="E3" s="490" t="s">
        <v>1791</v>
      </c>
      <c r="F3" s="315"/>
      <c r="H3" s="315"/>
      <c r="I3" s="315"/>
    </row>
    <row r="4" spans="1:10" x14ac:dyDescent="0.25">
      <c r="A4" s="313">
        <f t="shared" ref="A4:A35" si="0">IF(E4="yes",A3+1,A3)</f>
        <v>0</v>
      </c>
      <c r="B4" s="313">
        <f>IF(AND(E4="Yes",F4="Yes"),'Purchased Boons'!A495+1,'Purchased Boons'!A495)</f>
        <v>0</v>
      </c>
      <c r="C4" s="512" t="s">
        <v>374</v>
      </c>
      <c r="D4" s="540" t="str">
        <f>IF(AND(E2&gt;D2-1,E1=D1,E4="No"),"No",IF(AND('House Rules'!$B$4="Available",CharacterSheet!$F$6&gt;0,E12="Yes"),"Yes","No"))</f>
        <v>No</v>
      </c>
      <c r="E4" s="561" t="s">
        <v>347</v>
      </c>
      <c r="F4" s="316" t="str">
        <f>IF(VLOOKUP(C4,KanckRef!$A$2:$D$172,4,FALSE)="None","No","Yes")</f>
        <v>No</v>
      </c>
      <c r="H4" s="313" t="s">
        <v>1046</v>
      </c>
      <c r="I4" s="313" t="str">
        <f>IF(H4="God",'House Rules'!$B$2,IF(H4="Demi",'House Rules'!$B$1,IF(H4="Comp",'House Rules'!$B$4,IF(H4="Yaz",'House Rules'!$B$5,IF(H4="Rag",'House Rules'!$B$3,"Available")))))</f>
        <v>Available</v>
      </c>
      <c r="J4" s="317"/>
    </row>
    <row r="5" spans="1:10" x14ac:dyDescent="0.25">
      <c r="A5" s="313">
        <f t="shared" si="0"/>
        <v>0</v>
      </c>
      <c r="B5" s="313">
        <f>IF(AND(E5="Yes",F5="Yes"),B4+1,B4)</f>
        <v>0</v>
      </c>
      <c r="C5" s="541" t="s">
        <v>375</v>
      </c>
      <c r="D5" s="539" t="str">
        <f>IF(AND(E2&gt;D2-1,E1=D1,E5="No"),"No",IF(AND(CharacterSheet!$F$6&gt;0),"Yes","No"))</f>
        <v>No</v>
      </c>
      <c r="E5" s="558" t="s">
        <v>347</v>
      </c>
      <c r="F5" s="316" t="str">
        <f>IF(VLOOKUP(C5,KanckRef!$A$2:$D$172,4,FALSE)="None","No","Yes")</f>
        <v>No</v>
      </c>
      <c r="H5" s="313" t="s">
        <v>133</v>
      </c>
      <c r="I5" s="313" t="str">
        <f>IF(H5="God",'House Rules'!$B$2,IF(H5="Demi",'House Rules'!$B$1,IF(H5="Comp",'House Rules'!$B$4,IF(H5="Yaz",'House Rules'!$B$5,IF(H5="Rag",'House Rules'!$B$3,"Available")))))</f>
        <v>Available</v>
      </c>
    </row>
    <row r="6" spans="1:10" x14ac:dyDescent="0.25">
      <c r="A6" s="313">
        <f t="shared" si="0"/>
        <v>0</v>
      </c>
      <c r="B6" s="313">
        <f t="shared" ref="B6:B22" si="1">IF(AND(E6="Yes",F6="Yes"),B5+1,B5)</f>
        <v>0</v>
      </c>
      <c r="C6" s="541" t="s">
        <v>376</v>
      </c>
      <c r="D6" s="539" t="str">
        <f>IF(AND(E2&gt;D2-1,E1=D1,E6="No"),"No",IF(AND(E9="Yes",'House Rules'!$B$2="Available",CharacterSheet!$F$6&gt;0),"Yes","No"))</f>
        <v>No</v>
      </c>
      <c r="E6" s="558" t="s">
        <v>347</v>
      </c>
      <c r="F6" s="316" t="str">
        <f>IF(VLOOKUP(C6,KanckRef!$A$2:$D$172,4,FALSE)="None","No","Yes")</f>
        <v>No</v>
      </c>
      <c r="H6" s="313" t="s">
        <v>5</v>
      </c>
      <c r="I6" s="313" t="str">
        <f>IF(H6="God",'House Rules'!$B$2,IF(H6="Demi",'House Rules'!$B$1,IF(H6="Comp",'House Rules'!$B$4,IF(H6="Yaz",'House Rules'!$B$5,IF(H6="Rag",'House Rules'!$B$3,"Available")))))</f>
        <v>Available</v>
      </c>
    </row>
    <row r="7" spans="1:10" x14ac:dyDescent="0.25">
      <c r="A7" s="313">
        <f t="shared" si="0"/>
        <v>0</v>
      </c>
      <c r="B7" s="313">
        <f t="shared" si="1"/>
        <v>0</v>
      </c>
      <c r="C7" s="541" t="s">
        <v>377</v>
      </c>
      <c r="D7" s="539" t="str">
        <f>IF(AND(E2&gt;D2-1,E1=D1,E7="No"),"No",IF(AND(E11="Yes",'House Rules'!$B$2="Available",CharacterSheet!$F$6&gt;0),"Yes","No"))</f>
        <v>No</v>
      </c>
      <c r="E7" s="558" t="s">
        <v>347</v>
      </c>
      <c r="F7" s="316" t="str">
        <f>IF(VLOOKUP(C7,KanckRef!$A$2:$D$172,4,FALSE)="None","No","Yes")</f>
        <v>No</v>
      </c>
      <c r="H7" s="313" t="s">
        <v>5</v>
      </c>
      <c r="I7" s="313" t="str">
        <f>IF(H7="God",'House Rules'!$B$2,IF(H7="Demi",'House Rules'!$B$1,IF(H7="Comp",'House Rules'!$B$4,IF(H7="Yaz",'House Rules'!$B$5,IF(H7="Rag",'House Rules'!$B$3,"Available")))))</f>
        <v>Available</v>
      </c>
    </row>
    <row r="8" spans="1:10" x14ac:dyDescent="0.25">
      <c r="A8" s="313">
        <f t="shared" si="0"/>
        <v>0</v>
      </c>
      <c r="B8" s="313">
        <f t="shared" si="1"/>
        <v>0</v>
      </c>
      <c r="C8" s="541" t="s">
        <v>378</v>
      </c>
      <c r="D8" s="539" t="str">
        <f>IF(AND(E2&gt;D2-1,E1=D1,E8="No"),"No",IF(AND(E12="Yes",'House Rules'!$B$1="Available",CharacterSheet!$F$6&gt;0),"Yes","No"))</f>
        <v>No</v>
      </c>
      <c r="E8" s="558" t="s">
        <v>347</v>
      </c>
      <c r="F8" s="316" t="str">
        <f>IF(VLOOKUP(C8,KanckRef!$A$2:$D$172,4,FALSE)="None","No","Yes")</f>
        <v>No</v>
      </c>
      <c r="H8" s="313" t="s">
        <v>1045</v>
      </c>
      <c r="I8" s="313" t="str">
        <f>IF(H8="God",'House Rules'!$B$2,IF(H8="Demi",'House Rules'!$B$1,IF(H8="Comp",'House Rules'!$B$4,IF(H8="Yaz",'House Rules'!$B$5,IF(H8="Rag",'House Rules'!$B$3,"Available")))))</f>
        <v>Available</v>
      </c>
    </row>
    <row r="9" spans="1:10" x14ac:dyDescent="0.25">
      <c r="A9" s="313">
        <f t="shared" si="0"/>
        <v>0</v>
      </c>
      <c r="B9" s="313">
        <f t="shared" si="1"/>
        <v>0</v>
      </c>
      <c r="C9" s="541" t="s">
        <v>102</v>
      </c>
      <c r="D9" s="539" t="str">
        <f>IF(AND(E2&gt;D2-1,E1=D1,E9="No"),"No",IF(AND(E5="Yes",'House Rules'!$B$1="Available",CharacterSheet!$F$6&gt;0),"Yes","No"))</f>
        <v>No</v>
      </c>
      <c r="E9" s="558" t="s">
        <v>347</v>
      </c>
      <c r="F9" s="316" t="str">
        <f>IF(VLOOKUP(C9,KanckRef!$A$2:$D$172,4,FALSE)="None","No","Yes")</f>
        <v>No</v>
      </c>
      <c r="H9" s="313" t="s">
        <v>1045</v>
      </c>
      <c r="I9" s="313" t="str">
        <f>IF(H9="God",'House Rules'!$B$2,IF(H9="Demi",'House Rules'!$B$1,IF(H9="Comp",'House Rules'!$B$4,IF(H9="Yaz",'House Rules'!$B$5,IF(H9="Rag",'House Rules'!$B$3,"Available")))))</f>
        <v>Available</v>
      </c>
    </row>
    <row r="10" spans="1:10" x14ac:dyDescent="0.25">
      <c r="A10" s="313">
        <f t="shared" si="0"/>
        <v>0</v>
      </c>
      <c r="B10" s="313">
        <f t="shared" si="1"/>
        <v>0</v>
      </c>
      <c r="C10" s="541" t="s">
        <v>1037</v>
      </c>
      <c r="D10" s="539" t="str">
        <f>IF(AND(E2&gt;D2-1,E1=D1,E10="No"),"No",IF(AND('House Rules'!$B$3="Available",CharacterSheet!$F$6&gt;0),"Yes","No"))</f>
        <v>No</v>
      </c>
      <c r="E10" s="558" t="s">
        <v>347</v>
      </c>
      <c r="F10" s="316" t="str">
        <f>IF(VLOOKUP(C10,KanckRef!$A$2:$D$172,4,FALSE)="None","No","Yes")</f>
        <v>No</v>
      </c>
      <c r="H10" s="313" t="s">
        <v>350</v>
      </c>
      <c r="I10" s="313" t="str">
        <f>IF(H10="God",'House Rules'!$B$2,IF(H10="Demi",'House Rules'!$B$1,IF(H10="Comp",'House Rules'!$B$4,IF(H10="Yaz",'House Rules'!$B$5,IF(H10="Rag",'House Rules'!$B$3,"Available")))))</f>
        <v>Available</v>
      </c>
    </row>
    <row r="11" spans="1:10" x14ac:dyDescent="0.25">
      <c r="A11" s="313">
        <f t="shared" si="0"/>
        <v>0</v>
      </c>
      <c r="B11" s="313">
        <f t="shared" si="1"/>
        <v>0</v>
      </c>
      <c r="C11" s="541" t="s">
        <v>103</v>
      </c>
      <c r="D11" s="539" t="str">
        <f>IF(AND(E2&gt;D2-1,E1=D1,E11="No"),"No",IF(AND(CharacterSheet!$F$6&gt;0),"Yes","No"))</f>
        <v>No</v>
      </c>
      <c r="E11" s="558" t="s">
        <v>347</v>
      </c>
      <c r="F11" s="316" t="str">
        <f>IF(VLOOKUP(C11,KanckRef!$A$2:$D$172,4,FALSE)="None","No","Yes")</f>
        <v>No</v>
      </c>
      <c r="H11" s="313" t="s">
        <v>133</v>
      </c>
      <c r="I11" s="313" t="str">
        <f>IF(H11="God",'House Rules'!$B$2,IF(H11="Demi",'House Rules'!$B$1,IF(H11="Comp",'House Rules'!$B$4,IF(H11="Yaz",'House Rules'!$B$5,IF(H11="Rag",'House Rules'!$B$3,"Available")))))</f>
        <v>Available</v>
      </c>
    </row>
    <row r="12" spans="1:10" x14ac:dyDescent="0.25">
      <c r="A12" s="313">
        <f t="shared" si="0"/>
        <v>0</v>
      </c>
      <c r="B12" s="313">
        <f t="shared" si="1"/>
        <v>0</v>
      </c>
      <c r="C12" s="541" t="s">
        <v>379</v>
      </c>
      <c r="D12" s="539" t="str">
        <f>IF(AND(E2&gt;D2-1,E1=D1,E12="No"),"No",IF(AND(CharacterSheet!$F$6&gt;0),"Yes","No"))</f>
        <v>No</v>
      </c>
      <c r="E12" s="558" t="s">
        <v>347</v>
      </c>
      <c r="F12" s="316" t="str">
        <f>IF(VLOOKUP(C12,KanckRef!$A$2:$D$172,4,FALSE)="None","No","Yes")</f>
        <v>No</v>
      </c>
      <c r="H12" s="313" t="s">
        <v>133</v>
      </c>
      <c r="I12" s="313" t="str">
        <f>IF(H12="God",'House Rules'!$B$2,IF(H12="Demi",'House Rules'!$B$1,IF(H12="Comp",'House Rules'!$B$4,IF(H12="Yaz",'House Rules'!$B$5,IF(H12="Rag",'House Rules'!$B$3,"Available")))))</f>
        <v>Available</v>
      </c>
    </row>
    <row r="13" spans="1:10" x14ac:dyDescent="0.25">
      <c r="A13" s="313">
        <f t="shared" si="0"/>
        <v>0</v>
      </c>
      <c r="B13" s="313">
        <f t="shared" si="1"/>
        <v>0</v>
      </c>
      <c r="C13" s="541" t="s">
        <v>1044</v>
      </c>
      <c r="D13" s="539" t="str">
        <f>IF(AND(E2&gt;D2-1,E1=D1,E13="No"),"No",IF(AND('House Rules'!$B$2="Available",CharacterSheet!$F$6&gt;0),"Yes","No"))</f>
        <v>No</v>
      </c>
      <c r="E13" s="558" t="s">
        <v>347</v>
      </c>
      <c r="F13" s="316" t="str">
        <f>IF(VLOOKUP(C13,KanckRef!$A$2:$D$172,4,FALSE)="None","No","Yes")</f>
        <v>No</v>
      </c>
      <c r="H13" s="313" t="s">
        <v>133</v>
      </c>
      <c r="I13" s="313" t="str">
        <f>IF(H13="God",'House Rules'!$B$2,IF(H13="Demi",'House Rules'!$B$1,IF(H13="Comp",'House Rules'!$B$4,IF(H13="Yaz",'House Rules'!$B$5,IF(H13="Rag",'House Rules'!$B$3,"Available")))))</f>
        <v>Available</v>
      </c>
    </row>
    <row r="14" spans="1:10" x14ac:dyDescent="0.25">
      <c r="A14" s="313">
        <f t="shared" si="0"/>
        <v>0</v>
      </c>
      <c r="B14" s="313">
        <f t="shared" si="1"/>
        <v>0</v>
      </c>
      <c r="C14" s="541" t="s">
        <v>380</v>
      </c>
      <c r="D14" s="539" t="str">
        <f>IF(AND(E2&gt;D2-1,E1=D1,E14="No"),"No",IF(AND(E18="Yes",CharacterSheet!$F$6&gt;0),"Yes","No"))</f>
        <v>No</v>
      </c>
      <c r="E14" s="558" t="s">
        <v>347</v>
      </c>
      <c r="F14" s="316" t="str">
        <f>IF(VLOOKUP(C14,KanckRef!$A$2:$D$172,4,FALSE)="None","No","Yes")</f>
        <v>No</v>
      </c>
      <c r="H14" s="313" t="s">
        <v>5</v>
      </c>
      <c r="I14" s="313" t="str">
        <f>IF(H14="God",'House Rules'!$B$2,IF(H14="Demi",'House Rules'!$B$1,IF(H14="Comp",'House Rules'!$B$4,IF(H14="Yaz",'House Rules'!$B$5,IF(H14="Rag",'House Rules'!$B$3,"Available")))))</f>
        <v>Available</v>
      </c>
    </row>
    <row r="15" spans="1:10" x14ac:dyDescent="0.25">
      <c r="A15" s="313">
        <f t="shared" si="0"/>
        <v>0</v>
      </c>
      <c r="B15" s="313">
        <f t="shared" si="1"/>
        <v>0</v>
      </c>
      <c r="C15" s="541" t="s">
        <v>381</v>
      </c>
      <c r="D15" s="539" t="str">
        <f>IF(AND(E2&gt;D2-1,E1=D1,E15="No"),"No",IF(AND('House Rules'!$B$1="Available",CharacterSheet!$F$6&gt;0),"Yes","No"))</f>
        <v>No</v>
      </c>
      <c r="E15" s="558" t="s">
        <v>347</v>
      </c>
      <c r="F15" s="316" t="str">
        <f>IF(VLOOKUP(C15,KanckRef!$A$2:$D$172,4,FALSE)="None","No","Yes")</f>
        <v>No</v>
      </c>
      <c r="H15" s="313" t="s">
        <v>1045</v>
      </c>
      <c r="I15" s="313" t="str">
        <f>IF(H15="God",'House Rules'!$B$2,IF(H15="Demi",'House Rules'!$B$1,IF(H15="Comp",'House Rules'!$B$4,IF(H15="Yaz",'House Rules'!$B$5,IF(H15="Rag",'House Rules'!$B$3,"Available")))))</f>
        <v>Available</v>
      </c>
    </row>
    <row r="16" spans="1:10" x14ac:dyDescent="0.25">
      <c r="A16" s="313">
        <f t="shared" si="0"/>
        <v>0</v>
      </c>
      <c r="B16" s="313">
        <f t="shared" si="1"/>
        <v>0</v>
      </c>
      <c r="C16" s="541" t="s">
        <v>382</v>
      </c>
      <c r="D16" s="539" t="str">
        <f>IF(AND(E2&gt;D2-1,E1=D1,E16="No"),"No",IF(AND(E15="Yes",'House Rules'!$B$2="Available",CharacterSheet!$F$6&gt;0),"Yes","No"))</f>
        <v>No</v>
      </c>
      <c r="E16" s="558" t="s">
        <v>347</v>
      </c>
      <c r="F16" s="316" t="str">
        <f>IF(VLOOKUP(C16,KanckRef!$A$2:$D$172,4,FALSE)="None","No","Yes")</f>
        <v>No</v>
      </c>
      <c r="H16" s="313" t="s">
        <v>5</v>
      </c>
      <c r="I16" s="313" t="str">
        <f>IF(H16="God",'House Rules'!$B$2,IF(H16="Demi",'House Rules'!$B$1,IF(H16="Comp",'House Rules'!$B$4,IF(H16="Yaz",'House Rules'!$B$5,IF(H16="Rag",'House Rules'!$B$3,"Available")))))</f>
        <v>Available</v>
      </c>
    </row>
    <row r="17" spans="1:9" x14ac:dyDescent="0.25">
      <c r="A17" s="313">
        <f t="shared" si="0"/>
        <v>0</v>
      </c>
      <c r="B17" s="313">
        <f t="shared" si="1"/>
        <v>0</v>
      </c>
      <c r="C17" s="541" t="s">
        <v>383</v>
      </c>
      <c r="D17" s="539" t="str">
        <f>IF(AND(E2&gt;D2-1,E1=D1,E17="No"),"No",IF(AND('House Rules'!$B$2="Available",CharacterSheet!$F$6&gt;0),"Yes","No"))</f>
        <v>No</v>
      </c>
      <c r="E17" s="558" t="s">
        <v>347</v>
      </c>
      <c r="F17" s="316" t="str">
        <f>IF(VLOOKUP(C17,KanckRef!$A$2:$D$172,4,FALSE)="None","No","Yes")</f>
        <v>No</v>
      </c>
      <c r="H17" s="313" t="s">
        <v>5</v>
      </c>
      <c r="I17" s="313" t="str">
        <f>IF(H17="God",'House Rules'!$B$2,IF(H17="Demi",'House Rules'!$B$1,IF(H17="Comp",'House Rules'!$B$4,IF(H17="Yaz",'House Rules'!$B$5,IF(H17="Rag",'House Rules'!$B$3,"Available")))))</f>
        <v>Available</v>
      </c>
    </row>
    <row r="18" spans="1:9" x14ac:dyDescent="0.25">
      <c r="A18" s="313">
        <f t="shared" si="0"/>
        <v>0</v>
      </c>
      <c r="B18" s="313">
        <f t="shared" si="1"/>
        <v>0</v>
      </c>
      <c r="C18" s="541" t="s">
        <v>384</v>
      </c>
      <c r="D18" s="539" t="str">
        <f>IF(AND(E2&gt;D2-1,E1=D1,E18="No"),"No",IF(AND(E13="Yes",'House Rules'!$B$1="Available",CharacterSheet!$F$6&gt;0),"Yes","No"))</f>
        <v>No</v>
      </c>
      <c r="E18" s="558" t="s">
        <v>347</v>
      </c>
      <c r="F18" s="316" t="str">
        <f>IF(VLOOKUP(C18,KanckRef!$A$2:$D$172,4,FALSE)="None","No","Yes")</f>
        <v>No</v>
      </c>
      <c r="H18" s="313" t="s">
        <v>1045</v>
      </c>
      <c r="I18" s="313" t="str">
        <f>IF(H18="God",'House Rules'!$B$2,IF(H18="Demi",'House Rules'!$B$1,IF(H18="Comp",'House Rules'!$B$4,IF(H18="Yaz",'House Rules'!$B$5,IF(H18="Rag",'House Rules'!$B$3,"Available")))))</f>
        <v>Available</v>
      </c>
    </row>
    <row r="19" spans="1:9" x14ac:dyDescent="0.25">
      <c r="A19" s="313">
        <f t="shared" si="0"/>
        <v>0</v>
      </c>
      <c r="B19" s="313">
        <f t="shared" si="1"/>
        <v>0</v>
      </c>
      <c r="C19" s="541" t="s">
        <v>385</v>
      </c>
      <c r="D19" s="539" t="str">
        <f>IF(AND(E2&gt;D2-1,E1=D1,E19="No"),"No",IF(AND(E5="Yes",'House Rules'!$B$4="Available",CharacterSheet!$F$6&gt;0),"Yes","No"))</f>
        <v>No</v>
      </c>
      <c r="E19" s="558" t="s">
        <v>347</v>
      </c>
      <c r="F19" s="316" t="str">
        <f>IF(VLOOKUP(C19,KanckRef!$A$2:$D$172,4,FALSE)="None","No","Yes")</f>
        <v>No</v>
      </c>
      <c r="H19" s="313" t="s">
        <v>1046</v>
      </c>
      <c r="I19" s="313" t="str">
        <f>IF(H19="God",'House Rules'!$B$2,IF(H19="Demi",'House Rules'!$B$1,IF(H19="Comp",'House Rules'!$B$4,IF(H19="Yaz",'House Rules'!$B$5,IF(H19="Rag",'House Rules'!$B$3,"Available")))))</f>
        <v>Available</v>
      </c>
    </row>
    <row r="20" spans="1:9" x14ac:dyDescent="0.25">
      <c r="A20" s="313">
        <f t="shared" si="0"/>
        <v>0</v>
      </c>
      <c r="B20" s="313">
        <f t="shared" si="1"/>
        <v>0</v>
      </c>
      <c r="C20" s="541" t="s">
        <v>945</v>
      </c>
      <c r="D20" s="539" t="str">
        <f>IF(AND(E2&gt;D2-1,E1=D1,E20="No"),"No",IF(AND('House Rules'!$B$1="Available",CharacterSheet!$F$6&gt;0),"Yes","No"))</f>
        <v>No</v>
      </c>
      <c r="E20" s="558" t="s">
        <v>347</v>
      </c>
      <c r="F20" s="316" t="str">
        <f>IF(VLOOKUP(C20,KanckRef!$A$2:$D$172,4,FALSE)="None","No","Yes")</f>
        <v>Yes</v>
      </c>
      <c r="H20" s="313" t="s">
        <v>1045</v>
      </c>
      <c r="I20" s="313" t="str">
        <f>IF(H20="God",'House Rules'!$B$2,IF(H20="Demi",'House Rules'!$B$1,IF(H20="Comp",'House Rules'!$B$4,IF(H20="Yaz",'House Rules'!$B$5,IF(H20="Rag",'House Rules'!$B$3,"Available")))))</f>
        <v>Available</v>
      </c>
    </row>
    <row r="21" spans="1:9" x14ac:dyDescent="0.25">
      <c r="A21" s="313">
        <f t="shared" si="0"/>
        <v>0</v>
      </c>
      <c r="B21" s="313">
        <f t="shared" si="1"/>
        <v>0</v>
      </c>
      <c r="C21" s="541" t="s">
        <v>386</v>
      </c>
      <c r="D21" s="539" t="str">
        <f>IF(AND(E2&gt;D2-1,E1=D1,E21="No"),"No",IF(AND('House Rules'!$B$4="Available",CharacterSheet!$F$6&gt;0),"Yes","No"))</f>
        <v>No</v>
      </c>
      <c r="E21" s="558" t="s">
        <v>347</v>
      </c>
      <c r="F21" s="316" t="str">
        <f>IF(VLOOKUP(C21,KanckRef!$A$2:$D$172,4,FALSE)="None","No","Yes")</f>
        <v>No</v>
      </c>
      <c r="H21" s="313" t="s">
        <v>1046</v>
      </c>
      <c r="I21" s="313" t="str">
        <f>IF(H21="God",'House Rules'!$B$2,IF(H21="Demi",'House Rules'!$B$1,IF(H21="Comp",'House Rules'!$B$4,IF(H21="Yaz",'House Rules'!$B$5,IF(H21="Rag",'House Rules'!$B$3,"Available")))))</f>
        <v>Available</v>
      </c>
    </row>
    <row r="22" spans="1:9" ht="15.75" thickBot="1" x14ac:dyDescent="0.3">
      <c r="A22" s="313">
        <f t="shared" si="0"/>
        <v>0</v>
      </c>
      <c r="B22" s="313">
        <f t="shared" si="1"/>
        <v>0</v>
      </c>
      <c r="C22" s="511" t="s">
        <v>104</v>
      </c>
      <c r="D22" s="538" t="str">
        <f>IF(AND(E2&gt;D2-1,E1=D1,E22="No"),"No",IF(AND(CharacterSheet!$F$6&gt;0),"Yes","No"))</f>
        <v>No</v>
      </c>
      <c r="E22" s="557" t="s">
        <v>347</v>
      </c>
      <c r="F22" s="316" t="str">
        <f>IF(VLOOKUP(C22,KanckRef!$A$2:$D$172,4,FALSE)="None","No","Yes")</f>
        <v>No</v>
      </c>
      <c r="H22" s="313" t="s">
        <v>133</v>
      </c>
      <c r="I22" s="313" t="str">
        <f>IF(H22="God",'House Rules'!$B$2,IF(H22="Demi",'House Rules'!$B$1,IF(H22="Comp",'House Rules'!$B$4,IF(H22="Yaz",'House Rules'!$B$5,IF(H22="Rag",'House Rules'!$B$3,"Available")))))</f>
        <v>Available</v>
      </c>
    </row>
    <row r="23" spans="1:9" x14ac:dyDescent="0.25">
      <c r="A23" s="313">
        <f>IF(D23="yes",A22+1,A22)</f>
        <v>0</v>
      </c>
      <c r="B23" s="313">
        <f>IF(AND(E23="Yes",F23="Yes"),B22+1,B22)</f>
        <v>0</v>
      </c>
      <c r="C23" s="532" t="s">
        <v>1784</v>
      </c>
      <c r="D23" s="533">
        <f>CharacterSheet!F7+COUNTIF(Creation!AN6:AS33,"Dexterity")+COUNTIF(DemigodConversion!AN6:AS33,"Dexterity")+COUNTIF(GodConversion!AN6:AS33,"Dexterity")</f>
        <v>0</v>
      </c>
      <c r="E23" s="510">
        <f>COUNTIF(E25:E43,"Yes")</f>
        <v>0</v>
      </c>
      <c r="F23" s="316"/>
    </row>
    <row r="24" spans="1:9" ht="15.75" thickBot="1" x14ac:dyDescent="0.3">
      <c r="A24" s="313">
        <f t="shared" si="0"/>
        <v>0</v>
      </c>
      <c r="B24" s="313">
        <f t="shared" ref="B24:B87" si="2">IF(AND(E24="Yes",F24="Yes"),B23+1,B23)</f>
        <v>0</v>
      </c>
      <c r="C24" s="534" t="s">
        <v>62</v>
      </c>
      <c r="D24" s="535" t="s">
        <v>1782</v>
      </c>
      <c r="E24" s="543" t="s">
        <v>1791</v>
      </c>
      <c r="F24" s="316"/>
    </row>
    <row r="25" spans="1:9" x14ac:dyDescent="0.25">
      <c r="A25" s="313">
        <f t="shared" si="0"/>
        <v>0</v>
      </c>
      <c r="B25" s="313">
        <f t="shared" si="2"/>
        <v>0</v>
      </c>
      <c r="C25" s="512" t="s">
        <v>946</v>
      </c>
      <c r="D25" s="540" t="str">
        <f>IF(AND(E23&gt;D23-1,E1=D1,E25="No"),"No",IF(AND('House Rules'!$B$2="Available",CharacterSheet!$F$7&gt;0),"Yes","No"))</f>
        <v>No</v>
      </c>
      <c r="E25" s="561" t="s">
        <v>347</v>
      </c>
      <c r="F25" s="316" t="str">
        <f>IF(VLOOKUP(C25,KanckRef!$A$2:$D$172,4,FALSE)="None","No","Yes")</f>
        <v>No</v>
      </c>
      <c r="H25" s="313" t="s">
        <v>5</v>
      </c>
      <c r="I25" s="313" t="str">
        <f>IF(H25="God",'House Rules'!$B$2,IF(H25="Demi",'House Rules'!$B$1,IF(H25="Comp",'House Rules'!$B$4,IF(H25="Yaz",'House Rules'!$B$5,IF(H25="Rag",'House Rules'!$B$3,"Available")))))</f>
        <v>Available</v>
      </c>
    </row>
    <row r="26" spans="1:9" x14ac:dyDescent="0.25">
      <c r="A26" s="313">
        <f t="shared" si="0"/>
        <v>0</v>
      </c>
      <c r="B26" s="313">
        <f t="shared" si="2"/>
        <v>0</v>
      </c>
      <c r="C26" s="541" t="s">
        <v>387</v>
      </c>
      <c r="D26" s="539" t="str">
        <f>IF(AND(E23&gt;D23-1,E1=D1,E26="No"),"No",IF(AND(E40="Yes",'House Rules'!$B$2="Available",CharacterSheet!$F$7&gt;0),"Yes","No"))</f>
        <v>No</v>
      </c>
      <c r="E26" s="558" t="s">
        <v>347</v>
      </c>
      <c r="F26" s="316" t="str">
        <f>IF(VLOOKUP(C26,KanckRef!$A$2:$D$172,4,FALSE)="None","No","Yes")</f>
        <v>No</v>
      </c>
      <c r="H26" s="313" t="s">
        <v>5</v>
      </c>
      <c r="I26" s="313" t="str">
        <f>IF(H26="God",'House Rules'!$B$2,IF(H26="Demi",'House Rules'!$B$1,IF(H26="Comp",'House Rules'!$B$4,IF(H26="Yaz",'House Rules'!$B$5,IF(H26="Rag",'House Rules'!$B$3,"Available")))))</f>
        <v>Available</v>
      </c>
    </row>
    <row r="27" spans="1:9" x14ac:dyDescent="0.25">
      <c r="A27" s="313">
        <f t="shared" si="0"/>
        <v>0</v>
      </c>
      <c r="B27" s="313">
        <f t="shared" si="2"/>
        <v>0</v>
      </c>
      <c r="C27" s="541" t="s">
        <v>388</v>
      </c>
      <c r="D27" s="539" t="str">
        <f>IF(AND(E23&gt;D23-1,E1=D1,E27="No"),"No",IF(AND(CharacterSheet!$F$7&gt;0),"Yes","No"))</f>
        <v>No</v>
      </c>
      <c r="E27" s="558" t="s">
        <v>347</v>
      </c>
      <c r="F27" s="316" t="str">
        <f>IF(VLOOKUP(C27,KanckRef!$A$2:$D$172,4,FALSE)="None","No","Yes")</f>
        <v>No</v>
      </c>
      <c r="H27" s="313" t="s">
        <v>133</v>
      </c>
      <c r="I27" s="313" t="str">
        <f>IF(H27="God",'House Rules'!$B$2,IF(H27="Demi",'House Rules'!$B$1,IF(H27="Comp",'House Rules'!$B$4,IF(H27="Yaz",'House Rules'!$B$5,IF(H27="Rag",'House Rules'!$B$3,"Available")))))</f>
        <v>Available</v>
      </c>
    </row>
    <row r="28" spans="1:9" x14ac:dyDescent="0.25">
      <c r="A28" s="313">
        <f t="shared" si="0"/>
        <v>0</v>
      </c>
      <c r="B28" s="313">
        <f t="shared" si="2"/>
        <v>0</v>
      </c>
      <c r="C28" s="541" t="s">
        <v>389</v>
      </c>
      <c r="D28" s="539" t="str">
        <f>IF(AND(E23&gt;D23-1,E1=D1,E28="No"),"No",IF(AND(E27="Yes",'House Rules'!$B$1="Available",CharacterSheet!$F$7&gt;0),"Yes","No"))</f>
        <v>No</v>
      </c>
      <c r="E28" s="558" t="s">
        <v>347</v>
      </c>
      <c r="F28" s="316" t="str">
        <f>IF(VLOOKUP(C28,KanckRef!$A$2:$D$172,4,FALSE)="None","No","Yes")</f>
        <v>No</v>
      </c>
      <c r="H28" s="313" t="s">
        <v>1045</v>
      </c>
      <c r="I28" s="313" t="str">
        <f>IF(H28="God",'House Rules'!$B$2,IF(H28="Demi",'House Rules'!$B$1,IF(H28="Comp",'House Rules'!$B$4,IF(H28="Yaz",'House Rules'!$B$5,IF(H28="Rag",'House Rules'!$B$3,"Available")))))</f>
        <v>Available</v>
      </c>
    </row>
    <row r="29" spans="1:9" x14ac:dyDescent="0.25">
      <c r="A29" s="313">
        <f t="shared" si="0"/>
        <v>0</v>
      </c>
      <c r="B29" s="313">
        <f t="shared" si="2"/>
        <v>0</v>
      </c>
      <c r="C29" s="541" t="s">
        <v>390</v>
      </c>
      <c r="D29" s="539" t="str">
        <f>IF(AND(E23&gt;D23-1,E1=D1,E29="No"),"No",IF(AND('House Rules'!$B$1="Available",CharacterSheet!$F$7&gt;0),"Yes","No"))</f>
        <v>No</v>
      </c>
      <c r="E29" s="558" t="s">
        <v>347</v>
      </c>
      <c r="F29" s="316" t="str">
        <f>IF(VLOOKUP(C29,KanckRef!$A$2:$D$172,4,FALSE)="None","No","Yes")</f>
        <v>No</v>
      </c>
      <c r="H29" s="313" t="s">
        <v>1045</v>
      </c>
      <c r="I29" s="313" t="str">
        <f>IF(H29="God",'House Rules'!$B$2,IF(H29="Demi",'House Rules'!$B$1,IF(H29="Comp",'House Rules'!$B$4,IF(H29="Yaz",'House Rules'!$B$5,IF(H29="Rag",'House Rules'!$B$3,"Available")))))</f>
        <v>Available</v>
      </c>
    </row>
    <row r="30" spans="1:9" x14ac:dyDescent="0.25">
      <c r="A30" s="313">
        <f t="shared" si="0"/>
        <v>0</v>
      </c>
      <c r="B30" s="313">
        <f t="shared" si="2"/>
        <v>0</v>
      </c>
      <c r="C30" s="541" t="s">
        <v>1038</v>
      </c>
      <c r="D30" s="539" t="str">
        <f>IF(AND(E23&gt;D23-1,E1=D1,E30="No"),"No",IF(AND(E31="Yes",'House Rules'!$B$3="Available",CharacterSheet!$F$7&gt;0),"Yes","No"))</f>
        <v>No</v>
      </c>
      <c r="E30" s="558" t="s">
        <v>347</v>
      </c>
      <c r="F30" s="316" t="str">
        <f>IF(VLOOKUP(C30,KanckRef!$A$2:$D$172,4,FALSE)="None","No","Yes")</f>
        <v>No</v>
      </c>
      <c r="H30" s="313" t="s">
        <v>350</v>
      </c>
      <c r="I30" s="313" t="str">
        <f>IF(H30="God",'House Rules'!$B$2,IF(H30="Demi",'House Rules'!$B$1,IF(H30="Comp",'House Rules'!$B$4,IF(H30="Yaz",'House Rules'!$B$5,IF(H30="Rag",'House Rules'!$B$3,"Available")))))</f>
        <v>Available</v>
      </c>
    </row>
    <row r="31" spans="1:9" x14ac:dyDescent="0.25">
      <c r="A31" s="313">
        <f t="shared" si="0"/>
        <v>0</v>
      </c>
      <c r="B31" s="313">
        <f t="shared" si="2"/>
        <v>0</v>
      </c>
      <c r="C31" s="541" t="s">
        <v>106</v>
      </c>
      <c r="D31" s="539" t="str">
        <f>IF(AND(E23&gt;D23-1,E1=D1,E31="No"),"No",IF(AND(CharacterSheet!$F$7&gt;0),"Yes","No"))</f>
        <v>No</v>
      </c>
      <c r="E31" s="558" t="s">
        <v>347</v>
      </c>
      <c r="F31" s="316" t="str">
        <f>IF(VLOOKUP(C31,KanckRef!$A$2:$D$172,4,FALSE)="None","No","Yes")</f>
        <v>No</v>
      </c>
      <c r="H31" s="313" t="s">
        <v>133</v>
      </c>
      <c r="I31" s="313" t="str">
        <f>IF(H31="God",'House Rules'!$B$2,IF(H31="Demi",'House Rules'!$B$1,IF(H31="Comp",'House Rules'!$B$4,IF(H31="Yaz",'House Rules'!$B$5,IF(H31="Rag",'House Rules'!$B$3,"Available")))))</f>
        <v>Available</v>
      </c>
    </row>
    <row r="32" spans="1:9" x14ac:dyDescent="0.25">
      <c r="A32" s="313">
        <f t="shared" si="0"/>
        <v>0</v>
      </c>
      <c r="B32" s="313">
        <f t="shared" si="2"/>
        <v>0</v>
      </c>
      <c r="C32" s="541" t="s">
        <v>391</v>
      </c>
      <c r="D32" s="539" t="str">
        <f>IF(AND(E23&gt;D23-1,E1=D1,E32="No"),"No",IF(AND('House Rules'!$B$4="Available",CharacterSheet!$F$7&gt;0),"Yes","No"))</f>
        <v>No</v>
      </c>
      <c r="E32" s="558" t="s">
        <v>347</v>
      </c>
      <c r="F32" s="316" t="str">
        <f>IF(VLOOKUP(C32,KanckRef!$A$2:$D$172,4,FALSE)="None","No","Yes")</f>
        <v>No</v>
      </c>
      <c r="H32" s="313" t="s">
        <v>1046</v>
      </c>
      <c r="I32" s="313" t="str">
        <f>IF(H32="God",'House Rules'!$B$2,IF(H32="Demi",'House Rules'!$B$1,IF(H32="Comp",'House Rules'!$B$4,IF(H32="Yaz",'House Rules'!$B$5,IF(H32="Rag",'House Rules'!$B$3,"Available")))))</f>
        <v>Available</v>
      </c>
    </row>
    <row r="33" spans="1:9" x14ac:dyDescent="0.25">
      <c r="A33" s="313">
        <f t="shared" si="0"/>
        <v>0</v>
      </c>
      <c r="B33" s="313">
        <f t="shared" si="2"/>
        <v>0</v>
      </c>
      <c r="C33" s="541" t="s">
        <v>101</v>
      </c>
      <c r="D33" s="539" t="str">
        <f>IF(AND(E23&gt;D23-1,E1=D1,E33="No"),"No",IF(AND(CharacterSheet!$F$7&gt;0),"Yes","No"))</f>
        <v>No</v>
      </c>
      <c r="E33" s="558" t="s">
        <v>347</v>
      </c>
      <c r="F33" s="316" t="str">
        <f>IF(VLOOKUP(C33,KanckRef!$A$2:$D$172,4,FALSE)="None","No","Yes")</f>
        <v>No</v>
      </c>
      <c r="H33" s="313" t="s">
        <v>133</v>
      </c>
      <c r="I33" s="313" t="str">
        <f>IF(H33="God",'House Rules'!$B$2,IF(H33="Demi",'House Rules'!$B$1,IF(H33="Comp",'House Rules'!$B$4,IF(H33="Yaz",'House Rules'!$B$5,IF(H33="Rag",'House Rules'!$B$3,"Available")))))</f>
        <v>Available</v>
      </c>
    </row>
    <row r="34" spans="1:9" x14ac:dyDescent="0.25">
      <c r="A34" s="313">
        <f t="shared" si="0"/>
        <v>0</v>
      </c>
      <c r="B34" s="313">
        <f t="shared" si="2"/>
        <v>0</v>
      </c>
      <c r="C34" s="541" t="s">
        <v>392</v>
      </c>
      <c r="D34" s="539" t="str">
        <f>IF(AND(E23&gt;D23-1,E1=D1,E34="No"),"No",IF(AND('House Rules'!$B$4="Available",CharacterSheet!$F$7&gt;0),"Yes","No"))</f>
        <v>No</v>
      </c>
      <c r="E34" s="558" t="s">
        <v>347</v>
      </c>
      <c r="F34" s="316" t="str">
        <f>IF(VLOOKUP(C34,KanckRef!$A$2:$D$172,4,FALSE)="None","No","Yes")</f>
        <v>No</v>
      </c>
      <c r="H34" s="313" t="s">
        <v>1046</v>
      </c>
      <c r="I34" s="313" t="str">
        <f>IF(H34="God",'House Rules'!$B$2,IF(H34="Demi",'House Rules'!$B$1,IF(H34="Comp",'House Rules'!$B$4,IF(H34="Yaz",'House Rules'!$B$5,IF(H34="Rag",'House Rules'!$B$3,"Available")))))</f>
        <v>Available</v>
      </c>
    </row>
    <row r="35" spans="1:9" x14ac:dyDescent="0.25">
      <c r="A35" s="313">
        <f t="shared" si="0"/>
        <v>0</v>
      </c>
      <c r="B35" s="313">
        <f t="shared" si="2"/>
        <v>0</v>
      </c>
      <c r="C35" s="541" t="s">
        <v>393</v>
      </c>
      <c r="D35" s="539" t="str">
        <f>IF(AND(E23&gt;D23-1,E1=D1,E35="No"),"No",IF(AND('House Rules'!$B$2="Available",CharacterSheet!$F$7&gt;0),"Yes","No"))</f>
        <v>No</v>
      </c>
      <c r="E35" s="558" t="s">
        <v>347</v>
      </c>
      <c r="F35" s="316" t="str">
        <f>IF(VLOOKUP(C35,KanckRef!$A$2:$D$172,4,FALSE)="None","No","Yes")</f>
        <v>No</v>
      </c>
      <c r="H35" s="313" t="s">
        <v>5</v>
      </c>
      <c r="I35" s="313" t="str">
        <f>IF(H35="God",'House Rules'!$B$2,IF(H35="Demi",'House Rules'!$B$1,IF(H35="Comp",'House Rules'!$B$4,IF(H35="Yaz",'House Rules'!$B$5,IF(H35="Rag",'House Rules'!$B$3,"Available")))))</f>
        <v>Available</v>
      </c>
    </row>
    <row r="36" spans="1:9" x14ac:dyDescent="0.25">
      <c r="A36" s="313">
        <f t="shared" ref="A36:A67" si="3">IF(E36="yes",A35+1,A35)</f>
        <v>0</v>
      </c>
      <c r="B36" s="313">
        <f t="shared" si="2"/>
        <v>0</v>
      </c>
      <c r="C36" s="541" t="s">
        <v>394</v>
      </c>
      <c r="D36" s="539" t="str">
        <f>IF(AND(E23&gt;D23-1,E1=D1,E36="No"),"No",IF(AND('House Rules'!$B$2="Available",CharacterSheet!$F$7&gt;0),"Yes","No"))</f>
        <v>No</v>
      </c>
      <c r="E36" s="558" t="s">
        <v>347</v>
      </c>
      <c r="F36" s="316" t="str">
        <f>IF(VLOOKUP(C36,KanckRef!$A$2:$D$172,4,FALSE)="None","No","Yes")</f>
        <v>No</v>
      </c>
      <c r="H36" s="313" t="s">
        <v>5</v>
      </c>
      <c r="I36" s="313" t="str">
        <f>IF(H36="God",'House Rules'!$B$2,IF(H36="Demi",'House Rules'!$B$1,IF(H36="Comp",'House Rules'!$B$4,IF(H36="Yaz",'House Rules'!$B$5,IF(H36="Rag",'House Rules'!$B$3,"Available")))))</f>
        <v>Available</v>
      </c>
    </row>
    <row r="37" spans="1:9" x14ac:dyDescent="0.25">
      <c r="A37" s="313">
        <f t="shared" si="3"/>
        <v>0</v>
      </c>
      <c r="B37" s="313">
        <f t="shared" si="2"/>
        <v>0</v>
      </c>
      <c r="C37" s="541" t="s">
        <v>395</v>
      </c>
      <c r="D37" s="539" t="str">
        <f>IF(AND(E23&gt;D23-1,E1=D1,E37="No"),"No",IF(AND('House Rules'!$B$1="Available",CharacterSheet!$F$7&gt;0),"Yes","No"))</f>
        <v>No</v>
      </c>
      <c r="E37" s="558" t="s">
        <v>347</v>
      </c>
      <c r="F37" s="316" t="str">
        <f>IF(VLOOKUP(C37,KanckRef!$A$2:$D$172,4,FALSE)="None","No","Yes")</f>
        <v>No</v>
      </c>
      <c r="H37" s="313" t="s">
        <v>1045</v>
      </c>
      <c r="I37" s="313" t="str">
        <f>IF(H37="God",'House Rules'!$B$2,IF(H37="Demi",'House Rules'!$B$1,IF(H37="Comp",'House Rules'!$B$4,IF(H37="Yaz",'House Rules'!$B$5,IF(H37="Rag",'House Rules'!$B$3,"Available")))))</f>
        <v>Available</v>
      </c>
    </row>
    <row r="38" spans="1:9" x14ac:dyDescent="0.25">
      <c r="A38" s="313">
        <f t="shared" si="3"/>
        <v>0</v>
      </c>
      <c r="B38" s="313">
        <f t="shared" si="2"/>
        <v>0</v>
      </c>
      <c r="C38" s="541" t="s">
        <v>396</v>
      </c>
      <c r="D38" s="539" t="str">
        <f>IF(AND(E23&gt;D23-1,E1=D1,E38="No"),"No",IF(AND('House Rules'!$B$2="Available",CharacterSheet!$F$7&gt;0),"Yes","No"))</f>
        <v>No</v>
      </c>
      <c r="E38" s="558" t="s">
        <v>347</v>
      </c>
      <c r="F38" s="316" t="str">
        <f>IF(VLOOKUP(C38,KanckRef!$A$2:$D$172,4,FALSE)="None","No","Yes")</f>
        <v>No</v>
      </c>
      <c r="H38" s="313" t="s">
        <v>5</v>
      </c>
      <c r="I38" s="313" t="str">
        <f>IF(H38="God",'House Rules'!$B$2,IF(H38="Demi",'House Rules'!$B$1,IF(H38="Comp",'House Rules'!$B$4,IF(H38="Yaz",'House Rules'!$B$5,IF(H38="Rag",'House Rules'!$B$3,"Available")))))</f>
        <v>Available</v>
      </c>
    </row>
    <row r="39" spans="1:9" x14ac:dyDescent="0.25">
      <c r="A39" s="313">
        <f t="shared" si="3"/>
        <v>0</v>
      </c>
      <c r="B39" s="313">
        <f t="shared" si="2"/>
        <v>0</v>
      </c>
      <c r="C39" s="541" t="s">
        <v>397</v>
      </c>
      <c r="D39" s="539" t="str">
        <f>IF(AND(E23&gt;D23-1,E1=D1,E39="No"),"No",IF(AND(E41="Yes",'House Rules'!$B$4="Available",CharacterSheet!$F$7&gt;0),"Yes","No"))</f>
        <v>No</v>
      </c>
      <c r="E39" s="558" t="s">
        <v>347</v>
      </c>
      <c r="F39" s="316" t="str">
        <f>IF(VLOOKUP(C39,KanckRef!$A$2:$D$172,4,FALSE)="None","No","Yes")</f>
        <v>No</v>
      </c>
      <c r="H39" s="313" t="s">
        <v>1046</v>
      </c>
      <c r="I39" s="313" t="str">
        <f>IF(H39="God",'House Rules'!$B$2,IF(H39="Demi",'House Rules'!$B$1,IF(H39="Comp",'House Rules'!$B$4,IF(H39="Yaz",'House Rules'!$B$5,IF(H39="Rag",'House Rules'!$B$3,"Available")))))</f>
        <v>Available</v>
      </c>
    </row>
    <row r="40" spans="1:9" x14ac:dyDescent="0.25">
      <c r="A40" s="313">
        <f t="shared" si="3"/>
        <v>0</v>
      </c>
      <c r="B40" s="313">
        <f t="shared" si="2"/>
        <v>0</v>
      </c>
      <c r="C40" s="541" t="s">
        <v>398</v>
      </c>
      <c r="D40" s="539" t="str">
        <f>IF(AND(E23&gt;D23-1,E1=D1,E40="No"),"No",IF(AND(E33="Yes",'House Rules'!$B$1="Available",CharacterSheet!$F$7&gt;0),"Yes","No"))</f>
        <v>No</v>
      </c>
      <c r="E40" s="558" t="s">
        <v>347</v>
      </c>
      <c r="F40" s="316" t="str">
        <f>IF(VLOOKUP(C40,KanckRef!$A$2:$D$172,4,FALSE)="None","No","Yes")</f>
        <v>No</v>
      </c>
      <c r="H40" s="313" t="s">
        <v>1045</v>
      </c>
      <c r="I40" s="313" t="str">
        <f>IF(H40="God",'House Rules'!$B$2,IF(H40="Demi",'House Rules'!$B$1,IF(H40="Comp",'House Rules'!$B$4,IF(H40="Yaz",'House Rules'!$B$5,IF(H40="Rag",'House Rules'!$B$3,"Available")))))</f>
        <v>Available</v>
      </c>
    </row>
    <row r="41" spans="1:9" x14ac:dyDescent="0.25">
      <c r="A41" s="313">
        <f t="shared" si="3"/>
        <v>0</v>
      </c>
      <c r="B41" s="313">
        <f t="shared" si="2"/>
        <v>0</v>
      </c>
      <c r="C41" s="541" t="s">
        <v>399</v>
      </c>
      <c r="D41" s="539" t="str">
        <f>IF(AND(E23&gt;D23-1,E1=D1,E41="No"),"No",IF(AND(CharacterSheet!$F$7&gt;0),"Yes","No"))</f>
        <v>No</v>
      </c>
      <c r="E41" s="558" t="s">
        <v>347</v>
      </c>
      <c r="F41" s="316" t="str">
        <f>IF(VLOOKUP(C41,KanckRef!$A$2:$D$172,4,FALSE)="None","No","Yes")</f>
        <v>No</v>
      </c>
      <c r="H41" s="313" t="s">
        <v>133</v>
      </c>
      <c r="I41" s="313" t="str">
        <f>IF(H41="God",'House Rules'!$B$2,IF(H41="Demi",'House Rules'!$B$1,IF(H41="Comp",'House Rules'!$B$4,IF(H41="Yaz",'House Rules'!$B$5,IF(H41="Rag",'House Rules'!$B$3,"Available")))))</f>
        <v>Available</v>
      </c>
    </row>
    <row r="42" spans="1:9" x14ac:dyDescent="0.25">
      <c r="A42" s="313">
        <f t="shared" si="3"/>
        <v>0</v>
      </c>
      <c r="B42" s="313">
        <f t="shared" si="2"/>
        <v>0</v>
      </c>
      <c r="C42" s="541" t="s">
        <v>400</v>
      </c>
      <c r="D42" s="539" t="str">
        <f>IF(AND(E23&gt;D23-1,E1=D1,E42="No"),"No",IF(AND(CharacterSheet!$F$7&gt;0),"Yes","No"))</f>
        <v>No</v>
      </c>
      <c r="E42" s="558" t="s">
        <v>347</v>
      </c>
      <c r="F42" s="316" t="str">
        <f>IF(VLOOKUP(C42,KanckRef!$A$2:$D$172,4,FALSE)="None","No","Yes")</f>
        <v>No</v>
      </c>
      <c r="H42" s="313" t="s">
        <v>133</v>
      </c>
      <c r="I42" s="313" t="str">
        <f>IF(H42="God",'House Rules'!$B$2,IF(H42="Demi",'House Rules'!$B$1,IF(H42="Comp",'House Rules'!$B$4,IF(H42="Yaz",'House Rules'!$B$5,IF(H42="Rag",'House Rules'!$B$3,"Available")))))</f>
        <v>Available</v>
      </c>
    </row>
    <row r="43" spans="1:9" ht="15.75" thickBot="1" x14ac:dyDescent="0.3">
      <c r="A43" s="313">
        <f t="shared" si="3"/>
        <v>0</v>
      </c>
      <c r="B43" s="313">
        <f t="shared" si="2"/>
        <v>0</v>
      </c>
      <c r="C43" s="511" t="s">
        <v>401</v>
      </c>
      <c r="D43" s="538" t="str">
        <f>IF(AND(E23&gt;D23-1,E1=D1,E43="No"),"No",IF(AND(E42="Yes",'House Rules'!$B$1="Available",CharacterSheet!$F$7&gt;0),"Yes","No"))</f>
        <v>No</v>
      </c>
      <c r="E43" s="557" t="s">
        <v>347</v>
      </c>
      <c r="F43" s="316" t="str">
        <f>IF(VLOOKUP(C43,KanckRef!$A$2:$D$172,4,FALSE)="None","No","Yes")</f>
        <v>No</v>
      </c>
      <c r="H43" s="313" t="s">
        <v>1045</v>
      </c>
      <c r="I43" s="313" t="str">
        <f>IF(H43="God",'House Rules'!$B$2,IF(H43="Demi",'House Rules'!$B$1,IF(H43="Comp",'House Rules'!$B$4,IF(H43="Yaz",'House Rules'!$B$5,IF(H43="Rag",'House Rules'!$B$3,"Available")))))</f>
        <v>Available</v>
      </c>
    </row>
    <row r="44" spans="1:9" x14ac:dyDescent="0.25">
      <c r="A44" s="313">
        <f t="shared" si="3"/>
        <v>0</v>
      </c>
      <c r="B44" s="313">
        <f t="shared" si="2"/>
        <v>0</v>
      </c>
      <c r="C44" s="532" t="s">
        <v>1785</v>
      </c>
      <c r="D44" s="533">
        <f>CharacterSheet!F8+COUNTIF(Creation!AN6:AS33,"Stamina")+COUNTIF(DemigodConversion!AN6:AS33,"Stamina")+COUNTIF(GodConversion!AN6:AS33,"Stamina")</f>
        <v>0</v>
      </c>
      <c r="E44" s="510">
        <f>COUNTIF(E46:E67,"Yes")</f>
        <v>0</v>
      </c>
      <c r="F44" s="316"/>
      <c r="H44" s="313" t="e">
        <v>#N/A</v>
      </c>
      <c r="I44" s="313" t="e">
        <f>IF(H44="God",'House Rules'!$B$2,IF(H44="Demi",'House Rules'!$B$1,IF(H44="Comp",'House Rules'!$B$4,IF(H44="Yaz",'House Rules'!$B$5,IF(H44="Rag",'House Rules'!$B$3,"Available")))))</f>
        <v>#N/A</v>
      </c>
    </row>
    <row r="45" spans="1:9" ht="15.75" thickBot="1" x14ac:dyDescent="0.3">
      <c r="A45" s="313">
        <f t="shared" si="3"/>
        <v>0</v>
      </c>
      <c r="B45" s="313">
        <f t="shared" si="2"/>
        <v>0</v>
      </c>
      <c r="C45" s="534" t="s">
        <v>62</v>
      </c>
      <c r="D45" s="535" t="s">
        <v>1782</v>
      </c>
      <c r="E45" s="543" t="s">
        <v>1791</v>
      </c>
      <c r="F45" s="316"/>
      <c r="H45" s="313" t="s">
        <v>131</v>
      </c>
      <c r="I45" s="313" t="str">
        <f>IF(H45="God",'House Rules'!$B$2,IF(H45="Demi",'House Rules'!$B$1,IF(H45="Comp",'House Rules'!$B$4,IF(H45="Yaz",'House Rules'!$B$5,IF(H45="Rag",'House Rules'!$B$3,"Available")))))</f>
        <v>Available</v>
      </c>
    </row>
    <row r="46" spans="1:9" x14ac:dyDescent="0.25">
      <c r="A46" s="313">
        <f t="shared" si="3"/>
        <v>0</v>
      </c>
      <c r="B46" s="313">
        <f t="shared" si="2"/>
        <v>0</v>
      </c>
      <c r="C46" s="512" t="s">
        <v>105</v>
      </c>
      <c r="D46" s="540" t="str">
        <f>IF(AND(E44&gt;D44-1,E1=D1,E46="No"),"No",IF(AND('House Rules'!$B$1="Available",CharacterSheet!$F$8&gt;0),"Yes","No"))</f>
        <v>No</v>
      </c>
      <c r="E46" s="561" t="s">
        <v>347</v>
      </c>
      <c r="F46" s="316" t="str">
        <f>IF(VLOOKUP(C46,KanckRef!$A$2:$D$172,4,FALSE)="None","No","Yes")</f>
        <v>No</v>
      </c>
      <c r="H46" s="313" t="s">
        <v>1045</v>
      </c>
      <c r="I46" s="313" t="str">
        <f>IF(H46="God",'House Rules'!$B$2,IF(H46="Demi",'House Rules'!$B$1,IF(H46="Comp",'House Rules'!$B$4,IF(H46="Yaz",'House Rules'!$B$5,IF(H46="Rag",'House Rules'!$B$3,"Available")))))</f>
        <v>Available</v>
      </c>
    </row>
    <row r="47" spans="1:9" x14ac:dyDescent="0.25">
      <c r="A47" s="313">
        <f t="shared" si="3"/>
        <v>0</v>
      </c>
      <c r="B47" s="313">
        <f t="shared" si="2"/>
        <v>0</v>
      </c>
      <c r="C47" s="541" t="s">
        <v>402</v>
      </c>
      <c r="D47" s="539" t="str">
        <f>IF(AND(E44&gt;D44-1,E1=D1,E47="No"),"No",IF(AND(CharacterSheet!$F$8&gt;0),"Yes","No"))</f>
        <v>No</v>
      </c>
      <c r="E47" s="558" t="s">
        <v>347</v>
      </c>
      <c r="F47" s="316" t="str">
        <f>IF(VLOOKUP(C47,KanckRef!$A$2:$D$172,4,FALSE)="None","No","Yes")</f>
        <v>No</v>
      </c>
      <c r="H47" s="313" t="s">
        <v>133</v>
      </c>
      <c r="I47" s="313" t="str">
        <f>IF(H47="God",'House Rules'!$B$2,IF(H47="Demi",'House Rules'!$B$1,IF(H47="Comp",'House Rules'!$B$4,IF(H47="Yaz",'House Rules'!$B$5,IF(H47="Rag",'House Rules'!$B$3,"Available")))))</f>
        <v>Available</v>
      </c>
    </row>
    <row r="48" spans="1:9" x14ac:dyDescent="0.25">
      <c r="A48" s="313">
        <f t="shared" si="3"/>
        <v>0</v>
      </c>
      <c r="B48" s="313">
        <f t="shared" si="2"/>
        <v>0</v>
      </c>
      <c r="C48" s="541" t="s">
        <v>403</v>
      </c>
      <c r="D48" s="539" t="str">
        <f>IF(AND(E44&gt;D44-1,E1=D1,E48="No"),"No",IF(AND(E56="Yes",'House Rules'!$B$1="Available",CharacterSheet!$F$8&gt;0),"Yes","No"))</f>
        <v>No</v>
      </c>
      <c r="E48" s="558" t="s">
        <v>347</v>
      </c>
      <c r="F48" s="316" t="str">
        <f>IF(VLOOKUP(C48,KanckRef!$A$2:$D$172,4,FALSE)="None","No","Yes")</f>
        <v>No</v>
      </c>
      <c r="H48" s="313" t="s">
        <v>1045</v>
      </c>
      <c r="I48" s="313" t="str">
        <f>IF(H48="God",'House Rules'!$B$2,IF(H48="Demi",'House Rules'!$B$1,IF(H48="Comp",'House Rules'!$B$4,IF(H48="Yaz",'House Rules'!$B$5,IF(H48="Rag",'House Rules'!$B$3,"Available")))))</f>
        <v>Available</v>
      </c>
    </row>
    <row r="49" spans="1:9" x14ac:dyDescent="0.25">
      <c r="A49" s="313">
        <f t="shared" si="3"/>
        <v>0</v>
      </c>
      <c r="B49" s="313">
        <f t="shared" si="2"/>
        <v>0</v>
      </c>
      <c r="C49" s="541" t="s">
        <v>404</v>
      </c>
      <c r="D49" s="539" t="str">
        <f>IF(AND(E44&gt;D44-1,E1=D1,E49="No"),"No",IF(AND(E47="Yes",'House Rules'!$B$2="Available",CharacterSheet!$F$8&gt;0),"Yes","No"))</f>
        <v>No</v>
      </c>
      <c r="E49" s="558" t="s">
        <v>347</v>
      </c>
      <c r="F49" s="316" t="str">
        <f>IF(VLOOKUP(C49,KanckRef!$A$2:$D$172,4,FALSE)="None","No","Yes")</f>
        <v>No</v>
      </c>
      <c r="H49" s="313" t="s">
        <v>5</v>
      </c>
      <c r="I49" s="313" t="str">
        <f>IF(H49="God",'House Rules'!$B$2,IF(H49="Demi",'House Rules'!$B$1,IF(H49="Comp",'House Rules'!$B$4,IF(H49="Yaz",'House Rules'!$B$5,IF(H49="Rag",'House Rules'!$B$3,"Available")))))</f>
        <v>Available</v>
      </c>
    </row>
    <row r="50" spans="1:9" x14ac:dyDescent="0.25">
      <c r="A50" s="313">
        <f t="shared" si="3"/>
        <v>0</v>
      </c>
      <c r="B50" s="313">
        <f t="shared" si="2"/>
        <v>0</v>
      </c>
      <c r="C50" s="541" t="s">
        <v>2271</v>
      </c>
      <c r="D50" s="539" t="str">
        <f>IF(AND(E44&gt;D44-1,E1=D1,E50="No"),"No",IF(AND(E54="Yes",'House Rules'!$B$1="Available",CharacterSheet!$F$8&gt;0),"Yes","No"))</f>
        <v>No</v>
      </c>
      <c r="E50" s="558" t="s">
        <v>347</v>
      </c>
      <c r="F50" s="316" t="str">
        <f>IF(VLOOKUP(C50,KanckRef!$A$2:$D$172,4,FALSE)="None","No","Yes")</f>
        <v>No</v>
      </c>
      <c r="H50" s="313" t="s">
        <v>1045</v>
      </c>
      <c r="I50" s="313" t="str">
        <f>IF(H50="God",'House Rules'!$B$2,IF(H50="Demi",'House Rules'!$B$1,IF(H50="Comp",'House Rules'!$B$4,IF(H50="Yaz",'House Rules'!$B$5,IF(H50="Rag",'House Rules'!$B$3,"Available")))))</f>
        <v>Available</v>
      </c>
    </row>
    <row r="51" spans="1:9" x14ac:dyDescent="0.25">
      <c r="A51" s="313">
        <f t="shared" si="3"/>
        <v>0</v>
      </c>
      <c r="B51" s="313">
        <f t="shared" si="2"/>
        <v>0</v>
      </c>
      <c r="C51" s="541" t="s">
        <v>2272</v>
      </c>
      <c r="D51" s="539" t="str">
        <f>IF(AND(E44&gt;D44-1,E1=D1,E51="No"),"No",IF(AND(E54="Yes",'House Rules'!$B$1="Available",CharacterSheet!$F$8&gt;0),"Yes","No"))</f>
        <v>No</v>
      </c>
      <c r="E51" s="558" t="s">
        <v>347</v>
      </c>
      <c r="F51" s="316" t="str">
        <f>IF(VLOOKUP(C51,KanckRef!$A$2:$D$172,4,FALSE)="None","No","Yes")</f>
        <v>No</v>
      </c>
      <c r="H51" s="313" t="s">
        <v>1045</v>
      </c>
      <c r="I51" s="313" t="str">
        <f>IF(H51="God",'House Rules'!$B$2,IF(H51="Demi",'House Rules'!$B$1,IF(H51="Comp",'House Rules'!$B$4,IF(H51="Yaz",'House Rules'!$B$5,IF(H51="Rag",'House Rules'!$B$3,"Available")))))</f>
        <v>Available</v>
      </c>
    </row>
    <row r="52" spans="1:9" x14ac:dyDescent="0.25">
      <c r="A52" s="313">
        <f t="shared" si="3"/>
        <v>0</v>
      </c>
      <c r="B52" s="313">
        <f t="shared" si="2"/>
        <v>0</v>
      </c>
      <c r="C52" s="541" t="s">
        <v>2273</v>
      </c>
      <c r="D52" s="539" t="str">
        <f>IF(AND(E44&gt;D44-1,E1=D1,E52="No"),"No",IF(AND(E54="Yes",'House Rules'!$B$1="Available",CharacterSheet!$F$8&gt;0),"Yes","No"))</f>
        <v>No</v>
      </c>
      <c r="E52" s="558" t="s">
        <v>347</v>
      </c>
      <c r="F52" s="316" t="str">
        <f>IF(VLOOKUP(C52,KanckRef!$A$2:$D$172,4,FALSE)="None","No","Yes")</f>
        <v>No</v>
      </c>
      <c r="H52" s="313" t="s">
        <v>1045</v>
      </c>
      <c r="I52" s="313" t="str">
        <f>IF(H52="God",'House Rules'!$B$2,IF(H52="Demi",'House Rules'!$B$1,IF(H52="Comp",'House Rules'!$B$4,IF(H52="Yaz",'House Rules'!$B$5,IF(H52="Rag",'House Rules'!$B$3,"Available")))))</f>
        <v>Available</v>
      </c>
    </row>
    <row r="53" spans="1:9" x14ac:dyDescent="0.25">
      <c r="A53" s="313">
        <f t="shared" si="3"/>
        <v>0</v>
      </c>
      <c r="B53" s="313">
        <f t="shared" si="2"/>
        <v>0</v>
      </c>
      <c r="C53" s="541" t="s">
        <v>406</v>
      </c>
      <c r="D53" s="539" t="str">
        <f>IF(AND(E44&gt;D44-1,E1=D1,E53="No"),"No",IF(AND('House Rules'!$B$2="Available",CharacterSheet!$F$8&gt;0,CharacterSheet!V34&lt;9),"Yes","No"))</f>
        <v>No</v>
      </c>
      <c r="E53" s="531" t="s">
        <v>347</v>
      </c>
      <c r="F53" s="316" t="str">
        <f>IF(VLOOKUP(C53,KanckRef!$A$2:$D$172,4,FALSE)="None","No","Yes")</f>
        <v>No</v>
      </c>
      <c r="H53" s="313" t="s">
        <v>5</v>
      </c>
      <c r="I53" s="313" t="str">
        <f>IF(H53="God",'House Rules'!$B$2,IF(H53="Demi",'House Rules'!$B$1,IF(H53="Comp",'House Rules'!$B$4,IF(H53="Yaz",'House Rules'!$B$5,IF(H53="Rag",'House Rules'!$B$3,"Available")))))</f>
        <v>Available</v>
      </c>
    </row>
    <row r="54" spans="1:9" x14ac:dyDescent="0.25">
      <c r="A54" s="313">
        <f t="shared" si="3"/>
        <v>0</v>
      </c>
      <c r="B54" s="313">
        <f t="shared" si="2"/>
        <v>0</v>
      </c>
      <c r="C54" s="541" t="s">
        <v>407</v>
      </c>
      <c r="D54" s="539" t="str">
        <f>IF(AND(E44&gt;D44-1,E1=D1,E54="No"),"No",IF(AND(CharacterSheet!$F$8&gt;0),"Yes","No"))</f>
        <v>No</v>
      </c>
      <c r="E54" s="558" t="s">
        <v>347</v>
      </c>
      <c r="F54" s="316" t="str">
        <f>IF(VLOOKUP(C54,KanckRef!$A$2:$D$172,4,FALSE)="None","No","Yes")</f>
        <v>No</v>
      </c>
      <c r="H54" s="313" t="s">
        <v>133</v>
      </c>
      <c r="I54" s="313" t="str">
        <f>IF(H54="God",'House Rules'!$B$2,IF(H54="Demi",'House Rules'!$B$1,IF(H54="Comp",'House Rules'!$B$4,IF(H54="Yaz",'House Rules'!$B$5,IF(H54="Rag",'House Rules'!$B$3,"Available")))))</f>
        <v>Available</v>
      </c>
    </row>
    <row r="55" spans="1:9" x14ac:dyDescent="0.25">
      <c r="A55" s="313">
        <f t="shared" si="3"/>
        <v>0</v>
      </c>
      <c r="B55" s="313">
        <f t="shared" si="2"/>
        <v>0</v>
      </c>
      <c r="C55" s="541" t="s">
        <v>408</v>
      </c>
      <c r="D55" s="539" t="str">
        <f>IF(AND(E44&gt;D44-1,E1=D1,E55="No"),"No",IF(AND(E46="Yes",'House Rules'!$B$2="Available",CharacterSheet!$F$8&gt;0),"Yes","No"))</f>
        <v>No</v>
      </c>
      <c r="E55" s="558" t="s">
        <v>347</v>
      </c>
      <c r="F55" s="316" t="str">
        <f>IF(VLOOKUP(C55,KanckRef!$A$2:$D$172,4,FALSE)="None","No","Yes")</f>
        <v>No</v>
      </c>
      <c r="H55" s="313" t="s">
        <v>5</v>
      </c>
      <c r="I55" s="313" t="str">
        <f>IF(H55="God",'House Rules'!$B$2,IF(H55="Demi",'House Rules'!$B$1,IF(H55="Comp",'House Rules'!$B$4,IF(H55="Yaz",'House Rules'!$B$5,IF(H55="Rag",'House Rules'!$B$3,"Available")))))</f>
        <v>Available</v>
      </c>
    </row>
    <row r="56" spans="1:9" x14ac:dyDescent="0.25">
      <c r="A56" s="313">
        <f t="shared" si="3"/>
        <v>0</v>
      </c>
      <c r="B56" s="313">
        <f t="shared" si="2"/>
        <v>0</v>
      </c>
      <c r="C56" s="541" t="s">
        <v>409</v>
      </c>
      <c r="D56" s="539" t="str">
        <f>IF(AND(E44&gt;D44-1,E1=D1,E56="No"),"No",IF(AND(CharacterSheet!$F$8&gt;0),"Yes","No"))</f>
        <v>No</v>
      </c>
      <c r="E56" s="558" t="s">
        <v>347</v>
      </c>
      <c r="F56" s="316" t="str">
        <f>IF(VLOOKUP(C56,KanckRef!$A$2:$D$172,4,FALSE)="None","No","Yes")</f>
        <v>No</v>
      </c>
      <c r="H56" s="313" t="s">
        <v>133</v>
      </c>
      <c r="I56" s="313" t="str">
        <f>IF(H56="God",'House Rules'!$B$2,IF(H56="Demi",'House Rules'!$B$1,IF(H56="Comp",'House Rules'!$B$4,IF(H56="Yaz",'House Rules'!$B$5,IF(H56="Rag",'House Rules'!$B$3,"Available")))))</f>
        <v>Available</v>
      </c>
    </row>
    <row r="57" spans="1:9" x14ac:dyDescent="0.25">
      <c r="A57" s="313">
        <f t="shared" si="3"/>
        <v>0</v>
      </c>
      <c r="B57" s="313">
        <f t="shared" si="2"/>
        <v>0</v>
      </c>
      <c r="C57" s="541" t="s">
        <v>410</v>
      </c>
      <c r="D57" s="539" t="str">
        <f>IF(AND(E44&gt;D44-1,E1=D1,E57="No"),"No",IF(AND(E48="Yes",'House Rules'!$B$2="Available",CharacterSheet!$F$8&gt;0),"Yes","No"))</f>
        <v>No</v>
      </c>
      <c r="E57" s="558" t="s">
        <v>347</v>
      </c>
      <c r="F57" s="316" t="str">
        <f>IF(VLOOKUP(C57,KanckRef!$A$2:$D$172,4,FALSE)="None","No","Yes")</f>
        <v>No</v>
      </c>
      <c r="H57" s="313" t="s">
        <v>5</v>
      </c>
      <c r="I57" s="313" t="str">
        <f>IF(H57="God",'House Rules'!$B$2,IF(H57="Demi",'House Rules'!$B$1,IF(H57="Comp",'House Rules'!$B$4,IF(H57="Yaz",'House Rules'!$B$5,IF(H57="Rag",'House Rules'!$B$3,"Available")))))</f>
        <v>Available</v>
      </c>
    </row>
    <row r="58" spans="1:9" x14ac:dyDescent="0.25">
      <c r="A58" s="313">
        <f t="shared" si="3"/>
        <v>0</v>
      </c>
      <c r="B58" s="313">
        <f t="shared" si="2"/>
        <v>0</v>
      </c>
      <c r="C58" s="541" t="s">
        <v>411</v>
      </c>
      <c r="D58" s="539" t="str">
        <f>IF(AND(E44&gt;D44-1,E1=D1,E58="No"),"No",IF(AND(E46="Yes",'House Rules'!$B$4="Available",CharacterSheet!$F$8&gt;0),"Yes","No"))</f>
        <v>No</v>
      </c>
      <c r="E58" s="558" t="s">
        <v>347</v>
      </c>
      <c r="F58" s="316" t="str">
        <f>IF(VLOOKUP(C58,KanckRef!$A$2:$D$172,4,FALSE)="None","No","Yes")</f>
        <v>No</v>
      </c>
      <c r="H58" s="313" t="s">
        <v>1046</v>
      </c>
      <c r="I58" s="313" t="str">
        <f>IF(H58="God",'House Rules'!$B$2,IF(H58="Demi",'House Rules'!$B$1,IF(H58="Comp",'House Rules'!$B$4,IF(H58="Yaz",'House Rules'!$B$5,IF(H58="Rag",'House Rules'!$B$3,"Available")))))</f>
        <v>Available</v>
      </c>
    </row>
    <row r="59" spans="1:9" x14ac:dyDescent="0.25">
      <c r="A59" s="313">
        <f t="shared" si="3"/>
        <v>0</v>
      </c>
      <c r="B59" s="313">
        <f t="shared" si="2"/>
        <v>0</v>
      </c>
      <c r="C59" s="541" t="s">
        <v>412</v>
      </c>
      <c r="D59" s="539" t="str">
        <f>IF(AND(E44&gt;D44-1,E1=D1,E59="No"),"No",IF(AND('House Rules'!$B$4="Available",CharacterSheet!$F$8&gt;0),"Yes","No"))</f>
        <v>No</v>
      </c>
      <c r="E59" s="558" t="s">
        <v>347</v>
      </c>
      <c r="F59" s="316" t="str">
        <f>IF(VLOOKUP(C59,KanckRef!$A$2:$D$172,4,FALSE)="None","No","Yes")</f>
        <v>No</v>
      </c>
      <c r="H59" s="313" t="s">
        <v>1046</v>
      </c>
      <c r="I59" s="313" t="str">
        <f>IF(H59="God",'House Rules'!$B$2,IF(H59="Demi",'House Rules'!$B$1,IF(H59="Comp",'House Rules'!$B$4,IF(H59="Yaz",'House Rules'!$B$5,IF(H59="Rag",'House Rules'!$B$3,"Available")))))</f>
        <v>Available</v>
      </c>
    </row>
    <row r="60" spans="1:9" x14ac:dyDescent="0.25">
      <c r="A60" s="313">
        <f t="shared" si="3"/>
        <v>0</v>
      </c>
      <c r="B60" s="313">
        <f t="shared" si="2"/>
        <v>0</v>
      </c>
      <c r="C60" s="541" t="s">
        <v>1039</v>
      </c>
      <c r="D60" s="539" t="str">
        <f>IF(AND(E44&gt;D44-1,E1=D1,E60="No"),"No",IF(AND('House Rules'!$B$3="Available",CharacterSheet!$F$8&gt;0),"Yes","No"))</f>
        <v>No</v>
      </c>
      <c r="E60" s="558" t="s">
        <v>347</v>
      </c>
      <c r="F60" s="316" t="str">
        <f>IF(VLOOKUP(C60,KanckRef!$A$2:$D$172,4,FALSE)="None","No","Yes")</f>
        <v>No</v>
      </c>
      <c r="H60" s="313" t="s">
        <v>350</v>
      </c>
      <c r="I60" s="313" t="str">
        <f>IF(H60="God",'House Rules'!$B$2,IF(H60="Demi",'House Rules'!$B$1,IF(H60="Comp",'House Rules'!$B$4,IF(H60="Yaz",'House Rules'!$B$5,IF(H60="Rag",'House Rules'!$B$3,"Available")))))</f>
        <v>Available</v>
      </c>
    </row>
    <row r="61" spans="1:9" x14ac:dyDescent="0.25">
      <c r="A61" s="313">
        <f t="shared" si="3"/>
        <v>0</v>
      </c>
      <c r="B61" s="313">
        <f t="shared" si="2"/>
        <v>0</v>
      </c>
      <c r="C61" s="541" t="s">
        <v>413</v>
      </c>
      <c r="D61" s="539" t="str">
        <f>IF(AND(E44&gt;D44-1,E1=D1,E61="No"),"No",IF(AND(E62="Yes",'House Rules'!$B$1="Available",CharacterSheet!$F$8&gt;0),"Yes","No"))</f>
        <v>No</v>
      </c>
      <c r="E61" s="558" t="s">
        <v>347</v>
      </c>
      <c r="F61" s="316" t="str">
        <f>IF(VLOOKUP(C61,KanckRef!$A$2:$D$172,4,FALSE)="None","No","Yes")</f>
        <v>No</v>
      </c>
      <c r="H61" s="313" t="s">
        <v>1045</v>
      </c>
      <c r="I61" s="313" t="str">
        <f>IF(H61="God",'House Rules'!$B$2,IF(H61="Demi",'House Rules'!$B$1,IF(H61="Comp",'House Rules'!$B$4,IF(H61="Yaz",'House Rules'!$B$5,IF(H61="Rag",'House Rules'!$B$3,"Available")))))</f>
        <v>Available</v>
      </c>
    </row>
    <row r="62" spans="1:9" x14ac:dyDescent="0.25">
      <c r="A62" s="313">
        <f t="shared" si="3"/>
        <v>0</v>
      </c>
      <c r="B62" s="313">
        <f t="shared" si="2"/>
        <v>0</v>
      </c>
      <c r="C62" s="541" t="s">
        <v>414</v>
      </c>
      <c r="D62" s="539" t="str">
        <f>IF(AND(E44&gt;D44-1,E1=D1,E62="No"),"No",IF(AND(CharacterSheet!$F$8&gt;0),"Yes","No"))</f>
        <v>No</v>
      </c>
      <c r="E62" s="558" t="s">
        <v>347</v>
      </c>
      <c r="F62" s="316" t="str">
        <f>IF(VLOOKUP(C62,KanckRef!$A$2:$D$172,4,FALSE)="None","No","Yes")</f>
        <v>No</v>
      </c>
      <c r="H62" s="313" t="s">
        <v>133</v>
      </c>
      <c r="I62" s="313" t="str">
        <f>IF(H62="God",'House Rules'!$B$2,IF(H62="Demi",'House Rules'!$B$1,IF(H62="Comp",'House Rules'!$B$4,IF(H62="Yaz",'House Rules'!$B$5,IF(H62="Rag",'House Rules'!$B$3,"Available")))))</f>
        <v>Available</v>
      </c>
    </row>
    <row r="63" spans="1:9" x14ac:dyDescent="0.25">
      <c r="A63" s="313">
        <f t="shared" si="3"/>
        <v>0</v>
      </c>
      <c r="B63" s="313">
        <f t="shared" si="2"/>
        <v>0</v>
      </c>
      <c r="C63" s="541" t="s">
        <v>415</v>
      </c>
      <c r="D63" s="539" t="str">
        <f>IF(AND(E44&gt;D44-1,E1=D1,E63="No"),"No",IF(AND('House Rules'!$B$1="Available",CharacterSheet!$F$8&gt;0),"Yes","No"))</f>
        <v>No</v>
      </c>
      <c r="E63" s="558" t="s">
        <v>347</v>
      </c>
      <c r="F63" s="316" t="str">
        <f>IF(VLOOKUP(C63,KanckRef!$A$2:$D$172,4,FALSE)="None","No","Yes")</f>
        <v>No</v>
      </c>
      <c r="H63" s="313" t="s">
        <v>1045</v>
      </c>
      <c r="I63" s="313" t="str">
        <f>IF(H63="God",'House Rules'!$B$2,IF(H63="Demi",'House Rules'!$B$1,IF(H63="Comp",'House Rules'!$B$4,IF(H63="Yaz",'House Rules'!$B$5,IF(H63="Rag",'House Rules'!$B$3,"Available")))))</f>
        <v>Available</v>
      </c>
    </row>
    <row r="64" spans="1:9" x14ac:dyDescent="0.25">
      <c r="A64" s="313">
        <f t="shared" si="3"/>
        <v>0</v>
      </c>
      <c r="B64" s="313">
        <f t="shared" si="2"/>
        <v>0</v>
      </c>
      <c r="C64" s="541" t="s">
        <v>416</v>
      </c>
      <c r="D64" s="539" t="str">
        <f>IF(AND(E44&gt;D44-1,E1=D1,E64="No"),"No",IF(AND(CharacterSheet!$F$8&gt;0,$E$147="No",$E$146="No",$E$178="No"),"Yes","No"))</f>
        <v>No</v>
      </c>
      <c r="E64" s="558" t="s">
        <v>347</v>
      </c>
      <c r="F64" s="316" t="str">
        <f>IF(VLOOKUP(C64,KanckRef!$A$2:$D$172,4,FALSE)="None","No","Yes")</f>
        <v>No</v>
      </c>
      <c r="H64" s="313" t="s">
        <v>133</v>
      </c>
      <c r="I64" s="313" t="str">
        <f>IF(H64="God",'House Rules'!$B$2,IF(H64="Demi",'House Rules'!$B$1,IF(H64="Comp",'House Rules'!$B$4,IF(H64="Yaz",'House Rules'!$B$5,IF(H64="Rag",'House Rules'!$B$3,"Available")))))</f>
        <v>Available</v>
      </c>
    </row>
    <row r="65" spans="1:9" x14ac:dyDescent="0.25">
      <c r="A65" s="313">
        <f t="shared" si="3"/>
        <v>0</v>
      </c>
      <c r="B65" s="313">
        <f t="shared" si="2"/>
        <v>0</v>
      </c>
      <c r="C65" s="541" t="s">
        <v>417</v>
      </c>
      <c r="D65" s="539" t="str">
        <f>IF(AND(E44&gt;D44-1,E1=D1,E65="No"),"No",IF(AND(OR(E50="Yes",E51="Yes",E52="Yes"),'House Rules'!$B$2="Available",CharacterSheet!$F$8&gt;0),"Yes","No"))</f>
        <v>No</v>
      </c>
      <c r="E65" s="558" t="s">
        <v>347</v>
      </c>
      <c r="F65" s="316" t="str">
        <f>IF(VLOOKUP(C65,KanckRef!$A$2:$D$172,4,FALSE)="None","No","Yes")</f>
        <v>No</v>
      </c>
      <c r="H65" s="313" t="s">
        <v>5</v>
      </c>
      <c r="I65" s="313" t="str">
        <f>IF(H65="God",'House Rules'!$B$2,IF(H65="Demi",'House Rules'!$B$1,IF(H65="Comp",'House Rules'!$B$4,IF(H65="Yaz",'House Rules'!$B$5,IF(H65="Rag",'House Rules'!$B$3,"Available")))))</f>
        <v>Available</v>
      </c>
    </row>
    <row r="66" spans="1:9" x14ac:dyDescent="0.25">
      <c r="A66" s="313">
        <f t="shared" si="3"/>
        <v>0</v>
      </c>
      <c r="B66" s="313">
        <f t="shared" si="2"/>
        <v>0</v>
      </c>
      <c r="C66" s="541" t="s">
        <v>418</v>
      </c>
      <c r="D66" s="539" t="str">
        <f>IF(AND(E44&gt;D44-1,E1=D1,E66="No"),"No",IF(AND('House Rules'!$B$4="Available",CharacterSheet!$F$8&gt;0),"Yes","No"))</f>
        <v>No</v>
      </c>
      <c r="E66" s="558" t="s">
        <v>347</v>
      </c>
      <c r="F66" s="316" t="str">
        <f>IF(VLOOKUP(C66,KanckRef!$A$2:$D$172,4,FALSE)="None","No","Yes")</f>
        <v>No</v>
      </c>
      <c r="H66" s="313" t="s">
        <v>1046</v>
      </c>
      <c r="I66" s="313" t="str">
        <f>IF(H66="God",'House Rules'!$B$2,IF(H66="Demi",'House Rules'!$B$1,IF(H66="Comp",'House Rules'!$B$4,IF(H66="Yaz",'House Rules'!$B$5,IF(H66="Rag",'House Rules'!$B$3,"Available")))))</f>
        <v>Available</v>
      </c>
    </row>
    <row r="67" spans="1:9" ht="15.75" thickBot="1" x14ac:dyDescent="0.3">
      <c r="A67" s="313">
        <f t="shared" si="3"/>
        <v>0</v>
      </c>
      <c r="B67" s="313">
        <f t="shared" si="2"/>
        <v>0</v>
      </c>
      <c r="C67" s="511" t="s">
        <v>1040</v>
      </c>
      <c r="D67" s="538" t="str">
        <f>IF(AND(E44&gt;D44-1,E1=D1,E67="No"),"No",IF(AND('House Rules'!$B$3="Available",CharacterSheet!$F$8&gt;0),"Yes","No"))</f>
        <v>No</v>
      </c>
      <c r="E67" s="557" t="s">
        <v>347</v>
      </c>
      <c r="F67" s="316" t="str">
        <f>IF(VLOOKUP(C67,KanckRef!$A$2:$D$172,4,FALSE)="None","No","Yes")</f>
        <v>No</v>
      </c>
      <c r="H67" s="313" t="s">
        <v>350</v>
      </c>
      <c r="I67" s="313" t="str">
        <f>IF(H67="God",'House Rules'!$B$2,IF(H67="Demi",'House Rules'!$B$1,IF(H67="Comp",'House Rules'!$B$4,IF(H67="Yaz",'House Rules'!$B$5,IF(H67="Rag",'House Rules'!$B$3,"Available")))))</f>
        <v>Available</v>
      </c>
    </row>
    <row r="68" spans="1:9" x14ac:dyDescent="0.25">
      <c r="A68" s="313">
        <f t="shared" ref="A68:A99" si="4">IF(E68="yes",A67+1,A67)</f>
        <v>0</v>
      </c>
      <c r="B68" s="313">
        <f t="shared" si="2"/>
        <v>0</v>
      </c>
      <c r="C68" s="532" t="s">
        <v>1786</v>
      </c>
      <c r="D68" s="533">
        <f>CharacterSheet!N6+COUNTIF(Creation!AN6:AS33,"Charisma")+COUNTIF(DemigodConversion!AN6:AS33,"Charisma")+COUNTIF(GodConversion!AN6:AS33,"Charisma")</f>
        <v>0</v>
      </c>
      <c r="E68" s="510">
        <f>COUNTIF(E70:E87,"Yes")</f>
        <v>0</v>
      </c>
      <c r="F68" s="316"/>
      <c r="H68" s="313" t="e">
        <v>#N/A</v>
      </c>
      <c r="I68" s="313" t="e">
        <f>IF(H68="God",'House Rules'!$B$2,IF(H68="Demi",'House Rules'!$B$1,IF(H68="Comp",'House Rules'!$B$4,IF(H68="Yaz",'House Rules'!$B$5,IF(H68="Rag",'House Rules'!$B$3,"Available")))))</f>
        <v>#N/A</v>
      </c>
    </row>
    <row r="69" spans="1:9" ht="15.75" thickBot="1" x14ac:dyDescent="0.3">
      <c r="A69" s="313">
        <f t="shared" si="4"/>
        <v>0</v>
      </c>
      <c r="B69" s="313">
        <f t="shared" si="2"/>
        <v>0</v>
      </c>
      <c r="C69" s="534" t="s">
        <v>62</v>
      </c>
      <c r="D69" s="535" t="s">
        <v>1782</v>
      </c>
      <c r="E69" s="543" t="s">
        <v>1791</v>
      </c>
      <c r="F69" s="316"/>
      <c r="H69" s="313" t="s">
        <v>131</v>
      </c>
      <c r="I69" s="313" t="str">
        <f>IF(H69="God",'House Rules'!$B$2,IF(H69="Demi",'House Rules'!$B$1,IF(H69="Comp",'House Rules'!$B$4,IF(H69="Yaz",'House Rules'!$B$5,IF(H69="Rag",'House Rules'!$B$3,"Available")))))</f>
        <v>Available</v>
      </c>
    </row>
    <row r="70" spans="1:9" x14ac:dyDescent="0.25">
      <c r="A70" s="313">
        <f t="shared" si="4"/>
        <v>0</v>
      </c>
      <c r="B70" s="313">
        <f t="shared" si="2"/>
        <v>0</v>
      </c>
      <c r="C70" s="512" t="s">
        <v>419</v>
      </c>
      <c r="D70" s="540" t="str">
        <f>IF(AND(E68&gt;D68-1,E1=D1,E70="No"),"No",IF(AND(CharacterSheet!$N$6&gt;0),"Yes","No"))</f>
        <v>No</v>
      </c>
      <c r="E70" s="561" t="s">
        <v>347</v>
      </c>
      <c r="F70" s="316" t="str">
        <f>IF(VLOOKUP(C70,KanckRef!$A$2:$D$172,4,FALSE)="None","No","Yes")</f>
        <v>No</v>
      </c>
      <c r="H70" s="313" t="s">
        <v>133</v>
      </c>
      <c r="I70" s="313" t="str">
        <f>IF(H70="God",'House Rules'!$B$2,IF(H70="Demi",'House Rules'!$B$1,IF(H70="Comp",'House Rules'!$B$4,IF(H70="Yaz",'House Rules'!$B$5,IF(H70="Rag",'House Rules'!$B$3,"Available")))))</f>
        <v>Available</v>
      </c>
    </row>
    <row r="71" spans="1:9" x14ac:dyDescent="0.25">
      <c r="A71" s="313">
        <f t="shared" si="4"/>
        <v>0</v>
      </c>
      <c r="B71" s="313">
        <f t="shared" si="2"/>
        <v>0</v>
      </c>
      <c r="C71" s="541" t="s">
        <v>420</v>
      </c>
      <c r="D71" s="539" t="str">
        <f>IF(AND(E68&gt;D68-1,E1=D1,E71="No"),"No",IF(AND(E73="Yes",'House Rules'!$B$1="Available",CharacterSheet!$N$6&gt;0),"Yes","No"))</f>
        <v>No</v>
      </c>
      <c r="E71" s="558" t="s">
        <v>347</v>
      </c>
      <c r="F71" s="316" t="str">
        <f>IF(VLOOKUP(C71,KanckRef!$A$2:$D$172,4,FALSE)="None","No","Yes")</f>
        <v>No</v>
      </c>
      <c r="H71" s="313" t="s">
        <v>1045</v>
      </c>
      <c r="I71" s="313" t="str">
        <f>IF(H71="God",'House Rules'!$B$2,IF(H71="Demi",'House Rules'!$B$1,IF(H71="Comp",'House Rules'!$B$4,IF(H71="Yaz",'House Rules'!$B$5,IF(H71="Rag",'House Rules'!$B$3,"Available")))))</f>
        <v>Available</v>
      </c>
    </row>
    <row r="72" spans="1:9" x14ac:dyDescent="0.25">
      <c r="A72" s="313">
        <f t="shared" si="4"/>
        <v>0</v>
      </c>
      <c r="B72" s="313">
        <f t="shared" si="2"/>
        <v>0</v>
      </c>
      <c r="C72" s="541" t="s">
        <v>421</v>
      </c>
      <c r="D72" s="539" t="str">
        <f>IF(AND(E68&gt;D68-1,E1=D1,E72="No"),"No",IF(AND(E75="Yes",'House Rules'!$B$4="Available",CharacterSheet!$N$6&gt;0),"Yes","No"))</f>
        <v>No</v>
      </c>
      <c r="E72" s="558" t="s">
        <v>347</v>
      </c>
      <c r="F72" s="316" t="str">
        <f>IF(VLOOKUP(C72,KanckRef!$A$2:$D$172,4,FALSE)="None","No","Yes")</f>
        <v>No</v>
      </c>
      <c r="H72" s="313" t="s">
        <v>1046</v>
      </c>
      <c r="I72" s="313" t="str">
        <f>IF(H72="God",'House Rules'!$B$2,IF(H72="Demi",'House Rules'!$B$1,IF(H72="Comp",'House Rules'!$B$4,IF(H72="Yaz",'House Rules'!$B$5,IF(H72="Rag",'House Rules'!$B$3,"Available")))))</f>
        <v>Available</v>
      </c>
    </row>
    <row r="73" spans="1:9" x14ac:dyDescent="0.25">
      <c r="A73" s="313">
        <f t="shared" si="4"/>
        <v>0</v>
      </c>
      <c r="B73" s="313">
        <f t="shared" si="2"/>
        <v>0</v>
      </c>
      <c r="C73" s="541" t="s">
        <v>422</v>
      </c>
      <c r="D73" s="539" t="str">
        <f>IF(AND(E68&gt;D68-1,E1=D1,E73="No"),"No",IF(AND(CharacterSheet!$N$6&gt;0),"Yes","No"))</f>
        <v>No</v>
      </c>
      <c r="E73" s="558" t="s">
        <v>347</v>
      </c>
      <c r="F73" s="316" t="str">
        <f>IF(VLOOKUP(C73,KanckRef!$A$2:$D$172,4,FALSE)="None","No","Yes")</f>
        <v>No</v>
      </c>
      <c r="H73" s="313" t="s">
        <v>133</v>
      </c>
      <c r="I73" s="313" t="str">
        <f>IF(H73="God",'House Rules'!$B$2,IF(H73="Demi",'House Rules'!$B$1,IF(H73="Comp",'House Rules'!$B$4,IF(H73="Yaz",'House Rules'!$B$5,IF(H73="Rag",'House Rules'!$B$3,"Available")))))</f>
        <v>Available</v>
      </c>
    </row>
    <row r="74" spans="1:9" x14ac:dyDescent="0.25">
      <c r="A74" s="313">
        <f t="shared" si="4"/>
        <v>0</v>
      </c>
      <c r="B74" s="313">
        <f t="shared" si="2"/>
        <v>0</v>
      </c>
      <c r="C74" s="541" t="s">
        <v>423</v>
      </c>
      <c r="D74" s="539" t="str">
        <f>IF(AND(E68&gt;D68-1,E1=D1,E74="No"),"No",IF(AND(E87="Yes",'House Rules'!$B$2="Available",CharacterSheet!$N$6&gt;0),"Yes","No"))</f>
        <v>No</v>
      </c>
      <c r="E74" s="558" t="s">
        <v>347</v>
      </c>
      <c r="F74" s="316" t="str">
        <f>IF(VLOOKUP(C74,KanckRef!$A$2:$D$172,4,FALSE)="None","No","Yes")</f>
        <v>No</v>
      </c>
      <c r="H74" s="313" t="s">
        <v>5</v>
      </c>
      <c r="I74" s="313" t="str">
        <f>IF(H74="God",'House Rules'!$B$2,IF(H74="Demi",'House Rules'!$B$1,IF(H74="Comp",'House Rules'!$B$4,IF(H74="Yaz",'House Rules'!$B$5,IF(H74="Rag",'House Rules'!$B$3,"Available")))))</f>
        <v>Available</v>
      </c>
    </row>
    <row r="75" spans="1:9" x14ac:dyDescent="0.25">
      <c r="A75" s="313">
        <f t="shared" si="4"/>
        <v>0</v>
      </c>
      <c r="B75" s="313">
        <f t="shared" si="2"/>
        <v>0</v>
      </c>
      <c r="C75" s="541" t="s">
        <v>424</v>
      </c>
      <c r="D75" s="539" t="str">
        <f>IF(AND(E68&gt;D68-1,E1=D1,E75="No"),"No",IF(AND('House Rules'!$B$2="Available",CharacterSheet!$N$6&gt;0),"Yes","No"))</f>
        <v>No</v>
      </c>
      <c r="E75" s="558" t="s">
        <v>347</v>
      </c>
      <c r="F75" s="316" t="str">
        <f>IF(VLOOKUP(C75,KanckRef!$A$2:$D$172,4,FALSE)="None","No","Yes")</f>
        <v>Yes</v>
      </c>
      <c r="H75" s="313" t="s">
        <v>5</v>
      </c>
      <c r="I75" s="313" t="str">
        <f>IF(H75="God",'House Rules'!$B$2,IF(H75="Demi",'House Rules'!$B$1,IF(H75="Comp",'House Rules'!$B$4,IF(H75="Yaz",'House Rules'!$B$5,IF(H75="Rag",'House Rules'!$B$3,"Available")))))</f>
        <v>Available</v>
      </c>
    </row>
    <row r="76" spans="1:9" x14ac:dyDescent="0.25">
      <c r="A76" s="313">
        <f t="shared" si="4"/>
        <v>0</v>
      </c>
      <c r="B76" s="313">
        <f t="shared" si="2"/>
        <v>0</v>
      </c>
      <c r="C76" s="541" t="s">
        <v>425</v>
      </c>
      <c r="D76" s="539" t="str">
        <f>IF(AND(E68&gt;D68-1,E1=D1,E76="No"),"No",IF(AND(CharacterSheet!$N$6&gt;0),"Yes","No"))</f>
        <v>No</v>
      </c>
      <c r="E76" s="558" t="s">
        <v>347</v>
      </c>
      <c r="F76" s="316" t="str">
        <f>IF(VLOOKUP(C76,KanckRef!$A$2:$D$172,4,FALSE)="None","No","Yes")</f>
        <v>No</v>
      </c>
      <c r="H76" s="313" t="s">
        <v>133</v>
      </c>
      <c r="I76" s="313" t="str">
        <f>IF(H76="God",'House Rules'!$B$2,IF(H76="Demi",'House Rules'!$B$1,IF(H76="Comp",'House Rules'!$B$4,IF(H76="Yaz",'House Rules'!$B$5,IF(H76="Rag",'House Rules'!$B$3,"Available")))))</f>
        <v>Available</v>
      </c>
    </row>
    <row r="77" spans="1:9" x14ac:dyDescent="0.25">
      <c r="A77" s="313">
        <f t="shared" si="4"/>
        <v>0</v>
      </c>
      <c r="B77" s="313">
        <f t="shared" si="2"/>
        <v>0</v>
      </c>
      <c r="C77" s="541" t="s">
        <v>426</v>
      </c>
      <c r="D77" s="539" t="str">
        <f>IF(AND(E68&gt;D68-1,E1=D1,E77="No"),"No",IF(AND(E76="Yes",'House Rules'!$B$1="Available",CharacterSheet!$N$6&gt;0),"Yes","No"))</f>
        <v>No</v>
      </c>
      <c r="E77" s="558" t="s">
        <v>347</v>
      </c>
      <c r="F77" s="316" t="str">
        <f>IF(VLOOKUP(C77,KanckRef!$A$2:$D$172,4,FALSE)="None","No","Yes")</f>
        <v>Yes</v>
      </c>
      <c r="H77" s="313" t="s">
        <v>1045</v>
      </c>
      <c r="I77" s="313" t="str">
        <f>IF(H77="God",'House Rules'!$B$2,IF(H77="Demi",'House Rules'!$B$1,IF(H77="Comp",'House Rules'!$B$4,IF(H77="Yaz",'House Rules'!$B$5,IF(H77="Rag",'House Rules'!$B$3,"Available")))))</f>
        <v>Available</v>
      </c>
    </row>
    <row r="78" spans="1:9" x14ac:dyDescent="0.25">
      <c r="A78" s="313">
        <f t="shared" si="4"/>
        <v>0</v>
      </c>
      <c r="B78" s="313">
        <f t="shared" si="2"/>
        <v>0</v>
      </c>
      <c r="C78" s="541" t="s">
        <v>427</v>
      </c>
      <c r="D78" s="539" t="str">
        <f>IF(AND(E68&gt;D68-1,E1=D1,E78="No"),"No",IF(AND(E85="Yes",'House Rules'!$B$2="Available",CharacterSheet!$N$6&gt;0),"Yes","No"))</f>
        <v>No</v>
      </c>
      <c r="E78" s="558" t="s">
        <v>347</v>
      </c>
      <c r="F78" s="316" t="str">
        <f>IF(VLOOKUP(C78,KanckRef!$A$2:$D$172,4,FALSE)="None","No","Yes")</f>
        <v>No</v>
      </c>
      <c r="H78" s="313" t="s">
        <v>5</v>
      </c>
      <c r="I78" s="313" t="str">
        <f>IF(H78="God",'House Rules'!$B$2,IF(H78="Demi",'House Rules'!$B$1,IF(H78="Comp",'House Rules'!$B$4,IF(H78="Yaz",'House Rules'!$B$5,IF(H78="Rag",'House Rules'!$B$3,"Available")))))</f>
        <v>Available</v>
      </c>
    </row>
    <row r="79" spans="1:9" x14ac:dyDescent="0.25">
      <c r="A79" s="313">
        <f t="shared" si="4"/>
        <v>0</v>
      </c>
      <c r="B79" s="313">
        <f t="shared" si="2"/>
        <v>0</v>
      </c>
      <c r="C79" s="541" t="s">
        <v>428</v>
      </c>
      <c r="D79" s="539" t="str">
        <f>IF(AND(E68&gt;D68-1,E1=D1,E79="No"),"No",IF(AND(E76="Yes",'House Rules'!$B$2="Available",CharacterSheet!$N$6&gt;0),"Yes","No"))</f>
        <v>No</v>
      </c>
      <c r="E79" s="558" t="s">
        <v>347</v>
      </c>
      <c r="F79" s="316" t="str">
        <f>IF(VLOOKUP(C79,KanckRef!$A$2:$D$172,4,FALSE)="None","No","Yes")</f>
        <v>Yes</v>
      </c>
      <c r="H79" s="313" t="s">
        <v>5</v>
      </c>
      <c r="I79" s="313" t="str">
        <f>IF(H79="God",'House Rules'!$B$2,IF(H79="Demi",'House Rules'!$B$1,IF(H79="Comp",'House Rules'!$B$4,IF(H79="Yaz",'House Rules'!$B$5,IF(H79="Rag",'House Rules'!$B$3,"Available")))))</f>
        <v>Available</v>
      </c>
    </row>
    <row r="80" spans="1:9" x14ac:dyDescent="0.25">
      <c r="A80" s="313">
        <f t="shared" si="4"/>
        <v>0</v>
      </c>
      <c r="B80" s="313">
        <f t="shared" si="2"/>
        <v>0</v>
      </c>
      <c r="C80" s="541" t="s">
        <v>429</v>
      </c>
      <c r="D80" s="539" t="str">
        <f>IF(AND(E68&gt;D68-1,E1=D1,E80="No"),"No",IF(AND('House Rules'!$B$2="Available",CharacterSheet!$N$6&gt;0),"Yes","No"))</f>
        <v>No</v>
      </c>
      <c r="E80" s="558" t="s">
        <v>347</v>
      </c>
      <c r="F80" s="316" t="str">
        <f>IF(VLOOKUP(C80,KanckRef!$A$2:$D$172,4,FALSE)="None","No","Yes")</f>
        <v>No</v>
      </c>
      <c r="H80" s="313" t="s">
        <v>5</v>
      </c>
      <c r="I80" s="313" t="str">
        <f>IF(H80="God",'House Rules'!$B$2,IF(H80="Demi",'House Rules'!$B$1,IF(H80="Comp",'House Rules'!$B$4,IF(H80="Yaz",'House Rules'!$B$5,IF(H80="Rag",'House Rules'!$B$3,"Available")))))</f>
        <v>Available</v>
      </c>
    </row>
    <row r="81" spans="1:9" x14ac:dyDescent="0.25">
      <c r="A81" s="313">
        <f t="shared" si="4"/>
        <v>0</v>
      </c>
      <c r="B81" s="313">
        <f t="shared" si="2"/>
        <v>0</v>
      </c>
      <c r="C81" s="541" t="s">
        <v>430</v>
      </c>
      <c r="D81" s="539" t="str">
        <f>IF(AND(E68&gt;D68-1,E1=D1,E81="No"),"No",IF(AND(CharacterSheet!$N$6&gt;0),"Yes","No"))</f>
        <v>No</v>
      </c>
      <c r="E81" s="558" t="s">
        <v>347</v>
      </c>
      <c r="F81" s="316" t="str">
        <f>IF(VLOOKUP(C81,KanckRef!$A$2:$D$172,4,FALSE)="None","No","Yes")</f>
        <v>No</v>
      </c>
      <c r="H81" s="313" t="s">
        <v>133</v>
      </c>
      <c r="I81" s="313" t="str">
        <f>IF(H81="God",'House Rules'!$B$2,IF(H81="Demi",'House Rules'!$B$1,IF(H81="Comp",'House Rules'!$B$4,IF(H81="Yaz",'House Rules'!$B$5,IF(H81="Rag",'House Rules'!$B$3,"Available")))))</f>
        <v>Available</v>
      </c>
    </row>
    <row r="82" spans="1:9" x14ac:dyDescent="0.25">
      <c r="A82" s="313">
        <f t="shared" si="4"/>
        <v>0</v>
      </c>
      <c r="B82" s="313">
        <f t="shared" si="2"/>
        <v>0</v>
      </c>
      <c r="C82" s="541" t="s">
        <v>431</v>
      </c>
      <c r="D82" s="539" t="str">
        <f>IF(AND(E68&gt;D68-1,E1=D1,E82="No"),"No",IF(AND(E81="Yes",'House Rules'!$B$4="Available",CharacterSheet!$N$6&gt;0),"Yes","No"))</f>
        <v>No</v>
      </c>
      <c r="E82" s="558" t="s">
        <v>347</v>
      </c>
      <c r="F82" s="316" t="str">
        <f>IF(VLOOKUP(C82,KanckRef!$A$2:$D$172,4,FALSE)="None","No","Yes")</f>
        <v>Yes</v>
      </c>
      <c r="H82" s="313" t="s">
        <v>1046</v>
      </c>
      <c r="I82" s="313" t="str">
        <f>IF(H82="God",'House Rules'!$B$2,IF(H82="Demi",'House Rules'!$B$1,IF(H82="Comp",'House Rules'!$B$4,IF(H82="Yaz",'House Rules'!$B$5,IF(H82="Rag",'House Rules'!$B$3,"Available")))))</f>
        <v>Available</v>
      </c>
    </row>
    <row r="83" spans="1:9" x14ac:dyDescent="0.25">
      <c r="A83" s="313">
        <f t="shared" si="4"/>
        <v>0</v>
      </c>
      <c r="B83" s="313">
        <f t="shared" si="2"/>
        <v>0</v>
      </c>
      <c r="C83" s="541" t="s">
        <v>432</v>
      </c>
      <c r="D83" s="539" t="str">
        <f>IF(AND(E68&gt;D68-1,E1=D1,E83="No"),"No",IF(AND(CharacterSheet!$N$6&gt;0),"Yes","No"))</f>
        <v>No</v>
      </c>
      <c r="E83" s="558" t="s">
        <v>347</v>
      </c>
      <c r="F83" s="316" t="str">
        <f>IF(VLOOKUP(C83,KanckRef!$A$2:$D$172,4,FALSE)="None","No","Yes")</f>
        <v>No</v>
      </c>
      <c r="H83" s="313" t="s">
        <v>133</v>
      </c>
      <c r="I83" s="313" t="str">
        <f>IF(H83="God",'House Rules'!$B$2,IF(H83="Demi",'House Rules'!$B$1,IF(H83="Comp",'House Rules'!$B$4,IF(H83="Yaz",'House Rules'!$B$5,IF(H83="Rag",'House Rules'!$B$3,"Available")))))</f>
        <v>Available</v>
      </c>
    </row>
    <row r="84" spans="1:9" x14ac:dyDescent="0.25">
      <c r="A84" s="313">
        <f t="shared" si="4"/>
        <v>0</v>
      </c>
      <c r="B84" s="313">
        <f t="shared" si="2"/>
        <v>0</v>
      </c>
      <c r="C84" s="541" t="s">
        <v>433</v>
      </c>
      <c r="D84" s="539" t="str">
        <f>IF(AND(E68&gt;D68-1,E1=D1,E84="No"),"No",IF(AND(E81="Yes",'House Rules'!$B$4="Available",CharacterSheet!$N$6&gt;0),"Yes","No"))</f>
        <v>No</v>
      </c>
      <c r="E84" s="558" t="s">
        <v>347</v>
      </c>
      <c r="F84" s="316" t="str">
        <f>IF(VLOOKUP(C84,KanckRef!$A$2:$D$172,4,FALSE)="None","No","Yes")</f>
        <v>Yes</v>
      </c>
      <c r="H84" s="313" t="s">
        <v>1046</v>
      </c>
      <c r="I84" s="313" t="str">
        <f>IF(H84="God",'House Rules'!$B$2,IF(H84="Demi",'House Rules'!$B$1,IF(H84="Comp",'House Rules'!$B$4,IF(H84="Yaz",'House Rules'!$B$5,IF(H84="Rag",'House Rules'!$B$3,"Available")))))</f>
        <v>Available</v>
      </c>
    </row>
    <row r="85" spans="1:9" x14ac:dyDescent="0.25">
      <c r="A85" s="313">
        <f t="shared" si="4"/>
        <v>0</v>
      </c>
      <c r="B85" s="313">
        <f t="shared" si="2"/>
        <v>0</v>
      </c>
      <c r="C85" s="541" t="s">
        <v>434</v>
      </c>
      <c r="D85" s="539" t="str">
        <f>IF(AND(E68&gt;D68-1,E1=D1,E85="No"),"No",IF(AND('House Rules'!$B$1="Available",CharacterSheet!$N$6&gt;0),"Yes","No"))</f>
        <v>No</v>
      </c>
      <c r="E85" s="558" t="s">
        <v>347</v>
      </c>
      <c r="F85" s="316" t="str">
        <f>IF(VLOOKUP(C85,KanckRef!$A$2:$D$172,4,FALSE)="None","No","Yes")</f>
        <v>No</v>
      </c>
      <c r="H85" s="313" t="s">
        <v>1045</v>
      </c>
      <c r="I85" s="313" t="str">
        <f>IF(H85="God",'House Rules'!$B$2,IF(H85="Demi",'House Rules'!$B$1,IF(H85="Comp",'House Rules'!$B$4,IF(H85="Yaz",'House Rules'!$B$5,IF(H85="Rag",'House Rules'!$B$3,"Available")))))</f>
        <v>Available</v>
      </c>
    </row>
    <row r="86" spans="1:9" x14ac:dyDescent="0.25">
      <c r="A86" s="313">
        <f t="shared" si="4"/>
        <v>0</v>
      </c>
      <c r="B86" s="313">
        <f t="shared" si="2"/>
        <v>0</v>
      </c>
      <c r="C86" s="541" t="s">
        <v>435</v>
      </c>
      <c r="D86" s="539" t="str">
        <f>IF(AND(E68&gt;D68-1,E1=D1,E86="No"),"No",IF(AND(E81="Yes",'House Rules'!$B$1="Available",CharacterSheet!$N$6&gt;0),"Yes","No"))</f>
        <v>No</v>
      </c>
      <c r="E86" s="558" t="s">
        <v>347</v>
      </c>
      <c r="F86" s="316" t="str">
        <f>IF(VLOOKUP(C86,KanckRef!$A$2:$D$172,4,FALSE)="None","No","Yes")</f>
        <v>No</v>
      </c>
      <c r="H86" s="313" t="s">
        <v>1045</v>
      </c>
      <c r="I86" s="313" t="str">
        <f>IF(H86="God",'House Rules'!$B$2,IF(H86="Demi",'House Rules'!$B$1,IF(H86="Comp",'House Rules'!$B$4,IF(H86="Yaz",'House Rules'!$B$5,IF(H86="Rag",'House Rules'!$B$3,"Available")))))</f>
        <v>Available</v>
      </c>
    </row>
    <row r="87" spans="1:9" ht="15.75" thickBot="1" x14ac:dyDescent="0.3">
      <c r="A87" s="313">
        <f t="shared" si="4"/>
        <v>0</v>
      </c>
      <c r="B87" s="313">
        <f t="shared" si="2"/>
        <v>0</v>
      </c>
      <c r="C87" s="511" t="s">
        <v>436</v>
      </c>
      <c r="D87" s="538" t="str">
        <f>IF(AND(E68&gt;D68-1,E1=D1,E87="No"),"No",IF(AND('House Rules'!$B$1="Available",CharacterSheet!$N$6&gt;0),"Yes","No"))</f>
        <v>No</v>
      </c>
      <c r="E87" s="557" t="s">
        <v>347</v>
      </c>
      <c r="F87" s="316" t="str">
        <f>IF(VLOOKUP(C87,KanckRef!$A$2:$D$172,4,FALSE)="None","No","Yes")</f>
        <v>No</v>
      </c>
      <c r="H87" s="313" t="s">
        <v>1045</v>
      </c>
      <c r="I87" s="313" t="str">
        <f>IF(H87="God",'House Rules'!$B$2,IF(H87="Demi",'House Rules'!$B$1,IF(H87="Comp",'House Rules'!$B$4,IF(H87="Yaz",'House Rules'!$B$5,IF(H87="Rag",'House Rules'!$B$3,"Available")))))</f>
        <v>Available</v>
      </c>
    </row>
    <row r="88" spans="1:9" x14ac:dyDescent="0.25">
      <c r="A88" s="313">
        <f t="shared" si="4"/>
        <v>0</v>
      </c>
      <c r="B88" s="313">
        <f t="shared" ref="B88:B151" si="5">IF(AND(E88="Yes",F88="Yes"),B87+1,B87)</f>
        <v>0</v>
      </c>
      <c r="C88" s="532" t="s">
        <v>1790</v>
      </c>
      <c r="D88" s="533">
        <f>CharacterSheet!N7+COUNTIF(Creation!AN6:AS33,"Manipulation")+COUNTIF(DemigodConversion!AN6:AS33,"Manipulation")+COUNTIF(GodConversion!AN6:AS33,"Manipulation")</f>
        <v>0</v>
      </c>
      <c r="E88" s="510">
        <f>COUNTIF(E90:E107,"Yes")</f>
        <v>0</v>
      </c>
      <c r="F88" s="316"/>
      <c r="H88" s="313" t="e">
        <v>#N/A</v>
      </c>
      <c r="I88" s="313" t="e">
        <f>IF(H88="God",'House Rules'!$B$2,IF(H88="Demi",'House Rules'!$B$1,IF(H88="Comp",'House Rules'!$B$4,IF(H88="Yaz",'House Rules'!$B$5,IF(H88="Rag",'House Rules'!$B$3,"Available")))))</f>
        <v>#N/A</v>
      </c>
    </row>
    <row r="89" spans="1:9" ht="15.75" thickBot="1" x14ac:dyDescent="0.3">
      <c r="A89" s="313">
        <f t="shared" si="4"/>
        <v>0</v>
      </c>
      <c r="B89" s="313">
        <f t="shared" si="5"/>
        <v>0</v>
      </c>
      <c r="C89" s="534" t="s">
        <v>62</v>
      </c>
      <c r="D89" s="535" t="s">
        <v>1782</v>
      </c>
      <c r="E89" s="543" t="s">
        <v>1791</v>
      </c>
      <c r="F89" s="316"/>
      <c r="H89" s="313" t="s">
        <v>131</v>
      </c>
      <c r="I89" s="313" t="str">
        <f>IF(H89="God",'House Rules'!$B$2,IF(H89="Demi",'House Rules'!$B$1,IF(H89="Comp",'House Rules'!$B$4,IF(H89="Yaz",'House Rules'!$B$5,IF(H89="Rag",'House Rules'!$B$3,"Available")))))</f>
        <v>Available</v>
      </c>
    </row>
    <row r="90" spans="1:9" x14ac:dyDescent="0.25">
      <c r="A90" s="313">
        <f t="shared" si="4"/>
        <v>0</v>
      </c>
      <c r="B90" s="313">
        <f t="shared" si="5"/>
        <v>0</v>
      </c>
      <c r="C90" s="512" t="s">
        <v>952</v>
      </c>
      <c r="D90" s="540" t="str">
        <f>IF(AND(E88&gt;D88-1,E1=D1,E90="No"),"No",IF(AND('House Rules'!$B$1="Available",CharacterSheet!$N$7&gt;0),"Yes","No"))</f>
        <v>No</v>
      </c>
      <c r="E90" s="561" t="s">
        <v>347</v>
      </c>
      <c r="F90" s="316" t="str">
        <f>IF(VLOOKUP(C90,KanckRef!$A$2:$D$172,4,FALSE)="None","No","Yes")</f>
        <v>No</v>
      </c>
      <c r="H90" s="313" t="s">
        <v>1045</v>
      </c>
      <c r="I90" s="313" t="str">
        <f>IF(H90="God",'House Rules'!$B$2,IF(H90="Demi",'House Rules'!$B$1,IF(H90="Comp",'House Rules'!$B$4,IF(H90="Yaz",'House Rules'!$B$5,IF(H90="Rag",'House Rules'!$B$3,"Available")))))</f>
        <v>Available</v>
      </c>
    </row>
    <row r="91" spans="1:9" x14ac:dyDescent="0.25">
      <c r="A91" s="313">
        <f t="shared" si="4"/>
        <v>0</v>
      </c>
      <c r="B91" s="313">
        <f t="shared" si="5"/>
        <v>0</v>
      </c>
      <c r="C91" s="541" t="s">
        <v>947</v>
      </c>
      <c r="D91" s="539" t="str">
        <f>IF(AND(E88&gt;D88-1,E1=D1,E91="No"),"No",IF(AND(CharacterSheet!$N$7&gt;0),"Yes","No"))</f>
        <v>No</v>
      </c>
      <c r="E91" s="558" t="s">
        <v>347</v>
      </c>
      <c r="F91" s="316" t="str">
        <f>IF(VLOOKUP(C91,KanckRef!$A$2:$D$172,4,FALSE)="None","No","Yes")</f>
        <v>Yes</v>
      </c>
      <c r="H91" s="313" t="s">
        <v>133</v>
      </c>
      <c r="I91" s="313" t="str">
        <f>IF(H91="God",'House Rules'!$B$2,IF(H91="Demi",'House Rules'!$B$1,IF(H91="Comp",'House Rules'!$B$4,IF(H91="Yaz",'House Rules'!$B$5,IF(H91="Rag",'House Rules'!$B$3,"Available")))))</f>
        <v>Available</v>
      </c>
    </row>
    <row r="92" spans="1:9" x14ac:dyDescent="0.25">
      <c r="A92" s="313">
        <f t="shared" si="4"/>
        <v>0</v>
      </c>
      <c r="B92" s="313">
        <f t="shared" si="5"/>
        <v>0</v>
      </c>
      <c r="C92" s="541" t="s">
        <v>962</v>
      </c>
      <c r="D92" s="539" t="str">
        <f>IF(AND(E88&gt;D88-1,E1=D1,E92="No"),"No",IF(AND(E106="Yes",'House Rules'!$B$4="Available",CharacterSheet!$N$7&gt;0),"Yes","No"))</f>
        <v>No</v>
      </c>
      <c r="E92" s="558" t="s">
        <v>347</v>
      </c>
      <c r="F92" s="316" t="str">
        <f>IF(VLOOKUP(C92,KanckRef!$A$2:$D$172,4,FALSE)="None","No","Yes")</f>
        <v>Yes</v>
      </c>
      <c r="H92" s="313" t="s">
        <v>1046</v>
      </c>
      <c r="I92" s="313" t="str">
        <f>IF(H92="God",'House Rules'!$B$2,IF(H92="Demi",'House Rules'!$B$1,IF(H92="Comp",'House Rules'!$B$4,IF(H92="Yaz",'House Rules'!$B$5,IF(H92="Rag",'House Rules'!$B$3,"Available")))))</f>
        <v>Available</v>
      </c>
    </row>
    <row r="93" spans="1:9" x14ac:dyDescent="0.25">
      <c r="A93" s="313">
        <f t="shared" si="4"/>
        <v>0</v>
      </c>
      <c r="B93" s="313">
        <f t="shared" si="5"/>
        <v>0</v>
      </c>
      <c r="C93" s="541" t="s">
        <v>948</v>
      </c>
      <c r="D93" s="539" t="str">
        <f>IF(AND(E88&gt;D88-1,E1=D1,E93="No"),"No",IF(AND(CharacterSheet!$N$7&gt;0),"Yes","No"))</f>
        <v>No</v>
      </c>
      <c r="E93" s="558" t="s">
        <v>347</v>
      </c>
      <c r="F93" s="316" t="str">
        <f>IF(VLOOKUP(C93,KanckRef!$A$2:$D$172,4,FALSE)="None","No","Yes")</f>
        <v>No</v>
      </c>
      <c r="H93" s="313" t="s">
        <v>133</v>
      </c>
      <c r="I93" s="313" t="str">
        <f>IF(H93="God",'House Rules'!$B$2,IF(H93="Demi",'House Rules'!$B$1,IF(H93="Comp",'House Rules'!$B$4,IF(H93="Yaz",'House Rules'!$B$5,IF(H93="Rag",'House Rules'!$B$3,"Available")))))</f>
        <v>Available</v>
      </c>
    </row>
    <row r="94" spans="1:9" x14ac:dyDescent="0.25">
      <c r="A94" s="313">
        <f t="shared" si="4"/>
        <v>0</v>
      </c>
      <c r="B94" s="313">
        <f t="shared" si="5"/>
        <v>0</v>
      </c>
      <c r="C94" s="541" t="s">
        <v>953</v>
      </c>
      <c r="D94" s="539" t="str">
        <f>IF(AND(E88&gt;D88-1,E1=D1,E94="No"),"No",IF(AND(E101="Yes",'House Rules'!$B$1="Available",CharacterSheet!$N$7&gt;0),"Yes","No"))</f>
        <v>No</v>
      </c>
      <c r="E94" s="558" t="s">
        <v>347</v>
      </c>
      <c r="F94" s="316" t="str">
        <f>IF(VLOOKUP(C94,KanckRef!$A$2:$D$172,4,FALSE)="None","No","Yes")</f>
        <v>No</v>
      </c>
      <c r="H94" s="313" t="s">
        <v>1045</v>
      </c>
      <c r="I94" s="313" t="str">
        <f>IF(H94="God",'House Rules'!$B$2,IF(H94="Demi",'House Rules'!$B$1,IF(H94="Comp",'House Rules'!$B$4,IF(H94="Yaz",'House Rules'!$B$5,IF(H94="Rag",'House Rules'!$B$3,"Available")))))</f>
        <v>Available</v>
      </c>
    </row>
    <row r="95" spans="1:9" x14ac:dyDescent="0.25">
      <c r="A95" s="313">
        <f t="shared" si="4"/>
        <v>0</v>
      </c>
      <c r="B95" s="313">
        <f t="shared" si="5"/>
        <v>0</v>
      </c>
      <c r="C95" s="541" t="s">
        <v>957</v>
      </c>
      <c r="D95" s="539" t="str">
        <f>IF(AND(E88&gt;D88-1,E1=D1,E95="No"),"No",IF(AND(E96="Yes",'House Rules'!$B$2="Available",CharacterSheet!$N$7&gt;0),"Yes","No"))</f>
        <v>No</v>
      </c>
      <c r="E95" s="558" t="s">
        <v>347</v>
      </c>
      <c r="F95" s="316" t="str">
        <f>IF(VLOOKUP(C95,KanckRef!$A$2:$D$172,4,FALSE)="None","No","Yes")</f>
        <v>Yes</v>
      </c>
      <c r="H95" s="313" t="s">
        <v>5</v>
      </c>
      <c r="I95" s="313" t="str">
        <f>IF(H95="God",'House Rules'!$B$2,IF(H95="Demi",'House Rules'!$B$1,IF(H95="Comp",'House Rules'!$B$4,IF(H95="Yaz",'House Rules'!$B$5,IF(H95="Rag",'House Rules'!$B$3,"Available")))))</f>
        <v>Available</v>
      </c>
    </row>
    <row r="96" spans="1:9" x14ac:dyDescent="0.25">
      <c r="A96" s="313">
        <f t="shared" si="4"/>
        <v>0</v>
      </c>
      <c r="B96" s="313">
        <f t="shared" si="5"/>
        <v>0</v>
      </c>
      <c r="C96" s="541" t="s">
        <v>954</v>
      </c>
      <c r="D96" s="539" t="str">
        <f>IF(AND(E88&gt;D88-1,E1=D1,E96="No"),"No",IF(AND(E101="Yes",'House Rules'!$B$1="Available",CharacterSheet!$N$7&gt;0),"Yes","No"))</f>
        <v>No</v>
      </c>
      <c r="E96" s="558" t="s">
        <v>347</v>
      </c>
      <c r="F96" s="316" t="str">
        <f>IF(VLOOKUP(C96,KanckRef!$A$2:$D$172,4,FALSE)="None","No","Yes")</f>
        <v>Yes</v>
      </c>
      <c r="H96" s="313" t="s">
        <v>1045</v>
      </c>
      <c r="I96" s="313" t="str">
        <f>IF(H96="God",'House Rules'!$B$2,IF(H96="Demi",'House Rules'!$B$1,IF(H96="Comp",'House Rules'!$B$4,IF(H96="Yaz",'House Rules'!$B$5,IF(H96="Rag",'House Rules'!$B$3,"Available")))))</f>
        <v>Available</v>
      </c>
    </row>
    <row r="97" spans="1:9" x14ac:dyDescent="0.25">
      <c r="A97" s="313">
        <f t="shared" si="4"/>
        <v>0</v>
      </c>
      <c r="B97" s="313">
        <f t="shared" si="5"/>
        <v>0</v>
      </c>
      <c r="C97" s="541" t="s">
        <v>958</v>
      </c>
      <c r="D97" s="539" t="str">
        <f>IF(AND(E88&gt;D88-1,E1=D1,E97="No"),"No",IF(AND(E91="Yes",'House Rules'!$B$2="Available",CharacterSheet!$N$7&gt;0),"Yes","No"))</f>
        <v>No</v>
      </c>
      <c r="E97" s="558" t="s">
        <v>347</v>
      </c>
      <c r="F97" s="316" t="str">
        <f>IF(VLOOKUP(C97,KanckRef!$A$2:$D$172,4,FALSE)="None","No","Yes")</f>
        <v>No</v>
      </c>
      <c r="H97" s="313" t="s">
        <v>5</v>
      </c>
      <c r="I97" s="313" t="str">
        <f>IF(H97="God",'House Rules'!$B$2,IF(H97="Demi",'House Rules'!$B$1,IF(H97="Comp",'House Rules'!$B$4,IF(H97="Yaz",'House Rules'!$B$5,IF(H97="Rag",'House Rules'!$B$3,"Available")))))</f>
        <v>Available</v>
      </c>
    </row>
    <row r="98" spans="1:9" x14ac:dyDescent="0.25">
      <c r="A98" s="313">
        <f t="shared" si="4"/>
        <v>0</v>
      </c>
      <c r="B98" s="313">
        <f t="shared" si="5"/>
        <v>0</v>
      </c>
      <c r="C98" s="541" t="s">
        <v>955</v>
      </c>
      <c r="D98" s="539" t="str">
        <f>IF(AND(E88&gt;D88-1,E1=D1,E98="No"),"No",IF(AND('House Rules'!$B$1="Available",CharacterSheet!$N$7&gt;0),"Yes","No"))</f>
        <v>No</v>
      </c>
      <c r="E98" s="558" t="s">
        <v>347</v>
      </c>
      <c r="F98" s="316" t="str">
        <f>IF(VLOOKUP(C98,KanckRef!$A$2:$D$172,4,FALSE)="None","No","Yes")</f>
        <v>No</v>
      </c>
      <c r="H98" s="313" t="s">
        <v>1045</v>
      </c>
      <c r="I98" s="313" t="str">
        <f>IF(H98="God",'House Rules'!$B$2,IF(H98="Demi",'House Rules'!$B$1,IF(H98="Comp",'House Rules'!$B$4,IF(H98="Yaz",'House Rules'!$B$5,IF(H98="Rag",'House Rules'!$B$3,"Available")))))</f>
        <v>Available</v>
      </c>
    </row>
    <row r="99" spans="1:9" x14ac:dyDescent="0.25">
      <c r="A99" s="313">
        <f t="shared" si="4"/>
        <v>0</v>
      </c>
      <c r="B99" s="313">
        <f t="shared" si="5"/>
        <v>0</v>
      </c>
      <c r="C99" s="541" t="s">
        <v>959</v>
      </c>
      <c r="D99" s="539" t="str">
        <f>IF(AND(E88&gt;D88-1,E1=D1,E99="No"),"No",IF(AND(E96="Yes",'House Rules'!$B$2="Available",CharacterSheet!$N$7&gt;0),"Yes","No"))</f>
        <v>No</v>
      </c>
      <c r="E99" s="558" t="s">
        <v>347</v>
      </c>
      <c r="F99" s="316" t="str">
        <f>IF(VLOOKUP(C99,KanckRef!$A$2:$D$172,4,FALSE)="None","No","Yes")</f>
        <v>Yes</v>
      </c>
      <c r="H99" s="313" t="s">
        <v>5</v>
      </c>
      <c r="I99" s="313" t="str">
        <f>IF(H99="God",'House Rules'!$B$2,IF(H99="Demi",'House Rules'!$B$1,IF(H99="Comp",'House Rules'!$B$4,IF(H99="Yaz",'House Rules'!$B$5,IF(H99="Rag",'House Rules'!$B$3,"Available")))))</f>
        <v>Available</v>
      </c>
    </row>
    <row r="100" spans="1:9" x14ac:dyDescent="0.25">
      <c r="A100" s="313">
        <f t="shared" ref="A100:A132" si="6">IF(E100="yes",A99+1,A99)</f>
        <v>0</v>
      </c>
      <c r="B100" s="313">
        <f t="shared" si="5"/>
        <v>0</v>
      </c>
      <c r="C100" s="541" t="s">
        <v>963</v>
      </c>
      <c r="D100" s="539" t="str">
        <f>IF(AND(E88&gt;D88-1,E1=D1,E100="No"),"No",IF(AND('House Rules'!$B$4="Available",CharacterSheet!$N$7&gt;0),"Yes","No"))</f>
        <v>No</v>
      </c>
      <c r="E100" s="558" t="s">
        <v>347</v>
      </c>
      <c r="F100" s="316" t="str">
        <f>IF(VLOOKUP(C100,KanckRef!$A$2:$D$172,4,FALSE)="None","No","Yes")</f>
        <v>Yes</v>
      </c>
      <c r="H100" s="313" t="s">
        <v>1046</v>
      </c>
      <c r="I100" s="313" t="str">
        <f>IF(H100="God",'House Rules'!$B$2,IF(H100="Demi",'House Rules'!$B$1,IF(H100="Comp",'House Rules'!$B$4,IF(H100="Yaz",'House Rules'!$B$5,IF(H100="Rag",'House Rules'!$B$3,"Available")))))</f>
        <v>Available</v>
      </c>
    </row>
    <row r="101" spans="1:9" x14ac:dyDescent="0.25">
      <c r="A101" s="313">
        <f t="shared" si="6"/>
        <v>0</v>
      </c>
      <c r="B101" s="313">
        <f t="shared" si="5"/>
        <v>0</v>
      </c>
      <c r="C101" s="541" t="s">
        <v>949</v>
      </c>
      <c r="D101" s="539" t="str">
        <f>IF(AND(E88&gt;D88-1,E1=D1,E101="No"),"No",IF(AND(CharacterSheet!$N$7&gt;0),"Yes","No"))</f>
        <v>No</v>
      </c>
      <c r="E101" s="558" t="s">
        <v>347</v>
      </c>
      <c r="F101" s="316" t="str">
        <f>IF(VLOOKUP(C101,KanckRef!$A$2:$D$172,4,FALSE)="None","No","Yes")</f>
        <v>No</v>
      </c>
      <c r="H101" s="313" t="s">
        <v>133</v>
      </c>
      <c r="I101" s="313" t="str">
        <f>IF(H101="God",'House Rules'!$B$2,IF(H101="Demi",'House Rules'!$B$1,IF(H101="Comp",'House Rules'!$B$4,IF(H101="Yaz",'House Rules'!$B$5,IF(H101="Rag",'House Rules'!$B$3,"Available")))))</f>
        <v>Available</v>
      </c>
    </row>
    <row r="102" spans="1:9" x14ac:dyDescent="0.25">
      <c r="A102" s="313">
        <f t="shared" si="6"/>
        <v>0</v>
      </c>
      <c r="B102" s="313">
        <f t="shared" si="5"/>
        <v>0</v>
      </c>
      <c r="C102" s="541" t="s">
        <v>964</v>
      </c>
      <c r="D102" s="539" t="str">
        <f>IF(AND(E88&gt;D88-1,E1=D1,E102="No"),"No",IF(AND(E101="Yes",'House Rules'!$B$4="Available",CharacterSheet!$N$7&gt;0),"Yes","No"))</f>
        <v>No</v>
      </c>
      <c r="E102" s="558" t="s">
        <v>347</v>
      </c>
      <c r="F102" s="316" t="str">
        <f>IF(VLOOKUP(C102,KanckRef!$A$2:$D$172,4,FALSE)="None","No","Yes")</f>
        <v>No</v>
      </c>
      <c r="H102" s="313" t="s">
        <v>1046</v>
      </c>
      <c r="I102" s="313" t="str">
        <f>IF(H102="God",'House Rules'!$B$2,IF(H102="Demi",'House Rules'!$B$1,IF(H102="Comp",'House Rules'!$B$4,IF(H102="Yaz",'House Rules'!$B$5,IF(H102="Rag",'House Rules'!$B$3,"Available")))))</f>
        <v>Available</v>
      </c>
    </row>
    <row r="103" spans="1:9" x14ac:dyDescent="0.25">
      <c r="A103" s="313">
        <f t="shared" si="6"/>
        <v>0</v>
      </c>
      <c r="B103" s="313">
        <f t="shared" si="5"/>
        <v>0</v>
      </c>
      <c r="C103" s="541" t="s">
        <v>956</v>
      </c>
      <c r="D103" s="539" t="str">
        <f>IF(AND(E88&gt;D88-1,E1=D1,E103="No"),"No",IF(AND('House Rules'!$B$1="Available",CharacterSheet!$N$7&gt;0),"Yes","No"))</f>
        <v>No</v>
      </c>
      <c r="E103" s="558" t="s">
        <v>347</v>
      </c>
      <c r="F103" s="316" t="str">
        <f>IF(VLOOKUP(C103,KanckRef!$A$2:$D$172,4,FALSE)="None","No","Yes")</f>
        <v>Yes</v>
      </c>
      <c r="H103" s="313" t="s">
        <v>1045</v>
      </c>
      <c r="I103" s="313" t="str">
        <f>IF(H103="God",'House Rules'!$B$2,IF(H103="Demi",'House Rules'!$B$1,IF(H103="Comp",'House Rules'!$B$4,IF(H103="Yaz",'House Rules'!$B$5,IF(H103="Rag",'House Rules'!$B$3,"Available")))))</f>
        <v>Available</v>
      </c>
    </row>
    <row r="104" spans="1:9" x14ac:dyDescent="0.25">
      <c r="A104" s="313">
        <f t="shared" si="6"/>
        <v>0</v>
      </c>
      <c r="B104" s="313">
        <f t="shared" si="5"/>
        <v>0</v>
      </c>
      <c r="C104" s="541" t="s">
        <v>960</v>
      </c>
      <c r="D104" s="539" t="str">
        <f>IF(AND(E88&gt;D88-1,E1=D1,E104="No"),"No",IF(AND('House Rules'!$B$2="Available",CharacterSheet!$N$7&gt;0),"Yes","No"))</f>
        <v>No</v>
      </c>
      <c r="E104" s="558" t="s">
        <v>347</v>
      </c>
      <c r="F104" s="316" t="str">
        <f>IF(VLOOKUP(C104,KanckRef!$A$2:$D$172,4,FALSE)="None","No","Yes")</f>
        <v>No</v>
      </c>
      <c r="H104" s="313" t="s">
        <v>5</v>
      </c>
      <c r="I104" s="313" t="str">
        <f>IF(H104="God",'House Rules'!$B$2,IF(H104="Demi",'House Rules'!$B$1,IF(H104="Comp",'House Rules'!$B$4,IF(H104="Yaz",'House Rules'!$B$5,IF(H104="Rag",'House Rules'!$B$3,"Available")))))</f>
        <v>Available</v>
      </c>
    </row>
    <row r="105" spans="1:9" x14ac:dyDescent="0.25">
      <c r="A105" s="313">
        <f t="shared" si="6"/>
        <v>0</v>
      </c>
      <c r="B105" s="313">
        <f t="shared" si="5"/>
        <v>0</v>
      </c>
      <c r="C105" s="541" t="s">
        <v>950</v>
      </c>
      <c r="D105" s="539" t="str">
        <f>IF(AND(E88&gt;D88-1,E1=D1,E105="No"),"No",IF(AND(CharacterSheet!$N$7&gt;0),"Yes","No"))</f>
        <v>No</v>
      </c>
      <c r="E105" s="558" t="s">
        <v>347</v>
      </c>
      <c r="F105" s="316" t="str">
        <f>IF(VLOOKUP(C105,KanckRef!$A$2:$D$172,4,FALSE)="None","No","Yes")</f>
        <v>No</v>
      </c>
      <c r="H105" s="313" t="s">
        <v>133</v>
      </c>
      <c r="I105" s="313" t="str">
        <f>IF(H105="God",'House Rules'!$B$2,IF(H105="Demi",'House Rules'!$B$1,IF(H105="Comp",'House Rules'!$B$4,IF(H105="Yaz",'House Rules'!$B$5,IF(H105="Rag",'House Rules'!$B$3,"Available")))))</f>
        <v>Available</v>
      </c>
    </row>
    <row r="106" spans="1:9" x14ac:dyDescent="0.25">
      <c r="A106" s="313">
        <f t="shared" si="6"/>
        <v>0</v>
      </c>
      <c r="B106" s="313">
        <f t="shared" si="5"/>
        <v>0</v>
      </c>
      <c r="C106" s="541" t="s">
        <v>951</v>
      </c>
      <c r="D106" s="539" t="str">
        <f>IF(AND(E88&gt;D88-1,E1=D1,E106="No"),"No",IF(AND(CharacterSheet!$N$7&gt;0),"Yes","No"))</f>
        <v>No</v>
      </c>
      <c r="E106" s="558" t="s">
        <v>347</v>
      </c>
      <c r="F106" s="316" t="str">
        <f>IF(VLOOKUP(C106,KanckRef!$A$2:$D$172,4,FALSE)="None","No","Yes")</f>
        <v>No</v>
      </c>
      <c r="H106" s="313" t="s">
        <v>133</v>
      </c>
      <c r="I106" s="313" t="str">
        <f>IF(H106="God",'House Rules'!$B$2,IF(H106="Demi",'House Rules'!$B$1,IF(H106="Comp",'House Rules'!$B$4,IF(H106="Yaz",'House Rules'!$B$5,IF(H106="Rag",'House Rules'!$B$3,"Available")))))</f>
        <v>Available</v>
      </c>
    </row>
    <row r="107" spans="1:9" ht="15.75" thickBot="1" x14ac:dyDescent="0.3">
      <c r="A107" s="313">
        <f t="shared" si="6"/>
        <v>0</v>
      </c>
      <c r="B107" s="313">
        <f t="shared" si="5"/>
        <v>0</v>
      </c>
      <c r="C107" s="511" t="s">
        <v>961</v>
      </c>
      <c r="D107" s="538" t="str">
        <f>IF(AND(E88&gt;D88-1,E1=D1,E107="No"),"No",IF(AND(E103="Yes",'House Rules'!$B$2="Available",CharacterSheet!$N$7&gt;0),"Yes","No"))</f>
        <v>No</v>
      </c>
      <c r="E107" s="557" t="s">
        <v>347</v>
      </c>
      <c r="F107" s="316" t="str">
        <f>IF(VLOOKUP(C107,KanckRef!$A$2:$D$172,4,FALSE)="None","No","Yes")</f>
        <v>Yes</v>
      </c>
      <c r="H107" s="313" t="s">
        <v>5</v>
      </c>
      <c r="I107" s="313" t="str">
        <f>IF(H107="God",'House Rules'!$B$2,IF(H107="Demi",'House Rules'!$B$1,IF(H107="Comp",'House Rules'!$B$4,IF(H107="Yaz",'House Rules'!$B$5,IF(H107="Rag",'House Rules'!$B$3,"Available")))))</f>
        <v>Available</v>
      </c>
    </row>
    <row r="108" spans="1:9" x14ac:dyDescent="0.25">
      <c r="A108" s="313">
        <f>IF(D109="yes",A107+1,A107)</f>
        <v>0</v>
      </c>
      <c r="B108" s="313">
        <f t="shared" si="5"/>
        <v>0</v>
      </c>
      <c r="C108" s="532" t="s">
        <v>1789</v>
      </c>
      <c r="D108" s="533">
        <f>CharacterSheet!N8+COUNTIF(Creation!AN6:AS33,"Appearance")+COUNTIF(DemigodConversion!AN6:AS33,"Appearance")+COUNTIF(GodConversion!AN6:AS33,"Appearance")</f>
        <v>0</v>
      </c>
      <c r="E108" s="510">
        <f>COUNTIF(E111:E129,"Yes")</f>
        <v>0</v>
      </c>
      <c r="F108" s="316"/>
      <c r="H108" s="313" t="e">
        <v>#N/A</v>
      </c>
      <c r="I108" s="313" t="e">
        <f>IF(H108="God",'House Rules'!$B$2,IF(H108="Demi",'House Rules'!$B$1,IF(H108="Comp",'House Rules'!$B$4,IF(H108="Yaz",'House Rules'!$B$5,IF(H108="Rag",'House Rules'!$B$3,"Available")))))</f>
        <v>#N/A</v>
      </c>
    </row>
    <row r="109" spans="1:9" x14ac:dyDescent="0.25">
      <c r="B109" s="313">
        <f t="shared" si="5"/>
        <v>0</v>
      </c>
      <c r="C109" s="1101" t="s">
        <v>3588</v>
      </c>
      <c r="D109" s="1102"/>
      <c r="E109" s="1103"/>
      <c r="F109" s="316"/>
    </row>
    <row r="110" spans="1:9" ht="15.75" thickBot="1" x14ac:dyDescent="0.3">
      <c r="A110" s="313">
        <f>IF(E110="yes",A108+1,A108)</f>
        <v>0</v>
      </c>
      <c r="B110" s="313">
        <f t="shared" si="5"/>
        <v>0</v>
      </c>
      <c r="C110" s="534" t="s">
        <v>62</v>
      </c>
      <c r="D110" s="535" t="s">
        <v>1782</v>
      </c>
      <c r="E110" s="543" t="s">
        <v>1791</v>
      </c>
      <c r="F110" s="316"/>
      <c r="H110" s="313" t="s">
        <v>131</v>
      </c>
      <c r="I110" s="313" t="str">
        <f>IF(H110="God",'House Rules'!$B$2,IF(H110="Demi",'House Rules'!$B$1,IF(H110="Comp",'House Rules'!$B$4,IF(H110="Yaz",'House Rules'!$B$5,IF(H110="Rag",'House Rules'!$B$3,"Available")))))</f>
        <v>Available</v>
      </c>
    </row>
    <row r="111" spans="1:9" x14ac:dyDescent="0.25">
      <c r="A111" s="313">
        <f t="shared" si="6"/>
        <v>0</v>
      </c>
      <c r="B111" s="313">
        <f t="shared" si="5"/>
        <v>0</v>
      </c>
      <c r="C111" s="512" t="s">
        <v>970</v>
      </c>
      <c r="D111" s="540" t="str">
        <f>IF(AND(E108&gt;D108-1,E1=D1,E111="No"),"No",IF(AND('House Rules'!$B$1="Available",CharacterSheet!$N$8&gt;0),"Yes","No"))</f>
        <v>No</v>
      </c>
      <c r="E111" s="561" t="s">
        <v>347</v>
      </c>
      <c r="F111" s="316" t="str">
        <f>IF(VLOOKUP(C111,KanckRef!$A$2:$D$172,4,FALSE)="None","No","Yes")</f>
        <v>No</v>
      </c>
      <c r="H111" s="313" t="s">
        <v>1045</v>
      </c>
      <c r="I111" s="313" t="str">
        <f>IF(H111="God",'House Rules'!$B$2,IF(H111="Demi",'House Rules'!$B$1,IF(H111="Comp",'House Rules'!$B$4,IF(H111="Yaz",'House Rules'!$B$5,IF(H111="Rag",'House Rules'!$B$3,"Available")))))</f>
        <v>Available</v>
      </c>
    </row>
    <row r="112" spans="1:9" x14ac:dyDescent="0.25">
      <c r="A112" s="313">
        <f t="shared" si="6"/>
        <v>0</v>
      </c>
      <c r="B112" s="313">
        <f t="shared" si="5"/>
        <v>0</v>
      </c>
      <c r="C112" s="541" t="s">
        <v>965</v>
      </c>
      <c r="D112" s="539" t="str">
        <f>IF(AND(E108&gt;D108-1,E1=D1,E112="No"),"No",IF(AND(CharacterSheet!$N$8&gt;0),"Yes","No"))</f>
        <v>No</v>
      </c>
      <c r="E112" s="558" t="s">
        <v>347</v>
      </c>
      <c r="F112" s="316" t="str">
        <f>IF(VLOOKUP(C112,KanckRef!$A$2:$D$172,4,FALSE)="None","No","Yes")</f>
        <v>No</v>
      </c>
      <c r="H112" s="313" t="s">
        <v>133</v>
      </c>
      <c r="I112" s="313" t="str">
        <f>IF(H112="God",'House Rules'!$B$2,IF(H112="Demi",'House Rules'!$B$1,IF(H112="Comp",'House Rules'!$B$4,IF(H112="Yaz",'House Rules'!$B$5,IF(H112="Rag",'House Rules'!$B$3,"Available")))))</f>
        <v>Available</v>
      </c>
    </row>
    <row r="113" spans="1:9" x14ac:dyDescent="0.25">
      <c r="A113" s="313">
        <f t="shared" si="6"/>
        <v>0</v>
      </c>
      <c r="B113" s="313">
        <f t="shared" si="5"/>
        <v>0</v>
      </c>
      <c r="C113" s="541" t="s">
        <v>966</v>
      </c>
      <c r="D113" s="539" t="str">
        <f>IF(AND(E108&gt;D108-1,E1=D1,E113="No"),"No",IF(AND(OR($C$109="Beautiful",$E$129="Yes"),CharacterSheet!$N$8&gt;0),"Yes","No"))</f>
        <v>No</v>
      </c>
      <c r="E113" s="558" t="s">
        <v>347</v>
      </c>
      <c r="F113" s="316" t="str">
        <f>IF(VLOOKUP(C113,KanckRef!$A$2:$D$172,4,FALSE)="None","No","Yes")</f>
        <v>No</v>
      </c>
      <c r="H113" s="313" t="s">
        <v>133</v>
      </c>
      <c r="I113" s="313" t="str">
        <f>IF(H113="God",'House Rules'!$B$2,IF(H113="Demi",'House Rules'!$B$1,IF(H113="Comp",'House Rules'!$B$4,IF(H113="Yaz",'House Rules'!$B$5,IF(H113="Rag",'House Rules'!$B$3,"Available")))))</f>
        <v>Available</v>
      </c>
    </row>
    <row r="114" spans="1:9" x14ac:dyDescent="0.25">
      <c r="A114" s="313">
        <f t="shared" si="6"/>
        <v>0</v>
      </c>
      <c r="B114" s="313">
        <f t="shared" si="5"/>
        <v>0</v>
      </c>
      <c r="C114" s="541" t="s">
        <v>971</v>
      </c>
      <c r="D114" s="539" t="str">
        <f>IF(AND(E108&gt;D108-1,E1=D1,E114="No"),"No",IF(AND(E125="Yes",'House Rules'!$B$1="Available",CharacterSheet!$N$8&gt;0),"Yes","No"))</f>
        <v>No</v>
      </c>
      <c r="E114" s="558" t="s">
        <v>347</v>
      </c>
      <c r="F114" s="316" t="str">
        <f>IF(VLOOKUP(C114,KanckRef!$A$2:$D$172,4,FALSE)="None","No","Yes")</f>
        <v>No</v>
      </c>
      <c r="H114" s="313" t="s">
        <v>1045</v>
      </c>
      <c r="I114" s="313" t="str">
        <f>IF(H114="God",'House Rules'!$B$2,IF(H114="Demi",'House Rules'!$B$1,IF(H114="Comp",'House Rules'!$B$4,IF(H114="Yaz",'House Rules'!$B$5,IF(H114="Rag",'House Rules'!$B$3,"Available")))))</f>
        <v>Available</v>
      </c>
    </row>
    <row r="115" spans="1:9" x14ac:dyDescent="0.25">
      <c r="A115" s="313">
        <f t="shared" si="6"/>
        <v>0</v>
      </c>
      <c r="B115" s="313">
        <f t="shared" si="5"/>
        <v>0</v>
      </c>
      <c r="C115" s="541" t="s">
        <v>975</v>
      </c>
      <c r="D115" s="539" t="str">
        <f>IF(AND(E108&gt;D108-1,E1=D1,E115="No"),"No",IF(AND(E123="Yes",'House Rules'!$B$2="Available",CharacterSheet!$N$8&gt;0),"Yes","No"))</f>
        <v>No</v>
      </c>
      <c r="E115" s="558" t="s">
        <v>347</v>
      </c>
      <c r="F115" s="316" t="str">
        <f>IF(VLOOKUP(C115,KanckRef!$A$2:$D$172,4,FALSE)="None","No","Yes")</f>
        <v>No</v>
      </c>
      <c r="H115" s="313" t="s">
        <v>5</v>
      </c>
      <c r="I115" s="313" t="str">
        <f>IF(H115="God",'House Rules'!$B$2,IF(H115="Demi",'House Rules'!$B$1,IF(H115="Comp",'House Rules'!$B$4,IF(H115="Yaz",'House Rules'!$B$5,IF(H115="Rag",'House Rules'!$B$3,"Available")))))</f>
        <v>Available</v>
      </c>
    </row>
    <row r="116" spans="1:9" x14ac:dyDescent="0.25">
      <c r="A116" s="313">
        <f t="shared" si="6"/>
        <v>0</v>
      </c>
      <c r="B116" s="313">
        <f t="shared" si="5"/>
        <v>0</v>
      </c>
      <c r="C116" s="541" t="s">
        <v>980</v>
      </c>
      <c r="D116" s="539" t="str">
        <f>IF(AND(E108&gt;D108-1,E1=D1,E116="No"),"No",IF(AND(E118="Yes",OR($C$109="Ugly",$E$129="Yes"),'House Rules'!$B$4="Available",CharacterSheet!$N$8&gt;0),"Yes","No"))</f>
        <v>No</v>
      </c>
      <c r="E116" s="558" t="s">
        <v>347</v>
      </c>
      <c r="F116" s="316" t="str">
        <f>IF(VLOOKUP(C116,KanckRef!$A$2:$D$172,4,FALSE)="None","No","Yes")</f>
        <v>Yes</v>
      </c>
      <c r="H116" s="313" t="s">
        <v>1046</v>
      </c>
      <c r="I116" s="313" t="str">
        <f>IF(H116="God",'House Rules'!$B$2,IF(H116="Demi",'House Rules'!$B$1,IF(H116="Comp",'House Rules'!$B$4,IF(H116="Yaz",'House Rules'!$B$5,IF(H116="Rag",'House Rules'!$B$3,"Available")))))</f>
        <v>Available</v>
      </c>
    </row>
    <row r="117" spans="1:9" x14ac:dyDescent="0.25">
      <c r="A117" s="313">
        <f t="shared" si="6"/>
        <v>0</v>
      </c>
      <c r="B117" s="313">
        <f t="shared" si="5"/>
        <v>0</v>
      </c>
      <c r="C117" s="541" t="s">
        <v>976</v>
      </c>
      <c r="D117" s="539" t="str">
        <f>IF(AND(E108&gt;D108-1,E1=D1,E117="No"),"No",IF(AND('House Rules'!$B$2="Available",CharacterSheet!$N$8&gt;0),"Yes","No"))</f>
        <v>No</v>
      </c>
      <c r="E117" s="558" t="s">
        <v>347</v>
      </c>
      <c r="F117" s="316" t="str">
        <f>IF(VLOOKUP(C117,KanckRef!$A$2:$D$172,4,FALSE)="None","No","Yes")</f>
        <v>No</v>
      </c>
      <c r="H117" s="313" t="s">
        <v>5</v>
      </c>
      <c r="I117" s="313" t="str">
        <f>IF(H117="God",'House Rules'!$B$2,IF(H117="Demi",'House Rules'!$B$1,IF(H117="Comp",'House Rules'!$B$4,IF(H117="Yaz",'House Rules'!$B$5,IF(H117="Rag",'House Rules'!$B$3,"Available")))))</f>
        <v>Available</v>
      </c>
    </row>
    <row r="118" spans="1:9" x14ac:dyDescent="0.25">
      <c r="A118" s="313">
        <f t="shared" si="6"/>
        <v>0</v>
      </c>
      <c r="B118" s="313">
        <f t="shared" si="5"/>
        <v>0</v>
      </c>
      <c r="C118" s="541" t="s">
        <v>967</v>
      </c>
      <c r="D118" s="539" t="str">
        <f>IF(AND(E108&gt;D108-1,E1=D1,E118="No"),"No",IF(AND(OR($C$109="Ugly",$E$129="Yes"),CharacterSheet!$N$8&gt;0),"Yes","No"))</f>
        <v>No</v>
      </c>
      <c r="E118" s="558" t="s">
        <v>347</v>
      </c>
      <c r="F118" s="316" t="str">
        <f>IF(VLOOKUP(C118,KanckRef!$A$2:$D$172,4,FALSE)="None","No","Yes")</f>
        <v>No</v>
      </c>
      <c r="H118" s="313" t="s">
        <v>133</v>
      </c>
      <c r="I118" s="313" t="str">
        <f>IF(H118="God",'House Rules'!$B$2,IF(H118="Demi",'House Rules'!$B$1,IF(H118="Comp",'House Rules'!$B$4,IF(H118="Yaz",'House Rules'!$B$5,IF(H118="Rag",'House Rules'!$B$3,"Available")))))</f>
        <v>Available</v>
      </c>
    </row>
    <row r="119" spans="1:9" x14ac:dyDescent="0.25">
      <c r="A119" s="313">
        <f t="shared" si="6"/>
        <v>0</v>
      </c>
      <c r="B119" s="313">
        <f t="shared" si="5"/>
        <v>0</v>
      </c>
      <c r="C119" s="541" t="s">
        <v>1041</v>
      </c>
      <c r="D119" s="539" t="str">
        <f>IF(AND(E108&gt;D108-1,E1=D1,E119="No"),"No",IF(AND(OR($C$109="Beautiful",$E$129="Yes"),'House Rules'!$B$3="Available",CharacterSheet!$N$8&gt;0),"Yes","No"))</f>
        <v>No</v>
      </c>
      <c r="E119" s="558" t="s">
        <v>347</v>
      </c>
      <c r="F119" s="316" t="str">
        <f>IF(VLOOKUP(C119,KanckRef!$A$2:$D$172,4,FALSE)="None","No","Yes")</f>
        <v>No</v>
      </c>
      <c r="H119" s="313" t="s">
        <v>350</v>
      </c>
      <c r="I119" s="313" t="str">
        <f>IF(H119="God",'House Rules'!$B$2,IF(H119="Demi",'House Rules'!$B$1,IF(H119="Comp",'House Rules'!$B$4,IF(H119="Yaz",'House Rules'!$B$5,IF(H119="Rag",'House Rules'!$B$3,"Available")))))</f>
        <v>Available</v>
      </c>
    </row>
    <row r="120" spans="1:9" x14ac:dyDescent="0.25">
      <c r="A120" s="313">
        <f t="shared" si="6"/>
        <v>0</v>
      </c>
      <c r="B120" s="313">
        <f t="shared" si="5"/>
        <v>0</v>
      </c>
      <c r="C120" s="541" t="s">
        <v>972</v>
      </c>
      <c r="D120" s="539" t="str">
        <f>IF(AND(E108&gt;D108-1,E1=D1,E120="No"),"No",IF(AND(E121="Yes",'House Rules'!$B$1="Available",CharacterSheet!$N$8&gt;0),"Yes","No"))</f>
        <v>No</v>
      </c>
      <c r="E120" s="558" t="s">
        <v>347</v>
      </c>
      <c r="F120" s="316" t="str">
        <f>IF(VLOOKUP(C120,KanckRef!$A$2:$D$172,4,FALSE)="None","No","Yes")</f>
        <v>No</v>
      </c>
      <c r="H120" s="313" t="s">
        <v>1045</v>
      </c>
      <c r="I120" s="313" t="str">
        <f>IF(H120="God",'House Rules'!$B$2,IF(H120="Demi",'House Rules'!$B$1,IF(H120="Comp",'House Rules'!$B$4,IF(H120="Yaz",'House Rules'!$B$5,IF(H120="Rag",'House Rules'!$B$3,"Available")))))</f>
        <v>Available</v>
      </c>
    </row>
    <row r="121" spans="1:9" x14ac:dyDescent="0.25">
      <c r="A121" s="313">
        <f t="shared" si="6"/>
        <v>0</v>
      </c>
      <c r="B121" s="313">
        <f t="shared" si="5"/>
        <v>0</v>
      </c>
      <c r="C121" s="541" t="s">
        <v>968</v>
      </c>
      <c r="D121" s="539" t="str">
        <f>IF(AND(E108&gt;D108-1,E1=D1,E121="No"),"No",IF(AND(CharacterSheet!$N$8&gt;0),"Yes","No"))</f>
        <v>No</v>
      </c>
      <c r="E121" s="558" t="s">
        <v>347</v>
      </c>
      <c r="F121" s="316" t="str">
        <f>IF(VLOOKUP(C121,KanckRef!$A$2:$D$172,4,FALSE)="None","No","Yes")</f>
        <v>No</v>
      </c>
      <c r="H121" s="313" t="s">
        <v>133</v>
      </c>
      <c r="I121" s="313" t="str">
        <f>IF(H121="God",'House Rules'!$B$2,IF(H121="Demi",'House Rules'!$B$1,IF(H121="Comp",'House Rules'!$B$4,IF(H121="Yaz",'House Rules'!$B$5,IF(H121="Rag",'House Rules'!$B$3,"Available")))))</f>
        <v>Available</v>
      </c>
    </row>
    <row r="122" spans="1:9" x14ac:dyDescent="0.25">
      <c r="A122" s="313">
        <f t="shared" si="6"/>
        <v>0</v>
      </c>
      <c r="B122" s="313">
        <f t="shared" si="5"/>
        <v>0</v>
      </c>
      <c r="C122" s="541" t="s">
        <v>981</v>
      </c>
      <c r="D122" s="539" t="str">
        <f>IF(AND(E108&gt;D108-1,E1=D1,E122="No"),"No",IF(AND(E113="Yes",OR($C$109="Beautiful",$E$129="Yes"),'House Rules'!$B$4="Available",CharacterSheet!$N$8&gt;0),"Yes","No"))</f>
        <v>No</v>
      </c>
      <c r="E122" s="558" t="s">
        <v>347</v>
      </c>
      <c r="F122" s="316" t="str">
        <f>IF(VLOOKUP(C122,KanckRef!$A$2:$D$172,4,FALSE)="None","No","Yes")</f>
        <v>No</v>
      </c>
      <c r="H122" s="313" t="s">
        <v>1046</v>
      </c>
      <c r="I122" s="313" t="str">
        <f>IF(H122="God",'House Rules'!$B$2,IF(H122="Demi",'House Rules'!$B$1,IF(H122="Comp",'House Rules'!$B$4,IF(H122="Yaz",'House Rules'!$B$5,IF(H122="Rag",'House Rules'!$B$3,"Available")))))</f>
        <v>Available</v>
      </c>
    </row>
    <row r="123" spans="1:9" x14ac:dyDescent="0.25">
      <c r="A123" s="313">
        <f t="shared" si="6"/>
        <v>0</v>
      </c>
      <c r="B123" s="313">
        <f t="shared" si="5"/>
        <v>0</v>
      </c>
      <c r="C123" s="541" t="s">
        <v>973</v>
      </c>
      <c r="D123" s="539" t="str">
        <f>IF(AND(E108&gt;D108-1,E1=D1,E123="No"),"No",IF(AND('House Rules'!$B$1="Available",CharacterSheet!$N$8&gt;0),"Yes","No"))</f>
        <v>No</v>
      </c>
      <c r="E123" s="558" t="s">
        <v>347</v>
      </c>
      <c r="F123" s="316" t="str">
        <f>IF(VLOOKUP(C123,KanckRef!$A$2:$D$172,4,FALSE)="None","No","Yes")</f>
        <v>No</v>
      </c>
      <c r="H123" s="313" t="s">
        <v>1045</v>
      </c>
      <c r="I123" s="313" t="str">
        <f>IF(H123="God",'House Rules'!$B$2,IF(H123="Demi",'House Rules'!$B$1,IF(H123="Comp",'House Rules'!$B$4,IF(H123="Yaz",'House Rules'!$B$5,IF(H123="Rag",'House Rules'!$B$3,"Available")))))</f>
        <v>Available</v>
      </c>
    </row>
    <row r="124" spans="1:9" x14ac:dyDescent="0.25">
      <c r="A124" s="313">
        <f t="shared" si="6"/>
        <v>0</v>
      </c>
      <c r="B124" s="313">
        <f t="shared" si="5"/>
        <v>0</v>
      </c>
      <c r="C124" s="541" t="s">
        <v>974</v>
      </c>
      <c r="D124" s="539" t="str">
        <f>IF(AND(E108&gt;D108-1,E1=D1,E124="No"),"No",IF(AND('House Rules'!$B$1="Available",CharacterSheet!$N$8&gt;0),"Yes","No"))</f>
        <v>No</v>
      </c>
      <c r="E124" s="558" t="s">
        <v>347</v>
      </c>
      <c r="F124" s="316" t="str">
        <f>IF(VLOOKUP(C124,KanckRef!$A$2:$D$172,4,FALSE)="None","No","Yes")</f>
        <v>No</v>
      </c>
      <c r="H124" s="313" t="s">
        <v>1045</v>
      </c>
      <c r="I124" s="313" t="str">
        <f>IF(H124="God",'House Rules'!$B$2,IF(H124="Demi",'House Rules'!$B$1,IF(H124="Comp",'House Rules'!$B$4,IF(H124="Yaz",'House Rules'!$B$5,IF(H124="Rag",'House Rules'!$B$3,"Available")))))</f>
        <v>Available</v>
      </c>
    </row>
    <row r="125" spans="1:9" x14ac:dyDescent="0.25">
      <c r="A125" s="313">
        <f t="shared" si="6"/>
        <v>0</v>
      </c>
      <c r="B125" s="313">
        <f t="shared" si="5"/>
        <v>0</v>
      </c>
      <c r="C125" s="541" t="s">
        <v>969</v>
      </c>
      <c r="D125" s="539" t="str">
        <f>IF(AND(E108&gt;D108-1,E1=D1,E125="No"),"No",IF(AND(CharacterSheet!$N$8&gt;0),"Yes","No"))</f>
        <v>No</v>
      </c>
      <c r="E125" s="558" t="s">
        <v>347</v>
      </c>
      <c r="F125" s="316" t="str">
        <f>IF(VLOOKUP(C125,KanckRef!$A$2:$D$172,4,FALSE)="None","No","Yes")</f>
        <v>No</v>
      </c>
      <c r="H125" s="313" t="s">
        <v>133</v>
      </c>
      <c r="I125" s="313" t="str">
        <f>IF(H125="God",'House Rules'!$B$2,IF(H125="Demi",'House Rules'!$B$1,IF(H125="Comp",'House Rules'!$B$4,IF(H125="Yaz",'House Rules'!$B$5,IF(H125="Rag",'House Rules'!$B$3,"Available")))))</f>
        <v>Available</v>
      </c>
    </row>
    <row r="126" spans="1:9" x14ac:dyDescent="0.25">
      <c r="A126" s="313">
        <f t="shared" si="6"/>
        <v>0</v>
      </c>
      <c r="B126" s="313">
        <f t="shared" si="5"/>
        <v>0</v>
      </c>
      <c r="C126" s="541" t="s">
        <v>977</v>
      </c>
      <c r="D126" s="539" t="str">
        <f>IF(AND(E108&gt;D108-1,E1=D1,E126="No"),"No",IF(AND(E115="Yes",'House Rules'!$B$2="Available",CharacterSheet!$N$8&gt;0),"Yes","No"))</f>
        <v>No</v>
      </c>
      <c r="E126" s="558" t="s">
        <v>347</v>
      </c>
      <c r="F126" s="316" t="str">
        <f>IF(VLOOKUP(C126,KanckRef!$A$2:$D$172,4,FALSE)="None","No","Yes")</f>
        <v>No</v>
      </c>
      <c r="H126" s="313" t="s">
        <v>5</v>
      </c>
      <c r="I126" s="313" t="str">
        <f>IF(H126="God",'House Rules'!$B$2,IF(H126="Demi",'House Rules'!$B$1,IF(H126="Comp",'House Rules'!$B$4,IF(H126="Yaz",'House Rules'!$B$5,IF(H126="Rag",'House Rules'!$B$3,"Available")))))</f>
        <v>Available</v>
      </c>
    </row>
    <row r="127" spans="1:9" x14ac:dyDescent="0.25">
      <c r="A127" s="313">
        <f t="shared" si="6"/>
        <v>0</v>
      </c>
      <c r="B127" s="313">
        <f t="shared" si="5"/>
        <v>0</v>
      </c>
      <c r="C127" s="541" t="s">
        <v>978</v>
      </c>
      <c r="D127" s="539" t="str">
        <f>IF(AND(E108&gt;D108-1,E1=D1,E127="No"),"No",IF(AND(E115="Yes",'House Rules'!$B$2="Available",CharacterSheet!$N$8&gt;0),"Yes","No"))</f>
        <v>No</v>
      </c>
      <c r="E127" s="558" t="s">
        <v>347</v>
      </c>
      <c r="F127" s="316" t="str">
        <f>IF(VLOOKUP(C127,KanckRef!$A$2:$D$172,4,FALSE)="None","No","Yes")</f>
        <v>Yes</v>
      </c>
      <c r="H127" s="313" t="s">
        <v>5</v>
      </c>
      <c r="I127" s="313" t="str">
        <f>IF(H127="God",'House Rules'!$B$2,IF(H127="Demi",'House Rules'!$B$1,IF(H127="Comp",'House Rules'!$B$4,IF(H127="Yaz",'House Rules'!$B$5,IF(H127="Rag",'House Rules'!$B$3,"Available")))))</f>
        <v>Available</v>
      </c>
    </row>
    <row r="128" spans="1:9" x14ac:dyDescent="0.25">
      <c r="A128" s="313">
        <f t="shared" si="6"/>
        <v>0</v>
      </c>
      <c r="B128" s="313">
        <f t="shared" si="5"/>
        <v>0</v>
      </c>
      <c r="C128" s="541" t="s">
        <v>979</v>
      </c>
      <c r="D128" s="539" t="str">
        <f>IF(AND(E108&gt;D108-1,E1=D1,E128="No"),"No",IF(AND(E127="Yes",'House Rules'!$B$2="Available",CharacterSheet!$N$8&gt;0),"Yes","No"))</f>
        <v>No</v>
      </c>
      <c r="E128" s="558" t="s">
        <v>347</v>
      </c>
      <c r="F128" s="316" t="str">
        <f>IF(VLOOKUP(C128,KanckRef!$A$2:$D$172,4,FALSE)="None","No","Yes")</f>
        <v>No</v>
      </c>
      <c r="H128" s="313" t="s">
        <v>5</v>
      </c>
      <c r="I128" s="313" t="str">
        <f>IF(H128="God",'House Rules'!$B$2,IF(H128="Demi",'House Rules'!$B$1,IF(H128="Comp",'House Rules'!$B$4,IF(H128="Yaz",'House Rules'!$B$5,IF(H128="Rag",'House Rules'!$B$3,"Available")))))</f>
        <v>Available</v>
      </c>
    </row>
    <row r="129" spans="1:9" ht="15.75" thickBot="1" x14ac:dyDescent="0.3">
      <c r="A129" s="313">
        <f t="shared" si="6"/>
        <v>0</v>
      </c>
      <c r="B129" s="313">
        <f t="shared" si="5"/>
        <v>0</v>
      </c>
      <c r="C129" s="511" t="s">
        <v>982</v>
      </c>
      <c r="D129" s="538" t="str">
        <f>IF(AND(E108&gt;D108-1,E1=D1,E129="No"),"No",IF(AND('House Rules'!$B$4="Available",CharacterSheet!$N$8&gt;0),"Yes","No"))</f>
        <v>No</v>
      </c>
      <c r="E129" s="557" t="s">
        <v>347</v>
      </c>
      <c r="F129" s="316" t="str">
        <f>IF(VLOOKUP(C129,KanckRef!$A$2:$D$172,4,FALSE)="None","No","Yes")</f>
        <v>No</v>
      </c>
      <c r="H129" s="313" t="s">
        <v>1046</v>
      </c>
      <c r="I129" s="313" t="str">
        <f>IF(H129="God",'House Rules'!$B$2,IF(H129="Demi",'House Rules'!$B$1,IF(H129="Comp",'House Rules'!$B$4,IF(H129="Yaz",'House Rules'!$B$5,IF(H129="Rag",'House Rules'!$B$3,"Available")))))</f>
        <v>Available</v>
      </c>
    </row>
    <row r="130" spans="1:9" x14ac:dyDescent="0.25">
      <c r="A130" s="313">
        <f t="shared" si="6"/>
        <v>0</v>
      </c>
      <c r="B130" s="313">
        <f t="shared" si="5"/>
        <v>0</v>
      </c>
      <c r="C130" s="532" t="s">
        <v>1788</v>
      </c>
      <c r="D130" s="533">
        <f>CharacterSheet!V6+COUNTIF(Creation!AN6:AS33,"Perception")+COUNTIF(DemigodConversion!AN6:AS33,"Perception")+COUNTIF(GodConversion!AN6:AS33,"Perception")</f>
        <v>0</v>
      </c>
      <c r="E130" s="510">
        <f>COUNTIF(E132:E150,"Yes")</f>
        <v>0</v>
      </c>
      <c r="F130" s="316"/>
      <c r="H130" s="313" t="e">
        <v>#N/A</v>
      </c>
      <c r="I130" s="313" t="e">
        <f>IF(H130="God",'House Rules'!$B$2,IF(H130="Demi",'House Rules'!$B$1,IF(H130="Comp",'House Rules'!$B$4,IF(H130="Yaz",'House Rules'!$B$5,IF(H130="Rag",'House Rules'!$B$3,"Available")))))</f>
        <v>#N/A</v>
      </c>
    </row>
    <row r="131" spans="1:9" ht="15.75" thickBot="1" x14ac:dyDescent="0.3">
      <c r="A131" s="313">
        <f t="shared" si="6"/>
        <v>0</v>
      </c>
      <c r="B131" s="313">
        <f t="shared" si="5"/>
        <v>0</v>
      </c>
      <c r="C131" s="534" t="s">
        <v>62</v>
      </c>
      <c r="D131" s="535" t="s">
        <v>1782</v>
      </c>
      <c r="E131" s="543" t="s">
        <v>1791</v>
      </c>
      <c r="F131" s="316"/>
      <c r="H131" s="313" t="s">
        <v>131</v>
      </c>
      <c r="I131" s="313" t="str">
        <f>IF(H131="God",'House Rules'!$B$2,IF(H131="Demi",'House Rules'!$B$1,IF(H131="Comp",'House Rules'!$B$4,IF(H131="Yaz",'House Rules'!$B$5,IF(H131="Rag",'House Rules'!$B$3,"Available")))))</f>
        <v>Available</v>
      </c>
    </row>
    <row r="132" spans="1:9" x14ac:dyDescent="0.25">
      <c r="A132" s="313">
        <f t="shared" si="6"/>
        <v>0</v>
      </c>
      <c r="B132" s="313">
        <f t="shared" si="5"/>
        <v>0</v>
      </c>
      <c r="C132" s="512" t="s">
        <v>988</v>
      </c>
      <c r="D132" s="540" t="str">
        <f>IF(AND(E130&gt;D130-1,E1=D1,E132="No"),"No",IF(AND('House Rules'!$B$1="Available",CharacterSheet!$V$6&gt;0),"Yes","No"))</f>
        <v>No</v>
      </c>
      <c r="E132" s="561" t="s">
        <v>347</v>
      </c>
      <c r="F132" s="316" t="str">
        <f>IF(VLOOKUP(C132,KanckRef!$A$2:$D$172,4,FALSE)="None","No","Yes")</f>
        <v>No</v>
      </c>
      <c r="H132" s="313" t="s">
        <v>1045</v>
      </c>
      <c r="I132" s="313" t="str">
        <f>IF(H132="God",'House Rules'!$B$2,IF(H132="Demi",'House Rules'!$B$1,IF(H132="Comp",'House Rules'!$B$4,IF(H132="Yaz",'House Rules'!$B$5,IF(H132="Rag",'House Rules'!$B$3,"Available")))))</f>
        <v>Available</v>
      </c>
    </row>
    <row r="133" spans="1:9" x14ac:dyDescent="0.25">
      <c r="A133" s="313">
        <f t="shared" ref="A133:A164" si="7">IF(E133="yes",A132+1,A132)</f>
        <v>0</v>
      </c>
      <c r="B133" s="313">
        <f t="shared" si="5"/>
        <v>0</v>
      </c>
      <c r="C133" s="541" t="s">
        <v>993</v>
      </c>
      <c r="D133" s="539" t="str">
        <f>IF(AND(E130&gt;D130-1,E1=D1,E133="No"),"No",IF(AND(E149="Yes",'House Rules'!$B$2="Available",CharacterSheet!$V$6&gt;0),"Yes","No"))</f>
        <v>No</v>
      </c>
      <c r="E133" s="558" t="s">
        <v>347</v>
      </c>
      <c r="F133" s="316" t="str">
        <f>IF(VLOOKUP(C133,KanckRef!$A$2:$D$172,4,FALSE)="None","No","Yes")</f>
        <v>No</v>
      </c>
      <c r="H133" s="313" t="s">
        <v>5</v>
      </c>
      <c r="I133" s="313" t="str">
        <f>IF(H133="God",'House Rules'!$B$2,IF(H133="Demi",'House Rules'!$B$1,IF(H133="Comp",'House Rules'!$B$4,IF(H133="Yaz",'House Rules'!$B$5,IF(H133="Rag",'House Rules'!$B$3,"Available")))))</f>
        <v>Available</v>
      </c>
    </row>
    <row r="134" spans="1:9" x14ac:dyDescent="0.25">
      <c r="A134" s="313">
        <f t="shared" si="7"/>
        <v>0</v>
      </c>
      <c r="B134" s="313">
        <f t="shared" si="5"/>
        <v>0</v>
      </c>
      <c r="C134" s="541" t="s">
        <v>989</v>
      </c>
      <c r="D134" s="539" t="str">
        <f>IF(AND(E130&gt;D130-1,E1=D1,E134="No"),"No",IF(AND(E147="Yes",'House Rules'!$B$1="Available",CharacterSheet!$V$6&gt;0),"Yes","No"))</f>
        <v>No</v>
      </c>
      <c r="E134" s="531" t="s">
        <v>347</v>
      </c>
      <c r="F134" s="316" t="str">
        <f>IF(VLOOKUP(C134,KanckRef!$A$2:$D$172,4,FALSE)="None","No","Yes")</f>
        <v>No</v>
      </c>
      <c r="H134" s="313" t="s">
        <v>1045</v>
      </c>
      <c r="I134" s="313" t="str">
        <f>IF(H134="God",'House Rules'!$B$2,IF(H134="Demi",'House Rules'!$B$1,IF(H134="Comp",'House Rules'!$B$4,IF(H134="Yaz",'House Rules'!$B$5,IF(H134="Rag",'House Rules'!$B$3,"Available")))))</f>
        <v>Available</v>
      </c>
    </row>
    <row r="135" spans="1:9" x14ac:dyDescent="0.25">
      <c r="A135" s="313">
        <f t="shared" si="7"/>
        <v>0</v>
      </c>
      <c r="B135" s="313">
        <f t="shared" si="5"/>
        <v>0</v>
      </c>
      <c r="C135" s="541" t="s">
        <v>1042</v>
      </c>
      <c r="D135" s="539" t="str">
        <f>IF(AND(E130&gt;D130-1,E1=D1,E135="No"),"No",IF(AND('House Rules'!$B$3="Available",CharacterSheet!$V$6&gt;0),"Yes","No"))</f>
        <v>No</v>
      </c>
      <c r="E135" s="558" t="s">
        <v>347</v>
      </c>
      <c r="F135" s="316" t="str">
        <f>IF(VLOOKUP(C135,KanckRef!$A$2:$D$172,4,FALSE)="None","No","Yes")</f>
        <v>No</v>
      </c>
      <c r="H135" s="313" t="s">
        <v>350</v>
      </c>
      <c r="I135" s="313" t="str">
        <f>IF(H135="God",'House Rules'!$B$2,IF(H135="Demi",'House Rules'!$B$1,IF(H135="Comp",'House Rules'!$B$4,IF(H135="Yaz",'House Rules'!$B$5,IF(H135="Rag",'House Rules'!$B$3,"Available")))))</f>
        <v>Available</v>
      </c>
    </row>
    <row r="136" spans="1:9" x14ac:dyDescent="0.25">
      <c r="A136" s="313">
        <f t="shared" si="7"/>
        <v>0</v>
      </c>
      <c r="B136" s="313">
        <f t="shared" si="5"/>
        <v>0</v>
      </c>
      <c r="C136" s="541" t="s">
        <v>994</v>
      </c>
      <c r="D136" s="539" t="str">
        <f>IF(AND(E130&gt;D130-1,E1=D1,E136="No"),"No",IF(AND('House Rules'!$B$2="Available",CharacterSheet!$V$6&gt;0,CharacterSheet!$V$34&gt;8),"Yes","No"))</f>
        <v>No</v>
      </c>
      <c r="E136" s="558" t="s">
        <v>347</v>
      </c>
      <c r="F136" s="316" t="str">
        <f>IF(VLOOKUP(C136,KanckRef!$A$2:$D$172,4,FALSE)="None","No","Yes")</f>
        <v>No</v>
      </c>
      <c r="H136" s="313" t="s">
        <v>5</v>
      </c>
      <c r="I136" s="313" t="str">
        <f>IF(H136="God",'House Rules'!$B$2,IF(H136="Demi",'House Rules'!$B$1,IF(H136="Comp",'House Rules'!$B$4,IF(H136="Yaz",'House Rules'!$B$5,IF(H136="Rag",'House Rules'!$B$3,"Available")))))</f>
        <v>Available</v>
      </c>
    </row>
    <row r="137" spans="1:9" x14ac:dyDescent="0.25">
      <c r="A137" s="313">
        <f t="shared" si="7"/>
        <v>0</v>
      </c>
      <c r="B137" s="313">
        <f t="shared" si="5"/>
        <v>0</v>
      </c>
      <c r="C137" s="541" t="s">
        <v>998</v>
      </c>
      <c r="D137" s="539" t="str">
        <f>IF(AND(E130&gt;D130-1,E1=D1,E137="No"),"No",IF(AND(E147="Yes",'House Rules'!$B$4="Available",CharacterSheet!$V$6&gt;0),"Yes","No"))</f>
        <v>No</v>
      </c>
      <c r="E137" s="531" t="s">
        <v>347</v>
      </c>
      <c r="F137" s="316" t="str">
        <f>IF(VLOOKUP(C137,KanckRef!$A$2:$D$172,4,FALSE)="None","No","Yes")</f>
        <v>No</v>
      </c>
      <c r="H137" s="313" t="s">
        <v>1046</v>
      </c>
      <c r="I137" s="313" t="str">
        <f>IF(H137="God",'House Rules'!$B$2,IF(H137="Demi",'House Rules'!$B$1,IF(H137="Comp",'House Rules'!$B$4,IF(H137="Yaz",'House Rules'!$B$5,IF(H137="Rag",'House Rules'!$B$3,"Available")))))</f>
        <v>Available</v>
      </c>
    </row>
    <row r="138" spans="1:9" x14ac:dyDescent="0.25">
      <c r="A138" s="313">
        <f t="shared" si="7"/>
        <v>0</v>
      </c>
      <c r="B138" s="313">
        <f t="shared" si="5"/>
        <v>0</v>
      </c>
      <c r="C138" s="541" t="s">
        <v>995</v>
      </c>
      <c r="D138" s="539" t="str">
        <f>IF(AND(E130&gt;D130-1,E1=D1,E138="No"),"No",IF(AND('House Rules'!$B$2="Available",CharacterSheet!$V$6&gt;0),"Yes","No"))</f>
        <v>No</v>
      </c>
      <c r="E138" s="558" t="s">
        <v>347</v>
      </c>
      <c r="F138" s="316" t="str">
        <f>IF(VLOOKUP(C138,KanckRef!$A$2:$D$172,4,FALSE)="None","No","Yes")</f>
        <v>No</v>
      </c>
      <c r="H138" s="313" t="s">
        <v>5</v>
      </c>
      <c r="I138" s="313" t="str">
        <f>IF(H138="God",'House Rules'!$B$2,IF(H138="Demi",'House Rules'!$B$1,IF(H138="Comp",'House Rules'!$B$4,IF(H138="Yaz",'House Rules'!$B$5,IF(H138="Rag",'House Rules'!$B$3,"Available")))))</f>
        <v>Available</v>
      </c>
    </row>
    <row r="139" spans="1:9" x14ac:dyDescent="0.25">
      <c r="A139" s="313">
        <f t="shared" si="7"/>
        <v>0</v>
      </c>
      <c r="B139" s="313">
        <f t="shared" si="5"/>
        <v>0</v>
      </c>
      <c r="C139" s="541" t="s">
        <v>983</v>
      </c>
      <c r="D139" s="539" t="str">
        <f>IF(AND(E130&gt;D130-1,E1=D1,E139="No"),"No",IF(AND(CharacterSheet!$V$6&gt;0),"Yes","No"))</f>
        <v>No</v>
      </c>
      <c r="E139" s="558" t="s">
        <v>347</v>
      </c>
      <c r="F139" s="316" t="str">
        <f>IF(VLOOKUP(C139,KanckRef!$A$2:$D$172,4,FALSE)="None","No","Yes")</f>
        <v>No</v>
      </c>
      <c r="H139" s="313" t="s">
        <v>133</v>
      </c>
      <c r="I139" s="313" t="str">
        <f>IF(H139="God",'House Rules'!$B$2,IF(H139="Demi",'House Rules'!$B$1,IF(H139="Comp",'House Rules'!$B$4,IF(H139="Yaz",'House Rules'!$B$5,IF(H139="Rag",'House Rules'!$B$3,"Available")))))</f>
        <v>Available</v>
      </c>
    </row>
    <row r="140" spans="1:9" x14ac:dyDescent="0.25">
      <c r="A140" s="313">
        <f t="shared" si="7"/>
        <v>0</v>
      </c>
      <c r="B140" s="313">
        <f t="shared" si="5"/>
        <v>0</v>
      </c>
      <c r="C140" s="541" t="s">
        <v>984</v>
      </c>
      <c r="D140" s="539" t="str">
        <f>IF(AND(E130&gt;D130-1,E1=D1,E140="No"),"No",IF(AND(CharacterSheet!$V$6&gt;0),"Yes","No"))</f>
        <v>No</v>
      </c>
      <c r="E140" s="558" t="s">
        <v>347</v>
      </c>
      <c r="F140" s="316" t="str">
        <f>IF(VLOOKUP(C140,KanckRef!$A$2:$D$172,4,FALSE)="None","No","Yes")</f>
        <v>Yes</v>
      </c>
      <c r="H140" s="313" t="s">
        <v>133</v>
      </c>
      <c r="I140" s="313" t="str">
        <f>IF(H140="God",'House Rules'!$B$2,IF(H140="Demi",'House Rules'!$B$1,IF(H140="Comp",'House Rules'!$B$4,IF(H140="Yaz",'House Rules'!$B$5,IF(H140="Rag",'House Rules'!$B$3,"Available")))))</f>
        <v>Available</v>
      </c>
    </row>
    <row r="141" spans="1:9" x14ac:dyDescent="0.25">
      <c r="A141" s="313">
        <f t="shared" si="7"/>
        <v>0</v>
      </c>
      <c r="B141" s="313">
        <f t="shared" si="5"/>
        <v>0</v>
      </c>
      <c r="C141" s="541" t="s">
        <v>996</v>
      </c>
      <c r="D141" s="539" t="str">
        <f>IF(AND(E130&gt;D130-1,E1=D1,E141="No"),"No",IF(AND(E132="Yes",'House Rules'!$B$2="Available",CharacterSheet!$V$6&gt;0),"Yes","No"))</f>
        <v>No</v>
      </c>
      <c r="E141" s="558" t="s">
        <v>347</v>
      </c>
      <c r="F141" s="316" t="str">
        <f>IF(VLOOKUP(C141,KanckRef!$A$2:$D$172,4,FALSE)="None","No","Yes")</f>
        <v>No</v>
      </c>
      <c r="H141" s="313" t="s">
        <v>5</v>
      </c>
      <c r="I141" s="313" t="str">
        <f>IF(H141="God",'House Rules'!$B$2,IF(H141="Demi",'House Rules'!$B$1,IF(H141="Comp",'House Rules'!$B$4,IF(H141="Yaz",'House Rules'!$B$5,IF(H141="Rag",'House Rules'!$B$3,"Available")))))</f>
        <v>Available</v>
      </c>
    </row>
    <row r="142" spans="1:9" x14ac:dyDescent="0.25">
      <c r="A142" s="313">
        <f t="shared" si="7"/>
        <v>0</v>
      </c>
      <c r="B142" s="313">
        <f t="shared" si="5"/>
        <v>0</v>
      </c>
      <c r="C142" s="541" t="s">
        <v>999</v>
      </c>
      <c r="D142" s="539" t="str">
        <f>IF(AND(E130&gt;D130-1,E1=D1,E142="No"),"No",IF(AND('House Rules'!$B$4="Available",CharacterSheet!$V$6&gt;0),"Yes","No"))</f>
        <v>No</v>
      </c>
      <c r="E142" s="558" t="s">
        <v>347</v>
      </c>
      <c r="F142" s="316" t="str">
        <f>IF(VLOOKUP(C142,KanckRef!$A$2:$D$172,4,FALSE)="None","No","Yes")</f>
        <v>No</v>
      </c>
      <c r="H142" s="313" t="s">
        <v>1046</v>
      </c>
      <c r="I142" s="313" t="str">
        <f>IF(H142="God",'House Rules'!$B$2,IF(H142="Demi",'House Rules'!$B$1,IF(H142="Comp",'House Rules'!$B$4,IF(H142="Yaz",'House Rules'!$B$5,IF(H142="Rag",'House Rules'!$B$3,"Available")))))</f>
        <v>Available</v>
      </c>
    </row>
    <row r="143" spans="1:9" x14ac:dyDescent="0.25">
      <c r="A143" s="313">
        <f t="shared" si="7"/>
        <v>0</v>
      </c>
      <c r="B143" s="313">
        <f t="shared" si="5"/>
        <v>0</v>
      </c>
      <c r="C143" s="541" t="s">
        <v>985</v>
      </c>
      <c r="D143" s="539" t="str">
        <f>IF(AND(E130&gt;D130-1,E1=D1,E143="No"),"No",IF(AND(CharacterSheet!$V$6&gt;0),"Yes","No"))</f>
        <v>No</v>
      </c>
      <c r="E143" s="558" t="s">
        <v>347</v>
      </c>
      <c r="F143" s="316" t="str">
        <f>IF(VLOOKUP(C143,KanckRef!$A$2:$D$172,4,FALSE)="None","No","Yes")</f>
        <v>No</v>
      </c>
      <c r="H143" s="313" t="s">
        <v>133</v>
      </c>
      <c r="I143" s="313" t="str">
        <f>IF(H143="God",'House Rules'!$B$2,IF(H143="Demi",'House Rules'!$B$1,IF(H143="Comp",'House Rules'!$B$4,IF(H143="Yaz",'House Rules'!$B$5,IF(H143="Rag",'House Rules'!$B$3,"Available")))))</f>
        <v>Available</v>
      </c>
    </row>
    <row r="144" spans="1:9" x14ac:dyDescent="0.25">
      <c r="A144" s="313">
        <f t="shared" si="7"/>
        <v>0</v>
      </c>
      <c r="B144" s="313">
        <f t="shared" si="5"/>
        <v>0</v>
      </c>
      <c r="C144" s="541" t="s">
        <v>1000</v>
      </c>
      <c r="D144" s="539" t="str">
        <f>IF(AND(E130&gt;D130-1,E1=D1,E144="No"),"No",IF(AND(CharacterSheet!$V$6&gt;0),"Yes","No"))</f>
        <v>No</v>
      </c>
      <c r="E144" s="558" t="s">
        <v>347</v>
      </c>
      <c r="F144" s="316" t="str">
        <f>IF(VLOOKUP(C144,KanckRef!$A$2:$D$172,4,FALSE)="None","No","Yes")</f>
        <v>No</v>
      </c>
      <c r="H144" s="313" t="s">
        <v>1046</v>
      </c>
      <c r="I144" s="313" t="str">
        <f>IF(H144="God",'House Rules'!$B$2,IF(H144="Demi",'House Rules'!$B$1,IF(H144="Comp",'House Rules'!$B$4,IF(H144="Yaz",'House Rules'!$B$5,IF(H144="Rag",'House Rules'!$B$3,"Available")))))</f>
        <v>Available</v>
      </c>
    </row>
    <row r="145" spans="1:9" x14ac:dyDescent="0.25">
      <c r="A145" s="313">
        <f t="shared" si="7"/>
        <v>0</v>
      </c>
      <c r="B145" s="313">
        <f t="shared" si="5"/>
        <v>0</v>
      </c>
      <c r="C145" s="541" t="s">
        <v>997</v>
      </c>
      <c r="D145" s="539" t="str">
        <f>IF(AND(E130&gt;D130-1,E1=D1,E145="No"),"No",IF(AND('House Rules'!$B$4="Available",'House Rules'!$B$4="Available",CharacterSheet!$V$6&gt;0),"Yes","No"))</f>
        <v>No</v>
      </c>
      <c r="E145" s="558" t="s">
        <v>347</v>
      </c>
      <c r="F145" s="316" t="str">
        <f>IF(VLOOKUP(C145,KanckRef!$A$2:$D$172,4,FALSE)="None","No","Yes")</f>
        <v>No</v>
      </c>
      <c r="H145" s="313" t="s">
        <v>5</v>
      </c>
      <c r="I145" s="313" t="str">
        <f>IF(H145="God",'House Rules'!$B$2,IF(H145="Demi",'House Rules'!$B$1,IF(H145="Comp",'House Rules'!$B$4,IF(H145="Yaz",'House Rules'!$B$5,IF(H145="Rag",'House Rules'!$B$3,"Available")))))</f>
        <v>Available</v>
      </c>
    </row>
    <row r="146" spans="1:9" x14ac:dyDescent="0.25">
      <c r="A146" s="313">
        <f t="shared" si="7"/>
        <v>0</v>
      </c>
      <c r="B146" s="313">
        <f t="shared" si="5"/>
        <v>0</v>
      </c>
      <c r="C146" s="541" t="s">
        <v>990</v>
      </c>
      <c r="D146" s="539" t="str">
        <f>IF(AND(E130&gt;D130-1,E1=D1,E146="No"),"No",IF(AND(CharacterSheet!$V$6&gt;0),"Yes","No"))</f>
        <v>No</v>
      </c>
      <c r="E146" s="558" t="s">
        <v>347</v>
      </c>
      <c r="F146" s="316" t="str">
        <f>IF(VLOOKUP(C146,KanckRef!$A$2:$D$172,4,FALSE)="None","No","Yes")</f>
        <v>No</v>
      </c>
      <c r="H146" s="313" t="s">
        <v>1045</v>
      </c>
      <c r="I146" s="313" t="str">
        <f>IF(H146="God",'House Rules'!$B$2,IF(H146="Demi",'House Rules'!$B$1,IF(H146="Comp",'House Rules'!$B$4,IF(H146="Yaz",'House Rules'!$B$5,IF(H146="Rag",'House Rules'!$B$3,"Available")))))</f>
        <v>Available</v>
      </c>
    </row>
    <row r="147" spans="1:9" x14ac:dyDescent="0.25">
      <c r="A147" s="313">
        <f t="shared" si="7"/>
        <v>0</v>
      </c>
      <c r="B147" s="313">
        <f t="shared" si="5"/>
        <v>0</v>
      </c>
      <c r="C147" s="541" t="s">
        <v>986</v>
      </c>
      <c r="D147" s="539" t="str">
        <f>IF(AND(E130&gt;D130-1,E1=D1,E147="No"),"No",IF(AND(CharacterSheet!$V$6&gt;0,$E$146="No",$E$178="No"),"Yes","No"))</f>
        <v>No</v>
      </c>
      <c r="E147" s="531" t="s">
        <v>347</v>
      </c>
      <c r="F147" s="316" t="str">
        <f>IF(VLOOKUP(C147,KanckRef!$A$2:$D$172,4,FALSE)="None","No","Yes")</f>
        <v>No</v>
      </c>
      <c r="H147" s="313" t="s">
        <v>133</v>
      </c>
      <c r="I147" s="313" t="str">
        <f>IF(H147="God",'House Rules'!$B$2,IF(H147="Demi",'House Rules'!$B$1,IF(H147="Comp",'House Rules'!$B$4,IF(H147="Yaz",'House Rules'!$B$5,IF(H147="Rag",'House Rules'!$B$3,"Available")))))</f>
        <v>Available</v>
      </c>
    </row>
    <row r="148" spans="1:9" x14ac:dyDescent="0.25">
      <c r="A148" s="313">
        <f t="shared" si="7"/>
        <v>0</v>
      </c>
      <c r="B148" s="313">
        <f t="shared" si="5"/>
        <v>0</v>
      </c>
      <c r="C148" s="541" t="s">
        <v>991</v>
      </c>
      <c r="D148" s="539" t="str">
        <f>IF(AND(E130&gt;D130-1,E1=D1,E132="No"),"No",IF(AND(E140="Yes",'House Rules'!$B$1="Available",CharacterSheet!$V$6&gt;0),"Yes","No"))</f>
        <v>No</v>
      </c>
      <c r="E148" s="558" t="s">
        <v>347</v>
      </c>
      <c r="F148" s="316" t="str">
        <f>IF(VLOOKUP(C148,KanckRef!$A$2:$D$172,4,FALSE)="None","No","Yes")</f>
        <v>No</v>
      </c>
      <c r="H148" s="313" t="s">
        <v>1045</v>
      </c>
      <c r="I148" s="313" t="str">
        <f>IF(H148="God",'House Rules'!$B$2,IF(H148="Demi",'House Rules'!$B$1,IF(H148="Comp",'House Rules'!$B$4,IF(H148="Yaz",'House Rules'!$B$5,IF(H148="Rag",'House Rules'!$B$3,"Available")))))</f>
        <v>Available</v>
      </c>
    </row>
    <row r="149" spans="1:9" x14ac:dyDescent="0.25">
      <c r="A149" s="313">
        <f t="shared" si="7"/>
        <v>0</v>
      </c>
      <c r="B149" s="313">
        <f t="shared" si="5"/>
        <v>0</v>
      </c>
      <c r="C149" s="541" t="s">
        <v>992</v>
      </c>
      <c r="D149" s="539" t="str">
        <f>IF(AND(E130&gt;D130-1,E1=D1,E132="No"),"No",IF(AND('House Rules'!$B$1="Available",CharacterSheet!$V$6&gt;0),"Yes","No"))</f>
        <v>No</v>
      </c>
      <c r="E149" s="558" t="s">
        <v>347</v>
      </c>
      <c r="F149" s="316" t="str">
        <f>IF(VLOOKUP(C149,KanckRef!$A$2:$D$172,4,FALSE)="None","No","Yes")</f>
        <v>No</v>
      </c>
      <c r="H149" s="313" t="s">
        <v>1045</v>
      </c>
      <c r="I149" s="313" t="str">
        <f>IF(H149="God",'House Rules'!$B$2,IF(H149="Demi",'House Rules'!$B$1,IF(H149="Comp",'House Rules'!$B$4,IF(H149="Yaz",'House Rules'!$B$5,IF(H149="Rag",'House Rules'!$B$3,"Available")))))</f>
        <v>Available</v>
      </c>
    </row>
    <row r="150" spans="1:9" ht="15.75" thickBot="1" x14ac:dyDescent="0.3">
      <c r="A150" s="313">
        <f t="shared" si="7"/>
        <v>0</v>
      </c>
      <c r="B150" s="313">
        <f t="shared" si="5"/>
        <v>0</v>
      </c>
      <c r="C150" s="511" t="s">
        <v>987</v>
      </c>
      <c r="D150" s="538" t="str">
        <f>IF(AND(E130&gt;D130-1,E1=D1,E150="No"),"No",IF(AND(CharacterSheet!$V$6&gt;0),"Yes","No"))</f>
        <v>No</v>
      </c>
      <c r="E150" s="557" t="s">
        <v>347</v>
      </c>
      <c r="F150" s="316" t="str">
        <f>IF(VLOOKUP(C150,KanckRef!$A$2:$D$172,4,FALSE)="None","No","Yes")</f>
        <v>No</v>
      </c>
      <c r="H150" s="313" t="s">
        <v>133</v>
      </c>
      <c r="I150" s="313" t="str">
        <f>IF(H150="God",'House Rules'!$B$2,IF(H150="Demi",'House Rules'!$B$1,IF(H150="Comp",'House Rules'!$B$4,IF(H150="Yaz",'House Rules'!$B$5,IF(H150="Rag",'House Rules'!$B$3,"Available")))))</f>
        <v>Available</v>
      </c>
    </row>
    <row r="151" spans="1:9" x14ac:dyDescent="0.25">
      <c r="A151" s="313">
        <f t="shared" si="7"/>
        <v>0</v>
      </c>
      <c r="B151" s="313">
        <f t="shared" si="5"/>
        <v>0</v>
      </c>
      <c r="C151" s="532" t="s">
        <v>1787</v>
      </c>
      <c r="D151" s="533">
        <f>CharacterSheet!V7+COUNTIF(Creation!AN6:AS33,"Intelligence")+COUNTIF(DemigodConversion!AN6:AS33,"Intelligence")+COUNTIF(GodConversion!AN6:AS33,"Intelligence")</f>
        <v>0</v>
      </c>
      <c r="E151" s="510">
        <f>COUNTIF(E153:E171,"Yes")</f>
        <v>0</v>
      </c>
      <c r="F151" s="316"/>
      <c r="H151" s="313" t="e">
        <v>#N/A</v>
      </c>
      <c r="I151" s="313" t="e">
        <f>IF(H151="God",'House Rules'!$B$2,IF(H151="Demi",'House Rules'!$B$1,IF(H151="Comp",'House Rules'!$B$4,IF(H151="Yaz",'House Rules'!$B$5,IF(H151="Rag",'House Rules'!$B$3,"Available")))))</f>
        <v>#N/A</v>
      </c>
    </row>
    <row r="152" spans="1:9" ht="15.75" thickBot="1" x14ac:dyDescent="0.3">
      <c r="A152" s="313">
        <f t="shared" si="7"/>
        <v>0</v>
      </c>
      <c r="B152" s="313">
        <f t="shared" ref="B152:B191" si="8">IF(AND(E152="Yes",F152="Yes"),B151+1,B151)</f>
        <v>0</v>
      </c>
      <c r="C152" s="534" t="s">
        <v>62</v>
      </c>
      <c r="D152" s="535" t="s">
        <v>1782</v>
      </c>
      <c r="E152" s="543" t="s">
        <v>1791</v>
      </c>
      <c r="F152" s="316"/>
      <c r="H152" s="313" t="s">
        <v>131</v>
      </c>
      <c r="I152" s="313" t="str">
        <f>IF(H152="God",'House Rules'!$B$2,IF(H152="Demi",'House Rules'!$B$1,IF(H152="Comp",'House Rules'!$B$4,IF(H152="Yaz",'House Rules'!$B$5,IF(H152="Rag",'House Rules'!$B$3,"Available")))))</f>
        <v>Available</v>
      </c>
    </row>
    <row r="153" spans="1:9" x14ac:dyDescent="0.25">
      <c r="A153" s="313">
        <f t="shared" si="7"/>
        <v>0</v>
      </c>
      <c r="B153" s="313">
        <f t="shared" si="8"/>
        <v>0</v>
      </c>
      <c r="C153" s="512" t="s">
        <v>1016</v>
      </c>
      <c r="D153" s="540" t="str">
        <f>IF(AND(E151&gt;D151-1,E1=D1,E153="No"),"No",IF(AND('House Rules'!$B$4="Available",CharacterSheet!$V$7&gt;0),"Yes","No"))</f>
        <v>No</v>
      </c>
      <c r="E153" s="561" t="s">
        <v>347</v>
      </c>
      <c r="F153" s="316" t="str">
        <f>IF(VLOOKUP(C153,KanckRef!$A$2:$D$172,4,FALSE)="None","No","Yes")</f>
        <v>Yes</v>
      </c>
      <c r="H153" s="313" t="s">
        <v>1046</v>
      </c>
      <c r="I153" s="313" t="str">
        <f>IF(H153="God",'House Rules'!$B$2,IF(H153="Demi",'House Rules'!$B$1,IF(H153="Comp",'House Rules'!$B$4,IF(H153="Yaz",'House Rules'!$B$5,IF(H153="Rag",'House Rules'!$B$3,"Available")))))</f>
        <v>Available</v>
      </c>
    </row>
    <row r="154" spans="1:9" x14ac:dyDescent="0.25">
      <c r="A154" s="313">
        <f t="shared" si="7"/>
        <v>0</v>
      </c>
      <c r="B154" s="313">
        <f t="shared" si="8"/>
        <v>0</v>
      </c>
      <c r="C154" s="541" t="s">
        <v>1011</v>
      </c>
      <c r="D154" s="539" t="str">
        <f>IF(AND(E151&gt;D151-1,E1=D1,E154="No"),"No",IF(AND('House Rules'!$B$2="Available",CharacterSheet!$V$7&gt;0),"Yes","No"))</f>
        <v>No</v>
      </c>
      <c r="E154" s="558" t="s">
        <v>347</v>
      </c>
      <c r="F154" s="316" t="str">
        <f>IF(VLOOKUP(C154,KanckRef!$A$2:$D$172,4,FALSE)="None","No","Yes")</f>
        <v>No</v>
      </c>
      <c r="H154" s="313" t="s">
        <v>5</v>
      </c>
      <c r="I154" s="313" t="str">
        <f>IF(H154="God",'House Rules'!$B$2,IF(H154="Demi",'House Rules'!$B$1,IF(H154="Comp",'House Rules'!$B$4,IF(H154="Yaz",'House Rules'!$B$5,IF(H154="Rag",'House Rules'!$B$3,"Available")))))</f>
        <v>Available</v>
      </c>
    </row>
    <row r="155" spans="1:9" x14ac:dyDescent="0.25">
      <c r="A155" s="313">
        <f t="shared" si="7"/>
        <v>0</v>
      </c>
      <c r="B155" s="313">
        <f t="shared" si="8"/>
        <v>0</v>
      </c>
      <c r="C155" s="541" t="s">
        <v>1006</v>
      </c>
      <c r="D155" s="539" t="str">
        <f>IF(AND(E151&gt;D151-1,E1=D1,E155="No"),"No",IF(AND('House Rules'!$B$1="Available",CharacterSheet!$V$7&gt;0),"Yes","No"))</f>
        <v>No</v>
      </c>
      <c r="E155" s="558" t="s">
        <v>347</v>
      </c>
      <c r="F155" s="316" t="str">
        <f>IF(VLOOKUP(C155,KanckRef!$A$2:$D$172,4,FALSE)="None","No","Yes")</f>
        <v>No</v>
      </c>
      <c r="H155" s="313" t="s">
        <v>1045</v>
      </c>
      <c r="I155" s="313" t="str">
        <f>IF(H155="God",'House Rules'!$B$2,IF(H155="Demi",'House Rules'!$B$1,IF(H155="Comp",'House Rules'!$B$4,IF(H155="Yaz",'House Rules'!$B$5,IF(H155="Rag",'House Rules'!$B$3,"Available")))))</f>
        <v>Available</v>
      </c>
    </row>
    <row r="156" spans="1:9" x14ac:dyDescent="0.25">
      <c r="A156" s="313">
        <f t="shared" si="7"/>
        <v>0</v>
      </c>
      <c r="B156" s="313">
        <f t="shared" si="8"/>
        <v>0</v>
      </c>
      <c r="C156" s="541" t="s">
        <v>1017</v>
      </c>
      <c r="D156" s="539" t="str">
        <f>IF(AND(E151&gt;D151-1,E1=D1,E156="No"),"No",IF(AND(E157="Yes",'House Rules'!$B$4="Available",CharacterSheet!$V$7&gt;0),"Yes","No"))</f>
        <v>No</v>
      </c>
      <c r="E156" s="558" t="s">
        <v>347</v>
      </c>
      <c r="F156" s="316" t="str">
        <f>IF(VLOOKUP(C156,KanckRef!$A$2:$D$172,4,FALSE)="None","No","Yes")</f>
        <v>Yes</v>
      </c>
      <c r="H156" s="313" t="s">
        <v>1046</v>
      </c>
      <c r="I156" s="313" t="str">
        <f>IF(H156="God",'House Rules'!$B$2,IF(H156="Demi",'House Rules'!$B$1,IF(H156="Comp",'House Rules'!$B$4,IF(H156="Yaz",'House Rules'!$B$5,IF(H156="Rag",'House Rules'!$B$3,"Available")))))</f>
        <v>Available</v>
      </c>
    </row>
    <row r="157" spans="1:9" x14ac:dyDescent="0.25">
      <c r="A157" s="313">
        <f t="shared" si="7"/>
        <v>0</v>
      </c>
      <c r="B157" s="313">
        <f t="shared" si="8"/>
        <v>0</v>
      </c>
      <c r="C157" s="541" t="s">
        <v>1001</v>
      </c>
      <c r="D157" s="539" t="str">
        <f>IF(AND(E151&gt;D151-1,E1=D1,E157="No"),"No",IF(AND(CharacterSheet!$V$7&gt;0),"Yes","No"))</f>
        <v>No</v>
      </c>
      <c r="E157" s="558" t="s">
        <v>347</v>
      </c>
      <c r="F157" s="316" t="str">
        <f>IF(VLOOKUP(C157,KanckRef!$A$2:$D$172,4,FALSE)="None","No","Yes")</f>
        <v>No</v>
      </c>
      <c r="H157" s="313" t="s">
        <v>133</v>
      </c>
      <c r="I157" s="313" t="str">
        <f>IF(H157="God",'House Rules'!$B$2,IF(H157="Demi",'House Rules'!$B$1,IF(H157="Comp",'House Rules'!$B$4,IF(H157="Yaz",'House Rules'!$B$5,IF(H157="Rag",'House Rules'!$B$3,"Available")))))</f>
        <v>Available</v>
      </c>
    </row>
    <row r="158" spans="1:9" x14ac:dyDescent="0.25">
      <c r="A158" s="313">
        <f t="shared" si="7"/>
        <v>0</v>
      </c>
      <c r="B158" s="313">
        <f t="shared" si="8"/>
        <v>0</v>
      </c>
      <c r="C158" s="541" t="s">
        <v>1043</v>
      </c>
      <c r="D158" s="539" t="str">
        <f>IF(AND(E151&gt;D151-1,E1=D1,E158="No"),"No",IF(AND('House Rules'!$B$3="Available",CharacterSheet!$V$7&gt;0),"Yes","No"))</f>
        <v>No</v>
      </c>
      <c r="E158" s="558" t="s">
        <v>347</v>
      </c>
      <c r="F158" s="316" t="str">
        <f>IF(VLOOKUP(C158,KanckRef!$A$2:$D$172,4,FALSE)="None","No","Yes")</f>
        <v>No</v>
      </c>
      <c r="H158" s="313" t="s">
        <v>350</v>
      </c>
      <c r="I158" s="313" t="str">
        <f>IF(H158="God",'House Rules'!$B$2,IF(H158="Demi",'House Rules'!$B$1,IF(H158="Comp",'House Rules'!$B$4,IF(H158="Yaz",'House Rules'!$B$5,IF(H158="Rag",'House Rules'!$B$3,"Available")))))</f>
        <v>Available</v>
      </c>
    </row>
    <row r="159" spans="1:9" x14ac:dyDescent="0.25">
      <c r="A159" s="313">
        <f t="shared" si="7"/>
        <v>0</v>
      </c>
      <c r="B159" s="313">
        <f t="shared" si="8"/>
        <v>0</v>
      </c>
      <c r="C159" s="541" t="s">
        <v>1012</v>
      </c>
      <c r="D159" s="539" t="str">
        <f>IF(AND(E151&gt;D151-1,E1=D1,E159="No"),"No",IF(AND(E161="Yes",'House Rules'!$B$2="Available",CharacterSheet!$V$7&gt;0),"Yes","No"))</f>
        <v>No</v>
      </c>
      <c r="E159" s="558" t="s">
        <v>347</v>
      </c>
      <c r="F159" s="316" t="str">
        <f>IF(VLOOKUP(C159,KanckRef!$A$2:$D$172,4,FALSE)="None","No","Yes")</f>
        <v>No</v>
      </c>
      <c r="H159" s="313" t="s">
        <v>5</v>
      </c>
      <c r="I159" s="313" t="str">
        <f>IF(H159="God",'House Rules'!$B$2,IF(H159="Demi",'House Rules'!$B$1,IF(H159="Comp",'House Rules'!$B$4,IF(H159="Yaz",'House Rules'!$B$5,IF(H159="Rag",'House Rules'!$B$3,"Available")))))</f>
        <v>Available</v>
      </c>
    </row>
    <row r="160" spans="1:9" x14ac:dyDescent="0.25">
      <c r="A160" s="313">
        <f t="shared" si="7"/>
        <v>0</v>
      </c>
      <c r="B160" s="313">
        <f t="shared" si="8"/>
        <v>0</v>
      </c>
      <c r="C160" s="541" t="s">
        <v>1002</v>
      </c>
      <c r="D160" s="539" t="str">
        <f>IF(AND(E151&gt;D151-1,E1=D1,E160="No"),"No",IF(AND(CharacterSheet!$V$7&gt;0),"Yes","No"))</f>
        <v>No</v>
      </c>
      <c r="E160" s="558" t="s">
        <v>347</v>
      </c>
      <c r="F160" s="316" t="str">
        <f>IF(VLOOKUP(C160,KanckRef!$A$2:$D$172,4,FALSE)="None","No","Yes")</f>
        <v>No</v>
      </c>
      <c r="H160" s="313" t="s">
        <v>133</v>
      </c>
      <c r="I160" s="313" t="str">
        <f>IF(H160="God",'House Rules'!$B$2,IF(H160="Demi",'House Rules'!$B$1,IF(H160="Comp",'House Rules'!$B$4,IF(H160="Yaz",'House Rules'!$B$5,IF(H160="Rag",'House Rules'!$B$3,"Available")))))</f>
        <v>Available</v>
      </c>
    </row>
    <row r="161" spans="1:9" x14ac:dyDescent="0.25">
      <c r="A161" s="313">
        <f t="shared" si="7"/>
        <v>0</v>
      </c>
      <c r="B161" s="313">
        <f t="shared" si="8"/>
        <v>0</v>
      </c>
      <c r="C161" s="541" t="s">
        <v>1007</v>
      </c>
      <c r="D161" s="539" t="str">
        <f>IF(AND(E151&gt;D151-1,E1=D1,E161="No"),"No",IF(AND('House Rules'!$B$1="Available",CharacterSheet!$V$7&gt;0),"Yes","No"))</f>
        <v>No</v>
      </c>
      <c r="E161" s="558" t="s">
        <v>347</v>
      </c>
      <c r="F161" s="316" t="str">
        <f>IF(VLOOKUP(C161,KanckRef!$A$2:$D$172,4,FALSE)="None","No","Yes")</f>
        <v>No</v>
      </c>
      <c r="H161" s="313" t="s">
        <v>1045</v>
      </c>
      <c r="I161" s="313" t="str">
        <f>IF(H161="God",'House Rules'!$B$2,IF(H161="Demi",'House Rules'!$B$1,IF(H161="Comp",'House Rules'!$B$4,IF(H161="Yaz",'House Rules'!$B$5,IF(H161="Rag",'House Rules'!$B$3,"Available")))))</f>
        <v>Available</v>
      </c>
    </row>
    <row r="162" spans="1:9" x14ac:dyDescent="0.25">
      <c r="A162" s="313">
        <f t="shared" si="7"/>
        <v>0</v>
      </c>
      <c r="B162" s="313">
        <f t="shared" si="8"/>
        <v>0</v>
      </c>
      <c r="C162" s="541" t="s">
        <v>1003</v>
      </c>
      <c r="D162" s="539" t="str">
        <f>IF(AND(E151&gt;D151-1,E1=D1,E162="No"),"No",IF(AND(CharacterSheet!$V$7&gt;0),"Yes","No"))</f>
        <v>No</v>
      </c>
      <c r="E162" s="558" t="s">
        <v>347</v>
      </c>
      <c r="F162" s="316" t="str">
        <f>IF(VLOOKUP(C162,KanckRef!$A$2:$D$172,4,FALSE)="None","No","Yes")</f>
        <v>No</v>
      </c>
      <c r="H162" s="313" t="s">
        <v>133</v>
      </c>
      <c r="I162" s="313" t="str">
        <f>IF(H162="God",'House Rules'!$B$2,IF(H162="Demi",'House Rules'!$B$1,IF(H162="Comp",'House Rules'!$B$4,IF(H162="Yaz",'House Rules'!$B$5,IF(H162="Rag",'House Rules'!$B$3,"Available")))))</f>
        <v>Available</v>
      </c>
    </row>
    <row r="163" spans="1:9" x14ac:dyDescent="0.25">
      <c r="A163" s="313">
        <f t="shared" si="7"/>
        <v>0</v>
      </c>
      <c r="B163" s="313">
        <f t="shared" si="8"/>
        <v>0</v>
      </c>
      <c r="C163" s="541" t="s">
        <v>1008</v>
      </c>
      <c r="D163" s="539" t="str">
        <f>IF(AND(E151&gt;D151-1,E1=D1,E163="No"),"No",IF(AND('House Rules'!$B$1="Available",CharacterSheet!$V$7&gt;0),"Yes","No"))</f>
        <v>No</v>
      </c>
      <c r="E163" s="558" t="s">
        <v>347</v>
      </c>
      <c r="F163" s="316" t="str">
        <f>IF(VLOOKUP(C163,KanckRef!$A$2:$D$172,4,FALSE)="None","No","Yes")</f>
        <v>No</v>
      </c>
      <c r="H163" s="313" t="s">
        <v>1045</v>
      </c>
      <c r="I163" s="313" t="str">
        <f>IF(H163="God",'House Rules'!$B$2,IF(H163="Demi",'House Rules'!$B$1,IF(H163="Comp",'House Rules'!$B$4,IF(H163="Yaz",'House Rules'!$B$5,IF(H163="Rag",'House Rules'!$B$3,"Available")))))</f>
        <v>Available</v>
      </c>
    </row>
    <row r="164" spans="1:9" x14ac:dyDescent="0.25">
      <c r="A164" s="313">
        <f t="shared" si="7"/>
        <v>0</v>
      </c>
      <c r="B164" s="313">
        <f t="shared" si="8"/>
        <v>0</v>
      </c>
      <c r="C164" s="541" t="s">
        <v>1004</v>
      </c>
      <c r="D164" s="539" t="str">
        <f>IF(AND(E151&gt;D151-1,E1=D1,E164="No"),"No",IF(AND(CharacterSheet!$V$7&gt;0),"Yes","No"))</f>
        <v>No</v>
      </c>
      <c r="E164" s="558" t="s">
        <v>347</v>
      </c>
      <c r="F164" s="316" t="str">
        <f>IF(VLOOKUP(C164,KanckRef!$A$2:$D$172,4,FALSE)="None","No","Yes")</f>
        <v>No</v>
      </c>
      <c r="H164" s="313" t="s">
        <v>133</v>
      </c>
      <c r="I164" s="313" t="str">
        <f>IF(H164="God",'House Rules'!$B$2,IF(H164="Demi",'House Rules'!$B$1,IF(H164="Comp",'House Rules'!$B$4,IF(H164="Yaz",'House Rules'!$B$5,IF(H164="Rag",'House Rules'!$B$3,"Available")))))</f>
        <v>Available</v>
      </c>
    </row>
    <row r="165" spans="1:9" x14ac:dyDescent="0.25">
      <c r="A165" s="313">
        <f t="shared" ref="A165:A191" si="9">IF(E165="yes",A164+1,A164)</f>
        <v>0</v>
      </c>
      <c r="B165" s="313">
        <f t="shared" si="8"/>
        <v>0</v>
      </c>
      <c r="C165" s="541" t="s">
        <v>1013</v>
      </c>
      <c r="D165" s="539" t="str">
        <f>IF(AND(E151&gt;D151-1,E1=D1,E165="No"),"No",IF(AND('House Rules'!$B$2="Available",CharacterSheet!$V$7&gt;0),"Yes","No"))</f>
        <v>No</v>
      </c>
      <c r="E165" s="558" t="s">
        <v>347</v>
      </c>
      <c r="F165" s="316" t="str">
        <f>IF(VLOOKUP(C165,KanckRef!$A$2:$D$172,4,FALSE)="None","No","Yes")</f>
        <v>No</v>
      </c>
      <c r="H165" s="313" t="s">
        <v>5</v>
      </c>
      <c r="I165" s="313" t="str">
        <f>IF(H165="God",'House Rules'!$B$2,IF(H165="Demi",'House Rules'!$B$1,IF(H165="Comp",'House Rules'!$B$4,IF(H165="Yaz",'House Rules'!$B$5,IF(H165="Rag",'House Rules'!$B$3,"Available")))))</f>
        <v>Available</v>
      </c>
    </row>
    <row r="166" spans="1:9" x14ac:dyDescent="0.25">
      <c r="A166" s="313">
        <f t="shared" si="9"/>
        <v>0</v>
      </c>
      <c r="B166" s="313">
        <f t="shared" si="8"/>
        <v>0</v>
      </c>
      <c r="C166" s="541" t="s">
        <v>1009</v>
      </c>
      <c r="D166" s="539" t="str">
        <f>IF(AND(E151&gt;D151-1,E1=D1,E166="No"),"No",IF(AND(E157="Yes",'House Rules'!$B$1="Available",CharacterSheet!$V$7&gt;0),"Yes","No"))</f>
        <v>No</v>
      </c>
      <c r="E166" s="558" t="s">
        <v>347</v>
      </c>
      <c r="F166" s="316" t="str">
        <f>IF(VLOOKUP(C166,KanckRef!$A$2:$D$172,4,FALSE)="None","No","Yes")</f>
        <v>No</v>
      </c>
      <c r="H166" s="313" t="s">
        <v>1045</v>
      </c>
      <c r="I166" s="313" t="str">
        <f>IF(H166="God",'House Rules'!$B$2,IF(H166="Demi",'House Rules'!$B$1,IF(H166="Comp",'House Rules'!$B$4,IF(H166="Yaz",'House Rules'!$B$5,IF(H166="Rag",'House Rules'!$B$3,"Available")))))</f>
        <v>Available</v>
      </c>
    </row>
    <row r="167" spans="1:9" x14ac:dyDescent="0.25">
      <c r="A167" s="313">
        <f t="shared" si="9"/>
        <v>0</v>
      </c>
      <c r="B167" s="313">
        <f t="shared" si="8"/>
        <v>0</v>
      </c>
      <c r="C167" s="541" t="s">
        <v>1018</v>
      </c>
      <c r="D167" s="539" t="str">
        <f>IF(AND(E151&gt;D151-1,E1=D1,E167="No"),"No",IF(AND('House Rules'!$B$4="Available",CharacterSheet!$V$7&gt;0),"Yes","No"))</f>
        <v>No</v>
      </c>
      <c r="E167" s="558" t="s">
        <v>347</v>
      </c>
      <c r="F167" s="316" t="str">
        <f>IF(VLOOKUP(C167,KanckRef!$A$2:$D$172,4,FALSE)="None","No","Yes")</f>
        <v>No</v>
      </c>
      <c r="H167" s="313" t="s">
        <v>1046</v>
      </c>
      <c r="I167" s="313" t="str">
        <f>IF(H167="God",'House Rules'!$B$2,IF(H167="Demi",'House Rules'!$B$1,IF(H167="Comp",'House Rules'!$B$4,IF(H167="Yaz",'House Rules'!$B$5,IF(H167="Rag",'House Rules'!$B$3,"Available")))))</f>
        <v>Available</v>
      </c>
    </row>
    <row r="168" spans="1:9" x14ac:dyDescent="0.25">
      <c r="A168" s="313">
        <f t="shared" si="9"/>
        <v>0</v>
      </c>
      <c r="B168" s="313">
        <f t="shared" si="8"/>
        <v>0</v>
      </c>
      <c r="C168" s="541" t="s">
        <v>1005</v>
      </c>
      <c r="D168" s="539" t="str">
        <f>IF(AND(E151&gt;D151-1,E1=D1,E168="No"),"No",IF(AND(CharacterSheet!$V$7&gt;0),"Yes","No"))</f>
        <v>No</v>
      </c>
      <c r="E168" s="558" t="s">
        <v>347</v>
      </c>
      <c r="F168" s="316" t="str">
        <f>IF(VLOOKUP(C168,KanckRef!$A$2:$D$172,4,FALSE)="None","No","Yes")</f>
        <v>No</v>
      </c>
      <c r="H168" s="313" t="s">
        <v>133</v>
      </c>
      <c r="I168" s="313" t="str">
        <f>IF(H168="God",'House Rules'!$B$2,IF(H168="Demi",'House Rules'!$B$1,IF(H168="Comp",'House Rules'!$B$4,IF(H168="Yaz",'House Rules'!$B$5,IF(H168="Rag",'House Rules'!$B$3,"Available")))))</f>
        <v>Available</v>
      </c>
    </row>
    <row r="169" spans="1:9" x14ac:dyDescent="0.25">
      <c r="A169" s="313">
        <f t="shared" si="9"/>
        <v>0</v>
      </c>
      <c r="B169" s="313">
        <f t="shared" si="8"/>
        <v>0</v>
      </c>
      <c r="C169" s="541" t="s">
        <v>1014</v>
      </c>
      <c r="D169" s="539" t="str">
        <f>IF(AND(E151&gt;D151-1,E1=D1,E169="No"),"No",IF(AND('House Rules'!$B$2="Available",CharacterSheet!$V$7&gt;0),"Yes","No"))</f>
        <v>No</v>
      </c>
      <c r="E169" s="558" t="s">
        <v>347</v>
      </c>
      <c r="F169" s="316" t="str">
        <f>IF(VLOOKUP(C169,KanckRef!$A$2:$D$172,4,FALSE)="None","No","Yes")</f>
        <v>No</v>
      </c>
      <c r="H169" s="313" t="s">
        <v>5</v>
      </c>
      <c r="I169" s="313" t="str">
        <f>IF(H169="God",'House Rules'!$B$2,IF(H169="Demi",'House Rules'!$B$1,IF(H169="Comp",'House Rules'!$B$4,IF(H169="Yaz",'House Rules'!$B$5,IF(H169="Rag",'House Rules'!$B$3,"Available")))))</f>
        <v>Available</v>
      </c>
    </row>
    <row r="170" spans="1:9" x14ac:dyDescent="0.25">
      <c r="A170" s="313">
        <f t="shared" si="9"/>
        <v>0</v>
      </c>
      <c r="B170" s="313">
        <f t="shared" si="8"/>
        <v>0</v>
      </c>
      <c r="C170" s="541" t="s">
        <v>1015</v>
      </c>
      <c r="D170" s="539" t="str">
        <f>IF(AND(E151&gt;D151-1,E1=D1,E170="No"),"No",IF(AND(E160="Yes",'House Rules'!$B$2="Available",CharacterSheet!$V$7&gt;0),"Yes","No"))</f>
        <v>No</v>
      </c>
      <c r="E170" s="558" t="s">
        <v>347</v>
      </c>
      <c r="F170" s="316" t="str">
        <f>IF(VLOOKUP(C170,KanckRef!$A$2:$D$172,4,FALSE)="None","No","Yes")</f>
        <v>No</v>
      </c>
      <c r="H170" s="313" t="s">
        <v>5</v>
      </c>
      <c r="I170" s="313" t="str">
        <f>IF(H170="God",'House Rules'!$B$2,IF(H170="Demi",'House Rules'!$B$1,IF(H170="Comp",'House Rules'!$B$4,IF(H170="Yaz",'House Rules'!$B$5,IF(H170="Rag",'House Rules'!$B$3,"Available")))))</f>
        <v>Available</v>
      </c>
    </row>
    <row r="171" spans="1:9" ht="15.75" thickBot="1" x14ac:dyDescent="0.3">
      <c r="A171" s="313">
        <f t="shared" si="9"/>
        <v>0</v>
      </c>
      <c r="B171" s="313">
        <f t="shared" si="8"/>
        <v>0</v>
      </c>
      <c r="C171" s="511" t="s">
        <v>1010</v>
      </c>
      <c r="D171" s="538" t="str">
        <f>IF(AND(E151&gt;D151-1,E1=D1,E171="No"),"No",IF(AND('House Rules'!$B$1="Available",CharacterSheet!$V$7&gt;0),"Yes","No"))</f>
        <v>No</v>
      </c>
      <c r="E171" s="557" t="s">
        <v>347</v>
      </c>
      <c r="F171" s="316" t="str">
        <f>IF(VLOOKUP(C171,KanckRef!$A$2:$D$172,4,FALSE)="None","No","Yes")</f>
        <v>No</v>
      </c>
      <c r="H171" s="313" t="s">
        <v>1045</v>
      </c>
      <c r="I171" s="313" t="str">
        <f>IF(H171="God",'House Rules'!$B$2,IF(H171="Demi",'House Rules'!$B$1,IF(H171="Comp",'House Rules'!$B$4,IF(H171="Yaz",'House Rules'!$B$5,IF(H171="Rag",'House Rules'!$B$3,"Available")))))</f>
        <v>Available</v>
      </c>
    </row>
    <row r="172" spans="1:9" x14ac:dyDescent="0.25">
      <c r="A172" s="313">
        <f t="shared" si="9"/>
        <v>0</v>
      </c>
      <c r="B172" s="313">
        <f t="shared" si="8"/>
        <v>0</v>
      </c>
      <c r="C172" s="532" t="s">
        <v>900</v>
      </c>
      <c r="D172" s="533">
        <f>CharacterSheet!V8+COUNTIF(Creation!AN6:AS33,"Wits")+COUNTIF(DemigodConversion!AN6:AS33,"Wits")+COUNTIF(GodConversion!AN6:AS33,"Wits")</f>
        <v>0</v>
      </c>
      <c r="E172" s="510">
        <f>COUNTIF(E174:E191,"Yes")</f>
        <v>0</v>
      </c>
      <c r="F172" s="316"/>
      <c r="H172" s="313" t="e">
        <v>#N/A</v>
      </c>
      <c r="I172" s="313" t="e">
        <f>IF(H172="God",'House Rules'!$B$2,IF(H172="Demi",'House Rules'!$B$1,IF(H172="Comp",'House Rules'!$B$4,IF(H172="Yaz",'House Rules'!$B$5,IF(H172="Rag",'House Rules'!$B$3,"Available")))))</f>
        <v>#N/A</v>
      </c>
    </row>
    <row r="173" spans="1:9" ht="15.75" thickBot="1" x14ac:dyDescent="0.3">
      <c r="A173" s="313">
        <f t="shared" si="9"/>
        <v>0</v>
      </c>
      <c r="B173" s="313">
        <f t="shared" si="8"/>
        <v>0</v>
      </c>
      <c r="C173" s="534" t="s">
        <v>62</v>
      </c>
      <c r="D173" s="535" t="s">
        <v>1782</v>
      </c>
      <c r="E173" s="543" t="s">
        <v>1791</v>
      </c>
      <c r="F173" s="316"/>
      <c r="H173" s="313" t="s">
        <v>131</v>
      </c>
      <c r="I173" s="313" t="str">
        <f>IF(H173="God",'House Rules'!$B$2,IF(H173="Demi",'House Rules'!$B$1,IF(H173="Comp",'House Rules'!$B$4,IF(H173="Yaz",'House Rules'!$B$5,IF(H173="Rag",'House Rules'!$B$3,"Available")))))</f>
        <v>Available</v>
      </c>
    </row>
    <row r="174" spans="1:9" x14ac:dyDescent="0.25">
      <c r="A174" s="313">
        <f t="shared" si="9"/>
        <v>0</v>
      </c>
      <c r="B174" s="313">
        <f t="shared" si="8"/>
        <v>0</v>
      </c>
      <c r="C174" s="512" t="s">
        <v>1034</v>
      </c>
      <c r="D174" s="540" t="str">
        <f>IF(AND(E172&gt;D172-1,E1=D1,E174="No"),"No",IF(AND('House Rules'!$B$4="Available",CharacterSheet!$V$8&gt;0),"Yes","No"))</f>
        <v>No</v>
      </c>
      <c r="E174" s="561" t="s">
        <v>347</v>
      </c>
      <c r="F174" s="316" t="str">
        <f>IF(VLOOKUP(C174,KanckRef!$A$2:$D$172,4,FALSE)="None","No","Yes")</f>
        <v>No</v>
      </c>
      <c r="H174" s="313" t="s">
        <v>1046</v>
      </c>
      <c r="I174" s="313" t="str">
        <f>IF(H174="God",'House Rules'!$B$2,IF(H174="Demi",'House Rules'!$B$1,IF(H174="Comp",'House Rules'!$B$4,IF(H174="Yaz",'House Rules'!$B$5,IF(H174="Rag",'House Rules'!$B$3,"Available")))))</f>
        <v>Available</v>
      </c>
    </row>
    <row r="175" spans="1:9" x14ac:dyDescent="0.25">
      <c r="A175" s="313">
        <f t="shared" si="9"/>
        <v>0</v>
      </c>
      <c r="B175" s="313">
        <f t="shared" si="8"/>
        <v>0</v>
      </c>
      <c r="C175" s="541" t="s">
        <v>1035</v>
      </c>
      <c r="D175" s="539" t="str">
        <f>IF(AND(E172&gt;D172-1,E1=D1,E175="No"),"No",IF(AND(E184="Yes",'House Rules'!$B$4="Available",CharacterSheet!$V$8&gt;0),"Yes","No"))</f>
        <v>No</v>
      </c>
      <c r="E175" s="558" t="s">
        <v>347</v>
      </c>
      <c r="F175" s="316" t="str">
        <f>IF(VLOOKUP(C175,KanckRef!$A$2:$D$172,4,FALSE)="None","No","Yes")</f>
        <v>No</v>
      </c>
      <c r="H175" s="313" t="s">
        <v>1046</v>
      </c>
      <c r="I175" s="313" t="str">
        <f>IF(H175="God",'House Rules'!$B$2,IF(H175="Demi",'House Rules'!$B$1,IF(H175="Comp",'House Rules'!$B$4,IF(H175="Yaz",'House Rules'!$B$5,IF(H175="Rag",'House Rules'!$B$3,"Available")))))</f>
        <v>Available</v>
      </c>
    </row>
    <row r="176" spans="1:9" x14ac:dyDescent="0.25">
      <c r="A176" s="313">
        <f t="shared" si="9"/>
        <v>0</v>
      </c>
      <c r="B176" s="313">
        <f t="shared" si="8"/>
        <v>0</v>
      </c>
      <c r="C176" s="541" t="s">
        <v>1024</v>
      </c>
      <c r="D176" s="539" t="str">
        <f>IF(AND(E172&gt;D172-1,E1=D1,E176="No"),"No",IF(AND('House Rules'!$B$1="Available",CharacterSheet!$V$8&gt;0,$E$147="No",$E$146="No",$E$178="No"),"Yes","No"))</f>
        <v>No</v>
      </c>
      <c r="E176" s="531" t="s">
        <v>347</v>
      </c>
      <c r="F176" s="316" t="str">
        <f>IF(VLOOKUP(C176,KanckRef!$A$2:$D$172,4,FALSE)="None","No","Yes")</f>
        <v>No</v>
      </c>
      <c r="H176" s="313" t="s">
        <v>1045</v>
      </c>
      <c r="I176" s="313" t="str">
        <f>IF(H176="God",'House Rules'!$B$2,IF(H176="Demi",'House Rules'!$B$1,IF(H176="Comp",'House Rules'!$B$4,IF(H176="Yaz",'House Rules'!$B$5,IF(H176="Rag",'House Rules'!$B$3,"Available")))))</f>
        <v>Available</v>
      </c>
    </row>
    <row r="177" spans="1:9" x14ac:dyDescent="0.25">
      <c r="A177" s="313">
        <f t="shared" si="9"/>
        <v>0</v>
      </c>
      <c r="B177" s="313">
        <f t="shared" si="8"/>
        <v>0</v>
      </c>
      <c r="C177" s="541" t="s">
        <v>1036</v>
      </c>
      <c r="D177" s="539" t="str">
        <f>IF(AND(E172&gt;D172-1,E1=D1,E177="No"),"No",IF(AND('House Rules'!$B$4="Available",CharacterSheet!$V$8&gt;0),"Yes","No"))</f>
        <v>No</v>
      </c>
      <c r="E177" s="558" t="s">
        <v>347</v>
      </c>
      <c r="F177" s="316" t="str">
        <f>IF(VLOOKUP(C177,KanckRef!$A$2:$D$172,4,FALSE)="None","No","Yes")</f>
        <v>No</v>
      </c>
      <c r="H177" s="313" t="s">
        <v>1046</v>
      </c>
      <c r="I177" s="313" t="str">
        <f>IF(H177="God",'House Rules'!$B$2,IF(H177="Demi",'House Rules'!$B$1,IF(H177="Comp",'House Rules'!$B$4,IF(H177="Yaz",'House Rules'!$B$5,IF(H177="Rag",'House Rules'!$B$3,"Available")))))</f>
        <v>Available</v>
      </c>
    </row>
    <row r="178" spans="1:9" x14ac:dyDescent="0.25">
      <c r="A178" s="313">
        <f t="shared" si="9"/>
        <v>0</v>
      </c>
      <c r="B178" s="313">
        <f t="shared" si="8"/>
        <v>0</v>
      </c>
      <c r="C178" s="541" t="s">
        <v>1025</v>
      </c>
      <c r="D178" s="539" t="str">
        <f>IF(AND(E172&gt;D172-1,E1=D1,E178="No"),"No",IF(AND('House Rules'!$B$1="Available",CharacterSheet!$V$8&gt;0),"Yes","No"))</f>
        <v>No</v>
      </c>
      <c r="E178" s="558" t="s">
        <v>347</v>
      </c>
      <c r="F178" s="316" t="str">
        <f>IF(VLOOKUP(C178,KanckRef!$A$2:$D$172,4,FALSE)="None","No","Yes")</f>
        <v>No</v>
      </c>
      <c r="H178" s="313" t="s">
        <v>1045</v>
      </c>
      <c r="I178" s="313" t="str">
        <f>IF(H178="God",'House Rules'!$B$2,IF(H178="Demi",'House Rules'!$B$1,IF(H178="Comp",'House Rules'!$B$4,IF(H178="Yaz",'House Rules'!$B$5,IF(H178="Rag",'House Rules'!$B$3,"Available")))))</f>
        <v>Available</v>
      </c>
    </row>
    <row r="179" spans="1:9" x14ac:dyDescent="0.25">
      <c r="A179" s="313">
        <f t="shared" si="9"/>
        <v>0</v>
      </c>
      <c r="B179" s="313">
        <f t="shared" si="8"/>
        <v>0</v>
      </c>
      <c r="C179" s="541" t="s">
        <v>1026</v>
      </c>
      <c r="D179" s="539" t="str">
        <f>IF(AND(E172&gt;D172-1,E1=D1,E179="No"),"No",IF(AND('House Rules'!$B$1="Available",CharacterSheet!$V$8&gt;0),"Yes","No"))</f>
        <v>No</v>
      </c>
      <c r="E179" s="558" t="s">
        <v>347</v>
      </c>
      <c r="F179" s="316" t="str">
        <f>IF(VLOOKUP(C179,KanckRef!$A$2:$D$172,4,FALSE)="None","No","Yes")</f>
        <v>No</v>
      </c>
      <c r="H179" s="313" t="s">
        <v>1045</v>
      </c>
      <c r="I179" s="313" t="str">
        <f>IF(H179="God",'House Rules'!$B$2,IF(H179="Demi",'House Rules'!$B$1,IF(H179="Comp",'House Rules'!$B$4,IF(H179="Yaz",'House Rules'!$B$5,IF(H179="Rag",'House Rules'!$B$3,"Available")))))</f>
        <v>Available</v>
      </c>
    </row>
    <row r="180" spans="1:9" x14ac:dyDescent="0.25">
      <c r="A180" s="313">
        <f t="shared" si="9"/>
        <v>0</v>
      </c>
      <c r="B180" s="313">
        <f t="shared" si="8"/>
        <v>0</v>
      </c>
      <c r="C180" s="541" t="s">
        <v>1019</v>
      </c>
      <c r="D180" s="539" t="str">
        <f>IF(AND(E172&gt;D172-1,E1=D1,E180="No"),"No",IF(AND(CharacterSheet!$V$8&gt;0),"Yes","No"))</f>
        <v>No</v>
      </c>
      <c r="E180" s="558" t="s">
        <v>347</v>
      </c>
      <c r="F180" s="316" t="str">
        <f>IF(VLOOKUP(C180,KanckRef!$A$2:$D$172,4,FALSE)="None","No","Yes")</f>
        <v>Yes</v>
      </c>
      <c r="H180" s="313" t="s">
        <v>133</v>
      </c>
      <c r="I180" s="313" t="str">
        <f>IF(H180="God",'House Rules'!$B$2,IF(H180="Demi",'House Rules'!$B$1,IF(H180="Comp",'House Rules'!$B$4,IF(H180="Yaz",'House Rules'!$B$5,IF(H180="Rag",'House Rules'!$B$3,"Available")))))</f>
        <v>Available</v>
      </c>
    </row>
    <row r="181" spans="1:9" x14ac:dyDescent="0.25">
      <c r="A181" s="313">
        <f t="shared" si="9"/>
        <v>0</v>
      </c>
      <c r="B181" s="313">
        <f t="shared" si="8"/>
        <v>0</v>
      </c>
      <c r="C181" s="541" t="s">
        <v>1029</v>
      </c>
      <c r="D181" s="539" t="str">
        <f>IF(AND(E172&gt;D172-1,E1=D1,E181="No"),"No",IF(AND('House Rules'!$B$2="Available",CharacterSheet!$V$8&gt;0),"Yes","No"))</f>
        <v>No</v>
      </c>
      <c r="E181" s="558" t="s">
        <v>347</v>
      </c>
      <c r="F181" s="316" t="str">
        <f>IF(VLOOKUP(C181,KanckRef!$A$2:$D$172,4,FALSE)="None","No","Yes")</f>
        <v>No</v>
      </c>
      <c r="H181" s="313" t="s">
        <v>5</v>
      </c>
      <c r="I181" s="313" t="str">
        <f>IF(H181="God",'House Rules'!$B$2,IF(H181="Demi",'House Rules'!$B$1,IF(H181="Comp",'House Rules'!$B$4,IF(H181="Yaz",'House Rules'!$B$5,IF(H181="Rag",'House Rules'!$B$3,"Available")))))</f>
        <v>Available</v>
      </c>
    </row>
    <row r="182" spans="1:9" x14ac:dyDescent="0.25">
      <c r="A182" s="313">
        <f t="shared" si="9"/>
        <v>0</v>
      </c>
      <c r="B182" s="313">
        <f t="shared" si="8"/>
        <v>0</v>
      </c>
      <c r="C182" s="541" t="s">
        <v>1020</v>
      </c>
      <c r="D182" s="539" t="str">
        <f>IF(AND(E172&gt;D172-1,E1=D1,E182="No"),"No",IF(AND(CharacterSheet!$V$8&gt;0),"Yes","No"))</f>
        <v>No</v>
      </c>
      <c r="E182" s="558" t="s">
        <v>347</v>
      </c>
      <c r="F182" s="316" t="str">
        <f>IF(VLOOKUP(C182,KanckRef!$A$2:$D$172,4,FALSE)="None","No","Yes")</f>
        <v>No</v>
      </c>
      <c r="H182" s="313" t="s">
        <v>133</v>
      </c>
      <c r="I182" s="313" t="str">
        <f>IF(H182="God",'House Rules'!$B$2,IF(H182="Demi",'House Rules'!$B$1,IF(H182="Comp",'House Rules'!$B$4,IF(H182="Yaz",'House Rules'!$B$5,IF(H182="Rag",'House Rules'!$B$3,"Available")))))</f>
        <v>Available</v>
      </c>
    </row>
    <row r="183" spans="1:9" x14ac:dyDescent="0.25">
      <c r="A183" s="313">
        <f t="shared" si="9"/>
        <v>0</v>
      </c>
      <c r="B183" s="313">
        <f t="shared" si="8"/>
        <v>0</v>
      </c>
      <c r="C183" s="541" t="s">
        <v>1027</v>
      </c>
      <c r="D183" s="539" t="str">
        <f>IF(AND(E172&gt;D172-1,E1=D1,E183="No"),"No",IF(AND('House Rules'!$B$1="Available",CharacterSheet!$V$8&gt;0),"Yes","No"))</f>
        <v>No</v>
      </c>
      <c r="E183" s="558" t="s">
        <v>347</v>
      </c>
      <c r="F183" s="316" t="str">
        <f>IF(VLOOKUP(C183,KanckRef!$A$2:$D$172,4,FALSE)="None","No","Yes")</f>
        <v>No</v>
      </c>
      <c r="H183" s="313" t="s">
        <v>1045</v>
      </c>
      <c r="I183" s="313" t="str">
        <f>IF(H183="God",'House Rules'!$B$2,IF(H183="Demi",'House Rules'!$B$1,IF(H183="Comp",'House Rules'!$B$4,IF(H183="Yaz",'House Rules'!$B$5,IF(H183="Rag",'House Rules'!$B$3,"Available")))))</f>
        <v>Available</v>
      </c>
    </row>
    <row r="184" spans="1:9" x14ac:dyDescent="0.25">
      <c r="A184" s="313">
        <f t="shared" si="9"/>
        <v>0</v>
      </c>
      <c r="B184" s="313">
        <f t="shared" si="8"/>
        <v>0</v>
      </c>
      <c r="C184" s="541" t="s">
        <v>1021</v>
      </c>
      <c r="D184" s="539" t="str">
        <f>IF(AND(E172&gt;D172-1,E1=D1,E184="No"),"No",IF(AND(CharacterSheet!$V$8&gt;0),"Yes","No"))</f>
        <v>No</v>
      </c>
      <c r="E184" s="558" t="s">
        <v>347</v>
      </c>
      <c r="F184" s="316" t="str">
        <f>IF(VLOOKUP(C184,KanckRef!$A$2:$D$172,4,FALSE)="None","No","Yes")</f>
        <v>No</v>
      </c>
      <c r="H184" s="313" t="s">
        <v>133</v>
      </c>
      <c r="I184" s="313" t="str">
        <f>IF(H184="God",'House Rules'!$B$2,IF(H184="Demi",'House Rules'!$B$1,IF(H184="Comp",'House Rules'!$B$4,IF(H184="Yaz",'House Rules'!$B$5,IF(H184="Rag",'House Rules'!$B$3,"Available")))))</f>
        <v>Available</v>
      </c>
    </row>
    <row r="185" spans="1:9" x14ac:dyDescent="0.25">
      <c r="A185" s="313">
        <f t="shared" si="9"/>
        <v>0</v>
      </c>
      <c r="B185" s="313">
        <f t="shared" si="8"/>
        <v>0</v>
      </c>
      <c r="C185" s="541" t="s">
        <v>1030</v>
      </c>
      <c r="D185" s="539" t="str">
        <f>IF(AND(E172&gt;D172-1,E1=D1,E185="No"),"No",IF(AND('House Rules'!$B$2="Available",CharacterSheet!$V$8&gt;0),"Yes","No"))</f>
        <v>No</v>
      </c>
      <c r="E185" s="558" t="s">
        <v>347</v>
      </c>
      <c r="F185" s="316" t="str">
        <f>IF(VLOOKUP(C185,KanckRef!$A$2:$D$172,4,FALSE)="None","No","Yes")</f>
        <v>No</v>
      </c>
      <c r="H185" s="313" t="s">
        <v>5</v>
      </c>
      <c r="I185" s="313" t="str">
        <f>IF(H185="God",'House Rules'!$B$2,IF(H185="Demi",'House Rules'!$B$1,IF(H185="Comp",'House Rules'!$B$4,IF(H185="Yaz",'House Rules'!$B$5,IF(H185="Rag",'House Rules'!$B$3,"Available")))))</f>
        <v>Available</v>
      </c>
    </row>
    <row r="186" spans="1:9" x14ac:dyDescent="0.25">
      <c r="A186" s="313">
        <f t="shared" si="9"/>
        <v>0</v>
      </c>
      <c r="B186" s="313">
        <f t="shared" si="8"/>
        <v>0</v>
      </c>
      <c r="C186" s="541" t="s">
        <v>1028</v>
      </c>
      <c r="D186" s="539" t="str">
        <f>IF(AND(E172&gt;D172-1,E1=D1,E186="No"),"No",IF(AND(E190="Yes",'House Rules'!$B$1="Available",CharacterSheet!$V$8&gt;0),"Yes","No"))</f>
        <v>No</v>
      </c>
      <c r="E186" s="558" t="s">
        <v>347</v>
      </c>
      <c r="F186" s="316" t="str">
        <f>IF(VLOOKUP(C186,KanckRef!$A$2:$D$172,4,FALSE)="None","No","Yes")</f>
        <v>No</v>
      </c>
      <c r="H186" s="313" t="s">
        <v>1045</v>
      </c>
      <c r="I186" s="313" t="str">
        <f>IF(H186="God",'House Rules'!$B$2,IF(H186="Demi",'House Rules'!$B$1,IF(H186="Comp",'House Rules'!$B$4,IF(H186="Yaz",'House Rules'!$B$5,IF(H186="Rag",'House Rules'!$B$3,"Available")))))</f>
        <v>Available</v>
      </c>
    </row>
    <row r="187" spans="1:9" x14ac:dyDescent="0.25">
      <c r="A187" s="313">
        <f t="shared" si="9"/>
        <v>0</v>
      </c>
      <c r="B187" s="313">
        <f t="shared" si="8"/>
        <v>0</v>
      </c>
      <c r="C187" s="541" t="s">
        <v>1031</v>
      </c>
      <c r="D187" s="539" t="str">
        <f>IF(AND(E172&gt;D172-1,E1=D1,E187="No"),"No",IF(AND('House Rules'!$B$2="Available",CharacterSheet!$V$8&gt;0),"Yes","No"))</f>
        <v>No</v>
      </c>
      <c r="E187" s="558" t="s">
        <v>347</v>
      </c>
      <c r="F187" s="316" t="str">
        <f>IF(VLOOKUP(C187,KanckRef!$A$2:$D$172,4,FALSE)="None","No","Yes")</f>
        <v>No</v>
      </c>
      <c r="H187" s="313" t="s">
        <v>5</v>
      </c>
      <c r="I187" s="313" t="str">
        <f>IF(H187="God",'House Rules'!$B$2,IF(H187="Demi",'House Rules'!$B$1,IF(H187="Comp",'House Rules'!$B$4,IF(H187="Yaz",'House Rules'!$B$5,IF(H187="Rag",'House Rules'!$B$3,"Available")))))</f>
        <v>Available</v>
      </c>
    </row>
    <row r="188" spans="1:9" x14ac:dyDescent="0.25">
      <c r="A188" s="313">
        <f t="shared" si="9"/>
        <v>0</v>
      </c>
      <c r="B188" s="313">
        <f t="shared" si="8"/>
        <v>0</v>
      </c>
      <c r="C188" s="541" t="s">
        <v>1022</v>
      </c>
      <c r="D188" s="539" t="str">
        <f>IF(AND(E172&gt;D172-1,E1=D1,E188="No"),"No",IF(AND(CharacterSheet!$V$8&gt;0,$E$147="No",$E$146="No",$E$178="No"),"Yes","No"))</f>
        <v>No</v>
      </c>
      <c r="E188" s="531" t="s">
        <v>347</v>
      </c>
      <c r="F188" s="316" t="str">
        <f>IF(VLOOKUP(C188,KanckRef!$A$2:$D$172,4,FALSE)="None","No","Yes")</f>
        <v>No</v>
      </c>
      <c r="H188" s="313" t="s">
        <v>133</v>
      </c>
      <c r="I188" s="313" t="str">
        <f>IF(H188="God",'House Rules'!$B$2,IF(H188="Demi",'House Rules'!$B$1,IF(H188="Comp",'House Rules'!$B$4,IF(H188="Yaz",'House Rules'!$B$5,IF(H188="Rag",'House Rules'!$B$3,"Available")))))</f>
        <v>Available</v>
      </c>
    </row>
    <row r="189" spans="1:9" x14ac:dyDescent="0.25">
      <c r="A189" s="313">
        <f t="shared" si="9"/>
        <v>0</v>
      </c>
      <c r="B189" s="313">
        <f t="shared" si="8"/>
        <v>0</v>
      </c>
      <c r="C189" s="541" t="s">
        <v>1032</v>
      </c>
      <c r="D189" s="539" t="str">
        <f>IF(AND(E172&gt;D172-1,E1=D1,E189="No"),"No",IF(AND(E185="Yes",'House Rules'!$B$2="Available",CharacterSheet!$V$8&gt;0),"Yes","No"))</f>
        <v>No</v>
      </c>
      <c r="E189" s="558" t="s">
        <v>347</v>
      </c>
      <c r="F189" s="316" t="str">
        <f>IF(VLOOKUP(C189,KanckRef!$A$2:$D$172,4,FALSE)="None","No","Yes")</f>
        <v>No</v>
      </c>
      <c r="H189" s="313" t="s">
        <v>5</v>
      </c>
      <c r="I189" s="313" t="str">
        <f>IF(H189="God",'House Rules'!$B$2,IF(H189="Demi",'House Rules'!$B$1,IF(H189="Comp",'House Rules'!$B$4,IF(H189="Yaz",'House Rules'!$B$5,IF(H189="Rag",'House Rules'!$B$3,"Available")))))</f>
        <v>Available</v>
      </c>
    </row>
    <row r="190" spans="1:9" x14ac:dyDescent="0.25">
      <c r="A190" s="313">
        <f t="shared" si="9"/>
        <v>0</v>
      </c>
      <c r="B190" s="313">
        <f t="shared" si="8"/>
        <v>0</v>
      </c>
      <c r="C190" s="541" t="s">
        <v>1023</v>
      </c>
      <c r="D190" s="539" t="str">
        <f>IF(AND(E172&gt;D172-1,E1=D1,E190="No"),"No",IF(AND(CharacterSheet!$V$8&gt;0),"Yes","No"))</f>
        <v>No</v>
      </c>
      <c r="E190" s="558" t="s">
        <v>347</v>
      </c>
      <c r="F190" s="316" t="str">
        <f>IF(VLOOKUP(C190,KanckRef!$A$2:$D$172,4,FALSE)="None","No","Yes")</f>
        <v>No</v>
      </c>
      <c r="H190" s="313" t="s">
        <v>133</v>
      </c>
      <c r="I190" s="313" t="str">
        <f>IF(H190="God",'House Rules'!$B$2,IF(H190="Demi",'House Rules'!$B$1,IF(H190="Comp",'House Rules'!$B$4,IF(H190="Yaz",'House Rules'!$B$5,IF(H190="Rag",'House Rules'!$B$3,"Available")))))</f>
        <v>Available</v>
      </c>
    </row>
    <row r="191" spans="1:9" ht="15.75" thickBot="1" x14ac:dyDescent="0.3">
      <c r="A191" s="313">
        <f t="shared" si="9"/>
        <v>0</v>
      </c>
      <c r="B191" s="313">
        <f t="shared" si="8"/>
        <v>0</v>
      </c>
      <c r="C191" s="542" t="s">
        <v>1033</v>
      </c>
      <c r="D191" s="536" t="str">
        <f>IF(AND(E172&gt;D172-1,E1=D1,E191="No"),"No",IF(AND(E191="Yes",'House Rules'!$B$2="Available",CharacterSheet!$V$8&gt;0),"Yes","No"))</f>
        <v>No</v>
      </c>
      <c r="E191" s="537" t="s">
        <v>347</v>
      </c>
      <c r="F191" s="316" t="str">
        <f>IF(VLOOKUP(C191,KanckRef!$A$2:$D$172,4,FALSE)="None","No","Yes")</f>
        <v>No</v>
      </c>
      <c r="H191" s="313" t="s">
        <v>5</v>
      </c>
      <c r="I191" s="313" t="str">
        <f>IF(H191="God",'House Rules'!$B$2,IF(H191="Demi",'House Rules'!$B$1,IF(H191="Comp",'House Rules'!$B$4,IF(H191="Yaz",'House Rules'!$B$5,IF(H191="Rag",'House Rules'!$B$3,"Available")))))</f>
        <v>Available</v>
      </c>
    </row>
    <row r="192" spans="1:9" x14ac:dyDescent="0.25">
      <c r="A192" s="313">
        <f>A191+1</f>
        <v>1</v>
      </c>
      <c r="B192" s="313">
        <f>B191+1</f>
        <v>1</v>
      </c>
    </row>
  </sheetData>
  <sheetProtection password="E9C2" sheet="1" objects="1" scenarios="1" selectLockedCells="1"/>
  <mergeCells count="1">
    <mergeCell ref="C109:E109"/>
  </mergeCells>
  <conditionalFormatting sqref="C4:E22 C25:E43 C46:E67 C70:E87 C90:E107 C111:E129 C132:E150 C153:E171 C174:E191">
    <cfRule type="expression" dxfId="426" priority="28">
      <formula>IF($D4="No",1,0)=1</formula>
    </cfRule>
  </conditionalFormatting>
  <conditionalFormatting sqref="C3:E22 C2 C24:E43 C45:E67 C69:E87 C110:E129 C89:E107 C131:E150 C152:E171 C173:E1048576 E1:E2 E23 E44 E68 E88 E108 E130 E151 E172">
    <cfRule type="expression" dxfId="425" priority="27">
      <formula>IF($I1="Prohibited",1,0)=1</formula>
    </cfRule>
  </conditionalFormatting>
  <conditionalFormatting sqref="C109">
    <cfRule type="expression" dxfId="424" priority="718">
      <formula>IF($I108="Prohibited",1,0)=1</formula>
    </cfRule>
  </conditionalFormatting>
  <conditionalFormatting sqref="C1">
    <cfRule type="expression" dxfId="423" priority="24">
      <formula>IF($I1="Prohibited",1,0)=1</formula>
    </cfRule>
  </conditionalFormatting>
  <conditionalFormatting sqref="C23">
    <cfRule type="expression" dxfId="422" priority="23">
      <formula>IF($I23="Prohibited",1,0)=1</formula>
    </cfRule>
  </conditionalFormatting>
  <conditionalFormatting sqref="C44">
    <cfRule type="expression" dxfId="421" priority="22">
      <formula>IF($I44="Prohibited",1,0)=1</formula>
    </cfRule>
  </conditionalFormatting>
  <conditionalFormatting sqref="C68">
    <cfRule type="expression" dxfId="420" priority="20">
      <formula>IF($I68="Prohibited",1,0)=1</formula>
    </cfRule>
  </conditionalFormatting>
  <conditionalFormatting sqref="C88">
    <cfRule type="expression" dxfId="419" priority="19">
      <formula>IF($I88="Prohibited",1,0)=1</formula>
    </cfRule>
  </conditionalFormatting>
  <conditionalFormatting sqref="C108">
    <cfRule type="expression" dxfId="418" priority="18">
      <formula>IF($I108="Prohibited",1,0)=1</formula>
    </cfRule>
  </conditionalFormatting>
  <conditionalFormatting sqref="C130">
    <cfRule type="expression" dxfId="417" priority="17">
      <formula>IF($I130="Prohibited",1,0)=1</formula>
    </cfRule>
  </conditionalFormatting>
  <conditionalFormatting sqref="C151">
    <cfRule type="expression" dxfId="416" priority="16">
      <formula>IF($I151="Prohibited",1,0)=1</formula>
    </cfRule>
  </conditionalFormatting>
  <conditionalFormatting sqref="C172">
    <cfRule type="expression" dxfId="415" priority="15">
      <formula>IF($I172="Prohibited",1,0)=1</formula>
    </cfRule>
  </conditionalFormatting>
  <conditionalFormatting sqref="D4:D22">
    <cfRule type="expression" dxfId="414" priority="13">
      <formula>IF($D4="No",1,0)=1</formula>
    </cfRule>
  </conditionalFormatting>
  <conditionalFormatting sqref="D4:D22">
    <cfRule type="expression" dxfId="413" priority="12">
      <formula>IF($I4="Prohibited",1,0)=1</formula>
    </cfRule>
  </conditionalFormatting>
  <conditionalFormatting sqref="C4:E22 C25:E43 C46:E67 C70:E87 C90:E107 C111:E129 C132:E150 C153:E171 C174:E191">
    <cfRule type="expression" dxfId="412" priority="11">
      <formula>IF($D4="No",1,0)=1</formula>
    </cfRule>
  </conditionalFormatting>
  <conditionalFormatting sqref="C4:E22 C24:E43 C45:E67 C69:E87 C110:E129 C89:E107 C131:E150 C152:E171 C173:E191 E23 E44 E68 E88 E108 E130 E151 E172">
    <cfRule type="expression" dxfId="411" priority="10">
      <formula>IF($I4="Prohibited",1,0)=1</formula>
    </cfRule>
  </conditionalFormatting>
  <conditionalFormatting sqref="C109">
    <cfRule type="expression" dxfId="410" priority="9">
      <formula>IF($I108="Prohibited",1,0)=1</formula>
    </cfRule>
  </conditionalFormatting>
  <conditionalFormatting sqref="C23">
    <cfRule type="expression" dxfId="409" priority="8">
      <formula>IF($I23="Prohibited",1,0)=1</formula>
    </cfRule>
  </conditionalFormatting>
  <conditionalFormatting sqref="C44">
    <cfRule type="expression" dxfId="408" priority="7">
      <formula>IF($I44="Prohibited",1,0)=1</formula>
    </cfRule>
  </conditionalFormatting>
  <conditionalFormatting sqref="C68">
    <cfRule type="expression" dxfId="407" priority="6">
      <formula>IF($I68="Prohibited",1,0)=1</formula>
    </cfRule>
  </conditionalFormatting>
  <conditionalFormatting sqref="C88">
    <cfRule type="expression" dxfId="406" priority="5">
      <formula>IF($I88="Prohibited",1,0)=1</formula>
    </cfRule>
  </conditionalFormatting>
  <conditionalFormatting sqref="C108">
    <cfRule type="expression" dxfId="405" priority="4">
      <formula>IF($I108="Prohibited",1,0)=1</formula>
    </cfRule>
  </conditionalFormatting>
  <conditionalFormatting sqref="C130">
    <cfRule type="expression" dxfId="404" priority="3">
      <formula>IF($I130="Prohibited",1,0)=1</formula>
    </cfRule>
  </conditionalFormatting>
  <conditionalFormatting sqref="C151">
    <cfRule type="expression" dxfId="403" priority="2">
      <formula>IF($I151="Prohibited",1,0)=1</formula>
    </cfRule>
  </conditionalFormatting>
  <conditionalFormatting sqref="C172">
    <cfRule type="expression" dxfId="402" priority="1">
      <formula>IF($I172="Prohibited",1,0)=1</formula>
    </cfRule>
  </conditionalFormatting>
  <dataValidations count="2">
    <dataValidation type="list" allowBlank="1" showInputMessage="1" showErrorMessage="1" sqref="E4:E22 E25:E43 E70:E87 E90:E107 E111:E129 E132:E150 E153:E171 E174:E191 E46:E67">
      <formula1>INDIRECT(D4)</formula1>
    </dataValidation>
    <dataValidation type="list" allowBlank="1" showInputMessage="1" showErrorMessage="1" sqref="C109">
      <formula1>"Select, Beautiful, Ugly"</formula1>
    </dataValidation>
  </dataValidations>
  <pageMargins left="0.7" right="0.7" top="0.75" bottom="0.75" header="0.3" footer="0.3"/>
  <pageSetup orientation="portrait" horizontalDpi="0"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GR63"/>
  <sheetViews>
    <sheetView topLeftCell="Y1" zoomScale="80" zoomScaleNormal="80" zoomScaleSheetLayoutView="70" workbookViewId="0">
      <selection activeCell="AT21" sqref="AT21"/>
    </sheetView>
  </sheetViews>
  <sheetFormatPr defaultRowHeight="15" x14ac:dyDescent="0.25"/>
  <cols>
    <col min="1" max="24" width="3.7109375" style="283" hidden="1" customWidth="1"/>
    <col min="25" max="72" width="3.7109375" style="283" customWidth="1"/>
    <col min="73" max="144" width="3.7109375" style="283" hidden="1" customWidth="1"/>
    <col min="145" max="162" width="3.7109375" style="283" customWidth="1"/>
    <col min="163" max="171" width="3.7109375" style="283" hidden="1" customWidth="1"/>
    <col min="172" max="180" width="3.7109375" style="283" customWidth="1"/>
    <col min="181" max="189" width="3.7109375" style="283" hidden="1" customWidth="1"/>
    <col min="190" max="192" width="3.7109375" style="283" customWidth="1"/>
    <col min="193" max="194" width="16.5703125" style="283" hidden="1" customWidth="1"/>
    <col min="195" max="200" width="9.140625" style="283" hidden="1" customWidth="1"/>
    <col min="201" max="16384" width="9.140625" style="283"/>
  </cols>
  <sheetData>
    <row r="1" spans="1:200" ht="15" customHeight="1" x14ac:dyDescent="0.25">
      <c r="A1" s="829" t="s">
        <v>440</v>
      </c>
      <c r="B1" s="820"/>
      <c r="C1" s="820"/>
      <c r="D1" s="820"/>
      <c r="E1" s="820"/>
      <c r="F1" s="820"/>
      <c r="G1" s="820"/>
      <c r="H1" s="820"/>
      <c r="I1" s="820"/>
      <c r="J1" s="820"/>
      <c r="K1" s="820"/>
      <c r="L1" s="820"/>
      <c r="M1" s="820"/>
      <c r="N1" s="820"/>
      <c r="O1" s="820"/>
      <c r="P1" s="820"/>
      <c r="Q1" s="820"/>
      <c r="R1" s="820"/>
      <c r="S1" s="820"/>
      <c r="T1" s="820"/>
      <c r="U1" s="820"/>
      <c r="V1" s="820"/>
      <c r="W1" s="820"/>
      <c r="X1" s="872"/>
      <c r="Y1" s="829" t="s">
        <v>441</v>
      </c>
      <c r="Z1" s="820"/>
      <c r="AA1" s="820"/>
      <c r="AB1" s="820"/>
      <c r="AC1" s="820"/>
      <c r="AD1" s="820"/>
      <c r="AE1" s="820"/>
      <c r="AF1" s="820"/>
      <c r="AG1" s="820"/>
      <c r="AH1" s="820"/>
      <c r="AI1" s="820"/>
      <c r="AJ1" s="820"/>
      <c r="AK1" s="820"/>
      <c r="AL1" s="820"/>
      <c r="AM1" s="820"/>
      <c r="AN1" s="820"/>
      <c r="AO1" s="820"/>
      <c r="AP1" s="820"/>
      <c r="AQ1" s="820"/>
      <c r="AR1" s="820"/>
      <c r="AS1" s="820"/>
      <c r="AT1" s="820"/>
      <c r="AU1" s="820"/>
      <c r="AV1" s="821"/>
      <c r="AW1" s="829" t="s">
        <v>442</v>
      </c>
      <c r="AX1" s="820"/>
      <c r="AY1" s="820"/>
      <c r="AZ1" s="820"/>
      <c r="BA1" s="820"/>
      <c r="BB1" s="820"/>
      <c r="BC1" s="820"/>
      <c r="BD1" s="820"/>
      <c r="BE1" s="820"/>
      <c r="BF1" s="820"/>
      <c r="BG1" s="820"/>
      <c r="BH1" s="820"/>
      <c r="BI1" s="820"/>
      <c r="BJ1" s="820"/>
      <c r="BK1" s="820"/>
      <c r="BL1" s="820"/>
      <c r="BM1" s="820"/>
      <c r="BN1" s="820"/>
      <c r="BO1" s="820"/>
      <c r="BP1" s="820"/>
      <c r="BQ1" s="820"/>
      <c r="BR1" s="820"/>
      <c r="BS1" s="820"/>
      <c r="BT1" s="821"/>
      <c r="BU1" s="819" t="s">
        <v>443</v>
      </c>
      <c r="BV1" s="820"/>
      <c r="BW1" s="820"/>
      <c r="BX1" s="820"/>
      <c r="BY1" s="820"/>
      <c r="BZ1" s="820"/>
      <c r="CA1" s="820"/>
      <c r="CB1" s="820"/>
      <c r="CC1" s="820"/>
      <c r="CD1" s="820"/>
      <c r="CE1" s="820"/>
      <c r="CF1" s="820"/>
      <c r="CG1" s="820"/>
      <c r="CH1" s="820"/>
      <c r="CI1" s="820"/>
      <c r="CJ1" s="820"/>
      <c r="CK1" s="820"/>
      <c r="CL1" s="820"/>
      <c r="CM1" s="820"/>
      <c r="CN1" s="820"/>
      <c r="CO1" s="820"/>
      <c r="CP1" s="820"/>
      <c r="CQ1" s="820"/>
      <c r="CR1" s="821"/>
      <c r="CS1" s="819" t="s">
        <v>444</v>
      </c>
      <c r="CT1" s="820"/>
      <c r="CU1" s="820"/>
      <c r="CV1" s="820"/>
      <c r="CW1" s="820"/>
      <c r="CX1" s="820"/>
      <c r="CY1" s="820"/>
      <c r="CZ1" s="820"/>
      <c r="DA1" s="820"/>
      <c r="DB1" s="820"/>
      <c r="DC1" s="820"/>
      <c r="DD1" s="820"/>
      <c r="DE1" s="820"/>
      <c r="DF1" s="820"/>
      <c r="DG1" s="820"/>
      <c r="DH1" s="820"/>
      <c r="DI1" s="820"/>
      <c r="DJ1" s="820"/>
      <c r="DK1" s="820"/>
      <c r="DL1" s="820"/>
      <c r="DM1" s="820"/>
      <c r="DN1" s="820"/>
      <c r="DO1" s="820"/>
      <c r="DP1" s="872"/>
      <c r="DQ1" s="829" t="s">
        <v>445</v>
      </c>
      <c r="DR1" s="820"/>
      <c r="DS1" s="820"/>
      <c r="DT1" s="820"/>
      <c r="DU1" s="820"/>
      <c r="DV1" s="820"/>
      <c r="DW1" s="820"/>
      <c r="DX1" s="820"/>
      <c r="DY1" s="820"/>
      <c r="DZ1" s="820"/>
      <c r="EA1" s="820"/>
      <c r="EB1" s="820"/>
      <c r="EC1" s="820"/>
      <c r="ED1" s="820"/>
      <c r="EE1" s="820"/>
      <c r="EF1" s="820"/>
      <c r="EG1" s="820"/>
      <c r="EH1" s="820"/>
      <c r="EI1" s="820"/>
      <c r="EJ1" s="820"/>
      <c r="EK1" s="820"/>
      <c r="EL1" s="820"/>
      <c r="EM1" s="820"/>
      <c r="EN1" s="872"/>
      <c r="EO1" s="1126" t="s">
        <v>1769</v>
      </c>
      <c r="EP1" s="1127"/>
      <c r="EQ1" s="1127"/>
      <c r="ER1" s="1127"/>
      <c r="ES1" s="1127"/>
      <c r="ET1" s="1127"/>
      <c r="EU1" s="1127"/>
      <c r="EV1" s="1127"/>
      <c r="EW1" s="1127"/>
      <c r="EX1" s="1127"/>
      <c r="EY1" s="1127"/>
      <c r="EZ1" s="1127"/>
      <c r="FA1" s="1127"/>
      <c r="FB1" s="1127"/>
      <c r="FC1" s="1127"/>
      <c r="FD1" s="1127"/>
      <c r="FE1" s="1127"/>
      <c r="FF1" s="1127"/>
      <c r="FG1" s="1127"/>
      <c r="FH1" s="1127"/>
      <c r="FI1" s="1127"/>
      <c r="FJ1" s="1127"/>
      <c r="FK1" s="1127"/>
      <c r="FL1" s="1127"/>
      <c r="FM1" s="1127"/>
      <c r="FN1" s="1127"/>
      <c r="FO1" s="1127"/>
      <c r="FP1" s="1127"/>
      <c r="FQ1" s="1127"/>
      <c r="FR1" s="1127"/>
      <c r="FS1" s="1127"/>
      <c r="FT1" s="1127"/>
      <c r="FU1" s="1127"/>
      <c r="FV1" s="1127"/>
      <c r="FW1" s="1127"/>
      <c r="FX1" s="1127"/>
      <c r="FY1" s="1127"/>
      <c r="FZ1" s="1127"/>
      <c r="GA1" s="1127"/>
      <c r="GB1" s="1127"/>
      <c r="GC1" s="1127"/>
      <c r="GD1" s="1127"/>
      <c r="GE1" s="1127"/>
      <c r="GF1" s="1127"/>
      <c r="GG1" s="1127"/>
    </row>
    <row r="2" spans="1:200" ht="15.75" customHeight="1" thickBot="1" x14ac:dyDescent="0.3">
      <c r="A2" s="830"/>
      <c r="B2" s="831"/>
      <c r="C2" s="831"/>
      <c r="D2" s="831"/>
      <c r="E2" s="831"/>
      <c r="F2" s="831"/>
      <c r="G2" s="831"/>
      <c r="H2" s="831"/>
      <c r="I2" s="831"/>
      <c r="J2" s="831"/>
      <c r="K2" s="831"/>
      <c r="L2" s="831"/>
      <c r="M2" s="831"/>
      <c r="N2" s="831"/>
      <c r="O2" s="831"/>
      <c r="P2" s="831"/>
      <c r="Q2" s="831"/>
      <c r="R2" s="831"/>
      <c r="S2" s="831"/>
      <c r="T2" s="831"/>
      <c r="U2" s="831"/>
      <c r="V2" s="831"/>
      <c r="W2" s="831"/>
      <c r="X2" s="873"/>
      <c r="Y2" s="830"/>
      <c r="Z2" s="831"/>
      <c r="AA2" s="831"/>
      <c r="AB2" s="831"/>
      <c r="AC2" s="831"/>
      <c r="AD2" s="831"/>
      <c r="AE2" s="831"/>
      <c r="AF2" s="831"/>
      <c r="AG2" s="831"/>
      <c r="AH2" s="831"/>
      <c r="AI2" s="831"/>
      <c r="AJ2" s="831"/>
      <c r="AK2" s="831"/>
      <c r="AL2" s="831"/>
      <c r="AM2" s="831"/>
      <c r="AN2" s="831"/>
      <c r="AO2" s="831"/>
      <c r="AP2" s="831"/>
      <c r="AQ2" s="831"/>
      <c r="AR2" s="831"/>
      <c r="AS2" s="831"/>
      <c r="AT2" s="831"/>
      <c r="AU2" s="831"/>
      <c r="AV2" s="832"/>
      <c r="AW2" s="830"/>
      <c r="AX2" s="831"/>
      <c r="AY2" s="831"/>
      <c r="AZ2" s="831"/>
      <c r="BA2" s="831"/>
      <c r="BB2" s="831"/>
      <c r="BC2" s="831"/>
      <c r="BD2" s="831"/>
      <c r="BE2" s="831"/>
      <c r="BF2" s="831"/>
      <c r="BG2" s="831"/>
      <c r="BH2" s="831"/>
      <c r="BI2" s="831"/>
      <c r="BJ2" s="831"/>
      <c r="BK2" s="831"/>
      <c r="BL2" s="831"/>
      <c r="BM2" s="831"/>
      <c r="BN2" s="831"/>
      <c r="BO2" s="831"/>
      <c r="BP2" s="831"/>
      <c r="BQ2" s="831"/>
      <c r="BR2" s="831"/>
      <c r="BS2" s="831"/>
      <c r="BT2" s="832"/>
      <c r="BU2" s="1006"/>
      <c r="BV2" s="831"/>
      <c r="BW2" s="831"/>
      <c r="BX2" s="831"/>
      <c r="BY2" s="831"/>
      <c r="BZ2" s="831"/>
      <c r="CA2" s="831"/>
      <c r="CB2" s="831"/>
      <c r="CC2" s="831"/>
      <c r="CD2" s="831"/>
      <c r="CE2" s="831"/>
      <c r="CF2" s="831"/>
      <c r="CG2" s="831"/>
      <c r="CH2" s="831"/>
      <c r="CI2" s="831"/>
      <c r="CJ2" s="831"/>
      <c r="CK2" s="831"/>
      <c r="CL2" s="831"/>
      <c r="CM2" s="831"/>
      <c r="CN2" s="831"/>
      <c r="CO2" s="831"/>
      <c r="CP2" s="831"/>
      <c r="CQ2" s="831"/>
      <c r="CR2" s="832"/>
      <c r="CS2" s="1006"/>
      <c r="CT2" s="831"/>
      <c r="CU2" s="831"/>
      <c r="CV2" s="831"/>
      <c r="CW2" s="831"/>
      <c r="CX2" s="831"/>
      <c r="CY2" s="831"/>
      <c r="CZ2" s="831"/>
      <c r="DA2" s="831"/>
      <c r="DB2" s="831"/>
      <c r="DC2" s="831"/>
      <c r="DD2" s="831"/>
      <c r="DE2" s="831"/>
      <c r="DF2" s="831"/>
      <c r="DG2" s="831"/>
      <c r="DH2" s="831"/>
      <c r="DI2" s="831"/>
      <c r="DJ2" s="831"/>
      <c r="DK2" s="831"/>
      <c r="DL2" s="831"/>
      <c r="DM2" s="831"/>
      <c r="DN2" s="831"/>
      <c r="DO2" s="831"/>
      <c r="DP2" s="873"/>
      <c r="DQ2" s="830"/>
      <c r="DR2" s="831"/>
      <c r="DS2" s="831"/>
      <c r="DT2" s="831"/>
      <c r="DU2" s="831"/>
      <c r="DV2" s="831"/>
      <c r="DW2" s="831"/>
      <c r="DX2" s="831"/>
      <c r="DY2" s="831"/>
      <c r="DZ2" s="831"/>
      <c r="EA2" s="831"/>
      <c r="EB2" s="831"/>
      <c r="EC2" s="831"/>
      <c r="ED2" s="831"/>
      <c r="EE2" s="831"/>
      <c r="EF2" s="831"/>
      <c r="EG2" s="831"/>
      <c r="EH2" s="831"/>
      <c r="EI2" s="831"/>
      <c r="EJ2" s="831"/>
      <c r="EK2" s="831"/>
      <c r="EL2" s="831"/>
      <c r="EM2" s="831"/>
      <c r="EN2" s="873"/>
      <c r="EO2" s="1126"/>
      <c r="EP2" s="1127"/>
      <c r="EQ2" s="1127"/>
      <c r="ER2" s="1127"/>
      <c r="ES2" s="1127"/>
      <c r="ET2" s="1127"/>
      <c r="EU2" s="1127"/>
      <c r="EV2" s="1127"/>
      <c r="EW2" s="1127"/>
      <c r="EX2" s="1127"/>
      <c r="EY2" s="1127"/>
      <c r="EZ2" s="1127"/>
      <c r="FA2" s="1127"/>
      <c r="FB2" s="1127"/>
      <c r="FC2" s="1127"/>
      <c r="FD2" s="1127"/>
      <c r="FE2" s="1127"/>
      <c r="FF2" s="1127"/>
      <c r="FG2" s="1127"/>
      <c r="FH2" s="1127"/>
      <c r="FI2" s="1127"/>
      <c r="FJ2" s="1127"/>
      <c r="FK2" s="1127"/>
      <c r="FL2" s="1127"/>
      <c r="FM2" s="1127"/>
      <c r="FN2" s="1127"/>
      <c r="FO2" s="1127"/>
      <c r="FP2" s="1127"/>
      <c r="FQ2" s="1127"/>
      <c r="FR2" s="1127"/>
      <c r="FS2" s="1127"/>
      <c r="FT2" s="1127"/>
      <c r="FU2" s="1127"/>
      <c r="FV2" s="1127"/>
      <c r="FW2" s="1127"/>
      <c r="FX2" s="1127"/>
      <c r="FY2" s="1127"/>
      <c r="FZ2" s="1127"/>
      <c r="GA2" s="1127"/>
      <c r="GB2" s="1127"/>
      <c r="GC2" s="1127"/>
      <c r="GD2" s="1127"/>
      <c r="GE2" s="1127"/>
      <c r="GF2" s="1127"/>
      <c r="GG2" s="1127"/>
    </row>
    <row r="3" spans="1:200" ht="15" customHeight="1" x14ac:dyDescent="0.25">
      <c r="A3" s="721" t="s">
        <v>60</v>
      </c>
      <c r="B3" s="722"/>
      <c r="C3" s="722"/>
      <c r="D3" s="288">
        <v>1</v>
      </c>
      <c r="E3" s="288">
        <v>2</v>
      </c>
      <c r="F3" s="288">
        <v>3</v>
      </c>
      <c r="G3" s="288">
        <v>4</v>
      </c>
      <c r="H3" s="288">
        <v>5</v>
      </c>
      <c r="I3" s="288">
        <v>6</v>
      </c>
      <c r="J3" s="288">
        <v>7</v>
      </c>
      <c r="K3" s="288">
        <v>8</v>
      </c>
      <c r="L3" s="288">
        <v>9</v>
      </c>
      <c r="M3" s="288">
        <v>10</v>
      </c>
      <c r="N3" s="288">
        <v>11</v>
      </c>
      <c r="O3" s="289">
        <v>12</v>
      </c>
      <c r="P3" s="721" t="s">
        <v>31</v>
      </c>
      <c r="Q3" s="722"/>
      <c r="R3" s="722"/>
      <c r="S3" s="722"/>
      <c r="T3" s="334">
        <v>1</v>
      </c>
      <c r="U3" s="334">
        <v>2</v>
      </c>
      <c r="V3" s="334">
        <v>3</v>
      </c>
      <c r="W3" s="334">
        <v>4</v>
      </c>
      <c r="X3" s="367">
        <v>5</v>
      </c>
      <c r="Y3" s="721" t="s">
        <v>60</v>
      </c>
      <c r="Z3" s="722"/>
      <c r="AA3" s="833"/>
      <c r="AB3" s="368">
        <v>1</v>
      </c>
      <c r="AC3" s="369">
        <v>2</v>
      </c>
      <c r="AD3" s="298">
        <v>3</v>
      </c>
      <c r="AE3" s="298">
        <v>4</v>
      </c>
      <c r="AF3" s="298">
        <v>5</v>
      </c>
      <c r="AG3" s="298">
        <v>6</v>
      </c>
      <c r="AH3" s="298">
        <v>7</v>
      </c>
      <c r="AI3" s="298">
        <v>8</v>
      </c>
      <c r="AJ3" s="298">
        <v>9</v>
      </c>
      <c r="AK3" s="298">
        <v>10</v>
      </c>
      <c r="AL3" s="298">
        <v>11</v>
      </c>
      <c r="AM3" s="370">
        <v>12</v>
      </c>
      <c r="AN3" s="721" t="s">
        <v>31</v>
      </c>
      <c r="AO3" s="722"/>
      <c r="AP3" s="722"/>
      <c r="AQ3" s="833"/>
      <c r="AR3" s="368">
        <v>1</v>
      </c>
      <c r="AS3" s="371">
        <v>2</v>
      </c>
      <c r="AT3" s="371">
        <v>3</v>
      </c>
      <c r="AU3" s="371">
        <v>4</v>
      </c>
      <c r="AV3" s="372">
        <v>5</v>
      </c>
      <c r="AW3" s="774" t="s">
        <v>60</v>
      </c>
      <c r="AX3" s="722"/>
      <c r="AY3" s="833"/>
      <c r="AZ3" s="373">
        <v>1</v>
      </c>
      <c r="BA3" s="369">
        <v>2</v>
      </c>
      <c r="BB3" s="298">
        <v>3</v>
      </c>
      <c r="BC3" s="298">
        <v>4</v>
      </c>
      <c r="BD3" s="298">
        <v>5</v>
      </c>
      <c r="BE3" s="298">
        <v>6</v>
      </c>
      <c r="BF3" s="298">
        <v>7</v>
      </c>
      <c r="BG3" s="298">
        <v>8</v>
      </c>
      <c r="BH3" s="298">
        <v>9</v>
      </c>
      <c r="BI3" s="298">
        <v>10</v>
      </c>
      <c r="BJ3" s="298">
        <v>11</v>
      </c>
      <c r="BK3" s="370">
        <v>12</v>
      </c>
      <c r="BL3" s="721" t="s">
        <v>31</v>
      </c>
      <c r="BM3" s="722"/>
      <c r="BN3" s="722"/>
      <c r="BO3" s="833"/>
      <c r="BP3" s="373">
        <v>1</v>
      </c>
      <c r="BQ3" s="371">
        <v>2</v>
      </c>
      <c r="BR3" s="371">
        <v>3</v>
      </c>
      <c r="BS3" s="371">
        <v>4</v>
      </c>
      <c r="BT3" s="372">
        <v>5</v>
      </c>
      <c r="BU3" s="774" t="s">
        <v>60</v>
      </c>
      <c r="BV3" s="722"/>
      <c r="BW3" s="722"/>
      <c r="BX3" s="288">
        <v>1</v>
      </c>
      <c r="BY3" s="288">
        <v>2</v>
      </c>
      <c r="BZ3" s="288">
        <v>3</v>
      </c>
      <c r="CA3" s="288">
        <v>4</v>
      </c>
      <c r="CB3" s="288">
        <v>5</v>
      </c>
      <c r="CC3" s="288">
        <v>6</v>
      </c>
      <c r="CD3" s="288">
        <v>7</v>
      </c>
      <c r="CE3" s="288">
        <v>8</v>
      </c>
      <c r="CF3" s="288">
        <v>9</v>
      </c>
      <c r="CG3" s="288">
        <v>10</v>
      </c>
      <c r="CH3" s="288">
        <v>11</v>
      </c>
      <c r="CI3" s="374">
        <v>12</v>
      </c>
      <c r="CJ3" s="721" t="s">
        <v>31</v>
      </c>
      <c r="CK3" s="722"/>
      <c r="CL3" s="722"/>
      <c r="CM3" s="722"/>
      <c r="CN3" s="334">
        <v>1</v>
      </c>
      <c r="CO3" s="334">
        <v>2</v>
      </c>
      <c r="CP3" s="334">
        <v>3</v>
      </c>
      <c r="CQ3" s="334">
        <v>4</v>
      </c>
      <c r="CR3" s="375">
        <v>5</v>
      </c>
      <c r="CS3" s="774" t="s">
        <v>60</v>
      </c>
      <c r="CT3" s="722"/>
      <c r="CU3" s="722"/>
      <c r="CV3" s="288">
        <v>1</v>
      </c>
      <c r="CW3" s="288">
        <v>2</v>
      </c>
      <c r="CX3" s="288">
        <v>3</v>
      </c>
      <c r="CY3" s="288">
        <v>4</v>
      </c>
      <c r="CZ3" s="288">
        <v>5</v>
      </c>
      <c r="DA3" s="288">
        <v>6</v>
      </c>
      <c r="DB3" s="288">
        <v>7</v>
      </c>
      <c r="DC3" s="288">
        <v>8</v>
      </c>
      <c r="DD3" s="288">
        <v>9</v>
      </c>
      <c r="DE3" s="288">
        <v>10</v>
      </c>
      <c r="DF3" s="288">
        <v>11</v>
      </c>
      <c r="DG3" s="289">
        <v>12</v>
      </c>
      <c r="DH3" s="721" t="s">
        <v>31</v>
      </c>
      <c r="DI3" s="722"/>
      <c r="DJ3" s="722"/>
      <c r="DK3" s="722"/>
      <c r="DL3" s="334">
        <v>1</v>
      </c>
      <c r="DM3" s="334">
        <v>2</v>
      </c>
      <c r="DN3" s="334">
        <v>3</v>
      </c>
      <c r="DO3" s="334">
        <v>4</v>
      </c>
      <c r="DP3" s="375">
        <v>5</v>
      </c>
      <c r="DQ3" s="721" t="s">
        <v>60</v>
      </c>
      <c r="DR3" s="722"/>
      <c r="DS3" s="722"/>
      <c r="DT3" s="288">
        <v>1</v>
      </c>
      <c r="DU3" s="288">
        <v>2</v>
      </c>
      <c r="DV3" s="288">
        <v>3</v>
      </c>
      <c r="DW3" s="288">
        <v>4</v>
      </c>
      <c r="DX3" s="288">
        <v>5</v>
      </c>
      <c r="DY3" s="288">
        <v>6</v>
      </c>
      <c r="DZ3" s="288">
        <v>7</v>
      </c>
      <c r="EA3" s="288">
        <v>8</v>
      </c>
      <c r="EB3" s="288">
        <v>9</v>
      </c>
      <c r="EC3" s="288">
        <v>10</v>
      </c>
      <c r="ED3" s="288">
        <v>11</v>
      </c>
      <c r="EE3" s="289">
        <v>12</v>
      </c>
      <c r="EF3" s="721" t="s">
        <v>31</v>
      </c>
      <c r="EG3" s="722"/>
      <c r="EH3" s="722"/>
      <c r="EI3" s="722"/>
      <c r="EJ3" s="334">
        <v>1</v>
      </c>
      <c r="EK3" s="334">
        <v>2</v>
      </c>
      <c r="EL3" s="334">
        <v>3</v>
      </c>
      <c r="EM3" s="334">
        <v>4</v>
      </c>
      <c r="EN3" s="367">
        <v>5</v>
      </c>
      <c r="EO3" s="982" t="s">
        <v>1772</v>
      </c>
      <c r="EP3" s="983"/>
      <c r="EQ3" s="983"/>
      <c r="ER3" s="983"/>
      <c r="ES3" s="983"/>
      <c r="ET3" s="983"/>
      <c r="EU3" s="983"/>
      <c r="EV3" s="983"/>
      <c r="EW3" s="1128"/>
      <c r="EX3" s="982" t="s">
        <v>3583</v>
      </c>
      <c r="EY3" s="983"/>
      <c r="EZ3" s="983"/>
      <c r="FA3" s="983"/>
      <c r="FB3" s="983"/>
      <c r="FC3" s="983"/>
      <c r="FD3" s="983"/>
      <c r="FE3" s="983"/>
      <c r="FF3" s="1128"/>
      <c r="FG3" s="1133" t="s">
        <v>1773</v>
      </c>
      <c r="FH3" s="1134"/>
      <c r="FI3" s="1134"/>
      <c r="FJ3" s="1134"/>
      <c r="FK3" s="1134"/>
      <c r="FL3" s="1134"/>
      <c r="FM3" s="1134"/>
      <c r="FN3" s="1134"/>
      <c r="FO3" s="1135"/>
      <c r="FP3" s="932" t="s">
        <v>3584</v>
      </c>
      <c r="FQ3" s="933"/>
      <c r="FR3" s="933"/>
      <c r="FS3" s="933"/>
      <c r="FT3" s="933"/>
      <c r="FU3" s="933"/>
      <c r="FV3" s="933"/>
      <c r="FW3" s="933"/>
      <c r="FX3" s="1158"/>
      <c r="FY3" s="1149" t="s">
        <v>1770</v>
      </c>
      <c r="FZ3" s="1150"/>
      <c r="GA3" s="1150"/>
      <c r="GB3" s="1150"/>
      <c r="GC3" s="1150"/>
      <c r="GD3" s="1150"/>
      <c r="GE3" s="1150"/>
      <c r="GF3" s="1150"/>
      <c r="GG3" s="1151"/>
    </row>
    <row r="4" spans="1:200" ht="15.75" thickBot="1" x14ac:dyDescent="0.3">
      <c r="A4" s="802"/>
      <c r="B4" s="803"/>
      <c r="C4" s="803"/>
      <c r="D4" s="301">
        <v>1</v>
      </c>
      <c r="E4" s="301">
        <v>1</v>
      </c>
      <c r="F4" s="301">
        <f>IF(Creation!$AU$3+Creation!$AU$4&gt;E3,1,0)</f>
        <v>0</v>
      </c>
      <c r="G4" s="301">
        <f>IF(Creation!$AU$3+Creation!$AU$4&gt;F3,1,0)</f>
        <v>0</v>
      </c>
      <c r="H4" s="301">
        <f>IF(Creation!$AU$3+Creation!$AU$4&gt;G3,1,0)</f>
        <v>0</v>
      </c>
      <c r="I4" s="301">
        <f>IF(Creation!$AU$3+Creation!$AU$4&gt;H3,1,0)</f>
        <v>0</v>
      </c>
      <c r="J4" s="301">
        <f>IF(Creation!$AU$3+Creation!$AU$4&gt;I3,1,0)</f>
        <v>0</v>
      </c>
      <c r="K4" s="301">
        <f>IF(Creation!$AU$3+Creation!$AU$4&gt;J3,1,0)</f>
        <v>0</v>
      </c>
      <c r="L4" s="301">
        <f>IF(Creation!$AU$3+Creation!$AU$4&gt;K3,1,0)</f>
        <v>0</v>
      </c>
      <c r="M4" s="301">
        <f>IF(Creation!$AU$3+Creation!$AU$4&gt;L3,1,0)</f>
        <v>0</v>
      </c>
      <c r="N4" s="301">
        <f>IF(Creation!$AU$3+Creation!$AU$4&gt;M3,1,0)</f>
        <v>0</v>
      </c>
      <c r="O4" s="301">
        <f>IF(Creation!$AU$3+Creation!$AU$4&gt;N3,1,0)</f>
        <v>0</v>
      </c>
      <c r="P4" s="1177" t="s">
        <v>22</v>
      </c>
      <c r="Q4" s="1178"/>
      <c r="R4" s="1178"/>
      <c r="S4" s="1178"/>
      <c r="T4" s="291">
        <v>1</v>
      </c>
      <c r="U4" s="291">
        <f>IF(Creation!U19+Creation!W19&gt;1,1,0)</f>
        <v>0</v>
      </c>
      <c r="V4" s="291">
        <f>IF(Creation!U19+Creation!W19&gt;2,1,0)</f>
        <v>0</v>
      </c>
      <c r="W4" s="291">
        <f>IF(Creation!U19+Creation!W19&gt;3,1,0)</f>
        <v>0</v>
      </c>
      <c r="X4" s="376">
        <f>IF(Creation!U19+Creation!W19&gt;4,1,0)</f>
        <v>0</v>
      </c>
      <c r="Y4" s="802"/>
      <c r="Z4" s="803"/>
      <c r="AA4" s="1170"/>
      <c r="AB4" s="377">
        <v>0</v>
      </c>
      <c r="AC4" s="378">
        <v>0</v>
      </c>
      <c r="AD4" s="379"/>
      <c r="AE4" s="379"/>
      <c r="AF4" s="379"/>
      <c r="AG4" s="379"/>
      <c r="AH4" s="379"/>
      <c r="AI4" s="379"/>
      <c r="AJ4" s="379"/>
      <c r="AK4" s="379"/>
      <c r="AL4" s="379"/>
      <c r="AM4" s="282"/>
      <c r="AN4" s="1177" t="s">
        <v>22</v>
      </c>
      <c r="AO4" s="1178"/>
      <c r="AP4" s="1178"/>
      <c r="AQ4" s="1181"/>
      <c r="AR4" s="380"/>
      <c r="AS4" s="381"/>
      <c r="AT4" s="381"/>
      <c r="AU4" s="381"/>
      <c r="AV4" s="382"/>
      <c r="AW4" s="876"/>
      <c r="AX4" s="803"/>
      <c r="AY4" s="1170"/>
      <c r="AZ4" s="383"/>
      <c r="BA4" s="378"/>
      <c r="BB4" s="379"/>
      <c r="BC4" s="379"/>
      <c r="BD4" s="379"/>
      <c r="BE4" s="379"/>
      <c r="BF4" s="379"/>
      <c r="BG4" s="379"/>
      <c r="BH4" s="379"/>
      <c r="BI4" s="379"/>
      <c r="BJ4" s="379"/>
      <c r="BK4" s="282"/>
      <c r="BL4" s="1177" t="s">
        <v>22</v>
      </c>
      <c r="BM4" s="1178"/>
      <c r="BN4" s="1178"/>
      <c r="BO4" s="1181"/>
      <c r="BP4" s="384"/>
      <c r="BQ4" s="381"/>
      <c r="BR4" s="381"/>
      <c r="BS4" s="381"/>
      <c r="BT4" s="382"/>
      <c r="BU4" s="1185"/>
      <c r="BV4" s="781"/>
      <c r="BW4" s="781"/>
      <c r="BX4" s="385">
        <v>0</v>
      </c>
      <c r="BY4" s="385">
        <v>0</v>
      </c>
      <c r="BZ4" s="385">
        <v>0</v>
      </c>
      <c r="CA4" s="385">
        <v>0</v>
      </c>
      <c r="CB4" s="385">
        <f>IF(SUM($BX4:CA4)=SUM(DemigodConversion!$AU$4),0,IF(AND(H4=0,AF4=0,BD4=0,DemigodConversion!$AU$3+DemigodConversion!$AU$4&gt;CA3),1,0))</f>
        <v>0</v>
      </c>
      <c r="CC4" s="385">
        <f>IF(SUM($BX4:CB4)=SUM(DemigodConversion!$AU$4),0,IF(AND(I4=0,AG4=0,BE4=0,DemigodConversion!$AU$3+DemigodConversion!$AU$4&gt;CB3),1,0))</f>
        <v>0</v>
      </c>
      <c r="CD4" s="385">
        <f>IF(SUM($BX4:CC4)=SUM(DemigodConversion!$AU$4),0,IF(AND(J4=0,AH4=0,BF4=0,DemigodConversion!$AU$3+DemigodConversion!$AU$4&gt;CC3),1,0))</f>
        <v>0</v>
      </c>
      <c r="CE4" s="385">
        <f>IF(SUM($BX4:CD4)=SUM(DemigodConversion!$AU$4),0,IF(AND(K4=0,AI4=0,BG4=0,DemigodConversion!$AU$3+DemigodConversion!$AU$4&gt;CD3),1,0))</f>
        <v>0</v>
      </c>
      <c r="CF4" s="385">
        <f>IF(SUM($BX4:CE4)=SUM(DemigodConversion!$AU$4),0,IF(AND(L4=0,AJ4=0,BH4=0,DemigodConversion!$AU$3+DemigodConversion!$AU$4&gt;CE3),1,0))</f>
        <v>0</v>
      </c>
      <c r="CG4" s="385">
        <f>IF(SUM($BX4:CF4)=SUM(DemigodConversion!$AU$4),0,IF(AND(M4=0,AK4=0,BI4=0,DemigodConversion!$AU$3+DemigodConversion!$AU$4&gt;CF3),1,0))</f>
        <v>0</v>
      </c>
      <c r="CH4" s="385">
        <f>IF(SUM($BX4:CG4)=SUM(DemigodConversion!$AU$4),0,IF(AND(N4=0,AL4=0,BJ4=0,DemigodConversion!$AU$3+DemigodConversion!$AU$4&gt;CG3),1,0))</f>
        <v>0</v>
      </c>
      <c r="CI4" s="386">
        <f>IF(SUM($BX4:CH4)=SUM(DemigodConversion!$AU$4),0,IF(AND(O4=0,AM4=0,BK4=0,DemigodConversion!$AU$3+DemigodConversion!$AU$4&gt;CH3),1,0))</f>
        <v>0</v>
      </c>
      <c r="CJ4" s="1177" t="s">
        <v>22</v>
      </c>
      <c r="CK4" s="1178"/>
      <c r="CL4" s="1178"/>
      <c r="CM4" s="1178"/>
      <c r="CN4" s="291">
        <v>0</v>
      </c>
      <c r="CO4" s="291">
        <f>IF(SUM($CN4:CN4)=SUM(DemigodConversion!$S30),0,IF(AND(U4=0,AS4=0,BQ4=0,DemigodConversion!$U$19+DemigodConversion!$W$19&gt;CN3),1,0))</f>
        <v>0</v>
      </c>
      <c r="CP4" s="291">
        <f>IF(SUM($CN4:CO4)=SUM(DemigodConversion!$S30),0,IF(AND(V4=0,AT4=0,BR4=0,DemigodConversion!$U$19+DemigodConversion!$W$19&gt;CO3),1,0))</f>
        <v>0</v>
      </c>
      <c r="CQ4" s="291">
        <f>IF(SUM($CN4:CP4)=SUM(DemigodConversion!$S30),0,IF(AND(W4=0,AU4=0,BS4=0,DemigodConversion!$U$19+DemigodConversion!$W$19&gt;CP3),1,0))</f>
        <v>0</v>
      </c>
      <c r="CR4" s="292">
        <f>IF(SUM($CN4:CQ4)=SUM(DemigodConversion!$S30),0,IF(AND(X4=0,AV4=0,BT4=0,DemigodConversion!$U$19+DemigodConversion!$W$19&gt;CQ3),1,0))</f>
        <v>0</v>
      </c>
      <c r="CS4" s="876"/>
      <c r="CT4" s="803"/>
      <c r="CU4" s="803"/>
      <c r="CV4" s="301">
        <v>0</v>
      </c>
      <c r="CW4" s="301">
        <v>0</v>
      </c>
      <c r="CX4" s="301">
        <v>0</v>
      </c>
      <c r="CY4" s="301">
        <v>0</v>
      </c>
      <c r="CZ4" s="301">
        <v>0</v>
      </c>
      <c r="DA4" s="301">
        <v>0</v>
      </c>
      <c r="DB4" s="301">
        <v>0</v>
      </c>
      <c r="DC4" s="301">
        <v>0</v>
      </c>
      <c r="DD4" s="301">
        <f>IF(AND(M6=0,AJ4=0,BH4=0,CF4=0,DC3&lt;GodConversion!$AU$3+GodConversion!$AU$4),1,0)</f>
        <v>0</v>
      </c>
      <c r="DE4" s="301">
        <f>IF(AND(N6=0,AK4=0,BI4=0,CG4=0,DD3&lt;GodConversion!$AU$3+GodConversion!$AU$4),1,0)</f>
        <v>0</v>
      </c>
      <c r="DF4" s="301">
        <f>IF(AND(O6=0,AL4=0,BJ4=0,CH4=0,DE3&lt;GodConversion!$AU$3+GodConversion!$AU$4),1,0)</f>
        <v>0</v>
      </c>
      <c r="DG4" s="302">
        <f>IF(AND(P6=0,AM4=0,BK4=0,CI4=0,DF3&lt;GodConversion!$AU$3+GodConversion!$AU$4),1,0)</f>
        <v>0</v>
      </c>
      <c r="DH4" s="1177" t="s">
        <v>22</v>
      </c>
      <c r="DI4" s="1178"/>
      <c r="DJ4" s="1178"/>
      <c r="DK4" s="1178"/>
      <c r="DL4" s="291">
        <v>0</v>
      </c>
      <c r="DM4" s="291">
        <f>IF(AND(U4=0,AS4=0,BQ4=0,CO4=0,DL$3&lt;GodConversion!$Q30+GodConversion!$S30),1,0)</f>
        <v>0</v>
      </c>
      <c r="DN4" s="291">
        <f>IF(AND(V4=0,AT4=0,BR4=0,CP4=0,DM$3&lt;GodConversion!$Q30+GodConversion!$S30),1,0)</f>
        <v>0</v>
      </c>
      <c r="DO4" s="291">
        <f>IF(AND(W4=0,AU4=0,BS4=0,CQ4=0,DN$3&lt;GodConversion!$Q30+GodConversion!$S30),1,0)</f>
        <v>0</v>
      </c>
      <c r="DP4" s="292">
        <f>IF(AND(X4=0,AV4=0,BT4=0,CR4=0,DO$3&lt;GodConversion!$Q30+GodConversion!$S30),1,0)</f>
        <v>0</v>
      </c>
      <c r="DQ4" s="802"/>
      <c r="DR4" s="803"/>
      <c r="DS4" s="803"/>
      <c r="DT4" s="301">
        <v>0</v>
      </c>
      <c r="DU4" s="301">
        <v>0</v>
      </c>
      <c r="DV4" s="301">
        <f>IF(AD4=1,DU3*8,0)</f>
        <v>0</v>
      </c>
      <c r="DW4" s="301">
        <f t="shared" ref="DW4:EE4" si="0">IF(AE4=1,DV3*8,0)</f>
        <v>0</v>
      </c>
      <c r="DX4" s="301">
        <f t="shared" si="0"/>
        <v>0</v>
      </c>
      <c r="DY4" s="301">
        <f t="shared" si="0"/>
        <v>0</v>
      </c>
      <c r="DZ4" s="301">
        <f t="shared" si="0"/>
        <v>0</v>
      </c>
      <c r="EA4" s="301">
        <f t="shared" si="0"/>
        <v>0</v>
      </c>
      <c r="EB4" s="301">
        <f t="shared" si="0"/>
        <v>0</v>
      </c>
      <c r="EC4" s="301">
        <f t="shared" si="0"/>
        <v>0</v>
      </c>
      <c r="ED4" s="301">
        <f t="shared" si="0"/>
        <v>0</v>
      </c>
      <c r="EE4" s="302">
        <f t="shared" si="0"/>
        <v>0</v>
      </c>
      <c r="EF4" s="1177" t="s">
        <v>22</v>
      </c>
      <c r="EG4" s="1178"/>
      <c r="EH4" s="1178"/>
      <c r="EI4" s="1178"/>
      <c r="EJ4" s="291">
        <v>0</v>
      </c>
      <c r="EK4" s="291">
        <f>IF(AS4=1,EJ$3*3,0)</f>
        <v>0</v>
      </c>
      <c r="EL4" s="291">
        <f t="shared" ref="EL4:EN4" si="1">IF(AT4=1,EK$3*3,0)</f>
        <v>0</v>
      </c>
      <c r="EM4" s="291">
        <f t="shared" si="1"/>
        <v>0</v>
      </c>
      <c r="EN4" s="376">
        <f t="shared" si="1"/>
        <v>0</v>
      </c>
      <c r="EO4" s="1129"/>
      <c r="EP4" s="1130"/>
      <c r="EQ4" s="1130"/>
      <c r="ER4" s="1130"/>
      <c r="ES4" s="1130"/>
      <c r="ET4" s="1130"/>
      <c r="EU4" s="1130"/>
      <c r="EV4" s="1130"/>
      <c r="EW4" s="1131"/>
      <c r="EX4" s="1129"/>
      <c r="EY4" s="1130"/>
      <c r="EZ4" s="1130"/>
      <c r="FA4" s="1130"/>
      <c r="FB4" s="1130"/>
      <c r="FC4" s="1130"/>
      <c r="FD4" s="1130"/>
      <c r="FE4" s="1130"/>
      <c r="FF4" s="1131"/>
      <c r="FG4" s="1136"/>
      <c r="FH4" s="1137"/>
      <c r="FI4" s="1137"/>
      <c r="FJ4" s="1137"/>
      <c r="FK4" s="1137"/>
      <c r="FL4" s="1137"/>
      <c r="FM4" s="1137"/>
      <c r="FN4" s="1137"/>
      <c r="FO4" s="1138"/>
      <c r="FP4" s="1159"/>
      <c r="FQ4" s="1160"/>
      <c r="FR4" s="1160"/>
      <c r="FS4" s="1160"/>
      <c r="FT4" s="1160"/>
      <c r="FU4" s="1160"/>
      <c r="FV4" s="1160"/>
      <c r="FW4" s="1160"/>
      <c r="FX4" s="1161"/>
      <c r="FY4" s="1152"/>
      <c r="FZ4" s="1153"/>
      <c r="GA4" s="1153"/>
      <c r="GB4" s="1153"/>
      <c r="GC4" s="1153"/>
      <c r="GD4" s="1153"/>
      <c r="GE4" s="1153"/>
      <c r="GF4" s="1153"/>
      <c r="GG4" s="1154"/>
    </row>
    <row r="5" spans="1:200" ht="15.75" thickBot="1" x14ac:dyDescent="0.3">
      <c r="A5" s="721" t="s">
        <v>8</v>
      </c>
      <c r="B5" s="722"/>
      <c r="C5" s="722"/>
      <c r="D5" s="722"/>
      <c r="E5" s="288">
        <v>1</v>
      </c>
      <c r="F5" s="288">
        <v>2</v>
      </c>
      <c r="G5" s="288">
        <v>3</v>
      </c>
      <c r="H5" s="334">
        <v>4</v>
      </c>
      <c r="I5" s="334">
        <v>5</v>
      </c>
      <c r="J5" s="334">
        <v>6</v>
      </c>
      <c r="K5" s="334">
        <v>7</v>
      </c>
      <c r="L5" s="334">
        <v>8</v>
      </c>
      <c r="M5" s="334">
        <v>9</v>
      </c>
      <c r="N5" s="334">
        <v>10</v>
      </c>
      <c r="O5" s="375">
        <v>11</v>
      </c>
      <c r="P5" s="1177" t="s">
        <v>23</v>
      </c>
      <c r="Q5" s="1178"/>
      <c r="R5" s="1178"/>
      <c r="S5" s="1178"/>
      <c r="T5" s="291">
        <v>1</v>
      </c>
      <c r="U5" s="291">
        <f>IF(Creation!U20+Creation!W20&gt;1,1,0)</f>
        <v>0</v>
      </c>
      <c r="V5" s="291">
        <f>IF(Creation!U20+Creation!W20&gt;2,1,0)</f>
        <v>0</v>
      </c>
      <c r="W5" s="291">
        <f>IF(Creation!U20+Creation!W20&gt;3,1,0)</f>
        <v>0</v>
      </c>
      <c r="X5" s="376">
        <f>IF(Creation!U20+Creation!W20&gt;4,1,0)</f>
        <v>0</v>
      </c>
      <c r="Y5" s="721" t="s">
        <v>8</v>
      </c>
      <c r="Z5" s="722"/>
      <c r="AA5" s="722"/>
      <c r="AB5" s="833"/>
      <c r="AC5" s="368">
        <v>1</v>
      </c>
      <c r="AD5" s="298">
        <v>2</v>
      </c>
      <c r="AE5" s="298">
        <v>3</v>
      </c>
      <c r="AF5" s="371">
        <v>4</v>
      </c>
      <c r="AG5" s="371">
        <v>5</v>
      </c>
      <c r="AH5" s="371">
        <v>6</v>
      </c>
      <c r="AI5" s="371">
        <v>7</v>
      </c>
      <c r="AJ5" s="371">
        <v>8</v>
      </c>
      <c r="AK5" s="371">
        <v>9</v>
      </c>
      <c r="AL5" s="371">
        <v>10</v>
      </c>
      <c r="AM5" s="372">
        <v>11</v>
      </c>
      <c r="AN5" s="1177" t="s">
        <v>23</v>
      </c>
      <c r="AO5" s="1178"/>
      <c r="AP5" s="1178"/>
      <c r="AQ5" s="1181"/>
      <c r="AR5" s="380"/>
      <c r="AS5" s="381"/>
      <c r="AT5" s="381"/>
      <c r="AU5" s="381"/>
      <c r="AV5" s="382"/>
      <c r="AW5" s="774" t="s">
        <v>8</v>
      </c>
      <c r="AX5" s="722"/>
      <c r="AY5" s="722"/>
      <c r="AZ5" s="833"/>
      <c r="BA5" s="373">
        <v>1</v>
      </c>
      <c r="BB5" s="298">
        <v>2</v>
      </c>
      <c r="BC5" s="298">
        <v>3</v>
      </c>
      <c r="BD5" s="371">
        <v>4</v>
      </c>
      <c r="BE5" s="371">
        <v>5</v>
      </c>
      <c r="BF5" s="371">
        <v>6</v>
      </c>
      <c r="BG5" s="371">
        <v>7</v>
      </c>
      <c r="BH5" s="371">
        <v>8</v>
      </c>
      <c r="BI5" s="371">
        <v>9</v>
      </c>
      <c r="BJ5" s="371">
        <v>10</v>
      </c>
      <c r="BK5" s="372">
        <v>11</v>
      </c>
      <c r="BL5" s="1177" t="s">
        <v>23</v>
      </c>
      <c r="BM5" s="1178"/>
      <c r="BN5" s="1178"/>
      <c r="BO5" s="1181"/>
      <c r="BP5" s="384"/>
      <c r="BQ5" s="381"/>
      <c r="BR5" s="381"/>
      <c r="BS5" s="381"/>
      <c r="BT5" s="382"/>
      <c r="BU5" s="774" t="s">
        <v>8</v>
      </c>
      <c r="BV5" s="722"/>
      <c r="BW5" s="722"/>
      <c r="BX5" s="722"/>
      <c r="BY5" s="288">
        <v>1</v>
      </c>
      <c r="BZ5" s="288">
        <v>2</v>
      </c>
      <c r="CA5" s="288">
        <v>3</v>
      </c>
      <c r="CB5" s="334">
        <v>4</v>
      </c>
      <c r="CC5" s="334">
        <v>5</v>
      </c>
      <c r="CD5" s="334">
        <v>6</v>
      </c>
      <c r="CE5" s="334">
        <v>7</v>
      </c>
      <c r="CF5" s="334">
        <v>8</v>
      </c>
      <c r="CG5" s="334">
        <v>9</v>
      </c>
      <c r="CH5" s="334">
        <v>10</v>
      </c>
      <c r="CI5" s="367">
        <v>11</v>
      </c>
      <c r="CJ5" s="1177" t="s">
        <v>23</v>
      </c>
      <c r="CK5" s="1178"/>
      <c r="CL5" s="1178"/>
      <c r="CM5" s="1178"/>
      <c r="CN5" s="291">
        <v>0</v>
      </c>
      <c r="CO5" s="291">
        <f>IF(SUM($CN5:CN5)=SUM(DemigodConversion!$S31),0,IF(AND(U5=0,AS5=0,BQ5=0,DemigodConversion!$U$19+DemigodConversion!$W$19&gt;CN4),1,0))</f>
        <v>0</v>
      </c>
      <c r="CP5" s="291">
        <f>IF(SUM($CN5:CO5)=SUM(DemigodConversion!$S31),0,IF(AND(V5=0,AT5=0,BR5=0,DemigodConversion!$U$19+DemigodConversion!$W$19&gt;CO4),1,0))</f>
        <v>0</v>
      </c>
      <c r="CQ5" s="291">
        <f>IF(SUM($CN5:CP5)=SUM(DemigodConversion!$S31),0,IF(AND(W5=0,AU5=0,BS5=0,DemigodConversion!$U$19+DemigodConversion!$W$19&gt;CP4),1,0))</f>
        <v>0</v>
      </c>
      <c r="CR5" s="292">
        <f>IF(SUM($CN5:CQ5)=SUM(DemigodConversion!$S31),0,IF(AND(X5=0,AV5=0,BT5=0,DemigodConversion!$U$19+DemigodConversion!$W$19&gt;CQ4),1,0))</f>
        <v>0</v>
      </c>
      <c r="CS5" s="774" t="s">
        <v>8</v>
      </c>
      <c r="CT5" s="722"/>
      <c r="CU5" s="722"/>
      <c r="CV5" s="722"/>
      <c r="CW5" s="288">
        <v>1</v>
      </c>
      <c r="CX5" s="288">
        <v>2</v>
      </c>
      <c r="CY5" s="288">
        <v>3</v>
      </c>
      <c r="CZ5" s="334">
        <v>4</v>
      </c>
      <c r="DA5" s="334">
        <v>5</v>
      </c>
      <c r="DB5" s="334">
        <v>6</v>
      </c>
      <c r="DC5" s="334">
        <v>7</v>
      </c>
      <c r="DD5" s="334">
        <v>8</v>
      </c>
      <c r="DE5" s="334">
        <v>9</v>
      </c>
      <c r="DF5" s="334">
        <v>10</v>
      </c>
      <c r="DG5" s="375">
        <v>11</v>
      </c>
      <c r="DH5" s="1177" t="s">
        <v>23</v>
      </c>
      <c r="DI5" s="1178"/>
      <c r="DJ5" s="1178"/>
      <c r="DK5" s="1178"/>
      <c r="DL5" s="291">
        <v>0</v>
      </c>
      <c r="DM5" s="291">
        <f>IF(AND(U5=0,AS5=0,BQ5=0,CO5=0,DL$3&lt;GodConversion!$Q31+GodConversion!$S31),1,0)</f>
        <v>0</v>
      </c>
      <c r="DN5" s="291">
        <f>IF(AND(V5=0,AT5=0,BR5=0,CP5=0,DM$3&lt;GodConversion!$Q31+GodConversion!$S31),1,0)</f>
        <v>0</v>
      </c>
      <c r="DO5" s="291">
        <f>IF(AND(W5=0,AU5=0,BS5=0,CQ5=0,DN$3&lt;GodConversion!$Q31+GodConversion!$S31),1,0)</f>
        <v>0</v>
      </c>
      <c r="DP5" s="292">
        <f>IF(AND(X5=0,AV5=0,BT5=0,CR5=0,DO$3&lt;GodConversion!$Q31+GodConversion!$S31),1,0)</f>
        <v>0</v>
      </c>
      <c r="DQ5" s="721" t="s">
        <v>8</v>
      </c>
      <c r="DR5" s="722"/>
      <c r="DS5" s="722"/>
      <c r="DT5" s="722"/>
      <c r="DU5" s="288">
        <v>1</v>
      </c>
      <c r="DV5" s="288">
        <v>2</v>
      </c>
      <c r="DW5" s="288">
        <v>3</v>
      </c>
      <c r="DX5" s="334">
        <v>4</v>
      </c>
      <c r="DY5" s="334">
        <v>5</v>
      </c>
      <c r="DZ5" s="334">
        <v>6</v>
      </c>
      <c r="EA5" s="334">
        <v>7</v>
      </c>
      <c r="EB5" s="334">
        <v>8</v>
      </c>
      <c r="EC5" s="334">
        <v>9</v>
      </c>
      <c r="ED5" s="334">
        <v>10</v>
      </c>
      <c r="EE5" s="375">
        <v>11</v>
      </c>
      <c r="EF5" s="1177" t="s">
        <v>23</v>
      </c>
      <c r="EG5" s="1178"/>
      <c r="EH5" s="1178"/>
      <c r="EI5" s="1178"/>
      <c r="EJ5" s="291">
        <v>0</v>
      </c>
      <c r="EK5" s="291">
        <f t="shared" ref="EK5:EN5" si="2">IF(AS5=1,EJ$3*3,0)</f>
        <v>0</v>
      </c>
      <c r="EL5" s="291">
        <f t="shared" si="2"/>
        <v>0</v>
      </c>
      <c r="EM5" s="291">
        <f t="shared" si="2"/>
        <v>0</v>
      </c>
      <c r="EN5" s="376">
        <f t="shared" si="2"/>
        <v>0</v>
      </c>
      <c r="EO5" s="985"/>
      <c r="EP5" s="986"/>
      <c r="EQ5" s="986"/>
      <c r="ER5" s="986"/>
      <c r="ES5" s="986"/>
      <c r="ET5" s="986"/>
      <c r="EU5" s="986"/>
      <c r="EV5" s="986"/>
      <c r="EW5" s="1132"/>
      <c r="EX5" s="985"/>
      <c r="EY5" s="986"/>
      <c r="EZ5" s="986"/>
      <c r="FA5" s="986"/>
      <c r="FB5" s="986"/>
      <c r="FC5" s="986"/>
      <c r="FD5" s="986"/>
      <c r="FE5" s="986"/>
      <c r="FF5" s="1132"/>
      <c r="FG5" s="1139"/>
      <c r="FH5" s="1140"/>
      <c r="FI5" s="1140"/>
      <c r="FJ5" s="1140"/>
      <c r="FK5" s="1140"/>
      <c r="FL5" s="1140"/>
      <c r="FM5" s="1140"/>
      <c r="FN5" s="1140"/>
      <c r="FO5" s="1141"/>
      <c r="FP5" s="934"/>
      <c r="FQ5" s="935"/>
      <c r="FR5" s="935"/>
      <c r="FS5" s="935"/>
      <c r="FT5" s="935"/>
      <c r="FU5" s="935"/>
      <c r="FV5" s="935"/>
      <c r="FW5" s="935"/>
      <c r="FX5" s="1162"/>
      <c r="FY5" s="1155"/>
      <c r="FZ5" s="1156"/>
      <c r="GA5" s="1156"/>
      <c r="GB5" s="1156"/>
      <c r="GC5" s="1156"/>
      <c r="GD5" s="1156"/>
      <c r="GE5" s="1156"/>
      <c r="GF5" s="1156"/>
      <c r="GG5" s="1157"/>
    </row>
    <row r="6" spans="1:200" ht="15.75" thickBot="1" x14ac:dyDescent="0.3">
      <c r="A6" s="1163" t="s">
        <v>30</v>
      </c>
      <c r="B6" s="767"/>
      <c r="C6" s="767"/>
      <c r="D6" s="767"/>
      <c r="E6" s="291">
        <v>1</v>
      </c>
      <c r="F6" s="291">
        <f>IF(Creation!$E$19+Creation!$I$19&gt;E$5,1,0)</f>
        <v>0</v>
      </c>
      <c r="G6" s="291">
        <f>IF(Creation!$E$19+Creation!$I$19&gt;F$5,1,0)</f>
        <v>0</v>
      </c>
      <c r="H6" s="291">
        <f>IF(Creation!$E$19+Creation!$I$19&gt;G$5,1,0)</f>
        <v>0</v>
      </c>
      <c r="I6" s="291">
        <f>IF(Creation!$E$19+Creation!$I$19&gt;H$5,1,0)</f>
        <v>0</v>
      </c>
      <c r="J6" s="291">
        <f>IF(Creation!$E$19+Creation!$I$19&gt;I$5,1,0)</f>
        <v>0</v>
      </c>
      <c r="K6" s="291">
        <f>IF(Creation!$E$19+Creation!$I$19&gt;J$5,1,0)</f>
        <v>0</v>
      </c>
      <c r="L6" s="291">
        <f>IF(Creation!$E$19+Creation!$I$19&gt;K$5,1,0)</f>
        <v>0</v>
      </c>
      <c r="M6" s="291">
        <f>IF(Creation!$E$19+Creation!$I$19&gt;L$5,1,0)</f>
        <v>0</v>
      </c>
      <c r="N6" s="291">
        <f>IF(Creation!$E$19+Creation!$I$19&gt;M$5,1,0)</f>
        <v>0</v>
      </c>
      <c r="O6" s="292">
        <f>IF(Creation!$E$19+Creation!$I$19&gt;N$5,1,0)</f>
        <v>0</v>
      </c>
      <c r="P6" s="1177" t="s">
        <v>24</v>
      </c>
      <c r="Q6" s="1178"/>
      <c r="R6" s="1178"/>
      <c r="S6" s="1178"/>
      <c r="T6" s="291">
        <v>1</v>
      </c>
      <c r="U6" s="291">
        <f>IF(Creation!U21+Creation!W21&gt;1,1,0)</f>
        <v>0</v>
      </c>
      <c r="V6" s="291">
        <f>IF(Creation!U21+Creation!W21&gt;2,1,0)</f>
        <v>0</v>
      </c>
      <c r="W6" s="291">
        <f>IF(Creation!U21+Creation!W21&gt;3,1,0)</f>
        <v>0</v>
      </c>
      <c r="X6" s="376">
        <f>IF(Creation!U21+Creation!W21&gt;4,1,0)</f>
        <v>0</v>
      </c>
      <c r="Y6" s="1163" t="s">
        <v>30</v>
      </c>
      <c r="Z6" s="767"/>
      <c r="AA6" s="767"/>
      <c r="AB6" s="768"/>
      <c r="AC6" s="380"/>
      <c r="AD6" s="381"/>
      <c r="AE6" s="381"/>
      <c r="AF6" s="381"/>
      <c r="AG6" s="381"/>
      <c r="AH6" s="381"/>
      <c r="AI6" s="381"/>
      <c r="AJ6" s="381"/>
      <c r="AK6" s="381"/>
      <c r="AL6" s="381"/>
      <c r="AM6" s="382"/>
      <c r="AN6" s="1177" t="s">
        <v>24</v>
      </c>
      <c r="AO6" s="1178"/>
      <c r="AP6" s="1178"/>
      <c r="AQ6" s="1181"/>
      <c r="AR6" s="380"/>
      <c r="AS6" s="381"/>
      <c r="AT6" s="381"/>
      <c r="AU6" s="381"/>
      <c r="AV6" s="382"/>
      <c r="AW6" s="1104" t="s">
        <v>30</v>
      </c>
      <c r="AX6" s="767"/>
      <c r="AY6" s="767"/>
      <c r="AZ6" s="768"/>
      <c r="BA6" s="384"/>
      <c r="BB6" s="381"/>
      <c r="BC6" s="381"/>
      <c r="BD6" s="381"/>
      <c r="BE6" s="381"/>
      <c r="BF6" s="381"/>
      <c r="BG6" s="381"/>
      <c r="BH6" s="381"/>
      <c r="BI6" s="381"/>
      <c r="BJ6" s="381"/>
      <c r="BK6" s="382"/>
      <c r="BL6" s="1177" t="s">
        <v>24</v>
      </c>
      <c r="BM6" s="1178"/>
      <c r="BN6" s="1178"/>
      <c r="BO6" s="1181"/>
      <c r="BP6" s="384"/>
      <c r="BQ6" s="381"/>
      <c r="BR6" s="381"/>
      <c r="BS6" s="381"/>
      <c r="BT6" s="382"/>
      <c r="BU6" s="1104" t="s">
        <v>30</v>
      </c>
      <c r="BV6" s="767"/>
      <c r="BW6" s="767"/>
      <c r="BX6" s="767"/>
      <c r="BY6" s="291">
        <v>0</v>
      </c>
      <c r="BZ6" s="291">
        <f>IF(SUM($BY6:BY6)=SUM(DemigodConversion!$G19:$L19),0,IF(AND(F6=0,AD6=0,BB6=0,DemigodConversion!$E19+DemigodConversion!$G19+DemigodConversion!$I19&gt;BY$5),1,0))</f>
        <v>0</v>
      </c>
      <c r="CA6" s="291">
        <f>IF(SUM($BY6:BZ6)=SUM(DemigodConversion!$G19:$L19),0,IF(AND(G6=0,AE6=0,BC6=0,DemigodConversion!$E19+DemigodConversion!$G19+DemigodConversion!$I19&gt;BZ$5),1,0))</f>
        <v>0</v>
      </c>
      <c r="CB6" s="291">
        <f>IF(SUM($BY6:CA6)=SUM(DemigodConversion!$G19:$L19),0,IF(AND(H6=0,AF6=0,BD6=0,DemigodConversion!$E19+DemigodConversion!$G19+DemigodConversion!$I19&gt;CA$5),1,0))</f>
        <v>0</v>
      </c>
      <c r="CC6" s="291">
        <f>IF(SUM($BY6:CB6)=SUM(DemigodConversion!$G19:$L19),0,IF(AND(I6=0,AG6=0,BE6=0,DemigodConversion!$E19+DemigodConversion!$G19+DemigodConversion!$I19&gt;CB$5),1,0))</f>
        <v>0</v>
      </c>
      <c r="CD6" s="291">
        <f>IF(SUM($BY6:CC6)=SUM(DemigodConversion!$G19:$L19),0,IF(AND(J6=0,AH6=0,BF6=0,DemigodConversion!$E19+DemigodConversion!$G19+DemigodConversion!$I19&gt;CC$5),1,0))</f>
        <v>0</v>
      </c>
      <c r="CE6" s="291">
        <f>IF(SUM($BY6:CD6)=SUM(DemigodConversion!$G19:$L19),0,IF(AND(K6=0,AI6=0,BG6=0,DemigodConversion!$E19+DemigodConversion!$G19+DemigodConversion!$I19&gt;CD$5),1,0))</f>
        <v>0</v>
      </c>
      <c r="CF6" s="291">
        <f>IF(SUM($BY6:CE6)=SUM(DemigodConversion!$G19:$L19),0,IF(AND(L6=0,AJ6=0,BH6=0,DemigodConversion!$E19+DemigodConversion!$G19+DemigodConversion!$I19&gt;CE$5),1,0))</f>
        <v>0</v>
      </c>
      <c r="CG6" s="291">
        <f>IF(SUM($BY6:CF6)=SUM(DemigodConversion!$G19:$L19),0,IF(AND(M6=0,AK6=0,BI6=0,DemigodConversion!$E19+DemigodConversion!$G19+DemigodConversion!$I19&gt;CF$5),1,0))</f>
        <v>0</v>
      </c>
      <c r="CH6" s="291">
        <f>IF(SUM($BY6:CG6)=SUM(DemigodConversion!$G19:$L19),0,IF(AND(N6=0,AL6=0,BJ6=0,DemigodConversion!$E19+DemigodConversion!$G19+DemigodConversion!$I19&gt;CG$5),1,0))</f>
        <v>0</v>
      </c>
      <c r="CI6" s="376">
        <f>IF(SUM($BY6:CH6)=SUM(DemigodConversion!$G19:$L19),0,IF(AND(O6=0,AM6=0,BK6=0,DemigodConversion!$E19+DemigodConversion!$G19+DemigodConversion!$I19&gt;CH$5),1,0))</f>
        <v>0</v>
      </c>
      <c r="CJ6" s="1177" t="s">
        <v>24</v>
      </c>
      <c r="CK6" s="1178"/>
      <c r="CL6" s="1178"/>
      <c r="CM6" s="1178"/>
      <c r="CN6" s="291">
        <v>0</v>
      </c>
      <c r="CO6" s="291">
        <f>IF(SUM($CN6:CN6)=SUM(DemigodConversion!$S32),0,IF(AND(U6=0,AS6=0,BQ6=0,DemigodConversion!$U$19+DemigodConversion!$W$19&gt;CN5),1,0))</f>
        <v>0</v>
      </c>
      <c r="CP6" s="291">
        <f>IF(SUM($CN6:CO6)=SUM(DemigodConversion!$S32),0,IF(AND(V6=0,AT6=0,BR6=0,DemigodConversion!$U$19+DemigodConversion!$W$19&gt;CO5),1,0))</f>
        <v>0</v>
      </c>
      <c r="CQ6" s="291">
        <f>IF(SUM($CN6:CP6)=SUM(DemigodConversion!$S32),0,IF(AND(W6=0,AU6=0,BS6=0,DemigodConversion!$U$19+DemigodConversion!$W$19&gt;CP5),1,0))</f>
        <v>0</v>
      </c>
      <c r="CR6" s="292">
        <f>IF(SUM($CN6:CQ6)=SUM(DemigodConversion!$S32),0,IF(AND(X6=0,AV6=0,BT6=0,DemigodConversion!$U$19+DemigodConversion!$W$19&gt;CQ5),1,0))</f>
        <v>0</v>
      </c>
      <c r="CS6" s="1104" t="s">
        <v>30</v>
      </c>
      <c r="CT6" s="767"/>
      <c r="CU6" s="767"/>
      <c r="CV6" s="767"/>
      <c r="CW6" s="291">
        <v>0</v>
      </c>
      <c r="CX6" s="291">
        <f>IF(AND(F6=0,AD6=0,BB6=0,BZ6=0,CW$5&lt;SUM(GodConversion!$E19:$L19)),1,0)</f>
        <v>0</v>
      </c>
      <c r="CY6" s="291">
        <f>IF(AND(G6=0,AE6=0,BC6=0,CA6=0,CX$5&lt;SUM(GodConversion!$E19:$L19)),1,0)</f>
        <v>0</v>
      </c>
      <c r="CZ6" s="291">
        <f>IF(AND(H6=0,AF6=0,BD6=0,CB6=0,CY$5&lt;SUM(GodConversion!$E19:$L19)),1,0)</f>
        <v>0</v>
      </c>
      <c r="DA6" s="291">
        <f>IF(AND(I6=0,AG6=0,BE6=0,CC6=0,CZ$5&lt;SUM(GodConversion!$E19:$L19)),1,0)</f>
        <v>0</v>
      </c>
      <c r="DB6" s="291">
        <f>IF(AND(J6=0,AH6=0,BF6=0,CD6=0,DA$5&lt;SUM(GodConversion!$E19:$L19)),1,0)</f>
        <v>0</v>
      </c>
      <c r="DC6" s="291">
        <f>IF(AND(K6=0,AI6=0,BG6=0,CE6=0,DB$5&lt;SUM(GodConversion!$E19:$L19)),1,0)</f>
        <v>0</v>
      </c>
      <c r="DD6" s="291">
        <f>IF(AND(L6=0,AJ6=0,BH6=0,CF6=0,DC$5&lt;SUM(GodConversion!$E19:$L19)),1,0)</f>
        <v>0</v>
      </c>
      <c r="DE6" s="291">
        <f>IF(AND(M6=0,AK6=0,BI6=0,CG6=0,DD$5&lt;SUM(GodConversion!$E19:$L19)),1,0)</f>
        <v>0</v>
      </c>
      <c r="DF6" s="291">
        <f>IF(AND(N6=0,AL6=0,BJ6=0,CH6=0,DE$5&lt;SUM(GodConversion!$E19:$L19)),1,0)</f>
        <v>0</v>
      </c>
      <c r="DG6" s="291">
        <f>IF(AND(O6=0,AM6=0,BK6=0,CI6=0,DF$5&lt;SUM(GodConversion!$E19:$L19)),1,0)</f>
        <v>0</v>
      </c>
      <c r="DH6" s="1177" t="s">
        <v>24</v>
      </c>
      <c r="DI6" s="1178"/>
      <c r="DJ6" s="1178"/>
      <c r="DK6" s="1178"/>
      <c r="DL6" s="291">
        <v>0</v>
      </c>
      <c r="DM6" s="291">
        <f>IF(AND(U6=0,AS6=0,BQ6=0,CO6=0,DL$3&lt;GodConversion!$Q32+GodConversion!$S32),1,0)</f>
        <v>0</v>
      </c>
      <c r="DN6" s="291">
        <f>IF(AND(V6=0,AT6=0,BR6=0,CP6=0,DM$3&lt;GodConversion!$Q32+GodConversion!$S32),1,0)</f>
        <v>0</v>
      </c>
      <c r="DO6" s="291">
        <f>IF(AND(W6=0,AU6=0,BS6=0,CQ6=0,DN$3&lt;GodConversion!$Q32+GodConversion!$S32),1,0)</f>
        <v>0</v>
      </c>
      <c r="DP6" s="292">
        <f>IF(AND(X6=0,AV6=0,BT6=0,CR6=0,DO$3&lt;GodConversion!$Q32+GodConversion!$S32),1,0)</f>
        <v>0</v>
      </c>
      <c r="DQ6" s="1163" t="s">
        <v>30</v>
      </c>
      <c r="DR6" s="767"/>
      <c r="DS6" s="767"/>
      <c r="DT6" s="767"/>
      <c r="DU6" s="291">
        <v>0</v>
      </c>
      <c r="DV6" s="291">
        <f>IF(AD6=1,DU$5*4,0)</f>
        <v>0</v>
      </c>
      <c r="DW6" s="291">
        <f t="shared" ref="DW6:EE6" si="3">IF(AE6=1,DV$5*4,0)</f>
        <v>0</v>
      </c>
      <c r="DX6" s="291">
        <f>IF(AF6=1,DW$5*4,0)</f>
        <v>0</v>
      </c>
      <c r="DY6" s="291">
        <f t="shared" si="3"/>
        <v>0</v>
      </c>
      <c r="DZ6" s="291">
        <f t="shared" si="3"/>
        <v>0</v>
      </c>
      <c r="EA6" s="291">
        <f t="shared" si="3"/>
        <v>0</v>
      </c>
      <c r="EB6" s="291">
        <f t="shared" si="3"/>
        <v>0</v>
      </c>
      <c r="EC6" s="291">
        <f t="shared" si="3"/>
        <v>0</v>
      </c>
      <c r="ED6" s="291">
        <f t="shared" si="3"/>
        <v>0</v>
      </c>
      <c r="EE6" s="292">
        <f t="shared" si="3"/>
        <v>0</v>
      </c>
      <c r="EF6" s="1177" t="s">
        <v>24</v>
      </c>
      <c r="EG6" s="1178"/>
      <c r="EH6" s="1178"/>
      <c r="EI6" s="1178"/>
      <c r="EJ6" s="291">
        <v>0</v>
      </c>
      <c r="EK6" s="291">
        <f t="shared" ref="EK6:EN6" si="4">IF(AS6=1,EJ$3*3,0)</f>
        <v>0</v>
      </c>
      <c r="EL6" s="291">
        <f t="shared" si="4"/>
        <v>0</v>
      </c>
      <c r="EM6" s="291">
        <f t="shared" si="4"/>
        <v>0</v>
      </c>
      <c r="EN6" s="376">
        <f t="shared" si="4"/>
        <v>0</v>
      </c>
      <c r="EO6" s="721" t="s">
        <v>69</v>
      </c>
      <c r="EP6" s="722"/>
      <c r="EQ6" s="722"/>
      <c r="ER6" s="833"/>
      <c r="ES6" s="387">
        <v>1</v>
      </c>
      <c r="ET6" s="371">
        <v>2</v>
      </c>
      <c r="EU6" s="371">
        <v>3</v>
      </c>
      <c r="EV6" s="371">
        <v>4</v>
      </c>
      <c r="EW6" s="370">
        <v>5</v>
      </c>
      <c r="EX6" s="721" t="s">
        <v>69</v>
      </c>
      <c r="EY6" s="722"/>
      <c r="EZ6" s="722"/>
      <c r="FA6" s="833"/>
      <c r="FB6" s="326">
        <v>1</v>
      </c>
      <c r="FC6" s="328">
        <v>2</v>
      </c>
      <c r="FD6" s="328">
        <v>3</v>
      </c>
      <c r="FE6" s="328">
        <v>4</v>
      </c>
      <c r="FF6" s="388">
        <v>5</v>
      </c>
      <c r="FG6" s="1142" t="s">
        <v>69</v>
      </c>
      <c r="FH6" s="1143"/>
      <c r="FI6" s="1143"/>
      <c r="FJ6" s="1144"/>
      <c r="FK6" s="368">
        <v>1</v>
      </c>
      <c r="FL6" s="369">
        <v>2</v>
      </c>
      <c r="FM6" s="369">
        <v>3</v>
      </c>
      <c r="FN6" s="369">
        <v>4</v>
      </c>
      <c r="FO6" s="544">
        <v>5</v>
      </c>
      <c r="FP6" s="721" t="s">
        <v>69</v>
      </c>
      <c r="FQ6" s="722"/>
      <c r="FR6" s="722"/>
      <c r="FS6" s="833"/>
      <c r="FT6" s="387">
        <v>1</v>
      </c>
      <c r="FU6" s="371">
        <v>2</v>
      </c>
      <c r="FV6" s="371">
        <v>3</v>
      </c>
      <c r="FW6" s="371">
        <v>4</v>
      </c>
      <c r="FX6" s="370">
        <v>5</v>
      </c>
      <c r="FY6" s="1142" t="s">
        <v>69</v>
      </c>
      <c r="FZ6" s="1143"/>
      <c r="GA6" s="1143"/>
      <c r="GB6" s="1144"/>
      <c r="GC6" s="368">
        <v>1</v>
      </c>
      <c r="GD6" s="369">
        <v>2</v>
      </c>
      <c r="GE6" s="369">
        <v>3</v>
      </c>
      <c r="GF6" s="369">
        <v>4</v>
      </c>
      <c r="GG6" s="544">
        <v>5</v>
      </c>
      <c r="GK6" s="389"/>
      <c r="GL6" s="389" t="s">
        <v>1771</v>
      </c>
      <c r="GM6" s="389">
        <v>1</v>
      </c>
      <c r="GN6" s="389">
        <v>2</v>
      </c>
      <c r="GO6" s="389">
        <v>3</v>
      </c>
      <c r="GP6" s="389">
        <v>4</v>
      </c>
      <c r="GQ6" s="389">
        <v>5</v>
      </c>
      <c r="GR6" s="389">
        <v>6</v>
      </c>
    </row>
    <row r="7" spans="1:200" ht="15.75" thickBot="1" x14ac:dyDescent="0.3">
      <c r="A7" s="1163" t="s">
        <v>13</v>
      </c>
      <c r="B7" s="767"/>
      <c r="C7" s="767"/>
      <c r="D7" s="767"/>
      <c r="E7" s="291">
        <v>1</v>
      </c>
      <c r="F7" s="291">
        <f>IF(Creation!$E$20+Creation!$I$20&gt;E$5,1,0)</f>
        <v>0</v>
      </c>
      <c r="G7" s="291">
        <f>IF(Creation!$E$20+Creation!$I$20&gt;F$5,1,0)</f>
        <v>0</v>
      </c>
      <c r="H7" s="291">
        <f>IF(Creation!$E$20+Creation!$I$20&gt;G$5,1,0)</f>
        <v>0</v>
      </c>
      <c r="I7" s="291">
        <f>IF(Creation!$E$20+Creation!$I$20&gt;H$5,1,0)</f>
        <v>0</v>
      </c>
      <c r="J7" s="291">
        <f>IF(Creation!$E$20+Creation!$I$20&gt;I$5,1,0)</f>
        <v>0</v>
      </c>
      <c r="K7" s="291">
        <f>IF(Creation!$E$20+Creation!$I$20&gt;J$5,1,0)</f>
        <v>0</v>
      </c>
      <c r="L7" s="291">
        <f>IF(Creation!$E$20+Creation!$I$20&gt;K$5,1,0)</f>
        <v>0</v>
      </c>
      <c r="M7" s="291">
        <f>IF(Creation!$E$20+Creation!$I$20&gt;L$5,1,0)</f>
        <v>0</v>
      </c>
      <c r="N7" s="291">
        <f>IF(Creation!$E$20+Creation!$I$20&gt;M$5,1,0)</f>
        <v>0</v>
      </c>
      <c r="O7" s="292">
        <f>IF(Creation!$E$20+Creation!$I$20&gt;N$5,1,0)</f>
        <v>0</v>
      </c>
      <c r="P7" s="1179" t="s">
        <v>25</v>
      </c>
      <c r="Q7" s="1180"/>
      <c r="R7" s="1180"/>
      <c r="S7" s="1180"/>
      <c r="T7" s="301">
        <v>1</v>
      </c>
      <c r="U7" s="301">
        <f>IF(Creation!U22+Creation!W22&gt;1,1,0)</f>
        <v>0</v>
      </c>
      <c r="V7" s="301">
        <f>IF(Creation!U22+Creation!W22&gt;2,1,0)</f>
        <v>0</v>
      </c>
      <c r="W7" s="301">
        <f>IF(Creation!U22+Creation!W22&gt;3,1,0)</f>
        <v>0</v>
      </c>
      <c r="X7" s="390">
        <f>IF(Creation!U22+Creation!W22&gt;4,1,0)</f>
        <v>0</v>
      </c>
      <c r="Y7" s="1163" t="s">
        <v>13</v>
      </c>
      <c r="Z7" s="767"/>
      <c r="AA7" s="767"/>
      <c r="AB7" s="768"/>
      <c r="AC7" s="380"/>
      <c r="AD7" s="381"/>
      <c r="AE7" s="381"/>
      <c r="AF7" s="381"/>
      <c r="AG7" s="381"/>
      <c r="AH7" s="381"/>
      <c r="AI7" s="381"/>
      <c r="AJ7" s="381"/>
      <c r="AK7" s="381"/>
      <c r="AL7" s="381"/>
      <c r="AM7" s="382"/>
      <c r="AN7" s="1179" t="s">
        <v>25</v>
      </c>
      <c r="AO7" s="1180"/>
      <c r="AP7" s="1180"/>
      <c r="AQ7" s="1182"/>
      <c r="AR7" s="377"/>
      <c r="AS7" s="379"/>
      <c r="AT7" s="379"/>
      <c r="AU7" s="379"/>
      <c r="AV7" s="282"/>
      <c r="AW7" s="1104" t="s">
        <v>13</v>
      </c>
      <c r="AX7" s="767"/>
      <c r="AY7" s="767"/>
      <c r="AZ7" s="768"/>
      <c r="BA7" s="384"/>
      <c r="BB7" s="560"/>
      <c r="BC7" s="560"/>
      <c r="BD7" s="560"/>
      <c r="BE7" s="560"/>
      <c r="BF7" s="560"/>
      <c r="BG7" s="560"/>
      <c r="BH7" s="560"/>
      <c r="BI7" s="560"/>
      <c r="BJ7" s="560"/>
      <c r="BK7" s="562"/>
      <c r="BL7" s="1179" t="s">
        <v>25</v>
      </c>
      <c r="BM7" s="1180"/>
      <c r="BN7" s="1180"/>
      <c r="BO7" s="1182"/>
      <c r="BP7" s="383"/>
      <c r="BQ7" s="379"/>
      <c r="BR7" s="379"/>
      <c r="BS7" s="379"/>
      <c r="BT7" s="282"/>
      <c r="BU7" s="1104" t="s">
        <v>13</v>
      </c>
      <c r="BV7" s="767"/>
      <c r="BW7" s="767"/>
      <c r="BX7" s="767"/>
      <c r="BY7" s="291">
        <v>0</v>
      </c>
      <c r="BZ7" s="291">
        <f>IF(SUM($BY7:BY7)=SUM(DemigodConversion!$G20:$L20),0,IF(AND(F7=0,AD7=0,BB7=0,DemigodConversion!$E20+DemigodConversion!$G20+DemigodConversion!$I20&gt;BY$5),1,0))</f>
        <v>0</v>
      </c>
      <c r="CA7" s="291">
        <f>IF(SUM($BY7:BZ7)=SUM(DemigodConversion!$G20:$L20),0,IF(AND(G7=0,AE7=0,BC7=0,DemigodConversion!$E20+DemigodConversion!$G20+DemigodConversion!$I20&gt;BZ$5),1,0))</f>
        <v>0</v>
      </c>
      <c r="CB7" s="291">
        <f>IF(SUM($BY7:CA7)=SUM(DemigodConversion!$G20:$L20),0,IF(AND(H7=0,AF7=0,BD7=0,DemigodConversion!$E20+DemigodConversion!$G20+DemigodConversion!$I20&gt;CA$5),1,0))</f>
        <v>0</v>
      </c>
      <c r="CC7" s="291">
        <f>IF(SUM($BY7:CB7)=SUM(DemigodConversion!$G20:$L20),0,IF(AND(I7=0,AG7=0,BE7=0,DemigodConversion!$E20+DemigodConversion!$G20+DemigodConversion!$I20&gt;CB$5),1,0))</f>
        <v>0</v>
      </c>
      <c r="CD7" s="291">
        <f>IF(SUM($BY7:CC7)=SUM(DemigodConversion!$G20:$L20),0,IF(AND(J7=0,AH7=0,BF7=0,DemigodConversion!$E20+DemigodConversion!$G20+DemigodConversion!$I20&gt;CC$5),1,0))</f>
        <v>0</v>
      </c>
      <c r="CE7" s="291">
        <f>IF(SUM($BY7:CD7)=SUM(DemigodConversion!$G20:$L20),0,IF(AND(K7=0,AI7=0,BG7=0,DemigodConversion!$E20+DemigodConversion!$G20+DemigodConversion!$I20&gt;CD$5),1,0))</f>
        <v>0</v>
      </c>
      <c r="CF7" s="291">
        <f>IF(SUM($BY7:CE7)=SUM(DemigodConversion!$G20:$L20),0,IF(AND(L7=0,AJ7=0,BH7=0,DemigodConversion!$E20+DemigodConversion!$G20+DemigodConversion!$I20&gt;CE$5),1,0))</f>
        <v>0</v>
      </c>
      <c r="CG7" s="291">
        <f>IF(SUM($BY7:CF7)=SUM(DemigodConversion!$G20:$L20),0,IF(AND(M7=0,AK7=0,BI7=0,DemigodConversion!$E20+DemigodConversion!$G20+DemigodConversion!$I20&gt;CF$5),1,0))</f>
        <v>0</v>
      </c>
      <c r="CH7" s="291">
        <f>IF(SUM($BY7:CG7)=SUM(DemigodConversion!$G20:$L20),0,IF(AND(N7=0,AL7=0,BJ7=0,DemigodConversion!$E20+DemigodConversion!$G20+DemigodConversion!$I20&gt;CG$5),1,0))</f>
        <v>0</v>
      </c>
      <c r="CI7" s="376">
        <f>IF(SUM($BY7:CH7)=SUM(DemigodConversion!$G20:$L20),0,IF(AND(O7=0,AM7=0,BK7=0,DemigodConversion!$E20+DemigodConversion!$G20+DemigodConversion!$I20&gt;CH$5),1,0))</f>
        <v>0</v>
      </c>
      <c r="CJ7" s="1183" t="s">
        <v>25</v>
      </c>
      <c r="CK7" s="1184"/>
      <c r="CL7" s="1184"/>
      <c r="CM7" s="1184"/>
      <c r="CN7" s="385">
        <v>0</v>
      </c>
      <c r="CO7" s="385">
        <f>IF(SUM($CN7:CN7)=SUM(DemigodConversion!$S33),0,IF(AND(U7=0,AS7=0,BQ7=0,DemigodConversion!$U$19+DemigodConversion!$W$19&gt;CN6),1,0))</f>
        <v>0</v>
      </c>
      <c r="CP7" s="385">
        <f>IF(SUM($CN7:CO7)=SUM(DemigodConversion!$S33),0,IF(AND(V7=0,AT7=0,BR7=0,DemigodConversion!$U$19+DemigodConversion!$W$19&gt;CO6),1,0))</f>
        <v>0</v>
      </c>
      <c r="CQ7" s="385">
        <f>IF(SUM($CN7:CP7)=SUM(DemigodConversion!$S33),0,IF(AND(W7=0,AU7=0,BS7=0,DemigodConversion!$U$19+DemigodConversion!$W$19&gt;CP6),1,0))</f>
        <v>0</v>
      </c>
      <c r="CR7" s="391">
        <f>IF(SUM($CN7:CQ7)=SUM(DemigodConversion!$S33),0,IF(AND(X7=0,AV7=0,BT7=0,DemigodConversion!$U$19+DemigodConversion!$W$19&gt;CQ6),1,0))</f>
        <v>0</v>
      </c>
      <c r="CS7" s="1104" t="s">
        <v>13</v>
      </c>
      <c r="CT7" s="767"/>
      <c r="CU7" s="767"/>
      <c r="CV7" s="767"/>
      <c r="CW7" s="291">
        <v>0</v>
      </c>
      <c r="CX7" s="291">
        <f>IF(AND(F7=0,AD7=0,BB7=0,BZ7=0,CW$5&lt;SUM(GodConversion!$E20:$L20)),1,0)</f>
        <v>0</v>
      </c>
      <c r="CY7" s="291">
        <f>IF(AND(G7=0,AE7=0,BC7=0,CA7=0,CX$5&lt;SUM(GodConversion!$E20:$L20)),1,0)</f>
        <v>0</v>
      </c>
      <c r="CZ7" s="291">
        <f>IF(AND(H7=0,AF7=0,BD7=0,CB7=0,CY$5&lt;SUM(GodConversion!$E20:$L20)),1,0)</f>
        <v>0</v>
      </c>
      <c r="DA7" s="291">
        <f>IF(AND(I7=0,AG7=0,BE7=0,CC7=0,CZ$5&lt;SUM(GodConversion!$E20:$L20)),1,0)</f>
        <v>0</v>
      </c>
      <c r="DB7" s="291">
        <f>IF(AND(J7=0,AH7=0,BF7=0,CD7=0,DA$5&lt;SUM(GodConversion!$E20:$L20)),1,0)</f>
        <v>0</v>
      </c>
      <c r="DC7" s="291">
        <f>IF(AND(K7=0,AI7=0,BG7=0,CE7=0,DB$5&lt;SUM(GodConversion!$E20:$L20)),1,0)</f>
        <v>0</v>
      </c>
      <c r="DD7" s="291">
        <f>IF(AND(L7=0,AJ7=0,BH7=0,CF7=0,DC$5&lt;SUM(GodConversion!$E20:$L20)),1,0)</f>
        <v>0</v>
      </c>
      <c r="DE7" s="291">
        <f>IF(AND(M7=0,AK7=0,BI7=0,CG7=0,DD$5&lt;SUM(GodConversion!$E20:$L20)),1,0)</f>
        <v>0</v>
      </c>
      <c r="DF7" s="291">
        <f>IF(AND(N7=0,AL7=0,BJ7=0,CH7=0,DE$5&lt;SUM(GodConversion!$E20:$L20)),1,0)</f>
        <v>0</v>
      </c>
      <c r="DG7" s="291">
        <f>IF(AND(O7=0,AM7=0,BK7=0,CI7=0,DF$5&lt;SUM(GodConversion!$E20:$L20)),1,0)</f>
        <v>0</v>
      </c>
      <c r="DH7" s="1179" t="s">
        <v>25</v>
      </c>
      <c r="DI7" s="1180"/>
      <c r="DJ7" s="1180"/>
      <c r="DK7" s="1180"/>
      <c r="DL7" s="301">
        <v>0</v>
      </c>
      <c r="DM7" s="301">
        <f>IF(AND(U7=0,AS7=0,BQ7=0,CO7=0,DL$3&lt;GodConversion!$Q33+GodConversion!$S33),1,0)</f>
        <v>0</v>
      </c>
      <c r="DN7" s="301">
        <f>IF(AND(V7=0,AT7=0,BR7=0,CP7=0,DM$3&lt;GodConversion!$Q33+GodConversion!$S33),1,0)</f>
        <v>0</v>
      </c>
      <c r="DO7" s="301">
        <f>IF(AND(W7=0,AU7=0,BS7=0,CQ7=0,DN$3&lt;GodConversion!$Q33+GodConversion!$S33),1,0)</f>
        <v>0</v>
      </c>
      <c r="DP7" s="302">
        <f>IF(AND(X7=0,AV7=0,BT7=0,CR7=0,DO$3&lt;GodConversion!$Q33+GodConversion!$S33),1,0)</f>
        <v>0</v>
      </c>
      <c r="DQ7" s="1163" t="s">
        <v>13</v>
      </c>
      <c r="DR7" s="767"/>
      <c r="DS7" s="767"/>
      <c r="DT7" s="767"/>
      <c r="DU7" s="291">
        <v>0</v>
      </c>
      <c r="DV7" s="291">
        <f t="shared" ref="DV7:EE7" si="5">IF(AD7=1,DU$5*4,0)</f>
        <v>0</v>
      </c>
      <c r="DW7" s="291">
        <f t="shared" si="5"/>
        <v>0</v>
      </c>
      <c r="DX7" s="291">
        <f t="shared" si="5"/>
        <v>0</v>
      </c>
      <c r="DY7" s="291">
        <f t="shared" si="5"/>
        <v>0</v>
      </c>
      <c r="DZ7" s="291">
        <f t="shared" si="5"/>
        <v>0</v>
      </c>
      <c r="EA7" s="291">
        <f t="shared" si="5"/>
        <v>0</v>
      </c>
      <c r="EB7" s="291">
        <f t="shared" si="5"/>
        <v>0</v>
      </c>
      <c r="EC7" s="291">
        <f t="shared" si="5"/>
        <v>0</v>
      </c>
      <c r="ED7" s="291">
        <f t="shared" si="5"/>
        <v>0</v>
      </c>
      <c r="EE7" s="292">
        <f t="shared" si="5"/>
        <v>0</v>
      </c>
      <c r="EF7" s="1179" t="s">
        <v>25</v>
      </c>
      <c r="EG7" s="1180"/>
      <c r="EH7" s="1180"/>
      <c r="EI7" s="1180"/>
      <c r="EJ7" s="301">
        <v>0</v>
      </c>
      <c r="EK7" s="301">
        <f t="shared" ref="EK7:EN7" si="6">IF(AS7=1,EJ$3*3,0)</f>
        <v>0</v>
      </c>
      <c r="EL7" s="301">
        <f t="shared" si="6"/>
        <v>0</v>
      </c>
      <c r="EM7" s="301">
        <f t="shared" si="6"/>
        <v>0</v>
      </c>
      <c r="EN7" s="390">
        <f t="shared" si="6"/>
        <v>0</v>
      </c>
      <c r="EO7" s="1163" t="s">
        <v>35</v>
      </c>
      <c r="EP7" s="767"/>
      <c r="EQ7" s="767"/>
      <c r="ER7" s="768"/>
      <c r="ES7" s="392"/>
      <c r="ET7" s="381"/>
      <c r="EU7" s="381"/>
      <c r="EV7" s="381"/>
      <c r="EW7" s="381"/>
      <c r="EX7" s="1118" t="s">
        <v>35</v>
      </c>
      <c r="EY7" s="964"/>
      <c r="EZ7" s="964"/>
      <c r="FA7" s="1119"/>
      <c r="FB7" s="500"/>
      <c r="FC7" s="501"/>
      <c r="FD7" s="501"/>
      <c r="FE7" s="501"/>
      <c r="FF7" s="502"/>
      <c r="FG7" s="1123" t="s">
        <v>35</v>
      </c>
      <c r="FH7" s="1114"/>
      <c r="FI7" s="1114"/>
      <c r="FJ7" s="1115"/>
      <c r="FK7" s="515"/>
      <c r="FL7" s="516"/>
      <c r="FM7" s="516"/>
      <c r="FN7" s="516"/>
      <c r="FO7" s="517"/>
      <c r="FP7" s="1118" t="s">
        <v>35</v>
      </c>
      <c r="FQ7" s="964"/>
      <c r="FR7" s="964"/>
      <c r="FS7" s="1119"/>
      <c r="FT7" s="500"/>
      <c r="FU7" s="501"/>
      <c r="FV7" s="501"/>
      <c r="FW7" s="501"/>
      <c r="FX7" s="502"/>
      <c r="FY7" s="1113" t="s">
        <v>35</v>
      </c>
      <c r="FZ7" s="1114"/>
      <c r="GA7" s="1114"/>
      <c r="GB7" s="1115"/>
      <c r="GC7" s="515"/>
      <c r="GD7" s="516"/>
      <c r="GE7" s="516"/>
      <c r="GF7" s="516"/>
      <c r="GG7" s="517"/>
      <c r="GK7" s="396" t="s">
        <v>35</v>
      </c>
      <c r="GL7" s="396">
        <f>IF(OR(GM7=1,GN7=1,GO7=1,GP7=1,GQ7=1,GR7=1),1,0)</f>
        <v>0</v>
      </c>
      <c r="GM7" s="396">
        <f>IF($GK7=Creation!$Q$28,1,0)</f>
        <v>0</v>
      </c>
      <c r="GN7" s="396">
        <f>IF($GK7=Creation!$Q$29,1,0)</f>
        <v>0</v>
      </c>
      <c r="GO7" s="396">
        <f>IF($GK7=Creation!$Q$30,1,0)</f>
        <v>0</v>
      </c>
      <c r="GP7" s="396">
        <f>IF($GK7=Creation!$Q$31,1,0)</f>
        <v>0</v>
      </c>
      <c r="GQ7" s="396">
        <f>IF($GK7=Creation!$Q$32,1,0)</f>
        <v>0</v>
      </c>
      <c r="GR7" s="396">
        <f>IF($GK7=Creation!$Q$33,1,0)</f>
        <v>0</v>
      </c>
    </row>
    <row r="8" spans="1:200" x14ac:dyDescent="0.25">
      <c r="A8" s="1163" t="s">
        <v>14</v>
      </c>
      <c r="B8" s="767"/>
      <c r="C8" s="767"/>
      <c r="D8" s="767"/>
      <c r="E8" s="291">
        <v>1</v>
      </c>
      <c r="F8" s="291">
        <f>IF(Creation!$E$21+Creation!$I$21&gt;E$5,1,0)</f>
        <v>0</v>
      </c>
      <c r="G8" s="291">
        <f>IF(Creation!$E$21+Creation!$I$21&gt;F$5,1,0)</f>
        <v>0</v>
      </c>
      <c r="H8" s="291">
        <f>IF(Creation!$E$21+Creation!$I$21&gt;G$5,1,0)</f>
        <v>0</v>
      </c>
      <c r="I8" s="291">
        <f>IF(Creation!$E$21+Creation!$I$21&gt;H$5,1,0)</f>
        <v>0</v>
      </c>
      <c r="J8" s="291">
        <f>IF(Creation!$E$21+Creation!$I$21&gt;I$5,1,0)</f>
        <v>0</v>
      </c>
      <c r="K8" s="291">
        <f>IF(Creation!$E$21+Creation!$I$21&gt;J$5,1,0)</f>
        <v>0</v>
      </c>
      <c r="L8" s="291">
        <f>IF(Creation!$E$21+Creation!$I$21&gt;K$5,1,0)</f>
        <v>0</v>
      </c>
      <c r="M8" s="291">
        <f>IF(Creation!$E$21+Creation!$I$21&gt;L$5,1,0)</f>
        <v>0</v>
      </c>
      <c r="N8" s="291">
        <f>IF(Creation!$E$21+Creation!$I$21&gt;M$5,1,0)</f>
        <v>0</v>
      </c>
      <c r="O8" s="292">
        <f>IF(Creation!$E$21+Creation!$I$21&gt;N$5,1,0)</f>
        <v>0</v>
      </c>
      <c r="P8" s="721" t="s">
        <v>69</v>
      </c>
      <c r="Q8" s="722"/>
      <c r="R8" s="722"/>
      <c r="S8" s="722"/>
      <c r="T8" s="334">
        <v>1</v>
      </c>
      <c r="U8" s="334">
        <v>2</v>
      </c>
      <c r="V8" s="334">
        <v>3</v>
      </c>
      <c r="W8" s="334">
        <v>4</v>
      </c>
      <c r="X8" s="374">
        <v>5</v>
      </c>
      <c r="Y8" s="1163" t="s">
        <v>14</v>
      </c>
      <c r="Z8" s="767"/>
      <c r="AA8" s="767"/>
      <c r="AB8" s="768"/>
      <c r="AC8" s="380"/>
      <c r="AD8" s="381"/>
      <c r="AE8" s="381"/>
      <c r="AF8" s="381"/>
      <c r="AG8" s="381"/>
      <c r="AH8" s="381"/>
      <c r="AI8" s="381"/>
      <c r="AJ8" s="381"/>
      <c r="AK8" s="381"/>
      <c r="AL8" s="381"/>
      <c r="AM8" s="382"/>
      <c r="AN8" s="721" t="s">
        <v>69</v>
      </c>
      <c r="AO8" s="722"/>
      <c r="AP8" s="722"/>
      <c r="AQ8" s="833"/>
      <c r="AR8" s="387">
        <v>1</v>
      </c>
      <c r="AS8" s="371">
        <v>2</v>
      </c>
      <c r="AT8" s="371">
        <v>3</v>
      </c>
      <c r="AU8" s="371">
        <v>4</v>
      </c>
      <c r="AV8" s="370">
        <v>5</v>
      </c>
      <c r="AW8" s="1104" t="s">
        <v>14</v>
      </c>
      <c r="AX8" s="767"/>
      <c r="AY8" s="767"/>
      <c r="AZ8" s="768"/>
      <c r="BA8" s="384"/>
      <c r="BB8" s="560"/>
      <c r="BC8" s="560"/>
      <c r="BD8" s="560"/>
      <c r="BE8" s="560"/>
      <c r="BF8" s="560"/>
      <c r="BG8" s="560"/>
      <c r="BH8" s="560"/>
      <c r="BI8" s="560"/>
      <c r="BJ8" s="560"/>
      <c r="BK8" s="562"/>
      <c r="BL8" s="721" t="s">
        <v>69</v>
      </c>
      <c r="BM8" s="722"/>
      <c r="BN8" s="722"/>
      <c r="BO8" s="833"/>
      <c r="BP8" s="397">
        <v>1</v>
      </c>
      <c r="BQ8" s="371">
        <v>2</v>
      </c>
      <c r="BR8" s="371">
        <v>3</v>
      </c>
      <c r="BS8" s="371">
        <v>4</v>
      </c>
      <c r="BT8" s="370">
        <v>5</v>
      </c>
      <c r="BU8" s="1104" t="s">
        <v>14</v>
      </c>
      <c r="BV8" s="767"/>
      <c r="BW8" s="767"/>
      <c r="BX8" s="767"/>
      <c r="BY8" s="291">
        <v>0</v>
      </c>
      <c r="BZ8" s="291">
        <f>IF(SUM($BY8:BY8)=SUM(DemigodConversion!$G21:$L21),0,IF(AND(F8=0,AD8=0,BB8=0,DemigodConversion!$E21+DemigodConversion!$G21+DemigodConversion!$I21&gt;BY$5),1,0))</f>
        <v>0</v>
      </c>
      <c r="CA8" s="291">
        <f>IF(SUM($BY8:BZ8)=SUM(DemigodConversion!$G21:$L21),0,IF(AND(G8=0,AE8=0,BC8=0,DemigodConversion!$E21+DemigodConversion!$G21+DemigodConversion!$I21&gt;BZ$5),1,0))</f>
        <v>0</v>
      </c>
      <c r="CB8" s="291">
        <f>IF(SUM($BY8:CA8)=SUM(DemigodConversion!$G21:$L21),0,IF(AND(H8=0,AF8=0,BD8=0,DemigodConversion!$E21+DemigodConversion!$G21+DemigodConversion!$I21&gt;CA$5),1,0))</f>
        <v>0</v>
      </c>
      <c r="CC8" s="291">
        <f>IF(SUM($BY8:CB8)=SUM(DemigodConversion!$G21:$L21),0,IF(AND(I8=0,AG8=0,BE8=0,DemigodConversion!$E21+DemigodConversion!$G21+DemigodConversion!$I21&gt;CB$5),1,0))</f>
        <v>0</v>
      </c>
      <c r="CD8" s="291">
        <f>IF(SUM($BY8:CC8)=SUM(DemigodConversion!$G21:$L21),0,IF(AND(J8=0,AH8=0,BF8=0,DemigodConversion!$E21+DemigodConversion!$G21+DemigodConversion!$I21&gt;CC$5),1,0))</f>
        <v>0</v>
      </c>
      <c r="CE8" s="291">
        <f>IF(SUM($BY8:CD8)=SUM(DemigodConversion!$G21:$L21),0,IF(AND(K8=0,AI8=0,BG8=0,DemigodConversion!$E21+DemigodConversion!$G21+DemigodConversion!$I21&gt;CD$5),1,0))</f>
        <v>0</v>
      </c>
      <c r="CF8" s="291">
        <f>IF(SUM($BY8:CE8)=SUM(DemigodConversion!$G21:$L21),0,IF(AND(L8=0,AJ8=0,BH8=0,DemigodConversion!$E21+DemigodConversion!$G21+DemigodConversion!$I21&gt;CE$5),1,0))</f>
        <v>0</v>
      </c>
      <c r="CG8" s="291">
        <f>IF(SUM($BY8:CF8)=SUM(DemigodConversion!$G21:$L21),0,IF(AND(M8=0,AK8=0,BI8=0,DemigodConversion!$E21+DemigodConversion!$G21+DemigodConversion!$I21&gt;CF$5),1,0))</f>
        <v>0</v>
      </c>
      <c r="CH8" s="291">
        <f>IF(SUM($BY8:CG8)=SUM(DemigodConversion!$G21:$L21),0,IF(AND(N8=0,AL8=0,BJ8=0,DemigodConversion!$E21+DemigodConversion!$G21+DemigodConversion!$I21&gt;CG$5),1,0))</f>
        <v>0</v>
      </c>
      <c r="CI8" s="376">
        <f>IF(SUM($BY8:CH8)=SUM(DemigodConversion!$G21:$L21),0,IF(AND(O8=0,AM8=0,BK8=0,DemigodConversion!$E21+DemigodConversion!$G21+DemigodConversion!$I21&gt;CH$5),1,0))</f>
        <v>0</v>
      </c>
      <c r="CJ8" s="721" t="s">
        <v>69</v>
      </c>
      <c r="CK8" s="722"/>
      <c r="CL8" s="722"/>
      <c r="CM8" s="722"/>
      <c r="CN8" s="334">
        <v>1</v>
      </c>
      <c r="CO8" s="334">
        <v>2</v>
      </c>
      <c r="CP8" s="334">
        <v>3</v>
      </c>
      <c r="CQ8" s="334">
        <v>4</v>
      </c>
      <c r="CR8" s="289">
        <v>5</v>
      </c>
      <c r="CS8" s="1104" t="s">
        <v>14</v>
      </c>
      <c r="CT8" s="767"/>
      <c r="CU8" s="767"/>
      <c r="CV8" s="767"/>
      <c r="CW8" s="291">
        <v>0</v>
      </c>
      <c r="CX8" s="291">
        <f>IF(AND(F8=0,AD8=0,BB8=0,BZ8=0,CW$5&lt;SUM(GodConversion!$E21:$L21)),1,0)</f>
        <v>0</v>
      </c>
      <c r="CY8" s="291">
        <f>IF(AND(G8=0,AE8=0,BC8=0,CA8=0,CX$5&lt;SUM(GodConversion!$E21:$L21)),1,0)</f>
        <v>0</v>
      </c>
      <c r="CZ8" s="291">
        <f>IF(AND(H8=0,AF8=0,BD8=0,CB8=0,CY$5&lt;SUM(GodConversion!$E21:$L21)),1,0)</f>
        <v>0</v>
      </c>
      <c r="DA8" s="291">
        <f>IF(AND(I8=0,AG8=0,BE8=0,CC8=0,CZ$5&lt;SUM(GodConversion!$E21:$L21)),1,0)</f>
        <v>0</v>
      </c>
      <c r="DB8" s="291">
        <f>IF(AND(J8=0,AH8=0,BF8=0,CD8=0,DA$5&lt;SUM(GodConversion!$E21:$L21)),1,0)</f>
        <v>0</v>
      </c>
      <c r="DC8" s="291">
        <f>IF(AND(K8=0,AI8=0,BG8=0,CE8=0,DB$5&lt;SUM(GodConversion!$E21:$L21)),1,0)</f>
        <v>0</v>
      </c>
      <c r="DD8" s="291">
        <f>IF(AND(L8=0,AJ8=0,BH8=0,CF8=0,DC$5&lt;SUM(GodConversion!$E21:$L21)),1,0)</f>
        <v>0</v>
      </c>
      <c r="DE8" s="291">
        <f>IF(AND(M8=0,AK8=0,BI8=0,CG8=0,DD$5&lt;SUM(GodConversion!$E21:$L21)),1,0)</f>
        <v>0</v>
      </c>
      <c r="DF8" s="291">
        <f>IF(AND(N8=0,AL8=0,BJ8=0,CH8=0,DE$5&lt;SUM(GodConversion!$E21:$L21)),1,0)</f>
        <v>0</v>
      </c>
      <c r="DG8" s="291">
        <f>IF(AND(O8=0,AM8=0,BK8=0,CI8=0,DF$5&lt;SUM(GodConversion!$E21:$L21)),1,0)</f>
        <v>0</v>
      </c>
      <c r="DH8" s="721" t="s">
        <v>69</v>
      </c>
      <c r="DI8" s="722"/>
      <c r="DJ8" s="722"/>
      <c r="DK8" s="722"/>
      <c r="DL8" s="334">
        <v>1</v>
      </c>
      <c r="DM8" s="334">
        <v>2</v>
      </c>
      <c r="DN8" s="334">
        <v>3</v>
      </c>
      <c r="DO8" s="334">
        <v>4</v>
      </c>
      <c r="DP8" s="289">
        <v>5</v>
      </c>
      <c r="DQ8" s="1163" t="s">
        <v>14</v>
      </c>
      <c r="DR8" s="767"/>
      <c r="DS8" s="767"/>
      <c r="DT8" s="767"/>
      <c r="DU8" s="291">
        <v>0</v>
      </c>
      <c r="DV8" s="291">
        <f t="shared" ref="DV8:EE8" si="7">IF(AD8=1,DU$5*4,0)</f>
        <v>0</v>
      </c>
      <c r="DW8" s="291">
        <f t="shared" si="7"/>
        <v>0</v>
      </c>
      <c r="DX8" s="291">
        <f t="shared" si="7"/>
        <v>0</v>
      </c>
      <c r="DY8" s="291">
        <f t="shared" si="7"/>
        <v>0</v>
      </c>
      <c r="DZ8" s="291">
        <f t="shared" si="7"/>
        <v>0</v>
      </c>
      <c r="EA8" s="291">
        <f t="shared" si="7"/>
        <v>0</v>
      </c>
      <c r="EB8" s="291">
        <f t="shared" si="7"/>
        <v>0</v>
      </c>
      <c r="EC8" s="291">
        <f t="shared" si="7"/>
        <v>0</v>
      </c>
      <c r="ED8" s="291">
        <f t="shared" si="7"/>
        <v>0</v>
      </c>
      <c r="EE8" s="292">
        <f t="shared" si="7"/>
        <v>0</v>
      </c>
      <c r="EF8" s="721" t="s">
        <v>69</v>
      </c>
      <c r="EG8" s="722"/>
      <c r="EH8" s="722"/>
      <c r="EI8" s="722"/>
      <c r="EJ8" s="334">
        <v>1</v>
      </c>
      <c r="EK8" s="334">
        <v>2</v>
      </c>
      <c r="EL8" s="334">
        <v>3</v>
      </c>
      <c r="EM8" s="334">
        <v>4</v>
      </c>
      <c r="EN8" s="374">
        <v>5</v>
      </c>
      <c r="EO8" s="1164" t="s">
        <v>36</v>
      </c>
      <c r="EP8" s="1165"/>
      <c r="EQ8" s="1165"/>
      <c r="ER8" s="1166"/>
      <c r="ES8" s="398"/>
      <c r="ET8" s="399"/>
      <c r="EU8" s="381"/>
      <c r="EV8" s="381"/>
      <c r="EW8" s="381"/>
      <c r="EX8" s="1113" t="s">
        <v>36</v>
      </c>
      <c r="EY8" s="1114"/>
      <c r="EZ8" s="1114"/>
      <c r="FA8" s="1117"/>
      <c r="FB8" s="393"/>
      <c r="FC8" s="394"/>
      <c r="FD8" s="394"/>
      <c r="FE8" s="394"/>
      <c r="FF8" s="395"/>
      <c r="FG8" s="1123" t="s">
        <v>36</v>
      </c>
      <c r="FH8" s="1114"/>
      <c r="FI8" s="1114"/>
      <c r="FJ8" s="1115"/>
      <c r="FK8" s="515"/>
      <c r="FL8" s="516"/>
      <c r="FM8" s="516"/>
      <c r="FN8" s="516"/>
      <c r="FO8" s="517"/>
      <c r="FP8" s="1113" t="s">
        <v>36</v>
      </c>
      <c r="FQ8" s="1114"/>
      <c r="FR8" s="1114"/>
      <c r="FS8" s="1117"/>
      <c r="FT8" s="393"/>
      <c r="FU8" s="394"/>
      <c r="FV8" s="394"/>
      <c r="FW8" s="394"/>
      <c r="FX8" s="395"/>
      <c r="FY8" s="1113" t="s">
        <v>36</v>
      </c>
      <c r="FZ8" s="1114"/>
      <c r="GA8" s="1114"/>
      <c r="GB8" s="1115"/>
      <c r="GC8" s="515"/>
      <c r="GD8" s="516"/>
      <c r="GE8" s="516"/>
      <c r="GF8" s="516"/>
      <c r="GG8" s="517"/>
      <c r="GK8" s="396" t="s">
        <v>36</v>
      </c>
      <c r="GL8" s="396">
        <f t="shared" ref="GL8:GL30" si="8">IF(OR(GM8=1,GN8=1,GO8=1,GP8=1,GQ8=1,GR8=1),1,0)</f>
        <v>0</v>
      </c>
      <c r="GM8" s="396">
        <f>IF($GK8=Creation!$Q$28,1,0)</f>
        <v>0</v>
      </c>
      <c r="GN8" s="396">
        <f>IF($GK8=Creation!$Q$29,1,0)</f>
        <v>0</v>
      </c>
      <c r="GO8" s="396">
        <f>IF($GK8=Creation!$Q$30,1,0)</f>
        <v>0</v>
      </c>
      <c r="GP8" s="396">
        <f>IF($GK8=Creation!$Q$31,1,0)</f>
        <v>0</v>
      </c>
      <c r="GQ8" s="396">
        <f>IF($GK8=Creation!$Q$32,1,0)</f>
        <v>0</v>
      </c>
      <c r="GR8" s="396">
        <f>IF($GK8=Creation!$Q$33,1,0)</f>
        <v>0</v>
      </c>
    </row>
    <row r="9" spans="1:200" x14ac:dyDescent="0.25">
      <c r="A9" s="1163" t="s">
        <v>16</v>
      </c>
      <c r="B9" s="767"/>
      <c r="C9" s="767"/>
      <c r="D9" s="767"/>
      <c r="E9" s="291">
        <v>1</v>
      </c>
      <c r="F9" s="291">
        <f>IF(Creation!$E$25+Creation!$I$25&gt;E$5,1,0)</f>
        <v>0</v>
      </c>
      <c r="G9" s="291">
        <f>IF(Creation!$E$25+Creation!$I$25&gt;F$5,1,0)</f>
        <v>0</v>
      </c>
      <c r="H9" s="291">
        <f>IF(Creation!$E$25+Creation!$I$25&gt;G$5,1,0)</f>
        <v>0</v>
      </c>
      <c r="I9" s="291">
        <f>IF(Creation!$E$25+Creation!$I$25&gt;H$5,1,0)</f>
        <v>0</v>
      </c>
      <c r="J9" s="291">
        <f>IF(Creation!$E$25+Creation!$I$25&gt;I$5,1,0)</f>
        <v>0</v>
      </c>
      <c r="K9" s="291">
        <f>IF(Creation!$E$25+Creation!$I$25&gt;J$5,1,0)</f>
        <v>0</v>
      </c>
      <c r="L9" s="291">
        <f>IF(Creation!$E$25+Creation!$I$25&gt;K$5,1,0)</f>
        <v>0</v>
      </c>
      <c r="M9" s="291">
        <f>IF(Creation!$E$25+Creation!$I$25&gt;L$5,1,0)</f>
        <v>0</v>
      </c>
      <c r="N9" s="291">
        <f>IF(Creation!$E$25+Creation!$I$25&gt;M$5,1,0)</f>
        <v>0</v>
      </c>
      <c r="O9" s="292">
        <f>IF(Creation!$E$25+Creation!$I$25&gt;N$5,1,0)</f>
        <v>0</v>
      </c>
      <c r="P9" s="1163" t="s">
        <v>35</v>
      </c>
      <c r="Q9" s="767"/>
      <c r="R9" s="767"/>
      <c r="S9" s="767"/>
      <c r="T9" s="291">
        <f>IF(Creation!AC4+Creation!AF4&gt;0,1,0)</f>
        <v>0</v>
      </c>
      <c r="U9" s="291">
        <f>IF(Creation!AC4+Creation!AF4&gt;1,1,0)</f>
        <v>0</v>
      </c>
      <c r="V9" s="291">
        <f>IF(Creation!AC4+Creation!AF4&gt;2,1,0)</f>
        <v>0</v>
      </c>
      <c r="W9" s="291">
        <f>IF(Creation!AC4+Creation!AF4&gt;3,1,0)</f>
        <v>0</v>
      </c>
      <c r="X9" s="376">
        <f>IF(Creation!AC4+Creation!AF4&gt;4,1,0)</f>
        <v>0</v>
      </c>
      <c r="Y9" s="1163" t="s">
        <v>16</v>
      </c>
      <c r="Z9" s="767"/>
      <c r="AA9" s="767"/>
      <c r="AB9" s="768"/>
      <c r="AC9" s="380"/>
      <c r="AD9" s="381"/>
      <c r="AE9" s="381"/>
      <c r="AF9" s="381"/>
      <c r="AG9" s="381"/>
      <c r="AH9" s="381"/>
      <c r="AI9" s="381"/>
      <c r="AJ9" s="381"/>
      <c r="AK9" s="381"/>
      <c r="AL9" s="381"/>
      <c r="AM9" s="382"/>
      <c r="AN9" s="1163" t="s">
        <v>35</v>
      </c>
      <c r="AO9" s="767"/>
      <c r="AP9" s="767"/>
      <c r="AQ9" s="768"/>
      <c r="AR9" s="392"/>
      <c r="AS9" s="381"/>
      <c r="AT9" s="381"/>
      <c r="AU9" s="381"/>
      <c r="AV9" s="382"/>
      <c r="AW9" s="1104" t="s">
        <v>16</v>
      </c>
      <c r="AX9" s="767"/>
      <c r="AY9" s="767"/>
      <c r="AZ9" s="768"/>
      <c r="BA9" s="384"/>
      <c r="BB9" s="560"/>
      <c r="BC9" s="560"/>
      <c r="BD9" s="560"/>
      <c r="BE9" s="560"/>
      <c r="BF9" s="560"/>
      <c r="BG9" s="560"/>
      <c r="BH9" s="560"/>
      <c r="BI9" s="560"/>
      <c r="BJ9" s="560"/>
      <c r="BK9" s="562"/>
      <c r="BL9" s="1163" t="s">
        <v>35</v>
      </c>
      <c r="BM9" s="767"/>
      <c r="BN9" s="767"/>
      <c r="BO9" s="768"/>
      <c r="BP9" s="400"/>
      <c r="BQ9" s="381"/>
      <c r="BR9" s="381"/>
      <c r="BS9" s="381"/>
      <c r="BT9" s="382"/>
      <c r="BU9" s="1104" t="s">
        <v>16</v>
      </c>
      <c r="BV9" s="767"/>
      <c r="BW9" s="767"/>
      <c r="BX9" s="767"/>
      <c r="BY9" s="291">
        <v>0</v>
      </c>
      <c r="BZ9" s="291">
        <f>IF(SUM($BY9:BY9)=SUM(DemigodConversion!$G25:$L25),0,IF(AND(F9=0,AD9=0,BB9=0,DemigodConversion!$E25+DemigodConversion!$G25+DemigodConversion!$I25&gt;BY$5),1,0))</f>
        <v>0</v>
      </c>
      <c r="CA9" s="291">
        <f>IF(SUM($BY9:BZ9)=SUM(DemigodConversion!$G25:$L25),0,IF(AND(G9=0,AE9=0,BC9=0,DemigodConversion!$E25+DemigodConversion!$G25+DemigodConversion!$I25&gt;BZ$5),1,0))</f>
        <v>0</v>
      </c>
      <c r="CB9" s="291">
        <f>IF(SUM($BY9:CA9)=SUM(DemigodConversion!$G25:$L25),0,IF(AND(H9=0,AF9=0,BD9=0,DemigodConversion!$E25+DemigodConversion!$G25+DemigodConversion!$I25&gt;CA$5),1,0))</f>
        <v>0</v>
      </c>
      <c r="CC9" s="291">
        <f>IF(SUM($BY9:CB9)=SUM(DemigodConversion!$G25:$L25),0,IF(AND(I9=0,AG9=0,BE9=0,DemigodConversion!$E25+DemigodConversion!$G25+DemigodConversion!$I25&gt;CB$5),1,0))</f>
        <v>0</v>
      </c>
      <c r="CD9" s="291">
        <f>IF(SUM($BY9:CC9)=SUM(DemigodConversion!$G25:$L25),0,IF(AND(J9=0,AH9=0,BF9=0,DemigodConversion!$E25+DemigodConversion!$G25+DemigodConversion!$I25&gt;CC$5),1,0))</f>
        <v>0</v>
      </c>
      <c r="CE9" s="291">
        <f>IF(SUM($BY9:CD9)=SUM(DemigodConversion!$G25:$L25),0,IF(AND(K9=0,AI9=0,BG9=0,DemigodConversion!$E25+DemigodConversion!$G25+DemigodConversion!$I25&gt;CD$5),1,0))</f>
        <v>0</v>
      </c>
      <c r="CF9" s="291">
        <f>IF(SUM($BY9:CE9)=SUM(DemigodConversion!$G25:$L25),0,IF(AND(L9=0,AJ9=0,BH9=0,DemigodConversion!$E25+DemigodConversion!$G25+DemigodConversion!$I25&gt;CE$5),1,0))</f>
        <v>0</v>
      </c>
      <c r="CG9" s="291">
        <f>IF(SUM($BY9:CF9)=SUM(DemigodConversion!$G25:$L25),0,IF(AND(M9=0,AK9=0,BI9=0,DemigodConversion!$E25+DemigodConversion!$G25+DemigodConversion!$I25&gt;CF$5),1,0))</f>
        <v>0</v>
      </c>
      <c r="CH9" s="291">
        <f>IF(SUM($BY9:CG9)=SUM(DemigodConversion!$G25:$L25),0,IF(AND(N9=0,AL9=0,BJ9=0,DemigodConversion!$E25+DemigodConversion!$G25+DemigodConversion!$I25&gt;CG$5),1,0))</f>
        <v>0</v>
      </c>
      <c r="CI9" s="376">
        <f>IF(SUM($BY9:CH9)=SUM(DemigodConversion!$G25:$L25),0,IF(AND(O9=0,AM9=0,BK9=0,DemigodConversion!$E25+DemigodConversion!$G25+DemigodConversion!$I25&gt;CH$5),1,0))</f>
        <v>0</v>
      </c>
      <c r="CJ9" s="1163" t="s">
        <v>35</v>
      </c>
      <c r="CK9" s="767"/>
      <c r="CL9" s="767"/>
      <c r="CM9" s="767"/>
      <c r="CN9" s="291">
        <f>IF(AND(T9=0,AR9=0,BP9=0,FB7=0,FK7=0,FT7=0,GC7=0,ES7=0,DemigodConversion!$AC4+DemigodConversion!$AF4&gt;0),1,0)</f>
        <v>0</v>
      </c>
      <c r="CO9" s="291">
        <f>IF(AND(U9=0,AS9=0,BQ9=0,FC7=0,FL7=0,FU7=0,GD7=0,ET7=0,DemigodConversion!$AC4+DemigodConversion!$AF4&gt;1),1,0)</f>
        <v>0</v>
      </c>
      <c r="CP9" s="291">
        <f>IF(AND(V9=0,AT9=0,BR9=0,FD7=0,FM7=0,FV7=0,GE7=0,EU7=0,DemigodConversion!$AC4+DemigodConversion!$AF4&gt;2),1,0)</f>
        <v>0</v>
      </c>
      <c r="CQ9" s="291">
        <f>IF(AND(W9=0,AU9=0,BS9=0,FE7=0,FN7=0,FW7=0,GF7=0,EV7=0,DemigodConversion!$AC4+DemigodConversion!$AF4&gt;3),1,0)</f>
        <v>0</v>
      </c>
      <c r="CR9" s="291">
        <f>IF(AND(X9=0,AV9=0,BT9=0,FF7=0,FO7=0,FX7=0,GG7=0,EW7=0,DemigodConversion!$AC4+DemigodConversion!$AF4&gt;4),1,0)</f>
        <v>0</v>
      </c>
      <c r="CS9" s="1104" t="s">
        <v>16</v>
      </c>
      <c r="CT9" s="767"/>
      <c r="CU9" s="767"/>
      <c r="CV9" s="767"/>
      <c r="CW9" s="291">
        <v>0</v>
      </c>
      <c r="CX9" s="291">
        <f>IF(AND(F9=0,AD9=0,BB9=0,BZ9=0,CW$5&lt;SUM(GodConversion!$E25:$L25)),1,0)</f>
        <v>0</v>
      </c>
      <c r="CY9" s="291">
        <f>IF(AND(G9=0,AE9=0,BC9=0,CA9=0,CX$5&lt;SUM(GodConversion!$E25:$L25)),1,0)</f>
        <v>0</v>
      </c>
      <c r="CZ9" s="291">
        <f>IF(AND(H9=0,AF9=0,BD9=0,CB9=0,CY$5&lt;SUM(GodConversion!$E25:$L25)),1,0)</f>
        <v>0</v>
      </c>
      <c r="DA9" s="291">
        <f>IF(AND(I9=0,AG9=0,BE9=0,CC9=0,CZ$5&lt;SUM(GodConversion!$E25:$L25)),1,0)</f>
        <v>0</v>
      </c>
      <c r="DB9" s="291">
        <f>IF(AND(J9=0,AH9=0,BF9=0,CD9=0,DA$5&lt;SUM(GodConversion!$E25:$L25)),1,0)</f>
        <v>0</v>
      </c>
      <c r="DC9" s="291">
        <f>IF(AND(K9=0,AI9=0,BG9=0,CE9=0,DB$5&lt;SUM(GodConversion!$E25:$L25)),1,0)</f>
        <v>0</v>
      </c>
      <c r="DD9" s="291">
        <f>IF(AND(L9=0,AJ9=0,BH9=0,CF9=0,DC$5&lt;SUM(GodConversion!$E25:$L25)),1,0)</f>
        <v>0</v>
      </c>
      <c r="DE9" s="291">
        <f>IF(AND(M9=0,AK9=0,BI9=0,CG9=0,DD$5&lt;SUM(GodConversion!$E25:$L25)),1,0)</f>
        <v>0</v>
      </c>
      <c r="DF9" s="291">
        <f>IF(AND(N9=0,AL9=0,BJ9=0,CH9=0,DE$5&lt;SUM(GodConversion!$E25:$L25)),1,0)</f>
        <v>0</v>
      </c>
      <c r="DG9" s="291">
        <f>IF(AND(O9=0,AM9=0,BK9=0,CI9=0,DF$5&lt;SUM(GodConversion!$E25:$L25)),1,0)</f>
        <v>0</v>
      </c>
      <c r="DH9" s="1163" t="s">
        <v>35</v>
      </c>
      <c r="DI9" s="767"/>
      <c r="DJ9" s="767"/>
      <c r="DK9" s="767"/>
      <c r="DL9" s="291">
        <f>IF(AND(T9=0,AR9=0,BP9=0,ES7=0,FB7=0,FK7=0,FT7=0,GC7=0,CN9=0,0&lt;GodConversion!$AC4+GodConversion!$AF4),1,0)</f>
        <v>0</v>
      </c>
      <c r="DM9" s="291">
        <f>IF(AND(U9=0,AS9=0,BQ9=0,ET7=0,FC7=0,FL7=0,FU7=0,GD7=0,CO9=0,1&lt;GodConversion!$AC4+GodConversion!$AF4),1,0)</f>
        <v>0</v>
      </c>
      <c r="DN9" s="291">
        <f>IF(AND(V9=0,AT9=0,BR9=0,EU7=0,FD7=0,FM7=0,FV7=0,GE7=0,CP9=0,2&lt;GodConversion!$AC4+GodConversion!$AF4),1,0)</f>
        <v>0</v>
      </c>
      <c r="DO9" s="291">
        <f>IF(AND(W9=0,AU9=0,BS9=0,EV7=0,FE7=0,FN7=0,FW7=0,GF7=0,CQ9=0,3&lt;GodConversion!$AC4+GodConversion!$AF4),1,0)</f>
        <v>0</v>
      </c>
      <c r="DP9" s="291">
        <f>IF(AND(X9=0,AV9=0,BT9=0,EW7=0,FF7=0,FO7=0,FX7=0,GG7=0,CR9=0,4&lt;GodConversion!$AC4+GodConversion!$AF4),1,0)</f>
        <v>0</v>
      </c>
      <c r="DQ9" s="1163" t="s">
        <v>16</v>
      </c>
      <c r="DR9" s="767"/>
      <c r="DS9" s="767"/>
      <c r="DT9" s="767"/>
      <c r="DU9" s="291">
        <v>0</v>
      </c>
      <c r="DV9" s="291">
        <f t="shared" ref="DV9:EE9" si="9">IF(AD9=1,DU$5*4,0)</f>
        <v>0</v>
      </c>
      <c r="DW9" s="291">
        <f t="shared" si="9"/>
        <v>0</v>
      </c>
      <c r="DX9" s="291">
        <f t="shared" si="9"/>
        <v>0</v>
      </c>
      <c r="DY9" s="291">
        <f t="shared" si="9"/>
        <v>0</v>
      </c>
      <c r="DZ9" s="291">
        <f t="shared" si="9"/>
        <v>0</v>
      </c>
      <c r="EA9" s="291">
        <f t="shared" si="9"/>
        <v>0</v>
      </c>
      <c r="EB9" s="291">
        <f t="shared" si="9"/>
        <v>0</v>
      </c>
      <c r="EC9" s="291">
        <f t="shared" si="9"/>
        <v>0</v>
      </c>
      <c r="ED9" s="291">
        <f t="shared" si="9"/>
        <v>0</v>
      </c>
      <c r="EE9" s="292">
        <f t="shared" si="9"/>
        <v>0</v>
      </c>
      <c r="EF9" s="1163" t="s">
        <v>35</v>
      </c>
      <c r="EG9" s="767"/>
      <c r="EH9" s="767"/>
      <c r="EI9" s="767"/>
      <c r="EJ9" s="291">
        <f>IF(AR9=1,3,IF(ES7=1,1,IF(FB7=1,1,IF(FK7=1,1,IF(FT7=1,1,IF(GC7=1,1,0))))))</f>
        <v>0</v>
      </c>
      <c r="EK9" s="291">
        <f>IF(AS9=1,IF(LOOKUP($EF9,$GK$7:$GK$30,$GL$7:$GL$30)=1,1,2),IF(OR(ET7=1,FC7=1,FL7=1),IF(LOOKUP($EF9,$GK$7:$GK$30,$GL$7:$GL$30)=1,1,1),IF(OR(FU7=1,GD7=1),IF(LOOKUP($EF9,$GK$7:$GK$30,$GL$7:$GL$30)=1,1,1),0)))</f>
        <v>0</v>
      </c>
      <c r="EL9" s="291">
        <f>IF(AT9=1,IF(LOOKUP($EF9,$GK$7:$GK$30,$GL$7:$GL$30)=1,3,4),IF(OR(EU7=1,FD7=1,FM7=1),IF(LOOKUP($EF9,$GK$7:$GK$30,$GL$7:$GL$30)=1,1,2),IF(OR(FV7=1,GE7=1),IF(LOOKUP($EF9,$GK$7:$GK$30,$GL$7:$GL$30)=1,1,1),0)))</f>
        <v>0</v>
      </c>
      <c r="EM9" s="291">
        <f>IF(AU9=1,IF(LOOKUP($EF9,$GK$7:$GK$30,$GL$7:$GL$30)=1,5,6),IF(OR(EV7=1,FE7=1,FN7=1),IF(LOOKUP($EF9,$GK$7:$GK$30,$GL$7:$GL$30)=1,2,3),IF(OR(FW7=1,GF7=1),IF(LOOKUP($EF9,$GK$7:$GK$30,$GL$7:$GL$30)=1,1,1),0)))</f>
        <v>0</v>
      </c>
      <c r="EN9" s="291">
        <f>IF(AV9=1,IF(LOOKUP($EF9,$GK$7:$GK$30,$GL$7:$GL$30)=1,7,8),IF(OR(EW7=1,FF7=1,FO7=1),IF(LOOKUP($EF9,$GK$7:$GK$30,$GL$7:$GL$30)=1,3,4),IF(OR(FX7=1,GG7=1),IF(LOOKUP($EF9,$GK$7:$GK$30,$GL$7:$GL$30)=1,1,2),0)))</f>
        <v>0</v>
      </c>
      <c r="EO9" s="1164" t="s">
        <v>37</v>
      </c>
      <c r="EP9" s="1165"/>
      <c r="EQ9" s="1165"/>
      <c r="ER9" s="1166"/>
      <c r="ES9" s="398"/>
      <c r="ET9" s="399"/>
      <c r="EU9" s="381"/>
      <c r="EV9" s="381"/>
      <c r="EW9" s="381"/>
      <c r="EX9" s="1118" t="s">
        <v>37</v>
      </c>
      <c r="EY9" s="964"/>
      <c r="EZ9" s="964"/>
      <c r="FA9" s="1119"/>
      <c r="FB9" s="503"/>
      <c r="FC9" s="504"/>
      <c r="FD9" s="504"/>
      <c r="FE9" s="504"/>
      <c r="FF9" s="505"/>
      <c r="FG9" s="1123" t="s">
        <v>37</v>
      </c>
      <c r="FH9" s="1114"/>
      <c r="FI9" s="1114"/>
      <c r="FJ9" s="1115"/>
      <c r="FK9" s="515"/>
      <c r="FL9" s="516"/>
      <c r="FM9" s="516"/>
      <c r="FN9" s="516"/>
      <c r="FO9" s="517"/>
      <c r="FP9" s="1118" t="s">
        <v>37</v>
      </c>
      <c r="FQ9" s="964"/>
      <c r="FR9" s="964"/>
      <c r="FS9" s="1119"/>
      <c r="FT9" s="503"/>
      <c r="FU9" s="504"/>
      <c r="FV9" s="504"/>
      <c r="FW9" s="504"/>
      <c r="FX9" s="505"/>
      <c r="FY9" s="1113" t="s">
        <v>37</v>
      </c>
      <c r="FZ9" s="1114"/>
      <c r="GA9" s="1114"/>
      <c r="GB9" s="1115"/>
      <c r="GC9" s="515"/>
      <c r="GD9" s="516"/>
      <c r="GE9" s="516"/>
      <c r="GF9" s="516"/>
      <c r="GG9" s="517"/>
      <c r="GK9" s="396" t="s">
        <v>37</v>
      </c>
      <c r="GL9" s="396">
        <f t="shared" si="8"/>
        <v>0</v>
      </c>
      <c r="GM9" s="396">
        <f>IF($GK9=Creation!$Q$28,1,0)</f>
        <v>0</v>
      </c>
      <c r="GN9" s="396">
        <f>IF($GK9=Creation!$Q$29,1,0)</f>
        <v>0</v>
      </c>
      <c r="GO9" s="396">
        <f>IF($GK9=Creation!$Q$30,1,0)</f>
        <v>0</v>
      </c>
      <c r="GP9" s="396">
        <f>IF($GK9=Creation!$Q$31,1,0)</f>
        <v>0</v>
      </c>
      <c r="GQ9" s="396">
        <f>IF($GK9=Creation!$Q$32,1,0)</f>
        <v>0</v>
      </c>
      <c r="GR9" s="396">
        <f>IF($GK9=Creation!$Q$33,1,0)</f>
        <v>0</v>
      </c>
    </row>
    <row r="10" spans="1:200" x14ac:dyDescent="0.25">
      <c r="A10" s="1163" t="s">
        <v>17</v>
      </c>
      <c r="B10" s="767"/>
      <c r="C10" s="767"/>
      <c r="D10" s="767"/>
      <c r="E10" s="291">
        <v>1</v>
      </c>
      <c r="F10" s="291">
        <f>IF(Creation!$E$26+Creation!$I$26&gt;E$5,1,0)</f>
        <v>0</v>
      </c>
      <c r="G10" s="291">
        <f>IF(Creation!$E$26+Creation!$I$26&gt;F$5,1,0)</f>
        <v>0</v>
      </c>
      <c r="H10" s="291">
        <f>IF(Creation!$E$26+Creation!$I$26&gt;G$5,1,0)</f>
        <v>0</v>
      </c>
      <c r="I10" s="291">
        <f>IF(Creation!$E$26+Creation!$I$26&gt;H$5,1,0)</f>
        <v>0</v>
      </c>
      <c r="J10" s="291">
        <f>IF(Creation!$E$26+Creation!$I$26&gt;I$5,1,0)</f>
        <v>0</v>
      </c>
      <c r="K10" s="291">
        <f>IF(Creation!$E$26+Creation!$I$26&gt;J$5,1,0)</f>
        <v>0</v>
      </c>
      <c r="L10" s="291">
        <f>IF(Creation!$E$26+Creation!$I$26&gt;K$5,1,0)</f>
        <v>0</v>
      </c>
      <c r="M10" s="291">
        <f>IF(Creation!$E$26+Creation!$I$26&gt;L$5,1,0)</f>
        <v>0</v>
      </c>
      <c r="N10" s="291">
        <f>IF(Creation!$E$26+Creation!$I$26&gt;M$5,1,0)</f>
        <v>0</v>
      </c>
      <c r="O10" s="292">
        <f>IF(Creation!$E$26+Creation!$I$26&gt;N$5,1,0)</f>
        <v>0</v>
      </c>
      <c r="P10" s="1163" t="s">
        <v>36</v>
      </c>
      <c r="Q10" s="767"/>
      <c r="R10" s="767"/>
      <c r="S10" s="767"/>
      <c r="T10" s="291">
        <f>IF(Creation!AC5+Creation!AF5&gt;0,1,0)</f>
        <v>0</v>
      </c>
      <c r="U10" s="291">
        <f>IF(Creation!AC5+Creation!AF5&gt;1,1,0)</f>
        <v>0</v>
      </c>
      <c r="V10" s="291">
        <f>IF(Creation!AC5+Creation!AF5&gt;2,1,0)</f>
        <v>0</v>
      </c>
      <c r="W10" s="291">
        <f>IF(Creation!AC5+Creation!AF5&gt;3,1,0)</f>
        <v>0</v>
      </c>
      <c r="X10" s="376">
        <f>IF(Creation!AC5+Creation!AF5&gt;4,1,0)</f>
        <v>0</v>
      </c>
      <c r="Y10" s="1163" t="s">
        <v>17</v>
      </c>
      <c r="Z10" s="767"/>
      <c r="AA10" s="767"/>
      <c r="AB10" s="768"/>
      <c r="AC10" s="380"/>
      <c r="AD10" s="381"/>
      <c r="AE10" s="381"/>
      <c r="AF10" s="381"/>
      <c r="AG10" s="381"/>
      <c r="AH10" s="381"/>
      <c r="AI10" s="381"/>
      <c r="AJ10" s="381"/>
      <c r="AK10" s="381"/>
      <c r="AL10" s="381"/>
      <c r="AM10" s="382"/>
      <c r="AN10" s="1163" t="s">
        <v>36</v>
      </c>
      <c r="AO10" s="767"/>
      <c r="AP10" s="767"/>
      <c r="AQ10" s="768"/>
      <c r="AR10" s="392"/>
      <c r="AS10" s="381"/>
      <c r="AT10" s="381"/>
      <c r="AU10" s="381"/>
      <c r="AV10" s="382"/>
      <c r="AW10" s="1104" t="s">
        <v>17</v>
      </c>
      <c r="AX10" s="767"/>
      <c r="AY10" s="767"/>
      <c r="AZ10" s="768"/>
      <c r="BA10" s="384"/>
      <c r="BB10" s="560"/>
      <c r="BC10" s="560"/>
      <c r="BD10" s="560"/>
      <c r="BE10" s="560"/>
      <c r="BF10" s="560"/>
      <c r="BG10" s="560"/>
      <c r="BH10" s="560"/>
      <c r="BI10" s="560"/>
      <c r="BJ10" s="560"/>
      <c r="BK10" s="562"/>
      <c r="BL10" s="1163" t="s">
        <v>36</v>
      </c>
      <c r="BM10" s="767"/>
      <c r="BN10" s="767"/>
      <c r="BO10" s="768"/>
      <c r="BP10" s="400"/>
      <c r="BQ10" s="381"/>
      <c r="BR10" s="381"/>
      <c r="BS10" s="381"/>
      <c r="BT10" s="382"/>
      <c r="BU10" s="1104" t="s">
        <v>17</v>
      </c>
      <c r="BV10" s="767"/>
      <c r="BW10" s="767"/>
      <c r="BX10" s="767"/>
      <c r="BY10" s="291">
        <v>0</v>
      </c>
      <c r="BZ10" s="291">
        <f>IF(SUM($BY10:BY10)=SUM(DemigodConversion!$G26:$L26),0,IF(AND(F10=0,AD10=0,BB10=0,DemigodConversion!$E26+DemigodConversion!$G26+DemigodConversion!$I26&gt;BY$5),1,0))</f>
        <v>0</v>
      </c>
      <c r="CA10" s="291">
        <f>IF(SUM($BY10:BZ10)=SUM(DemigodConversion!$G26:$L26),0,IF(AND(G10=0,AE10=0,BC10=0,DemigodConversion!$E26+DemigodConversion!$G26+DemigodConversion!$I26&gt;BZ$5),1,0))</f>
        <v>0</v>
      </c>
      <c r="CB10" s="291">
        <f>IF(SUM($BY10:CA10)=SUM(DemigodConversion!$G26:$L26),0,IF(AND(H10=0,AF10=0,BD10=0,DemigodConversion!$E26+DemigodConversion!$G26+DemigodConversion!$I26&gt;CA$5),1,0))</f>
        <v>0</v>
      </c>
      <c r="CC10" s="291">
        <f>IF(SUM($BY10:CB10)=SUM(DemigodConversion!$G26:$L26),0,IF(AND(I10=0,AG10=0,BE10=0,DemigodConversion!$E26+DemigodConversion!$G26+DemigodConversion!$I26&gt;CB$5),1,0))</f>
        <v>0</v>
      </c>
      <c r="CD10" s="291">
        <f>IF(SUM($BY10:CC10)=SUM(DemigodConversion!$G26:$L26),0,IF(AND(J10=0,AH10=0,BF10=0,DemigodConversion!$E26+DemigodConversion!$G26+DemigodConversion!$I26&gt;CC$5),1,0))</f>
        <v>0</v>
      </c>
      <c r="CE10" s="291">
        <f>IF(SUM($BY10:CD10)=SUM(DemigodConversion!$G26:$L26),0,IF(AND(K10=0,AI10=0,BG10=0,DemigodConversion!$E26+DemigodConversion!$G26+DemigodConversion!$I26&gt;CD$5),1,0))</f>
        <v>0</v>
      </c>
      <c r="CF10" s="291">
        <f>IF(SUM($BY10:CE10)=SUM(DemigodConversion!$G26:$L26),0,IF(AND(L10=0,AJ10=0,BH10=0,DemigodConversion!$E26+DemigodConversion!$G26+DemigodConversion!$I26&gt;CE$5),1,0))</f>
        <v>0</v>
      </c>
      <c r="CG10" s="291">
        <f>IF(SUM($BY10:CF10)=SUM(DemigodConversion!$G26:$L26),0,IF(AND(M10=0,AK10=0,BI10=0,DemigodConversion!$E26+DemigodConversion!$G26+DemigodConversion!$I26&gt;CF$5),1,0))</f>
        <v>0</v>
      </c>
      <c r="CH10" s="291">
        <f>IF(SUM($BY10:CG10)=SUM(DemigodConversion!$G26:$L26),0,IF(AND(N10=0,AL10=0,BJ10=0,DemigodConversion!$E26+DemigodConversion!$G26+DemigodConversion!$I26&gt;CG$5),1,0))</f>
        <v>0</v>
      </c>
      <c r="CI10" s="376">
        <f>IF(SUM($BY10:CH10)=SUM(DemigodConversion!$G26:$L26),0,IF(AND(O10=0,AM10=0,BK10=0,DemigodConversion!$E26+DemigodConversion!$G26+DemigodConversion!$I26&gt;CH$5),1,0))</f>
        <v>0</v>
      </c>
      <c r="CJ10" s="1163" t="s">
        <v>36</v>
      </c>
      <c r="CK10" s="767"/>
      <c r="CL10" s="767"/>
      <c r="CM10" s="767"/>
      <c r="CN10" s="291">
        <f>IF(AND(T10=0,AR10=0,BP10=0,FB8=0,FK8=0,FT8=0,GC8=0,ES8=0,DemigodConversion!$AC5+DemigodConversion!$AF5&gt;0),1,0)</f>
        <v>0</v>
      </c>
      <c r="CO10" s="291">
        <f>IF(AND(U10=0,AS10=0,BQ10=0,FC8=0,FL8=0,FU8=0,GD8=0,ET8=0,DemigodConversion!$AC5+DemigodConversion!$AF5&gt;1),1,0)</f>
        <v>0</v>
      </c>
      <c r="CP10" s="291">
        <f>IF(AND(V10=0,AT10=0,BR10=0,FD8=0,FM8=0,FV8=0,GE8=0,EU8=0,DemigodConversion!$AC5+DemigodConversion!$AF5&gt;2),1,0)</f>
        <v>0</v>
      </c>
      <c r="CQ10" s="291">
        <f>IF(AND(W10=0,AU10=0,BS10=0,FE8=0,FN8=0,FW8=0,GF8=0,EV8=0,DemigodConversion!$AC5+DemigodConversion!$AF5&gt;3),1,0)</f>
        <v>0</v>
      </c>
      <c r="CR10" s="291">
        <f>IF(AND(X10=0,AV10=0,BT10=0,FF8=0,FO8=0,FX8=0,GG8=0,EW8=0,DemigodConversion!$AC5+DemigodConversion!$AF5&gt;4),1,0)</f>
        <v>0</v>
      </c>
      <c r="CS10" s="1104" t="s">
        <v>17</v>
      </c>
      <c r="CT10" s="767"/>
      <c r="CU10" s="767"/>
      <c r="CV10" s="767"/>
      <c r="CW10" s="291">
        <v>0</v>
      </c>
      <c r="CX10" s="291">
        <f>IF(AND(F10=0,AD10=0,BB10=0,BZ10=0,CW$5&lt;SUM(GodConversion!$E26:$L26)),1,0)</f>
        <v>0</v>
      </c>
      <c r="CY10" s="291">
        <f>IF(AND(G10=0,AE10=0,BC10=0,CA10=0,CX$5&lt;SUM(GodConversion!$E26:$L26)),1,0)</f>
        <v>0</v>
      </c>
      <c r="CZ10" s="291">
        <f>IF(AND(H10=0,AF10=0,BD10=0,CB10=0,CY$5&lt;SUM(GodConversion!$E26:$L26)),1,0)</f>
        <v>0</v>
      </c>
      <c r="DA10" s="291">
        <f>IF(AND(I10=0,AG10=0,BE10=0,CC10=0,CZ$5&lt;SUM(GodConversion!$E26:$L26)),1,0)</f>
        <v>0</v>
      </c>
      <c r="DB10" s="291">
        <f>IF(AND(J10=0,AH10=0,BF10=0,CD10=0,DA$5&lt;SUM(GodConversion!$E26:$L26)),1,0)</f>
        <v>0</v>
      </c>
      <c r="DC10" s="291">
        <f>IF(AND(K10=0,AI10=0,BG10=0,CE10=0,DB$5&lt;SUM(GodConversion!$E26:$L26)),1,0)</f>
        <v>0</v>
      </c>
      <c r="DD10" s="291">
        <f>IF(AND(L10=0,AJ10=0,BH10=0,CF10=0,DC$5&lt;SUM(GodConversion!$E26:$L26)),1,0)</f>
        <v>0</v>
      </c>
      <c r="DE10" s="291">
        <f>IF(AND(M10=0,AK10=0,BI10=0,CG10=0,DD$5&lt;SUM(GodConversion!$E26:$L26)),1,0)</f>
        <v>0</v>
      </c>
      <c r="DF10" s="291">
        <f>IF(AND(N10=0,AL10=0,BJ10=0,CH10=0,DE$5&lt;SUM(GodConversion!$E26:$L26)),1,0)</f>
        <v>0</v>
      </c>
      <c r="DG10" s="291">
        <f>IF(AND(O10=0,AM10=0,BK10=0,CI10=0,DF$5&lt;SUM(GodConversion!$E26:$L26)),1,0)</f>
        <v>0</v>
      </c>
      <c r="DH10" s="1163" t="s">
        <v>36</v>
      </c>
      <c r="DI10" s="767"/>
      <c r="DJ10" s="767"/>
      <c r="DK10" s="767"/>
      <c r="DL10" s="291">
        <f>IF(AND(T10=0,AR10=0,BP10=0,ES8=0,FB8=0,FK8=0,FT8=0,GC8=0,CN10=0,0&lt;GodConversion!$AC5+GodConversion!$AF5),1,0)</f>
        <v>0</v>
      </c>
      <c r="DM10" s="291">
        <f>IF(AND(U10=0,AS10=0,BQ10=0,ET8=0,FC8=0,FL8=0,FU8=0,GD8=0,CO10=0,1&lt;GodConversion!$AC5+GodConversion!$AF5),1,0)</f>
        <v>0</v>
      </c>
      <c r="DN10" s="291">
        <f>IF(AND(V10=0,AT10=0,BR10=0,EU8=0,FD8=0,FM8=0,FV8=0,GE8=0,CP10=0,2&lt;GodConversion!$AC5+GodConversion!$AF5),1,0)</f>
        <v>0</v>
      </c>
      <c r="DO10" s="291">
        <f>IF(AND(W10=0,AU10=0,BS10=0,EV8=0,FE8=0,FN8=0,FW8=0,GF8=0,CQ10=0,3&lt;GodConversion!$AC5+GodConversion!$AF5),1,0)</f>
        <v>0</v>
      </c>
      <c r="DP10" s="291">
        <f>IF(AND(X10=0,AV10=0,BT10=0,EW8=0,FF8=0,FO8=0,FX8=0,GG8=0,CR10=0,4&lt;GodConversion!$AC5+GodConversion!$AF5),1,0)</f>
        <v>0</v>
      </c>
      <c r="DQ10" s="1163" t="s">
        <v>17</v>
      </c>
      <c r="DR10" s="767"/>
      <c r="DS10" s="767"/>
      <c r="DT10" s="767"/>
      <c r="DU10" s="291">
        <v>0</v>
      </c>
      <c r="DV10" s="291">
        <f t="shared" ref="DV10:EE10" si="10">IF(AD10=1,DU$5*4,0)</f>
        <v>0</v>
      </c>
      <c r="DW10" s="291">
        <f t="shared" si="10"/>
        <v>0</v>
      </c>
      <c r="DX10" s="291">
        <f t="shared" si="10"/>
        <v>0</v>
      </c>
      <c r="DY10" s="291">
        <f t="shared" si="10"/>
        <v>0</v>
      </c>
      <c r="DZ10" s="291">
        <f t="shared" si="10"/>
        <v>0</v>
      </c>
      <c r="EA10" s="291">
        <f t="shared" si="10"/>
        <v>0</v>
      </c>
      <c r="EB10" s="291">
        <f t="shared" si="10"/>
        <v>0</v>
      </c>
      <c r="EC10" s="291">
        <f t="shared" si="10"/>
        <v>0</v>
      </c>
      <c r="ED10" s="291">
        <f t="shared" si="10"/>
        <v>0</v>
      </c>
      <c r="EE10" s="292">
        <f t="shared" si="10"/>
        <v>0</v>
      </c>
      <c r="EF10" s="1163" t="s">
        <v>36</v>
      </c>
      <c r="EG10" s="767"/>
      <c r="EH10" s="767"/>
      <c r="EI10" s="767"/>
      <c r="EJ10" s="291">
        <f t="shared" ref="EJ10:EJ28" si="11">IF(AR10=1,3,IF(ES8=1,1,IF(FB8=1,1,IF(FK8=1,1,IF(FT8=1,1,IF(GC8=1,1,0))))))</f>
        <v>0</v>
      </c>
      <c r="EK10" s="291">
        <f t="shared" ref="EK10:EK38" si="12">IF(AS10=1,IF(LOOKUP($EF10,$GK$7:$GK$30,$GL$7:$GL$30)=1,1,2),IF(OR(ET8=1,FC8=1,FL8=1),IF(LOOKUP($EF10,$GK$7:$GK$30,$GL$7:$GL$30)=1,1,1),IF(OR(FU8=1,GD8=1),IF(LOOKUP($EF10,$GK$7:$GK$30,$GL$7:$GL$30)=1,1,1),0)))</f>
        <v>0</v>
      </c>
      <c r="EL10" s="291">
        <f t="shared" ref="EL10:EL38" si="13">IF(AT10=1,IF(LOOKUP($EF10,$GK$7:$GK$30,$GL$7:$GL$30)=1,3,4),IF(OR(EU8=1,FD8=1,FM8=1),IF(LOOKUP($EF10,$GK$7:$GK$30,$GL$7:$GL$30)=1,1,2),IF(OR(FV8=1,GE8=1),IF(LOOKUP($EF10,$GK$7:$GK$30,$GL$7:$GL$30)=1,1,1),0)))</f>
        <v>0</v>
      </c>
      <c r="EM10" s="291">
        <f t="shared" ref="EM10:EM38" si="14">IF(AU10=1,IF(LOOKUP($EF10,$GK$7:$GK$30,$GL$7:$GL$30)=1,5,6),IF(OR(EV8=1,FE8=1,FN8=1),IF(LOOKUP($EF10,$GK$7:$GK$30,$GL$7:$GL$30)=1,2,3),IF(OR(FW8=1,GF8=1),IF(LOOKUP($EF10,$GK$7:$GK$30,$GL$7:$GL$30)=1,1,1),0)))</f>
        <v>0</v>
      </c>
      <c r="EN10" s="291">
        <f t="shared" ref="EN10:EN38" si="15">IF(AV10=1,IF(LOOKUP($EF10,$GK$7:$GK$30,$GL$7:$GL$30)=1,7,8),IF(OR(EW8=1,FF8=1,FO8=1),IF(LOOKUP($EF10,$GK$7:$GK$30,$GL$7:$GL$30)=1,3,4),IF(OR(FX8=1,GG8=1),IF(LOOKUP($EF10,$GK$7:$GK$30,$GL$7:$GL$30)=1,1,2),0)))</f>
        <v>0</v>
      </c>
      <c r="EO10" s="1164" t="s">
        <v>38</v>
      </c>
      <c r="EP10" s="1165"/>
      <c r="EQ10" s="1165"/>
      <c r="ER10" s="1166"/>
      <c r="ES10" s="398"/>
      <c r="ET10" s="399"/>
      <c r="EU10" s="381"/>
      <c r="EV10" s="381"/>
      <c r="EW10" s="381"/>
      <c r="EX10" s="1113" t="s">
        <v>38</v>
      </c>
      <c r="EY10" s="1114"/>
      <c r="EZ10" s="1114"/>
      <c r="FA10" s="1117"/>
      <c r="FB10" s="393"/>
      <c r="FC10" s="394"/>
      <c r="FD10" s="394"/>
      <c r="FE10" s="394"/>
      <c r="FF10" s="395"/>
      <c r="FG10" s="1123" t="s">
        <v>38</v>
      </c>
      <c r="FH10" s="1114"/>
      <c r="FI10" s="1114"/>
      <c r="FJ10" s="1115"/>
      <c r="FK10" s="515"/>
      <c r="FL10" s="516"/>
      <c r="FM10" s="516"/>
      <c r="FN10" s="516"/>
      <c r="FO10" s="517"/>
      <c r="FP10" s="1113" t="s">
        <v>38</v>
      </c>
      <c r="FQ10" s="1114"/>
      <c r="FR10" s="1114"/>
      <c r="FS10" s="1117"/>
      <c r="FT10" s="393"/>
      <c r="FU10" s="394"/>
      <c r="FV10" s="394"/>
      <c r="FW10" s="394"/>
      <c r="FX10" s="395"/>
      <c r="FY10" s="1113" t="s">
        <v>38</v>
      </c>
      <c r="FZ10" s="1114"/>
      <c r="GA10" s="1114"/>
      <c r="GB10" s="1115"/>
      <c r="GC10" s="515"/>
      <c r="GD10" s="516"/>
      <c r="GE10" s="516"/>
      <c r="GF10" s="516"/>
      <c r="GG10" s="517"/>
      <c r="GK10" s="396" t="s">
        <v>38</v>
      </c>
      <c r="GL10" s="396">
        <f t="shared" si="8"/>
        <v>0</v>
      </c>
      <c r="GM10" s="396">
        <f>IF($GK10=Creation!$Q$28,1,0)</f>
        <v>0</v>
      </c>
      <c r="GN10" s="396">
        <f>IF($GK10=Creation!$Q$29,1,0)</f>
        <v>0</v>
      </c>
      <c r="GO10" s="396">
        <f>IF($GK10=Creation!$Q$30,1,0)</f>
        <v>0</v>
      </c>
      <c r="GP10" s="396">
        <f>IF($GK10=Creation!$Q$31,1,0)</f>
        <v>0</v>
      </c>
      <c r="GQ10" s="396">
        <f>IF($GK10=Creation!$Q$32,1,0)</f>
        <v>0</v>
      </c>
      <c r="GR10" s="396">
        <f>IF($GK10=Creation!$Q$33,1,0)</f>
        <v>0</v>
      </c>
    </row>
    <row r="11" spans="1:200" x14ac:dyDescent="0.25">
      <c r="A11" s="1163" t="s">
        <v>18</v>
      </c>
      <c r="B11" s="767"/>
      <c r="C11" s="767"/>
      <c r="D11" s="767"/>
      <c r="E11" s="291">
        <v>1</v>
      </c>
      <c r="F11" s="291">
        <f>IF(Creation!$E$27+Creation!$I$27&gt;E$5,1,0)</f>
        <v>0</v>
      </c>
      <c r="G11" s="291">
        <f>IF(Creation!$E$27+Creation!$I$27&gt;F$5,1,0)</f>
        <v>0</v>
      </c>
      <c r="H11" s="291">
        <f>IF(Creation!$E$27+Creation!$I$27&gt;G$5,1,0)</f>
        <v>0</v>
      </c>
      <c r="I11" s="291">
        <f>IF(Creation!$E$27+Creation!$I$27&gt;H$5,1,0)</f>
        <v>0</v>
      </c>
      <c r="J11" s="291">
        <f>IF(Creation!$E$27+Creation!$I$27&gt;I$5,1,0)</f>
        <v>0</v>
      </c>
      <c r="K11" s="291">
        <f>IF(Creation!$E$27+Creation!$I$27&gt;J$5,1,0)</f>
        <v>0</v>
      </c>
      <c r="L11" s="291">
        <f>IF(Creation!$E$27+Creation!$I$27&gt;K$5,1,0)</f>
        <v>0</v>
      </c>
      <c r="M11" s="291">
        <f>IF(Creation!$E$27+Creation!$I$27&gt;L$5,1,0)</f>
        <v>0</v>
      </c>
      <c r="N11" s="291">
        <f>IF(Creation!$E$27+Creation!$I$27&gt;M$5,1,0)</f>
        <v>0</v>
      </c>
      <c r="O11" s="292">
        <f>IF(Creation!$E$27+Creation!$I$27&gt;N$5,1,0)</f>
        <v>0</v>
      </c>
      <c r="P11" s="1163" t="s">
        <v>37</v>
      </c>
      <c r="Q11" s="767"/>
      <c r="R11" s="767"/>
      <c r="S11" s="767"/>
      <c r="T11" s="291">
        <f>IF(Creation!AC6+Creation!AF6&gt;0,1,0)</f>
        <v>0</v>
      </c>
      <c r="U11" s="291">
        <f>IF(Creation!AC6+Creation!AF6&gt;1,1,0)</f>
        <v>0</v>
      </c>
      <c r="V11" s="291">
        <f>IF(Creation!AC6+Creation!AF6&gt;2,1,0)</f>
        <v>0</v>
      </c>
      <c r="W11" s="291">
        <f>IF(Creation!AC6+Creation!AF6&gt;3,1,0)</f>
        <v>0</v>
      </c>
      <c r="X11" s="376">
        <f>IF(Creation!AC6+Creation!AF6&gt;4,1,0)</f>
        <v>0</v>
      </c>
      <c r="Y11" s="1163" t="s">
        <v>18</v>
      </c>
      <c r="Z11" s="767"/>
      <c r="AA11" s="767"/>
      <c r="AB11" s="768"/>
      <c r="AC11" s="380"/>
      <c r="AD11" s="381"/>
      <c r="AE11" s="381"/>
      <c r="AF11" s="381"/>
      <c r="AG11" s="381"/>
      <c r="AH11" s="381"/>
      <c r="AI11" s="381"/>
      <c r="AJ11" s="381"/>
      <c r="AK11" s="381"/>
      <c r="AL11" s="381"/>
      <c r="AM11" s="382"/>
      <c r="AN11" s="1163" t="s">
        <v>37</v>
      </c>
      <c r="AO11" s="767"/>
      <c r="AP11" s="767"/>
      <c r="AQ11" s="768"/>
      <c r="AR11" s="392"/>
      <c r="AS11" s="381"/>
      <c r="AT11" s="381"/>
      <c r="AU11" s="381"/>
      <c r="AV11" s="382"/>
      <c r="AW11" s="1104" t="s">
        <v>18</v>
      </c>
      <c r="AX11" s="767"/>
      <c r="AY11" s="767"/>
      <c r="AZ11" s="768"/>
      <c r="BA11" s="384"/>
      <c r="BB11" s="560"/>
      <c r="BC11" s="560"/>
      <c r="BD11" s="560"/>
      <c r="BE11" s="560"/>
      <c r="BF11" s="560"/>
      <c r="BG11" s="560"/>
      <c r="BH11" s="560"/>
      <c r="BI11" s="560"/>
      <c r="BJ11" s="560"/>
      <c r="BK11" s="562"/>
      <c r="BL11" s="1163" t="s">
        <v>37</v>
      </c>
      <c r="BM11" s="767"/>
      <c r="BN11" s="767"/>
      <c r="BO11" s="768"/>
      <c r="BP11" s="400"/>
      <c r="BQ11" s="381"/>
      <c r="BR11" s="381"/>
      <c r="BS11" s="381"/>
      <c r="BT11" s="382"/>
      <c r="BU11" s="1104" t="s">
        <v>18</v>
      </c>
      <c r="BV11" s="767"/>
      <c r="BW11" s="767"/>
      <c r="BX11" s="767"/>
      <c r="BY11" s="291">
        <v>0</v>
      </c>
      <c r="BZ11" s="291">
        <f>IF(SUM($BY11:BY11)=SUM(DemigodConversion!$G27:$L27),0,IF(AND(F11=0,AD11=0,BB11=0,DemigodConversion!$E27+DemigodConversion!$G27+DemigodConversion!$I27&gt;BY$5),1,0))</f>
        <v>0</v>
      </c>
      <c r="CA11" s="291">
        <f>IF(SUM($BY11:BZ11)=SUM(DemigodConversion!$G27:$L27),0,IF(AND(G11=0,AE11=0,BC11=0,DemigodConversion!$E27+DemigodConversion!$G27+DemigodConversion!$I27&gt;BZ$5),1,0))</f>
        <v>0</v>
      </c>
      <c r="CB11" s="291">
        <f>IF(SUM($BY11:CA11)=SUM(DemigodConversion!$G27:$L27),0,IF(AND(H11=0,AF11=0,BD11=0,DemigodConversion!$E27+DemigodConversion!$G27+DemigodConversion!$I27&gt;CA$5),1,0))</f>
        <v>0</v>
      </c>
      <c r="CC11" s="291">
        <f>IF(SUM($BY11:CB11)=SUM(DemigodConversion!$G27:$L27),0,IF(AND(I11=0,AG11=0,BE11=0,DemigodConversion!$E27+DemigodConversion!$G27+DemigodConversion!$I27&gt;CB$5),1,0))</f>
        <v>0</v>
      </c>
      <c r="CD11" s="291">
        <f>IF(SUM($BY11:CC11)=SUM(DemigodConversion!$G27:$L27),0,IF(AND(J11=0,AH11=0,BF11=0,DemigodConversion!$E27+DemigodConversion!$G27+DemigodConversion!$I27&gt;CC$5),1,0))</f>
        <v>0</v>
      </c>
      <c r="CE11" s="291">
        <f>IF(SUM($BY11:CD11)=SUM(DemigodConversion!$G27:$L27),0,IF(AND(K11=0,AI11=0,BG11=0,DemigodConversion!$E27+DemigodConversion!$G27+DemigodConversion!$I27&gt;CD$5),1,0))</f>
        <v>0</v>
      </c>
      <c r="CF11" s="291">
        <f>IF(SUM($BY11:CE11)=SUM(DemigodConversion!$G27:$L27),0,IF(AND(L11=0,AJ11=0,BH11=0,DemigodConversion!$E27+DemigodConversion!$G27+DemigodConversion!$I27&gt;CE$5),1,0))</f>
        <v>0</v>
      </c>
      <c r="CG11" s="291">
        <f>IF(SUM($BY11:CF11)=SUM(DemigodConversion!$G27:$L27),0,IF(AND(M11=0,AK11=0,BI11=0,DemigodConversion!$E27+DemigodConversion!$G27+DemigodConversion!$I27&gt;CF$5),1,0))</f>
        <v>0</v>
      </c>
      <c r="CH11" s="291">
        <f>IF(SUM($BY11:CG11)=SUM(DemigodConversion!$G27:$L27),0,IF(AND(N11=0,AL11=0,BJ11=0,DemigodConversion!$E27+DemigodConversion!$G27+DemigodConversion!$I27&gt;CG$5),1,0))</f>
        <v>0</v>
      </c>
      <c r="CI11" s="376">
        <f>IF(SUM($BY11:CH11)=SUM(DemigodConversion!$G27:$L27),0,IF(AND(O11=0,AM11=0,BK11=0,DemigodConversion!$E27+DemigodConversion!$G27+DemigodConversion!$I27&gt;CH$5),1,0))</f>
        <v>0</v>
      </c>
      <c r="CJ11" s="1163" t="s">
        <v>37</v>
      </c>
      <c r="CK11" s="767"/>
      <c r="CL11" s="767"/>
      <c r="CM11" s="767"/>
      <c r="CN11" s="291">
        <f>IF(AND(T11=0,AR11=0,BP11=0,FB9=0,FK9=0,FT9=0,GC9=0,ES9=0,DemigodConversion!$AC6+DemigodConversion!$AF6&gt;0),1,0)</f>
        <v>0</v>
      </c>
      <c r="CO11" s="291">
        <f>IF(AND(U11=0,AS11=0,BQ11=0,FC9=0,FL9=0,FU9=0,GD9=0,ET9=0,DemigodConversion!$AC6+DemigodConversion!$AF6&gt;1),1,0)</f>
        <v>0</v>
      </c>
      <c r="CP11" s="291">
        <f>IF(AND(V11=0,AT11=0,BR11=0,FD9=0,FM9=0,FV9=0,GE9=0,EU9=0,DemigodConversion!$AC6+DemigodConversion!$AF6&gt;2),1,0)</f>
        <v>0</v>
      </c>
      <c r="CQ11" s="291">
        <f>IF(AND(W11=0,AU11=0,BS11=0,FE9=0,FN9=0,FW9=0,GF9=0,EV9=0,DemigodConversion!$AC6+DemigodConversion!$AF6&gt;3),1,0)</f>
        <v>0</v>
      </c>
      <c r="CR11" s="291">
        <f>IF(AND(X11=0,AV11=0,BT11=0,FF9=0,FO9=0,FX9=0,GG9=0,EW9=0,DemigodConversion!$AC6+DemigodConversion!$AF6&gt;4),1,0)</f>
        <v>0</v>
      </c>
      <c r="CS11" s="1104" t="s">
        <v>18</v>
      </c>
      <c r="CT11" s="767"/>
      <c r="CU11" s="767"/>
      <c r="CV11" s="767"/>
      <c r="CW11" s="291">
        <v>0</v>
      </c>
      <c r="CX11" s="291">
        <f>IF(AND(F11=0,AD11=0,BB11=0,BZ11=0,CW$5&lt;SUM(GodConversion!$E27:$L27)),1,0)</f>
        <v>0</v>
      </c>
      <c r="CY11" s="291">
        <f>IF(AND(G11=0,AE11=0,BC11=0,CA11=0,CX$5&lt;SUM(GodConversion!$E27:$L27)),1,0)</f>
        <v>0</v>
      </c>
      <c r="CZ11" s="291">
        <f>IF(AND(H11=0,AF11=0,BD11=0,CB11=0,CY$5&lt;SUM(GodConversion!$E27:$L27)),1,0)</f>
        <v>0</v>
      </c>
      <c r="DA11" s="291">
        <f>IF(AND(I11=0,AG11=0,BE11=0,CC11=0,CZ$5&lt;SUM(GodConversion!$E27:$L27)),1,0)</f>
        <v>0</v>
      </c>
      <c r="DB11" s="291">
        <f>IF(AND(J11=0,AH11=0,BF11=0,CD11=0,DA$5&lt;SUM(GodConversion!$E27:$L27)),1,0)</f>
        <v>0</v>
      </c>
      <c r="DC11" s="291">
        <f>IF(AND(K11=0,AI11=0,BG11=0,CE11=0,DB$5&lt;SUM(GodConversion!$E27:$L27)),1,0)</f>
        <v>0</v>
      </c>
      <c r="DD11" s="291">
        <f>IF(AND(L11=0,AJ11=0,BH11=0,CF11=0,DC$5&lt;SUM(GodConversion!$E27:$L27)),1,0)</f>
        <v>0</v>
      </c>
      <c r="DE11" s="291">
        <f>IF(AND(M11=0,AK11=0,BI11=0,CG11=0,DD$5&lt;SUM(GodConversion!$E27:$L27)),1,0)</f>
        <v>0</v>
      </c>
      <c r="DF11" s="291">
        <f>IF(AND(N11=0,AL11=0,BJ11=0,CH11=0,DE$5&lt;SUM(GodConversion!$E27:$L27)),1,0)</f>
        <v>0</v>
      </c>
      <c r="DG11" s="291">
        <f>IF(AND(O11=0,AM11=0,BK11=0,CI11=0,DF$5&lt;SUM(GodConversion!$E27:$L27)),1,0)</f>
        <v>0</v>
      </c>
      <c r="DH11" s="1163" t="s">
        <v>37</v>
      </c>
      <c r="DI11" s="767"/>
      <c r="DJ11" s="767"/>
      <c r="DK11" s="767"/>
      <c r="DL11" s="291">
        <f>IF(AND(T11=0,AR11=0,BP11=0,ES9=0,FB9=0,FK9=0,FT9=0,GC9=0,CN11=0,0&lt;GodConversion!$AC6+GodConversion!$AF6),1,0)</f>
        <v>0</v>
      </c>
      <c r="DM11" s="291">
        <f>IF(AND(U11=0,AS11=0,BQ11=0,ET9=0,FC9=0,FL9=0,FU9=0,GD9=0,CO11=0,1&lt;GodConversion!$AC6+GodConversion!$AF6),1,0)</f>
        <v>0</v>
      </c>
      <c r="DN11" s="291">
        <f>IF(AND(V11=0,AT11=0,BR11=0,EU9=0,FD9=0,FM9=0,FV9=0,GE9=0,CP11=0,2&lt;GodConversion!$AC6+GodConversion!$AF6),1,0)</f>
        <v>0</v>
      </c>
      <c r="DO11" s="291">
        <f>IF(AND(W11=0,AU11=0,BS11=0,EV9=0,FE9=0,FN9=0,FW9=0,GF9=0,CQ11=0,3&lt;GodConversion!$AC6+GodConversion!$AF6),1,0)</f>
        <v>0</v>
      </c>
      <c r="DP11" s="291">
        <f>IF(AND(X11=0,AV11=0,BT11=0,EW9=0,FF9=0,FO9=0,FX9=0,GG9=0,CR11=0,4&lt;GodConversion!$AC6+GodConversion!$AF6),1,0)</f>
        <v>0</v>
      </c>
      <c r="DQ11" s="1163" t="s">
        <v>18</v>
      </c>
      <c r="DR11" s="767"/>
      <c r="DS11" s="767"/>
      <c r="DT11" s="767"/>
      <c r="DU11" s="291">
        <v>0</v>
      </c>
      <c r="DV11" s="291">
        <f t="shared" ref="DV11:EE11" si="16">IF(AD11=1,DU$5*4,0)</f>
        <v>0</v>
      </c>
      <c r="DW11" s="291">
        <f t="shared" si="16"/>
        <v>0</v>
      </c>
      <c r="DX11" s="291">
        <f t="shared" si="16"/>
        <v>0</v>
      </c>
      <c r="DY11" s="291">
        <f t="shared" si="16"/>
        <v>0</v>
      </c>
      <c r="DZ11" s="291">
        <f t="shared" si="16"/>
        <v>0</v>
      </c>
      <c r="EA11" s="291">
        <f>IF(AI11=1,DZ$5*4,0)</f>
        <v>0</v>
      </c>
      <c r="EB11" s="291">
        <f t="shared" si="16"/>
        <v>0</v>
      </c>
      <c r="EC11" s="291">
        <f t="shared" si="16"/>
        <v>0</v>
      </c>
      <c r="ED11" s="291">
        <f t="shared" si="16"/>
        <v>0</v>
      </c>
      <c r="EE11" s="292">
        <f t="shared" si="16"/>
        <v>0</v>
      </c>
      <c r="EF11" s="1163" t="s">
        <v>37</v>
      </c>
      <c r="EG11" s="767"/>
      <c r="EH11" s="767"/>
      <c r="EI11" s="767"/>
      <c r="EJ11" s="291">
        <f t="shared" si="11"/>
        <v>0</v>
      </c>
      <c r="EK11" s="291">
        <f t="shared" si="12"/>
        <v>0</v>
      </c>
      <c r="EL11" s="291">
        <f t="shared" si="13"/>
        <v>0</v>
      </c>
      <c r="EM11" s="291">
        <f t="shared" si="14"/>
        <v>0</v>
      </c>
      <c r="EN11" s="291">
        <f t="shared" si="15"/>
        <v>0</v>
      </c>
      <c r="EO11" s="1164" t="s">
        <v>39</v>
      </c>
      <c r="EP11" s="1165"/>
      <c r="EQ11" s="1165"/>
      <c r="ER11" s="1166"/>
      <c r="ES11" s="398"/>
      <c r="ET11" s="399"/>
      <c r="EU11" s="381"/>
      <c r="EV11" s="381"/>
      <c r="EW11" s="381"/>
      <c r="EX11" s="1118" t="s">
        <v>39</v>
      </c>
      <c r="EY11" s="964"/>
      <c r="EZ11" s="964"/>
      <c r="FA11" s="1119"/>
      <c r="FB11" s="503"/>
      <c r="FC11" s="504"/>
      <c r="FD11" s="504"/>
      <c r="FE11" s="504"/>
      <c r="FF11" s="505"/>
      <c r="FG11" s="1123" t="s">
        <v>39</v>
      </c>
      <c r="FH11" s="1114"/>
      <c r="FI11" s="1114"/>
      <c r="FJ11" s="1115"/>
      <c r="FK11" s="515"/>
      <c r="FL11" s="516"/>
      <c r="FM11" s="516"/>
      <c r="FN11" s="516"/>
      <c r="FO11" s="517"/>
      <c r="FP11" s="1118" t="s">
        <v>39</v>
      </c>
      <c r="FQ11" s="964"/>
      <c r="FR11" s="964"/>
      <c r="FS11" s="1119"/>
      <c r="FT11" s="503"/>
      <c r="FU11" s="504"/>
      <c r="FV11" s="504"/>
      <c r="FW11" s="504"/>
      <c r="FX11" s="505"/>
      <c r="FY11" s="1113" t="s">
        <v>39</v>
      </c>
      <c r="FZ11" s="1114"/>
      <c r="GA11" s="1114"/>
      <c r="GB11" s="1115"/>
      <c r="GC11" s="515"/>
      <c r="GD11" s="516"/>
      <c r="GE11" s="516"/>
      <c r="GF11" s="516"/>
      <c r="GG11" s="517"/>
      <c r="GK11" s="396" t="s">
        <v>39</v>
      </c>
      <c r="GL11" s="396">
        <f t="shared" si="8"/>
        <v>0</v>
      </c>
      <c r="GM11" s="396">
        <f>IF($GK11=Creation!$Q$28,1,0)</f>
        <v>0</v>
      </c>
      <c r="GN11" s="396">
        <f>IF($GK11=Creation!$Q$29,1,0)</f>
        <v>0</v>
      </c>
      <c r="GO11" s="396">
        <f>IF($GK11=Creation!$Q$30,1,0)</f>
        <v>0</v>
      </c>
      <c r="GP11" s="396">
        <f>IF($GK11=Creation!$Q$31,1,0)</f>
        <v>0</v>
      </c>
      <c r="GQ11" s="396">
        <f>IF($GK11=Creation!$Q$32,1,0)</f>
        <v>0</v>
      </c>
      <c r="GR11" s="396">
        <f>IF($GK11=Creation!$Q$33,1,0)</f>
        <v>0</v>
      </c>
    </row>
    <row r="12" spans="1:200" x14ac:dyDescent="0.25">
      <c r="A12" s="1163" t="s">
        <v>19</v>
      </c>
      <c r="B12" s="767"/>
      <c r="C12" s="767"/>
      <c r="D12" s="767"/>
      <c r="E12" s="291">
        <v>1</v>
      </c>
      <c r="F12" s="291">
        <f>IF(Creation!$E$31+Creation!$I$31&gt;E$5,1,0)</f>
        <v>0</v>
      </c>
      <c r="G12" s="291">
        <f>IF(Creation!$E$31+Creation!$I$31&gt;F$5,1,0)</f>
        <v>0</v>
      </c>
      <c r="H12" s="291">
        <f>IF(Creation!$E$31+Creation!$I$31&gt;G$5,1,0)</f>
        <v>0</v>
      </c>
      <c r="I12" s="291">
        <f>IF(Creation!$E$31+Creation!$I$31&gt;H$5,1,0)</f>
        <v>0</v>
      </c>
      <c r="J12" s="291">
        <f>IF(Creation!$E$31+Creation!$I$31&gt;I$5,1,0)</f>
        <v>0</v>
      </c>
      <c r="K12" s="291">
        <f>IF(Creation!$E$31+Creation!$I$31&gt;J$5,1,0)</f>
        <v>0</v>
      </c>
      <c r="L12" s="291">
        <f>IF(Creation!$E$31+Creation!$I$31&gt;K$5,1,0)</f>
        <v>0</v>
      </c>
      <c r="M12" s="291">
        <f>IF(Creation!$E$31+Creation!$I$31&gt;L$5,1,0)</f>
        <v>0</v>
      </c>
      <c r="N12" s="291">
        <f>IF(Creation!$E$31+Creation!$I$31&gt;M$5,1,0)</f>
        <v>0</v>
      </c>
      <c r="O12" s="292">
        <f>IF(Creation!$E$31+Creation!$I$31&gt;N$5,1,0)</f>
        <v>0</v>
      </c>
      <c r="P12" s="1163" t="s">
        <v>38</v>
      </c>
      <c r="Q12" s="767"/>
      <c r="R12" s="767"/>
      <c r="S12" s="767"/>
      <c r="T12" s="291">
        <f>IF(Creation!AC7+Creation!AF7&gt;0,1,0)</f>
        <v>0</v>
      </c>
      <c r="U12" s="291">
        <f>IF(Creation!AC7+Creation!AF7&gt;1,1,0)</f>
        <v>0</v>
      </c>
      <c r="V12" s="291">
        <f>IF(Creation!AC7+Creation!AF7&gt;2,1,0)</f>
        <v>0</v>
      </c>
      <c r="W12" s="291">
        <f>IF(Creation!AC7+Creation!AF7&gt;3,1,0)</f>
        <v>0</v>
      </c>
      <c r="X12" s="376">
        <f>IF(Creation!AC7+Creation!AF7&gt;4,1,0)</f>
        <v>0</v>
      </c>
      <c r="Y12" s="1163" t="s">
        <v>19</v>
      </c>
      <c r="Z12" s="767"/>
      <c r="AA12" s="767"/>
      <c r="AB12" s="768"/>
      <c r="AC12" s="380"/>
      <c r="AD12" s="381"/>
      <c r="AE12" s="381"/>
      <c r="AF12" s="381"/>
      <c r="AG12" s="381"/>
      <c r="AH12" s="381"/>
      <c r="AI12" s="381"/>
      <c r="AJ12" s="381"/>
      <c r="AK12" s="381"/>
      <c r="AL12" s="381"/>
      <c r="AM12" s="382"/>
      <c r="AN12" s="1163" t="s">
        <v>38</v>
      </c>
      <c r="AO12" s="767"/>
      <c r="AP12" s="767"/>
      <c r="AQ12" s="768"/>
      <c r="AR12" s="392"/>
      <c r="AS12" s="381"/>
      <c r="AT12" s="381"/>
      <c r="AU12" s="381"/>
      <c r="AV12" s="382"/>
      <c r="AW12" s="1104" t="s">
        <v>19</v>
      </c>
      <c r="AX12" s="767"/>
      <c r="AY12" s="767"/>
      <c r="AZ12" s="768"/>
      <c r="BA12" s="384"/>
      <c r="BB12" s="560"/>
      <c r="BC12" s="560"/>
      <c r="BD12" s="560"/>
      <c r="BE12" s="560"/>
      <c r="BF12" s="560"/>
      <c r="BG12" s="560"/>
      <c r="BH12" s="560"/>
      <c r="BI12" s="560"/>
      <c r="BJ12" s="560"/>
      <c r="BK12" s="562"/>
      <c r="BL12" s="1163" t="s">
        <v>38</v>
      </c>
      <c r="BM12" s="767"/>
      <c r="BN12" s="767"/>
      <c r="BO12" s="768"/>
      <c r="BP12" s="400"/>
      <c r="BQ12" s="381"/>
      <c r="BR12" s="381"/>
      <c r="BS12" s="381"/>
      <c r="BT12" s="382"/>
      <c r="BU12" s="1104" t="s">
        <v>19</v>
      </c>
      <c r="BV12" s="767"/>
      <c r="BW12" s="767"/>
      <c r="BX12" s="767"/>
      <c r="BY12" s="291">
        <v>0</v>
      </c>
      <c r="BZ12" s="291">
        <f>IF(SUM($BY12:BY12)=SUM(DemigodConversion!$G31:$L31),0,IF(AND(F12=0,AD12=0,BB12=0,DemigodConversion!$E31+DemigodConversion!$G31+DemigodConversion!$I31&gt;BY$5),1,0))</f>
        <v>0</v>
      </c>
      <c r="CA12" s="291">
        <f>IF(SUM($BY12:BZ12)=SUM(DemigodConversion!$G31:$L31),0,IF(AND(G12=0,AE12=0,BC12=0,DemigodConversion!$E31+DemigodConversion!$G31+DemigodConversion!$I31&gt;BZ$5),1,0))</f>
        <v>0</v>
      </c>
      <c r="CB12" s="291">
        <f>IF(SUM($BY12:CA12)=SUM(DemigodConversion!$G31:$L31),0,IF(AND(H12=0,AF12=0,BD12=0,DemigodConversion!$E31+DemigodConversion!$G31+DemigodConversion!$I31&gt;CA$5),1,0))</f>
        <v>0</v>
      </c>
      <c r="CC12" s="291">
        <f>IF(SUM($BY12:CB12)=SUM(DemigodConversion!$G31:$L31),0,IF(AND(I12=0,AG12=0,BE12=0,DemigodConversion!$E31+DemigodConversion!$G31+DemigodConversion!$I31&gt;CB$5),1,0))</f>
        <v>0</v>
      </c>
      <c r="CD12" s="291">
        <f>IF(SUM($BY12:CC12)=SUM(DemigodConversion!$G31:$L31),0,IF(AND(J12=0,AH12=0,BF12=0,DemigodConversion!$E31+DemigodConversion!$G31+DemigodConversion!$I31&gt;CC$5),1,0))</f>
        <v>0</v>
      </c>
      <c r="CE12" s="291">
        <f>IF(SUM($BY12:CD12)=SUM(DemigodConversion!$G31:$L31),0,IF(AND(K12=0,AI12=0,BG12=0,DemigodConversion!$E31+DemigodConversion!$G31+DemigodConversion!$I31&gt;CD$5),1,0))</f>
        <v>0</v>
      </c>
      <c r="CF12" s="291">
        <f>IF(SUM($BY12:CE12)=SUM(DemigodConversion!$G31:$L31),0,IF(AND(L12=0,AJ12=0,BH12=0,DemigodConversion!$E31+DemigodConversion!$G31+DemigodConversion!$I31&gt;CE$5),1,0))</f>
        <v>0</v>
      </c>
      <c r="CG12" s="291">
        <f>IF(SUM($BY12:CF12)=SUM(DemigodConversion!$G31:$L31),0,IF(AND(M12=0,AK12=0,BI12=0,DemigodConversion!$E31+DemigodConversion!$G31+DemigodConversion!$I31&gt;CF$5),1,0))</f>
        <v>0</v>
      </c>
      <c r="CH12" s="291">
        <f>IF(SUM($BY12:CG12)=SUM(DemigodConversion!$G31:$L31),0,IF(AND(N12=0,AL12=0,BJ12=0,DemigodConversion!$E31+DemigodConversion!$G31+DemigodConversion!$I31&gt;CG$5),1,0))</f>
        <v>0</v>
      </c>
      <c r="CI12" s="376">
        <f>IF(SUM($BY12:CH12)=SUM(DemigodConversion!$G31:$L31),0,IF(AND(O12=0,AM12=0,BK12=0,DemigodConversion!$E31+DemigodConversion!$G31+DemigodConversion!$I31&gt;CH$5),1,0))</f>
        <v>0</v>
      </c>
      <c r="CJ12" s="1163" t="s">
        <v>38</v>
      </c>
      <c r="CK12" s="767"/>
      <c r="CL12" s="767"/>
      <c r="CM12" s="767"/>
      <c r="CN12" s="291">
        <f>IF(AND(T12=0,AR12=0,BP12=0,FB10=0,FK10=0,FT10=0,GC10=0,ES10=0,DemigodConversion!$AC7+DemigodConversion!$AF7&gt;0),1,0)</f>
        <v>0</v>
      </c>
      <c r="CO12" s="291">
        <f>IF(AND(U12=0,AS12=0,BQ12=0,FC10=0,FL10=0,FU10=0,GD10=0,ET10=0,DemigodConversion!$AC7+DemigodConversion!$AF7&gt;1),1,0)</f>
        <v>0</v>
      </c>
      <c r="CP12" s="291">
        <f>IF(AND(V12=0,AT12=0,BR12=0,FD10=0,FM10=0,FV10=0,GE10=0,EU10=0,DemigodConversion!$AC7+DemigodConversion!$AF7&gt;2),1,0)</f>
        <v>0</v>
      </c>
      <c r="CQ12" s="291">
        <f>IF(AND(W12=0,AU12=0,BS12=0,FE10=0,FN10=0,FW10=0,GF10=0,EV10=0,DemigodConversion!$AC7+DemigodConversion!$AF7&gt;3),1,0)</f>
        <v>0</v>
      </c>
      <c r="CR12" s="291">
        <f>IF(AND(X12=0,AV12=0,BT12=0,FF10=0,FO10=0,FX10=0,GG10=0,EW10=0,DemigodConversion!$AC7+DemigodConversion!$AF7&gt;4),1,0)</f>
        <v>0</v>
      </c>
      <c r="CS12" s="1104" t="s">
        <v>19</v>
      </c>
      <c r="CT12" s="767"/>
      <c r="CU12" s="767"/>
      <c r="CV12" s="767"/>
      <c r="CW12" s="291">
        <v>0</v>
      </c>
      <c r="CX12" s="291">
        <f>IF(AND(F12=0,AD12=0,BB12=0,BZ12=0,CW$5&lt;SUM(GodConversion!$E31:$L31)),1,0)</f>
        <v>0</v>
      </c>
      <c r="CY12" s="291">
        <f>IF(AND(G12=0,AE12=0,BC12=0,CA12=0,CX$5&lt;SUM(GodConversion!$E31:$L31)),1,0)</f>
        <v>0</v>
      </c>
      <c r="CZ12" s="291">
        <f>IF(AND(H12=0,AF12=0,BD12=0,CB12=0,CY$5&lt;SUM(GodConversion!$E31:$L31)),1,0)</f>
        <v>0</v>
      </c>
      <c r="DA12" s="291">
        <f>IF(AND(I12=0,AG12=0,BE12=0,CC12=0,CZ$5&lt;SUM(GodConversion!$E31:$L31)),1,0)</f>
        <v>0</v>
      </c>
      <c r="DB12" s="291">
        <f>IF(AND(J12=0,AH12=0,BF12=0,CD12=0,DA$5&lt;SUM(GodConversion!$E31:$L31)),1,0)</f>
        <v>0</v>
      </c>
      <c r="DC12" s="291">
        <f>IF(AND(K12=0,AI12=0,BG12=0,CE12=0,DB$5&lt;SUM(GodConversion!$E31:$L31)),1,0)</f>
        <v>0</v>
      </c>
      <c r="DD12" s="291">
        <f>IF(AND(L12=0,AJ12=0,BH12=0,CF12=0,DC$5&lt;SUM(GodConversion!$E31:$L31)),1,0)</f>
        <v>0</v>
      </c>
      <c r="DE12" s="291">
        <f>IF(AND(M12=0,AK12=0,BI12=0,CG12=0,DD$5&lt;SUM(GodConversion!$E31:$L31)),1,0)</f>
        <v>0</v>
      </c>
      <c r="DF12" s="291">
        <f>IF(AND(N12=0,AL12=0,BJ12=0,CH12=0,DE$5&lt;SUM(GodConversion!$E31:$L31)),1,0)</f>
        <v>0</v>
      </c>
      <c r="DG12" s="291">
        <f>IF(AND(O12=0,AM12=0,BK12=0,CI12=0,DF$5&lt;SUM(GodConversion!$E31:$L31)),1,0)</f>
        <v>0</v>
      </c>
      <c r="DH12" s="1163" t="s">
        <v>38</v>
      </c>
      <c r="DI12" s="767"/>
      <c r="DJ12" s="767"/>
      <c r="DK12" s="767"/>
      <c r="DL12" s="291">
        <f>IF(AND(T12=0,AR12=0,BP12=0,ES10=0,FB10=0,FK10=0,FT10=0,GC10=0,CN12=0,0&lt;GodConversion!$AC7+GodConversion!$AF7),1,0)</f>
        <v>0</v>
      </c>
      <c r="DM12" s="291">
        <f>IF(AND(U12=0,AS12=0,BQ12=0,ET10=0,FC10=0,FL10=0,FU10=0,GD10=0,CO12=0,1&lt;GodConversion!$AC7+GodConversion!$AF7),1,0)</f>
        <v>0</v>
      </c>
      <c r="DN12" s="291">
        <f>IF(AND(V12=0,AT12=0,BR12=0,EU10=0,FD10=0,FM10=0,FV10=0,GE10=0,CP12=0,2&lt;GodConversion!$AC7+GodConversion!$AF7),1,0)</f>
        <v>0</v>
      </c>
      <c r="DO12" s="291">
        <f>IF(AND(W12=0,AU12=0,BS12=0,EV10=0,FE10=0,FN10=0,FW10=0,GF10=0,CQ12=0,3&lt;GodConversion!$AC7+GodConversion!$AF7),1,0)</f>
        <v>0</v>
      </c>
      <c r="DP12" s="291">
        <f>IF(AND(X12=0,AV12=0,BT12=0,EW10=0,FF10=0,FO10=0,FX10=0,GG10=0,CR12=0,4&lt;GodConversion!$AC7+GodConversion!$AF7),1,0)</f>
        <v>0</v>
      </c>
      <c r="DQ12" s="1163" t="s">
        <v>19</v>
      </c>
      <c r="DR12" s="767"/>
      <c r="DS12" s="767"/>
      <c r="DT12" s="767"/>
      <c r="DU12" s="291">
        <v>0</v>
      </c>
      <c r="DV12" s="291">
        <f t="shared" ref="DV12:EE12" si="17">IF(AD12=1,DU$5*4,0)</f>
        <v>0</v>
      </c>
      <c r="DW12" s="291">
        <f t="shared" si="17"/>
        <v>0</v>
      </c>
      <c r="DX12" s="291">
        <f t="shared" si="17"/>
        <v>0</v>
      </c>
      <c r="DY12" s="291">
        <f t="shared" si="17"/>
        <v>0</v>
      </c>
      <c r="DZ12" s="291">
        <f t="shared" si="17"/>
        <v>0</v>
      </c>
      <c r="EA12" s="291">
        <f t="shared" si="17"/>
        <v>0</v>
      </c>
      <c r="EB12" s="291">
        <f t="shared" si="17"/>
        <v>0</v>
      </c>
      <c r="EC12" s="291">
        <f t="shared" si="17"/>
        <v>0</v>
      </c>
      <c r="ED12" s="291">
        <f t="shared" si="17"/>
        <v>0</v>
      </c>
      <c r="EE12" s="292">
        <f t="shared" si="17"/>
        <v>0</v>
      </c>
      <c r="EF12" s="1163" t="s">
        <v>38</v>
      </c>
      <c r="EG12" s="767"/>
      <c r="EH12" s="767"/>
      <c r="EI12" s="767"/>
      <c r="EJ12" s="291">
        <f t="shared" si="11"/>
        <v>0</v>
      </c>
      <c r="EK12" s="291">
        <f t="shared" si="12"/>
        <v>0</v>
      </c>
      <c r="EL12" s="291">
        <f t="shared" si="13"/>
        <v>0</v>
      </c>
      <c r="EM12" s="291">
        <f t="shared" si="14"/>
        <v>0</v>
      </c>
      <c r="EN12" s="291">
        <f t="shared" si="15"/>
        <v>0</v>
      </c>
      <c r="EO12" s="1164" t="s">
        <v>40</v>
      </c>
      <c r="EP12" s="1165"/>
      <c r="EQ12" s="1165"/>
      <c r="ER12" s="1166"/>
      <c r="ES12" s="398"/>
      <c r="ET12" s="399"/>
      <c r="EU12" s="381"/>
      <c r="EV12" s="381"/>
      <c r="EW12" s="381"/>
      <c r="EX12" s="1113" t="s">
        <v>40</v>
      </c>
      <c r="EY12" s="1114"/>
      <c r="EZ12" s="1114"/>
      <c r="FA12" s="1117"/>
      <c r="FB12" s="393"/>
      <c r="FC12" s="394"/>
      <c r="FD12" s="394"/>
      <c r="FE12" s="394"/>
      <c r="FF12" s="395"/>
      <c r="FG12" s="1123" t="s">
        <v>40</v>
      </c>
      <c r="FH12" s="1114"/>
      <c r="FI12" s="1114"/>
      <c r="FJ12" s="1115"/>
      <c r="FK12" s="515"/>
      <c r="FL12" s="516"/>
      <c r="FM12" s="516"/>
      <c r="FN12" s="516"/>
      <c r="FO12" s="517"/>
      <c r="FP12" s="1113" t="s">
        <v>40</v>
      </c>
      <c r="FQ12" s="1114"/>
      <c r="FR12" s="1114"/>
      <c r="FS12" s="1117"/>
      <c r="FT12" s="393"/>
      <c r="FU12" s="394"/>
      <c r="FV12" s="394"/>
      <c r="FW12" s="394"/>
      <c r="FX12" s="395"/>
      <c r="FY12" s="1113" t="s">
        <v>40</v>
      </c>
      <c r="FZ12" s="1114"/>
      <c r="GA12" s="1114"/>
      <c r="GB12" s="1115"/>
      <c r="GC12" s="515"/>
      <c r="GD12" s="516"/>
      <c r="GE12" s="516"/>
      <c r="GF12" s="516"/>
      <c r="GG12" s="517"/>
      <c r="GK12" s="396" t="s">
        <v>40</v>
      </c>
      <c r="GL12" s="396">
        <f t="shared" si="8"/>
        <v>0</v>
      </c>
      <c r="GM12" s="396">
        <f>IF($GK12=Creation!$Q$28,1,0)</f>
        <v>0</v>
      </c>
      <c r="GN12" s="396">
        <f>IF($GK12=Creation!$Q$29,1,0)</f>
        <v>0</v>
      </c>
      <c r="GO12" s="396">
        <f>IF($GK12=Creation!$Q$30,1,0)</f>
        <v>0</v>
      </c>
      <c r="GP12" s="396">
        <f>IF($GK12=Creation!$Q$31,1,0)</f>
        <v>0</v>
      </c>
      <c r="GQ12" s="396">
        <f>IF($GK12=Creation!$Q$32,1,0)</f>
        <v>0</v>
      </c>
      <c r="GR12" s="396">
        <f>IF($GK12=Creation!$Q$33,1,0)</f>
        <v>0</v>
      </c>
    </row>
    <row r="13" spans="1:200" x14ac:dyDescent="0.25">
      <c r="A13" s="1163" t="s">
        <v>20</v>
      </c>
      <c r="B13" s="767"/>
      <c r="C13" s="767"/>
      <c r="D13" s="767"/>
      <c r="E13" s="291">
        <v>1</v>
      </c>
      <c r="F13" s="291">
        <f>IF(Creation!$E$32+Creation!$I$32&gt;E$5,1,0)</f>
        <v>0</v>
      </c>
      <c r="G13" s="291">
        <f>IF(Creation!$E$32+Creation!$I$32&gt;F$5,1,0)</f>
        <v>0</v>
      </c>
      <c r="H13" s="291">
        <f>IF(Creation!$E$32+Creation!$I$32&gt;G$5,1,0)</f>
        <v>0</v>
      </c>
      <c r="I13" s="291">
        <f>IF(Creation!$E$32+Creation!$I$32&gt;H$5,1,0)</f>
        <v>0</v>
      </c>
      <c r="J13" s="291">
        <f>IF(Creation!$E$32+Creation!$I$32&gt;I$5,1,0)</f>
        <v>0</v>
      </c>
      <c r="K13" s="291">
        <f>IF(Creation!$E$32+Creation!$I$32&gt;J$5,1,0)</f>
        <v>0</v>
      </c>
      <c r="L13" s="291">
        <f>IF(Creation!$E$32+Creation!$I$32&gt;K$5,1,0)</f>
        <v>0</v>
      </c>
      <c r="M13" s="291">
        <f>IF(Creation!$E$32+Creation!$I$32&gt;L$5,1,0)</f>
        <v>0</v>
      </c>
      <c r="N13" s="291">
        <f>IF(Creation!$E$32+Creation!$I$32&gt;M$5,1,0)</f>
        <v>0</v>
      </c>
      <c r="O13" s="292">
        <f>IF(Creation!$E$32+Creation!$I$32&gt;N$5,1,0)</f>
        <v>0</v>
      </c>
      <c r="P13" s="1163" t="s">
        <v>39</v>
      </c>
      <c r="Q13" s="767"/>
      <c r="R13" s="767"/>
      <c r="S13" s="767"/>
      <c r="T13" s="291">
        <f>IF(Creation!AC8+Creation!AF8&gt;0,1,0)</f>
        <v>0</v>
      </c>
      <c r="U13" s="291">
        <f>IF(Creation!AC8+Creation!AF8&gt;1,1,0)</f>
        <v>0</v>
      </c>
      <c r="V13" s="291">
        <f>IF(Creation!AC8+Creation!AF8&gt;2,1,0)</f>
        <v>0</v>
      </c>
      <c r="W13" s="291">
        <f>IF(Creation!AC8+Creation!AF8&gt;3,1,0)</f>
        <v>0</v>
      </c>
      <c r="X13" s="376">
        <f>IF(Creation!AC8+Creation!AF8&gt;4,1,0)</f>
        <v>0</v>
      </c>
      <c r="Y13" s="1163" t="s">
        <v>20</v>
      </c>
      <c r="Z13" s="767"/>
      <c r="AA13" s="767"/>
      <c r="AB13" s="768"/>
      <c r="AC13" s="380"/>
      <c r="AD13" s="381"/>
      <c r="AE13" s="381"/>
      <c r="AF13" s="381"/>
      <c r="AG13" s="381"/>
      <c r="AH13" s="381"/>
      <c r="AI13" s="381"/>
      <c r="AJ13" s="381"/>
      <c r="AK13" s="381"/>
      <c r="AL13" s="381"/>
      <c r="AM13" s="382"/>
      <c r="AN13" s="1163" t="s">
        <v>39</v>
      </c>
      <c r="AO13" s="767"/>
      <c r="AP13" s="767"/>
      <c r="AQ13" s="768"/>
      <c r="AR13" s="392"/>
      <c r="AS13" s="381"/>
      <c r="AT13" s="381"/>
      <c r="AU13" s="381"/>
      <c r="AV13" s="382"/>
      <c r="AW13" s="1104" t="s">
        <v>20</v>
      </c>
      <c r="AX13" s="767"/>
      <c r="AY13" s="767"/>
      <c r="AZ13" s="768"/>
      <c r="BA13" s="384"/>
      <c r="BB13" s="560"/>
      <c r="BC13" s="560"/>
      <c r="BD13" s="560"/>
      <c r="BE13" s="560"/>
      <c r="BF13" s="560"/>
      <c r="BG13" s="560"/>
      <c r="BH13" s="560"/>
      <c r="BI13" s="560"/>
      <c r="BJ13" s="560"/>
      <c r="BK13" s="562"/>
      <c r="BL13" s="1163" t="s">
        <v>39</v>
      </c>
      <c r="BM13" s="767"/>
      <c r="BN13" s="767"/>
      <c r="BO13" s="768"/>
      <c r="BP13" s="400"/>
      <c r="BQ13" s="381"/>
      <c r="BR13" s="381"/>
      <c r="BS13" s="381"/>
      <c r="BT13" s="382"/>
      <c r="BU13" s="1104" t="s">
        <v>20</v>
      </c>
      <c r="BV13" s="767"/>
      <c r="BW13" s="767"/>
      <c r="BX13" s="767"/>
      <c r="BY13" s="291">
        <v>0</v>
      </c>
      <c r="BZ13" s="291">
        <f>IF(SUM($BY13:BY13)=SUM(DemigodConversion!$G32:$L32),0,IF(AND(F13=0,AD13=0,BB13=0,DemigodConversion!$E32+DemigodConversion!$G32+DemigodConversion!$I32&gt;BY$5),1,0))</f>
        <v>0</v>
      </c>
      <c r="CA13" s="291">
        <f>IF(SUM($BY13:BZ13)=SUM(DemigodConversion!$G32:$L32),0,IF(AND(G13=0,AE13=0,BC13=0,DemigodConversion!$E32+DemigodConversion!$G32+DemigodConversion!$I32&gt;BZ$5),1,0))</f>
        <v>0</v>
      </c>
      <c r="CB13" s="291">
        <f>IF(SUM($BY13:CA13)=SUM(DemigodConversion!$G32:$L32),0,IF(AND(H13=0,AF13=0,BD13=0,DemigodConversion!$E32+DemigodConversion!$G32+DemigodConversion!$I32&gt;CA$5),1,0))</f>
        <v>0</v>
      </c>
      <c r="CC13" s="291">
        <f>IF(SUM($BY13:CB13)=SUM(DemigodConversion!$G32:$L32),0,IF(AND(I13=0,AG13=0,BE13=0,DemigodConversion!$E32+DemigodConversion!$G32+DemigodConversion!$I32&gt;CB$5),1,0))</f>
        <v>0</v>
      </c>
      <c r="CD13" s="291">
        <f>IF(SUM($BY13:CC13)=SUM(DemigodConversion!$G32:$L32),0,IF(AND(J13=0,AH13=0,BF13=0,DemigodConversion!$E32+DemigodConversion!$G32+DemigodConversion!$I32&gt;CC$5),1,0))</f>
        <v>0</v>
      </c>
      <c r="CE13" s="291">
        <f>IF(SUM($BY13:CD13)=SUM(DemigodConversion!$G32:$L32),0,IF(AND(K13=0,AI13=0,BG13=0,DemigodConversion!$E32+DemigodConversion!$G32+DemigodConversion!$I32&gt;CD$5),1,0))</f>
        <v>0</v>
      </c>
      <c r="CF13" s="291">
        <f>IF(SUM($BY13:CE13)=SUM(DemigodConversion!$G32:$L32),0,IF(AND(L13=0,AJ13=0,BH13=0,DemigodConversion!$E32+DemigodConversion!$G32+DemigodConversion!$I32&gt;CE$5),1,0))</f>
        <v>0</v>
      </c>
      <c r="CG13" s="291">
        <f>IF(SUM($BY13:CF13)=SUM(DemigodConversion!$G32:$L32),0,IF(AND(M13=0,AK13=0,BI13=0,DemigodConversion!$E32+DemigodConversion!$G32+DemigodConversion!$I32&gt;CF$5),1,0))</f>
        <v>0</v>
      </c>
      <c r="CH13" s="291">
        <f>IF(SUM($BY13:CG13)=SUM(DemigodConversion!$G32:$L32),0,IF(AND(N13=0,AL13=0,BJ13=0,DemigodConversion!$E32+DemigodConversion!$G32+DemigodConversion!$I32&gt;CG$5),1,0))</f>
        <v>0</v>
      </c>
      <c r="CI13" s="376">
        <f>IF(SUM($BY13:CH13)=SUM(DemigodConversion!$G32:$L32),0,IF(AND(O13=0,AM13=0,BK13=0,DemigodConversion!$E32+DemigodConversion!$G32+DemigodConversion!$I32&gt;CH$5),1,0))</f>
        <v>0</v>
      </c>
      <c r="CJ13" s="1163" t="s">
        <v>39</v>
      </c>
      <c r="CK13" s="767"/>
      <c r="CL13" s="767"/>
      <c r="CM13" s="767"/>
      <c r="CN13" s="291">
        <f>IF(AND(T13=0,AR13=0,BP13=0,FB11=0,FK11=0,FT11=0,GC11=0,ES11=0,DemigodConversion!$AC8+DemigodConversion!$AF8&gt;0),1,0)</f>
        <v>0</v>
      </c>
      <c r="CO13" s="291">
        <f>IF(AND(U13=0,AS13=0,BQ13=0,FC11=0,FL11=0,FU11=0,GD11=0,ET11=0,DemigodConversion!$AC8+DemigodConversion!$AF8&gt;1),1,0)</f>
        <v>0</v>
      </c>
      <c r="CP13" s="291">
        <f>IF(AND(V13=0,AT13=0,BR13=0,FD11=0,FM11=0,FV11=0,GE11=0,EU11=0,DemigodConversion!$AC8+DemigodConversion!$AF8&gt;2),1,0)</f>
        <v>0</v>
      </c>
      <c r="CQ13" s="291">
        <f>IF(AND(W13=0,AU13=0,BS13=0,FE11=0,FN11=0,FW11=0,GF11=0,EV11=0,DemigodConversion!$AC8+DemigodConversion!$AF8&gt;3),1,0)</f>
        <v>0</v>
      </c>
      <c r="CR13" s="291">
        <f>IF(AND(X13=0,AV13=0,BT13=0,FF11=0,FO11=0,FX11=0,GG11=0,EW11=0,DemigodConversion!$AC8+DemigodConversion!$AF8&gt;4),1,0)</f>
        <v>0</v>
      </c>
      <c r="CS13" s="1104" t="s">
        <v>20</v>
      </c>
      <c r="CT13" s="767"/>
      <c r="CU13" s="767"/>
      <c r="CV13" s="767"/>
      <c r="CW13" s="291">
        <v>0</v>
      </c>
      <c r="CX13" s="291">
        <f>IF(AND(F13=0,AD13=0,BB13=0,BZ13=0,CW$5&lt;SUM(GodConversion!$E32:$L32)),1,0)</f>
        <v>0</v>
      </c>
      <c r="CY13" s="291">
        <f>IF(AND(G13=0,AE13=0,BC13=0,CA13=0,CX$5&lt;SUM(GodConversion!$E32:$L32)),1,0)</f>
        <v>0</v>
      </c>
      <c r="CZ13" s="291">
        <f>IF(AND(H13=0,AF13=0,BD13=0,CB13=0,CY$5&lt;SUM(GodConversion!$E32:$L32)),1,0)</f>
        <v>0</v>
      </c>
      <c r="DA13" s="291">
        <f>IF(AND(I13=0,AG13=0,BE13=0,CC13=0,CZ$5&lt;SUM(GodConversion!$E32:$L32)),1,0)</f>
        <v>0</v>
      </c>
      <c r="DB13" s="291">
        <f>IF(AND(J13=0,AH13=0,BF13=0,CD13=0,DA$5&lt;SUM(GodConversion!$E32:$L32)),1,0)</f>
        <v>0</v>
      </c>
      <c r="DC13" s="291">
        <f>IF(AND(K13=0,AI13=0,BG13=0,CE13=0,DB$5&lt;SUM(GodConversion!$E32:$L32)),1,0)</f>
        <v>0</v>
      </c>
      <c r="DD13" s="291">
        <f>IF(AND(L13=0,AJ13=0,BH13=0,CF13=0,DC$5&lt;SUM(GodConversion!$E32:$L32)),1,0)</f>
        <v>0</v>
      </c>
      <c r="DE13" s="291">
        <f>IF(AND(M13=0,AK13=0,BI13=0,CG13=0,DD$5&lt;SUM(GodConversion!$E32:$L32)),1,0)</f>
        <v>0</v>
      </c>
      <c r="DF13" s="291">
        <f>IF(AND(N13=0,AL13=0,BJ13=0,CH13=0,DE$5&lt;SUM(GodConversion!$E32:$L32)),1,0)</f>
        <v>0</v>
      </c>
      <c r="DG13" s="291">
        <f>IF(AND(O13=0,AM13=0,BK13=0,CI13=0,DF$5&lt;SUM(GodConversion!$E32:$L32)),1,0)</f>
        <v>0</v>
      </c>
      <c r="DH13" s="1163" t="s">
        <v>39</v>
      </c>
      <c r="DI13" s="767"/>
      <c r="DJ13" s="767"/>
      <c r="DK13" s="767"/>
      <c r="DL13" s="291">
        <f>IF(AND(T13=0,AR13=0,BP13=0,ES11=0,FB11=0,FK11=0,FT11=0,GC11=0,CN13=0,0&lt;GodConversion!$AC8+GodConversion!$AF8),1,0)</f>
        <v>0</v>
      </c>
      <c r="DM13" s="291">
        <f>IF(AND(U13=0,AS13=0,BQ13=0,ET11=0,FC11=0,FL11=0,FU11=0,GD11=0,CO13=0,1&lt;GodConversion!$AC8+GodConversion!$AF8),1,0)</f>
        <v>0</v>
      </c>
      <c r="DN13" s="291">
        <f>IF(AND(V13=0,AT13=0,BR13=0,EU11=0,FD11=0,FM11=0,FV11=0,GE11=0,CP13=0,2&lt;GodConversion!$AC8+GodConversion!$AF8),1,0)</f>
        <v>0</v>
      </c>
      <c r="DO13" s="291">
        <f>IF(AND(W13=0,AU13=0,BS13=0,EV11=0,FE11=0,FN11=0,FW11=0,GF11=0,CQ13=0,3&lt;GodConversion!$AC8+GodConversion!$AF8),1,0)</f>
        <v>0</v>
      </c>
      <c r="DP13" s="291">
        <f>IF(AND(X13=0,AV13=0,BT13=0,EW11=0,FF11=0,FO11=0,FX11=0,GG11=0,CR13=0,4&lt;GodConversion!$AC8+GodConversion!$AF8),1,0)</f>
        <v>0</v>
      </c>
      <c r="DQ13" s="1163" t="s">
        <v>20</v>
      </c>
      <c r="DR13" s="767"/>
      <c r="DS13" s="767"/>
      <c r="DT13" s="767"/>
      <c r="DU13" s="291">
        <v>0</v>
      </c>
      <c r="DV13" s="291">
        <f t="shared" ref="DV13:EE13" si="18">IF(AD13=1,DU$5*4,0)</f>
        <v>0</v>
      </c>
      <c r="DW13" s="291">
        <f t="shared" si="18"/>
        <v>0</v>
      </c>
      <c r="DX13" s="291">
        <f t="shared" si="18"/>
        <v>0</v>
      </c>
      <c r="DY13" s="291">
        <f t="shared" si="18"/>
        <v>0</v>
      </c>
      <c r="DZ13" s="291">
        <f t="shared" si="18"/>
        <v>0</v>
      </c>
      <c r="EA13" s="291">
        <f t="shared" si="18"/>
        <v>0</v>
      </c>
      <c r="EB13" s="291">
        <f t="shared" si="18"/>
        <v>0</v>
      </c>
      <c r="EC13" s="291">
        <f t="shared" si="18"/>
        <v>0</v>
      </c>
      <c r="ED13" s="291">
        <f t="shared" si="18"/>
        <v>0</v>
      </c>
      <c r="EE13" s="292">
        <f t="shared" si="18"/>
        <v>0</v>
      </c>
      <c r="EF13" s="1163" t="s">
        <v>39</v>
      </c>
      <c r="EG13" s="767"/>
      <c r="EH13" s="767"/>
      <c r="EI13" s="767"/>
      <c r="EJ13" s="291">
        <f t="shared" si="11"/>
        <v>0</v>
      </c>
      <c r="EK13" s="291">
        <f t="shared" si="12"/>
        <v>0</v>
      </c>
      <c r="EL13" s="291">
        <f t="shared" si="13"/>
        <v>0</v>
      </c>
      <c r="EM13" s="291">
        <f t="shared" si="14"/>
        <v>0</v>
      </c>
      <c r="EN13" s="291">
        <f t="shared" si="15"/>
        <v>0</v>
      </c>
      <c r="EO13" s="1164" t="s">
        <v>41</v>
      </c>
      <c r="EP13" s="1165"/>
      <c r="EQ13" s="1165"/>
      <c r="ER13" s="1166"/>
      <c r="ES13" s="398"/>
      <c r="ET13" s="399"/>
      <c r="EU13" s="381"/>
      <c r="EV13" s="381"/>
      <c r="EW13" s="381"/>
      <c r="EX13" s="1113" t="s">
        <v>41</v>
      </c>
      <c r="EY13" s="1114"/>
      <c r="EZ13" s="1114"/>
      <c r="FA13" s="1117"/>
      <c r="FB13" s="393"/>
      <c r="FC13" s="394"/>
      <c r="FD13" s="394"/>
      <c r="FE13" s="394"/>
      <c r="FF13" s="395"/>
      <c r="FG13" s="1123" t="s">
        <v>41</v>
      </c>
      <c r="FH13" s="1114"/>
      <c r="FI13" s="1114"/>
      <c r="FJ13" s="1115"/>
      <c r="FK13" s="515"/>
      <c r="FL13" s="516"/>
      <c r="FM13" s="516"/>
      <c r="FN13" s="516"/>
      <c r="FO13" s="517"/>
      <c r="FP13" s="1113" t="s">
        <v>41</v>
      </c>
      <c r="FQ13" s="1114"/>
      <c r="FR13" s="1114"/>
      <c r="FS13" s="1117"/>
      <c r="FT13" s="393"/>
      <c r="FU13" s="394"/>
      <c r="FV13" s="394"/>
      <c r="FW13" s="394"/>
      <c r="FX13" s="395"/>
      <c r="FY13" s="1113" t="s">
        <v>41</v>
      </c>
      <c r="FZ13" s="1114"/>
      <c r="GA13" s="1114"/>
      <c r="GB13" s="1115"/>
      <c r="GC13" s="515"/>
      <c r="GD13" s="516"/>
      <c r="GE13" s="516"/>
      <c r="GF13" s="516"/>
      <c r="GG13" s="517"/>
      <c r="GK13" s="396" t="s">
        <v>41</v>
      </c>
      <c r="GL13" s="396">
        <f t="shared" si="8"/>
        <v>0</v>
      </c>
      <c r="GM13" s="396">
        <f>IF($GK13=Creation!$Q$28,1,0)</f>
        <v>0</v>
      </c>
      <c r="GN13" s="396">
        <f>IF($GK13=Creation!$Q$29,1,0)</f>
        <v>0</v>
      </c>
      <c r="GO13" s="396">
        <f>IF($GK13=Creation!$Q$30,1,0)</f>
        <v>0</v>
      </c>
      <c r="GP13" s="396">
        <f>IF($GK13=Creation!$Q$31,1,0)</f>
        <v>0</v>
      </c>
      <c r="GQ13" s="396">
        <f>IF($GK13=Creation!$Q$32,1,0)</f>
        <v>0</v>
      </c>
      <c r="GR13" s="396">
        <f>IF($GK13=Creation!$Q$33,1,0)</f>
        <v>0</v>
      </c>
    </row>
    <row r="14" spans="1:200" ht="15.75" thickBot="1" x14ac:dyDescent="0.3">
      <c r="A14" s="1176" t="s">
        <v>21</v>
      </c>
      <c r="B14" s="804"/>
      <c r="C14" s="804"/>
      <c r="D14" s="804"/>
      <c r="E14" s="301">
        <v>1</v>
      </c>
      <c r="F14" s="301">
        <f>IF(Creation!$E$33+Creation!$I$33&gt;E$5,1,0)</f>
        <v>0</v>
      </c>
      <c r="G14" s="301">
        <f>IF(Creation!$E$33+Creation!$I$33&gt;F$5,1,0)</f>
        <v>0</v>
      </c>
      <c r="H14" s="301">
        <f>IF(Creation!$E$33+Creation!$I$33&gt;G$5,1,0)</f>
        <v>0</v>
      </c>
      <c r="I14" s="301">
        <f>IF(Creation!$E$33+Creation!$I$33&gt;H$5,1,0)</f>
        <v>0</v>
      </c>
      <c r="J14" s="301">
        <f>IF(Creation!$E$33+Creation!$I$33&gt;I$5,1,0)</f>
        <v>0</v>
      </c>
      <c r="K14" s="301">
        <f>IF(Creation!$E$33+Creation!$I$33&gt;J$5,1,0)</f>
        <v>0</v>
      </c>
      <c r="L14" s="301">
        <f>IF(Creation!$E$33+Creation!$I$33&gt;K$5,1,0)</f>
        <v>0</v>
      </c>
      <c r="M14" s="301">
        <f>IF(Creation!$E$33+Creation!$I$33&gt;L$5,1,0)</f>
        <v>0</v>
      </c>
      <c r="N14" s="301">
        <f>IF(Creation!$E$33+Creation!$I$33&gt;M$5,1,0)</f>
        <v>0</v>
      </c>
      <c r="O14" s="302">
        <f>IF(Creation!$E$33+Creation!$I$33&gt;N$5,1,0)</f>
        <v>0</v>
      </c>
      <c r="P14" s="1163" t="s">
        <v>40</v>
      </c>
      <c r="Q14" s="767"/>
      <c r="R14" s="767"/>
      <c r="S14" s="767"/>
      <c r="T14" s="291">
        <f>IF(Creation!AC9+Creation!AF9&gt;0,1,0)</f>
        <v>0</v>
      </c>
      <c r="U14" s="291">
        <f>IF(Creation!AC9+Creation!AF9&gt;1,1,0)</f>
        <v>0</v>
      </c>
      <c r="V14" s="291">
        <f>IF(Creation!AC9+Creation!AF9&gt;2,1,0)</f>
        <v>0</v>
      </c>
      <c r="W14" s="291">
        <f>IF(Creation!AC9+Creation!AF9&gt;3,1,0)</f>
        <v>0</v>
      </c>
      <c r="X14" s="376">
        <f>IF(Creation!AC9+Creation!AF9&gt;4,1,0)</f>
        <v>0</v>
      </c>
      <c r="Y14" s="1176" t="s">
        <v>21</v>
      </c>
      <c r="Z14" s="804"/>
      <c r="AA14" s="804"/>
      <c r="AB14" s="817"/>
      <c r="AC14" s="377"/>
      <c r="AD14" s="379"/>
      <c r="AE14" s="379"/>
      <c r="AF14" s="379"/>
      <c r="AG14" s="379"/>
      <c r="AH14" s="379"/>
      <c r="AI14" s="379"/>
      <c r="AJ14" s="379"/>
      <c r="AK14" s="379"/>
      <c r="AL14" s="379"/>
      <c r="AM14" s="282"/>
      <c r="AN14" s="1163" t="s">
        <v>40</v>
      </c>
      <c r="AO14" s="767"/>
      <c r="AP14" s="767"/>
      <c r="AQ14" s="768"/>
      <c r="AR14" s="392"/>
      <c r="AS14" s="381"/>
      <c r="AT14" s="381"/>
      <c r="AU14" s="381"/>
      <c r="AV14" s="382"/>
      <c r="AW14" s="885" t="s">
        <v>21</v>
      </c>
      <c r="AX14" s="804"/>
      <c r="AY14" s="804"/>
      <c r="AZ14" s="817"/>
      <c r="BA14" s="383"/>
      <c r="BB14" s="379"/>
      <c r="BC14" s="379"/>
      <c r="BD14" s="379"/>
      <c r="BE14" s="379"/>
      <c r="BF14" s="379"/>
      <c r="BG14" s="379"/>
      <c r="BH14" s="379"/>
      <c r="BI14" s="379"/>
      <c r="BJ14" s="379"/>
      <c r="BK14" s="282"/>
      <c r="BL14" s="1163" t="s">
        <v>40</v>
      </c>
      <c r="BM14" s="767"/>
      <c r="BN14" s="767"/>
      <c r="BO14" s="768"/>
      <c r="BP14" s="400"/>
      <c r="BQ14" s="381"/>
      <c r="BR14" s="381"/>
      <c r="BS14" s="381"/>
      <c r="BT14" s="382"/>
      <c r="BU14" s="1186" t="s">
        <v>21</v>
      </c>
      <c r="BV14" s="784"/>
      <c r="BW14" s="784"/>
      <c r="BX14" s="784"/>
      <c r="BY14" s="385">
        <v>0</v>
      </c>
      <c r="BZ14" s="291">
        <f>IF(SUM($BY14:BY14)=SUM(DemigodConversion!$G33:$L33),0,IF(AND(F14=0,AD14=0,BB14=0,DemigodConversion!$E33+DemigodConversion!$G33+DemigodConversion!$I33&gt;BY$5),1,0))</f>
        <v>0</v>
      </c>
      <c r="CA14" s="291">
        <f>IF(SUM($BY14:BZ14)=SUM(DemigodConversion!$G33:$L33),0,IF(AND(G14=0,AE14=0,BC14=0,DemigodConversion!$E33+DemigodConversion!$G33+DemigodConversion!$I33&gt;BZ$5),1,0))</f>
        <v>0</v>
      </c>
      <c r="CB14" s="291">
        <f>IF(SUM($BY14:CA14)=SUM(DemigodConversion!$G33:$L33),0,IF(AND(H14=0,AF14=0,BD14=0,DemigodConversion!$E33+DemigodConversion!$G33+DemigodConversion!$I33&gt;CA$5),1,0))</f>
        <v>0</v>
      </c>
      <c r="CC14" s="291">
        <f>IF(SUM($BY14:CB14)=SUM(DemigodConversion!$G33:$L33),0,IF(AND(I14=0,AG14=0,BE14=0,DemigodConversion!$E33+DemigodConversion!$G33+DemigodConversion!$I33&gt;CB$5),1,0))</f>
        <v>0</v>
      </c>
      <c r="CD14" s="291">
        <f>IF(SUM($BY14:CC14)=SUM(DemigodConversion!$G33:$L33),0,IF(AND(J14=0,AH14=0,BF14=0,DemigodConversion!$E33+DemigodConversion!$G33+DemigodConversion!$I33&gt;CC$5),1,0))</f>
        <v>0</v>
      </c>
      <c r="CE14" s="291">
        <f>IF(SUM($BY14:CD14)=SUM(DemigodConversion!$G33:$L33),0,IF(AND(K14=0,AI14=0,BG14=0,DemigodConversion!$E33+DemigodConversion!$G33+DemigodConversion!$I33&gt;CD$5),1,0))</f>
        <v>0</v>
      </c>
      <c r="CF14" s="291">
        <f>IF(SUM($BY14:CE14)=SUM(DemigodConversion!$G33:$L33),0,IF(AND(L14=0,AJ14=0,BH14=0,DemigodConversion!$E33+DemigodConversion!$G33+DemigodConversion!$I33&gt;CE$5),1,0))</f>
        <v>0</v>
      </c>
      <c r="CG14" s="291">
        <f>IF(SUM($BY14:CF14)=SUM(DemigodConversion!$G33:$L33),0,IF(AND(M14=0,AK14=0,BI14=0,DemigodConversion!$E33+DemigodConversion!$G33+DemigodConversion!$I33&gt;CF$5),1,0))</f>
        <v>0</v>
      </c>
      <c r="CH14" s="291">
        <f>IF(SUM($BY14:CG14)=SUM(DemigodConversion!$G33:$L33),0,IF(AND(N14=0,AL14=0,BJ14=0,DemigodConversion!$E33+DemigodConversion!$G33+DemigodConversion!$I33&gt;CG$5),1,0))</f>
        <v>0</v>
      </c>
      <c r="CI14" s="376">
        <f>IF(SUM($BY14:CH14)=SUM(DemigodConversion!$G33:$L33),0,IF(AND(O14=0,AM14=0,BK14=0,DemigodConversion!$E33+DemigodConversion!$G33+DemigodConversion!$I33&gt;CH$5),1,0))</f>
        <v>0</v>
      </c>
      <c r="CJ14" s="1163" t="s">
        <v>40</v>
      </c>
      <c r="CK14" s="767"/>
      <c r="CL14" s="767"/>
      <c r="CM14" s="767"/>
      <c r="CN14" s="291">
        <f>IF(AND(T14=0,AR14=0,BP14=0,FB12=0,FK12=0,FT12=0,GC12=0,ES12=0,DemigodConversion!$AC9+DemigodConversion!$AF9&gt;0),1,0)</f>
        <v>0</v>
      </c>
      <c r="CO14" s="291">
        <f>IF(AND(U14=0,AS14=0,BQ14=0,FC12=0,FL12=0,FU12=0,GD12=0,ET12=0,DemigodConversion!$AC9+DemigodConversion!$AF9&gt;1),1,0)</f>
        <v>0</v>
      </c>
      <c r="CP14" s="291">
        <f>IF(AND(V14=0,AT14=0,BR14=0,FD12=0,FM12=0,FV12=0,GE12=0,EU12=0,DemigodConversion!$AC9+DemigodConversion!$AF9&gt;2),1,0)</f>
        <v>0</v>
      </c>
      <c r="CQ14" s="291">
        <f>IF(AND(W14=0,AU14=0,BS14=0,FE12=0,FN12=0,FW12=0,GF12=0,EV12=0,DemigodConversion!$AC9+DemigodConversion!$AF9&gt;3),1,0)</f>
        <v>0</v>
      </c>
      <c r="CR14" s="291">
        <f>IF(AND(X14=0,AV14=0,BT14=0,FF12=0,FO12=0,FX12=0,GG12=0,EW12=0,DemigodConversion!$AC9+DemigodConversion!$AF9&gt;4),1,0)</f>
        <v>0</v>
      </c>
      <c r="CS14" s="1186" t="s">
        <v>21</v>
      </c>
      <c r="CT14" s="784"/>
      <c r="CU14" s="784"/>
      <c r="CV14" s="784"/>
      <c r="CW14" s="385">
        <v>0</v>
      </c>
      <c r="CX14" s="291">
        <f>IF(AND(F14=0,AD14=0,BB14=0,BZ14=0,CW$5&lt;SUM(GodConversion!$E33:$L33)),1,0)</f>
        <v>0</v>
      </c>
      <c r="CY14" s="291">
        <f>IF(AND(G14=0,AE14=0,BC14=0,CA14=0,CX$5&lt;SUM(GodConversion!$E33:$L33)),1,0)</f>
        <v>0</v>
      </c>
      <c r="CZ14" s="291">
        <f>IF(AND(H14=0,AF14=0,BD14=0,CB14=0,CY$5&lt;SUM(GodConversion!$E33:$L33)),1,0)</f>
        <v>0</v>
      </c>
      <c r="DA14" s="291">
        <f>IF(AND(I14=0,AG14=0,BE14=0,CC14=0,CZ$5&lt;SUM(GodConversion!$E33:$L33)),1,0)</f>
        <v>0</v>
      </c>
      <c r="DB14" s="291">
        <f>IF(AND(J14=0,AH14=0,BF14=0,CD14=0,DA$5&lt;SUM(GodConversion!$E33:$L33)),1,0)</f>
        <v>0</v>
      </c>
      <c r="DC14" s="291">
        <f>IF(AND(K14=0,AI14=0,BG14=0,CE14=0,DB$5&lt;SUM(GodConversion!$E33:$L33)),1,0)</f>
        <v>0</v>
      </c>
      <c r="DD14" s="291">
        <f>IF(AND(L14=0,AJ14=0,BH14=0,CF14=0,DC$5&lt;SUM(GodConversion!$E33:$L33)),1,0)</f>
        <v>0</v>
      </c>
      <c r="DE14" s="291">
        <f>IF(AND(M14=0,AK14=0,BI14=0,CG14=0,DD$5&lt;SUM(GodConversion!$E33:$L33)),1,0)</f>
        <v>0</v>
      </c>
      <c r="DF14" s="291">
        <f>IF(AND(N14=0,AL14=0,BJ14=0,CH14=0,DE$5&lt;SUM(GodConversion!$E33:$L33)),1,0)</f>
        <v>0</v>
      </c>
      <c r="DG14" s="291">
        <f>IF(AND(O14=0,AM14=0,BK14=0,CI14=0,DF$5&lt;SUM(GodConversion!$E33:$L33)),1,0)</f>
        <v>0</v>
      </c>
      <c r="DH14" s="1163" t="s">
        <v>40</v>
      </c>
      <c r="DI14" s="767"/>
      <c r="DJ14" s="767"/>
      <c r="DK14" s="767"/>
      <c r="DL14" s="291">
        <f>IF(AND(T14=0,AR14=0,BP14=0,ES12=0,FB12=0,FK12=0,FT12=0,GC12=0,CN14=0,0&lt;GodConversion!$AC9+GodConversion!$AF9),1,0)</f>
        <v>0</v>
      </c>
      <c r="DM14" s="291">
        <f>IF(AND(U14=0,AS14=0,BQ14=0,ET12=0,FC12=0,FL12=0,FU12=0,GD12=0,CO14=0,1&lt;GodConversion!$AC9+GodConversion!$AF9),1,0)</f>
        <v>0</v>
      </c>
      <c r="DN14" s="291">
        <f>IF(AND(V14=0,AT14=0,BR14=0,EU12=0,FD12=0,FM12=0,FV12=0,GE12=0,CP14=0,2&lt;GodConversion!$AC9+GodConversion!$AF9),1,0)</f>
        <v>0</v>
      </c>
      <c r="DO14" s="291">
        <f>IF(AND(W14=0,AU14=0,BS14=0,EV12=0,FE12=0,FN12=0,FW12=0,GF12=0,CQ14=0,3&lt;GodConversion!$AC9+GodConversion!$AF9),1,0)</f>
        <v>0</v>
      </c>
      <c r="DP14" s="291">
        <f>IF(AND(X14=0,AV14=0,BT14=0,EW12=0,FF12=0,FO12=0,FX12=0,GG12=0,CR14=0,4&lt;GodConversion!$AC9+GodConversion!$AF9),1,0)</f>
        <v>0</v>
      </c>
      <c r="DQ14" s="1176" t="s">
        <v>21</v>
      </c>
      <c r="DR14" s="804"/>
      <c r="DS14" s="804"/>
      <c r="DT14" s="804"/>
      <c r="DU14" s="301">
        <v>0</v>
      </c>
      <c r="DV14" s="301">
        <f t="shared" ref="DV14:EE14" si="19">IF(AD14=1,DU$5*4,0)</f>
        <v>0</v>
      </c>
      <c r="DW14" s="301">
        <f t="shared" si="19"/>
        <v>0</v>
      </c>
      <c r="DX14" s="301">
        <f t="shared" si="19"/>
        <v>0</v>
      </c>
      <c r="DY14" s="301">
        <f t="shared" si="19"/>
        <v>0</v>
      </c>
      <c r="DZ14" s="301">
        <f t="shared" si="19"/>
        <v>0</v>
      </c>
      <c r="EA14" s="301">
        <f t="shared" si="19"/>
        <v>0</v>
      </c>
      <c r="EB14" s="301">
        <f t="shared" si="19"/>
        <v>0</v>
      </c>
      <c r="EC14" s="301">
        <f t="shared" si="19"/>
        <v>0</v>
      </c>
      <c r="ED14" s="301">
        <f t="shared" si="19"/>
        <v>0</v>
      </c>
      <c r="EE14" s="302">
        <f t="shared" si="19"/>
        <v>0</v>
      </c>
      <c r="EF14" s="1163" t="s">
        <v>40</v>
      </c>
      <c r="EG14" s="767"/>
      <c r="EH14" s="767"/>
      <c r="EI14" s="767"/>
      <c r="EJ14" s="291">
        <f t="shared" si="11"/>
        <v>0</v>
      </c>
      <c r="EK14" s="291">
        <f t="shared" si="12"/>
        <v>0</v>
      </c>
      <c r="EL14" s="291">
        <f t="shared" si="13"/>
        <v>0</v>
      </c>
      <c r="EM14" s="291">
        <f t="shared" si="14"/>
        <v>0</v>
      </c>
      <c r="EN14" s="291">
        <f t="shared" si="15"/>
        <v>0</v>
      </c>
      <c r="EO14" s="1164" t="s">
        <v>42</v>
      </c>
      <c r="EP14" s="1165"/>
      <c r="EQ14" s="1165"/>
      <c r="ER14" s="1166"/>
      <c r="ES14" s="398"/>
      <c r="ET14" s="399"/>
      <c r="EU14" s="381"/>
      <c r="EV14" s="381"/>
      <c r="EW14" s="381"/>
      <c r="EX14" s="1113" t="s">
        <v>42</v>
      </c>
      <c r="EY14" s="1114"/>
      <c r="EZ14" s="1114"/>
      <c r="FA14" s="1117"/>
      <c r="FB14" s="393"/>
      <c r="FC14" s="394"/>
      <c r="FD14" s="394"/>
      <c r="FE14" s="394"/>
      <c r="FF14" s="395"/>
      <c r="FG14" s="1123" t="s">
        <v>42</v>
      </c>
      <c r="FH14" s="1114"/>
      <c r="FI14" s="1114"/>
      <c r="FJ14" s="1115"/>
      <c r="FK14" s="515"/>
      <c r="FL14" s="516"/>
      <c r="FM14" s="516"/>
      <c r="FN14" s="516"/>
      <c r="FO14" s="517"/>
      <c r="FP14" s="1113" t="s">
        <v>42</v>
      </c>
      <c r="FQ14" s="1114"/>
      <c r="FR14" s="1114"/>
      <c r="FS14" s="1117"/>
      <c r="FT14" s="393"/>
      <c r="FU14" s="394"/>
      <c r="FV14" s="394"/>
      <c r="FW14" s="394"/>
      <c r="FX14" s="395"/>
      <c r="FY14" s="1113" t="s">
        <v>42</v>
      </c>
      <c r="FZ14" s="1114"/>
      <c r="GA14" s="1114"/>
      <c r="GB14" s="1115"/>
      <c r="GC14" s="515"/>
      <c r="GD14" s="516"/>
      <c r="GE14" s="516"/>
      <c r="GF14" s="516"/>
      <c r="GG14" s="517"/>
      <c r="GK14" s="396" t="s">
        <v>42</v>
      </c>
      <c r="GL14" s="396">
        <f t="shared" si="8"/>
        <v>0</v>
      </c>
      <c r="GM14" s="396">
        <f>IF($GK14=Creation!$Q$28,1,0)</f>
        <v>0</v>
      </c>
      <c r="GN14" s="396">
        <f>IF($GK14=Creation!$Q$29,1,0)</f>
        <v>0</v>
      </c>
      <c r="GO14" s="396">
        <f>IF($GK14=Creation!$Q$30,1,0)</f>
        <v>0</v>
      </c>
      <c r="GP14" s="396">
        <f>IF($GK14=Creation!$Q$31,1,0)</f>
        <v>0</v>
      </c>
      <c r="GQ14" s="396">
        <f>IF($GK14=Creation!$Q$32,1,0)</f>
        <v>0</v>
      </c>
      <c r="GR14" s="396">
        <f>IF($GK14=Creation!$Q$33,1,0)</f>
        <v>0</v>
      </c>
    </row>
    <row r="15" spans="1:200" x14ac:dyDescent="0.25">
      <c r="A15" s="721" t="s">
        <v>66</v>
      </c>
      <c r="B15" s="722"/>
      <c r="C15" s="722"/>
      <c r="D15" s="722"/>
      <c r="E15" s="288">
        <v>1</v>
      </c>
      <c r="F15" s="288">
        <v>2</v>
      </c>
      <c r="G15" s="288">
        <v>3</v>
      </c>
      <c r="H15" s="334">
        <v>4</v>
      </c>
      <c r="I15" s="334">
        <v>5</v>
      </c>
      <c r="J15" s="334">
        <v>6</v>
      </c>
      <c r="K15" s="334">
        <v>7</v>
      </c>
      <c r="L15" s="334">
        <v>8</v>
      </c>
      <c r="M15" s="334">
        <v>9</v>
      </c>
      <c r="N15" s="334">
        <v>10</v>
      </c>
      <c r="O15" s="375">
        <v>11</v>
      </c>
      <c r="P15" s="1163" t="s">
        <v>41</v>
      </c>
      <c r="Q15" s="767"/>
      <c r="R15" s="767"/>
      <c r="S15" s="767"/>
      <c r="T15" s="291">
        <f>IF(Creation!AC10+Creation!AF10&gt;0,1,0)</f>
        <v>0</v>
      </c>
      <c r="U15" s="291">
        <f>IF(Creation!AC10+Creation!AF10&gt;1,1,0)</f>
        <v>0</v>
      </c>
      <c r="V15" s="291">
        <f>IF(Creation!AC10+Creation!AF10&gt;2,1,0)</f>
        <v>0</v>
      </c>
      <c r="W15" s="291">
        <f>IF(Creation!AC10+Creation!AF10&gt;3,1,0)</f>
        <v>0</v>
      </c>
      <c r="X15" s="376">
        <f>IF(Creation!AC10+Creation!AF10&gt;4,1,0)</f>
        <v>0</v>
      </c>
      <c r="Y15" s="721" t="s">
        <v>66</v>
      </c>
      <c r="Z15" s="722"/>
      <c r="AA15" s="722"/>
      <c r="AB15" s="833"/>
      <c r="AC15" s="401">
        <v>1</v>
      </c>
      <c r="AD15" s="298">
        <v>2</v>
      </c>
      <c r="AE15" s="298">
        <v>3</v>
      </c>
      <c r="AF15" s="371">
        <v>4</v>
      </c>
      <c r="AG15" s="371">
        <v>5</v>
      </c>
      <c r="AH15" s="371">
        <v>6</v>
      </c>
      <c r="AI15" s="371">
        <v>7</v>
      </c>
      <c r="AJ15" s="371">
        <v>8</v>
      </c>
      <c r="AK15" s="371">
        <v>9</v>
      </c>
      <c r="AL15" s="371">
        <v>10</v>
      </c>
      <c r="AM15" s="372">
        <v>11</v>
      </c>
      <c r="AN15" s="1163" t="s">
        <v>41</v>
      </c>
      <c r="AO15" s="767"/>
      <c r="AP15" s="767"/>
      <c r="AQ15" s="768"/>
      <c r="AR15" s="392"/>
      <c r="AS15" s="381"/>
      <c r="AT15" s="381"/>
      <c r="AU15" s="381"/>
      <c r="AV15" s="382"/>
      <c r="AW15" s="774" t="s">
        <v>66</v>
      </c>
      <c r="AX15" s="722"/>
      <c r="AY15" s="722"/>
      <c r="AZ15" s="833"/>
      <c r="BA15" s="402">
        <v>1</v>
      </c>
      <c r="BB15" s="298">
        <v>2</v>
      </c>
      <c r="BC15" s="298">
        <v>3</v>
      </c>
      <c r="BD15" s="371">
        <v>4</v>
      </c>
      <c r="BE15" s="371">
        <v>5</v>
      </c>
      <c r="BF15" s="371">
        <v>6</v>
      </c>
      <c r="BG15" s="371">
        <v>7</v>
      </c>
      <c r="BH15" s="371">
        <v>8</v>
      </c>
      <c r="BI15" s="371">
        <v>9</v>
      </c>
      <c r="BJ15" s="371">
        <v>10</v>
      </c>
      <c r="BK15" s="372">
        <v>11</v>
      </c>
      <c r="BL15" s="1163" t="s">
        <v>41</v>
      </c>
      <c r="BM15" s="767"/>
      <c r="BN15" s="767"/>
      <c r="BO15" s="768"/>
      <c r="BP15" s="400"/>
      <c r="BQ15" s="381"/>
      <c r="BR15" s="381"/>
      <c r="BS15" s="381"/>
      <c r="BT15" s="382"/>
      <c r="BU15" s="774" t="s">
        <v>66</v>
      </c>
      <c r="BV15" s="722"/>
      <c r="BW15" s="722"/>
      <c r="BX15" s="722"/>
      <c r="BY15" s="288">
        <v>1</v>
      </c>
      <c r="BZ15" s="288">
        <v>2</v>
      </c>
      <c r="CA15" s="288">
        <v>3</v>
      </c>
      <c r="CB15" s="334">
        <v>4</v>
      </c>
      <c r="CC15" s="334">
        <v>5</v>
      </c>
      <c r="CD15" s="334">
        <v>6</v>
      </c>
      <c r="CE15" s="334">
        <v>7</v>
      </c>
      <c r="CF15" s="334">
        <v>8</v>
      </c>
      <c r="CG15" s="334">
        <v>9</v>
      </c>
      <c r="CH15" s="334">
        <v>10</v>
      </c>
      <c r="CI15" s="367">
        <v>11</v>
      </c>
      <c r="CJ15" s="1163" t="s">
        <v>41</v>
      </c>
      <c r="CK15" s="767"/>
      <c r="CL15" s="767"/>
      <c r="CM15" s="767"/>
      <c r="CN15" s="291">
        <f>IF(AND(T15=0,AR15=0,BP15=0,FB13=0,FK13=0,FT13=0,GC13=0,ES13=0,DemigodConversion!$AC10+DemigodConversion!$AF10&gt;0),1,0)</f>
        <v>0</v>
      </c>
      <c r="CO15" s="291">
        <f>IF(AND(U15=0,AS15=0,BQ15=0,FC13=0,FL13=0,FU13=0,GD13=0,ET13=0,DemigodConversion!$AC10+DemigodConversion!$AF10&gt;1),1,0)</f>
        <v>0</v>
      </c>
      <c r="CP15" s="291">
        <f>IF(AND(V15=0,AT15=0,BR15=0,FD13=0,FM13=0,FV13=0,GE13=0,EU13=0,DemigodConversion!$AC10+DemigodConversion!$AF10&gt;2),1,0)</f>
        <v>0</v>
      </c>
      <c r="CQ15" s="291">
        <f>IF(AND(W15=0,AU15=0,BS15=0,FE13=0,FN13=0,FW13=0,GF13=0,EV13=0,DemigodConversion!$AC10+DemigodConversion!$AF10&gt;3),1,0)</f>
        <v>0</v>
      </c>
      <c r="CR15" s="291">
        <f>IF(AND(X15=0,AV15=0,BT15=0,FF13=0,FO13=0,FX13=0,GG13=0,EW13=0,DemigodConversion!$AC10+DemigodConversion!$AF10&gt;4),1,0)</f>
        <v>0</v>
      </c>
      <c r="CS15" s="774" t="s">
        <v>66</v>
      </c>
      <c r="CT15" s="722"/>
      <c r="CU15" s="722"/>
      <c r="CV15" s="722"/>
      <c r="CW15" s="288">
        <v>1</v>
      </c>
      <c r="CX15" s="288">
        <v>2</v>
      </c>
      <c r="CY15" s="288">
        <v>3</v>
      </c>
      <c r="CZ15" s="334">
        <v>4</v>
      </c>
      <c r="DA15" s="334">
        <v>5</v>
      </c>
      <c r="DB15" s="334">
        <v>6</v>
      </c>
      <c r="DC15" s="334">
        <v>7</v>
      </c>
      <c r="DD15" s="334">
        <v>8</v>
      </c>
      <c r="DE15" s="334">
        <v>9</v>
      </c>
      <c r="DF15" s="334">
        <v>10</v>
      </c>
      <c r="DG15" s="375">
        <v>11</v>
      </c>
      <c r="DH15" s="1104" t="s">
        <v>41</v>
      </c>
      <c r="DI15" s="767"/>
      <c r="DJ15" s="767"/>
      <c r="DK15" s="767"/>
      <c r="DL15" s="291">
        <f>IF(AND(T15=0,AR15=0,BP15=0,ES13=0,FB13=0,FK13=0,FT13=0,GC13=0,CN15=0,0&lt;GodConversion!$AC10+GodConversion!$AF10),1,0)</f>
        <v>0</v>
      </c>
      <c r="DM15" s="291">
        <f>IF(AND(U15=0,AS15=0,BQ15=0,ET13=0,FC13=0,FL13=0,FU13=0,GD13=0,CO15=0,1&lt;GodConversion!$AC10+GodConversion!$AF10),1,0)</f>
        <v>0</v>
      </c>
      <c r="DN15" s="291">
        <f>IF(AND(V15=0,AT15=0,BR15=0,EU13=0,FD13=0,FM13=0,FV13=0,GE13=0,CP15=0,2&lt;GodConversion!$AC10+GodConversion!$AF10),1,0)</f>
        <v>0</v>
      </c>
      <c r="DO15" s="291">
        <f>IF(AND(W15=0,AU15=0,BS15=0,EV13=0,FE13=0,FN13=0,FW13=0,GF13=0,CQ15=0,3&lt;GodConversion!$AC10+GodConversion!$AF10),1,0)</f>
        <v>0</v>
      </c>
      <c r="DP15" s="291">
        <f>IF(AND(X15=0,AV15=0,BT15=0,EW13=0,FF13=0,FO13=0,FX13=0,GG13=0,CR15=0,4&lt;GodConversion!$AC10+GodConversion!$AF10),1,0)</f>
        <v>0</v>
      </c>
      <c r="DQ15" s="721" t="s">
        <v>66</v>
      </c>
      <c r="DR15" s="722"/>
      <c r="DS15" s="722"/>
      <c r="DT15" s="722"/>
      <c r="DU15" s="288">
        <v>1</v>
      </c>
      <c r="DV15" s="288">
        <v>2</v>
      </c>
      <c r="DW15" s="288">
        <v>3</v>
      </c>
      <c r="DX15" s="334">
        <v>4</v>
      </c>
      <c r="DY15" s="334">
        <v>5</v>
      </c>
      <c r="DZ15" s="334">
        <v>6</v>
      </c>
      <c r="EA15" s="334">
        <v>7</v>
      </c>
      <c r="EB15" s="334">
        <v>8</v>
      </c>
      <c r="EC15" s="334">
        <v>9</v>
      </c>
      <c r="ED15" s="334">
        <v>10</v>
      </c>
      <c r="EE15" s="375">
        <v>11</v>
      </c>
      <c r="EF15" s="1163" t="s">
        <v>41</v>
      </c>
      <c r="EG15" s="767"/>
      <c r="EH15" s="767"/>
      <c r="EI15" s="767"/>
      <c r="EJ15" s="291">
        <f t="shared" si="11"/>
        <v>0</v>
      </c>
      <c r="EK15" s="291">
        <f t="shared" si="12"/>
        <v>0</v>
      </c>
      <c r="EL15" s="291">
        <f t="shared" si="13"/>
        <v>0</v>
      </c>
      <c r="EM15" s="291">
        <f t="shared" si="14"/>
        <v>0</v>
      </c>
      <c r="EN15" s="291">
        <f t="shared" si="15"/>
        <v>0</v>
      </c>
      <c r="EO15" s="1164" t="s">
        <v>43</v>
      </c>
      <c r="EP15" s="1165"/>
      <c r="EQ15" s="1165"/>
      <c r="ER15" s="1166"/>
      <c r="ES15" s="398"/>
      <c r="ET15" s="399"/>
      <c r="EU15" s="381"/>
      <c r="EV15" s="381"/>
      <c r="EW15" s="381"/>
      <c r="EX15" s="1113" t="s">
        <v>43</v>
      </c>
      <c r="EY15" s="1114"/>
      <c r="EZ15" s="1114"/>
      <c r="FA15" s="1117"/>
      <c r="FB15" s="393"/>
      <c r="FC15" s="394"/>
      <c r="FD15" s="394"/>
      <c r="FE15" s="394"/>
      <c r="FF15" s="395"/>
      <c r="FG15" s="1123" t="s">
        <v>43</v>
      </c>
      <c r="FH15" s="1114"/>
      <c r="FI15" s="1114"/>
      <c r="FJ15" s="1115"/>
      <c r="FK15" s="515"/>
      <c r="FL15" s="516"/>
      <c r="FM15" s="516"/>
      <c r="FN15" s="516"/>
      <c r="FO15" s="517"/>
      <c r="FP15" s="1113" t="s">
        <v>43</v>
      </c>
      <c r="FQ15" s="1114"/>
      <c r="FR15" s="1114"/>
      <c r="FS15" s="1117"/>
      <c r="FT15" s="393"/>
      <c r="FU15" s="394"/>
      <c r="FV15" s="394"/>
      <c r="FW15" s="394"/>
      <c r="FX15" s="395"/>
      <c r="FY15" s="1113" t="s">
        <v>43</v>
      </c>
      <c r="FZ15" s="1114"/>
      <c r="GA15" s="1114"/>
      <c r="GB15" s="1115"/>
      <c r="GC15" s="515"/>
      <c r="GD15" s="516"/>
      <c r="GE15" s="516"/>
      <c r="GF15" s="516"/>
      <c r="GG15" s="517"/>
      <c r="GK15" s="396" t="s">
        <v>43</v>
      </c>
      <c r="GL15" s="396">
        <f t="shared" si="8"/>
        <v>0</v>
      </c>
      <c r="GM15" s="396">
        <f>IF($GK15=Creation!$Q$28,1,0)</f>
        <v>0</v>
      </c>
      <c r="GN15" s="396">
        <f>IF($GK15=Creation!$Q$29,1,0)</f>
        <v>0</v>
      </c>
      <c r="GO15" s="396">
        <f>IF($GK15=Creation!$Q$30,1,0)</f>
        <v>0</v>
      </c>
      <c r="GP15" s="396">
        <f>IF($GK15=Creation!$Q$31,1,0)</f>
        <v>0</v>
      </c>
      <c r="GQ15" s="396">
        <f>IF($GK15=Creation!$Q$32,1,0)</f>
        <v>0</v>
      </c>
      <c r="GR15" s="396">
        <f>IF($GK15=Creation!$Q$33,1,0)</f>
        <v>0</v>
      </c>
    </row>
    <row r="16" spans="1:200" x14ac:dyDescent="0.25">
      <c r="A16" s="1163" t="s">
        <v>30</v>
      </c>
      <c r="B16" s="767"/>
      <c r="C16" s="767"/>
      <c r="D16" s="767"/>
      <c r="E16" s="291">
        <f>IF(Creation!BO4+Creation!BQ4&gt;0,1,0)</f>
        <v>0</v>
      </c>
      <c r="F16" s="291">
        <f>IF(Creation!BO4+Creation!BQ4&gt;1,1,0)</f>
        <v>0</v>
      </c>
      <c r="G16" s="291">
        <f>IF(Creation!BO4+Creation!BQ4&gt;2,1,0)</f>
        <v>0</v>
      </c>
      <c r="H16" s="291">
        <f>IF(Creation!BO4+Creation!BQ4&gt;3,1,0)</f>
        <v>0</v>
      </c>
      <c r="I16" s="291">
        <f>IF(Creation!BO4+Creation!BQ4&gt;4,1,0)</f>
        <v>0</v>
      </c>
      <c r="J16" s="291">
        <f>IF(Creation!BO4+Creation!BQ4&gt;5,1,0)</f>
        <v>0</v>
      </c>
      <c r="K16" s="291">
        <f>IF(Creation!BO4+Creation!BQ4&gt;6,1,0)</f>
        <v>0</v>
      </c>
      <c r="L16" s="291">
        <f>IF(Creation!BO4+Creation!BQ4&gt;7,1,0)</f>
        <v>0</v>
      </c>
      <c r="M16" s="291">
        <f>IF(Creation!BO4+Creation!BQ4&gt;8,1,0)</f>
        <v>0</v>
      </c>
      <c r="N16" s="291">
        <f>IF(Creation!BO4+Creation!BQ4&gt;9,1,0)</f>
        <v>0</v>
      </c>
      <c r="O16" s="292">
        <f>IF(Creation!BO4+Creation!BQ4&gt;10,1,0)</f>
        <v>0</v>
      </c>
      <c r="P16" s="1163" t="s">
        <v>42</v>
      </c>
      <c r="Q16" s="767"/>
      <c r="R16" s="767"/>
      <c r="S16" s="767"/>
      <c r="T16" s="291">
        <f>IF(Creation!AC11+Creation!AF11&gt;0,1,0)</f>
        <v>0</v>
      </c>
      <c r="U16" s="291">
        <f>IF(Creation!AC11+Creation!AF11&gt;1,1,0)</f>
        <v>0</v>
      </c>
      <c r="V16" s="291">
        <f>IF(Creation!AC11+Creation!AF11&gt;2,1,0)</f>
        <v>0</v>
      </c>
      <c r="W16" s="291">
        <f>IF(Creation!AC11+Creation!AF11&gt;3,1,0)</f>
        <v>0</v>
      </c>
      <c r="X16" s="376">
        <f>IF(Creation!AC11+Creation!AF11&gt;4,1,0)</f>
        <v>0</v>
      </c>
      <c r="Y16" s="1163" t="s">
        <v>30</v>
      </c>
      <c r="Z16" s="767"/>
      <c r="AA16" s="767"/>
      <c r="AB16" s="768"/>
      <c r="AC16" s="392"/>
      <c r="AD16" s="381"/>
      <c r="AE16" s="381"/>
      <c r="AF16" s="381"/>
      <c r="AG16" s="381"/>
      <c r="AH16" s="381"/>
      <c r="AI16" s="381"/>
      <c r="AJ16" s="381"/>
      <c r="AK16" s="381"/>
      <c r="AL16" s="381"/>
      <c r="AM16" s="382"/>
      <c r="AN16" s="1163" t="s">
        <v>42</v>
      </c>
      <c r="AO16" s="767"/>
      <c r="AP16" s="767"/>
      <c r="AQ16" s="768"/>
      <c r="AR16" s="392"/>
      <c r="AS16" s="381"/>
      <c r="AT16" s="381"/>
      <c r="AU16" s="381"/>
      <c r="AV16" s="382"/>
      <c r="AW16" s="1104" t="s">
        <v>30</v>
      </c>
      <c r="AX16" s="767"/>
      <c r="AY16" s="767"/>
      <c r="AZ16" s="768"/>
      <c r="BA16" s="400"/>
      <c r="BB16" s="381"/>
      <c r="BC16" s="381"/>
      <c r="BD16" s="381"/>
      <c r="BE16" s="381"/>
      <c r="BF16" s="381"/>
      <c r="BG16" s="381"/>
      <c r="BH16" s="381"/>
      <c r="BI16" s="381"/>
      <c r="BJ16" s="381"/>
      <c r="BK16" s="382"/>
      <c r="BL16" s="1163" t="s">
        <v>42</v>
      </c>
      <c r="BM16" s="767"/>
      <c r="BN16" s="767"/>
      <c r="BO16" s="768"/>
      <c r="BP16" s="400"/>
      <c r="BQ16" s="381"/>
      <c r="BR16" s="381"/>
      <c r="BS16" s="381"/>
      <c r="BT16" s="382"/>
      <c r="BU16" s="1104" t="s">
        <v>30</v>
      </c>
      <c r="BV16" s="767"/>
      <c r="BW16" s="767"/>
      <c r="BX16" s="767"/>
      <c r="BY16" s="291">
        <f>IF(AND(E16=0,AC16=0,BA16=0,DemigodConversion!$BM4+DemigodConversion!$BO4+DemigodConversion!$BQ4&gt;0),1,0)</f>
        <v>0</v>
      </c>
      <c r="BZ16" s="291">
        <f>IF(SUM($BY16:BY16)=SUM(DemigodConversion!$BO4:$BR4),0,IF(AND(F16=0,AD16=0,BB16=0,DemigodConversion!$BM4+DemigodConversion!$BO4+DemigodConversion!$BQ4&gt;BY$15),1,0))</f>
        <v>0</v>
      </c>
      <c r="CA16" s="291">
        <f>IF(SUM($BY16:BZ16)=SUM(DemigodConversion!$BO4:$BR4),0,IF(AND(G16=0,AE16=0,BC16=0,DemigodConversion!$BM4+DemigodConversion!$BO4+DemigodConversion!$BQ4&gt;BZ$15),1,0))</f>
        <v>0</v>
      </c>
      <c r="CB16" s="291">
        <f>IF(SUM($BY16:CA16)=SUM(DemigodConversion!$BO4:$BR4),0,IF(AND(H16=0,AF16=0,BD16=0,DemigodConversion!$BM4+DemigodConversion!$BO4+DemigodConversion!$BQ4&gt;CA$15),1,0))</f>
        <v>0</v>
      </c>
      <c r="CC16" s="291">
        <f>IF(SUM($BY16:CB16)=SUM(DemigodConversion!$BO4:$BR4),0,IF(AND(I16=0,AG16=0,BE16=0,DemigodConversion!$BM4+DemigodConversion!$BO4+DemigodConversion!$BQ4&gt;CB$15),1,0))</f>
        <v>0</v>
      </c>
      <c r="CD16" s="291">
        <f>IF(SUM($BY16:CC16)=SUM(DemigodConversion!$BO4:$BR4),0,IF(AND(J16=0,AH16=0,BF16=0,DemigodConversion!$BM4+DemigodConversion!$BO4+DemigodConversion!$BQ4&gt;CC$15),1,0))</f>
        <v>0</v>
      </c>
      <c r="CE16" s="291">
        <f>IF(SUM($BY16:CD16)=SUM(DemigodConversion!$BO4:$BR4),0,IF(AND(K16=0,AI16=0,BG16=0,DemigodConversion!$BM4+DemigodConversion!$BO4+DemigodConversion!$BQ4&gt;CD$15),1,0))</f>
        <v>0</v>
      </c>
      <c r="CF16" s="291">
        <f>IF(SUM($BY16:CE16)=SUM(DemigodConversion!$BO4:$BR4),0,IF(AND(L16=0,AJ16=0,BH16=0,DemigodConversion!$BM4+DemigodConversion!$BO4+DemigodConversion!$BQ4&gt;CE$15),1,0))</f>
        <v>0</v>
      </c>
      <c r="CG16" s="291">
        <f>IF(SUM($BY16:CF16)=SUM(DemigodConversion!$BO4:$BR4),0,IF(AND(M16=0,AK16=0,BI16=0,DemigodConversion!$BM4+DemigodConversion!$BO4+DemigodConversion!$BQ4&gt;CF$15),1,0))</f>
        <v>0</v>
      </c>
      <c r="CH16" s="291">
        <f>IF(SUM($BY16:CG16)=SUM(DemigodConversion!$BO4:$BR4),0,IF(AND(N16=0,AL16=0,BJ16=0,DemigodConversion!$BM4+DemigodConversion!$BO4+DemigodConversion!$BQ4&gt;CG$15),1,0))</f>
        <v>0</v>
      </c>
      <c r="CI16" s="376">
        <f>IF(SUM($BY16:CH16)=SUM(DemigodConversion!$BO4:$BR4),0,IF(AND(O16=0,AM16=0,BK16=0,DemigodConversion!$BM4+DemigodConversion!$BO4+DemigodConversion!$BQ4&gt;CH$15),1,0))</f>
        <v>0</v>
      </c>
      <c r="CJ16" s="1163" t="s">
        <v>42</v>
      </c>
      <c r="CK16" s="767"/>
      <c r="CL16" s="767"/>
      <c r="CM16" s="767"/>
      <c r="CN16" s="291">
        <f>IF(AND(T16=0,AR16=0,BP16=0,FB14=0,FK14=0,FT14=0,GC14=0,ES14=0,DemigodConversion!$AC11+DemigodConversion!$AF11&gt;0),1,0)</f>
        <v>0</v>
      </c>
      <c r="CO16" s="291">
        <f>IF(AND(U16=0,AS16=0,BQ16=0,FC14=0,FL14=0,FU14=0,GD14=0,ET14=0,DemigodConversion!$AC11+DemigodConversion!$AF11&gt;1),1,0)</f>
        <v>0</v>
      </c>
      <c r="CP16" s="291">
        <f>IF(AND(V16=0,AT16=0,BR16=0,FD14=0,FM14=0,FV14=0,GE14=0,EU14=0,DemigodConversion!$AC11+DemigodConversion!$AF11&gt;2),1,0)</f>
        <v>0</v>
      </c>
      <c r="CQ16" s="291">
        <f>IF(AND(W16=0,AU16=0,BS16=0,FE14=0,FN14=0,FW14=0,GF14=0,EV14=0,DemigodConversion!$AC11+DemigodConversion!$AF11&gt;3),1,0)</f>
        <v>0</v>
      </c>
      <c r="CR16" s="291">
        <f>IF(AND(X16=0,AV16=0,BT16=0,FF14=0,FO14=0,FX14=0,GG14=0,EW14=0,DemigodConversion!$AC11+DemigodConversion!$AF11&gt;4),1,0)</f>
        <v>0</v>
      </c>
      <c r="CS16" s="1104" t="s">
        <v>30</v>
      </c>
      <c r="CT16" s="767"/>
      <c r="CU16" s="767"/>
      <c r="CV16" s="767"/>
      <c r="CW16" s="291">
        <f>IF(AND(E16=0,AC16=0,BA16=0,BY16=0,0&lt;SUM(GodConversion!$BM4:$BR4)),1,0)</f>
        <v>0</v>
      </c>
      <c r="CX16" s="291">
        <f>IF(AND(F16=0,AD16=0,BB16=0,BZ16=0,CW$15&lt;SUM(GodConversion!$BM4:$BR4)),1,0)</f>
        <v>0</v>
      </c>
      <c r="CY16" s="291">
        <f>IF(AND(G16=0,AE16=0,BC16=0,CA16=0,CX$15&lt;SUM(GodConversion!$BM4:$BR4)),1,0)</f>
        <v>0</v>
      </c>
      <c r="CZ16" s="291">
        <f>IF(AND(H16=0,AF16=0,BD16=0,CB16=0,CY$15&lt;SUM(GodConversion!$BM4:$BR4)),1,0)</f>
        <v>0</v>
      </c>
      <c r="DA16" s="291">
        <f>IF(AND(I16=0,AG16=0,BE16=0,CC16=0,CZ$15&lt;SUM(GodConversion!$BM4:$BR4)),1,0)</f>
        <v>0</v>
      </c>
      <c r="DB16" s="291">
        <f>IF(AND(J16=0,AH16=0,BF16=0,CD16=0,DA$15&lt;SUM(GodConversion!$BM4:$BR4)),1,0)</f>
        <v>0</v>
      </c>
      <c r="DC16" s="291">
        <f>IF(AND(K16=0,AI16=0,BG16=0,CE16=0,DB$15&lt;SUM(GodConversion!$BM4:$BR4)),1,0)</f>
        <v>0</v>
      </c>
      <c r="DD16" s="291">
        <f>IF(AND(L16=0,AJ16=0,BH16=0,CF16=0,DC$15&lt;SUM(GodConversion!$BM4:$BR4)),1,0)</f>
        <v>0</v>
      </c>
      <c r="DE16" s="291">
        <f>IF(AND(M16=0,AK16=0,BI16=0,CG16=0,DD$15&lt;SUM(GodConversion!$BM4:$BR4)),1,0)</f>
        <v>0</v>
      </c>
      <c r="DF16" s="291">
        <f>IF(AND(N16=0,AL16=0,BJ16=0,CH16=0,DE$15&lt;SUM(GodConversion!$BM4:$BR4)),1,0)</f>
        <v>0</v>
      </c>
      <c r="DG16" s="292">
        <f>IF(AND(O16=0,AM16=0,BK16=0,CI16=0,DF$15&lt;SUM(GodConversion!$BM4:$BR4)),1,0)</f>
        <v>0</v>
      </c>
      <c r="DH16" s="1104" t="s">
        <v>42</v>
      </c>
      <c r="DI16" s="767"/>
      <c r="DJ16" s="767"/>
      <c r="DK16" s="767"/>
      <c r="DL16" s="291">
        <f>IF(AND(T16=0,AR16=0,BP16=0,ES14=0,FB14=0,FK14=0,FT14=0,GC14=0,CN16=0,0&lt;GodConversion!$AC11+GodConversion!$AF11),1,0)</f>
        <v>0</v>
      </c>
      <c r="DM16" s="291">
        <f>IF(AND(U16=0,AS16=0,BQ16=0,ET14=0,FC14=0,FL14=0,FU14=0,GD14=0,CO16=0,1&lt;GodConversion!$AC11+GodConversion!$AF11),1,0)</f>
        <v>0</v>
      </c>
      <c r="DN16" s="291">
        <f>IF(AND(V16=0,AT16=0,BR16=0,EU14=0,FD14=0,FM14=0,FV14=0,GE14=0,CP16=0,2&lt;GodConversion!$AC11+GodConversion!$AF11),1,0)</f>
        <v>0</v>
      </c>
      <c r="DO16" s="291">
        <f>IF(AND(W16=0,AU16=0,BS16=0,EV14=0,FE14=0,FN14=0,FW14=0,GF14=0,CQ16=0,3&lt;GodConversion!$AC11+GodConversion!$AF11),1,0)</f>
        <v>0</v>
      </c>
      <c r="DP16" s="291">
        <f>IF(AND(X16=0,AV16=0,BT16=0,EW14=0,FF14=0,FO14=0,FX14=0,GG14=0,CR16=0,4&lt;GodConversion!$AC11+GodConversion!$AF11),1,0)</f>
        <v>0</v>
      </c>
      <c r="DQ16" s="1163" t="s">
        <v>30</v>
      </c>
      <c r="DR16" s="767"/>
      <c r="DS16" s="767"/>
      <c r="DT16" s="767"/>
      <c r="DU16" s="291">
        <f>IF($AC16=1,IF(LOOKUP(CharacterSheet!$AK$7,AssociatedRef!$A$2:$A$130,AssociatedRef!$B$2:$B$130)="Yes",8,10),0)</f>
        <v>0</v>
      </c>
      <c r="DV16" s="291">
        <f>IF(AD16=1,IF(LOOKUP(CharacterSheet!$AK$7,AssociatedRef!$A$2:$A$130,AssociatedRef!$B$2:$B$130)="Yes",DU$15*4,DU$15*5),0)</f>
        <v>0</v>
      </c>
      <c r="DW16" s="291">
        <f>IF(AE16=1,IF(LOOKUP(CharacterSheet!$AK$7,AssociatedRef!$A$2:$A$130,AssociatedRef!$B$2:$B$130)="Yes",DV$15*4,DV$15*5),0)</f>
        <v>0</v>
      </c>
      <c r="DX16" s="291">
        <f>IF(AF16=1,IF(LOOKUP(CharacterSheet!$AK$7,AssociatedRef!$A$2:$A$130,AssociatedRef!$B$2:$B$130)="Yes",DW$15*4,DW$15*5),0)</f>
        <v>0</v>
      </c>
      <c r="DY16" s="291">
        <f>IF(AG16=1,IF(LOOKUP(CharacterSheet!$AK$7,AssociatedRef!$A$2:$A$130,AssociatedRef!$B$2:$B$130)="Yes",DX$15*4,DX$15*5),0)</f>
        <v>0</v>
      </c>
      <c r="DZ16" s="291">
        <f>IF(AH16=1,IF(LOOKUP(CharacterSheet!$AK$7,AssociatedRef!$A$2:$A$130,AssociatedRef!$B$2:$B$130)="Yes",DY$15*4,DY$15*5),0)</f>
        <v>0</v>
      </c>
      <c r="EA16" s="291">
        <f>IF(AI16=1,IF(LOOKUP(CharacterSheet!$AK$7,AssociatedRef!$A$2:$A$130,AssociatedRef!$B$2:$B$130)="Yes",DZ$15*4,DZ$15*5),0)</f>
        <v>0</v>
      </c>
      <c r="EB16" s="291">
        <f>IF(AJ16=1,IF(LOOKUP(CharacterSheet!$AK$7,AssociatedRef!$A$2:$A$130,AssociatedRef!$B$2:$B$130)="Yes",EA$15*4,EA$15*5),0)</f>
        <v>0</v>
      </c>
      <c r="EC16" s="291">
        <f>IF(AK16=1,IF(LOOKUP(CharacterSheet!$AK$7,AssociatedRef!$A$2:$A$130,AssociatedRef!$B$2:$B$130)="Yes",EB$15*4,EB$15*5),0)</f>
        <v>0</v>
      </c>
      <c r="ED16" s="291">
        <f>IF(AL16=1,IF(LOOKUP(CharacterSheet!$AK$7,AssociatedRef!$A$2:$A$130,AssociatedRef!$B$2:$B$130)="Yes",EC$15*4,EC$15*5),0)</f>
        <v>0</v>
      </c>
      <c r="EE16" s="292">
        <f>IF(AM16=1,IF(LOOKUP(CharacterSheet!$AK$7,AssociatedRef!$A$2:$A$130,AssociatedRef!$B$2:$B$130)="Yes",ED$15*4,ED$15*5),0)</f>
        <v>0</v>
      </c>
      <c r="EF16" s="1163" t="s">
        <v>42</v>
      </c>
      <c r="EG16" s="767"/>
      <c r="EH16" s="767"/>
      <c r="EI16" s="767"/>
      <c r="EJ16" s="291">
        <f t="shared" si="11"/>
        <v>0</v>
      </c>
      <c r="EK16" s="291">
        <f t="shared" si="12"/>
        <v>0</v>
      </c>
      <c r="EL16" s="291">
        <f t="shared" si="13"/>
        <v>0</v>
      </c>
      <c r="EM16" s="291">
        <f t="shared" si="14"/>
        <v>0</v>
      </c>
      <c r="EN16" s="291">
        <f t="shared" si="15"/>
        <v>0</v>
      </c>
      <c r="EO16" s="1164" t="s">
        <v>44</v>
      </c>
      <c r="EP16" s="1165"/>
      <c r="EQ16" s="1165"/>
      <c r="ER16" s="1166"/>
      <c r="ES16" s="398"/>
      <c r="ET16" s="399"/>
      <c r="EU16" s="381"/>
      <c r="EV16" s="381"/>
      <c r="EW16" s="381"/>
      <c r="EX16" s="1118" t="s">
        <v>44</v>
      </c>
      <c r="EY16" s="964"/>
      <c r="EZ16" s="964"/>
      <c r="FA16" s="1119"/>
      <c r="FB16" s="503"/>
      <c r="FC16" s="504"/>
      <c r="FD16" s="504"/>
      <c r="FE16" s="504"/>
      <c r="FF16" s="505"/>
      <c r="FG16" s="1123" t="s">
        <v>44</v>
      </c>
      <c r="FH16" s="1114"/>
      <c r="FI16" s="1114"/>
      <c r="FJ16" s="1115"/>
      <c r="FK16" s="515"/>
      <c r="FL16" s="516"/>
      <c r="FM16" s="516"/>
      <c r="FN16" s="516"/>
      <c r="FO16" s="517"/>
      <c r="FP16" s="1118" t="s">
        <v>44</v>
      </c>
      <c r="FQ16" s="964"/>
      <c r="FR16" s="964"/>
      <c r="FS16" s="1119"/>
      <c r="FT16" s="503"/>
      <c r="FU16" s="504"/>
      <c r="FV16" s="504"/>
      <c r="FW16" s="504"/>
      <c r="FX16" s="505"/>
      <c r="FY16" s="1113" t="s">
        <v>44</v>
      </c>
      <c r="FZ16" s="1114"/>
      <c r="GA16" s="1114"/>
      <c r="GB16" s="1115"/>
      <c r="GC16" s="515"/>
      <c r="GD16" s="516"/>
      <c r="GE16" s="516"/>
      <c r="GF16" s="516"/>
      <c r="GG16" s="517"/>
      <c r="GK16" s="396" t="s">
        <v>44</v>
      </c>
      <c r="GL16" s="396">
        <f t="shared" si="8"/>
        <v>0</v>
      </c>
      <c r="GM16" s="396">
        <f>IF($GK16=Creation!$Q$28,1,0)</f>
        <v>0</v>
      </c>
      <c r="GN16" s="396">
        <f>IF($GK16=Creation!$Q$29,1,0)</f>
        <v>0</v>
      </c>
      <c r="GO16" s="396">
        <f>IF($GK16=Creation!$Q$30,1,0)</f>
        <v>0</v>
      </c>
      <c r="GP16" s="396">
        <f>IF($GK16=Creation!$Q$31,1,0)</f>
        <v>0</v>
      </c>
      <c r="GQ16" s="396">
        <f>IF($GK16=Creation!$Q$32,1,0)</f>
        <v>0</v>
      </c>
      <c r="GR16" s="396">
        <f>IF($GK16=Creation!$Q$33,1,0)</f>
        <v>0</v>
      </c>
    </row>
    <row r="17" spans="1:200" x14ac:dyDescent="0.25">
      <c r="A17" s="1163" t="s">
        <v>13</v>
      </c>
      <c r="B17" s="767"/>
      <c r="C17" s="767"/>
      <c r="D17" s="767"/>
      <c r="E17" s="291">
        <f>IF(Creation!BO5+Creation!BQ5&gt;0,1,0)</f>
        <v>0</v>
      </c>
      <c r="F17" s="291">
        <f>IF(Creation!BO5+Creation!BQ5&gt;1,1,0)</f>
        <v>0</v>
      </c>
      <c r="G17" s="291">
        <f>IF(Creation!BO5+Creation!BQ5&gt;2,1,0)</f>
        <v>0</v>
      </c>
      <c r="H17" s="291">
        <f>IF(Creation!BO5+Creation!BQ5&gt;3,1,0)</f>
        <v>0</v>
      </c>
      <c r="I17" s="291">
        <f>IF(Creation!BO5+Creation!BQ5&gt;4,1,0)</f>
        <v>0</v>
      </c>
      <c r="J17" s="291">
        <f>IF(Creation!BO5+Creation!BQ5&gt;5,1,0)</f>
        <v>0</v>
      </c>
      <c r="K17" s="291">
        <f>IF(Creation!BO5+Creation!BQ5&gt;6,1,0)</f>
        <v>0</v>
      </c>
      <c r="L17" s="291">
        <f>IF(Creation!BO5+Creation!BQ5&gt;7,1,0)</f>
        <v>0</v>
      </c>
      <c r="M17" s="291">
        <f>IF(Creation!BO5+Creation!BQ5&gt;8,1,0)</f>
        <v>0</v>
      </c>
      <c r="N17" s="291">
        <f>IF(Creation!BO5+Creation!BQ5&gt;9,1,0)</f>
        <v>0</v>
      </c>
      <c r="O17" s="292">
        <f>IF(Creation!BO5+Creation!BQ5&gt;10,1,0)</f>
        <v>0</v>
      </c>
      <c r="P17" s="1163" t="s">
        <v>43</v>
      </c>
      <c r="Q17" s="767"/>
      <c r="R17" s="767"/>
      <c r="S17" s="767"/>
      <c r="T17" s="291">
        <f>IF(Creation!AC12+Creation!AF12&gt;0,1,0)</f>
        <v>0</v>
      </c>
      <c r="U17" s="291">
        <f>IF(Creation!AC12+Creation!AF12&gt;1,1,0)</f>
        <v>0</v>
      </c>
      <c r="V17" s="291">
        <f>IF(Creation!AC12+Creation!AF12&gt;2,1,0)</f>
        <v>0</v>
      </c>
      <c r="W17" s="291">
        <f>IF(Creation!AC12+Creation!AF12&gt;3,1,0)</f>
        <v>0</v>
      </c>
      <c r="X17" s="376">
        <f>IF(Creation!AC12+Creation!AF12&gt;4,1,0)</f>
        <v>0</v>
      </c>
      <c r="Y17" s="1163" t="s">
        <v>13</v>
      </c>
      <c r="Z17" s="767"/>
      <c r="AA17" s="767"/>
      <c r="AB17" s="768"/>
      <c r="AC17" s="392"/>
      <c r="AD17" s="381"/>
      <c r="AE17" s="381"/>
      <c r="AF17" s="381"/>
      <c r="AG17" s="381"/>
      <c r="AH17" s="381"/>
      <c r="AI17" s="381"/>
      <c r="AJ17" s="381"/>
      <c r="AK17" s="381"/>
      <c r="AL17" s="381"/>
      <c r="AM17" s="382"/>
      <c r="AN17" s="1163" t="s">
        <v>43</v>
      </c>
      <c r="AO17" s="767"/>
      <c r="AP17" s="767"/>
      <c r="AQ17" s="768"/>
      <c r="AR17" s="392"/>
      <c r="AS17" s="381"/>
      <c r="AT17" s="381"/>
      <c r="AU17" s="381"/>
      <c r="AV17" s="382"/>
      <c r="AW17" s="1104" t="s">
        <v>13</v>
      </c>
      <c r="AX17" s="767"/>
      <c r="AY17" s="767"/>
      <c r="AZ17" s="768"/>
      <c r="BA17" s="400"/>
      <c r="BB17" s="381"/>
      <c r="BC17" s="381"/>
      <c r="BD17" s="381"/>
      <c r="BE17" s="381"/>
      <c r="BF17" s="381"/>
      <c r="BG17" s="381"/>
      <c r="BH17" s="381"/>
      <c r="BI17" s="381"/>
      <c r="BJ17" s="381"/>
      <c r="BK17" s="382"/>
      <c r="BL17" s="1163" t="s">
        <v>43</v>
      </c>
      <c r="BM17" s="767"/>
      <c r="BN17" s="767"/>
      <c r="BO17" s="768"/>
      <c r="BP17" s="400"/>
      <c r="BQ17" s="381"/>
      <c r="BR17" s="381"/>
      <c r="BS17" s="381"/>
      <c r="BT17" s="382"/>
      <c r="BU17" s="1104" t="s">
        <v>13</v>
      </c>
      <c r="BV17" s="767"/>
      <c r="BW17" s="767"/>
      <c r="BX17" s="767"/>
      <c r="BY17" s="291">
        <f>IF(AND(E17=0,AC17=0,BA17=0,DemigodConversion!$BM5+DemigodConversion!$BO5+DemigodConversion!$BQ5&gt;0),1,0)</f>
        <v>0</v>
      </c>
      <c r="BZ17" s="291">
        <f>IF(SUM($BY17:BY17)=SUM(DemigodConversion!$BO5:$BR5),0,IF(AND(F17=0,AD17=0,BB17=0,DemigodConversion!$BM5+DemigodConversion!$BO5+DemigodConversion!$BQ5&gt;BY$15),1,0))</f>
        <v>0</v>
      </c>
      <c r="CA17" s="291">
        <f>IF(SUM($BY17:BZ17)=SUM(DemigodConversion!$BO5:$BR5),0,IF(AND(G17=0,AE17=0,BC17=0,DemigodConversion!$BM5+DemigodConversion!$BO5+DemigodConversion!$BQ5&gt;BZ$15),1,0))</f>
        <v>0</v>
      </c>
      <c r="CB17" s="291">
        <f>IF(SUM($BY17:CA17)=SUM(DemigodConversion!$BO5:$BR5),0,IF(AND(H17=0,AF17=0,BD17=0,DemigodConversion!$BM5+DemigodConversion!$BO5+DemigodConversion!$BQ5&gt;CA$15),1,0))</f>
        <v>0</v>
      </c>
      <c r="CC17" s="291">
        <f>IF(SUM($BY17:CB17)=SUM(DemigodConversion!$BO5:$BR5),0,IF(AND(I17=0,AG17=0,BE17=0,DemigodConversion!$BM5+DemigodConversion!$BO5+DemigodConversion!$BQ5&gt;CB$15),1,0))</f>
        <v>0</v>
      </c>
      <c r="CD17" s="291">
        <f>IF(SUM($BY17:CC17)=SUM(DemigodConversion!$BO5:$BR5),0,IF(AND(J17=0,AH17=0,BF17=0,DemigodConversion!$BM5+DemigodConversion!$BO5+DemigodConversion!$BQ5&gt;CC$15),1,0))</f>
        <v>0</v>
      </c>
      <c r="CE17" s="291">
        <f>IF(SUM($BY17:CD17)=SUM(DemigodConversion!$BO5:$BR5),0,IF(AND(K17=0,AI17=0,BG17=0,DemigodConversion!$BM5+DemigodConversion!$BO5+DemigodConversion!$BQ5&gt;CD$15),1,0))</f>
        <v>0</v>
      </c>
      <c r="CF17" s="291">
        <f>IF(SUM($BY17:CE17)=SUM(DemigodConversion!$BO5:$BR5),0,IF(AND(L17=0,AJ17=0,BH17=0,DemigodConversion!$BM5+DemigodConversion!$BO5+DemigodConversion!$BQ5&gt;CE$15),1,0))</f>
        <v>0</v>
      </c>
      <c r="CG17" s="291">
        <f>IF(SUM($BY17:CF17)=SUM(DemigodConversion!$BO5:$BR5),0,IF(AND(M17=0,AK17=0,BI17=0,DemigodConversion!$BM5+DemigodConversion!$BO5+DemigodConversion!$BQ5&gt;CF$15),1,0))</f>
        <v>0</v>
      </c>
      <c r="CH17" s="291">
        <f>IF(SUM($BY17:CG17)=SUM(DemigodConversion!$BO5:$BR5),0,IF(AND(N17=0,AL17=0,BJ17=0,DemigodConversion!$BM5+DemigodConversion!$BO5+DemigodConversion!$BQ5&gt;CG$15),1,0))</f>
        <v>0</v>
      </c>
      <c r="CI17" s="376">
        <f>IF(SUM($BY17:CH17)=SUM(DemigodConversion!$BO5:$BR5),0,IF(AND(O17=0,AM17=0,BK17=0,DemigodConversion!$BM5+DemigodConversion!$BO5+DemigodConversion!$BQ5&gt;CH$15),1,0))</f>
        <v>0</v>
      </c>
      <c r="CJ17" s="1163" t="s">
        <v>43</v>
      </c>
      <c r="CK17" s="767"/>
      <c r="CL17" s="767"/>
      <c r="CM17" s="767"/>
      <c r="CN17" s="291">
        <f>IF(AND(T17=0,AR17=0,BP17=0,FB15=0,FK15=0,FT15=0,GC15=0,ES15=0,DemigodConversion!$AC12+DemigodConversion!$AF12&gt;0),1,0)</f>
        <v>0</v>
      </c>
      <c r="CO17" s="291">
        <f>IF(AND(U17=0,AS17=0,BQ17=0,FC15=0,FL15=0,FU15=0,GD15=0,ET15=0,DemigodConversion!$AC12+DemigodConversion!$AF12&gt;1),1,0)</f>
        <v>0</v>
      </c>
      <c r="CP17" s="291">
        <f>IF(AND(V17=0,AT17=0,BR17=0,FD15=0,FM15=0,FV15=0,GE15=0,EU15=0,DemigodConversion!$AC12+DemigodConversion!$AF12&gt;2),1,0)</f>
        <v>0</v>
      </c>
      <c r="CQ17" s="291">
        <f>IF(AND(W17=0,AU17=0,BS17=0,FE15=0,FN15=0,FW15=0,GF15=0,EV15=0,DemigodConversion!$AC12+DemigodConversion!$AF12&gt;3),1,0)</f>
        <v>0</v>
      </c>
      <c r="CR17" s="291">
        <f>IF(AND(X17=0,AV17=0,BT17=0,FF15=0,FO15=0,FX15=0,GG15=0,EW15=0,DemigodConversion!$AC12+DemigodConversion!$AF12&gt;4),1,0)</f>
        <v>0</v>
      </c>
      <c r="CS17" s="1104" t="s">
        <v>13</v>
      </c>
      <c r="CT17" s="767"/>
      <c r="CU17" s="767"/>
      <c r="CV17" s="767"/>
      <c r="CW17" s="291">
        <f>IF(AND(E17=0,AC17=0,BA17=0,BY17=0,0&lt;SUM(GodConversion!$BM5:$BR5)),1,0)</f>
        <v>0</v>
      </c>
      <c r="CX17" s="291">
        <f>IF(AND(F17=0,AD17=0,BB17=0,BZ17=0,CW$15&lt;SUM(GodConversion!$BM5:$BR5)),1,0)</f>
        <v>0</v>
      </c>
      <c r="CY17" s="291">
        <f>IF(AND(G17=0,AE17=0,BC17=0,CA17=0,CX$15&lt;SUM(GodConversion!$BM5:$BR5)),1,0)</f>
        <v>0</v>
      </c>
      <c r="CZ17" s="291">
        <f>IF(AND(H17=0,AF17=0,BD17=0,CB17=0,CY$15&lt;SUM(GodConversion!$BM5:$BR5)),1,0)</f>
        <v>0</v>
      </c>
      <c r="DA17" s="291">
        <f>IF(AND(I17=0,AG17=0,BE17=0,CC17=0,CZ$15&lt;SUM(GodConversion!$BM5:$BR5)),1,0)</f>
        <v>0</v>
      </c>
      <c r="DB17" s="291">
        <f>IF(AND(J17=0,AH17=0,BF17=0,CD17=0,DA$15&lt;SUM(GodConversion!$BM5:$BR5)),1,0)</f>
        <v>0</v>
      </c>
      <c r="DC17" s="291">
        <f>IF(AND(K17=0,AI17=0,BG17=0,CE17=0,DB$15&lt;SUM(GodConversion!$BM5:$BR5)),1,0)</f>
        <v>0</v>
      </c>
      <c r="DD17" s="291">
        <f>IF(AND(L17=0,AJ17=0,BH17=0,CF17=0,DC$15&lt;SUM(GodConversion!$BM5:$BR5)),1,0)</f>
        <v>0</v>
      </c>
      <c r="DE17" s="291">
        <f>IF(AND(M17=0,AK17=0,BI17=0,CG17=0,DD$15&lt;SUM(GodConversion!$BM5:$BR5)),1,0)</f>
        <v>0</v>
      </c>
      <c r="DF17" s="291">
        <f>IF(AND(N17=0,AL17=0,BJ17=0,CH17=0,DE$15&lt;SUM(GodConversion!$BM5:$BR5)),1,0)</f>
        <v>0</v>
      </c>
      <c r="DG17" s="292">
        <f>IF(AND(O17=0,AM17=0,BK17=0,CI17=0,DF$15&lt;SUM(GodConversion!$BM5:$BR5)),1,0)</f>
        <v>0</v>
      </c>
      <c r="DH17" s="1104" t="s">
        <v>43</v>
      </c>
      <c r="DI17" s="767"/>
      <c r="DJ17" s="767"/>
      <c r="DK17" s="767"/>
      <c r="DL17" s="291">
        <f>IF(AND(T17=0,AR17=0,BP17=0,ES15=0,FB15=0,FK15=0,FT15=0,GC15=0,CN17=0,0&lt;GodConversion!$AC12+GodConversion!$AF12),1,0)</f>
        <v>0</v>
      </c>
      <c r="DM17" s="291">
        <f>IF(AND(U17=0,AS17=0,BQ17=0,ET15=0,FC15=0,FL15=0,FU15=0,GD15=0,CO17=0,1&lt;GodConversion!$AC12+GodConversion!$AF12),1,0)</f>
        <v>0</v>
      </c>
      <c r="DN17" s="291">
        <f>IF(AND(V17=0,AT17=0,BR17=0,EU15=0,FD15=0,FM15=0,FV15=0,GE15=0,CP17=0,2&lt;GodConversion!$AC12+GodConversion!$AF12),1,0)</f>
        <v>0</v>
      </c>
      <c r="DO17" s="291">
        <f>IF(AND(W17=0,AU17=0,BS17=0,EV15=0,FE15=0,FN15=0,FW15=0,GF15=0,CQ17=0,3&lt;GodConversion!$AC12+GodConversion!$AF12),1,0)</f>
        <v>0</v>
      </c>
      <c r="DP17" s="291">
        <f>IF(AND(X17=0,AV17=0,BT17=0,EW15=0,FF15=0,FO15=0,FX15=0,GG15=0,CR17=0,4&lt;GodConversion!$AC12+GodConversion!$AF12),1,0)</f>
        <v>0</v>
      </c>
      <c r="DQ17" s="1163" t="s">
        <v>13</v>
      </c>
      <c r="DR17" s="767"/>
      <c r="DS17" s="767"/>
      <c r="DT17" s="767"/>
      <c r="DU17" s="291">
        <f>IF($AC17=1,IF(LOOKUP(CharacterSheet!$AK$7,AssociatedRef!$A$2:$A$130,AssociatedRef!$C$2:$C$130)="Yes",8,10),0)</f>
        <v>0</v>
      </c>
      <c r="DV17" s="291">
        <f>IF(AD17=1,IF(LOOKUP(CharacterSheet!$AK$7,AssociatedRef!$A$2:$A$130,AssociatedRef!$C$2:$C$130)="Yes",DU$15*4,DU$15*5),0)</f>
        <v>0</v>
      </c>
      <c r="DW17" s="291">
        <f>IF(AE17=1,IF(LOOKUP(CharacterSheet!$AK$7,AssociatedRef!$A$2:$A$130,AssociatedRef!$C$2:$C$130)="Yes",DV$15*4,DV$15*5),0)</f>
        <v>0</v>
      </c>
      <c r="DX17" s="291">
        <f>IF(AF17=1,IF(LOOKUP(CharacterSheet!$AK$7,AssociatedRef!$A$2:$A$130,AssociatedRef!$C$2:$C$130)="Yes",DW$15*4,DW$15*5),0)</f>
        <v>0</v>
      </c>
      <c r="DY17" s="291">
        <f>IF(AG17=1,IF(LOOKUP(CharacterSheet!$AK$7,AssociatedRef!$A$2:$A$130,AssociatedRef!$C$2:$C$130)="Yes",DX$15*4,DX$15*5),0)</f>
        <v>0</v>
      </c>
      <c r="DZ17" s="291">
        <f>IF(AH17=1,IF(LOOKUP(CharacterSheet!$AK$7,AssociatedRef!$A$2:$A$130,AssociatedRef!$C$2:$C$130)="Yes",DY$15*4,DY$15*5),0)</f>
        <v>0</v>
      </c>
      <c r="EA17" s="291">
        <f>IF(AI17=1,IF(LOOKUP(CharacterSheet!$AK$7,AssociatedRef!$A$2:$A$130,AssociatedRef!$C$2:$C$130)="Yes",DZ$15*4,DZ$15*5),0)</f>
        <v>0</v>
      </c>
      <c r="EB17" s="291">
        <f>IF(AJ17=1,IF(LOOKUP(CharacterSheet!$AK$7,AssociatedRef!$A$2:$A$130,AssociatedRef!$C$2:$C$130)="Yes",EA$15*4,EA$15*5),0)</f>
        <v>0</v>
      </c>
      <c r="EC17" s="291">
        <f>IF(AK17=1,IF(LOOKUP(CharacterSheet!$AK$7,AssociatedRef!$A$2:$A$130,AssociatedRef!$C$2:$C$130)="Yes",EB$15*4,EB$15*5),0)</f>
        <v>0</v>
      </c>
      <c r="ED17" s="291">
        <f>IF(AL17=1,IF(LOOKUP(CharacterSheet!$AK$7,AssociatedRef!$A$2:$A$130,AssociatedRef!$C$2:$C$130)="Yes",EC$15*4,EC$15*5),0)</f>
        <v>0</v>
      </c>
      <c r="EE17" s="292">
        <f>IF(AM17=1,IF(LOOKUP(CharacterSheet!$AK$7,AssociatedRef!$A$2:$A$130,AssociatedRef!$C$2:$C$130)="Yes",ED$15*4,ED$15*5),0)</f>
        <v>0</v>
      </c>
      <c r="EF17" s="1163" t="s">
        <v>43</v>
      </c>
      <c r="EG17" s="767"/>
      <c r="EH17" s="767"/>
      <c r="EI17" s="767"/>
      <c r="EJ17" s="291">
        <f t="shared" si="11"/>
        <v>0</v>
      </c>
      <c r="EK17" s="291">
        <f t="shared" si="12"/>
        <v>0</v>
      </c>
      <c r="EL17" s="291">
        <f t="shared" si="13"/>
        <v>0</v>
      </c>
      <c r="EM17" s="291">
        <f t="shared" si="14"/>
        <v>0</v>
      </c>
      <c r="EN17" s="291">
        <f t="shared" si="15"/>
        <v>0</v>
      </c>
      <c r="EO17" s="1164" t="s">
        <v>45</v>
      </c>
      <c r="EP17" s="1165"/>
      <c r="EQ17" s="1165"/>
      <c r="ER17" s="1166"/>
      <c r="ES17" s="398"/>
      <c r="ET17" s="399"/>
      <c r="EU17" s="381"/>
      <c r="EV17" s="381"/>
      <c r="EW17" s="381"/>
      <c r="EX17" s="1118" t="s">
        <v>45</v>
      </c>
      <c r="EY17" s="964"/>
      <c r="EZ17" s="964"/>
      <c r="FA17" s="1119"/>
      <c r="FB17" s="503"/>
      <c r="FC17" s="504"/>
      <c r="FD17" s="504"/>
      <c r="FE17" s="504"/>
      <c r="FF17" s="505"/>
      <c r="FG17" s="1123" t="s">
        <v>45</v>
      </c>
      <c r="FH17" s="1114"/>
      <c r="FI17" s="1114"/>
      <c r="FJ17" s="1115"/>
      <c r="FK17" s="515"/>
      <c r="FL17" s="516"/>
      <c r="FM17" s="516"/>
      <c r="FN17" s="516"/>
      <c r="FO17" s="517"/>
      <c r="FP17" s="1118" t="s">
        <v>45</v>
      </c>
      <c r="FQ17" s="964"/>
      <c r="FR17" s="964"/>
      <c r="FS17" s="1119"/>
      <c r="FT17" s="503"/>
      <c r="FU17" s="504"/>
      <c r="FV17" s="504"/>
      <c r="FW17" s="504"/>
      <c r="FX17" s="505"/>
      <c r="FY17" s="1113" t="s">
        <v>45</v>
      </c>
      <c r="FZ17" s="1114"/>
      <c r="GA17" s="1114"/>
      <c r="GB17" s="1115"/>
      <c r="GC17" s="515"/>
      <c r="GD17" s="516"/>
      <c r="GE17" s="516"/>
      <c r="GF17" s="516"/>
      <c r="GG17" s="517"/>
      <c r="GK17" s="396" t="s">
        <v>45</v>
      </c>
      <c r="GL17" s="396">
        <f t="shared" si="8"/>
        <v>0</v>
      </c>
      <c r="GM17" s="396">
        <f>IF($GK17=Creation!$Q$28,1,0)</f>
        <v>0</v>
      </c>
      <c r="GN17" s="396">
        <f>IF($GK17=Creation!$Q$29,1,0)</f>
        <v>0</v>
      </c>
      <c r="GO17" s="396">
        <f>IF($GK17=Creation!$Q$30,1,0)</f>
        <v>0</v>
      </c>
      <c r="GP17" s="396">
        <f>IF($GK17=Creation!$Q$31,1,0)</f>
        <v>0</v>
      </c>
      <c r="GQ17" s="396">
        <f>IF($GK17=Creation!$Q$32,1,0)</f>
        <v>0</v>
      </c>
      <c r="GR17" s="396">
        <f>IF($GK17=Creation!$Q$33,1,0)</f>
        <v>0</v>
      </c>
    </row>
    <row r="18" spans="1:200" x14ac:dyDescent="0.25">
      <c r="A18" s="1163" t="s">
        <v>14</v>
      </c>
      <c r="B18" s="767"/>
      <c r="C18" s="767"/>
      <c r="D18" s="767"/>
      <c r="E18" s="291">
        <f>IF(Creation!BO6+Creation!BQ6&gt;0,1,0)</f>
        <v>0</v>
      </c>
      <c r="F18" s="291">
        <f>IF(Creation!BO6+Creation!BQ6&gt;1,1,0)</f>
        <v>0</v>
      </c>
      <c r="G18" s="291">
        <f>IF(Creation!BO6+Creation!BQ6&gt;2,1,0)</f>
        <v>0</v>
      </c>
      <c r="H18" s="291">
        <f>IF(Creation!BO6+Creation!BQ6&gt;3,1,0)</f>
        <v>0</v>
      </c>
      <c r="I18" s="291">
        <f>IF(Creation!BO6+Creation!BQ6&gt;4,1,0)</f>
        <v>0</v>
      </c>
      <c r="J18" s="291">
        <f>IF(Creation!BO6+Creation!BQ6&gt;5,1,0)</f>
        <v>0</v>
      </c>
      <c r="K18" s="291">
        <f>IF(Creation!BO6+Creation!BQ6&gt;6,1,0)</f>
        <v>0</v>
      </c>
      <c r="L18" s="291">
        <f>IF(Creation!BO6+Creation!BQ6&gt;7,1,0)</f>
        <v>0</v>
      </c>
      <c r="M18" s="291">
        <f>IF(Creation!BO6+Creation!BQ6&gt;8,1,0)</f>
        <v>0</v>
      </c>
      <c r="N18" s="291">
        <f>IF(Creation!BO6+Creation!BQ6&gt;9,1,0)</f>
        <v>0</v>
      </c>
      <c r="O18" s="292">
        <f>IF(Creation!BO6+Creation!BQ6&gt;10,1,0)</f>
        <v>0</v>
      </c>
      <c r="P18" s="1163" t="s">
        <v>44</v>
      </c>
      <c r="Q18" s="767"/>
      <c r="R18" s="767"/>
      <c r="S18" s="767"/>
      <c r="T18" s="291">
        <f>IF(Creation!AC13+Creation!AF13&gt;0,1,0)</f>
        <v>0</v>
      </c>
      <c r="U18" s="291">
        <f>IF(Creation!AC13+Creation!AF13&gt;1,1,0)</f>
        <v>0</v>
      </c>
      <c r="V18" s="291">
        <f>IF(Creation!AC13+Creation!AF13&gt;2,1,0)</f>
        <v>0</v>
      </c>
      <c r="W18" s="291">
        <f>IF(Creation!AC13+Creation!AF13&gt;3,1,0)</f>
        <v>0</v>
      </c>
      <c r="X18" s="376">
        <f>IF(Creation!AC13+Creation!AF13&gt;4,1,0)</f>
        <v>0</v>
      </c>
      <c r="Y18" s="1163" t="s">
        <v>14</v>
      </c>
      <c r="Z18" s="767"/>
      <c r="AA18" s="767"/>
      <c r="AB18" s="768"/>
      <c r="AC18" s="392"/>
      <c r="AD18" s="381"/>
      <c r="AE18" s="381"/>
      <c r="AF18" s="381"/>
      <c r="AG18" s="381"/>
      <c r="AH18" s="381"/>
      <c r="AI18" s="381"/>
      <c r="AJ18" s="381"/>
      <c r="AK18" s="381"/>
      <c r="AL18" s="381"/>
      <c r="AM18" s="382"/>
      <c r="AN18" s="1163" t="s">
        <v>44</v>
      </c>
      <c r="AO18" s="767"/>
      <c r="AP18" s="767"/>
      <c r="AQ18" s="768"/>
      <c r="AR18" s="392"/>
      <c r="AS18" s="381"/>
      <c r="AT18" s="381"/>
      <c r="AU18" s="381"/>
      <c r="AV18" s="382"/>
      <c r="AW18" s="1104" t="s">
        <v>14</v>
      </c>
      <c r="AX18" s="767"/>
      <c r="AY18" s="767"/>
      <c r="AZ18" s="768"/>
      <c r="BA18" s="400"/>
      <c r="BB18" s="381"/>
      <c r="BC18" s="381"/>
      <c r="BD18" s="381"/>
      <c r="BE18" s="381"/>
      <c r="BF18" s="381"/>
      <c r="BG18" s="381"/>
      <c r="BH18" s="381"/>
      <c r="BI18" s="381"/>
      <c r="BJ18" s="381"/>
      <c r="BK18" s="382"/>
      <c r="BL18" s="1163" t="s">
        <v>44</v>
      </c>
      <c r="BM18" s="767"/>
      <c r="BN18" s="767"/>
      <c r="BO18" s="768"/>
      <c r="BP18" s="400"/>
      <c r="BQ18" s="381"/>
      <c r="BR18" s="381"/>
      <c r="BS18" s="381"/>
      <c r="BT18" s="382"/>
      <c r="BU18" s="1104" t="s">
        <v>14</v>
      </c>
      <c r="BV18" s="767"/>
      <c r="BW18" s="767"/>
      <c r="BX18" s="767"/>
      <c r="BY18" s="291">
        <f>IF(AND(E18=0,AC18=0,BA18=0,DemigodConversion!$BM6+DemigodConversion!$BO6+DemigodConversion!$BQ6&gt;0),1,0)</f>
        <v>0</v>
      </c>
      <c r="BZ18" s="291">
        <f>IF(SUM($BY18:BY18)=SUM(DemigodConversion!$BO6:$BR6),0,IF(AND(F18=0,AD18=0,BB18=0,DemigodConversion!$BM6+DemigodConversion!$BO6+DemigodConversion!$BQ6&gt;BY$15),1,0))</f>
        <v>0</v>
      </c>
      <c r="CA18" s="291">
        <f>IF(SUM($BY18:BZ18)=SUM(DemigodConversion!$BO6:$BR6),0,IF(AND(G18=0,AE18=0,BC18=0,DemigodConversion!$BM6+DemigodConversion!$BO6+DemigodConversion!$BQ6&gt;BZ$15),1,0))</f>
        <v>0</v>
      </c>
      <c r="CB18" s="291">
        <f>IF(SUM($BY18:CA18)=SUM(DemigodConversion!$BO6:$BR6),0,IF(AND(H18=0,AF18=0,BD18=0,DemigodConversion!$BM6+DemigodConversion!$BO6+DemigodConversion!$BQ6&gt;CA$15),1,0))</f>
        <v>0</v>
      </c>
      <c r="CC18" s="291">
        <f>IF(SUM($BY18:CB18)=SUM(DemigodConversion!$BO6:$BR6),0,IF(AND(I18=0,AG18=0,BE18=0,DemigodConversion!$BM6+DemigodConversion!$BO6+DemigodConversion!$BQ6&gt;CB$15),1,0))</f>
        <v>0</v>
      </c>
      <c r="CD18" s="291">
        <f>IF(SUM($BY18:CC18)=SUM(DemigodConversion!$BO6:$BR6),0,IF(AND(J18=0,AH18=0,BF18=0,DemigodConversion!$BM6+DemigodConversion!$BO6+DemigodConversion!$BQ6&gt;CC$15),1,0))</f>
        <v>0</v>
      </c>
      <c r="CE18" s="291">
        <f>IF(SUM($BY18:CD18)=SUM(DemigodConversion!$BO6:$BR6),0,IF(AND(K18=0,AI18=0,BG18=0,DemigodConversion!$BM6+DemigodConversion!$BO6+DemigodConversion!$BQ6&gt;CD$15),1,0))</f>
        <v>0</v>
      </c>
      <c r="CF18" s="291">
        <f>IF(SUM($BY18:CE18)=SUM(DemigodConversion!$BO6:$BR6),0,IF(AND(L18=0,AJ18=0,BH18=0,DemigodConversion!$BM6+DemigodConversion!$BO6+DemigodConversion!$BQ6&gt;CE$15),1,0))</f>
        <v>0</v>
      </c>
      <c r="CG18" s="291">
        <f>IF(SUM($BY18:CF18)=SUM(DemigodConversion!$BO6:$BR6),0,IF(AND(M18=0,AK18=0,BI18=0,DemigodConversion!$BM6+DemigodConversion!$BO6+DemigodConversion!$BQ6&gt;CF$15),1,0))</f>
        <v>0</v>
      </c>
      <c r="CH18" s="291">
        <f>IF(SUM($BY18:CG18)=SUM(DemigodConversion!$BO6:$BR6),0,IF(AND(N18=0,AL18=0,BJ18=0,DemigodConversion!$BM6+DemigodConversion!$BO6+DemigodConversion!$BQ6&gt;CG$15),1,0))</f>
        <v>0</v>
      </c>
      <c r="CI18" s="376">
        <f>IF(SUM($BY18:CH18)=SUM(DemigodConversion!$BO6:$BR6),0,IF(AND(O18=0,AM18=0,BK18=0,DemigodConversion!$BM6+DemigodConversion!$BO6+DemigodConversion!$BQ6&gt;CH$15),1,0))</f>
        <v>0</v>
      </c>
      <c r="CJ18" s="1163" t="s">
        <v>44</v>
      </c>
      <c r="CK18" s="767"/>
      <c r="CL18" s="767"/>
      <c r="CM18" s="767"/>
      <c r="CN18" s="291">
        <f>IF(AND(T18=0,AR18=0,BP18=0,FB16=0,FK16=0,FT16=0,GC16=0,ES16=0,DemigodConversion!$AC13+DemigodConversion!$AF13&gt;0),1,0)</f>
        <v>0</v>
      </c>
      <c r="CO18" s="291">
        <f>IF(AND(U18=0,AS18=0,BQ18=0,FC16=0,FL16=0,FU16=0,GD16=0,ET16=0,DemigodConversion!$AC13+DemigodConversion!$AF13&gt;1),1,0)</f>
        <v>0</v>
      </c>
      <c r="CP18" s="291">
        <f>IF(AND(V18=0,AT18=0,BR18=0,FD16=0,FM16=0,FV16=0,GE16=0,EU16=0,DemigodConversion!$AC13+DemigodConversion!$AF13&gt;2),1,0)</f>
        <v>0</v>
      </c>
      <c r="CQ18" s="291">
        <f>IF(AND(W18=0,AU18=0,BS18=0,FE16=0,FN16=0,FW16=0,GF16=0,EV16=0,DemigodConversion!$AC13+DemigodConversion!$AF13&gt;3),1,0)</f>
        <v>0</v>
      </c>
      <c r="CR18" s="291">
        <f>IF(AND(X18=0,AV18=0,BT18=0,FF16=0,FO16=0,FX16=0,GG16=0,EW16=0,DemigodConversion!$AC13+DemigodConversion!$AF13&gt;4),1,0)</f>
        <v>0</v>
      </c>
      <c r="CS18" s="1104" t="s">
        <v>14</v>
      </c>
      <c r="CT18" s="767"/>
      <c r="CU18" s="767"/>
      <c r="CV18" s="767"/>
      <c r="CW18" s="291">
        <f>IF(AND(E18=0,AC18=0,BA18=0,BY18=0,0&lt;SUM(GodConversion!$BM6:$BR6)),1,0)</f>
        <v>0</v>
      </c>
      <c r="CX18" s="291">
        <f>IF(AND(F18=0,AD18=0,BB18=0,BZ18=0,CW$15&lt;SUM(GodConversion!$BM6:$BR6)),1,0)</f>
        <v>0</v>
      </c>
      <c r="CY18" s="291">
        <f>IF(AND(G18=0,AE18=0,BC18=0,CA18=0,CX$15&lt;SUM(GodConversion!$BM6:$BR6)),1,0)</f>
        <v>0</v>
      </c>
      <c r="CZ18" s="291">
        <f>IF(AND(H18=0,AF18=0,BD18=0,CB18=0,CY$15&lt;SUM(GodConversion!$BM6:$BR6)),1,0)</f>
        <v>0</v>
      </c>
      <c r="DA18" s="291">
        <f>IF(AND(I18=0,AG18=0,BE18=0,CC18=0,CZ$15&lt;SUM(GodConversion!$BM6:$BR6)),1,0)</f>
        <v>0</v>
      </c>
      <c r="DB18" s="291">
        <f>IF(AND(J18=0,AH18=0,BF18=0,CD18=0,DA$15&lt;SUM(GodConversion!$BM6:$BR6)),1,0)</f>
        <v>0</v>
      </c>
      <c r="DC18" s="291">
        <f>IF(AND(K18=0,AI18=0,BG18=0,CE18=0,DB$15&lt;SUM(GodConversion!$BM6:$BR6)),1,0)</f>
        <v>0</v>
      </c>
      <c r="DD18" s="291">
        <f>IF(AND(L18=0,AJ18=0,BH18=0,CF18=0,DC$15&lt;SUM(GodConversion!$BM6:$BR6)),1,0)</f>
        <v>0</v>
      </c>
      <c r="DE18" s="291">
        <f>IF(AND(M18=0,AK18=0,BI18=0,CG18=0,DD$15&lt;SUM(GodConversion!$BM6:$BR6)),1,0)</f>
        <v>0</v>
      </c>
      <c r="DF18" s="291">
        <f>IF(AND(N18=0,AL18=0,BJ18=0,CH18=0,DE$15&lt;SUM(GodConversion!$BM6:$BR6)),1,0)</f>
        <v>0</v>
      </c>
      <c r="DG18" s="292">
        <f>IF(AND(O18=0,AM18=0,BK18=0,CI18=0,DF$15&lt;SUM(GodConversion!$BM6:$BR6)),1,0)</f>
        <v>0</v>
      </c>
      <c r="DH18" s="1104" t="s">
        <v>44</v>
      </c>
      <c r="DI18" s="767"/>
      <c r="DJ18" s="767"/>
      <c r="DK18" s="767"/>
      <c r="DL18" s="291">
        <f>IF(AND(T18=0,AR18=0,BP18=0,ES16=0,FB16=0,FK16=0,FT16=0,GC16=0,CN18=0,0&lt;GodConversion!$AC13+GodConversion!$AF13),1,0)</f>
        <v>0</v>
      </c>
      <c r="DM18" s="291">
        <f>IF(AND(U18=0,AS18=0,BQ18=0,ET16=0,FC16=0,FL16=0,FU16=0,GD16=0,CO18=0,1&lt;GodConversion!$AC13+GodConversion!$AF13),1,0)</f>
        <v>0</v>
      </c>
      <c r="DN18" s="291">
        <f>IF(AND(V18=0,AT18=0,BR18=0,EU16=0,FD16=0,FM16=0,FV16=0,GE16=0,CP18=0,2&lt;GodConversion!$AC13+GodConversion!$AF13),1,0)</f>
        <v>0</v>
      </c>
      <c r="DO18" s="291">
        <f>IF(AND(W18=0,AU18=0,BS18=0,EV16=0,FE16=0,FN16=0,FW16=0,GF16=0,CQ18=0,3&lt;GodConversion!$AC13+GodConversion!$AF13),1,0)</f>
        <v>0</v>
      </c>
      <c r="DP18" s="291">
        <f>IF(AND(X18=0,AV18=0,BT18=0,EW16=0,FF16=0,FO16=0,FX16=0,GG16=0,CR18=0,4&lt;GodConversion!$AC13+GodConversion!$AF13),1,0)</f>
        <v>0</v>
      </c>
      <c r="DQ18" s="1163" t="s">
        <v>14</v>
      </c>
      <c r="DR18" s="767"/>
      <c r="DS18" s="767"/>
      <c r="DT18" s="767"/>
      <c r="DU18" s="291">
        <f>IF($AC18=1,IF(LOOKUP(CharacterSheet!$AK$7,AssociatedRef!$A$2:$A$130,AssociatedRef!$D$2:$D$130)="Yes",8,10),0)</f>
        <v>0</v>
      </c>
      <c r="DV18" s="291">
        <f>IF(AD18=1,IF(LOOKUP(CharacterSheet!$AK$7,AssociatedRef!$A$2:$A$130,AssociatedRef!$D$2:$D$130)="Yes",DU$15*4,DU$15*5),0)</f>
        <v>0</v>
      </c>
      <c r="DW18" s="291">
        <f>IF(AE18=1,IF(LOOKUP(CharacterSheet!$AK$7,AssociatedRef!$A$2:$A$130,AssociatedRef!$D$2:$D$130)="Yes",DV$15*4,DV$15*5),0)</f>
        <v>0</v>
      </c>
      <c r="DX18" s="291">
        <f>IF(AF18=1,IF(LOOKUP(CharacterSheet!$AK$7,AssociatedRef!$A$2:$A$130,AssociatedRef!$D$2:$D$130)="Yes",DW$15*4,DW$15*5),0)</f>
        <v>0</v>
      </c>
      <c r="DY18" s="291">
        <f>IF(AG18=1,IF(LOOKUP(CharacterSheet!$AK$7,AssociatedRef!$A$2:$A$130,AssociatedRef!$D$2:$D$130)="Yes",DX$15*4,DX$15*5),0)</f>
        <v>0</v>
      </c>
      <c r="DZ18" s="291">
        <f>IF(AH18=1,IF(LOOKUP(CharacterSheet!$AK$7,AssociatedRef!$A$2:$A$130,AssociatedRef!$D$2:$D$130)="Yes",DY$15*4,DY$15*5),0)</f>
        <v>0</v>
      </c>
      <c r="EA18" s="291">
        <f>IF(AI18=1,IF(LOOKUP(CharacterSheet!$AK$7,AssociatedRef!$A$2:$A$130,AssociatedRef!$D$2:$D$130)="Yes",DZ$15*4,DZ$15*5),0)</f>
        <v>0</v>
      </c>
      <c r="EB18" s="291">
        <f>IF(AJ18=1,IF(LOOKUP(CharacterSheet!$AK$7,AssociatedRef!$A$2:$A$130,AssociatedRef!$D$2:$D$130)="Yes",EA$15*4,EA$15*5),0)</f>
        <v>0</v>
      </c>
      <c r="EC18" s="291">
        <f>IF(AK18=1,IF(LOOKUP(CharacterSheet!$AK$7,AssociatedRef!$A$2:$A$130,AssociatedRef!$D$2:$D$130)="Yes",EB$15*4,EB$15*5),0)</f>
        <v>0</v>
      </c>
      <c r="ED18" s="291">
        <f>IF(AL18=1,IF(LOOKUP(CharacterSheet!$AK$7,AssociatedRef!$A$2:$A$130,AssociatedRef!$D$2:$D$130)="Yes",EC$15*4,EC$15*5),0)</f>
        <v>0</v>
      </c>
      <c r="EE18" s="292">
        <f>IF(AM18=1,IF(LOOKUP(CharacterSheet!$AK$7,AssociatedRef!$A$2:$A$130,AssociatedRef!$D$2:$D$130)="Yes",ED$15*4,ED$15*5),0)</f>
        <v>0</v>
      </c>
      <c r="EF18" s="1163" t="s">
        <v>44</v>
      </c>
      <c r="EG18" s="767"/>
      <c r="EH18" s="767"/>
      <c r="EI18" s="767"/>
      <c r="EJ18" s="291">
        <f t="shared" si="11"/>
        <v>0</v>
      </c>
      <c r="EK18" s="291">
        <f t="shared" si="12"/>
        <v>0</v>
      </c>
      <c r="EL18" s="291">
        <f t="shared" si="13"/>
        <v>0</v>
      </c>
      <c r="EM18" s="291">
        <f t="shared" si="14"/>
        <v>0</v>
      </c>
      <c r="EN18" s="291">
        <f t="shared" si="15"/>
        <v>0</v>
      </c>
      <c r="EO18" s="1164" t="s">
        <v>46</v>
      </c>
      <c r="EP18" s="1165"/>
      <c r="EQ18" s="1165"/>
      <c r="ER18" s="1166"/>
      <c r="ES18" s="398"/>
      <c r="ET18" s="399"/>
      <c r="EU18" s="381"/>
      <c r="EV18" s="381"/>
      <c r="EW18" s="381"/>
      <c r="EX18" s="1118" t="s">
        <v>46</v>
      </c>
      <c r="EY18" s="964"/>
      <c r="EZ18" s="964"/>
      <c r="FA18" s="1119"/>
      <c r="FB18" s="503"/>
      <c r="FC18" s="504"/>
      <c r="FD18" s="504"/>
      <c r="FE18" s="504"/>
      <c r="FF18" s="505"/>
      <c r="FG18" s="1123" t="s">
        <v>46</v>
      </c>
      <c r="FH18" s="1114"/>
      <c r="FI18" s="1114"/>
      <c r="FJ18" s="1115"/>
      <c r="FK18" s="515"/>
      <c r="FL18" s="516"/>
      <c r="FM18" s="516"/>
      <c r="FN18" s="516"/>
      <c r="FO18" s="517"/>
      <c r="FP18" s="1118" t="s">
        <v>46</v>
      </c>
      <c r="FQ18" s="964"/>
      <c r="FR18" s="964"/>
      <c r="FS18" s="1119"/>
      <c r="FT18" s="503"/>
      <c r="FU18" s="504"/>
      <c r="FV18" s="504"/>
      <c r="FW18" s="504"/>
      <c r="FX18" s="505"/>
      <c r="FY18" s="1113" t="s">
        <v>46</v>
      </c>
      <c r="FZ18" s="1114"/>
      <c r="GA18" s="1114"/>
      <c r="GB18" s="1115"/>
      <c r="GC18" s="515"/>
      <c r="GD18" s="516"/>
      <c r="GE18" s="516"/>
      <c r="GF18" s="516"/>
      <c r="GG18" s="517"/>
      <c r="GK18" s="396" t="s">
        <v>46</v>
      </c>
      <c r="GL18" s="396">
        <f t="shared" si="8"/>
        <v>0</v>
      </c>
      <c r="GM18" s="396">
        <f>IF($GK18=Creation!$Q$28,1,0)</f>
        <v>0</v>
      </c>
      <c r="GN18" s="396">
        <f>IF($GK18=Creation!$Q$29,1,0)</f>
        <v>0</v>
      </c>
      <c r="GO18" s="396">
        <f>IF($GK18=Creation!$Q$30,1,0)</f>
        <v>0</v>
      </c>
      <c r="GP18" s="396">
        <f>IF($GK18=Creation!$Q$31,1,0)</f>
        <v>0</v>
      </c>
      <c r="GQ18" s="396">
        <f>IF($GK18=Creation!$Q$32,1,0)</f>
        <v>0</v>
      </c>
      <c r="GR18" s="396">
        <f>IF($GK18=Creation!$Q$33,1,0)</f>
        <v>0</v>
      </c>
    </row>
    <row r="19" spans="1:200" x14ac:dyDescent="0.25">
      <c r="A19" s="1163" t="s">
        <v>16</v>
      </c>
      <c r="B19" s="767"/>
      <c r="C19" s="767"/>
      <c r="D19" s="767"/>
      <c r="E19" s="291">
        <f>IF(Creation!BO7+Creation!BQ7&gt;0,1,0)</f>
        <v>0</v>
      </c>
      <c r="F19" s="291">
        <f>IF(Creation!BO7+Creation!BQ7&gt;1,1,0)</f>
        <v>0</v>
      </c>
      <c r="G19" s="291">
        <f>IF(Creation!BO7+Creation!BQ7&gt;2,1,0)</f>
        <v>0</v>
      </c>
      <c r="H19" s="291">
        <f>IF(Creation!BO7+Creation!BQ7&gt;3,1,0)</f>
        <v>0</v>
      </c>
      <c r="I19" s="291">
        <f>IF(Creation!BO7+Creation!BQ7&gt;4,1,0)</f>
        <v>0</v>
      </c>
      <c r="J19" s="291">
        <f>IF(Creation!BO7+Creation!BQ7&gt;5,1,0)</f>
        <v>0</v>
      </c>
      <c r="K19" s="291">
        <f>IF(Creation!BO7+Creation!BQ7&gt;6,1,0)</f>
        <v>0</v>
      </c>
      <c r="L19" s="291">
        <f>IF(Creation!BO7+Creation!BQ7&gt;7,1,0)</f>
        <v>0</v>
      </c>
      <c r="M19" s="291">
        <f>IF(Creation!BO7+Creation!BQ7&gt;8,1,0)</f>
        <v>0</v>
      </c>
      <c r="N19" s="291">
        <f>IF(Creation!BO7+Creation!BQ7&gt;9,1,0)</f>
        <v>0</v>
      </c>
      <c r="O19" s="292">
        <f>IF(Creation!BO7+Creation!BQ7&gt;10,1,0)</f>
        <v>0</v>
      </c>
      <c r="P19" s="1163" t="s">
        <v>45</v>
      </c>
      <c r="Q19" s="767"/>
      <c r="R19" s="767"/>
      <c r="S19" s="767"/>
      <c r="T19" s="291">
        <f>IF(Creation!AC14+Creation!AF14&gt;0,1,0)</f>
        <v>0</v>
      </c>
      <c r="U19" s="291">
        <f>IF(Creation!AC14+Creation!AF14&gt;1,1,0)</f>
        <v>0</v>
      </c>
      <c r="V19" s="291">
        <f>IF(Creation!AC14+Creation!AF14&gt;2,1,0)</f>
        <v>0</v>
      </c>
      <c r="W19" s="291">
        <f>IF(Creation!AC14+Creation!AF14&gt;3,1,0)</f>
        <v>0</v>
      </c>
      <c r="X19" s="376">
        <f>IF(Creation!AC14+Creation!AF14&gt;4,1,0)</f>
        <v>0</v>
      </c>
      <c r="Y19" s="1163" t="s">
        <v>16</v>
      </c>
      <c r="Z19" s="767"/>
      <c r="AA19" s="767"/>
      <c r="AB19" s="768"/>
      <c r="AC19" s="392"/>
      <c r="AD19" s="381"/>
      <c r="AE19" s="381"/>
      <c r="AF19" s="381"/>
      <c r="AG19" s="381"/>
      <c r="AH19" s="381"/>
      <c r="AI19" s="381"/>
      <c r="AJ19" s="381"/>
      <c r="AK19" s="381"/>
      <c r="AL19" s="381"/>
      <c r="AM19" s="382"/>
      <c r="AN19" s="1163" t="s">
        <v>45</v>
      </c>
      <c r="AO19" s="767"/>
      <c r="AP19" s="767"/>
      <c r="AQ19" s="768"/>
      <c r="AR19" s="392"/>
      <c r="AS19" s="381"/>
      <c r="AT19" s="381"/>
      <c r="AU19" s="381"/>
      <c r="AV19" s="382"/>
      <c r="AW19" s="1104" t="s">
        <v>16</v>
      </c>
      <c r="AX19" s="767"/>
      <c r="AY19" s="767"/>
      <c r="AZ19" s="768"/>
      <c r="BA19" s="400"/>
      <c r="BB19" s="381"/>
      <c r="BC19" s="381"/>
      <c r="BD19" s="381"/>
      <c r="BE19" s="381"/>
      <c r="BF19" s="381"/>
      <c r="BG19" s="381"/>
      <c r="BH19" s="381"/>
      <c r="BI19" s="381"/>
      <c r="BJ19" s="381"/>
      <c r="BK19" s="382"/>
      <c r="BL19" s="1163" t="s">
        <v>45</v>
      </c>
      <c r="BM19" s="767"/>
      <c r="BN19" s="767"/>
      <c r="BO19" s="768"/>
      <c r="BP19" s="400"/>
      <c r="BQ19" s="381"/>
      <c r="BR19" s="381"/>
      <c r="BS19" s="381"/>
      <c r="BT19" s="382"/>
      <c r="BU19" s="1104" t="s">
        <v>16</v>
      </c>
      <c r="BV19" s="767"/>
      <c r="BW19" s="767"/>
      <c r="BX19" s="767"/>
      <c r="BY19" s="291">
        <f>IF(AND(E19=0,AC19=0,BA19=0,DemigodConversion!$BM7+DemigodConversion!$BO7+DemigodConversion!$BQ7&gt;0),1,0)</f>
        <v>0</v>
      </c>
      <c r="BZ19" s="291">
        <f>IF(SUM($BY19:BY19)=SUM(DemigodConversion!$BO7:$BR7),0,IF(AND(F19=0,AD19=0,BB19=0,DemigodConversion!$BM7+DemigodConversion!$BO7+DemigodConversion!$BQ7&gt;BY$15),1,0))</f>
        <v>0</v>
      </c>
      <c r="CA19" s="291">
        <f>IF(SUM($BY19:BZ19)=SUM(DemigodConversion!$BO7:$BR7),0,IF(AND(G19=0,AE19=0,BC19=0,DemigodConversion!$BM7+DemigodConversion!$BO7+DemigodConversion!$BQ7&gt;BZ$15),1,0))</f>
        <v>0</v>
      </c>
      <c r="CB19" s="291">
        <f>IF(SUM($BY19:CA19)=SUM(DemigodConversion!$BO7:$BR7),0,IF(AND(H19=0,AF19=0,BD19=0,DemigodConversion!$BM7+DemigodConversion!$BO7+DemigodConversion!$BQ7&gt;CA$15),1,0))</f>
        <v>0</v>
      </c>
      <c r="CC19" s="291">
        <f>IF(SUM($BY19:CB19)=SUM(DemigodConversion!$BO7:$BR7),0,IF(AND(I19=0,AG19=0,BE19=0,DemigodConversion!$BM7+DemigodConversion!$BO7+DemigodConversion!$BQ7&gt;CB$15),1,0))</f>
        <v>0</v>
      </c>
      <c r="CD19" s="291">
        <f>IF(SUM($BY19:CC19)=SUM(DemigodConversion!$BO7:$BR7),0,IF(AND(J19=0,AH19=0,BF19=0,DemigodConversion!$BM7+DemigodConversion!$BO7+DemigodConversion!$BQ7&gt;CC$15),1,0))</f>
        <v>0</v>
      </c>
      <c r="CE19" s="291">
        <f>IF(SUM($BY19:CD19)=SUM(DemigodConversion!$BO7:$BR7),0,IF(AND(K19=0,AI19=0,BG19=0,DemigodConversion!$BM7+DemigodConversion!$BO7+DemigodConversion!$BQ7&gt;CD$15),1,0))</f>
        <v>0</v>
      </c>
      <c r="CF19" s="291">
        <f>IF(SUM($BY19:CE19)=SUM(DemigodConversion!$BO7:$BR7),0,IF(AND(L19=0,AJ19=0,BH19=0,DemigodConversion!$BM7+DemigodConversion!$BO7+DemigodConversion!$BQ7&gt;CE$15),1,0))</f>
        <v>0</v>
      </c>
      <c r="CG19" s="291">
        <f>IF(SUM($BY19:CF19)=SUM(DemigodConversion!$BO7:$BR7),0,IF(AND(M19=0,AK19=0,BI19=0,DemigodConversion!$BM7+DemigodConversion!$BO7+DemigodConversion!$BQ7&gt;CF$15),1,0))</f>
        <v>0</v>
      </c>
      <c r="CH19" s="291">
        <f>IF(SUM($BY19:CG19)=SUM(DemigodConversion!$BO7:$BR7),0,IF(AND(N19=0,AL19=0,BJ19=0,DemigodConversion!$BM7+DemigodConversion!$BO7+DemigodConversion!$BQ7&gt;CG$15),1,0))</f>
        <v>0</v>
      </c>
      <c r="CI19" s="376">
        <f>IF(SUM($BY19:CH19)=SUM(DemigodConversion!$BO7:$BR7),0,IF(AND(O19=0,AM19=0,BK19=0,DemigodConversion!$BM7+DemigodConversion!$BO7+DemigodConversion!$BQ7&gt;CH$15),1,0))</f>
        <v>0</v>
      </c>
      <c r="CJ19" s="1163" t="s">
        <v>45</v>
      </c>
      <c r="CK19" s="767"/>
      <c r="CL19" s="767"/>
      <c r="CM19" s="767"/>
      <c r="CN19" s="291">
        <f>IF(AND(T19=0,AR19=0,BP19=0,FB17=0,FK17=0,FT17=0,GC17=0,ES17=0,DemigodConversion!$AC14+DemigodConversion!$AF14&gt;0),1,0)</f>
        <v>0</v>
      </c>
      <c r="CO19" s="291">
        <f>IF(AND(U19=0,AS19=0,BQ19=0,FC17=0,FL17=0,FU17=0,GD17=0,ET17=0,DemigodConversion!$AC14+DemigodConversion!$AF14&gt;1),1,0)</f>
        <v>0</v>
      </c>
      <c r="CP19" s="291">
        <f>IF(AND(V19=0,AT19=0,BR19=0,FD17=0,FM17=0,FV17=0,GE17=0,EU17=0,DemigodConversion!$AC14+DemigodConversion!$AF14&gt;2),1,0)</f>
        <v>0</v>
      </c>
      <c r="CQ19" s="291">
        <f>IF(AND(W19=0,AU19=0,BS19=0,FE17=0,FN17=0,FW17=0,GF17=0,EV17=0,DemigodConversion!$AC14+DemigodConversion!$AF14&gt;3),1,0)</f>
        <v>0</v>
      </c>
      <c r="CR19" s="291">
        <f>IF(AND(X19=0,AV19=0,BT19=0,FF17=0,FO17=0,FX17=0,GG17=0,EW17=0,DemigodConversion!$AC14+DemigodConversion!$AF14&gt;4),1,0)</f>
        <v>0</v>
      </c>
      <c r="CS19" s="1104" t="s">
        <v>16</v>
      </c>
      <c r="CT19" s="767"/>
      <c r="CU19" s="767"/>
      <c r="CV19" s="767"/>
      <c r="CW19" s="291">
        <f>IF(AND(E19=0,AC19=0,BA19=0,BY19=0,0&lt;SUM(GodConversion!$BM7:$BR7)),1,0)</f>
        <v>0</v>
      </c>
      <c r="CX19" s="291">
        <f>IF(AND(F19=0,AD19=0,BB19=0,BZ19=0,CW$15&lt;SUM(GodConversion!$BM7:$BR7)),1,0)</f>
        <v>0</v>
      </c>
      <c r="CY19" s="291">
        <f>IF(AND(G19=0,AE19=0,BC19=0,CA19=0,CX$15&lt;SUM(GodConversion!$BM7:$BR7)),1,0)</f>
        <v>0</v>
      </c>
      <c r="CZ19" s="291">
        <f>IF(AND(H19=0,AF19=0,BD19=0,CB19=0,CY$15&lt;SUM(GodConversion!$BM7:$BR7)),1,0)</f>
        <v>0</v>
      </c>
      <c r="DA19" s="291">
        <f>IF(AND(I19=0,AG19=0,BE19=0,CC19=0,CZ$15&lt;SUM(GodConversion!$BM7:$BR7)),1,0)</f>
        <v>0</v>
      </c>
      <c r="DB19" s="291">
        <f>IF(AND(J19=0,AH19=0,BF19=0,CD19=0,DA$15&lt;SUM(GodConversion!$BM7:$BR7)),1,0)</f>
        <v>0</v>
      </c>
      <c r="DC19" s="291">
        <f>IF(AND(K19=0,AI19=0,BG19=0,CE19=0,DB$15&lt;SUM(GodConversion!$BM7:$BR7)),1,0)</f>
        <v>0</v>
      </c>
      <c r="DD19" s="291">
        <f>IF(AND(L19=0,AJ19=0,BH19=0,CF19=0,DC$15&lt;SUM(GodConversion!$BM7:$BR7)),1,0)</f>
        <v>0</v>
      </c>
      <c r="DE19" s="291">
        <f>IF(AND(M19=0,AK19=0,BI19=0,CG19=0,DD$15&lt;SUM(GodConversion!$BM7:$BR7)),1,0)</f>
        <v>0</v>
      </c>
      <c r="DF19" s="291">
        <f>IF(AND(N19=0,AL19=0,BJ19=0,CH19=0,DE$15&lt;SUM(GodConversion!$BM7:$BR7)),1,0)</f>
        <v>0</v>
      </c>
      <c r="DG19" s="292">
        <f>IF(AND(O19=0,AM19=0,BK19=0,CI19=0,DF$15&lt;SUM(GodConversion!$BM7:$BR7)),1,0)</f>
        <v>0</v>
      </c>
      <c r="DH19" s="1104" t="s">
        <v>45</v>
      </c>
      <c r="DI19" s="767"/>
      <c r="DJ19" s="767"/>
      <c r="DK19" s="767"/>
      <c r="DL19" s="291">
        <f>IF(AND(T19=0,AR19=0,BP19=0,ES17=0,FB17=0,FK17=0,FT17=0,GC17=0,CN19=0,0&lt;GodConversion!$AC14+GodConversion!$AF14),1,0)</f>
        <v>0</v>
      </c>
      <c r="DM19" s="291">
        <f>IF(AND(U19=0,AS19=0,BQ19=0,ET17=0,FC17=0,FL17=0,FU17=0,GD17=0,CO19=0,1&lt;GodConversion!$AC14+GodConversion!$AF14),1,0)</f>
        <v>0</v>
      </c>
      <c r="DN19" s="291">
        <f>IF(AND(V19=0,AT19=0,BR19=0,EU17=0,FD17=0,FM17=0,FV17=0,GE17=0,CP19=0,2&lt;GodConversion!$AC14+GodConversion!$AF14),1,0)</f>
        <v>0</v>
      </c>
      <c r="DO19" s="291">
        <f>IF(AND(W19=0,AU19=0,BS19=0,EV17=0,FE17=0,FN17=0,FW17=0,GF17=0,CQ19=0,3&lt;GodConversion!$AC14+GodConversion!$AF14),1,0)</f>
        <v>0</v>
      </c>
      <c r="DP19" s="291">
        <f>IF(AND(X19=0,AV19=0,BT19=0,EW17=0,FF17=0,FO17=0,FX17=0,GG17=0,CR19=0,4&lt;GodConversion!$AC14+GodConversion!$AF14),1,0)</f>
        <v>0</v>
      </c>
      <c r="DQ19" s="1163" t="s">
        <v>16</v>
      </c>
      <c r="DR19" s="767"/>
      <c r="DS19" s="767"/>
      <c r="DT19" s="767"/>
      <c r="DU19" s="291">
        <f>IF($AC19=1,IF(LOOKUP(CharacterSheet!$AK$7,AssociatedRef!$A$2:$A$130,AssociatedRef!$E$2:$E$130)="Yes",8,10),0)</f>
        <v>0</v>
      </c>
      <c r="DV19" s="291">
        <f>IF(AD19=1,IF(LOOKUP(CharacterSheet!$AK$7,AssociatedRef!$A$2:$A$130,AssociatedRef!$E$2:$E$130)="Yes",DU$15*4,DU$15*5),0)</f>
        <v>0</v>
      </c>
      <c r="DW19" s="291">
        <f>IF(AE19=1,IF(LOOKUP(CharacterSheet!$AK$7,AssociatedRef!$A$2:$A$130,AssociatedRef!$E$2:$E$130)="Yes",DV$15*4,DV$15*5),0)</f>
        <v>0</v>
      </c>
      <c r="DX19" s="291">
        <f>IF(AF19=1,IF(LOOKUP(CharacterSheet!$AK$7,AssociatedRef!$A$2:$A$130,AssociatedRef!$E$2:$E$130)="Yes",DW$15*4,DW$15*5),0)</f>
        <v>0</v>
      </c>
      <c r="DY19" s="291">
        <f>IF(AG19=1,IF(LOOKUP(CharacterSheet!$AK$7,AssociatedRef!$A$2:$A$130,AssociatedRef!$E$2:$E$130)="Yes",DX$15*4,DX$15*5),0)</f>
        <v>0</v>
      </c>
      <c r="DZ19" s="291">
        <f>IF(AH19=1,IF(LOOKUP(CharacterSheet!$AK$7,AssociatedRef!$A$2:$A$130,AssociatedRef!$E$2:$E$130)="Yes",DY$15*4,DY$15*5),0)</f>
        <v>0</v>
      </c>
      <c r="EA19" s="291">
        <f>IF(AI19=1,IF(LOOKUP(CharacterSheet!$AK$7,AssociatedRef!$A$2:$A$130,AssociatedRef!$E$2:$E$130)="Yes",DZ$15*4,DZ$15*5),0)</f>
        <v>0</v>
      </c>
      <c r="EB19" s="291">
        <f>IF(AJ19=1,IF(LOOKUP(CharacterSheet!$AK$7,AssociatedRef!$A$2:$A$130,AssociatedRef!$E$2:$E$130)="Yes",EA$15*4,EA$15*5),0)</f>
        <v>0</v>
      </c>
      <c r="EC19" s="291">
        <f>IF(AK19=1,IF(LOOKUP(CharacterSheet!$AK$7,AssociatedRef!$A$2:$A$130,AssociatedRef!$E$2:$E$130)="Yes",EB$15*4,EB$15*5),0)</f>
        <v>0</v>
      </c>
      <c r="ED19" s="291">
        <f>IF(AL19=1,IF(LOOKUP(CharacterSheet!$AK$7,AssociatedRef!$A$2:$A$130,AssociatedRef!$E$2:$E$130)="Yes",EC$15*4,EC$15*5),0)</f>
        <v>0</v>
      </c>
      <c r="EE19" s="292">
        <f>IF(AM19=1,IF(LOOKUP(CharacterSheet!$AK$7,AssociatedRef!$A$2:$A$130,AssociatedRef!$E$2:$E$130)="Yes",ED$15*4,ED$15*5),0)</f>
        <v>0</v>
      </c>
      <c r="EF19" s="1163" t="s">
        <v>45</v>
      </c>
      <c r="EG19" s="767"/>
      <c r="EH19" s="767"/>
      <c r="EI19" s="767"/>
      <c r="EJ19" s="291">
        <f t="shared" si="11"/>
        <v>0</v>
      </c>
      <c r="EK19" s="291">
        <f t="shared" si="12"/>
        <v>0</v>
      </c>
      <c r="EL19" s="291">
        <f t="shared" si="13"/>
        <v>0</v>
      </c>
      <c r="EM19" s="291">
        <f t="shared" si="14"/>
        <v>0</v>
      </c>
      <c r="EN19" s="291">
        <f t="shared" si="15"/>
        <v>0</v>
      </c>
      <c r="EO19" s="1164" t="s">
        <v>47</v>
      </c>
      <c r="EP19" s="1165"/>
      <c r="EQ19" s="1165"/>
      <c r="ER19" s="1166"/>
      <c r="ES19" s="398"/>
      <c r="ET19" s="399"/>
      <c r="EU19" s="381"/>
      <c r="EV19" s="381"/>
      <c r="EW19" s="381"/>
      <c r="EX19" s="1118" t="s">
        <v>47</v>
      </c>
      <c r="EY19" s="964"/>
      <c r="EZ19" s="964"/>
      <c r="FA19" s="1119"/>
      <c r="FB19" s="503"/>
      <c r="FC19" s="504"/>
      <c r="FD19" s="504"/>
      <c r="FE19" s="504"/>
      <c r="FF19" s="505"/>
      <c r="FG19" s="1123" t="s">
        <v>47</v>
      </c>
      <c r="FH19" s="1114"/>
      <c r="FI19" s="1114"/>
      <c r="FJ19" s="1115"/>
      <c r="FK19" s="515"/>
      <c r="FL19" s="516"/>
      <c r="FM19" s="516"/>
      <c r="FN19" s="516"/>
      <c r="FO19" s="517"/>
      <c r="FP19" s="1118" t="s">
        <v>47</v>
      </c>
      <c r="FQ19" s="964"/>
      <c r="FR19" s="964"/>
      <c r="FS19" s="1119"/>
      <c r="FT19" s="503"/>
      <c r="FU19" s="504"/>
      <c r="FV19" s="504"/>
      <c r="FW19" s="504"/>
      <c r="FX19" s="505"/>
      <c r="FY19" s="1113" t="s">
        <v>47</v>
      </c>
      <c r="FZ19" s="1114"/>
      <c r="GA19" s="1114"/>
      <c r="GB19" s="1115"/>
      <c r="GC19" s="515"/>
      <c r="GD19" s="516"/>
      <c r="GE19" s="516"/>
      <c r="GF19" s="516"/>
      <c r="GG19" s="517"/>
      <c r="GK19" s="396" t="s">
        <v>47</v>
      </c>
      <c r="GL19" s="396">
        <f t="shared" si="8"/>
        <v>0</v>
      </c>
      <c r="GM19" s="396">
        <f>IF($GK19=Creation!$Q$28,1,0)</f>
        <v>0</v>
      </c>
      <c r="GN19" s="396">
        <f>IF($GK19=Creation!$Q$29,1,0)</f>
        <v>0</v>
      </c>
      <c r="GO19" s="396">
        <f>IF($GK19=Creation!$Q$30,1,0)</f>
        <v>0</v>
      </c>
      <c r="GP19" s="396">
        <f>IF($GK19=Creation!$Q$31,1,0)</f>
        <v>0</v>
      </c>
      <c r="GQ19" s="396">
        <f>IF($GK19=Creation!$Q$32,1,0)</f>
        <v>0</v>
      </c>
      <c r="GR19" s="396">
        <f>IF($GK19=Creation!$Q$33,1,0)</f>
        <v>0</v>
      </c>
    </row>
    <row r="20" spans="1:200" ht="15" customHeight="1" x14ac:dyDescent="0.25">
      <c r="A20" s="1163" t="s">
        <v>17</v>
      </c>
      <c r="B20" s="767"/>
      <c r="C20" s="767"/>
      <c r="D20" s="767"/>
      <c r="E20" s="291">
        <f>IF(Creation!BO8+Creation!BQ8&gt;0,1,0)</f>
        <v>0</v>
      </c>
      <c r="F20" s="291">
        <f>IF(Creation!BO8+Creation!BQ8&gt;1,1,0)</f>
        <v>0</v>
      </c>
      <c r="G20" s="291">
        <f>IF(Creation!BO8+Creation!BQ8&gt;2,1,0)</f>
        <v>0</v>
      </c>
      <c r="H20" s="291">
        <f>IF(Creation!BO8+Creation!BQ8&gt;3,1,0)</f>
        <v>0</v>
      </c>
      <c r="I20" s="291">
        <f>IF(Creation!BO8+Creation!BQ8&gt;4,1,0)</f>
        <v>0</v>
      </c>
      <c r="J20" s="291">
        <f>IF(Creation!BO8+Creation!BQ8&gt;5,1,0)</f>
        <v>0</v>
      </c>
      <c r="K20" s="291">
        <f>IF(Creation!BO8+Creation!BQ8&gt;6,1,0)</f>
        <v>0</v>
      </c>
      <c r="L20" s="291">
        <f>IF(Creation!BO8+Creation!BQ8&gt;7,1,0)</f>
        <v>0</v>
      </c>
      <c r="M20" s="291">
        <f>IF(Creation!BO8+Creation!BQ8&gt;8,1,0)</f>
        <v>0</v>
      </c>
      <c r="N20" s="291">
        <f>IF(Creation!BO8+Creation!BQ8&gt;9,1,0)</f>
        <v>0</v>
      </c>
      <c r="O20" s="292">
        <f>IF(Creation!BO8+Creation!BQ8&gt;10,1,0)</f>
        <v>0</v>
      </c>
      <c r="P20" s="1163" t="s">
        <v>46</v>
      </c>
      <c r="Q20" s="767"/>
      <c r="R20" s="767"/>
      <c r="S20" s="767"/>
      <c r="T20" s="291">
        <f>IF(Creation!AC15+Creation!AF15&gt;0,1,0)</f>
        <v>0</v>
      </c>
      <c r="U20" s="291">
        <f>IF(Creation!AC15+Creation!AF15&gt;1,1,0)</f>
        <v>0</v>
      </c>
      <c r="V20" s="291">
        <f>IF(Creation!AC15+Creation!AF15&gt;2,1,0)</f>
        <v>0</v>
      </c>
      <c r="W20" s="291">
        <f>IF(Creation!AC15+Creation!AF15&gt;3,1,0)</f>
        <v>0</v>
      </c>
      <c r="X20" s="376">
        <f>IF(Creation!AC15+Creation!AF15&gt;4,1,0)</f>
        <v>0</v>
      </c>
      <c r="Y20" s="1163" t="s">
        <v>17</v>
      </c>
      <c r="Z20" s="767"/>
      <c r="AA20" s="767"/>
      <c r="AB20" s="768"/>
      <c r="AC20" s="392"/>
      <c r="AD20" s="381"/>
      <c r="AE20" s="381"/>
      <c r="AF20" s="381"/>
      <c r="AG20" s="381"/>
      <c r="AH20" s="381"/>
      <c r="AI20" s="381"/>
      <c r="AJ20" s="381"/>
      <c r="AK20" s="381"/>
      <c r="AL20" s="381"/>
      <c r="AM20" s="382"/>
      <c r="AN20" s="1163" t="s">
        <v>46</v>
      </c>
      <c r="AO20" s="767"/>
      <c r="AP20" s="767"/>
      <c r="AQ20" s="768"/>
      <c r="AR20" s="392"/>
      <c r="AS20" s="381"/>
      <c r="AT20" s="381"/>
      <c r="AU20" s="381"/>
      <c r="AV20" s="382"/>
      <c r="AW20" s="1104" t="s">
        <v>17</v>
      </c>
      <c r="AX20" s="767"/>
      <c r="AY20" s="767"/>
      <c r="AZ20" s="768"/>
      <c r="BA20" s="400"/>
      <c r="BB20" s="381"/>
      <c r="BC20" s="381"/>
      <c r="BD20" s="381"/>
      <c r="BE20" s="381"/>
      <c r="BF20" s="381"/>
      <c r="BG20" s="381"/>
      <c r="BH20" s="381"/>
      <c r="BI20" s="381"/>
      <c r="BJ20" s="381"/>
      <c r="BK20" s="382"/>
      <c r="BL20" s="1163" t="s">
        <v>46</v>
      </c>
      <c r="BM20" s="767"/>
      <c r="BN20" s="767"/>
      <c r="BO20" s="768"/>
      <c r="BP20" s="400"/>
      <c r="BQ20" s="381"/>
      <c r="BR20" s="381"/>
      <c r="BS20" s="381"/>
      <c r="BT20" s="382"/>
      <c r="BU20" s="1104" t="s">
        <v>17</v>
      </c>
      <c r="BV20" s="767"/>
      <c r="BW20" s="767"/>
      <c r="BX20" s="767"/>
      <c r="BY20" s="291">
        <f>IF(AND(E20=0,AC20=0,BA20=0,DemigodConversion!$BM8+DemigodConversion!$BO8+DemigodConversion!$BQ8&gt;0),1,0)</f>
        <v>0</v>
      </c>
      <c r="BZ20" s="291">
        <f>IF(SUM($BY20:BY20)=SUM(DemigodConversion!$BO8:$BR8),0,IF(AND(F20=0,AD20=0,BB20=0,DemigodConversion!$BM8+DemigodConversion!$BO8+DemigodConversion!$BQ8&gt;BY$15),1,0))</f>
        <v>0</v>
      </c>
      <c r="CA20" s="291">
        <f>IF(SUM($BY20:BZ20)=SUM(DemigodConversion!$BO8:$BR8),0,IF(AND(G20=0,AE20=0,BC20=0,DemigodConversion!$BM8+DemigodConversion!$BO8+DemigodConversion!$BQ8&gt;BZ$15),1,0))</f>
        <v>0</v>
      </c>
      <c r="CB20" s="291">
        <f>IF(SUM($BY20:CA20)=SUM(DemigodConversion!$BO8:$BR8),0,IF(AND(H20=0,AF20=0,BD20=0,DemigodConversion!$BM8+DemigodConversion!$BO8+DemigodConversion!$BQ8&gt;CA$15),1,0))</f>
        <v>0</v>
      </c>
      <c r="CC20" s="291">
        <f>IF(SUM($BY20:CB20)=SUM(DemigodConversion!$BO8:$BR8),0,IF(AND(I20=0,AG20=0,BE20=0,DemigodConversion!$BM8+DemigodConversion!$BO8+DemigodConversion!$BQ8&gt;CB$15),1,0))</f>
        <v>0</v>
      </c>
      <c r="CD20" s="291">
        <f>IF(SUM($BY20:CC20)=SUM(DemigodConversion!$BO8:$BR8),0,IF(AND(J20=0,AH20=0,BF20=0,DemigodConversion!$BM8+DemigodConversion!$BO8+DemigodConversion!$BQ8&gt;CC$15),1,0))</f>
        <v>0</v>
      </c>
      <c r="CE20" s="291">
        <f>IF(SUM($BY20:CD20)=SUM(DemigodConversion!$BO8:$BR8),0,IF(AND(K20=0,AI20=0,BG20=0,DemigodConversion!$BM8+DemigodConversion!$BO8+DemigodConversion!$BQ8&gt;CD$15),1,0))</f>
        <v>0</v>
      </c>
      <c r="CF20" s="291">
        <f>IF(SUM($BY20:CE20)=SUM(DemigodConversion!$BO8:$BR8),0,IF(AND(L20=0,AJ20=0,BH20=0,DemigodConversion!$BM8+DemigodConversion!$BO8+DemigodConversion!$BQ8&gt;CE$15),1,0))</f>
        <v>0</v>
      </c>
      <c r="CG20" s="291">
        <f>IF(SUM($BY20:CF20)=SUM(DemigodConversion!$BO8:$BR8),0,IF(AND(M20=0,AK20=0,BI20=0,DemigodConversion!$BM8+DemigodConversion!$BO8+DemigodConversion!$BQ8&gt;CF$15),1,0))</f>
        <v>0</v>
      </c>
      <c r="CH20" s="291">
        <f>IF(SUM($BY20:CG20)=SUM(DemigodConversion!$BO8:$BR8),0,IF(AND(N20=0,AL20=0,BJ20=0,DemigodConversion!$BM8+DemigodConversion!$BO8+DemigodConversion!$BQ8&gt;CG$15),1,0))</f>
        <v>0</v>
      </c>
      <c r="CI20" s="376">
        <f>IF(SUM($BY20:CH20)=SUM(DemigodConversion!$BO8:$BR8),0,IF(AND(O20=0,AM20=0,BK20=0,DemigodConversion!$BM8+DemigodConversion!$BO8+DemigodConversion!$BQ8&gt;CH$15),1,0))</f>
        <v>0</v>
      </c>
      <c r="CJ20" s="1163" t="s">
        <v>46</v>
      </c>
      <c r="CK20" s="767"/>
      <c r="CL20" s="767"/>
      <c r="CM20" s="767"/>
      <c r="CN20" s="291">
        <f>IF(AND(T20=0,AR20=0,BP20=0,FB18=0,FK18=0,FT18=0,GC18=0,ES18=0,DemigodConversion!$AC15+DemigodConversion!$AF15&gt;0),1,0)</f>
        <v>0</v>
      </c>
      <c r="CO20" s="291">
        <f>IF(AND(U20=0,AS20=0,BQ20=0,FC18=0,FL18=0,FU18=0,GD18=0,ET18=0,DemigodConversion!$AC15+DemigodConversion!$AF15&gt;1),1,0)</f>
        <v>0</v>
      </c>
      <c r="CP20" s="291">
        <f>IF(AND(V20=0,AT20=0,BR20=0,FD18=0,FM18=0,FV18=0,GE18=0,EU18=0,DemigodConversion!$AC15+DemigodConversion!$AF15&gt;2),1,0)</f>
        <v>0</v>
      </c>
      <c r="CQ20" s="291">
        <f>IF(AND(W20=0,AU20=0,BS20=0,FE18=0,FN18=0,FW18=0,GF18=0,EV18=0,DemigodConversion!$AC15+DemigodConversion!$AF15&gt;3),1,0)</f>
        <v>0</v>
      </c>
      <c r="CR20" s="291">
        <f>IF(AND(X20=0,AV20=0,BT20=0,FF18=0,FO18=0,FX18=0,GG18=0,EW18=0,DemigodConversion!$AC15+DemigodConversion!$AF15&gt;4),1,0)</f>
        <v>0</v>
      </c>
      <c r="CS20" s="1104" t="s">
        <v>17</v>
      </c>
      <c r="CT20" s="767"/>
      <c r="CU20" s="767"/>
      <c r="CV20" s="767"/>
      <c r="CW20" s="291">
        <f>IF(AND(E20=0,AC20=0,BA20=0,BY20=0,0&lt;SUM(GodConversion!$BM8:$BR8)),1,0)</f>
        <v>0</v>
      </c>
      <c r="CX20" s="291">
        <f>IF(AND(F20=0,AD20=0,BB20=0,BZ20=0,CW$15&lt;SUM(GodConversion!$BM8:$BR8)),1,0)</f>
        <v>0</v>
      </c>
      <c r="CY20" s="291">
        <f>IF(AND(G20=0,AE20=0,BC20=0,CA20=0,CX$15&lt;SUM(GodConversion!$BM8:$BR8)),1,0)</f>
        <v>0</v>
      </c>
      <c r="CZ20" s="291">
        <f>IF(AND(H20=0,AF20=0,BD20=0,CB20=0,CY$15&lt;SUM(GodConversion!$BM8:$BR8)),1,0)</f>
        <v>0</v>
      </c>
      <c r="DA20" s="291">
        <f>IF(AND(I20=0,AG20=0,BE20=0,CC20=0,CZ$15&lt;SUM(GodConversion!$BM8:$BR8)),1,0)</f>
        <v>0</v>
      </c>
      <c r="DB20" s="291">
        <f>IF(AND(J20=0,AH20=0,BF20=0,CD20=0,DA$15&lt;SUM(GodConversion!$BM8:$BR8)),1,0)</f>
        <v>0</v>
      </c>
      <c r="DC20" s="291">
        <f>IF(AND(K20=0,AI20=0,BG20=0,CE20=0,DB$15&lt;SUM(GodConversion!$BM8:$BR8)),1,0)</f>
        <v>0</v>
      </c>
      <c r="DD20" s="291">
        <f>IF(AND(L20=0,AJ20=0,BH20=0,CF20=0,DC$15&lt;SUM(GodConversion!$BM8:$BR8)),1,0)</f>
        <v>0</v>
      </c>
      <c r="DE20" s="291">
        <f>IF(AND(M20=0,AK20=0,BI20=0,CG20=0,DD$15&lt;SUM(GodConversion!$BM8:$BR8)),1,0)</f>
        <v>0</v>
      </c>
      <c r="DF20" s="291">
        <f>IF(AND(N20=0,AL20=0,BJ20=0,CH20=0,DE$15&lt;SUM(GodConversion!$BM8:$BR8)),1,0)</f>
        <v>0</v>
      </c>
      <c r="DG20" s="292">
        <f>IF(AND(O20=0,AM20=0,BK20=0,CI20=0,DF$15&lt;SUM(GodConversion!$BM8:$BR8)),1,0)</f>
        <v>0</v>
      </c>
      <c r="DH20" s="1104" t="s">
        <v>46</v>
      </c>
      <c r="DI20" s="767"/>
      <c r="DJ20" s="767"/>
      <c r="DK20" s="767"/>
      <c r="DL20" s="291">
        <f>IF(AND(T20=0,AR20=0,BP20=0,ES18=0,FB18=0,FK18=0,FT18=0,GC18=0,CN20=0,0&lt;GodConversion!$AC15+GodConversion!$AF15),1,0)</f>
        <v>0</v>
      </c>
      <c r="DM20" s="291">
        <f>IF(AND(U20=0,AS20=0,BQ20=0,ET18=0,FC18=0,FL18=0,FU18=0,GD18=0,CO20=0,1&lt;GodConversion!$AC15+GodConversion!$AF15),1,0)</f>
        <v>0</v>
      </c>
      <c r="DN20" s="291">
        <f>IF(AND(V20=0,AT20=0,BR20=0,EU18=0,FD18=0,FM18=0,FV18=0,GE18=0,CP20=0,2&lt;GodConversion!$AC15+GodConversion!$AF15),1,0)</f>
        <v>0</v>
      </c>
      <c r="DO20" s="291">
        <f>IF(AND(W20=0,AU20=0,BS20=0,EV18=0,FE18=0,FN18=0,FW18=0,GF18=0,CQ20=0,3&lt;GodConversion!$AC15+GodConversion!$AF15),1,0)</f>
        <v>0</v>
      </c>
      <c r="DP20" s="291">
        <f>IF(AND(X20=0,AV20=0,BT20=0,EW18=0,FF18=0,FO18=0,FX18=0,GG18=0,CR20=0,4&lt;GodConversion!$AC15+GodConversion!$AF15),1,0)</f>
        <v>0</v>
      </c>
      <c r="DQ20" s="1163" t="s">
        <v>17</v>
      </c>
      <c r="DR20" s="767"/>
      <c r="DS20" s="767"/>
      <c r="DT20" s="767"/>
      <c r="DU20" s="291">
        <f>IF($AC20=1,IF(LOOKUP(CharacterSheet!$AK$7,AssociatedRef!$A$2:$A$130,AssociatedRef!$F$2:$F$130)="Yes",8,10),0)</f>
        <v>0</v>
      </c>
      <c r="DV20" s="291">
        <f>IF(AD20=1,IF(LOOKUP(CharacterSheet!$AK$7,AssociatedRef!$A$2:$A$130,AssociatedRef!$F$2:$F$130)="Yes",DU$15*4,DU$15*5),0)</f>
        <v>0</v>
      </c>
      <c r="DW20" s="291">
        <f>IF(AE20=1,IF(LOOKUP(CharacterSheet!$AK$7,AssociatedRef!$A$2:$A$130,AssociatedRef!$F$2:$F$130)="Yes",DV$15*4,DV$15*5),0)</f>
        <v>0</v>
      </c>
      <c r="DX20" s="291">
        <f>IF(AF20=1,IF(LOOKUP(CharacterSheet!$AK$7,AssociatedRef!$A$2:$A$130,AssociatedRef!$F$2:$F$130)="Yes",DW$15*4,DW$15*5),0)</f>
        <v>0</v>
      </c>
      <c r="DY20" s="291">
        <f>IF(AG20=1,IF(LOOKUP(CharacterSheet!$AK$7,AssociatedRef!$A$2:$A$130,AssociatedRef!$F$2:$F$130)="Yes",DX$15*4,DX$15*5),0)</f>
        <v>0</v>
      </c>
      <c r="DZ20" s="291">
        <f>IF(AH20=1,IF(LOOKUP(CharacterSheet!$AK$7,AssociatedRef!$A$2:$A$130,AssociatedRef!$F$2:$F$130)="Yes",DY$15*4,DY$15*5),0)</f>
        <v>0</v>
      </c>
      <c r="EA20" s="291">
        <f>IF(AI20=1,IF(LOOKUP(CharacterSheet!$AK$7,AssociatedRef!$A$2:$A$130,AssociatedRef!$F$2:$F$130)="Yes",DZ$15*4,DZ$15*5),0)</f>
        <v>0</v>
      </c>
      <c r="EB20" s="291">
        <f>IF(AJ20=1,IF(LOOKUP(CharacterSheet!$AK$7,AssociatedRef!$A$2:$A$130,AssociatedRef!$F$2:$F$130)="Yes",EA$15*4,EA$15*5),0)</f>
        <v>0</v>
      </c>
      <c r="EC20" s="291">
        <f>IF(AK20=1,IF(LOOKUP(CharacterSheet!$AK$7,AssociatedRef!$A$2:$A$130,AssociatedRef!$F$2:$F$130)="Yes",EB$15*4,EB$15*5),0)</f>
        <v>0</v>
      </c>
      <c r="ED20" s="291">
        <f>IF(AL20=1,IF(LOOKUP(CharacterSheet!$AK$7,AssociatedRef!$A$2:$A$130,AssociatedRef!$F$2:$F$130)="Yes",EC$15*4,EC$15*5),0)</f>
        <v>0</v>
      </c>
      <c r="EE20" s="292">
        <f>IF(AM20=1,IF(LOOKUP(CharacterSheet!$AK$7,AssociatedRef!$A$2:$A$130,AssociatedRef!$F$2:$F$130)="Yes",ED$15*4,ED$15*5),0)</f>
        <v>0</v>
      </c>
      <c r="EF20" s="1163" t="s">
        <v>46</v>
      </c>
      <c r="EG20" s="767"/>
      <c r="EH20" s="767"/>
      <c r="EI20" s="767"/>
      <c r="EJ20" s="291">
        <f t="shared" si="11"/>
        <v>0</v>
      </c>
      <c r="EK20" s="291">
        <f t="shared" si="12"/>
        <v>0</v>
      </c>
      <c r="EL20" s="291">
        <f t="shared" si="13"/>
        <v>0</v>
      </c>
      <c r="EM20" s="291">
        <f t="shared" si="14"/>
        <v>0</v>
      </c>
      <c r="EN20" s="291">
        <f t="shared" si="15"/>
        <v>0</v>
      </c>
      <c r="EO20" s="1164" t="s">
        <v>48</v>
      </c>
      <c r="EP20" s="1165"/>
      <c r="EQ20" s="1165"/>
      <c r="ER20" s="1166"/>
      <c r="ES20" s="398"/>
      <c r="ET20" s="399"/>
      <c r="EU20" s="381"/>
      <c r="EV20" s="381"/>
      <c r="EW20" s="381"/>
      <c r="EX20" s="1118" t="s">
        <v>48</v>
      </c>
      <c r="EY20" s="964"/>
      <c r="EZ20" s="964"/>
      <c r="FA20" s="1119"/>
      <c r="FB20" s="503"/>
      <c r="FC20" s="504"/>
      <c r="FD20" s="504"/>
      <c r="FE20" s="504"/>
      <c r="FF20" s="505"/>
      <c r="FG20" s="1123" t="s">
        <v>48</v>
      </c>
      <c r="FH20" s="1114"/>
      <c r="FI20" s="1114"/>
      <c r="FJ20" s="1115"/>
      <c r="FK20" s="515"/>
      <c r="FL20" s="516"/>
      <c r="FM20" s="516"/>
      <c r="FN20" s="516"/>
      <c r="FO20" s="517"/>
      <c r="FP20" s="1118" t="s">
        <v>48</v>
      </c>
      <c r="FQ20" s="964"/>
      <c r="FR20" s="964"/>
      <c r="FS20" s="1119"/>
      <c r="FT20" s="503"/>
      <c r="FU20" s="504"/>
      <c r="FV20" s="504"/>
      <c r="FW20" s="504"/>
      <c r="FX20" s="505"/>
      <c r="FY20" s="1113" t="s">
        <v>48</v>
      </c>
      <c r="FZ20" s="1114"/>
      <c r="GA20" s="1114"/>
      <c r="GB20" s="1115"/>
      <c r="GC20" s="515"/>
      <c r="GD20" s="516"/>
      <c r="GE20" s="516"/>
      <c r="GF20" s="516"/>
      <c r="GG20" s="517"/>
      <c r="GK20" s="396" t="s">
        <v>48</v>
      </c>
      <c r="GL20" s="396">
        <f t="shared" si="8"/>
        <v>0</v>
      </c>
      <c r="GM20" s="396">
        <f>IF($GK20=Creation!$Q$28,1,0)</f>
        <v>0</v>
      </c>
      <c r="GN20" s="396">
        <f>IF($GK20=Creation!$Q$29,1,0)</f>
        <v>0</v>
      </c>
      <c r="GO20" s="396">
        <f>IF($GK20=Creation!$Q$30,1,0)</f>
        <v>0</v>
      </c>
      <c r="GP20" s="396">
        <f>IF($GK20=Creation!$Q$31,1,0)</f>
        <v>0</v>
      </c>
      <c r="GQ20" s="396">
        <f>IF($GK20=Creation!$Q$32,1,0)</f>
        <v>0</v>
      </c>
      <c r="GR20" s="396">
        <f>IF($GK20=Creation!$Q$33,1,0)</f>
        <v>0</v>
      </c>
    </row>
    <row r="21" spans="1:200" x14ac:dyDescent="0.25">
      <c r="A21" s="1163" t="s">
        <v>18</v>
      </c>
      <c r="B21" s="767"/>
      <c r="C21" s="767"/>
      <c r="D21" s="767"/>
      <c r="E21" s="291">
        <f>IF(Creation!BO9+Creation!BQ9&gt;0,1,0)</f>
        <v>0</v>
      </c>
      <c r="F21" s="291">
        <f>IF(Creation!BO9+Creation!BQ9&gt;1,1,0)</f>
        <v>0</v>
      </c>
      <c r="G21" s="291">
        <f>IF(Creation!BO9+Creation!BQ9&gt;2,1,0)</f>
        <v>0</v>
      </c>
      <c r="H21" s="291">
        <f>IF(Creation!BO9+Creation!BQ9&gt;3,1,0)</f>
        <v>0</v>
      </c>
      <c r="I21" s="291">
        <f>IF(Creation!BO9+Creation!BQ9&gt;4,1,0)</f>
        <v>0</v>
      </c>
      <c r="J21" s="291">
        <f>IF(Creation!BO9+Creation!BQ9&gt;5,1,0)</f>
        <v>0</v>
      </c>
      <c r="K21" s="291">
        <f>IF(Creation!BO9+Creation!BQ9&gt;6,1,0)</f>
        <v>0</v>
      </c>
      <c r="L21" s="291">
        <f>IF(Creation!BO9+Creation!BQ9&gt;7,1,0)</f>
        <v>0</v>
      </c>
      <c r="M21" s="291">
        <f>IF(Creation!BO9+Creation!BQ9&gt;8,1,0)</f>
        <v>0</v>
      </c>
      <c r="N21" s="291">
        <f>IF(Creation!BO9+Creation!BQ9&gt;9,1,0)</f>
        <v>0</v>
      </c>
      <c r="O21" s="292">
        <f>IF(Creation!BO9+Creation!BQ9&gt;10,1,0)</f>
        <v>0</v>
      </c>
      <c r="P21" s="1163" t="s">
        <v>47</v>
      </c>
      <c r="Q21" s="767"/>
      <c r="R21" s="767"/>
      <c r="S21" s="767"/>
      <c r="T21" s="291">
        <f>IF(Creation!AC16+Creation!AF16&gt;0,1,0)</f>
        <v>0</v>
      </c>
      <c r="U21" s="291">
        <f>IF(Creation!AC16+Creation!AF16&gt;1,1,0)</f>
        <v>0</v>
      </c>
      <c r="V21" s="291">
        <f>IF(Creation!AC16+Creation!AF16&gt;2,1,0)</f>
        <v>0</v>
      </c>
      <c r="W21" s="291">
        <f>IF(Creation!AC16+Creation!AF16&gt;3,1,0)</f>
        <v>0</v>
      </c>
      <c r="X21" s="376">
        <f>IF(Creation!AC16+Creation!AF16&gt;4,1,0)</f>
        <v>0</v>
      </c>
      <c r="Y21" s="1163" t="s">
        <v>18</v>
      </c>
      <c r="Z21" s="767"/>
      <c r="AA21" s="767"/>
      <c r="AB21" s="768"/>
      <c r="AC21" s="392"/>
      <c r="AD21" s="381"/>
      <c r="AE21" s="381"/>
      <c r="AF21" s="381"/>
      <c r="AG21" s="381"/>
      <c r="AH21" s="381"/>
      <c r="AI21" s="381"/>
      <c r="AJ21" s="381"/>
      <c r="AK21" s="381"/>
      <c r="AL21" s="381"/>
      <c r="AM21" s="382"/>
      <c r="AN21" s="1163" t="s">
        <v>47</v>
      </c>
      <c r="AO21" s="767"/>
      <c r="AP21" s="767"/>
      <c r="AQ21" s="768"/>
      <c r="AR21" s="392"/>
      <c r="AS21" s="381"/>
      <c r="AT21" s="381"/>
      <c r="AU21" s="381"/>
      <c r="AV21" s="382"/>
      <c r="AW21" s="1104" t="s">
        <v>18</v>
      </c>
      <c r="AX21" s="767"/>
      <c r="AY21" s="767"/>
      <c r="AZ21" s="768"/>
      <c r="BA21" s="400"/>
      <c r="BB21" s="381"/>
      <c r="BC21" s="381"/>
      <c r="BD21" s="381"/>
      <c r="BE21" s="381"/>
      <c r="BF21" s="381"/>
      <c r="BG21" s="381"/>
      <c r="BH21" s="381"/>
      <c r="BI21" s="381"/>
      <c r="BJ21" s="381"/>
      <c r="BK21" s="382"/>
      <c r="BL21" s="1163" t="s">
        <v>47</v>
      </c>
      <c r="BM21" s="767"/>
      <c r="BN21" s="767"/>
      <c r="BO21" s="768"/>
      <c r="BP21" s="400"/>
      <c r="BQ21" s="381"/>
      <c r="BR21" s="381"/>
      <c r="BS21" s="381"/>
      <c r="BT21" s="382"/>
      <c r="BU21" s="1104" t="s">
        <v>18</v>
      </c>
      <c r="BV21" s="767"/>
      <c r="BW21" s="767"/>
      <c r="BX21" s="767"/>
      <c r="BY21" s="291">
        <f>IF(AND(E21=0,AC21=0,BA21=0,DemigodConversion!$BM9+DemigodConversion!$BO9+DemigodConversion!$BQ9&gt;0),1,0)</f>
        <v>0</v>
      </c>
      <c r="BZ21" s="291">
        <f>IF(SUM($BY21:BY21)=SUM(DemigodConversion!$BO9:$BR9),0,IF(AND(F21=0,AD21=0,BB21=0,DemigodConversion!$BM9+DemigodConversion!$BO9+DemigodConversion!$BQ9&gt;BY$15),1,0))</f>
        <v>0</v>
      </c>
      <c r="CA21" s="291">
        <f>IF(SUM($BY21:BZ21)=SUM(DemigodConversion!$BO9:$BR9),0,IF(AND(G21=0,AE21=0,BC21=0,DemigodConversion!$BM9+DemigodConversion!$BO9+DemigodConversion!$BQ9&gt;BZ$15),1,0))</f>
        <v>0</v>
      </c>
      <c r="CB21" s="291">
        <f>IF(SUM($BY21:CA21)=SUM(DemigodConversion!$BO9:$BR9),0,IF(AND(H21=0,AF21=0,BD21=0,DemigodConversion!$BM9+DemigodConversion!$BO9+DemigodConversion!$BQ9&gt;CA$15),1,0))</f>
        <v>0</v>
      </c>
      <c r="CC21" s="291">
        <f>IF(SUM($BY21:CB21)=SUM(DemigodConversion!$BO9:$BR9),0,IF(AND(I21=0,AG21=0,BE21=0,DemigodConversion!$BM9+DemigodConversion!$BO9+DemigodConversion!$BQ9&gt;CB$15),1,0))</f>
        <v>0</v>
      </c>
      <c r="CD21" s="291">
        <f>IF(SUM($BY21:CC21)=SUM(DemigodConversion!$BO9:$BR9),0,IF(AND(J21=0,AH21=0,BF21=0,DemigodConversion!$BM9+DemigodConversion!$BO9+DemigodConversion!$BQ9&gt;CC$15),1,0))</f>
        <v>0</v>
      </c>
      <c r="CE21" s="291">
        <f>IF(SUM($BY21:CD21)=SUM(DemigodConversion!$BO9:$BR9),0,IF(AND(K21=0,AI21=0,BG21=0,DemigodConversion!$BM9+DemigodConversion!$BO9+DemigodConversion!$BQ9&gt;CD$15),1,0))</f>
        <v>0</v>
      </c>
      <c r="CF21" s="291">
        <f>IF(SUM($BY21:CE21)=SUM(DemigodConversion!$BO9:$BR9),0,IF(AND(L21=0,AJ21=0,BH21=0,DemigodConversion!$BM9+DemigodConversion!$BO9+DemigodConversion!$BQ9&gt;CE$15),1,0))</f>
        <v>0</v>
      </c>
      <c r="CG21" s="291">
        <f>IF(SUM($BY21:CF21)=SUM(DemigodConversion!$BO9:$BR9),0,IF(AND(M21=0,AK21=0,BI21=0,DemigodConversion!$BM9+DemigodConversion!$BO9+DemigodConversion!$BQ9&gt;CF$15),1,0))</f>
        <v>0</v>
      </c>
      <c r="CH21" s="291">
        <f>IF(SUM($BY21:CG21)=SUM(DemigodConversion!$BO9:$BR9),0,IF(AND(N21=0,AL21=0,BJ21=0,DemigodConversion!$BM9+DemigodConversion!$BO9+DemigodConversion!$BQ9&gt;CG$15),1,0))</f>
        <v>0</v>
      </c>
      <c r="CI21" s="376">
        <f>IF(SUM($BY21:CH21)=SUM(DemigodConversion!$BO9:$BR9),0,IF(AND(O21=0,AM21=0,BK21=0,DemigodConversion!$BM9+DemigodConversion!$BO9+DemigodConversion!$BQ9&gt;CH$15),1,0))</f>
        <v>0</v>
      </c>
      <c r="CJ21" s="1163" t="s">
        <v>47</v>
      </c>
      <c r="CK21" s="767"/>
      <c r="CL21" s="767"/>
      <c r="CM21" s="767"/>
      <c r="CN21" s="291">
        <f>IF(AND(T21=0,AR21=0,BP21=0,FB19=0,FK19=0,FT19=0,GC19=0,ES19=0,DemigodConversion!$AC16+DemigodConversion!$AF16&gt;0),1,0)</f>
        <v>0</v>
      </c>
      <c r="CO21" s="291">
        <f>IF(AND(U21=0,AS21=0,BQ21=0,FC19=0,FL19=0,FU19=0,GD19=0,ET19=0,DemigodConversion!$AC16+DemigodConversion!$AF16&gt;1),1,0)</f>
        <v>0</v>
      </c>
      <c r="CP21" s="291">
        <f>IF(AND(V21=0,AT21=0,BR21=0,FD19=0,FM19=0,FV19=0,GE19=0,EU19=0,DemigodConversion!$AC16+DemigodConversion!$AF16&gt;2),1,0)</f>
        <v>0</v>
      </c>
      <c r="CQ21" s="291">
        <f>IF(AND(W21=0,AU21=0,BS21=0,FE19=0,FN19=0,FW19=0,GF19=0,EV19=0,DemigodConversion!$AC16+DemigodConversion!$AF16&gt;3),1,0)</f>
        <v>0</v>
      </c>
      <c r="CR21" s="291">
        <f>IF(AND(X21=0,AV21=0,BT21=0,FF19=0,FO19=0,FX19=0,GG19=0,EW19=0,DemigodConversion!$AC16+DemigodConversion!$AF16&gt;4),1,0)</f>
        <v>0</v>
      </c>
      <c r="CS21" s="1104" t="s">
        <v>18</v>
      </c>
      <c r="CT21" s="767"/>
      <c r="CU21" s="767"/>
      <c r="CV21" s="767"/>
      <c r="CW21" s="291">
        <f>IF(AND(E21=0,AC21=0,BA21=0,BY21=0,0&lt;SUM(GodConversion!$BM9:$BR9)),1,0)</f>
        <v>0</v>
      </c>
      <c r="CX21" s="291">
        <f>IF(AND(F21=0,AD21=0,BB21=0,BZ21=0,CW$15&lt;SUM(GodConversion!$BM9:$BR9)),1,0)</f>
        <v>0</v>
      </c>
      <c r="CY21" s="291">
        <f>IF(AND(G21=0,AE21=0,BC21=0,CA21=0,CX$15&lt;SUM(GodConversion!$BM9:$BR9)),1,0)</f>
        <v>0</v>
      </c>
      <c r="CZ21" s="291">
        <f>IF(AND(H21=0,AF21=0,BD21=0,CB21=0,CY$15&lt;SUM(GodConversion!$BM9:$BR9)),1,0)</f>
        <v>0</v>
      </c>
      <c r="DA21" s="291">
        <f>IF(AND(I21=0,AG21=0,BE21=0,CC21=0,CZ$15&lt;SUM(GodConversion!$BM9:$BR9)),1,0)</f>
        <v>0</v>
      </c>
      <c r="DB21" s="291">
        <f>IF(AND(J21=0,AH21=0,BF21=0,CD21=0,DA$15&lt;SUM(GodConversion!$BM9:$BR9)),1,0)</f>
        <v>0</v>
      </c>
      <c r="DC21" s="291">
        <f>IF(AND(K21=0,AI21=0,BG21=0,CE21=0,DB$15&lt;SUM(GodConversion!$BM9:$BR9)),1,0)</f>
        <v>0</v>
      </c>
      <c r="DD21" s="291">
        <f>IF(AND(L21=0,AJ21=0,BH21=0,CF21=0,DC$15&lt;SUM(GodConversion!$BM9:$BR9)),1,0)</f>
        <v>0</v>
      </c>
      <c r="DE21" s="291">
        <f>IF(AND(M21=0,AK21=0,BI21=0,CG21=0,DD$15&lt;SUM(GodConversion!$BM9:$BR9)),1,0)</f>
        <v>0</v>
      </c>
      <c r="DF21" s="291">
        <f>IF(AND(N21=0,AL21=0,BJ21=0,CH21=0,DE$15&lt;SUM(GodConversion!$BM9:$BR9)),1,0)</f>
        <v>0</v>
      </c>
      <c r="DG21" s="292">
        <f>IF(AND(O21=0,AM21=0,BK21=0,CI21=0,DF$15&lt;SUM(GodConversion!$BM9:$BR9)),1,0)</f>
        <v>0</v>
      </c>
      <c r="DH21" s="1104" t="s">
        <v>47</v>
      </c>
      <c r="DI21" s="767"/>
      <c r="DJ21" s="767"/>
      <c r="DK21" s="767"/>
      <c r="DL21" s="291">
        <f>IF(AND(T21=0,AR21=0,BP21=0,ES19=0,FB19=0,FK19=0,FT19=0,GC19=0,CN21=0,0&lt;GodConversion!$AC16+GodConversion!$AF16),1,0)</f>
        <v>0</v>
      </c>
      <c r="DM21" s="291">
        <f>IF(AND(U21=0,AS21=0,BQ21=0,ET19=0,FC19=0,FL19=0,FU19=0,GD19=0,CO21=0,1&lt;GodConversion!$AC16+GodConversion!$AF16),1,0)</f>
        <v>0</v>
      </c>
      <c r="DN21" s="291">
        <f>IF(AND(V21=0,AT21=0,BR21=0,EU19=0,FD19=0,FM19=0,FV19=0,GE19=0,CP21=0,2&lt;GodConversion!$AC16+GodConversion!$AF16),1,0)</f>
        <v>0</v>
      </c>
      <c r="DO21" s="291">
        <f>IF(AND(W21=0,AU21=0,BS21=0,EV19=0,FE19=0,FN19=0,FW19=0,GF19=0,CQ21=0,3&lt;GodConversion!$AC16+GodConversion!$AF16),1,0)</f>
        <v>0</v>
      </c>
      <c r="DP21" s="291">
        <f>IF(AND(X21=0,AV21=0,BT21=0,EW19=0,FF19=0,FO19=0,FX19=0,GG19=0,CR21=0,4&lt;GodConversion!$AC16+GodConversion!$AF16),1,0)</f>
        <v>0</v>
      </c>
      <c r="DQ21" s="1163" t="s">
        <v>18</v>
      </c>
      <c r="DR21" s="767"/>
      <c r="DS21" s="767"/>
      <c r="DT21" s="767"/>
      <c r="DU21" s="291">
        <f>IF($AC21=1,IF(LOOKUP(CharacterSheet!$AK$7,AssociatedRef!$A$2:$A$130,AssociatedRef!$G$2:$G$130)="Yes",8,10),0)</f>
        <v>0</v>
      </c>
      <c r="DV21" s="291">
        <f>IF(AD21=1,IF(LOOKUP(CharacterSheet!$AK$7,AssociatedRef!$A$2:$A$130,AssociatedRef!$G$2:$G$130)="Yes",DU$15*4,DU$15*5),0)</f>
        <v>0</v>
      </c>
      <c r="DW21" s="291">
        <f>IF(AE21=1,IF(LOOKUP(CharacterSheet!$AK$7,AssociatedRef!$A$2:$A$130,AssociatedRef!$G$2:$G$130)="Yes",DV$15*4,DV$15*5),0)</f>
        <v>0</v>
      </c>
      <c r="DX21" s="291">
        <f>IF(AF21=1,IF(LOOKUP(CharacterSheet!$AK$7,AssociatedRef!$A$2:$A$130,AssociatedRef!$G$2:$G$130)="Yes",DW$15*4,DW$15*5),0)</f>
        <v>0</v>
      </c>
      <c r="DY21" s="291">
        <f>IF(AG21=1,IF(LOOKUP(CharacterSheet!$AK$7,AssociatedRef!$A$2:$A$130,AssociatedRef!$G$2:$G$130)="Yes",DX$15*4,DX$15*5),0)</f>
        <v>0</v>
      </c>
      <c r="DZ21" s="291">
        <f>IF(AH21=1,IF(LOOKUP(CharacterSheet!$AK$7,AssociatedRef!$A$2:$A$130,AssociatedRef!$G$2:$G$130)="Yes",DY$15*4,DY$15*5),0)</f>
        <v>0</v>
      </c>
      <c r="EA21" s="291">
        <f>IF(AI21=1,IF(LOOKUP(CharacterSheet!$AK$7,AssociatedRef!$A$2:$A$130,AssociatedRef!$G$2:$G$130)="Yes",DZ$15*4,DZ$15*5),0)</f>
        <v>0</v>
      </c>
      <c r="EB21" s="291">
        <f>IF(AJ21=1,IF(LOOKUP(CharacterSheet!$AK$7,AssociatedRef!$A$2:$A$130,AssociatedRef!$G$2:$G$130)="Yes",EA$15*4,EA$15*5),0)</f>
        <v>0</v>
      </c>
      <c r="EC21" s="291">
        <f>IF(AK21=1,IF(LOOKUP(CharacterSheet!$AK$7,AssociatedRef!$A$2:$A$130,AssociatedRef!$G$2:$G$130)="Yes",EB$15*4,EB$15*5),0)</f>
        <v>0</v>
      </c>
      <c r="ED21" s="291">
        <f>IF(AL21=1,IF(LOOKUP(CharacterSheet!$AK$7,AssociatedRef!$A$2:$A$130,AssociatedRef!$G$2:$G$130)="Yes",EC$15*4,EC$15*5),0)</f>
        <v>0</v>
      </c>
      <c r="EE21" s="292">
        <f>IF(AM21=1,IF(LOOKUP(CharacterSheet!$AK$7,AssociatedRef!$A$2:$A$130,AssociatedRef!$G$2:$G$130)="Yes",ED$15*4,ED$15*5),0)</f>
        <v>0</v>
      </c>
      <c r="EF21" s="1163" t="s">
        <v>47</v>
      </c>
      <c r="EG21" s="767"/>
      <c r="EH21" s="767"/>
      <c r="EI21" s="767"/>
      <c r="EJ21" s="291">
        <f t="shared" si="11"/>
        <v>0</v>
      </c>
      <c r="EK21" s="291">
        <f t="shared" si="12"/>
        <v>0</v>
      </c>
      <c r="EL21" s="291">
        <f t="shared" si="13"/>
        <v>0</v>
      </c>
      <c r="EM21" s="291">
        <f t="shared" si="14"/>
        <v>0</v>
      </c>
      <c r="EN21" s="291">
        <f t="shared" si="15"/>
        <v>0</v>
      </c>
      <c r="EO21" s="1164" t="s">
        <v>49</v>
      </c>
      <c r="EP21" s="1165"/>
      <c r="EQ21" s="1165"/>
      <c r="ER21" s="1166"/>
      <c r="ES21" s="398"/>
      <c r="ET21" s="399"/>
      <c r="EU21" s="381"/>
      <c r="EV21" s="381"/>
      <c r="EW21" s="381"/>
      <c r="EX21" s="1118" t="s">
        <v>49</v>
      </c>
      <c r="EY21" s="964"/>
      <c r="EZ21" s="964"/>
      <c r="FA21" s="1119"/>
      <c r="FB21" s="503"/>
      <c r="FC21" s="504"/>
      <c r="FD21" s="504"/>
      <c r="FE21" s="504"/>
      <c r="FF21" s="505"/>
      <c r="FG21" s="1123" t="s">
        <v>49</v>
      </c>
      <c r="FH21" s="1114"/>
      <c r="FI21" s="1114"/>
      <c r="FJ21" s="1115"/>
      <c r="FK21" s="515"/>
      <c r="FL21" s="516"/>
      <c r="FM21" s="516"/>
      <c r="FN21" s="516"/>
      <c r="FO21" s="517"/>
      <c r="FP21" s="1118" t="s">
        <v>49</v>
      </c>
      <c r="FQ21" s="964"/>
      <c r="FR21" s="964"/>
      <c r="FS21" s="1119"/>
      <c r="FT21" s="503"/>
      <c r="FU21" s="504"/>
      <c r="FV21" s="504"/>
      <c r="FW21" s="504"/>
      <c r="FX21" s="505"/>
      <c r="FY21" s="1113" t="s">
        <v>49</v>
      </c>
      <c r="FZ21" s="1114"/>
      <c r="GA21" s="1114"/>
      <c r="GB21" s="1115"/>
      <c r="GC21" s="515"/>
      <c r="GD21" s="516"/>
      <c r="GE21" s="516"/>
      <c r="GF21" s="516"/>
      <c r="GG21" s="517"/>
      <c r="GK21" s="396" t="s">
        <v>49</v>
      </c>
      <c r="GL21" s="396">
        <f t="shared" si="8"/>
        <v>0</v>
      </c>
      <c r="GM21" s="396">
        <f>IF($GK21=Creation!$Q$28,1,0)</f>
        <v>0</v>
      </c>
      <c r="GN21" s="396">
        <f>IF($GK21=Creation!$Q$29,1,0)</f>
        <v>0</v>
      </c>
      <c r="GO21" s="396">
        <f>IF($GK21=Creation!$Q$30,1,0)</f>
        <v>0</v>
      </c>
      <c r="GP21" s="396">
        <f>IF($GK21=Creation!$Q$31,1,0)</f>
        <v>0</v>
      </c>
      <c r="GQ21" s="396">
        <f>IF($GK21=Creation!$Q$32,1,0)</f>
        <v>0</v>
      </c>
      <c r="GR21" s="396">
        <f>IF($GK21=Creation!$Q$33,1,0)</f>
        <v>0</v>
      </c>
    </row>
    <row r="22" spans="1:200" x14ac:dyDescent="0.25">
      <c r="A22" s="1163" t="s">
        <v>19</v>
      </c>
      <c r="B22" s="767"/>
      <c r="C22" s="767"/>
      <c r="D22" s="767"/>
      <c r="E22" s="291">
        <f>IF(Creation!BO10+Creation!BQ10&gt;0,1,0)</f>
        <v>0</v>
      </c>
      <c r="F22" s="291">
        <f>IF(Creation!BO10+Creation!BQ10&gt;1,1,0)</f>
        <v>0</v>
      </c>
      <c r="G22" s="291">
        <f>IF(Creation!BO10+Creation!BQ10&gt;2,1,0)</f>
        <v>0</v>
      </c>
      <c r="H22" s="291">
        <f>IF(Creation!BO10+Creation!BQ10&gt;3,1,0)</f>
        <v>0</v>
      </c>
      <c r="I22" s="291">
        <f>IF(Creation!BO10+Creation!BQ10&gt;4,1,0)</f>
        <v>0</v>
      </c>
      <c r="J22" s="291">
        <f>IF(Creation!BO10+Creation!BQ10&gt;5,1,0)</f>
        <v>0</v>
      </c>
      <c r="K22" s="291">
        <f>IF(Creation!BO10+Creation!BQ10&gt;6,1,0)</f>
        <v>0</v>
      </c>
      <c r="L22" s="291">
        <f>IF(Creation!BO10+Creation!BQ10&gt;7,1,0)</f>
        <v>0</v>
      </c>
      <c r="M22" s="291">
        <f>IF(Creation!BO10+Creation!BQ10&gt;8,1,0)</f>
        <v>0</v>
      </c>
      <c r="N22" s="291">
        <f>IF(Creation!BO10+Creation!BQ10&gt;9,1,0)</f>
        <v>0</v>
      </c>
      <c r="O22" s="292">
        <f>IF(Creation!BO10+Creation!BQ10&gt;10,1,0)</f>
        <v>0</v>
      </c>
      <c r="P22" s="1163" t="s">
        <v>48</v>
      </c>
      <c r="Q22" s="767"/>
      <c r="R22" s="767"/>
      <c r="S22" s="767"/>
      <c r="T22" s="291">
        <f>IF(Creation!AC17+Creation!AF17&gt;0,1,0)</f>
        <v>0</v>
      </c>
      <c r="U22" s="291">
        <f>IF(Creation!AC17+Creation!AF17&gt;1,1,0)</f>
        <v>0</v>
      </c>
      <c r="V22" s="291">
        <f>IF(Creation!AC17+Creation!AF17&gt;2,1,0)</f>
        <v>0</v>
      </c>
      <c r="W22" s="291">
        <f>IF(Creation!AC17+Creation!AF17&gt;3,1,0)</f>
        <v>0</v>
      </c>
      <c r="X22" s="376">
        <f>IF(Creation!AC17+Creation!AF17&gt;4,1,0)</f>
        <v>0</v>
      </c>
      <c r="Y22" s="1163" t="s">
        <v>19</v>
      </c>
      <c r="Z22" s="767"/>
      <c r="AA22" s="767"/>
      <c r="AB22" s="768"/>
      <c r="AC22" s="392"/>
      <c r="AD22" s="381"/>
      <c r="AE22" s="381"/>
      <c r="AF22" s="381"/>
      <c r="AG22" s="381"/>
      <c r="AH22" s="381"/>
      <c r="AI22" s="381"/>
      <c r="AJ22" s="381"/>
      <c r="AK22" s="381"/>
      <c r="AL22" s="381"/>
      <c r="AM22" s="382"/>
      <c r="AN22" s="1163" t="s">
        <v>48</v>
      </c>
      <c r="AO22" s="767"/>
      <c r="AP22" s="767"/>
      <c r="AQ22" s="768"/>
      <c r="AR22" s="392"/>
      <c r="AS22" s="381"/>
      <c r="AT22" s="381"/>
      <c r="AU22" s="381"/>
      <c r="AV22" s="382"/>
      <c r="AW22" s="1104" t="s">
        <v>19</v>
      </c>
      <c r="AX22" s="767"/>
      <c r="AY22" s="767"/>
      <c r="AZ22" s="768"/>
      <c r="BA22" s="400"/>
      <c r="BB22" s="381"/>
      <c r="BC22" s="381"/>
      <c r="BD22" s="381"/>
      <c r="BE22" s="381"/>
      <c r="BF22" s="381"/>
      <c r="BG22" s="381"/>
      <c r="BH22" s="381"/>
      <c r="BI22" s="381"/>
      <c r="BJ22" s="381"/>
      <c r="BK22" s="382"/>
      <c r="BL22" s="1163" t="s">
        <v>48</v>
      </c>
      <c r="BM22" s="767"/>
      <c r="BN22" s="767"/>
      <c r="BO22" s="768"/>
      <c r="BP22" s="400"/>
      <c r="BQ22" s="381"/>
      <c r="BR22" s="381"/>
      <c r="BS22" s="381"/>
      <c r="BT22" s="382"/>
      <c r="BU22" s="1104" t="s">
        <v>19</v>
      </c>
      <c r="BV22" s="767"/>
      <c r="BW22" s="767"/>
      <c r="BX22" s="767"/>
      <c r="BY22" s="291">
        <f>IF(AND(E22=0,AC22=0,BA22=0,DemigodConversion!$BM10+DemigodConversion!$BO10+DemigodConversion!$BQ10&gt;0),1,0)</f>
        <v>0</v>
      </c>
      <c r="BZ22" s="291">
        <f>IF(SUM($BY22:BY22)=SUM(DemigodConversion!$BO10:$BR10),0,IF(AND(F22=0,AD22=0,BB22=0,DemigodConversion!$BM10+DemigodConversion!$BO10+DemigodConversion!$BQ10&gt;BY$15),1,0))</f>
        <v>0</v>
      </c>
      <c r="CA22" s="291">
        <f>IF(SUM($BY22:BZ22)=SUM(DemigodConversion!$BO10:$BR10),0,IF(AND(G22=0,AE22=0,BC22=0,DemigodConversion!$BM10+DemigodConversion!$BO10+DemigodConversion!$BQ10&gt;BZ$15),1,0))</f>
        <v>0</v>
      </c>
      <c r="CB22" s="291">
        <f>IF(SUM($BY22:CA22)=SUM(DemigodConversion!$BO10:$BR10),0,IF(AND(H22=0,AF22=0,BD22=0,DemigodConversion!$BM10+DemigodConversion!$BO10+DemigodConversion!$BQ10&gt;CA$15),1,0))</f>
        <v>0</v>
      </c>
      <c r="CC22" s="291">
        <f>IF(SUM($BY22:CB22)=SUM(DemigodConversion!$BO10:$BR10),0,IF(AND(I22=0,AG22=0,BE22=0,DemigodConversion!$BM10+DemigodConversion!$BO10+DemigodConversion!$BQ10&gt;CB$15),1,0))</f>
        <v>0</v>
      </c>
      <c r="CD22" s="291">
        <f>IF(SUM($BY22:CC22)=SUM(DemigodConversion!$BO10:$BR10),0,IF(AND(J22=0,AH22=0,BF22=0,DemigodConversion!$BM10+DemigodConversion!$BO10+DemigodConversion!$BQ10&gt;CC$15),1,0))</f>
        <v>0</v>
      </c>
      <c r="CE22" s="291">
        <f>IF(SUM($BY22:CD22)=SUM(DemigodConversion!$BO10:$BR10),0,IF(AND(K22=0,AI22=0,BG22=0,DemigodConversion!$BM10+DemigodConversion!$BO10+DemigodConversion!$BQ10&gt;CD$15),1,0))</f>
        <v>0</v>
      </c>
      <c r="CF22" s="291">
        <f>IF(SUM($BY22:CE22)=SUM(DemigodConversion!$BO10:$BR10),0,IF(AND(L22=0,AJ22=0,BH22=0,DemigodConversion!$BM10+DemigodConversion!$BO10+DemigodConversion!$BQ10&gt;CE$15),1,0))</f>
        <v>0</v>
      </c>
      <c r="CG22" s="291">
        <f>IF(SUM($BY22:CF22)=SUM(DemigodConversion!$BO10:$BR10),0,IF(AND(M22=0,AK22=0,BI22=0,DemigodConversion!$BM10+DemigodConversion!$BO10+DemigodConversion!$BQ10&gt;CF$15),1,0))</f>
        <v>0</v>
      </c>
      <c r="CH22" s="291">
        <f>IF(SUM($BY22:CG22)=SUM(DemigodConversion!$BO10:$BR10),0,IF(AND(N22=0,AL22=0,BJ22=0,DemigodConversion!$BM10+DemigodConversion!$BO10+DemigodConversion!$BQ10&gt;CG$15),1,0))</f>
        <v>0</v>
      </c>
      <c r="CI22" s="376">
        <f>IF(SUM($BY22:CH22)=SUM(DemigodConversion!$BO10:$BR10),0,IF(AND(O22=0,AM22=0,BK22=0,DemigodConversion!$BM10+DemigodConversion!$BO10+DemigodConversion!$BQ10&gt;CH$15),1,0))</f>
        <v>0</v>
      </c>
      <c r="CJ22" s="1163" t="s">
        <v>48</v>
      </c>
      <c r="CK22" s="767"/>
      <c r="CL22" s="767"/>
      <c r="CM22" s="767"/>
      <c r="CN22" s="291">
        <f>IF(AND(T22=0,AR22=0,BP22=0,FB20=0,FK20=0,FT20=0,GC20=0,ES20=0,DemigodConversion!$AC17+DemigodConversion!$AF17&gt;0),1,0)</f>
        <v>0</v>
      </c>
      <c r="CO22" s="291">
        <f>IF(AND(U22=0,AS22=0,BQ22=0,FC20=0,FL20=0,FU20=0,GD20=0,ET20=0,DemigodConversion!$AC17+DemigodConversion!$AF17&gt;1),1,0)</f>
        <v>0</v>
      </c>
      <c r="CP22" s="291">
        <f>IF(AND(V22=0,AT22=0,BR22=0,FD20=0,FM20=0,FV20=0,GE20=0,EU20=0,DemigodConversion!$AC17+DemigodConversion!$AF17&gt;2),1,0)</f>
        <v>0</v>
      </c>
      <c r="CQ22" s="291">
        <f>IF(AND(W22=0,AU22=0,BS22=0,FE20=0,FN20=0,FW20=0,GF20=0,EV20=0,DemigodConversion!$AC17+DemigodConversion!$AF17&gt;3),1,0)</f>
        <v>0</v>
      </c>
      <c r="CR22" s="291">
        <f>IF(AND(X22=0,AV22=0,BT22=0,FF20=0,FO20=0,FX20=0,GG20=0,EW20=0,DemigodConversion!$AC17+DemigodConversion!$AF17&gt;4),1,0)</f>
        <v>0</v>
      </c>
      <c r="CS22" s="1104" t="s">
        <v>19</v>
      </c>
      <c r="CT22" s="767"/>
      <c r="CU22" s="767"/>
      <c r="CV22" s="767"/>
      <c r="CW22" s="291">
        <f>IF(AND(E22=0,AC22=0,BA22=0,BY22=0,0&lt;SUM(GodConversion!$BM10:$BR10)),1,0)</f>
        <v>0</v>
      </c>
      <c r="CX22" s="291">
        <f>IF(AND(F22=0,AD22=0,BB22=0,BZ22=0,CW$15&lt;SUM(GodConversion!$BM10:$BR10)),1,0)</f>
        <v>0</v>
      </c>
      <c r="CY22" s="291">
        <f>IF(AND(G22=0,AE22=0,BC22=0,CA22=0,CX$15&lt;SUM(GodConversion!$BM10:$BR10)),1,0)</f>
        <v>0</v>
      </c>
      <c r="CZ22" s="291">
        <f>IF(AND(H22=0,AF22=0,BD22=0,CB22=0,CY$15&lt;SUM(GodConversion!$BM10:$BR10)),1,0)</f>
        <v>0</v>
      </c>
      <c r="DA22" s="291">
        <f>IF(AND(I22=0,AG22=0,BE22=0,CC22=0,CZ$15&lt;SUM(GodConversion!$BM10:$BR10)),1,0)</f>
        <v>0</v>
      </c>
      <c r="DB22" s="291">
        <f>IF(AND(J22=0,AH22=0,BF22=0,CD22=0,DA$15&lt;SUM(GodConversion!$BM10:$BR10)),1,0)</f>
        <v>0</v>
      </c>
      <c r="DC22" s="291">
        <f>IF(AND(K22=0,AI22=0,BG22=0,CE22=0,DB$15&lt;SUM(GodConversion!$BM10:$BR10)),1,0)</f>
        <v>0</v>
      </c>
      <c r="DD22" s="291">
        <f>IF(AND(L22=0,AJ22=0,BH22=0,CF22=0,DC$15&lt;SUM(GodConversion!$BM10:$BR10)),1,0)</f>
        <v>0</v>
      </c>
      <c r="DE22" s="291">
        <f>IF(AND(M22=0,AK22=0,BI22=0,CG22=0,DD$15&lt;SUM(GodConversion!$BM10:$BR10)),1,0)</f>
        <v>0</v>
      </c>
      <c r="DF22" s="291">
        <f>IF(AND(N22=0,AL22=0,BJ22=0,CH22=0,DE$15&lt;SUM(GodConversion!$BM10:$BR10)),1,0)</f>
        <v>0</v>
      </c>
      <c r="DG22" s="292">
        <f>IF(AND(O22=0,AM22=0,BK22=0,CI22=0,DF$15&lt;SUM(GodConversion!$BM10:$BR10)),1,0)</f>
        <v>0</v>
      </c>
      <c r="DH22" s="1104" t="s">
        <v>48</v>
      </c>
      <c r="DI22" s="767"/>
      <c r="DJ22" s="767"/>
      <c r="DK22" s="767"/>
      <c r="DL22" s="291">
        <f>IF(AND(T22=0,AR22=0,BP22=0,ES20=0,FB20=0,FK20=0,FT20=0,GC20=0,CN22=0,0&lt;GodConversion!$AC17+GodConversion!$AF17),1,0)</f>
        <v>0</v>
      </c>
      <c r="DM22" s="291">
        <f>IF(AND(U22=0,AS22=0,BQ22=0,ET20=0,FC20=0,FL20=0,FU20=0,GD20=0,CO22=0,1&lt;GodConversion!$AC17+GodConversion!$AF17),1,0)</f>
        <v>0</v>
      </c>
      <c r="DN22" s="291">
        <f>IF(AND(V22=0,AT22=0,BR22=0,EU20=0,FD20=0,FM20=0,FV20=0,GE20=0,CP22=0,2&lt;GodConversion!$AC17+GodConversion!$AF17),1,0)</f>
        <v>0</v>
      </c>
      <c r="DO22" s="291">
        <f>IF(AND(W22=0,AU22=0,BS22=0,EV20=0,FE20=0,FN20=0,FW20=0,GF20=0,CQ22=0,3&lt;GodConversion!$AC17+GodConversion!$AF17),1,0)</f>
        <v>0</v>
      </c>
      <c r="DP22" s="291">
        <f>IF(AND(X22=0,AV22=0,BT22=0,EW20=0,FF20=0,FO20=0,FX20=0,GG20=0,CR22=0,4&lt;GodConversion!$AC17+GodConversion!$AF17),1,0)</f>
        <v>0</v>
      </c>
      <c r="DQ22" s="1163" t="s">
        <v>19</v>
      </c>
      <c r="DR22" s="767"/>
      <c r="DS22" s="767"/>
      <c r="DT22" s="767"/>
      <c r="DU22" s="291">
        <f>IF($AC22=1,IF(LOOKUP(CharacterSheet!$AK$7,AssociatedRef!$A$2:$A$130,AssociatedRef!$H$2:$H$130)="Yes",8,10),0)</f>
        <v>0</v>
      </c>
      <c r="DV22" s="291">
        <f>IF(AD22=1,IF(LOOKUP(CharacterSheet!$AK$7,AssociatedRef!$A$2:$A$130,AssociatedRef!$H$2:$H$130)="Yes",DU$15*4,DU$15*5),0)</f>
        <v>0</v>
      </c>
      <c r="DW22" s="291">
        <f>IF(AE22=1,IF(LOOKUP(CharacterSheet!$AK$7,AssociatedRef!$A$2:$A$130,AssociatedRef!$H$2:$H$130)="Yes",DV$15*4,DV$15*5),0)</f>
        <v>0</v>
      </c>
      <c r="DX22" s="291">
        <f>IF(AF22=1,IF(LOOKUP(CharacterSheet!$AK$7,AssociatedRef!$A$2:$A$130,AssociatedRef!$H$2:$H$130)="Yes",DW$15*4,DW$15*5),0)</f>
        <v>0</v>
      </c>
      <c r="DY22" s="291">
        <f>IF(AG22=1,IF(LOOKUP(CharacterSheet!$AK$7,AssociatedRef!$A$2:$A$130,AssociatedRef!$H$2:$H$130)="Yes",DX$15*4,DX$15*5),0)</f>
        <v>0</v>
      </c>
      <c r="DZ22" s="291">
        <f>IF(AH22=1,IF(LOOKUP(CharacterSheet!$AK$7,AssociatedRef!$A$2:$A$130,AssociatedRef!$H$2:$H$130)="Yes",DY$15*4,DY$15*5),0)</f>
        <v>0</v>
      </c>
      <c r="EA22" s="291">
        <f>IF(AI22=1,IF(LOOKUP(CharacterSheet!$AK$7,AssociatedRef!$A$2:$A$130,AssociatedRef!$H$2:$H$130)="Yes",DZ$15*4,DZ$15*5),0)</f>
        <v>0</v>
      </c>
      <c r="EB22" s="291">
        <f>IF(AJ22=1,IF(LOOKUP(CharacterSheet!$AK$7,AssociatedRef!$A$2:$A$130,AssociatedRef!$H$2:$H$130)="Yes",EA$15*4,EA$15*5),0)</f>
        <v>0</v>
      </c>
      <c r="EC22" s="291">
        <f>IF(AK22=1,IF(LOOKUP(CharacterSheet!$AK$7,AssociatedRef!$A$2:$A$130,AssociatedRef!$H$2:$H$130)="Yes",EB$15*4,EB$15*5),0)</f>
        <v>0</v>
      </c>
      <c r="ED22" s="291">
        <f>IF(AL22=1,IF(LOOKUP(CharacterSheet!$AK$7,AssociatedRef!$A$2:$A$130,AssociatedRef!$H$2:$H$130)="Yes",EC$15*4,EC$15*5),0)</f>
        <v>0</v>
      </c>
      <c r="EE22" s="292">
        <f>IF(AM22=1,IF(LOOKUP(CharacterSheet!$AK$7,AssociatedRef!$A$2:$A$130,AssociatedRef!$H$2:$H$130)="Yes",ED$15*4,ED$15*5),0)</f>
        <v>0</v>
      </c>
      <c r="EF22" s="1163" t="s">
        <v>48</v>
      </c>
      <c r="EG22" s="767"/>
      <c r="EH22" s="767"/>
      <c r="EI22" s="767"/>
      <c r="EJ22" s="291">
        <f t="shared" si="11"/>
        <v>0</v>
      </c>
      <c r="EK22" s="291">
        <f t="shared" si="12"/>
        <v>0</v>
      </c>
      <c r="EL22" s="291">
        <f t="shared" si="13"/>
        <v>0</v>
      </c>
      <c r="EM22" s="291">
        <f t="shared" si="14"/>
        <v>0</v>
      </c>
      <c r="EN22" s="291">
        <f t="shared" si="15"/>
        <v>0</v>
      </c>
      <c r="EO22" s="1164" t="s">
        <v>50</v>
      </c>
      <c r="EP22" s="1165"/>
      <c r="EQ22" s="1165"/>
      <c r="ER22" s="1166"/>
      <c r="ES22" s="398"/>
      <c r="ET22" s="399"/>
      <c r="EU22" s="381"/>
      <c r="EV22" s="381"/>
      <c r="EW22" s="381"/>
      <c r="EX22" s="1118" t="s">
        <v>50</v>
      </c>
      <c r="EY22" s="964"/>
      <c r="EZ22" s="964"/>
      <c r="FA22" s="1119"/>
      <c r="FB22" s="503"/>
      <c r="FC22" s="504"/>
      <c r="FD22" s="504"/>
      <c r="FE22" s="504"/>
      <c r="FF22" s="505"/>
      <c r="FG22" s="1123" t="s">
        <v>50</v>
      </c>
      <c r="FH22" s="1114"/>
      <c r="FI22" s="1114"/>
      <c r="FJ22" s="1115"/>
      <c r="FK22" s="515"/>
      <c r="FL22" s="516"/>
      <c r="FM22" s="516"/>
      <c r="FN22" s="516"/>
      <c r="FO22" s="517"/>
      <c r="FP22" s="1118" t="s">
        <v>50</v>
      </c>
      <c r="FQ22" s="964"/>
      <c r="FR22" s="964"/>
      <c r="FS22" s="1119"/>
      <c r="FT22" s="503"/>
      <c r="FU22" s="504"/>
      <c r="FV22" s="504"/>
      <c r="FW22" s="504"/>
      <c r="FX22" s="505"/>
      <c r="FY22" s="1113" t="s">
        <v>50</v>
      </c>
      <c r="FZ22" s="1114"/>
      <c r="GA22" s="1114"/>
      <c r="GB22" s="1115"/>
      <c r="GC22" s="515"/>
      <c r="GD22" s="516"/>
      <c r="GE22" s="516"/>
      <c r="GF22" s="516"/>
      <c r="GG22" s="517"/>
      <c r="GK22" s="396" t="s">
        <v>50</v>
      </c>
      <c r="GL22" s="396">
        <f t="shared" si="8"/>
        <v>0</v>
      </c>
      <c r="GM22" s="396">
        <f>IF($GK22=Creation!$Q$28,1,0)</f>
        <v>0</v>
      </c>
      <c r="GN22" s="396">
        <f>IF($GK22=Creation!$Q$29,1,0)</f>
        <v>0</v>
      </c>
      <c r="GO22" s="396">
        <f>IF($GK22=Creation!$Q$30,1,0)</f>
        <v>0</v>
      </c>
      <c r="GP22" s="396">
        <f>IF($GK22=Creation!$Q$31,1,0)</f>
        <v>0</v>
      </c>
      <c r="GQ22" s="396">
        <f>IF($GK22=Creation!$Q$32,1,0)</f>
        <v>0</v>
      </c>
      <c r="GR22" s="396">
        <f>IF($GK22=Creation!$Q$33,1,0)</f>
        <v>0</v>
      </c>
    </row>
    <row r="23" spans="1:200" x14ac:dyDescent="0.25">
      <c r="A23" s="1163" t="s">
        <v>20</v>
      </c>
      <c r="B23" s="767"/>
      <c r="C23" s="767"/>
      <c r="D23" s="767"/>
      <c r="E23" s="291">
        <f>IF(Creation!BO11+Creation!BQ11&gt;0,1,0)</f>
        <v>0</v>
      </c>
      <c r="F23" s="291">
        <f>IF(Creation!BO11+Creation!BQ11&gt;1,1,0)</f>
        <v>0</v>
      </c>
      <c r="G23" s="291">
        <f>IF(Creation!BO11+Creation!BQ11&gt;2,1,0)</f>
        <v>0</v>
      </c>
      <c r="H23" s="291">
        <f>IF(Creation!BO11+Creation!BQ11&gt;3,1,0)</f>
        <v>0</v>
      </c>
      <c r="I23" s="291">
        <f>IF(Creation!BO11+Creation!BQ11&gt;4,1,0)</f>
        <v>0</v>
      </c>
      <c r="J23" s="291">
        <f>IF(Creation!BO11+Creation!BQ11&gt;5,1,0)</f>
        <v>0</v>
      </c>
      <c r="K23" s="291">
        <f>IF(Creation!BO11+Creation!BQ11&gt;6,1,0)</f>
        <v>0</v>
      </c>
      <c r="L23" s="291">
        <f>IF(Creation!BO11+Creation!BQ11&gt;7,1,0)</f>
        <v>0</v>
      </c>
      <c r="M23" s="291">
        <f>IF(Creation!BO11+Creation!BQ11&gt;8,1,0)</f>
        <v>0</v>
      </c>
      <c r="N23" s="291">
        <f>IF(Creation!BO11+Creation!BQ11&gt;9,1,0)</f>
        <v>0</v>
      </c>
      <c r="O23" s="292">
        <f>IF(Creation!BO11+Creation!BQ11&gt;10,1,0)</f>
        <v>0</v>
      </c>
      <c r="P23" s="1163" t="s">
        <v>49</v>
      </c>
      <c r="Q23" s="767"/>
      <c r="R23" s="767"/>
      <c r="S23" s="767"/>
      <c r="T23" s="291">
        <f>IF(Creation!AC18+Creation!AF18&gt;0,1,0)</f>
        <v>0</v>
      </c>
      <c r="U23" s="291">
        <f>IF(Creation!AC18+Creation!AF18&gt;1,1,0)</f>
        <v>0</v>
      </c>
      <c r="V23" s="291">
        <f>IF(Creation!AC18+Creation!AF18&gt;2,1,0)</f>
        <v>0</v>
      </c>
      <c r="W23" s="291">
        <f>IF(Creation!AC18+Creation!AF18&gt;3,1,0)</f>
        <v>0</v>
      </c>
      <c r="X23" s="376">
        <f>IF(Creation!AC18+Creation!AF18&gt;4,1,0)</f>
        <v>0</v>
      </c>
      <c r="Y23" s="1163" t="s">
        <v>20</v>
      </c>
      <c r="Z23" s="767"/>
      <c r="AA23" s="767"/>
      <c r="AB23" s="768"/>
      <c r="AC23" s="392"/>
      <c r="AD23" s="381"/>
      <c r="AE23" s="381"/>
      <c r="AF23" s="381"/>
      <c r="AG23" s="381"/>
      <c r="AH23" s="381"/>
      <c r="AI23" s="381"/>
      <c r="AJ23" s="381"/>
      <c r="AK23" s="381"/>
      <c r="AL23" s="381"/>
      <c r="AM23" s="382"/>
      <c r="AN23" s="1163" t="s">
        <v>49</v>
      </c>
      <c r="AO23" s="767"/>
      <c r="AP23" s="767"/>
      <c r="AQ23" s="768"/>
      <c r="AR23" s="392"/>
      <c r="AS23" s="381"/>
      <c r="AT23" s="381"/>
      <c r="AU23" s="381"/>
      <c r="AV23" s="382"/>
      <c r="AW23" s="1104" t="s">
        <v>20</v>
      </c>
      <c r="AX23" s="767"/>
      <c r="AY23" s="767"/>
      <c r="AZ23" s="768"/>
      <c r="BA23" s="400"/>
      <c r="BB23" s="381"/>
      <c r="BC23" s="381"/>
      <c r="BD23" s="381"/>
      <c r="BE23" s="381"/>
      <c r="BF23" s="381"/>
      <c r="BG23" s="381"/>
      <c r="BH23" s="381"/>
      <c r="BI23" s="381"/>
      <c r="BJ23" s="381"/>
      <c r="BK23" s="382"/>
      <c r="BL23" s="1163" t="s">
        <v>49</v>
      </c>
      <c r="BM23" s="767"/>
      <c r="BN23" s="767"/>
      <c r="BO23" s="768"/>
      <c r="BP23" s="400"/>
      <c r="BQ23" s="381"/>
      <c r="BR23" s="381"/>
      <c r="BS23" s="381"/>
      <c r="BT23" s="382"/>
      <c r="BU23" s="1104" t="s">
        <v>20</v>
      </c>
      <c r="BV23" s="767"/>
      <c r="BW23" s="767"/>
      <c r="BX23" s="767"/>
      <c r="BY23" s="291">
        <f>IF(AND(E23=0,AC23=0,BA23=0,DemigodConversion!$BM11+DemigodConversion!$BO11+DemigodConversion!$BQ11&gt;0),1,0)</f>
        <v>0</v>
      </c>
      <c r="BZ23" s="291">
        <f>IF(SUM($BY23:BY23)=SUM(DemigodConversion!$BO11:$BR11),0,IF(AND(F23=0,AD23=0,BB23=0,DemigodConversion!$BM11+DemigodConversion!$BO11+DemigodConversion!$BQ11&gt;BY$15),1,0))</f>
        <v>0</v>
      </c>
      <c r="CA23" s="291">
        <f>IF(SUM($BY23:BZ23)=SUM(DemigodConversion!$BO11:$BR11),0,IF(AND(G23=0,AE23=0,BC23=0,DemigodConversion!$BM11+DemigodConversion!$BO11+DemigodConversion!$BQ11&gt;BZ$15),1,0))</f>
        <v>0</v>
      </c>
      <c r="CB23" s="291">
        <f>IF(SUM($BY23:CA23)=SUM(DemigodConversion!$BO11:$BR11),0,IF(AND(H23=0,AF23=0,BD23=0,DemigodConversion!$BM11+DemigodConversion!$BO11+DemigodConversion!$BQ11&gt;CA$15),1,0))</f>
        <v>0</v>
      </c>
      <c r="CC23" s="291">
        <f>IF(SUM($BY23:CB23)=SUM(DemigodConversion!$BO11:$BR11),0,IF(AND(I23=0,AG23=0,BE23=0,DemigodConversion!$BM11+DemigodConversion!$BO11+DemigodConversion!$BQ11&gt;CB$15),1,0))</f>
        <v>0</v>
      </c>
      <c r="CD23" s="291">
        <f>IF(SUM($BY23:CC23)=SUM(DemigodConversion!$BO11:$BR11),0,IF(AND(J23=0,AH23=0,BF23=0,DemigodConversion!$BM11+DemigodConversion!$BO11+DemigodConversion!$BQ11&gt;CC$15),1,0))</f>
        <v>0</v>
      </c>
      <c r="CE23" s="291">
        <f>IF(SUM($BY23:CD23)=SUM(DemigodConversion!$BO11:$BR11),0,IF(AND(K23=0,AI23=0,BG23=0,DemigodConversion!$BM11+DemigodConversion!$BO11+DemigodConversion!$BQ11&gt;CD$15),1,0))</f>
        <v>0</v>
      </c>
      <c r="CF23" s="291">
        <f>IF(SUM($BY23:CE23)=SUM(DemigodConversion!$BO11:$BR11),0,IF(AND(L23=0,AJ23=0,BH23=0,DemigodConversion!$BM11+DemigodConversion!$BO11+DemigodConversion!$BQ11&gt;CE$15),1,0))</f>
        <v>0</v>
      </c>
      <c r="CG23" s="291">
        <f>IF(SUM($BY23:CF23)=SUM(DemigodConversion!$BO11:$BR11),0,IF(AND(M23=0,AK23=0,BI23=0,DemigodConversion!$BM11+DemigodConversion!$BO11+DemigodConversion!$BQ11&gt;CF$15),1,0))</f>
        <v>0</v>
      </c>
      <c r="CH23" s="291">
        <f>IF(SUM($BY23:CG23)=SUM(DemigodConversion!$BO11:$BR11),0,IF(AND(N23=0,AL23=0,BJ23=0,DemigodConversion!$BM11+DemigodConversion!$BO11+DemigodConversion!$BQ11&gt;CG$15),1,0))</f>
        <v>0</v>
      </c>
      <c r="CI23" s="376">
        <f>IF(SUM($BY23:CH23)=SUM(DemigodConversion!$BO11:$BR11),0,IF(AND(O23=0,AM23=0,BK23=0,DemigodConversion!$BM11+DemigodConversion!$BO11+DemigodConversion!$BQ11&gt;CH$15),1,0))</f>
        <v>0</v>
      </c>
      <c r="CJ23" s="1163" t="s">
        <v>49</v>
      </c>
      <c r="CK23" s="767"/>
      <c r="CL23" s="767"/>
      <c r="CM23" s="767"/>
      <c r="CN23" s="291">
        <f>IF(AND(T23=0,AR23=0,BP23=0,FB21=0,FK21=0,FT21=0,GC21=0,ES21=0,DemigodConversion!$AC18+DemigodConversion!$AF18&gt;0),1,0)</f>
        <v>0</v>
      </c>
      <c r="CO23" s="291">
        <f>IF(AND(U23=0,AS23=0,BQ23=0,FC21=0,FL21=0,FU21=0,GD21=0,ET21=0,DemigodConversion!$AC18+DemigodConversion!$AF18&gt;1),1,0)</f>
        <v>0</v>
      </c>
      <c r="CP23" s="291">
        <f>IF(AND(V23=0,AT23=0,BR23=0,FD21=0,FM21=0,FV21=0,GE21=0,EU21=0,DemigodConversion!$AC18+DemigodConversion!$AF18&gt;2),1,0)</f>
        <v>0</v>
      </c>
      <c r="CQ23" s="291">
        <f>IF(AND(W23=0,AU23=0,BS23=0,FE21=0,FN21=0,FW21=0,GF21=0,EV21=0,DemigodConversion!$AC18+DemigodConversion!$AF18&gt;3),1,0)</f>
        <v>0</v>
      </c>
      <c r="CR23" s="291">
        <f>IF(AND(X23=0,AV23=0,BT23=0,FF21=0,FO21=0,FX21=0,GG21=0,EW21=0,DemigodConversion!$AC18+DemigodConversion!$AF18&gt;4),1,0)</f>
        <v>0</v>
      </c>
      <c r="CS23" s="1104" t="s">
        <v>20</v>
      </c>
      <c r="CT23" s="767"/>
      <c r="CU23" s="767"/>
      <c r="CV23" s="767"/>
      <c r="CW23" s="291">
        <f>IF(AND(E23=0,AC23=0,BA23=0,BY23=0,0&lt;SUM(GodConversion!$BM11:$BR11)),1,0)</f>
        <v>0</v>
      </c>
      <c r="CX23" s="291">
        <f>IF(AND(F23=0,AD23=0,BB23=0,BZ23=0,CW$15&lt;SUM(GodConversion!$BM11:$BR11)),1,0)</f>
        <v>0</v>
      </c>
      <c r="CY23" s="291">
        <f>IF(AND(G23=0,AE23=0,BC23=0,CA23=0,CX$15&lt;SUM(GodConversion!$BM11:$BR11)),1,0)</f>
        <v>0</v>
      </c>
      <c r="CZ23" s="291">
        <f>IF(AND(H23=0,AF23=0,BD23=0,CB23=0,CY$15&lt;SUM(GodConversion!$BM11:$BR11)),1,0)</f>
        <v>0</v>
      </c>
      <c r="DA23" s="291">
        <f>IF(AND(I23=0,AG23=0,BE23=0,CC23=0,CZ$15&lt;SUM(GodConversion!$BM11:$BR11)),1,0)</f>
        <v>0</v>
      </c>
      <c r="DB23" s="291">
        <f>IF(AND(J23=0,AH23=0,BF23=0,CD23=0,DA$15&lt;SUM(GodConversion!$BM11:$BR11)),1,0)</f>
        <v>0</v>
      </c>
      <c r="DC23" s="291">
        <f>IF(AND(K23=0,AI23=0,BG23=0,CE23=0,DB$15&lt;SUM(GodConversion!$BM11:$BR11)),1,0)</f>
        <v>0</v>
      </c>
      <c r="DD23" s="291">
        <f>IF(AND(L23=0,AJ23=0,BH23=0,CF23=0,DC$15&lt;SUM(GodConversion!$BM11:$BR11)),1,0)</f>
        <v>0</v>
      </c>
      <c r="DE23" s="291">
        <f>IF(AND(M23=0,AK23=0,BI23=0,CG23=0,DD$15&lt;SUM(GodConversion!$BM11:$BR11)),1,0)</f>
        <v>0</v>
      </c>
      <c r="DF23" s="291">
        <f>IF(AND(N23=0,AL23=0,BJ23=0,CH23=0,DE$15&lt;SUM(GodConversion!$BM11:$BR11)),1,0)</f>
        <v>0</v>
      </c>
      <c r="DG23" s="292">
        <f>IF(AND(O23=0,AM23=0,BK23=0,CI23=0,DF$15&lt;SUM(GodConversion!$BM11:$BR11)),1,0)</f>
        <v>0</v>
      </c>
      <c r="DH23" s="1104" t="s">
        <v>49</v>
      </c>
      <c r="DI23" s="767"/>
      <c r="DJ23" s="767"/>
      <c r="DK23" s="767"/>
      <c r="DL23" s="291">
        <f>IF(AND(T23=0,AR23=0,BP23=0,ES21=0,FB21=0,FK21=0,FT21=0,GC21=0,CN23=0,0&lt;GodConversion!$AC18+GodConversion!$AF18),1,0)</f>
        <v>0</v>
      </c>
      <c r="DM23" s="291">
        <f>IF(AND(U23=0,AS23=0,BQ23=0,ET21=0,FC21=0,FL21=0,FU21=0,GD21=0,CO23=0,1&lt;GodConversion!$AC18+GodConversion!$AF18),1,0)</f>
        <v>0</v>
      </c>
      <c r="DN23" s="291">
        <f>IF(AND(V23=0,AT23=0,BR23=0,EU21=0,FD21=0,FM21=0,FV21=0,GE21=0,CP23=0,2&lt;GodConversion!$AC18+GodConversion!$AF18),1,0)</f>
        <v>0</v>
      </c>
      <c r="DO23" s="291">
        <f>IF(AND(W23=0,AU23=0,BS23=0,EV21=0,FE21=0,FN21=0,FW21=0,GF21=0,CQ23=0,3&lt;GodConversion!$AC18+GodConversion!$AF18),1,0)</f>
        <v>0</v>
      </c>
      <c r="DP23" s="291">
        <f>IF(AND(X23=0,AV23=0,BT23=0,EW21=0,FF21=0,FO21=0,FX21=0,GG21=0,CR23=0,4&lt;GodConversion!$AC18+GodConversion!$AF18),1,0)</f>
        <v>0</v>
      </c>
      <c r="DQ23" s="1163" t="s">
        <v>20</v>
      </c>
      <c r="DR23" s="767"/>
      <c r="DS23" s="767"/>
      <c r="DT23" s="767"/>
      <c r="DU23" s="291">
        <f>IF($AC23=1,IF(LOOKUP(CharacterSheet!$AK$7,AssociatedRef!$A$2:$A$130,AssociatedRef!$I$2:$I$130)="Yes",8,10),0)</f>
        <v>0</v>
      </c>
      <c r="DV23" s="291">
        <f>IF(AD23=1,IF(LOOKUP(CharacterSheet!$AK$7,AssociatedRef!$A$2:$A$130,AssociatedRef!$I$2:$I$130)="Yes",DU$15*4,DU$15*5),0)</f>
        <v>0</v>
      </c>
      <c r="DW23" s="291">
        <f>IF(AE23=1,IF(LOOKUP(CharacterSheet!$AK$7,AssociatedRef!$A$2:$A$130,AssociatedRef!$I$2:$I$130)="Yes",DV$15*4,DV$15*5),0)</f>
        <v>0</v>
      </c>
      <c r="DX23" s="291">
        <f>IF(AF23=1,IF(LOOKUP(CharacterSheet!$AK$7,AssociatedRef!$A$2:$A$130,AssociatedRef!$I$2:$I$130)="Yes",DW$15*4,DW$15*5),0)</f>
        <v>0</v>
      </c>
      <c r="DY23" s="291">
        <f>IF(AG23=1,IF(LOOKUP(CharacterSheet!$AK$7,AssociatedRef!$A$2:$A$130,AssociatedRef!$I$2:$I$130)="Yes",DX$15*4,DX$15*5),0)</f>
        <v>0</v>
      </c>
      <c r="DZ23" s="291">
        <f>IF(AH23=1,IF(LOOKUP(CharacterSheet!$AK$7,AssociatedRef!$A$2:$A$130,AssociatedRef!$I$2:$I$130)="Yes",DY$15*4,DY$15*5),0)</f>
        <v>0</v>
      </c>
      <c r="EA23" s="291">
        <f>IF(AI23=1,IF(LOOKUP(CharacterSheet!$AK$7,AssociatedRef!$A$2:$A$130,AssociatedRef!$I$2:$I$130)="Yes",DZ$15*4,DZ$15*5),0)</f>
        <v>0</v>
      </c>
      <c r="EB23" s="291">
        <f>IF(AJ23=1,IF(LOOKUP(CharacterSheet!$AK$7,AssociatedRef!$A$2:$A$130,AssociatedRef!$I$2:$I$130)="Yes",EA$15*4,EA$15*5),0)</f>
        <v>0</v>
      </c>
      <c r="EC23" s="291">
        <f>IF(AK23=1,IF(LOOKUP(CharacterSheet!$AK$7,AssociatedRef!$A$2:$A$130,AssociatedRef!$I$2:$I$130)="Yes",EB$15*4,EB$15*5),0)</f>
        <v>0</v>
      </c>
      <c r="ED23" s="291">
        <f>IF(AL23=1,IF(LOOKUP(CharacterSheet!$AK$7,AssociatedRef!$A$2:$A$130,AssociatedRef!$I$2:$I$130)="Yes",EC$15*4,EC$15*5),0)</f>
        <v>0</v>
      </c>
      <c r="EE23" s="292">
        <f>IF(AM23=1,IF(LOOKUP(CharacterSheet!$AK$7,AssociatedRef!$A$2:$A$130,AssociatedRef!$I$2:$I$130)="Yes",ED$15*4,ED$15*5),0)</f>
        <v>0</v>
      </c>
      <c r="EF23" s="1163" t="s">
        <v>49</v>
      </c>
      <c r="EG23" s="767"/>
      <c r="EH23" s="767"/>
      <c r="EI23" s="767"/>
      <c r="EJ23" s="291">
        <f t="shared" si="11"/>
        <v>0</v>
      </c>
      <c r="EK23" s="291">
        <f t="shared" si="12"/>
        <v>0</v>
      </c>
      <c r="EL23" s="291">
        <f t="shared" si="13"/>
        <v>0</v>
      </c>
      <c r="EM23" s="291">
        <f t="shared" si="14"/>
        <v>0</v>
      </c>
      <c r="EN23" s="291">
        <f t="shared" si="15"/>
        <v>0</v>
      </c>
      <c r="EO23" s="1164" t="s">
        <v>51</v>
      </c>
      <c r="EP23" s="1165"/>
      <c r="EQ23" s="1165"/>
      <c r="ER23" s="1166"/>
      <c r="ES23" s="398"/>
      <c r="ET23" s="399"/>
      <c r="EU23" s="381"/>
      <c r="EV23" s="381"/>
      <c r="EW23" s="381"/>
      <c r="EX23" s="1113" t="s">
        <v>51</v>
      </c>
      <c r="EY23" s="1114"/>
      <c r="EZ23" s="1114"/>
      <c r="FA23" s="1117"/>
      <c r="FB23" s="393"/>
      <c r="FC23" s="394"/>
      <c r="FD23" s="394"/>
      <c r="FE23" s="394"/>
      <c r="FF23" s="395"/>
      <c r="FG23" s="1123" t="s">
        <v>51</v>
      </c>
      <c r="FH23" s="1114"/>
      <c r="FI23" s="1114"/>
      <c r="FJ23" s="1115"/>
      <c r="FK23" s="515"/>
      <c r="FL23" s="516"/>
      <c r="FM23" s="516"/>
      <c r="FN23" s="516"/>
      <c r="FO23" s="517"/>
      <c r="FP23" s="1113" t="s">
        <v>51</v>
      </c>
      <c r="FQ23" s="1114"/>
      <c r="FR23" s="1114"/>
      <c r="FS23" s="1117"/>
      <c r="FT23" s="393"/>
      <c r="FU23" s="394"/>
      <c r="FV23" s="394"/>
      <c r="FW23" s="394"/>
      <c r="FX23" s="395"/>
      <c r="FY23" s="1113" t="s">
        <v>51</v>
      </c>
      <c r="FZ23" s="1114"/>
      <c r="GA23" s="1114"/>
      <c r="GB23" s="1115"/>
      <c r="GC23" s="515"/>
      <c r="GD23" s="516"/>
      <c r="GE23" s="516"/>
      <c r="GF23" s="516"/>
      <c r="GG23" s="517"/>
      <c r="GK23" s="396" t="s">
        <v>51</v>
      </c>
      <c r="GL23" s="396">
        <f t="shared" si="8"/>
        <v>0</v>
      </c>
      <c r="GM23" s="396">
        <f>IF($GK23=Creation!$Q$28,1,0)</f>
        <v>0</v>
      </c>
      <c r="GN23" s="396">
        <f>IF($GK23=Creation!$Q$29,1,0)</f>
        <v>0</v>
      </c>
      <c r="GO23" s="396">
        <f>IF($GK23=Creation!$Q$30,1,0)</f>
        <v>0</v>
      </c>
      <c r="GP23" s="396">
        <f>IF($GK23=Creation!$Q$31,1,0)</f>
        <v>0</v>
      </c>
      <c r="GQ23" s="396">
        <f>IF($GK23=Creation!$Q$32,1,0)</f>
        <v>0</v>
      </c>
      <c r="GR23" s="396">
        <f>IF($GK23=Creation!$Q$33,1,0)</f>
        <v>0</v>
      </c>
    </row>
    <row r="24" spans="1:200" ht="15.75" thickBot="1" x14ac:dyDescent="0.3">
      <c r="A24" s="1176" t="s">
        <v>21</v>
      </c>
      <c r="B24" s="804"/>
      <c r="C24" s="804"/>
      <c r="D24" s="804"/>
      <c r="E24" s="301">
        <f>IF(Creation!BO12+Creation!BQ12&gt;0,1,0)</f>
        <v>0</v>
      </c>
      <c r="F24" s="301">
        <f>IF(Creation!BO12+Creation!BQ12&gt;1,1,0)</f>
        <v>0</v>
      </c>
      <c r="G24" s="301">
        <f>IF(Creation!BO12+Creation!BQ12&gt;2,1,0)</f>
        <v>0</v>
      </c>
      <c r="H24" s="301">
        <f>IF(Creation!BO12+Creation!BQ12&gt;3,1,0)</f>
        <v>0</v>
      </c>
      <c r="I24" s="301">
        <f>IF(Creation!BO12+Creation!BQ12&gt;4,1,0)</f>
        <v>0</v>
      </c>
      <c r="J24" s="301">
        <f>IF(Creation!BO12+Creation!BQ12&gt;5,1,0)</f>
        <v>0</v>
      </c>
      <c r="K24" s="301">
        <f>IF(Creation!BO12+Creation!BQ12&gt;6,1,0)</f>
        <v>0</v>
      </c>
      <c r="L24" s="301">
        <f>IF(Creation!BO12+Creation!BQ12&gt;7,1,0)</f>
        <v>0</v>
      </c>
      <c r="M24" s="301">
        <f>IF(Creation!BO12+Creation!BQ12&gt;8,1,0)</f>
        <v>0</v>
      </c>
      <c r="N24" s="301">
        <f>IF(Creation!BO12+Creation!BQ12&gt;9,1,0)</f>
        <v>0</v>
      </c>
      <c r="O24" s="302">
        <f>IF(Creation!BO12+Creation!BQ12&gt;10,1,0)</f>
        <v>0</v>
      </c>
      <c r="P24" s="1163" t="s">
        <v>50</v>
      </c>
      <c r="Q24" s="767"/>
      <c r="R24" s="767"/>
      <c r="S24" s="767"/>
      <c r="T24" s="291">
        <f>IF(Creation!AC19+Creation!AF19&gt;0,1,0)</f>
        <v>0</v>
      </c>
      <c r="U24" s="291">
        <f>IF(Creation!AC19+Creation!AF19&gt;1,1,0)</f>
        <v>0</v>
      </c>
      <c r="V24" s="291">
        <f>IF(Creation!AC19+Creation!AF19&gt;2,1,0)</f>
        <v>0</v>
      </c>
      <c r="W24" s="291">
        <f>IF(Creation!AC19+Creation!AF19&gt;3,1,0)</f>
        <v>0</v>
      </c>
      <c r="X24" s="376">
        <f>IF(Creation!AC19+Creation!AF19&gt;4,1,0)</f>
        <v>0</v>
      </c>
      <c r="Y24" s="1176" t="s">
        <v>21</v>
      </c>
      <c r="Z24" s="804"/>
      <c r="AA24" s="804"/>
      <c r="AB24" s="817"/>
      <c r="AC24" s="403"/>
      <c r="AD24" s="379"/>
      <c r="AE24" s="379"/>
      <c r="AF24" s="379"/>
      <c r="AG24" s="379"/>
      <c r="AH24" s="379"/>
      <c r="AI24" s="379"/>
      <c r="AJ24" s="379"/>
      <c r="AK24" s="379"/>
      <c r="AL24" s="379"/>
      <c r="AM24" s="282"/>
      <c r="AN24" s="1163" t="s">
        <v>50</v>
      </c>
      <c r="AO24" s="767"/>
      <c r="AP24" s="767"/>
      <c r="AQ24" s="768"/>
      <c r="AR24" s="392"/>
      <c r="AS24" s="381"/>
      <c r="AT24" s="381"/>
      <c r="AU24" s="381"/>
      <c r="AV24" s="382"/>
      <c r="AW24" s="885" t="s">
        <v>21</v>
      </c>
      <c r="AX24" s="804"/>
      <c r="AY24" s="804"/>
      <c r="AZ24" s="817"/>
      <c r="BA24" s="404"/>
      <c r="BB24" s="379"/>
      <c r="BC24" s="379"/>
      <c r="BD24" s="379"/>
      <c r="BE24" s="379"/>
      <c r="BF24" s="379"/>
      <c r="BG24" s="379"/>
      <c r="BH24" s="379"/>
      <c r="BI24" s="379"/>
      <c r="BJ24" s="379"/>
      <c r="BK24" s="282"/>
      <c r="BL24" s="1163" t="s">
        <v>50</v>
      </c>
      <c r="BM24" s="767"/>
      <c r="BN24" s="767"/>
      <c r="BO24" s="768"/>
      <c r="BP24" s="400"/>
      <c r="BQ24" s="381"/>
      <c r="BR24" s="381"/>
      <c r="BS24" s="381"/>
      <c r="BT24" s="382"/>
      <c r="BU24" s="885" t="s">
        <v>21</v>
      </c>
      <c r="BV24" s="804"/>
      <c r="BW24" s="804"/>
      <c r="BX24" s="804"/>
      <c r="BY24" s="301">
        <f>IF(AND(E24=0,AC24=0,BA24=0,DemigodConversion!$BM12+DemigodConversion!$BO12+DemigodConversion!$BQ12&gt;0),1,0)</f>
        <v>0</v>
      </c>
      <c r="BZ24" s="301">
        <f>IF(SUM($BY24:BY24)=SUM(DemigodConversion!$BO12:$BR12),0,IF(AND(F24=0,AD24=0,BB24=0,DemigodConversion!$BM12+DemigodConversion!$BO12+DemigodConversion!$BQ12&gt;BY$15),1,0))</f>
        <v>0</v>
      </c>
      <c r="CA24" s="301">
        <f>IF(SUM($BY24:BZ24)=SUM(DemigodConversion!$BO12:$BR12),0,IF(AND(G24=0,AE24=0,BC24=0,DemigodConversion!$BM12+DemigodConversion!$BO12+DemigodConversion!$BQ12&gt;BZ$15),1,0))</f>
        <v>0</v>
      </c>
      <c r="CB24" s="301">
        <f>IF(SUM($BY24:CA24)=SUM(DemigodConversion!$BO12:$BR12),0,IF(AND(H24=0,AF24=0,BD24=0,DemigodConversion!$BM12+DemigodConversion!$BO12+DemigodConversion!$BQ12&gt;CA$15),1,0))</f>
        <v>0</v>
      </c>
      <c r="CC24" s="301">
        <f>IF(SUM($BY24:CB24)=SUM(DemigodConversion!$BO12:$BR12),0,IF(AND(I24=0,AG24=0,BE24=0,DemigodConversion!$BM12+DemigodConversion!$BO12+DemigodConversion!$BQ12&gt;CB$15),1,0))</f>
        <v>0</v>
      </c>
      <c r="CD24" s="301">
        <f>IF(SUM($BY24:CC24)=SUM(DemigodConversion!$BO12:$BR12),0,IF(AND(J24=0,AH24=0,BF24=0,DemigodConversion!$BM12+DemigodConversion!$BO12+DemigodConversion!$BQ12&gt;CC$15),1,0))</f>
        <v>0</v>
      </c>
      <c r="CE24" s="301">
        <f>IF(SUM($BY24:CD24)=SUM(DemigodConversion!$BO12:$BR12),0,IF(AND(K24=0,AI24=0,BG24=0,DemigodConversion!$BM12+DemigodConversion!$BO12+DemigodConversion!$BQ12&gt;CD$15),1,0))</f>
        <v>0</v>
      </c>
      <c r="CF24" s="301">
        <f>IF(SUM($BY24:CE24)=SUM(DemigodConversion!$BO12:$BR12),0,IF(AND(L24=0,AJ24=0,BH24=0,DemigodConversion!$BM12+DemigodConversion!$BO12+DemigodConversion!$BQ12&gt;CE$15),1,0))</f>
        <v>0</v>
      </c>
      <c r="CG24" s="301">
        <f>IF(SUM($BY24:CF24)=SUM(DemigodConversion!$BO12:$BR12),0,IF(AND(M24=0,AK24=0,BI24=0,DemigodConversion!$BM12+DemigodConversion!$BO12+DemigodConversion!$BQ12&gt;CF$15),1,0))</f>
        <v>0</v>
      </c>
      <c r="CH24" s="301">
        <f>IF(SUM($BY24:CG24)=SUM(DemigodConversion!$BO12:$BR12),0,IF(AND(N24=0,AL24=0,BJ24=0,DemigodConversion!$BM12+DemigodConversion!$BO12+DemigodConversion!$BQ12&gt;CG$15),1,0))</f>
        <v>0</v>
      </c>
      <c r="CI24" s="390">
        <f>IF(SUM($BY24:CH24)=SUM(DemigodConversion!$BO12:$BR12),0,IF(AND(O24=0,AM24=0,BK24=0,DemigodConversion!$BM12+DemigodConversion!$BO12+DemigodConversion!$BQ12&gt;CH$15),1,0))</f>
        <v>0</v>
      </c>
      <c r="CJ24" s="1163" t="s">
        <v>50</v>
      </c>
      <c r="CK24" s="767"/>
      <c r="CL24" s="767"/>
      <c r="CM24" s="767"/>
      <c r="CN24" s="291">
        <f>IF(AND(T24=0,AR24=0,BP24=0,FB22=0,FK22=0,FT22=0,GC22=0,ES22=0,DemigodConversion!$AC19+DemigodConversion!$AF19&gt;0),1,0)</f>
        <v>0</v>
      </c>
      <c r="CO24" s="291">
        <f>IF(AND(U24=0,AS24=0,BQ24=0,FC22=0,FL22=0,FU22=0,GD22=0,ET22=0,DemigodConversion!$AC19+DemigodConversion!$AF19&gt;1),1,0)</f>
        <v>0</v>
      </c>
      <c r="CP24" s="291">
        <f>IF(AND(V24=0,AT24=0,BR24=0,FD22=0,FM22=0,FV22=0,GE22=0,EU22=0,DemigodConversion!$AC19+DemigodConversion!$AF19&gt;2),1,0)</f>
        <v>0</v>
      </c>
      <c r="CQ24" s="291">
        <f>IF(AND(W24=0,AU24=0,BS24=0,FE22=0,FN22=0,FW22=0,GF22=0,EV22=0,DemigodConversion!$AC19+DemigodConversion!$AF19&gt;3),1,0)</f>
        <v>0</v>
      </c>
      <c r="CR24" s="291">
        <f>IF(AND(X24=0,AV24=0,BT24=0,FF22=0,FO22=0,FX22=0,GG22=0,EW22=0,DemigodConversion!$AC19+DemigodConversion!$AF19&gt;4),1,0)</f>
        <v>0</v>
      </c>
      <c r="CS24" s="885" t="s">
        <v>21</v>
      </c>
      <c r="CT24" s="804"/>
      <c r="CU24" s="804"/>
      <c r="CV24" s="804"/>
      <c r="CW24" s="301">
        <f>IF(AND(E24=0,AC24=0,BA24=0,BY24=0,0&lt;SUM(GodConversion!$BM12:$BR12)),1,0)</f>
        <v>0</v>
      </c>
      <c r="CX24" s="301">
        <f>IF(AND(F24=0,AD24=0,BB24=0,BZ24=0,CW$15&lt;SUM(GodConversion!$BM12:$BR12)),1,0)</f>
        <v>0</v>
      </c>
      <c r="CY24" s="301">
        <f>IF(AND(G24=0,AE24=0,BC24=0,CA24=0,CX$15&lt;SUM(GodConversion!$BM12:$BR12)),1,0)</f>
        <v>0</v>
      </c>
      <c r="CZ24" s="301">
        <f>IF(AND(H24=0,AF24=0,BD24=0,CB24=0,CY$15&lt;SUM(GodConversion!$BM12:$BR12)),1,0)</f>
        <v>0</v>
      </c>
      <c r="DA24" s="301">
        <f>IF(AND(I24=0,AG24=0,BE24=0,CC24=0,CZ$15&lt;SUM(GodConversion!$BM12:$BR12)),1,0)</f>
        <v>0</v>
      </c>
      <c r="DB24" s="301">
        <f>IF(AND(J24=0,AH24=0,BF24=0,CD24=0,DA$15&lt;SUM(GodConversion!$BM12:$BR12)),1,0)</f>
        <v>0</v>
      </c>
      <c r="DC24" s="301">
        <f>IF(AND(K24=0,AI24=0,BG24=0,CE24=0,DB$15&lt;SUM(GodConversion!$BM12:$BR12)),1,0)</f>
        <v>0</v>
      </c>
      <c r="DD24" s="301">
        <f>IF(AND(L24=0,AJ24=0,BH24=0,CF24=0,DC$15&lt;SUM(GodConversion!$BM12:$BR12)),1,0)</f>
        <v>0</v>
      </c>
      <c r="DE24" s="301">
        <f>IF(AND(M24=0,AK24=0,BI24=0,CG24=0,DD$15&lt;SUM(GodConversion!$BM12:$BR12)),1,0)</f>
        <v>0</v>
      </c>
      <c r="DF24" s="301">
        <f>IF(AND(N24=0,AL24=0,BJ24=0,CH24=0,DE$15&lt;SUM(GodConversion!$BM12:$BR12)),1,0)</f>
        <v>0</v>
      </c>
      <c r="DG24" s="302">
        <f>IF(AND(O24=0,AM24=0,BK24=0,CI24=0,DF$15&lt;SUM(GodConversion!$BM12:$BR12)),1,0)</f>
        <v>0</v>
      </c>
      <c r="DH24" s="1104" t="s">
        <v>50</v>
      </c>
      <c r="DI24" s="767"/>
      <c r="DJ24" s="767"/>
      <c r="DK24" s="767"/>
      <c r="DL24" s="291">
        <f>IF(AND(T24=0,AR24=0,BP24=0,ES22=0,FB22=0,FK22=0,FT22=0,GC22=0,CN24=0,0&lt;GodConversion!$AC19+GodConversion!$AF19),1,0)</f>
        <v>0</v>
      </c>
      <c r="DM24" s="291">
        <f>IF(AND(U24=0,AS24=0,BQ24=0,ET22=0,FC22=0,FL22=0,FU22=0,GD22=0,CO24=0,1&lt;GodConversion!$AC19+GodConversion!$AF19),1,0)</f>
        <v>0</v>
      </c>
      <c r="DN24" s="291">
        <f>IF(AND(V24=0,AT24=0,BR24=0,EU22=0,FD22=0,FM22=0,FV22=0,GE22=0,CP24=0,2&lt;GodConversion!$AC19+GodConversion!$AF19),1,0)</f>
        <v>0</v>
      </c>
      <c r="DO24" s="291">
        <f>IF(AND(W24=0,AU24=0,BS24=0,EV22=0,FE22=0,FN22=0,FW22=0,GF22=0,CQ24=0,3&lt;GodConversion!$AC19+GodConversion!$AF19),1,0)</f>
        <v>0</v>
      </c>
      <c r="DP24" s="291">
        <f>IF(AND(X24=0,AV24=0,BT24=0,EW22=0,FF22=0,FO22=0,FX22=0,GG22=0,CR24=0,4&lt;GodConversion!$AC19+GodConversion!$AF19),1,0)</f>
        <v>0</v>
      </c>
      <c r="DQ24" s="1176" t="s">
        <v>21</v>
      </c>
      <c r="DR24" s="804"/>
      <c r="DS24" s="804"/>
      <c r="DT24" s="804"/>
      <c r="DU24" s="301">
        <f>IF($AC24=1,IF(LOOKUP(CharacterSheet!$AK$7,AssociatedRef!$A$2:$A$130,AssociatedRef!$J$2:$J$130)="Yes",8,10),0)</f>
        <v>0</v>
      </c>
      <c r="DV24" s="301">
        <f>IF(AD24=1,IF(LOOKUP(CharacterSheet!$AK$7,AssociatedRef!$A$2:$A$130,AssociatedRef!$J$2:$J$130)="Yes",DU$15*4,DU$15*5),0)</f>
        <v>0</v>
      </c>
      <c r="DW24" s="301">
        <f>IF(AE24=1,IF(LOOKUP(CharacterSheet!$AK$7,AssociatedRef!$A$2:$A$130,AssociatedRef!$J$2:$J$130)="Yes",DV$15*4,DV$15*5),0)</f>
        <v>0</v>
      </c>
      <c r="DX24" s="301">
        <f>IF(AF24=1,IF(LOOKUP(CharacterSheet!$AK$7,AssociatedRef!$A$2:$A$130,AssociatedRef!$J$2:$J$130)="Yes",DW$15*4,DW$15*5),0)</f>
        <v>0</v>
      </c>
      <c r="DY24" s="301">
        <f>IF(AG24=1,IF(LOOKUP(CharacterSheet!$AK$7,AssociatedRef!$A$2:$A$130,AssociatedRef!$J$2:$J$130)="Yes",DX$15*4,DX$15*5),0)</f>
        <v>0</v>
      </c>
      <c r="DZ24" s="301">
        <f>IF(AH24=1,IF(LOOKUP(CharacterSheet!$AK$7,AssociatedRef!$A$2:$A$130,AssociatedRef!$J$2:$J$130)="Yes",DY$15*4,DY$15*5),0)</f>
        <v>0</v>
      </c>
      <c r="EA24" s="301">
        <f>IF(AI24=1,IF(LOOKUP(CharacterSheet!$AK$7,AssociatedRef!$A$2:$A$130,AssociatedRef!$J$2:$J$130)="Yes",DZ$15*4,DZ$15*5),0)</f>
        <v>0</v>
      </c>
      <c r="EB24" s="301">
        <f>IF(AJ24=1,IF(LOOKUP(CharacterSheet!$AK$7,AssociatedRef!$A$2:$A$130,AssociatedRef!$J$2:$J$130)="Yes",EA$15*4,EA$15*5),0)</f>
        <v>0</v>
      </c>
      <c r="EC24" s="301">
        <f>IF(AK24=1,IF(LOOKUP(CharacterSheet!$AK$7,AssociatedRef!$A$2:$A$130,AssociatedRef!$J$2:$J$130)="Yes",EB$15*4,EB$15*5),0)</f>
        <v>0</v>
      </c>
      <c r="ED24" s="301">
        <f>IF(AL24=1,IF(LOOKUP(CharacterSheet!$AK$7,AssociatedRef!$A$2:$A$130,AssociatedRef!$J$2:$J$130)="Yes",EC$15*4,EC$15*5),0)</f>
        <v>0</v>
      </c>
      <c r="EE24" s="302">
        <f>IF(AM24=1,IF(LOOKUP(CharacterSheet!$AK$7,AssociatedRef!$A$2:$A$130,AssociatedRef!$J$2:$J$130)="Yes",ED$15*4,ED$15*5),0)</f>
        <v>0</v>
      </c>
      <c r="EF24" s="1163" t="s">
        <v>50</v>
      </c>
      <c r="EG24" s="767"/>
      <c r="EH24" s="767"/>
      <c r="EI24" s="767"/>
      <c r="EJ24" s="291">
        <f t="shared" si="11"/>
        <v>0</v>
      </c>
      <c r="EK24" s="291">
        <f t="shared" si="12"/>
        <v>0</v>
      </c>
      <c r="EL24" s="291">
        <f t="shared" si="13"/>
        <v>0</v>
      </c>
      <c r="EM24" s="291">
        <f t="shared" si="14"/>
        <v>0</v>
      </c>
      <c r="EN24" s="291">
        <f t="shared" si="15"/>
        <v>0</v>
      </c>
      <c r="EO24" s="1164" t="s">
        <v>52</v>
      </c>
      <c r="EP24" s="1165"/>
      <c r="EQ24" s="1165"/>
      <c r="ER24" s="1166"/>
      <c r="ES24" s="398"/>
      <c r="ET24" s="399"/>
      <c r="EU24" s="381"/>
      <c r="EV24" s="381"/>
      <c r="EW24" s="381"/>
      <c r="EX24" s="1113" t="s">
        <v>52</v>
      </c>
      <c r="EY24" s="1114"/>
      <c r="EZ24" s="1114"/>
      <c r="FA24" s="1117"/>
      <c r="FB24" s="393"/>
      <c r="FC24" s="394"/>
      <c r="FD24" s="394"/>
      <c r="FE24" s="394"/>
      <c r="FF24" s="395"/>
      <c r="FG24" s="1123" t="s">
        <v>52</v>
      </c>
      <c r="FH24" s="1114"/>
      <c r="FI24" s="1114"/>
      <c r="FJ24" s="1115"/>
      <c r="FK24" s="515"/>
      <c r="FL24" s="516"/>
      <c r="FM24" s="516"/>
      <c r="FN24" s="516"/>
      <c r="FO24" s="517"/>
      <c r="FP24" s="1113" t="s">
        <v>52</v>
      </c>
      <c r="FQ24" s="1114"/>
      <c r="FR24" s="1114"/>
      <c r="FS24" s="1117"/>
      <c r="FT24" s="393"/>
      <c r="FU24" s="394"/>
      <c r="FV24" s="394"/>
      <c r="FW24" s="394"/>
      <c r="FX24" s="395"/>
      <c r="FY24" s="1113" t="s">
        <v>52</v>
      </c>
      <c r="FZ24" s="1114"/>
      <c r="GA24" s="1114"/>
      <c r="GB24" s="1115"/>
      <c r="GC24" s="515"/>
      <c r="GD24" s="516"/>
      <c r="GE24" s="516"/>
      <c r="GF24" s="516"/>
      <c r="GG24" s="517"/>
      <c r="GK24" s="396" t="s">
        <v>52</v>
      </c>
      <c r="GL24" s="396">
        <f t="shared" si="8"/>
        <v>0</v>
      </c>
      <c r="GM24" s="396">
        <f>IF($GK24=Creation!$Q$28,1,0)</f>
        <v>0</v>
      </c>
      <c r="GN24" s="396">
        <f>IF($GK24=Creation!$Q$29,1,0)</f>
        <v>0</v>
      </c>
      <c r="GO24" s="396">
        <f>IF($GK24=Creation!$Q$30,1,0)</f>
        <v>0</v>
      </c>
      <c r="GP24" s="396">
        <f>IF($GK24=Creation!$Q$31,1,0)</f>
        <v>0</v>
      </c>
      <c r="GQ24" s="396">
        <f>IF($GK24=Creation!$Q$32,1,0)</f>
        <v>0</v>
      </c>
      <c r="GR24" s="396">
        <f>IF($GK24=Creation!$Q$33,1,0)</f>
        <v>0</v>
      </c>
    </row>
    <row r="25" spans="1:200" x14ac:dyDescent="0.25">
      <c r="A25" s="721" t="s">
        <v>83</v>
      </c>
      <c r="B25" s="722"/>
      <c r="C25" s="722"/>
      <c r="D25" s="722"/>
      <c r="E25" s="722"/>
      <c r="F25" s="288">
        <v>1</v>
      </c>
      <c r="G25" s="288">
        <v>2</v>
      </c>
      <c r="H25" s="288">
        <v>3</v>
      </c>
      <c r="I25" s="334">
        <v>4</v>
      </c>
      <c r="J25" s="334">
        <v>5</v>
      </c>
      <c r="K25" s="334">
        <v>6</v>
      </c>
      <c r="L25" s="334">
        <v>7</v>
      </c>
      <c r="M25" s="334">
        <v>8</v>
      </c>
      <c r="N25" s="334">
        <v>9</v>
      </c>
      <c r="O25" s="375">
        <v>10</v>
      </c>
      <c r="P25" s="1163" t="s">
        <v>51</v>
      </c>
      <c r="Q25" s="767"/>
      <c r="R25" s="767"/>
      <c r="S25" s="767"/>
      <c r="T25" s="291">
        <f>IF(Creation!AC20+Creation!AF20&gt;0,1,0)</f>
        <v>0</v>
      </c>
      <c r="U25" s="291">
        <f>IF(Creation!AC20+Creation!AF20&gt;1,1,0)</f>
        <v>0</v>
      </c>
      <c r="V25" s="291">
        <f>IF(Creation!AC20+Creation!AF20&gt;2,1,0)</f>
        <v>0</v>
      </c>
      <c r="W25" s="291">
        <f>IF(Creation!AC20+Creation!AF20&gt;3,1,0)</f>
        <v>0</v>
      </c>
      <c r="X25" s="376">
        <f>IF(Creation!AC20+Creation!AF20&gt;4,1,0)</f>
        <v>0</v>
      </c>
      <c r="Y25" s="721" t="s">
        <v>83</v>
      </c>
      <c r="Z25" s="722"/>
      <c r="AA25" s="722"/>
      <c r="AB25" s="722"/>
      <c r="AC25" s="833"/>
      <c r="AD25" s="368">
        <v>1</v>
      </c>
      <c r="AE25" s="369">
        <v>2</v>
      </c>
      <c r="AF25" s="369">
        <v>3</v>
      </c>
      <c r="AG25" s="369">
        <v>4</v>
      </c>
      <c r="AH25" s="369">
        <v>5</v>
      </c>
      <c r="AI25" s="371">
        <v>6</v>
      </c>
      <c r="AJ25" s="371">
        <v>7</v>
      </c>
      <c r="AK25" s="371">
        <v>8</v>
      </c>
      <c r="AL25" s="371">
        <v>9</v>
      </c>
      <c r="AM25" s="372">
        <v>10</v>
      </c>
      <c r="AN25" s="1163" t="s">
        <v>51</v>
      </c>
      <c r="AO25" s="767"/>
      <c r="AP25" s="767"/>
      <c r="AQ25" s="768"/>
      <c r="AR25" s="392"/>
      <c r="AS25" s="381"/>
      <c r="AT25" s="381"/>
      <c r="AU25" s="381"/>
      <c r="AV25" s="382"/>
      <c r="AW25" s="774" t="s">
        <v>83</v>
      </c>
      <c r="AX25" s="722"/>
      <c r="AY25" s="722"/>
      <c r="AZ25" s="722"/>
      <c r="BA25" s="833"/>
      <c r="BB25" s="373">
        <v>1</v>
      </c>
      <c r="BC25" s="369">
        <v>2</v>
      </c>
      <c r="BD25" s="369">
        <v>3</v>
      </c>
      <c r="BE25" s="369">
        <v>4</v>
      </c>
      <c r="BF25" s="369">
        <v>5</v>
      </c>
      <c r="BG25" s="371">
        <v>6</v>
      </c>
      <c r="BH25" s="371">
        <v>7</v>
      </c>
      <c r="BI25" s="371">
        <v>8</v>
      </c>
      <c r="BJ25" s="371">
        <v>9</v>
      </c>
      <c r="BK25" s="372">
        <v>10</v>
      </c>
      <c r="BL25" s="1163" t="s">
        <v>51</v>
      </c>
      <c r="BM25" s="767"/>
      <c r="BN25" s="767"/>
      <c r="BO25" s="768"/>
      <c r="BP25" s="400"/>
      <c r="BQ25" s="381"/>
      <c r="BR25" s="381"/>
      <c r="BS25" s="381"/>
      <c r="BT25" s="382"/>
      <c r="BU25" s="994" t="s">
        <v>83</v>
      </c>
      <c r="BV25" s="1168"/>
      <c r="BW25" s="1168"/>
      <c r="BX25" s="1168"/>
      <c r="BY25" s="1168"/>
      <c r="BZ25" s="405">
        <v>1</v>
      </c>
      <c r="CA25" s="405">
        <v>2</v>
      </c>
      <c r="CB25" s="405">
        <v>3</v>
      </c>
      <c r="CC25" s="406">
        <v>4</v>
      </c>
      <c r="CD25" s="406">
        <v>5</v>
      </c>
      <c r="CE25" s="406">
        <v>6</v>
      </c>
      <c r="CF25" s="406">
        <v>7</v>
      </c>
      <c r="CG25" s="406">
        <v>8</v>
      </c>
      <c r="CH25" s="406">
        <v>9</v>
      </c>
      <c r="CI25" s="407">
        <v>10</v>
      </c>
      <c r="CJ25" s="1163" t="s">
        <v>51</v>
      </c>
      <c r="CK25" s="767"/>
      <c r="CL25" s="767"/>
      <c r="CM25" s="767"/>
      <c r="CN25" s="291">
        <f>IF(AND(T25=0,AR25=0,BP25=0,FB23=0,FK23=0,FT23=0,GC23=0,ES23=0,DemigodConversion!$AC20+DemigodConversion!$AF20&gt;0),1,0)</f>
        <v>0</v>
      </c>
      <c r="CO25" s="291">
        <f>IF(AND(U25=0,AS25=0,BQ25=0,FC23=0,FL23=0,FU23=0,GD23=0,ET23=0,DemigodConversion!$AC20+DemigodConversion!$AF20&gt;1),1,0)</f>
        <v>0</v>
      </c>
      <c r="CP25" s="291">
        <f>IF(AND(V25=0,AT25=0,BR25=0,FD23=0,FM23=0,FV23=0,GE23=0,EU23=0,DemigodConversion!$AC20+DemigodConversion!$AF20&gt;2),1,0)</f>
        <v>0</v>
      </c>
      <c r="CQ25" s="291">
        <f>IF(AND(W25=0,AU25=0,BS25=0,FE23=0,FN23=0,FW23=0,GF23=0,EV23=0,DemigodConversion!$AC20+DemigodConversion!$AF20&gt;3),1,0)</f>
        <v>0</v>
      </c>
      <c r="CR25" s="291">
        <f>IF(AND(X25=0,AV25=0,BT25=0,FF23=0,FO23=0,FX23=0,GG23=0,EW23=0,DemigodConversion!$AC20+DemigodConversion!$AF20&gt;4),1,0)</f>
        <v>0</v>
      </c>
      <c r="CS25" s="994" t="s">
        <v>83</v>
      </c>
      <c r="CT25" s="1168"/>
      <c r="CU25" s="1168"/>
      <c r="CV25" s="1168"/>
      <c r="CW25" s="1168"/>
      <c r="CX25" s="405">
        <v>1</v>
      </c>
      <c r="CY25" s="405">
        <v>2</v>
      </c>
      <c r="CZ25" s="405">
        <v>3</v>
      </c>
      <c r="DA25" s="406">
        <v>4</v>
      </c>
      <c r="DB25" s="406">
        <v>5</v>
      </c>
      <c r="DC25" s="406">
        <v>6</v>
      </c>
      <c r="DD25" s="406">
        <v>7</v>
      </c>
      <c r="DE25" s="406">
        <v>8</v>
      </c>
      <c r="DF25" s="406">
        <v>9</v>
      </c>
      <c r="DG25" s="408">
        <v>10</v>
      </c>
      <c r="DH25" s="1163" t="s">
        <v>51</v>
      </c>
      <c r="DI25" s="767"/>
      <c r="DJ25" s="767"/>
      <c r="DK25" s="767"/>
      <c r="DL25" s="291">
        <f>IF(AND(T25=0,AR25=0,BP25=0,ES23=0,FB23=0,FK23=0,FT23=0,GC23=0,CN25=0,0&lt;GodConversion!$AC20+GodConversion!$AF20),1,0)</f>
        <v>0</v>
      </c>
      <c r="DM25" s="291">
        <f>IF(AND(U25=0,AS25=0,BQ25=0,ET23=0,FC23=0,FL23=0,FU23=0,GD23=0,CO25=0,1&lt;GodConversion!$AC20+GodConversion!$AF20),1,0)</f>
        <v>0</v>
      </c>
      <c r="DN25" s="291">
        <f>IF(AND(V25=0,AT25=0,BR25=0,EU23=0,FD23=0,FM23=0,FV23=0,GE23=0,CP25=0,2&lt;GodConversion!$AC20+GodConversion!$AF20),1,0)</f>
        <v>0</v>
      </c>
      <c r="DO25" s="291">
        <f>IF(AND(W25=0,AU25=0,BS25=0,EV23=0,FE23=0,FN23=0,FW23=0,GF23=0,CQ25=0,3&lt;GodConversion!$AC20+GodConversion!$AF20),1,0)</f>
        <v>0</v>
      </c>
      <c r="DP25" s="291">
        <f>IF(AND(X25=0,AV25=0,BT25=0,EW23=0,FF23=0,FO23=0,FX23=0,GG23=0,CR25=0,4&lt;GodConversion!$AC20+GodConversion!$AF20),1,0)</f>
        <v>0</v>
      </c>
      <c r="DQ25" s="721" t="s">
        <v>83</v>
      </c>
      <c r="DR25" s="722"/>
      <c r="DS25" s="722"/>
      <c r="DT25" s="722"/>
      <c r="DU25" s="722"/>
      <c r="DV25" s="288">
        <v>1</v>
      </c>
      <c r="DW25" s="288">
        <v>2</v>
      </c>
      <c r="DX25" s="288">
        <v>3</v>
      </c>
      <c r="DY25" s="334">
        <v>4</v>
      </c>
      <c r="DZ25" s="334">
        <v>5</v>
      </c>
      <c r="EA25" s="334">
        <v>6</v>
      </c>
      <c r="EB25" s="334">
        <v>7</v>
      </c>
      <c r="EC25" s="334">
        <v>8</v>
      </c>
      <c r="ED25" s="334">
        <v>9</v>
      </c>
      <c r="EE25" s="375">
        <v>10</v>
      </c>
      <c r="EF25" s="1163" t="s">
        <v>51</v>
      </c>
      <c r="EG25" s="767"/>
      <c r="EH25" s="767"/>
      <c r="EI25" s="767"/>
      <c r="EJ25" s="291">
        <f t="shared" si="11"/>
        <v>0</v>
      </c>
      <c r="EK25" s="291">
        <f t="shared" si="12"/>
        <v>0</v>
      </c>
      <c r="EL25" s="291">
        <f t="shared" si="13"/>
        <v>0</v>
      </c>
      <c r="EM25" s="291">
        <f t="shared" si="14"/>
        <v>0</v>
      </c>
      <c r="EN25" s="291">
        <f t="shared" si="15"/>
        <v>0</v>
      </c>
      <c r="EO25" s="1164" t="s">
        <v>53</v>
      </c>
      <c r="EP25" s="1165"/>
      <c r="EQ25" s="1165"/>
      <c r="ER25" s="1166"/>
      <c r="ES25" s="398"/>
      <c r="ET25" s="399"/>
      <c r="EU25" s="381"/>
      <c r="EV25" s="381"/>
      <c r="EW25" s="381"/>
      <c r="EX25" s="1118" t="s">
        <v>53</v>
      </c>
      <c r="EY25" s="964"/>
      <c r="EZ25" s="964"/>
      <c r="FA25" s="1119"/>
      <c r="FB25" s="503"/>
      <c r="FC25" s="504"/>
      <c r="FD25" s="504"/>
      <c r="FE25" s="504"/>
      <c r="FF25" s="505"/>
      <c r="FG25" s="1123" t="s">
        <v>53</v>
      </c>
      <c r="FH25" s="1114"/>
      <c r="FI25" s="1114"/>
      <c r="FJ25" s="1115"/>
      <c r="FK25" s="515"/>
      <c r="FL25" s="516"/>
      <c r="FM25" s="516"/>
      <c r="FN25" s="516"/>
      <c r="FO25" s="517"/>
      <c r="FP25" s="1118" t="s">
        <v>53</v>
      </c>
      <c r="FQ25" s="964"/>
      <c r="FR25" s="964"/>
      <c r="FS25" s="1119"/>
      <c r="FT25" s="503"/>
      <c r="FU25" s="504"/>
      <c r="FV25" s="504"/>
      <c r="FW25" s="504"/>
      <c r="FX25" s="505"/>
      <c r="FY25" s="1113" t="s">
        <v>53</v>
      </c>
      <c r="FZ25" s="1114"/>
      <c r="GA25" s="1114"/>
      <c r="GB25" s="1115"/>
      <c r="GC25" s="515"/>
      <c r="GD25" s="516"/>
      <c r="GE25" s="516"/>
      <c r="GF25" s="516"/>
      <c r="GG25" s="517"/>
      <c r="GK25" s="396" t="s">
        <v>53</v>
      </c>
      <c r="GL25" s="396">
        <f t="shared" si="8"/>
        <v>0</v>
      </c>
      <c r="GM25" s="396">
        <f>IF($GK25=Creation!$Q$28,1,0)</f>
        <v>0</v>
      </c>
      <c r="GN25" s="396">
        <f>IF($GK25=Creation!$Q$29,1,0)</f>
        <v>0</v>
      </c>
      <c r="GO25" s="396">
        <f>IF($GK25=Creation!$Q$30,1,0)</f>
        <v>0</v>
      </c>
      <c r="GP25" s="396">
        <f>IF($GK25=Creation!$Q$31,1,0)</f>
        <v>0</v>
      </c>
      <c r="GQ25" s="396">
        <f>IF($GK25=Creation!$Q$32,1,0)</f>
        <v>0</v>
      </c>
      <c r="GR25" s="396">
        <f>IF($GK25=Creation!$Q$33,1,0)</f>
        <v>0</v>
      </c>
    </row>
    <row r="26" spans="1:200" ht="15.75" thickBot="1" x14ac:dyDescent="0.3">
      <c r="A26" s="802"/>
      <c r="B26" s="803"/>
      <c r="C26" s="803"/>
      <c r="D26" s="803"/>
      <c r="E26" s="803"/>
      <c r="F26" s="301">
        <v>1</v>
      </c>
      <c r="G26" s="301">
        <v>1</v>
      </c>
      <c r="H26" s="301">
        <v>1</v>
      </c>
      <c r="I26" s="301">
        <v>1</v>
      </c>
      <c r="J26" s="301">
        <v>1</v>
      </c>
      <c r="K26" s="301">
        <f>IF(Creation!$O22+Creation!$O23&gt;J25,1,0)</f>
        <v>0</v>
      </c>
      <c r="L26" s="301">
        <f>IF(Creation!$O22+Creation!$O23&gt;K25,1,0)</f>
        <v>0</v>
      </c>
      <c r="M26" s="301">
        <f>IF(Creation!$O22+Creation!$O23&gt;L25,1,0)</f>
        <v>0</v>
      </c>
      <c r="N26" s="301">
        <f>IF(Creation!$O22+Creation!$O23&gt;M25,1,0)</f>
        <v>0</v>
      </c>
      <c r="O26" s="301">
        <f>IF(Creation!$O22+Creation!$O23&gt;N25,1,0)</f>
        <v>0</v>
      </c>
      <c r="P26" s="1163" t="s">
        <v>52</v>
      </c>
      <c r="Q26" s="767"/>
      <c r="R26" s="767"/>
      <c r="S26" s="767"/>
      <c r="T26" s="291">
        <f>IF(Creation!AC21+Creation!AF21&gt;0,1,0)</f>
        <v>0</v>
      </c>
      <c r="U26" s="291">
        <f>IF(Creation!AC21+Creation!AF21&gt;1,1,0)</f>
        <v>0</v>
      </c>
      <c r="V26" s="291">
        <f>IF(Creation!AC21+Creation!AF21&gt;2,1,0)</f>
        <v>0</v>
      </c>
      <c r="W26" s="291">
        <f>IF(Creation!AC21+Creation!AF21&gt;3,1,0)</f>
        <v>0</v>
      </c>
      <c r="X26" s="376">
        <f>IF(Creation!AC21+Creation!AF21&gt;4,1,0)</f>
        <v>0</v>
      </c>
      <c r="Y26" s="802"/>
      <c r="Z26" s="803"/>
      <c r="AA26" s="803"/>
      <c r="AB26" s="803"/>
      <c r="AC26" s="1170"/>
      <c r="AD26" s="377"/>
      <c r="AE26" s="378"/>
      <c r="AF26" s="378"/>
      <c r="AG26" s="378"/>
      <c r="AH26" s="378"/>
      <c r="AI26" s="379"/>
      <c r="AJ26" s="379"/>
      <c r="AK26" s="379"/>
      <c r="AL26" s="379"/>
      <c r="AM26" s="282"/>
      <c r="AN26" s="1163" t="s">
        <v>52</v>
      </c>
      <c r="AO26" s="767"/>
      <c r="AP26" s="767"/>
      <c r="AQ26" s="768"/>
      <c r="AR26" s="392"/>
      <c r="AS26" s="381"/>
      <c r="AT26" s="381"/>
      <c r="AU26" s="381"/>
      <c r="AV26" s="382"/>
      <c r="AW26" s="876"/>
      <c r="AX26" s="803"/>
      <c r="AY26" s="803"/>
      <c r="AZ26" s="803"/>
      <c r="BA26" s="1170"/>
      <c r="BB26" s="383"/>
      <c r="BC26" s="378"/>
      <c r="BD26" s="378"/>
      <c r="BE26" s="378"/>
      <c r="BF26" s="378"/>
      <c r="BG26" s="379"/>
      <c r="BH26" s="379"/>
      <c r="BI26" s="379"/>
      <c r="BJ26" s="379"/>
      <c r="BK26" s="282"/>
      <c r="BL26" s="1163" t="s">
        <v>52</v>
      </c>
      <c r="BM26" s="767"/>
      <c r="BN26" s="767"/>
      <c r="BO26" s="768"/>
      <c r="BP26" s="400"/>
      <c r="BQ26" s="381"/>
      <c r="BR26" s="381"/>
      <c r="BS26" s="381"/>
      <c r="BT26" s="382"/>
      <c r="BU26" s="876"/>
      <c r="BV26" s="803"/>
      <c r="BW26" s="803"/>
      <c r="BX26" s="803"/>
      <c r="BY26" s="803"/>
      <c r="BZ26" s="301">
        <v>0</v>
      </c>
      <c r="CA26" s="301">
        <v>0</v>
      </c>
      <c r="CB26" s="301">
        <v>0</v>
      </c>
      <c r="CC26" s="301">
        <v>0</v>
      </c>
      <c r="CD26" s="301">
        <v>0</v>
      </c>
      <c r="CE26" s="301">
        <f>IF(SUM($BZ26:CD26)=SUM(DemigodConversion!$W$30),0,IF(AND(DemigodConversion!$W$29+DemigodConversion!$W$30&gt;CD25,BG26=0,AI26=0,K26=0),1,0))</f>
        <v>0</v>
      </c>
      <c r="CF26" s="301">
        <f>IF(SUM($BZ26:CE26)=SUM(DemigodConversion!$W$30),0,IF(AND(DemigodConversion!$W$29+DemigodConversion!$W$30&gt;CE25,BH26=0,AJ26=0,L26=0),1,0))</f>
        <v>0</v>
      </c>
      <c r="CG26" s="301">
        <f>IF(SUM($BZ26:CF26)=SUM(DemigodConversion!$W$30),0,IF(AND(DemigodConversion!$W$29+DemigodConversion!$W$30&gt;CF25,BI26=0,AK26=0,M26=0),1,0))</f>
        <v>0</v>
      </c>
      <c r="CH26" s="301">
        <f>IF(SUM($BZ26:CG26)=SUM(DemigodConversion!$W$30),0,IF(AND(DemigodConversion!$W$29+DemigodConversion!$W$30&gt;CG25,BJ26=0,AL26=0,N26=0),1,0))</f>
        <v>0</v>
      </c>
      <c r="CI26" s="390">
        <f>IF(SUM($BZ26:CH26)=SUM(DemigodConversion!$W$30),0,IF(AND(DemigodConversion!$W$29+DemigodConversion!$W$30&gt;CH25,BK26=0,AM26=0,O26=0),1,0))</f>
        <v>0</v>
      </c>
      <c r="CJ26" s="1163" t="s">
        <v>52</v>
      </c>
      <c r="CK26" s="767"/>
      <c r="CL26" s="767"/>
      <c r="CM26" s="767"/>
      <c r="CN26" s="291">
        <f>IF(AND(T26=0,AR26=0,BP26=0,FB24=0,FK24=0,FT24=0,GC24=0,ES24=0,DemigodConversion!$AC21+DemigodConversion!$AF21&gt;0),1,0)</f>
        <v>0</v>
      </c>
      <c r="CO26" s="291">
        <f>IF(AND(U26=0,AS26=0,BQ26=0,FC24=0,FL24=0,FU24=0,GD24=0,ET24=0,DemigodConversion!$AC21+DemigodConversion!$AF21&gt;1),1,0)</f>
        <v>0</v>
      </c>
      <c r="CP26" s="291">
        <f>IF(AND(V26=0,AT26=0,BR26=0,FD24=0,FM24=0,FV24=0,GE24=0,EU24=0,DemigodConversion!$AC21+DemigodConversion!$AF21&gt;2),1,0)</f>
        <v>0</v>
      </c>
      <c r="CQ26" s="291">
        <f>IF(AND(W26=0,AU26=0,BS26=0,FE24=0,FN24=0,FW24=0,GF24=0,EV24=0,DemigodConversion!$AC21+DemigodConversion!$AF21&gt;3),1,0)</f>
        <v>0</v>
      </c>
      <c r="CR26" s="291">
        <f>IF(AND(X26=0,AV26=0,BT26=0,FF24=0,FO24=0,FX24=0,GG24=0,EW24=0,DemigodConversion!$AC21+DemigodConversion!$AF21&gt;4),1,0)</f>
        <v>0</v>
      </c>
      <c r="CS26" s="876"/>
      <c r="CT26" s="803"/>
      <c r="CU26" s="803"/>
      <c r="CV26" s="803"/>
      <c r="CW26" s="803"/>
      <c r="CX26" s="301">
        <v>0</v>
      </c>
      <c r="CY26" s="301">
        <v>0</v>
      </c>
      <c r="CZ26" s="301">
        <v>0</v>
      </c>
      <c r="DA26" s="301">
        <v>0</v>
      </c>
      <c r="DB26" s="301">
        <v>0</v>
      </c>
      <c r="DC26" s="301">
        <f>IF(AND(K26=0,AI26=0,BG26=0,CE26=0,DB25&lt;GodConversion!$W29+GodConversion!$W30),1,0)</f>
        <v>0</v>
      </c>
      <c r="DD26" s="301">
        <f>IF(AND(L26=0,AJ26=0,BH26=0,CF26=0,DC25&lt;GodConversion!$W29+GodConversion!$W30),1,0)</f>
        <v>0</v>
      </c>
      <c r="DE26" s="301">
        <f>IF(AND(M26=0,AK26=0,BI26=0,CG26=0,DD25&lt;GodConversion!$W29+GodConversion!$W30),1,0)</f>
        <v>0</v>
      </c>
      <c r="DF26" s="301">
        <f>IF(AND(N26=0,AL26=0,BJ26=0,CH26=0,DE25&lt;GodConversion!$W29+GodConversion!$W30),1,0)</f>
        <v>0</v>
      </c>
      <c r="DG26" s="302">
        <f>IF(AND(O26=0,AM26=0,BK26=0,CI26=0,DF25&lt;GodConversion!$W29+GodConversion!$W30),1,0)</f>
        <v>0</v>
      </c>
      <c r="DH26" s="1163" t="s">
        <v>52</v>
      </c>
      <c r="DI26" s="767"/>
      <c r="DJ26" s="767"/>
      <c r="DK26" s="767"/>
      <c r="DL26" s="291">
        <f>IF(AND(T26=0,AR26=0,BP26=0,ES24=0,FB24=0,FK24=0,FT24=0,GC24=0,CN26=0,0&lt;GodConversion!$AC21+GodConversion!$AF21),1,0)</f>
        <v>0</v>
      </c>
      <c r="DM26" s="291">
        <f>IF(AND(U26=0,AS26=0,BQ26=0,ET24=0,FC24=0,FL24=0,FU24=0,GD24=0,CO26=0,1&lt;GodConversion!$AC21+GodConversion!$AF21),1,0)</f>
        <v>0</v>
      </c>
      <c r="DN26" s="291">
        <f>IF(AND(V26=0,AT26=0,BR26=0,EU24=0,FD24=0,FM24=0,FV24=0,GE24=0,CP26=0,2&lt;GodConversion!$AC21+GodConversion!$AF21),1,0)</f>
        <v>0</v>
      </c>
      <c r="DO26" s="291">
        <f>IF(AND(W26=0,AU26=0,BS26=0,EV24=0,FE24=0,FN24=0,FW24=0,GF24=0,CQ26=0,3&lt;GodConversion!$AC21+GodConversion!$AF21),1,0)</f>
        <v>0</v>
      </c>
      <c r="DP26" s="291">
        <f>IF(AND(X26=0,AV26=0,BT26=0,EW24=0,FF24=0,FO24=0,FX24=0,GG24=0,CR26=0,4&lt;GodConversion!$AC21+GodConversion!$AF21),1,0)</f>
        <v>0</v>
      </c>
      <c r="DQ26" s="802"/>
      <c r="DR26" s="803"/>
      <c r="DS26" s="803"/>
      <c r="DT26" s="803"/>
      <c r="DU26" s="803"/>
      <c r="DV26" s="301">
        <v>0</v>
      </c>
      <c r="DW26" s="301">
        <v>0</v>
      </c>
      <c r="DX26" s="301">
        <v>0</v>
      </c>
      <c r="DY26" s="301">
        <v>0</v>
      </c>
      <c r="DZ26" s="301">
        <v>0</v>
      </c>
      <c r="EA26" s="301">
        <f>IF(AI26=1,DZ$25*2,0)</f>
        <v>0</v>
      </c>
      <c r="EB26" s="301">
        <f t="shared" ref="EB26:EE26" si="20">IF(AJ26=1,EA$25*2,0)</f>
        <v>0</v>
      </c>
      <c r="EC26" s="301">
        <f t="shared" si="20"/>
        <v>0</v>
      </c>
      <c r="ED26" s="301">
        <f t="shared" si="20"/>
        <v>0</v>
      </c>
      <c r="EE26" s="302">
        <f t="shared" si="20"/>
        <v>0</v>
      </c>
      <c r="EF26" s="1163" t="s">
        <v>52</v>
      </c>
      <c r="EG26" s="767"/>
      <c r="EH26" s="767"/>
      <c r="EI26" s="767"/>
      <c r="EJ26" s="291">
        <f t="shared" si="11"/>
        <v>0</v>
      </c>
      <c r="EK26" s="291">
        <f t="shared" si="12"/>
        <v>0</v>
      </c>
      <c r="EL26" s="291">
        <f t="shared" si="13"/>
        <v>0</v>
      </c>
      <c r="EM26" s="291">
        <f t="shared" si="14"/>
        <v>0</v>
      </c>
      <c r="EN26" s="291">
        <f t="shared" si="15"/>
        <v>0</v>
      </c>
      <c r="EO26" s="1164" t="s">
        <v>54</v>
      </c>
      <c r="EP26" s="1165"/>
      <c r="EQ26" s="1165"/>
      <c r="ER26" s="1166"/>
      <c r="ES26" s="398"/>
      <c r="ET26" s="399"/>
      <c r="EU26" s="381"/>
      <c r="EV26" s="381"/>
      <c r="EW26" s="381"/>
      <c r="EX26" s="1118" t="s">
        <v>54</v>
      </c>
      <c r="EY26" s="964"/>
      <c r="EZ26" s="964"/>
      <c r="FA26" s="1119"/>
      <c r="FB26" s="503"/>
      <c r="FC26" s="504"/>
      <c r="FD26" s="504"/>
      <c r="FE26" s="504"/>
      <c r="FF26" s="505"/>
      <c r="FG26" s="1123" t="s">
        <v>54</v>
      </c>
      <c r="FH26" s="1114"/>
      <c r="FI26" s="1114"/>
      <c r="FJ26" s="1115"/>
      <c r="FK26" s="515"/>
      <c r="FL26" s="516"/>
      <c r="FM26" s="516"/>
      <c r="FN26" s="516"/>
      <c r="FO26" s="517"/>
      <c r="FP26" s="1118" t="s">
        <v>54</v>
      </c>
      <c r="FQ26" s="964"/>
      <c r="FR26" s="964"/>
      <c r="FS26" s="1119"/>
      <c r="FT26" s="503"/>
      <c r="FU26" s="504"/>
      <c r="FV26" s="504"/>
      <c r="FW26" s="504"/>
      <c r="FX26" s="505"/>
      <c r="FY26" s="1113" t="s">
        <v>54</v>
      </c>
      <c r="FZ26" s="1114"/>
      <c r="GA26" s="1114"/>
      <c r="GB26" s="1115"/>
      <c r="GC26" s="515"/>
      <c r="GD26" s="516"/>
      <c r="GE26" s="516"/>
      <c r="GF26" s="516"/>
      <c r="GG26" s="517"/>
      <c r="GK26" s="396" t="s">
        <v>54</v>
      </c>
      <c r="GL26" s="396">
        <f t="shared" si="8"/>
        <v>0</v>
      </c>
      <c r="GM26" s="396">
        <f>IF($GK26=Creation!$Q$28,1,0)</f>
        <v>0</v>
      </c>
      <c r="GN26" s="396">
        <f>IF($GK26=Creation!$Q$29,1,0)</f>
        <v>0</v>
      </c>
      <c r="GO26" s="396">
        <f>IF($GK26=Creation!$Q$30,1,0)</f>
        <v>0</v>
      </c>
      <c r="GP26" s="396">
        <f>IF($GK26=Creation!$Q$31,1,0)</f>
        <v>0</v>
      </c>
      <c r="GQ26" s="396">
        <f>IF($GK26=Creation!$Q$32,1,0)</f>
        <v>0</v>
      </c>
      <c r="GR26" s="396">
        <f>IF($GK26=Creation!$Q$33,1,0)</f>
        <v>0</v>
      </c>
    </row>
    <row r="27" spans="1:200" ht="15.75" customHeight="1" x14ac:dyDescent="0.25">
      <c r="A27" s="733"/>
      <c r="B27" s="733"/>
      <c r="C27" s="733"/>
      <c r="D27" s="733"/>
      <c r="E27" s="733"/>
      <c r="F27" s="733"/>
      <c r="G27" s="733"/>
      <c r="H27" s="733"/>
      <c r="I27" s="733"/>
      <c r="J27" s="733"/>
      <c r="K27" s="733"/>
      <c r="L27" s="733"/>
      <c r="M27" s="733"/>
      <c r="N27" s="733"/>
      <c r="O27" s="733"/>
      <c r="P27" s="1163" t="s">
        <v>53</v>
      </c>
      <c r="Q27" s="767"/>
      <c r="R27" s="767"/>
      <c r="S27" s="767"/>
      <c r="T27" s="291">
        <f>IF(Creation!AC22+Creation!AF22&gt;0,1,0)</f>
        <v>0</v>
      </c>
      <c r="U27" s="291">
        <f>IF(Creation!AC22+Creation!AF22&gt;1,1,0)</f>
        <v>0</v>
      </c>
      <c r="V27" s="291">
        <f>IF(Creation!AC22+Creation!AF22&gt;2,1,0)</f>
        <v>0</v>
      </c>
      <c r="W27" s="291">
        <f>IF(Creation!AC22+Creation!AF22&gt;3,1,0)</f>
        <v>0</v>
      </c>
      <c r="X27" s="376">
        <f>IF(Creation!AC22+Creation!AF22&gt;4,1,0)</f>
        <v>0</v>
      </c>
      <c r="Y27" s="1167" t="s">
        <v>1767</v>
      </c>
      <c r="Z27" s="1168"/>
      <c r="AA27" s="1168"/>
      <c r="AB27" s="1168"/>
      <c r="AC27" s="1169"/>
      <c r="AD27" s="1171"/>
      <c r="AE27" s="1172"/>
      <c r="AF27" s="771"/>
      <c r="AG27" s="771"/>
      <c r="AH27" s="771"/>
      <c r="AI27" s="771"/>
      <c r="AJ27" s="771"/>
      <c r="AK27" s="771"/>
      <c r="AL27" s="771"/>
      <c r="AM27" s="771"/>
      <c r="AN27" s="1163" t="s">
        <v>53</v>
      </c>
      <c r="AO27" s="767"/>
      <c r="AP27" s="767"/>
      <c r="AQ27" s="768"/>
      <c r="AR27" s="392"/>
      <c r="AS27" s="381"/>
      <c r="AT27" s="381"/>
      <c r="AU27" s="381"/>
      <c r="AV27" s="382"/>
      <c r="AW27" s="1167" t="s">
        <v>1767</v>
      </c>
      <c r="AX27" s="1168"/>
      <c r="AY27" s="1168"/>
      <c r="AZ27" s="1168"/>
      <c r="BA27" s="1169"/>
      <c r="BB27" s="1171"/>
      <c r="BC27" s="1172"/>
      <c r="BD27" s="1109"/>
      <c r="BE27" s="1110"/>
      <c r="BF27" s="1110"/>
      <c r="BG27" s="1110"/>
      <c r="BH27" s="1110"/>
      <c r="BI27" s="1110"/>
      <c r="BJ27" s="1110"/>
      <c r="BK27" s="1111"/>
      <c r="BL27" s="1163" t="s">
        <v>53</v>
      </c>
      <c r="BM27" s="767"/>
      <c r="BN27" s="767"/>
      <c r="BO27" s="768"/>
      <c r="BP27" s="400"/>
      <c r="BQ27" s="381"/>
      <c r="BR27" s="381"/>
      <c r="BS27" s="381"/>
      <c r="BT27" s="382"/>
      <c r="BU27" s="754"/>
      <c r="BV27" s="754"/>
      <c r="BW27" s="754"/>
      <c r="BX27" s="754"/>
      <c r="BY27" s="754"/>
      <c r="BZ27" s="754"/>
      <c r="CA27" s="754"/>
      <c r="CB27" s="754"/>
      <c r="CC27" s="754"/>
      <c r="CD27" s="754"/>
      <c r="CE27" s="754"/>
      <c r="CF27" s="754"/>
      <c r="CG27" s="754"/>
      <c r="CH27" s="754"/>
      <c r="CI27" s="754"/>
      <c r="CJ27" s="1163" t="s">
        <v>53</v>
      </c>
      <c r="CK27" s="767"/>
      <c r="CL27" s="767"/>
      <c r="CM27" s="767"/>
      <c r="CN27" s="291">
        <f>IF(AND(T27=0,AR27=0,BP27=0,FB25=0,FK25=0,FT25=0,GC25=0,ES25=0,DemigodConversion!$AC22+DemigodConversion!$AF22&gt;0),1,0)</f>
        <v>0</v>
      </c>
      <c r="CO27" s="291">
        <f>IF(AND(U27=0,AS27=0,BQ27=0,FC25=0,FL25=0,FU25=0,GD25=0,ET25=0,DemigodConversion!$AC22+DemigodConversion!$AF22&gt;1),1,0)</f>
        <v>0</v>
      </c>
      <c r="CP27" s="291">
        <f>IF(AND(V27=0,AT27=0,BR27=0,FD25=0,FM25=0,FV25=0,GE25=0,EU25=0,DemigodConversion!$AC22+DemigodConversion!$AF22&gt;2),1,0)</f>
        <v>0</v>
      </c>
      <c r="CQ27" s="291">
        <f>IF(AND(W27=0,AU27=0,BS27=0,FE25=0,FN25=0,FW25=0,GF25=0,EV25=0,DemigodConversion!$AC22+DemigodConversion!$AF22&gt;3),1,0)</f>
        <v>0</v>
      </c>
      <c r="CR27" s="291">
        <f>IF(AND(X27=0,AV27=0,BT27=0,FF25=0,FO25=0,FX25=0,GG25=0,EW25=0,DemigodConversion!$AC22+DemigodConversion!$AF22&gt;4),1,0)</f>
        <v>0</v>
      </c>
      <c r="CS27" s="733"/>
      <c r="CT27" s="733"/>
      <c r="CU27" s="733"/>
      <c r="CV27" s="733"/>
      <c r="CW27" s="733"/>
      <c r="CX27" s="733"/>
      <c r="CY27" s="733"/>
      <c r="CZ27" s="733"/>
      <c r="DA27" s="733"/>
      <c r="DB27" s="733"/>
      <c r="DC27" s="733"/>
      <c r="DD27" s="733"/>
      <c r="DE27" s="733"/>
      <c r="DF27" s="733"/>
      <c r="DG27" s="733"/>
      <c r="DH27" s="1163" t="s">
        <v>53</v>
      </c>
      <c r="DI27" s="767"/>
      <c r="DJ27" s="767"/>
      <c r="DK27" s="767"/>
      <c r="DL27" s="291">
        <f>IF(AND(T27=0,AR27=0,BP27=0,ES25=0,FB25=0,FK25=0,FT25=0,GC25=0,CN27=0,0&lt;GodConversion!$AC22+GodConversion!$AF22),1,0)</f>
        <v>0</v>
      </c>
      <c r="DM27" s="291">
        <f>IF(AND(U27=0,AS27=0,BQ27=0,ET25=0,FC25=0,FL25=0,FU25=0,GD25=0,CO27=0,1&lt;GodConversion!$AC22+GodConversion!$AF22),1,0)</f>
        <v>0</v>
      </c>
      <c r="DN27" s="291">
        <f>IF(AND(V27=0,AT27=0,BR27=0,EU25=0,FD25=0,FM25=0,FV25=0,GE25=0,CP27=0,2&lt;GodConversion!$AC22+GodConversion!$AF22),1,0)</f>
        <v>0</v>
      </c>
      <c r="DO27" s="291">
        <f>IF(AND(W27=0,AU27=0,BS27=0,EV25=0,FE25=0,FN25=0,FW25=0,GF25=0,CQ27=0,3&lt;GodConversion!$AC22+GodConversion!$AF22),1,0)</f>
        <v>0</v>
      </c>
      <c r="DP27" s="291">
        <f>IF(AND(X27=0,AV27=0,BT27=0,EW25=0,FF25=0,FO25=0,FX25=0,GG25=0,CR27=0,4&lt;GodConversion!$AC22+GodConversion!$AF22),1,0)</f>
        <v>0</v>
      </c>
      <c r="DQ27" s="721" t="s">
        <v>439</v>
      </c>
      <c r="DR27" s="722"/>
      <c r="DS27" s="722"/>
      <c r="DT27" s="722"/>
      <c r="DU27" s="722"/>
      <c r="DV27" s="743" t="s">
        <v>81</v>
      </c>
      <c r="DW27" s="743"/>
      <c r="DX27" s="743"/>
      <c r="DY27" s="743" t="s">
        <v>33</v>
      </c>
      <c r="DZ27" s="895"/>
      <c r="EA27" s="771"/>
      <c r="EB27" s="771"/>
      <c r="EC27" s="771"/>
      <c r="ED27" s="771"/>
      <c r="EE27" s="771"/>
      <c r="EF27" s="1163" t="s">
        <v>53</v>
      </c>
      <c r="EG27" s="767"/>
      <c r="EH27" s="767"/>
      <c r="EI27" s="767"/>
      <c r="EJ27" s="291">
        <f t="shared" si="11"/>
        <v>0</v>
      </c>
      <c r="EK27" s="291">
        <f t="shared" si="12"/>
        <v>0</v>
      </c>
      <c r="EL27" s="291">
        <f t="shared" si="13"/>
        <v>0</v>
      </c>
      <c r="EM27" s="291">
        <f t="shared" si="14"/>
        <v>0</v>
      </c>
      <c r="EN27" s="291">
        <f t="shared" si="15"/>
        <v>0</v>
      </c>
      <c r="EO27" s="740" t="str">
        <f>CharacterSheet!$Q$51</f>
        <v>Special</v>
      </c>
      <c r="EP27" s="671"/>
      <c r="EQ27" s="671"/>
      <c r="ER27" s="692"/>
      <c r="ES27" s="392"/>
      <c r="ET27" s="381"/>
      <c r="EU27" s="381"/>
      <c r="EV27" s="381"/>
      <c r="EW27" s="381"/>
      <c r="EX27" s="1120" t="str">
        <f>CharacterSheet!$Q$51</f>
        <v>Special</v>
      </c>
      <c r="EY27" s="972"/>
      <c r="EZ27" s="972"/>
      <c r="FA27" s="1121"/>
      <c r="FB27" s="503"/>
      <c r="FC27" s="504"/>
      <c r="FD27" s="504"/>
      <c r="FE27" s="504"/>
      <c r="FF27" s="505"/>
      <c r="FG27" s="1122" t="str">
        <f>CharacterSheet!$Q$51</f>
        <v>Special</v>
      </c>
      <c r="FH27" s="788"/>
      <c r="FI27" s="788"/>
      <c r="FJ27" s="789"/>
      <c r="FK27" s="515"/>
      <c r="FL27" s="516"/>
      <c r="FM27" s="516"/>
      <c r="FN27" s="516"/>
      <c r="FO27" s="517"/>
      <c r="FP27" s="1120" t="str">
        <f>CharacterSheet!$Q$51</f>
        <v>Special</v>
      </c>
      <c r="FQ27" s="972"/>
      <c r="FR27" s="972"/>
      <c r="FS27" s="1121"/>
      <c r="FT27" s="503"/>
      <c r="FU27" s="504"/>
      <c r="FV27" s="504"/>
      <c r="FW27" s="504"/>
      <c r="FX27" s="505"/>
      <c r="FY27" s="1116" t="str">
        <f>CharacterSheet!$Q$51</f>
        <v>Special</v>
      </c>
      <c r="FZ27" s="788"/>
      <c r="GA27" s="788"/>
      <c r="GB27" s="789"/>
      <c r="GC27" s="515"/>
      <c r="GD27" s="516"/>
      <c r="GE27" s="516"/>
      <c r="GF27" s="516"/>
      <c r="GG27" s="517"/>
      <c r="GK27" s="389" t="s">
        <v>55</v>
      </c>
      <c r="GL27" s="396">
        <f t="shared" si="8"/>
        <v>0</v>
      </c>
      <c r="GM27" s="396">
        <f>IF($GK27=Creation!$Q$28,1,0)</f>
        <v>0</v>
      </c>
      <c r="GN27" s="396">
        <f>IF($GK27=Creation!$Q$29,1,0)</f>
        <v>0</v>
      </c>
      <c r="GO27" s="396">
        <f>IF($GK27=Creation!$Q$30,1,0)</f>
        <v>0</v>
      </c>
      <c r="GP27" s="396">
        <f>IF($GK27=Creation!$Q$31,1,0)</f>
        <v>0</v>
      </c>
      <c r="GQ27" s="396">
        <f>IF($GK27=Creation!$Q$32,1,0)</f>
        <v>0</v>
      </c>
      <c r="GR27" s="396">
        <f>IF($GK27=Creation!$Q$33,1,0)</f>
        <v>0</v>
      </c>
    </row>
    <row r="28" spans="1:200" ht="15.75" customHeight="1" thickBot="1" x14ac:dyDescent="0.3">
      <c r="A28" s="733"/>
      <c r="B28" s="733"/>
      <c r="C28" s="733"/>
      <c r="D28" s="733"/>
      <c r="E28" s="733"/>
      <c r="F28" s="733"/>
      <c r="G28" s="733"/>
      <c r="H28" s="733"/>
      <c r="I28" s="733"/>
      <c r="J28" s="733"/>
      <c r="K28" s="733"/>
      <c r="L28" s="733"/>
      <c r="M28" s="733"/>
      <c r="N28" s="733"/>
      <c r="O28" s="733"/>
      <c r="P28" s="1163" t="s">
        <v>54</v>
      </c>
      <c r="Q28" s="767"/>
      <c r="R28" s="767"/>
      <c r="S28" s="767"/>
      <c r="T28" s="291">
        <f>IF(Creation!AC23+Creation!AF23&gt;0,1,0)</f>
        <v>0</v>
      </c>
      <c r="U28" s="291">
        <f>IF(Creation!AC23+Creation!AF23&gt;1,1,0)</f>
        <v>0</v>
      </c>
      <c r="V28" s="291">
        <f>IF(Creation!AC23+Creation!AF23&gt;2,1,0)</f>
        <v>0</v>
      </c>
      <c r="W28" s="291">
        <f>IF(Creation!AC23+Creation!AF23&gt;3,1,0)</f>
        <v>0</v>
      </c>
      <c r="X28" s="376">
        <f>IF(Creation!AC23+Creation!AF23&gt;4,1,0)</f>
        <v>0</v>
      </c>
      <c r="Y28" s="802"/>
      <c r="Z28" s="803"/>
      <c r="AA28" s="803"/>
      <c r="AB28" s="803"/>
      <c r="AC28" s="1170"/>
      <c r="AD28" s="1173"/>
      <c r="AE28" s="1174"/>
      <c r="AF28" s="687"/>
      <c r="AG28" s="687"/>
      <c r="AH28" s="687"/>
      <c r="AI28" s="687"/>
      <c r="AJ28" s="687"/>
      <c r="AK28" s="687"/>
      <c r="AL28" s="687"/>
      <c r="AM28" s="771"/>
      <c r="AN28" s="1163" t="s">
        <v>54</v>
      </c>
      <c r="AO28" s="767"/>
      <c r="AP28" s="767"/>
      <c r="AQ28" s="768"/>
      <c r="AR28" s="392"/>
      <c r="AS28" s="381"/>
      <c r="AT28" s="381"/>
      <c r="AU28" s="381"/>
      <c r="AV28" s="382"/>
      <c r="AW28" s="802"/>
      <c r="AX28" s="803"/>
      <c r="AY28" s="803"/>
      <c r="AZ28" s="803"/>
      <c r="BA28" s="1170"/>
      <c r="BB28" s="1173"/>
      <c r="BC28" s="1174"/>
      <c r="BD28" s="1105"/>
      <c r="BE28" s="1106"/>
      <c r="BF28" s="1106"/>
      <c r="BG28" s="1106"/>
      <c r="BH28" s="1106"/>
      <c r="BI28" s="1106"/>
      <c r="BJ28" s="1106"/>
      <c r="BK28" s="1112"/>
      <c r="BL28" s="1163" t="s">
        <v>54</v>
      </c>
      <c r="BM28" s="767"/>
      <c r="BN28" s="767"/>
      <c r="BO28" s="768"/>
      <c r="BP28" s="400"/>
      <c r="BQ28" s="381"/>
      <c r="BR28" s="381"/>
      <c r="BS28" s="381"/>
      <c r="BT28" s="382"/>
      <c r="BU28" s="754"/>
      <c r="BV28" s="754"/>
      <c r="BW28" s="754"/>
      <c r="BX28" s="754"/>
      <c r="BY28" s="754"/>
      <c r="BZ28" s="754"/>
      <c r="CA28" s="754"/>
      <c r="CB28" s="754"/>
      <c r="CC28" s="754"/>
      <c r="CD28" s="754"/>
      <c r="CE28" s="754"/>
      <c r="CF28" s="754"/>
      <c r="CG28" s="754"/>
      <c r="CH28" s="754"/>
      <c r="CI28" s="754"/>
      <c r="CJ28" s="1163" t="s">
        <v>54</v>
      </c>
      <c r="CK28" s="767"/>
      <c r="CL28" s="767"/>
      <c r="CM28" s="767"/>
      <c r="CN28" s="291">
        <f>IF(AND(T28=0,AR28=0,BP28=0,FB26=0,FK26=0,FT26=0,GC26=0,ES26=0,DemigodConversion!$AC23+DemigodConversion!$AF23&gt;0),1,0)</f>
        <v>0</v>
      </c>
      <c r="CO28" s="291">
        <f>IF(AND(U28=0,AS28=0,BQ28=0,FC26=0,FL26=0,FU26=0,GD26=0,ET26=0,DemigodConversion!$AC23+DemigodConversion!$AF23&gt;1),1,0)</f>
        <v>0</v>
      </c>
      <c r="CP28" s="291">
        <f>IF(AND(V28=0,AT28=0,BR28=0,FD26=0,FM26=0,FV26=0,GE26=0,EU26=0,DemigodConversion!$AC23+DemigodConversion!$AF23&gt;2),1,0)</f>
        <v>0</v>
      </c>
      <c r="CQ28" s="291">
        <f>IF(AND(W28=0,AU28=0,BS28=0,FE26=0,FN26=0,FW26=0,GF26=0,EV26=0,DemigodConversion!$AC23+DemigodConversion!$AF23&gt;3),1,0)</f>
        <v>0</v>
      </c>
      <c r="CR28" s="291">
        <f>IF(AND(X28=0,AV28=0,BT28=0,FF26=0,FO26=0,FX26=0,GG26=0,EW26=0,DemigodConversion!$AC23+DemigodConversion!$AF23&gt;4),1,0)</f>
        <v>0</v>
      </c>
      <c r="CS28" s="733"/>
      <c r="CT28" s="733"/>
      <c r="CU28" s="733"/>
      <c r="CV28" s="733"/>
      <c r="CW28" s="733"/>
      <c r="CX28" s="733"/>
      <c r="CY28" s="733"/>
      <c r="CZ28" s="733"/>
      <c r="DA28" s="733"/>
      <c r="DB28" s="733"/>
      <c r="DC28" s="733"/>
      <c r="DD28" s="733"/>
      <c r="DE28" s="733"/>
      <c r="DF28" s="733"/>
      <c r="DG28" s="733"/>
      <c r="DH28" s="1163" t="s">
        <v>54</v>
      </c>
      <c r="DI28" s="767"/>
      <c r="DJ28" s="767"/>
      <c r="DK28" s="767"/>
      <c r="DL28" s="291">
        <f>IF(AND(T28=0,AR28=0,BP28=0,ES26=0,FB26=0,FK26=0,FT26=0,GC26=0,CN28=0,0&lt;GodConversion!$AC23+GodConversion!$AF23),1,0)</f>
        <v>0</v>
      </c>
      <c r="DM28" s="291">
        <f>IF(AND(U28=0,AS28=0,BQ28=0,ET26=0,FC26=0,FL26=0,FU26=0,GD26=0,CO28=0,1&lt;GodConversion!$AC23+GodConversion!$AF23),1,0)</f>
        <v>0</v>
      </c>
      <c r="DN28" s="291">
        <f>IF(AND(V28=0,AT28=0,BR28=0,EU26=0,FD26=0,FM26=0,FV26=0,GE26=0,CP28=0,2&lt;GodConversion!$AC23+GodConversion!$AF23),1,0)</f>
        <v>0</v>
      </c>
      <c r="DO28" s="291">
        <f>IF(AND(W28=0,AU28=0,BS28=0,EV26=0,FE26=0,FN26=0,FW26=0,GF26=0,CQ28=0,3&lt;GodConversion!$AC23+GodConversion!$AF23),1,0)</f>
        <v>0</v>
      </c>
      <c r="DP28" s="291">
        <f>IF(AND(X28=0,AV28=0,BT28=0,EW26=0,FF26=0,FO26=0,FX26=0,GG26=0,CR28=0,4&lt;GodConversion!$AC23+GodConversion!$AF23),1,0)</f>
        <v>0</v>
      </c>
      <c r="DQ28" s="802"/>
      <c r="DR28" s="803"/>
      <c r="DS28" s="803"/>
      <c r="DT28" s="803"/>
      <c r="DU28" s="803"/>
      <c r="DV28" s="712"/>
      <c r="DW28" s="712"/>
      <c r="DX28" s="712"/>
      <c r="DY28" s="712">
        <f>DV28*5</f>
        <v>0</v>
      </c>
      <c r="DZ28" s="720"/>
      <c r="EA28" s="771"/>
      <c r="EB28" s="771"/>
      <c r="EC28" s="771"/>
      <c r="ED28" s="771"/>
      <c r="EE28" s="771"/>
      <c r="EF28" s="1163" t="s">
        <v>54</v>
      </c>
      <c r="EG28" s="767"/>
      <c r="EH28" s="767"/>
      <c r="EI28" s="767"/>
      <c r="EJ28" s="291">
        <f t="shared" si="11"/>
        <v>0</v>
      </c>
      <c r="EK28" s="291">
        <f t="shared" si="12"/>
        <v>0</v>
      </c>
      <c r="EL28" s="291">
        <f t="shared" si="13"/>
        <v>0</v>
      </c>
      <c r="EM28" s="291">
        <f t="shared" si="14"/>
        <v>0</v>
      </c>
      <c r="EN28" s="291">
        <f t="shared" si="15"/>
        <v>0</v>
      </c>
      <c r="EO28" s="740" t="str">
        <f>CharacterSheet!$Q$52</f>
        <v>Special</v>
      </c>
      <c r="EP28" s="671"/>
      <c r="EQ28" s="671"/>
      <c r="ER28" s="692"/>
      <c r="ES28" s="392"/>
      <c r="ET28" s="381"/>
      <c r="EU28" s="381"/>
      <c r="EV28" s="381"/>
      <c r="EW28" s="381"/>
      <c r="EX28" s="1120" t="str">
        <f>CharacterSheet!$Q$52</f>
        <v>Special</v>
      </c>
      <c r="EY28" s="972"/>
      <c r="EZ28" s="972"/>
      <c r="FA28" s="1121"/>
      <c r="FB28" s="503"/>
      <c r="FC28" s="504"/>
      <c r="FD28" s="504"/>
      <c r="FE28" s="504"/>
      <c r="FF28" s="505"/>
      <c r="FG28" s="1122" t="str">
        <f>CharacterSheet!$Q$52</f>
        <v>Special</v>
      </c>
      <c r="FH28" s="788"/>
      <c r="FI28" s="788"/>
      <c r="FJ28" s="789"/>
      <c r="FK28" s="515"/>
      <c r="FL28" s="516"/>
      <c r="FM28" s="516"/>
      <c r="FN28" s="516"/>
      <c r="FO28" s="517"/>
      <c r="FP28" s="1120" t="str">
        <f>CharacterSheet!$Q$52</f>
        <v>Special</v>
      </c>
      <c r="FQ28" s="972"/>
      <c r="FR28" s="972"/>
      <c r="FS28" s="1121"/>
      <c r="FT28" s="503"/>
      <c r="FU28" s="504"/>
      <c r="FV28" s="504"/>
      <c r="FW28" s="504"/>
      <c r="FX28" s="505"/>
      <c r="FY28" s="1116" t="str">
        <f>CharacterSheet!$Q$52</f>
        <v>Special</v>
      </c>
      <c r="FZ28" s="788"/>
      <c r="GA28" s="788"/>
      <c r="GB28" s="789"/>
      <c r="GC28" s="515"/>
      <c r="GD28" s="516"/>
      <c r="GE28" s="516"/>
      <c r="GF28" s="516"/>
      <c r="GG28" s="517"/>
      <c r="GK28" s="389" t="s">
        <v>56</v>
      </c>
      <c r="GL28" s="396">
        <f t="shared" si="8"/>
        <v>0</v>
      </c>
      <c r="GM28" s="396">
        <f>IF($GK28=Creation!$Q$28,1,0)</f>
        <v>0</v>
      </c>
      <c r="GN28" s="396">
        <f>IF($GK28=Creation!$Q$29,1,0)</f>
        <v>0</v>
      </c>
      <c r="GO28" s="396">
        <f>IF($GK28=Creation!$Q$30,1,0)</f>
        <v>0</v>
      </c>
      <c r="GP28" s="396">
        <f>IF($GK28=Creation!$Q$31,1,0)</f>
        <v>0</v>
      </c>
      <c r="GQ28" s="396">
        <f>IF($GK28=Creation!$Q$32,1,0)</f>
        <v>0</v>
      </c>
      <c r="GR28" s="396">
        <f>IF($GK28=Creation!$Q$33,1,0)</f>
        <v>0</v>
      </c>
    </row>
    <row r="29" spans="1:200" ht="15" customHeight="1" x14ac:dyDescent="0.25">
      <c r="A29" s="733"/>
      <c r="B29" s="733"/>
      <c r="C29" s="733"/>
      <c r="D29" s="733"/>
      <c r="E29" s="733"/>
      <c r="F29" s="733"/>
      <c r="G29" s="733"/>
      <c r="H29" s="733"/>
      <c r="I29" s="733"/>
      <c r="J29" s="733"/>
      <c r="K29" s="733"/>
      <c r="L29" s="733"/>
      <c r="M29" s="733"/>
      <c r="N29" s="733"/>
      <c r="O29" s="733"/>
      <c r="P29" s="740" t="str">
        <f>CharacterSheet!$Q$51</f>
        <v>Special</v>
      </c>
      <c r="Q29" s="671"/>
      <c r="R29" s="671"/>
      <c r="S29" s="671"/>
      <c r="T29" s="291">
        <f>IF(Creation!AC24+Creation!AF24&gt;0,1,0)</f>
        <v>0</v>
      </c>
      <c r="U29" s="291">
        <f>IF(Creation!AC24+Creation!AF24&gt;1,1,0)</f>
        <v>0</v>
      </c>
      <c r="V29" s="291">
        <f>IF(Creation!AC24+Creation!AF24&gt;2,1,0)</f>
        <v>0</v>
      </c>
      <c r="W29" s="291">
        <f>IF(Creation!AC24+Creation!AF24&gt;3,1,0)</f>
        <v>0</v>
      </c>
      <c r="X29" s="376">
        <f>IF(Creation!AC24+Creation!AF24&gt;4,1,0)</f>
        <v>0</v>
      </c>
      <c r="Y29" s="685"/>
      <c r="Z29" s="685"/>
      <c r="AA29" s="685"/>
      <c r="AB29" s="685"/>
      <c r="AC29" s="685"/>
      <c r="AD29" s="685"/>
      <c r="AE29" s="685"/>
      <c r="AF29" s="687"/>
      <c r="AG29" s="687"/>
      <c r="AH29" s="687"/>
      <c r="AI29" s="687"/>
      <c r="AJ29" s="687"/>
      <c r="AK29" s="687"/>
      <c r="AL29" s="687"/>
      <c r="AM29" s="771"/>
      <c r="AN29" s="740" t="str">
        <f>CharacterSheet!$Q$51</f>
        <v>Special</v>
      </c>
      <c r="AO29" s="671"/>
      <c r="AP29" s="671"/>
      <c r="AQ29" s="692"/>
      <c r="AR29" s="392"/>
      <c r="AS29" s="381"/>
      <c r="AT29" s="381"/>
      <c r="AU29" s="381"/>
      <c r="AV29" s="382"/>
      <c r="AW29" s="1105" t="s">
        <v>937</v>
      </c>
      <c r="AX29" s="1106"/>
      <c r="AY29" s="1106"/>
      <c r="AZ29" s="1106"/>
      <c r="BA29" s="1106"/>
      <c r="BB29" s="1106"/>
      <c r="BC29" s="1106"/>
      <c r="BD29" s="1106"/>
      <c r="BE29" s="1106"/>
      <c r="BF29" s="1106"/>
      <c r="BG29" s="1106"/>
      <c r="BH29" s="1106"/>
      <c r="BI29" s="1106"/>
      <c r="BJ29" s="1106"/>
      <c r="BK29" s="1106"/>
      <c r="BL29" s="740" t="str">
        <f>CharacterSheet!$Q$51</f>
        <v>Special</v>
      </c>
      <c r="BM29" s="671"/>
      <c r="BN29" s="671"/>
      <c r="BO29" s="692"/>
      <c r="BP29" s="400"/>
      <c r="BQ29" s="381"/>
      <c r="BR29" s="381"/>
      <c r="BS29" s="381"/>
      <c r="BT29" s="382"/>
      <c r="BU29" s="754"/>
      <c r="BV29" s="754"/>
      <c r="BW29" s="754"/>
      <c r="BX29" s="754"/>
      <c r="BY29" s="754"/>
      <c r="BZ29" s="754"/>
      <c r="CA29" s="754"/>
      <c r="CB29" s="754"/>
      <c r="CC29" s="754"/>
      <c r="CD29" s="754"/>
      <c r="CE29" s="754"/>
      <c r="CF29" s="754"/>
      <c r="CG29" s="754"/>
      <c r="CH29" s="754"/>
      <c r="CI29" s="754"/>
      <c r="CJ29" s="740" t="str">
        <f>CharacterSheet!$Q$51</f>
        <v>Special</v>
      </c>
      <c r="CK29" s="671"/>
      <c r="CL29" s="671"/>
      <c r="CM29" s="671"/>
      <c r="CN29" s="291">
        <f>IF(AND(T29=0,AR29=0,BP29=0,FB27=0,FK27=0,FT27=0,GC27=0,ES27=0,DemigodConversion!$AC24+DemigodConversion!$AF24&gt;0),1,0)</f>
        <v>0</v>
      </c>
      <c r="CO29" s="291">
        <f>IF(AND(U29=0,AS29=0,BQ29=0,FC27=0,FL27=0,FU27=0,GD27=0,ET27=0,DemigodConversion!$AC24+DemigodConversion!$AF24&gt;1),1,0)</f>
        <v>0</v>
      </c>
      <c r="CP29" s="291">
        <f>IF(AND(V29=0,AT29=0,BR29=0,FD27=0,FM27=0,FV27=0,GE27=0,EU27=0,DemigodConversion!$AC24+DemigodConversion!$AF24&gt;2),1,0)</f>
        <v>0</v>
      </c>
      <c r="CQ29" s="291">
        <f>IF(AND(W29=0,AU29=0,BS29=0,FE27=0,FN27=0,FW27=0,GF27=0,EV27=0,DemigodConversion!$AC24+DemigodConversion!$AF24&gt;3),1,0)</f>
        <v>0</v>
      </c>
      <c r="CR29" s="291">
        <f>IF(AND(X29=0,AV29=0,BT29=0,FF27=0,FO27=0,FX27=0,GG27=0,EW27=0,DemigodConversion!$AC24+DemigodConversion!$AF24&gt;4),1,0)</f>
        <v>0</v>
      </c>
      <c r="CS29" s="733"/>
      <c r="CT29" s="733"/>
      <c r="CU29" s="733"/>
      <c r="CV29" s="733"/>
      <c r="CW29" s="733"/>
      <c r="CX29" s="733"/>
      <c r="CY29" s="733"/>
      <c r="CZ29" s="733"/>
      <c r="DA29" s="733"/>
      <c r="DB29" s="733"/>
      <c r="DC29" s="733"/>
      <c r="DD29" s="733"/>
      <c r="DE29" s="733"/>
      <c r="DF29" s="733"/>
      <c r="DG29" s="733"/>
      <c r="DH29" s="740" t="str">
        <f>CharacterSheet!$Q$51</f>
        <v>Special</v>
      </c>
      <c r="DI29" s="671"/>
      <c r="DJ29" s="671"/>
      <c r="DK29" s="671"/>
      <c r="DL29" s="291">
        <f>IF(AND(T29=0,AR29=0,BP29=0,ES27=0,FB27=0,FK27=0,FT27=0,GC27=0,CN29=0,0&lt;GodConversion!$AC24+GodConversion!$AF24),1,0)</f>
        <v>0</v>
      </c>
      <c r="DM29" s="291">
        <f>IF(AND(U29=0,AS29=0,BQ29=0,ET27=0,FC27=0,FL27=0,FU27=0,GD27=0,CO29=0,1&lt;GodConversion!$AC24+GodConversion!$AF24),1,0)</f>
        <v>0</v>
      </c>
      <c r="DN29" s="291">
        <f>IF(AND(V29=0,AT29=0,BR29=0,EU27=0,FD27=0,FM27=0,FV27=0,GE27=0,CP29=0,2&lt;GodConversion!$AC24+GodConversion!$AF24),1,0)</f>
        <v>0</v>
      </c>
      <c r="DO29" s="291">
        <f>IF(AND(W29=0,AU29=0,BS29=0,EV27=0,FE27=0,FN27=0,FW27=0,GF27=0,CQ29=0,3&lt;GodConversion!$AC24+GodConversion!$AF24),1,0)</f>
        <v>0</v>
      </c>
      <c r="DP29" s="291">
        <f>IF(AND(X29=0,AV29=0,BT29=0,EW27=0,FF27=0,FO27=0,FX27=0,GG27=0,CR29=0,4&lt;GodConversion!$AC24+GodConversion!$AF24),1,0)</f>
        <v>0</v>
      </c>
      <c r="DQ29" s="771"/>
      <c r="DR29" s="771"/>
      <c r="DS29" s="771"/>
      <c r="DT29" s="771"/>
      <c r="DU29" s="771"/>
      <c r="DV29" s="771"/>
      <c r="DW29" s="771"/>
      <c r="DX29" s="771"/>
      <c r="DY29" s="771"/>
      <c r="DZ29" s="771"/>
      <c r="EA29" s="771"/>
      <c r="EB29" s="771"/>
      <c r="EC29" s="771"/>
      <c r="ED29" s="771"/>
      <c r="EE29" s="771"/>
      <c r="EF29" s="740" t="str">
        <f>CharacterSheet!$Q$51</f>
        <v>Special</v>
      </c>
      <c r="EG29" s="671"/>
      <c r="EH29" s="671"/>
      <c r="EI29" s="671"/>
      <c r="EJ29" s="291">
        <f>IF(AR29=1,3,IF(ES27=1,1,IF(FB27=1,1,IF(FK27=1,1,IF(FT27=1,1,IF(GC27=1,1,0))))))</f>
        <v>0</v>
      </c>
      <c r="EK29" s="291">
        <f t="shared" si="12"/>
        <v>0</v>
      </c>
      <c r="EL29" s="291">
        <f t="shared" si="13"/>
        <v>0</v>
      </c>
      <c r="EM29" s="291">
        <f t="shared" si="14"/>
        <v>0</v>
      </c>
      <c r="EN29" s="291">
        <f t="shared" si="15"/>
        <v>0</v>
      </c>
      <c r="EO29" s="740" t="str">
        <f>CharacterSheet!$Q$53</f>
        <v>Special</v>
      </c>
      <c r="EP29" s="671"/>
      <c r="EQ29" s="671"/>
      <c r="ER29" s="692"/>
      <c r="ES29" s="392"/>
      <c r="ET29" s="381"/>
      <c r="EU29" s="381"/>
      <c r="EV29" s="381"/>
      <c r="EW29" s="381"/>
      <c r="EX29" s="1120" t="str">
        <f>CharacterSheet!$Q$53</f>
        <v>Special</v>
      </c>
      <c r="EY29" s="972"/>
      <c r="EZ29" s="972"/>
      <c r="FA29" s="1121"/>
      <c r="FB29" s="503"/>
      <c r="FC29" s="504"/>
      <c r="FD29" s="504"/>
      <c r="FE29" s="504"/>
      <c r="FF29" s="505"/>
      <c r="FG29" s="1122" t="str">
        <f>CharacterSheet!$Q$53</f>
        <v>Special</v>
      </c>
      <c r="FH29" s="788"/>
      <c r="FI29" s="788"/>
      <c r="FJ29" s="789"/>
      <c r="FK29" s="515"/>
      <c r="FL29" s="516"/>
      <c r="FM29" s="516"/>
      <c r="FN29" s="516"/>
      <c r="FO29" s="517"/>
      <c r="FP29" s="1120" t="str">
        <f>CharacterSheet!$Q$53</f>
        <v>Special</v>
      </c>
      <c r="FQ29" s="972"/>
      <c r="FR29" s="972"/>
      <c r="FS29" s="1121"/>
      <c r="FT29" s="503"/>
      <c r="FU29" s="504"/>
      <c r="FV29" s="504"/>
      <c r="FW29" s="504"/>
      <c r="FX29" s="505"/>
      <c r="FY29" s="1116" t="str">
        <f>CharacterSheet!$Q$53</f>
        <v>Special</v>
      </c>
      <c r="FZ29" s="788"/>
      <c r="GA29" s="788"/>
      <c r="GB29" s="789"/>
      <c r="GC29" s="515"/>
      <c r="GD29" s="516"/>
      <c r="GE29" s="516"/>
      <c r="GF29" s="516"/>
      <c r="GG29" s="517"/>
      <c r="GK29" s="389" t="s">
        <v>57</v>
      </c>
      <c r="GL29" s="396">
        <f t="shared" si="8"/>
        <v>0</v>
      </c>
      <c r="GM29" s="396">
        <f>IF($GK29=Creation!$Q$28,1,0)</f>
        <v>0</v>
      </c>
      <c r="GN29" s="396">
        <f>IF($GK29=Creation!$Q$29,1,0)</f>
        <v>0</v>
      </c>
      <c r="GO29" s="396">
        <f>IF($GK29=Creation!$Q$30,1,0)</f>
        <v>0</v>
      </c>
      <c r="GP29" s="396">
        <f>IF($GK29=Creation!$Q$31,1,0)</f>
        <v>0</v>
      </c>
      <c r="GQ29" s="396">
        <f>IF($GK29=Creation!$Q$32,1,0)</f>
        <v>0</v>
      </c>
      <c r="GR29" s="396">
        <f>IF($GK29=Creation!$Q$33,1,0)</f>
        <v>0</v>
      </c>
    </row>
    <row r="30" spans="1:200" ht="15" customHeight="1" x14ac:dyDescent="0.25">
      <c r="A30" s="733"/>
      <c r="B30" s="733"/>
      <c r="C30" s="733"/>
      <c r="D30" s="733"/>
      <c r="E30" s="733"/>
      <c r="F30" s="733"/>
      <c r="G30" s="733"/>
      <c r="H30" s="733"/>
      <c r="I30" s="733"/>
      <c r="J30" s="733"/>
      <c r="K30" s="733"/>
      <c r="L30" s="733"/>
      <c r="M30" s="733"/>
      <c r="N30" s="733"/>
      <c r="O30" s="733"/>
      <c r="P30" s="740" t="str">
        <f>CharacterSheet!$Q$52</f>
        <v>Special</v>
      </c>
      <c r="Q30" s="671"/>
      <c r="R30" s="671"/>
      <c r="S30" s="671"/>
      <c r="T30" s="291">
        <f>IF(Creation!AC25+Creation!AF25&gt;0,1,0)</f>
        <v>0</v>
      </c>
      <c r="U30" s="291">
        <f>IF(Creation!AC25+Creation!AF25&gt;1,1,0)</f>
        <v>0</v>
      </c>
      <c r="V30" s="291">
        <f>IF(Creation!AC25+Creation!AF25&gt;2,1,0)</f>
        <v>0</v>
      </c>
      <c r="W30" s="291">
        <f>IF(Creation!AC25+Creation!AF25&gt;3,1,0)</f>
        <v>0</v>
      </c>
      <c r="X30" s="376">
        <f>IF(Creation!AC25+Creation!AF25&gt;4,1,0)</f>
        <v>0</v>
      </c>
      <c r="Y30" s="687"/>
      <c r="Z30" s="687"/>
      <c r="AA30" s="687"/>
      <c r="AB30" s="687"/>
      <c r="AC30" s="687"/>
      <c r="AD30" s="687"/>
      <c r="AE30" s="687"/>
      <c r="AF30" s="687"/>
      <c r="AG30" s="687"/>
      <c r="AH30" s="687"/>
      <c r="AI30" s="687"/>
      <c r="AJ30" s="687"/>
      <c r="AK30" s="687"/>
      <c r="AL30" s="687"/>
      <c r="AM30" s="771"/>
      <c r="AN30" s="740" t="str">
        <f>CharacterSheet!$Q$52</f>
        <v>Special</v>
      </c>
      <c r="AO30" s="671"/>
      <c r="AP30" s="671"/>
      <c r="AQ30" s="692"/>
      <c r="AR30" s="392"/>
      <c r="AS30" s="381"/>
      <c r="AT30" s="381"/>
      <c r="AU30" s="381"/>
      <c r="AV30" s="382"/>
      <c r="AW30" s="1105"/>
      <c r="AX30" s="1106"/>
      <c r="AY30" s="1106"/>
      <c r="AZ30" s="1106"/>
      <c r="BA30" s="1106"/>
      <c r="BB30" s="1106"/>
      <c r="BC30" s="1106"/>
      <c r="BD30" s="1106"/>
      <c r="BE30" s="1106"/>
      <c r="BF30" s="1106"/>
      <c r="BG30" s="1106"/>
      <c r="BH30" s="1106"/>
      <c r="BI30" s="1106"/>
      <c r="BJ30" s="1106"/>
      <c r="BK30" s="1106"/>
      <c r="BL30" s="740" t="str">
        <f>CharacterSheet!$Q$52</f>
        <v>Special</v>
      </c>
      <c r="BM30" s="671"/>
      <c r="BN30" s="671"/>
      <c r="BO30" s="692"/>
      <c r="BP30" s="400"/>
      <c r="BQ30" s="381"/>
      <c r="BR30" s="381"/>
      <c r="BS30" s="381"/>
      <c r="BT30" s="382"/>
      <c r="BU30" s="754"/>
      <c r="BV30" s="754"/>
      <c r="BW30" s="754"/>
      <c r="BX30" s="754"/>
      <c r="BY30" s="754"/>
      <c r="BZ30" s="754"/>
      <c r="CA30" s="754"/>
      <c r="CB30" s="754"/>
      <c r="CC30" s="754"/>
      <c r="CD30" s="754"/>
      <c r="CE30" s="754"/>
      <c r="CF30" s="754"/>
      <c r="CG30" s="754"/>
      <c r="CH30" s="754"/>
      <c r="CI30" s="754"/>
      <c r="CJ30" s="740" t="str">
        <f>CharacterSheet!$Q$52</f>
        <v>Special</v>
      </c>
      <c r="CK30" s="671"/>
      <c r="CL30" s="671"/>
      <c r="CM30" s="671"/>
      <c r="CN30" s="291">
        <f>IF(AND(T30=0,AR30=0,BP30=0,FB28=0,FK28=0,FT28=0,GC28=0,ES28=0,DemigodConversion!$AC25+DemigodConversion!$AF25&gt;0),1,0)</f>
        <v>0</v>
      </c>
      <c r="CO30" s="291">
        <f>IF(AND(U30=0,AS30=0,BQ30=0,FC28=0,FL28=0,FU28=0,GD28=0,ET28=0,DemigodConversion!$AC25+DemigodConversion!$AF25&gt;1),1,0)</f>
        <v>0</v>
      </c>
      <c r="CP30" s="291">
        <f>IF(AND(V30=0,AT30=0,BR30=0,FD28=0,FM28=0,FV28=0,GE28=0,EU28=0,DemigodConversion!$AC25+DemigodConversion!$AF25&gt;2),1,0)</f>
        <v>0</v>
      </c>
      <c r="CQ30" s="291">
        <f>IF(AND(W30=0,AU30=0,BS30=0,FE28=0,FN28=0,FW28=0,GF28=0,EV28=0,DemigodConversion!$AC25+DemigodConversion!$AF25&gt;3),1,0)</f>
        <v>0</v>
      </c>
      <c r="CR30" s="291">
        <f>IF(AND(X30=0,AV30=0,BT30=0,FF28=0,FO28=0,FX28=0,GG28=0,EW28=0,DemigodConversion!$AC25+DemigodConversion!$AF25&gt;4),1,0)</f>
        <v>0</v>
      </c>
      <c r="CS30" s="733"/>
      <c r="CT30" s="733"/>
      <c r="CU30" s="733"/>
      <c r="CV30" s="733"/>
      <c r="CW30" s="733"/>
      <c r="CX30" s="733"/>
      <c r="CY30" s="733"/>
      <c r="CZ30" s="733"/>
      <c r="DA30" s="733"/>
      <c r="DB30" s="733"/>
      <c r="DC30" s="733"/>
      <c r="DD30" s="733"/>
      <c r="DE30" s="733"/>
      <c r="DF30" s="733"/>
      <c r="DG30" s="733"/>
      <c r="DH30" s="740" t="str">
        <f>CharacterSheet!$Q$52</f>
        <v>Special</v>
      </c>
      <c r="DI30" s="671"/>
      <c r="DJ30" s="671"/>
      <c r="DK30" s="671"/>
      <c r="DL30" s="291">
        <f>IF(AND(T30=0,AR30=0,BP30=0,ES28=0,FB28=0,FK28=0,FT28=0,GC28=0,CN30=0,0&lt;GodConversion!$AC25+GodConversion!$AF25),1,0)</f>
        <v>0</v>
      </c>
      <c r="DM30" s="291">
        <f>IF(AND(U30=0,AS30=0,BQ30=0,ET28=0,FC28=0,FL28=0,FU28=0,GD28=0,CO30=0,1&lt;GodConversion!$AC25+GodConversion!$AF25),1,0)</f>
        <v>0</v>
      </c>
      <c r="DN30" s="291">
        <f>IF(AND(V30=0,AT30=0,BR30=0,EU28=0,FD28=0,FM28=0,FV28=0,GE28=0,CP30=0,2&lt;GodConversion!$AC25+GodConversion!$AF25),1,0)</f>
        <v>0</v>
      </c>
      <c r="DO30" s="291">
        <f>IF(AND(W30=0,AU30=0,BS30=0,EV28=0,FE28=0,FN28=0,FW28=0,GF28=0,CQ30=0,3&lt;GodConversion!$AC25+GodConversion!$AF25),1,0)</f>
        <v>0</v>
      </c>
      <c r="DP30" s="291">
        <f>IF(AND(X30=0,AV30=0,BT30=0,EW28=0,FF28=0,FO28=0,FX28=0,GG28=0,CR30=0,4&lt;GodConversion!$AC25+GodConversion!$AF25),1,0)</f>
        <v>0</v>
      </c>
      <c r="DQ30" s="771"/>
      <c r="DR30" s="771"/>
      <c r="DS30" s="771"/>
      <c r="DT30" s="771"/>
      <c r="DU30" s="771"/>
      <c r="DV30" s="771"/>
      <c r="DW30" s="771"/>
      <c r="DX30" s="771"/>
      <c r="DY30" s="771"/>
      <c r="DZ30" s="771"/>
      <c r="EA30" s="771"/>
      <c r="EB30" s="771"/>
      <c r="EC30" s="771"/>
      <c r="ED30" s="771"/>
      <c r="EE30" s="771"/>
      <c r="EF30" s="740" t="str">
        <f>CharacterSheet!$Q$52</f>
        <v>Special</v>
      </c>
      <c r="EG30" s="671"/>
      <c r="EH30" s="671"/>
      <c r="EI30" s="671"/>
      <c r="EJ30" s="291">
        <f t="shared" ref="EJ30:EJ38" si="21">IF(AR30=1,3,IF(ES28=1,1,IF(FB28=1,1,IF(FK28=1,1,IF(FT28=1,1,IF(GC28=1,1,0))))))</f>
        <v>0</v>
      </c>
      <c r="EK30" s="291">
        <f t="shared" si="12"/>
        <v>0</v>
      </c>
      <c r="EL30" s="291">
        <f t="shared" si="13"/>
        <v>0</v>
      </c>
      <c r="EM30" s="291">
        <f t="shared" si="14"/>
        <v>0</v>
      </c>
      <c r="EN30" s="291">
        <f t="shared" si="15"/>
        <v>0</v>
      </c>
      <c r="EO30" s="740" t="str">
        <f>CharacterSheet!$Q$54</f>
        <v>Special</v>
      </c>
      <c r="EP30" s="671"/>
      <c r="EQ30" s="671"/>
      <c r="ER30" s="692"/>
      <c r="ES30" s="392"/>
      <c r="ET30" s="381"/>
      <c r="EU30" s="381"/>
      <c r="EV30" s="381"/>
      <c r="EW30" s="381"/>
      <c r="EX30" s="1120" t="str">
        <f>CharacterSheet!$Q$54</f>
        <v>Special</v>
      </c>
      <c r="EY30" s="972"/>
      <c r="EZ30" s="972"/>
      <c r="FA30" s="1121"/>
      <c r="FB30" s="503"/>
      <c r="FC30" s="504"/>
      <c r="FD30" s="504"/>
      <c r="FE30" s="504"/>
      <c r="FF30" s="505"/>
      <c r="FG30" s="1122" t="str">
        <f>CharacterSheet!$Q$54</f>
        <v>Special</v>
      </c>
      <c r="FH30" s="788"/>
      <c r="FI30" s="788"/>
      <c r="FJ30" s="789"/>
      <c r="FK30" s="515"/>
      <c r="FL30" s="516"/>
      <c r="FM30" s="516"/>
      <c r="FN30" s="516"/>
      <c r="FO30" s="517"/>
      <c r="FP30" s="1120" t="str">
        <f>CharacterSheet!$Q$54</f>
        <v>Special</v>
      </c>
      <c r="FQ30" s="972"/>
      <c r="FR30" s="972"/>
      <c r="FS30" s="1121"/>
      <c r="FT30" s="503"/>
      <c r="FU30" s="504"/>
      <c r="FV30" s="504"/>
      <c r="FW30" s="504"/>
      <c r="FX30" s="505"/>
      <c r="FY30" s="1116" t="str">
        <f>CharacterSheet!$Q$54</f>
        <v>Special</v>
      </c>
      <c r="FZ30" s="788"/>
      <c r="GA30" s="788"/>
      <c r="GB30" s="789"/>
      <c r="GC30" s="515"/>
      <c r="GD30" s="516"/>
      <c r="GE30" s="516"/>
      <c r="GF30" s="516"/>
      <c r="GG30" s="517"/>
      <c r="GK30" s="389" t="s">
        <v>58</v>
      </c>
      <c r="GL30" s="396">
        <f t="shared" si="8"/>
        <v>0</v>
      </c>
      <c r="GM30" s="396">
        <f>IF($GK30=Creation!$Q$28,1,0)</f>
        <v>0</v>
      </c>
      <c r="GN30" s="396">
        <f>IF($GK30=Creation!$Q$29,1,0)</f>
        <v>0</v>
      </c>
      <c r="GO30" s="396">
        <f>IF($GK30=Creation!$Q$30,1,0)</f>
        <v>0</v>
      </c>
      <c r="GP30" s="396">
        <f>IF($GK30=Creation!$Q$31,1,0)</f>
        <v>0</v>
      </c>
      <c r="GQ30" s="396">
        <f>IF($GK30=Creation!$Q$32,1,0)</f>
        <v>0</v>
      </c>
      <c r="GR30" s="396">
        <f>IF($GK30=Creation!$Q$33,1,0)</f>
        <v>0</v>
      </c>
    </row>
    <row r="31" spans="1:200" ht="15" customHeight="1" x14ac:dyDescent="0.25">
      <c r="A31" s="733"/>
      <c r="B31" s="733"/>
      <c r="C31" s="733"/>
      <c r="D31" s="733"/>
      <c r="E31" s="733"/>
      <c r="F31" s="733"/>
      <c r="G31" s="733"/>
      <c r="H31" s="733"/>
      <c r="I31" s="733"/>
      <c r="J31" s="733"/>
      <c r="K31" s="733"/>
      <c r="L31" s="733"/>
      <c r="M31" s="733"/>
      <c r="N31" s="733"/>
      <c r="O31" s="733"/>
      <c r="P31" s="740" t="str">
        <f>CharacterSheet!$Q$53</f>
        <v>Special</v>
      </c>
      <c r="Q31" s="671"/>
      <c r="R31" s="671"/>
      <c r="S31" s="671"/>
      <c r="T31" s="291">
        <f>IF(Creation!AC26+Creation!AF26&gt;0,1,0)</f>
        <v>0</v>
      </c>
      <c r="U31" s="291">
        <f>IF(Creation!AC26+Creation!AF26&gt;1,1,0)</f>
        <v>0</v>
      </c>
      <c r="V31" s="291">
        <f>IF(Creation!AC26+Creation!AF26&gt;2,1,0)</f>
        <v>0</v>
      </c>
      <c r="W31" s="291">
        <f>IF(Creation!AC26+Creation!AF26&gt;3,1,0)</f>
        <v>0</v>
      </c>
      <c r="X31" s="376">
        <f>IF(Creation!AC26+Creation!AF26&gt;4,1,0)</f>
        <v>0</v>
      </c>
      <c r="Y31" s="687"/>
      <c r="Z31" s="687"/>
      <c r="AA31" s="687"/>
      <c r="AB31" s="687"/>
      <c r="AC31" s="687"/>
      <c r="AD31" s="687"/>
      <c r="AE31" s="687"/>
      <c r="AF31" s="687"/>
      <c r="AG31" s="687"/>
      <c r="AH31" s="687"/>
      <c r="AI31" s="687"/>
      <c r="AJ31" s="687"/>
      <c r="AK31" s="687"/>
      <c r="AL31" s="687"/>
      <c r="AM31" s="771"/>
      <c r="AN31" s="740" t="str">
        <f>CharacterSheet!$Q$53</f>
        <v>Special</v>
      </c>
      <c r="AO31" s="671"/>
      <c r="AP31" s="671"/>
      <c r="AQ31" s="692"/>
      <c r="AR31" s="392"/>
      <c r="AS31" s="381"/>
      <c r="AT31" s="381"/>
      <c r="AU31" s="381"/>
      <c r="AV31" s="382"/>
      <c r="AW31" s="1105"/>
      <c r="AX31" s="1106"/>
      <c r="AY31" s="1106"/>
      <c r="AZ31" s="1106"/>
      <c r="BA31" s="1106"/>
      <c r="BB31" s="1106"/>
      <c r="BC31" s="1106"/>
      <c r="BD31" s="1106"/>
      <c r="BE31" s="1106"/>
      <c r="BF31" s="1106"/>
      <c r="BG31" s="1106"/>
      <c r="BH31" s="1106"/>
      <c r="BI31" s="1106"/>
      <c r="BJ31" s="1106"/>
      <c r="BK31" s="1106"/>
      <c r="BL31" s="740" t="str">
        <f>CharacterSheet!$Q$53</f>
        <v>Special</v>
      </c>
      <c r="BM31" s="671"/>
      <c r="BN31" s="671"/>
      <c r="BO31" s="692"/>
      <c r="BP31" s="400"/>
      <c r="BQ31" s="381"/>
      <c r="BR31" s="381"/>
      <c r="BS31" s="381"/>
      <c r="BT31" s="382"/>
      <c r="BU31" s="754"/>
      <c r="BV31" s="754"/>
      <c r="BW31" s="754"/>
      <c r="BX31" s="754"/>
      <c r="BY31" s="754"/>
      <c r="BZ31" s="754"/>
      <c r="CA31" s="754"/>
      <c r="CB31" s="754"/>
      <c r="CC31" s="754"/>
      <c r="CD31" s="754"/>
      <c r="CE31" s="754"/>
      <c r="CF31" s="754"/>
      <c r="CG31" s="754"/>
      <c r="CH31" s="754"/>
      <c r="CI31" s="754"/>
      <c r="CJ31" s="740" t="str">
        <f>CharacterSheet!$Q$53</f>
        <v>Special</v>
      </c>
      <c r="CK31" s="671"/>
      <c r="CL31" s="671"/>
      <c r="CM31" s="671"/>
      <c r="CN31" s="291">
        <f>IF(AND(T31=0,AR31=0,BP31=0,FB29=0,FK29=0,FT29=0,GC29=0,ES29=0,DemigodConversion!$AC26+DemigodConversion!$AF26&gt;0),1,0)</f>
        <v>0</v>
      </c>
      <c r="CO31" s="291">
        <f>IF(AND(U31=0,AS31=0,BQ31=0,FC29=0,FL29=0,FU29=0,GD29=0,ET29=0,DemigodConversion!$AC26+DemigodConversion!$AF26&gt;1),1,0)</f>
        <v>0</v>
      </c>
      <c r="CP31" s="291">
        <f>IF(AND(V31=0,AT31=0,BR31=0,FD29=0,FM29=0,FV29=0,GE29=0,EU29=0,DemigodConversion!$AC26+DemigodConversion!$AF26&gt;2),1,0)</f>
        <v>0</v>
      </c>
      <c r="CQ31" s="291">
        <f>IF(AND(W31=0,AU31=0,BS31=0,FE29=0,FN29=0,FW29=0,GF29=0,EV29=0,DemigodConversion!$AC26+DemigodConversion!$AF26&gt;3),1,0)</f>
        <v>0</v>
      </c>
      <c r="CR31" s="291">
        <f>IF(AND(X31=0,AV31=0,BT31=0,FF29=0,FO29=0,FX29=0,GG29=0,EW29=0,DemigodConversion!$AC26+DemigodConversion!$AF26&gt;4),1,0)</f>
        <v>0</v>
      </c>
      <c r="CS31" s="733"/>
      <c r="CT31" s="733"/>
      <c r="CU31" s="733"/>
      <c r="CV31" s="733"/>
      <c r="CW31" s="733"/>
      <c r="CX31" s="733"/>
      <c r="CY31" s="733"/>
      <c r="CZ31" s="733"/>
      <c r="DA31" s="733"/>
      <c r="DB31" s="733"/>
      <c r="DC31" s="733"/>
      <c r="DD31" s="733"/>
      <c r="DE31" s="733"/>
      <c r="DF31" s="733"/>
      <c r="DG31" s="733"/>
      <c r="DH31" s="740" t="str">
        <f>CharacterSheet!$Q$53</f>
        <v>Special</v>
      </c>
      <c r="DI31" s="671"/>
      <c r="DJ31" s="671"/>
      <c r="DK31" s="671"/>
      <c r="DL31" s="291">
        <f>IF(AND(T31=0,AR31=0,BP31=0,ES29=0,FB29=0,FK29=0,FT29=0,GC29=0,CN31=0,0&lt;GodConversion!$AC26+GodConversion!$AF26),1,0)</f>
        <v>0</v>
      </c>
      <c r="DM31" s="291">
        <f>IF(AND(U31=0,AS31=0,BQ31=0,ET29=0,FC29=0,FL29=0,FU29=0,GD29=0,CO31=0,1&lt;GodConversion!$AC26+GodConversion!$AF26),1,0)</f>
        <v>0</v>
      </c>
      <c r="DN31" s="291">
        <f>IF(AND(V31=0,AT31=0,BR31=0,EU29=0,FD29=0,FM29=0,FV29=0,GE29=0,CP31=0,2&lt;GodConversion!$AC26+GodConversion!$AF26),1,0)</f>
        <v>0</v>
      </c>
      <c r="DO31" s="291">
        <f>IF(AND(W31=0,AU31=0,BS31=0,EV29=0,FE29=0,FN29=0,FW29=0,GF29=0,CQ31=0,3&lt;GodConversion!$AC26+GodConversion!$AF26),1,0)</f>
        <v>0</v>
      </c>
      <c r="DP31" s="291">
        <f>IF(AND(X31=0,AV31=0,BT31=0,EW29=0,FF29=0,FO29=0,FX29=0,GG29=0,CR31=0,4&lt;GodConversion!$AC26+GodConversion!$AF26),1,0)</f>
        <v>0</v>
      </c>
      <c r="DQ31" s="771"/>
      <c r="DR31" s="771"/>
      <c r="DS31" s="771"/>
      <c r="DT31" s="771"/>
      <c r="DU31" s="771"/>
      <c r="DV31" s="771"/>
      <c r="DW31" s="771"/>
      <c r="DX31" s="771"/>
      <c r="DY31" s="771"/>
      <c r="DZ31" s="771"/>
      <c r="EA31" s="771"/>
      <c r="EB31" s="771"/>
      <c r="EC31" s="771"/>
      <c r="ED31" s="771"/>
      <c r="EE31" s="771"/>
      <c r="EF31" s="740" t="str">
        <f>CharacterSheet!$Q$53</f>
        <v>Special</v>
      </c>
      <c r="EG31" s="671"/>
      <c r="EH31" s="671"/>
      <c r="EI31" s="671"/>
      <c r="EJ31" s="291">
        <f t="shared" si="21"/>
        <v>0</v>
      </c>
      <c r="EK31" s="291">
        <f t="shared" si="12"/>
        <v>0</v>
      </c>
      <c r="EL31" s="291">
        <f t="shared" si="13"/>
        <v>0</v>
      </c>
      <c r="EM31" s="291">
        <f t="shared" si="14"/>
        <v>0</v>
      </c>
      <c r="EN31" s="291">
        <f t="shared" si="15"/>
        <v>0</v>
      </c>
      <c r="EO31" s="740" t="str">
        <f>CharacterSheet!$Q$55</f>
        <v>Special</v>
      </c>
      <c r="EP31" s="671"/>
      <c r="EQ31" s="671"/>
      <c r="ER31" s="692"/>
      <c r="ES31" s="392"/>
      <c r="ET31" s="381"/>
      <c r="EU31" s="381"/>
      <c r="EV31" s="381"/>
      <c r="EW31" s="381"/>
      <c r="EX31" s="1120" t="str">
        <f>CharacterSheet!$Q$55</f>
        <v>Special</v>
      </c>
      <c r="EY31" s="972"/>
      <c r="EZ31" s="972"/>
      <c r="FA31" s="1121"/>
      <c r="FB31" s="503"/>
      <c r="FC31" s="504"/>
      <c r="FD31" s="504"/>
      <c r="FE31" s="504"/>
      <c r="FF31" s="505"/>
      <c r="FG31" s="1122" t="str">
        <f>CharacterSheet!$Q$55</f>
        <v>Special</v>
      </c>
      <c r="FH31" s="788"/>
      <c r="FI31" s="788"/>
      <c r="FJ31" s="789"/>
      <c r="FK31" s="515"/>
      <c r="FL31" s="516"/>
      <c r="FM31" s="516"/>
      <c r="FN31" s="516"/>
      <c r="FO31" s="517"/>
      <c r="FP31" s="1120" t="str">
        <f>CharacterSheet!$Q$55</f>
        <v>Special</v>
      </c>
      <c r="FQ31" s="972"/>
      <c r="FR31" s="972"/>
      <c r="FS31" s="1121"/>
      <c r="FT31" s="503"/>
      <c r="FU31" s="504"/>
      <c r="FV31" s="504"/>
      <c r="FW31" s="504"/>
      <c r="FX31" s="505"/>
      <c r="FY31" s="1116" t="str">
        <f>CharacterSheet!$Q$55</f>
        <v>Special</v>
      </c>
      <c r="FZ31" s="788"/>
      <c r="GA31" s="788"/>
      <c r="GB31" s="789"/>
      <c r="GC31" s="515"/>
      <c r="GD31" s="516"/>
      <c r="GE31" s="516"/>
      <c r="GF31" s="516"/>
      <c r="GG31" s="517"/>
      <c r="GK31" s="389"/>
      <c r="GL31" s="389"/>
      <c r="GM31" s="389"/>
      <c r="GN31" s="389"/>
      <c r="GO31" s="389"/>
      <c r="GP31" s="389"/>
      <c r="GQ31" s="389"/>
      <c r="GR31" s="389"/>
    </row>
    <row r="32" spans="1:200" ht="15.75" customHeight="1" thickBot="1" x14ac:dyDescent="0.3">
      <c r="A32" s="733"/>
      <c r="B32" s="733"/>
      <c r="C32" s="733"/>
      <c r="D32" s="733"/>
      <c r="E32" s="733"/>
      <c r="F32" s="733"/>
      <c r="G32" s="733"/>
      <c r="H32" s="733"/>
      <c r="I32" s="733"/>
      <c r="J32" s="733"/>
      <c r="K32" s="733"/>
      <c r="L32" s="733"/>
      <c r="M32" s="733"/>
      <c r="N32" s="733"/>
      <c r="O32" s="733"/>
      <c r="P32" s="740" t="str">
        <f>CharacterSheet!$Q$54</f>
        <v>Special</v>
      </c>
      <c r="Q32" s="671"/>
      <c r="R32" s="671"/>
      <c r="S32" s="671"/>
      <c r="T32" s="291">
        <f>IF(Creation!AC27+Creation!AF27&gt;0,1,0)</f>
        <v>0</v>
      </c>
      <c r="U32" s="291">
        <f>IF(Creation!AC27+Creation!AF27&gt;1,1,0)</f>
        <v>0</v>
      </c>
      <c r="V32" s="291">
        <f>IF(Creation!AC27+Creation!AF27&gt;2,1,0)</f>
        <v>0</v>
      </c>
      <c r="W32" s="291">
        <f>IF(Creation!AC27+Creation!AF27&gt;3,1,0)</f>
        <v>0</v>
      </c>
      <c r="X32" s="376">
        <f>IF(Creation!AC27+Creation!AF27&gt;4,1,0)</f>
        <v>0</v>
      </c>
      <c r="Y32" s="687"/>
      <c r="Z32" s="687"/>
      <c r="AA32" s="687"/>
      <c r="AB32" s="687"/>
      <c r="AC32" s="687"/>
      <c r="AD32" s="687"/>
      <c r="AE32" s="687"/>
      <c r="AF32" s="687"/>
      <c r="AG32" s="687"/>
      <c r="AH32" s="687"/>
      <c r="AI32" s="687"/>
      <c r="AJ32" s="687"/>
      <c r="AK32" s="687"/>
      <c r="AL32" s="687"/>
      <c r="AM32" s="771"/>
      <c r="AN32" s="740" t="str">
        <f>CharacterSheet!$Q$54</f>
        <v>Special</v>
      </c>
      <c r="AO32" s="671"/>
      <c r="AP32" s="671"/>
      <c r="AQ32" s="692"/>
      <c r="AR32" s="392"/>
      <c r="AS32" s="381"/>
      <c r="AT32" s="381"/>
      <c r="AU32" s="381"/>
      <c r="AV32" s="382"/>
      <c r="AW32" s="1105"/>
      <c r="AX32" s="1106"/>
      <c r="AY32" s="1106"/>
      <c r="AZ32" s="1106"/>
      <c r="BA32" s="1106"/>
      <c r="BB32" s="1106"/>
      <c r="BC32" s="1106"/>
      <c r="BD32" s="1106"/>
      <c r="BE32" s="1106"/>
      <c r="BF32" s="1106"/>
      <c r="BG32" s="1106"/>
      <c r="BH32" s="1106"/>
      <c r="BI32" s="1106"/>
      <c r="BJ32" s="1106"/>
      <c r="BK32" s="1106"/>
      <c r="BL32" s="740" t="str">
        <f>CharacterSheet!$Q$54</f>
        <v>Special</v>
      </c>
      <c r="BM32" s="671"/>
      <c r="BN32" s="671"/>
      <c r="BO32" s="692"/>
      <c r="BP32" s="400"/>
      <c r="BQ32" s="381"/>
      <c r="BR32" s="381"/>
      <c r="BS32" s="381"/>
      <c r="BT32" s="382"/>
      <c r="BU32" s="754"/>
      <c r="BV32" s="754"/>
      <c r="BW32" s="754"/>
      <c r="BX32" s="754"/>
      <c r="BY32" s="754"/>
      <c r="BZ32" s="754"/>
      <c r="CA32" s="754"/>
      <c r="CB32" s="754"/>
      <c r="CC32" s="754"/>
      <c r="CD32" s="754"/>
      <c r="CE32" s="754"/>
      <c r="CF32" s="754"/>
      <c r="CG32" s="754"/>
      <c r="CH32" s="754"/>
      <c r="CI32" s="754"/>
      <c r="CJ32" s="740" t="str">
        <f>CharacterSheet!$Q$54</f>
        <v>Special</v>
      </c>
      <c r="CK32" s="671"/>
      <c r="CL32" s="671"/>
      <c r="CM32" s="671"/>
      <c r="CN32" s="291">
        <f>IF(AND(T32=0,AR32=0,BP32=0,FB30=0,FK30=0,FT30=0,GC30=0,ES30=0,DemigodConversion!$AC27+DemigodConversion!$AF27&gt;0),1,0)</f>
        <v>0</v>
      </c>
      <c r="CO32" s="291">
        <f>IF(AND(U32=0,AS32=0,BQ32=0,FC30=0,FL30=0,FU30=0,GD30=0,ET30=0,DemigodConversion!$AC27+DemigodConversion!$AF27&gt;1),1,0)</f>
        <v>0</v>
      </c>
      <c r="CP32" s="291">
        <f>IF(AND(V32=0,AT32=0,BR32=0,FD30=0,FM30=0,FV30=0,GE30=0,EU30=0,DemigodConversion!$AC27+DemigodConversion!$AF27&gt;2),1,0)</f>
        <v>0</v>
      </c>
      <c r="CQ32" s="291">
        <f>IF(AND(W32=0,AU32=0,BS32=0,FE30=0,FN30=0,FW30=0,GF30=0,EV30=0,DemigodConversion!$AC27+DemigodConversion!$AF27&gt;3),1,0)</f>
        <v>0</v>
      </c>
      <c r="CR32" s="291">
        <f>IF(AND(X32=0,AV32=0,BT32=0,FF30=0,FO30=0,FX30=0,GG30=0,EW30=0,DemigodConversion!$AC27+DemigodConversion!$AF27&gt;4),1,0)</f>
        <v>0</v>
      </c>
      <c r="CS32" s="733"/>
      <c r="CT32" s="733"/>
      <c r="CU32" s="733"/>
      <c r="CV32" s="733"/>
      <c r="CW32" s="733"/>
      <c r="CX32" s="733"/>
      <c r="CY32" s="733"/>
      <c r="CZ32" s="733"/>
      <c r="DA32" s="733"/>
      <c r="DB32" s="733"/>
      <c r="DC32" s="733"/>
      <c r="DD32" s="733"/>
      <c r="DE32" s="733"/>
      <c r="DF32" s="733"/>
      <c r="DG32" s="733"/>
      <c r="DH32" s="740" t="str">
        <f>CharacterSheet!$Q$54</f>
        <v>Special</v>
      </c>
      <c r="DI32" s="671"/>
      <c r="DJ32" s="671"/>
      <c r="DK32" s="671"/>
      <c r="DL32" s="291">
        <f>IF(AND(T32=0,AR32=0,BP32=0,ES30=0,FB30=0,FK30=0,FT30=0,GC30=0,CN32=0,0&lt;GodConversion!$AC27+GodConversion!$AF27),1,0)</f>
        <v>0</v>
      </c>
      <c r="DM32" s="291">
        <f>IF(AND(U32=0,AS32=0,BQ32=0,ET30=0,FC30=0,FL30=0,FU30=0,GD30=0,CO32=0,1&lt;GodConversion!$AC27+GodConversion!$AF27),1,0)</f>
        <v>0</v>
      </c>
      <c r="DN32" s="291">
        <f>IF(AND(V32=0,AT32=0,BR32=0,EU30=0,FD30=0,FM30=0,FV30=0,GE30=0,CP32=0,2&lt;GodConversion!$AC27+GodConversion!$AF27),1,0)</f>
        <v>0</v>
      </c>
      <c r="DO32" s="291">
        <f>IF(AND(W32=0,AU32=0,BS32=0,EV30=0,FE30=0,FN30=0,FW30=0,GF30=0,CQ32=0,3&lt;GodConversion!$AC27+GodConversion!$AF27),1,0)</f>
        <v>0</v>
      </c>
      <c r="DP32" s="291">
        <f>IF(AND(X32=0,AV32=0,BT32=0,EW30=0,FF30=0,FO30=0,FX30=0,GG30=0,CR32=0,4&lt;GodConversion!$AC27+GodConversion!$AF27),1,0)</f>
        <v>0</v>
      </c>
      <c r="DQ32" s="771"/>
      <c r="DR32" s="771"/>
      <c r="DS32" s="771"/>
      <c r="DT32" s="771"/>
      <c r="DU32" s="771"/>
      <c r="DV32" s="771"/>
      <c r="DW32" s="771"/>
      <c r="DX32" s="771"/>
      <c r="DY32" s="771"/>
      <c r="DZ32" s="771"/>
      <c r="EA32" s="771"/>
      <c r="EB32" s="771"/>
      <c r="EC32" s="771"/>
      <c r="ED32" s="771"/>
      <c r="EE32" s="771"/>
      <c r="EF32" s="740" t="str">
        <f>CharacterSheet!$Q$54</f>
        <v>Special</v>
      </c>
      <c r="EG32" s="671"/>
      <c r="EH32" s="671"/>
      <c r="EI32" s="671"/>
      <c r="EJ32" s="291">
        <f t="shared" si="21"/>
        <v>0</v>
      </c>
      <c r="EK32" s="291">
        <f t="shared" si="12"/>
        <v>0</v>
      </c>
      <c r="EL32" s="291">
        <f t="shared" si="13"/>
        <v>0</v>
      </c>
      <c r="EM32" s="291">
        <f t="shared" si="14"/>
        <v>0</v>
      </c>
      <c r="EN32" s="291">
        <f t="shared" si="15"/>
        <v>0</v>
      </c>
      <c r="EO32" s="740" t="str">
        <f>CharacterSheet!$Q$56</f>
        <v>Special</v>
      </c>
      <c r="EP32" s="671"/>
      <c r="EQ32" s="671"/>
      <c r="ER32" s="692"/>
      <c r="ES32" s="392"/>
      <c r="ET32" s="381"/>
      <c r="EU32" s="381"/>
      <c r="EV32" s="381"/>
      <c r="EW32" s="381"/>
      <c r="EX32" s="1120" t="str">
        <f>CharacterSheet!$Q$56</f>
        <v>Special</v>
      </c>
      <c r="EY32" s="972"/>
      <c r="EZ32" s="972"/>
      <c r="FA32" s="1121"/>
      <c r="FB32" s="503"/>
      <c r="FC32" s="504"/>
      <c r="FD32" s="504"/>
      <c r="FE32" s="504"/>
      <c r="FF32" s="505"/>
      <c r="FG32" s="1122" t="str">
        <f>CharacterSheet!$Q$56</f>
        <v>Special</v>
      </c>
      <c r="FH32" s="788"/>
      <c r="FI32" s="788"/>
      <c r="FJ32" s="789"/>
      <c r="FK32" s="515"/>
      <c r="FL32" s="516"/>
      <c r="FM32" s="516"/>
      <c r="FN32" s="516"/>
      <c r="FO32" s="517"/>
      <c r="FP32" s="1120" t="str">
        <f>CharacterSheet!$Q$56</f>
        <v>Special</v>
      </c>
      <c r="FQ32" s="972"/>
      <c r="FR32" s="972"/>
      <c r="FS32" s="1121"/>
      <c r="FT32" s="503"/>
      <c r="FU32" s="504"/>
      <c r="FV32" s="504"/>
      <c r="FW32" s="504"/>
      <c r="FX32" s="505"/>
      <c r="FY32" s="1116" t="str">
        <f>CharacterSheet!$Q$56</f>
        <v>Special</v>
      </c>
      <c r="FZ32" s="788"/>
      <c r="GA32" s="788"/>
      <c r="GB32" s="789"/>
      <c r="GC32" s="515"/>
      <c r="GD32" s="516"/>
      <c r="GE32" s="516"/>
      <c r="GF32" s="516"/>
      <c r="GG32" s="517"/>
    </row>
    <row r="33" spans="1:189" ht="15.75" customHeight="1" x14ac:dyDescent="0.25">
      <c r="A33" s="733"/>
      <c r="B33" s="733"/>
      <c r="C33" s="733"/>
      <c r="D33" s="733"/>
      <c r="E33" s="733"/>
      <c r="F33" s="733"/>
      <c r="G33" s="733"/>
      <c r="H33" s="733"/>
      <c r="I33" s="733"/>
      <c r="J33" s="733"/>
      <c r="K33" s="733"/>
      <c r="L33" s="733"/>
      <c r="M33" s="733"/>
      <c r="N33" s="733"/>
      <c r="O33" s="733"/>
      <c r="P33" s="740" t="str">
        <f>CharacterSheet!$Q$55</f>
        <v>Special</v>
      </c>
      <c r="Q33" s="671"/>
      <c r="R33" s="671"/>
      <c r="S33" s="671"/>
      <c r="T33" s="291">
        <f>IF(Creation!AC28+Creation!AF28&gt;0,1,0)</f>
        <v>0</v>
      </c>
      <c r="U33" s="291">
        <f>IF(Creation!AC28+Creation!AF28&gt;1,1,0)</f>
        <v>0</v>
      </c>
      <c r="V33" s="291">
        <f>IF(Creation!AC28+Creation!AF28&gt;2,1,0)</f>
        <v>0</v>
      </c>
      <c r="W33" s="291">
        <f>IF(Creation!AC28+Creation!AF28&gt;3,1,0)</f>
        <v>0</v>
      </c>
      <c r="X33" s="292">
        <f>IF(Creation!AC28+Creation!AF28&gt;4,1,0)</f>
        <v>0</v>
      </c>
      <c r="Y33" s="829" t="s">
        <v>445</v>
      </c>
      <c r="Z33" s="820"/>
      <c r="AA33" s="820"/>
      <c r="AB33" s="820"/>
      <c r="AC33" s="820"/>
      <c r="AD33" s="820"/>
      <c r="AE33" s="820">
        <f>SUM(DV4:EE4,DV6:EE14,DU16:EE24,EA26:EE26,EK4:EN7,EJ9:EN38,DY28,ED40:EN40,ED42:EN42,ED44:EN44,ED46:EN46,ED48:EN48,ED50:EN50)+AD27*5</f>
        <v>0</v>
      </c>
      <c r="AF33" s="820"/>
      <c r="AG33" s="820"/>
      <c r="AH33" s="821"/>
      <c r="AI33" s="797"/>
      <c r="AJ33" s="754"/>
      <c r="AK33" s="754"/>
      <c r="AL33" s="754"/>
      <c r="AM33" s="754"/>
      <c r="AN33" s="740" t="str">
        <f>CharacterSheet!$Q$55</f>
        <v>Special</v>
      </c>
      <c r="AO33" s="671"/>
      <c r="AP33" s="671"/>
      <c r="AQ33" s="692"/>
      <c r="AR33" s="392"/>
      <c r="AS33" s="381"/>
      <c r="AT33" s="381"/>
      <c r="AU33" s="381"/>
      <c r="AV33" s="382"/>
      <c r="AW33" s="1105"/>
      <c r="AX33" s="1106"/>
      <c r="AY33" s="1106"/>
      <c r="AZ33" s="1106"/>
      <c r="BA33" s="1106"/>
      <c r="BB33" s="1106"/>
      <c r="BC33" s="1106"/>
      <c r="BD33" s="1106"/>
      <c r="BE33" s="1106"/>
      <c r="BF33" s="1106"/>
      <c r="BG33" s="1106"/>
      <c r="BH33" s="1106"/>
      <c r="BI33" s="1106"/>
      <c r="BJ33" s="1106"/>
      <c r="BK33" s="1106"/>
      <c r="BL33" s="740" t="str">
        <f>CharacterSheet!$Q$55</f>
        <v>Special</v>
      </c>
      <c r="BM33" s="671"/>
      <c r="BN33" s="671"/>
      <c r="BO33" s="692"/>
      <c r="BP33" s="400"/>
      <c r="BQ33" s="381"/>
      <c r="BR33" s="381"/>
      <c r="BS33" s="381"/>
      <c r="BT33" s="382"/>
      <c r="BU33" s="754"/>
      <c r="BV33" s="754"/>
      <c r="BW33" s="754"/>
      <c r="BX33" s="754"/>
      <c r="BY33" s="754"/>
      <c r="BZ33" s="754"/>
      <c r="CA33" s="754"/>
      <c r="CB33" s="754"/>
      <c r="CC33" s="754"/>
      <c r="CD33" s="754"/>
      <c r="CE33" s="754"/>
      <c r="CF33" s="754"/>
      <c r="CG33" s="754"/>
      <c r="CH33" s="754"/>
      <c r="CI33" s="754"/>
      <c r="CJ33" s="740" t="str">
        <f>CharacterSheet!$Q$55</f>
        <v>Special</v>
      </c>
      <c r="CK33" s="671"/>
      <c r="CL33" s="671"/>
      <c r="CM33" s="671"/>
      <c r="CN33" s="291">
        <f>IF(AND(T33=0,AR33=0,BP33=0,FB31=0,FK31=0,FT31=0,GC31=0,ES31=0,DemigodConversion!$AC28+DemigodConversion!$AF28&gt;0),1,0)</f>
        <v>0</v>
      </c>
      <c r="CO33" s="291">
        <f>IF(AND(U33=0,AS33=0,BQ33=0,FC31=0,FL31=0,FU31=0,GD31=0,ET31=0,DemigodConversion!$AC28+DemigodConversion!$AF28&gt;1),1,0)</f>
        <v>0</v>
      </c>
      <c r="CP33" s="291">
        <f>IF(AND(V33=0,AT33=0,BR33=0,FD31=0,FM31=0,FV31=0,GE31=0,EU31=0,DemigodConversion!$AC28+DemigodConversion!$AF28&gt;2),1,0)</f>
        <v>0</v>
      </c>
      <c r="CQ33" s="291">
        <f>IF(AND(W33=0,AU33=0,BS33=0,FE31=0,FN31=0,FW31=0,GF31=0,EV31=0,DemigodConversion!$AC28+DemigodConversion!$AF28&gt;3),1,0)</f>
        <v>0</v>
      </c>
      <c r="CR33" s="291">
        <f>IF(AND(X33=0,AV33=0,BT33=0,FF31=0,FO31=0,FX31=0,GG31=0,EW31=0,DemigodConversion!$AC28+DemigodConversion!$AF28&gt;4),1,0)</f>
        <v>0</v>
      </c>
      <c r="CS33" s="733"/>
      <c r="CT33" s="733"/>
      <c r="CU33" s="733"/>
      <c r="CV33" s="733"/>
      <c r="CW33" s="733"/>
      <c r="CX33" s="733"/>
      <c r="CY33" s="733"/>
      <c r="CZ33" s="733"/>
      <c r="DA33" s="733"/>
      <c r="DB33" s="733"/>
      <c r="DC33" s="733"/>
      <c r="DD33" s="733"/>
      <c r="DE33" s="733"/>
      <c r="DF33" s="733"/>
      <c r="DG33" s="733"/>
      <c r="DH33" s="740" t="str">
        <f>CharacterSheet!$Q$55</f>
        <v>Special</v>
      </c>
      <c r="DI33" s="671"/>
      <c r="DJ33" s="671"/>
      <c r="DK33" s="671"/>
      <c r="DL33" s="291">
        <f>IF(AND(T33=0,AR33=0,BP33=0,ES31=0,FB31=0,FK31=0,FT31=0,GC31=0,CN33=0,0&lt;GodConversion!$AC28+GodConversion!$AF28),1,0)</f>
        <v>0</v>
      </c>
      <c r="DM33" s="291">
        <f>IF(AND(U33=0,AS33=0,BQ33=0,ET31=0,FC31=0,FL31=0,FU31=0,GD31=0,CO33=0,1&lt;GodConversion!$AC28+GodConversion!$AF28),1,0)</f>
        <v>0</v>
      </c>
      <c r="DN33" s="291">
        <f>IF(AND(V33=0,AT33=0,BR33=0,EU31=0,FD31=0,FM31=0,FV31=0,GE31=0,CP33=0,2&lt;GodConversion!$AC28+GodConversion!$AF28),1,0)</f>
        <v>0</v>
      </c>
      <c r="DO33" s="291">
        <f>IF(AND(W33=0,AU33=0,BS33=0,EV31=0,FE31=0,FN31=0,FW31=0,GF31=0,CQ33=0,3&lt;GodConversion!$AC28+GodConversion!$AF28),1,0)</f>
        <v>0</v>
      </c>
      <c r="DP33" s="291">
        <f>IF(AND(X33=0,AV33=0,BT33=0,EW31=0,FF31=0,FO31=0,FX31=0,GG31=0,CR33=0,4&lt;GodConversion!$AC28+GodConversion!$AF28),1,0)</f>
        <v>0</v>
      </c>
      <c r="DQ33" s="771"/>
      <c r="DR33" s="771"/>
      <c r="DS33" s="771"/>
      <c r="DT33" s="771"/>
      <c r="DU33" s="771"/>
      <c r="DV33" s="771"/>
      <c r="DW33" s="771"/>
      <c r="DX33" s="771"/>
      <c r="DY33" s="771"/>
      <c r="DZ33" s="771"/>
      <c r="EA33" s="771"/>
      <c r="EB33" s="771"/>
      <c r="EC33" s="771"/>
      <c r="ED33" s="771"/>
      <c r="EE33" s="771"/>
      <c r="EF33" s="740" t="str">
        <f>CharacterSheet!$Q$55</f>
        <v>Special</v>
      </c>
      <c r="EG33" s="671"/>
      <c r="EH33" s="671"/>
      <c r="EI33" s="671"/>
      <c r="EJ33" s="291">
        <f t="shared" si="21"/>
        <v>0</v>
      </c>
      <c r="EK33" s="291">
        <f t="shared" si="12"/>
        <v>0</v>
      </c>
      <c r="EL33" s="291">
        <f t="shared" si="13"/>
        <v>0</v>
      </c>
      <c r="EM33" s="291">
        <f t="shared" si="14"/>
        <v>0</v>
      </c>
      <c r="EN33" s="291">
        <f t="shared" si="15"/>
        <v>0</v>
      </c>
      <c r="EO33" s="740" t="str">
        <f>CharacterSheet!$Q$57</f>
        <v>Special</v>
      </c>
      <c r="EP33" s="671"/>
      <c r="EQ33" s="671"/>
      <c r="ER33" s="692"/>
      <c r="ES33" s="392"/>
      <c r="ET33" s="381"/>
      <c r="EU33" s="381"/>
      <c r="EV33" s="381"/>
      <c r="EW33" s="381"/>
      <c r="EX33" s="1120" t="str">
        <f>CharacterSheet!$Q$57</f>
        <v>Special</v>
      </c>
      <c r="EY33" s="972"/>
      <c r="EZ33" s="972"/>
      <c r="FA33" s="1121"/>
      <c r="FB33" s="503"/>
      <c r="FC33" s="504"/>
      <c r="FD33" s="504"/>
      <c r="FE33" s="504"/>
      <c r="FF33" s="505"/>
      <c r="FG33" s="1122" t="str">
        <f>CharacterSheet!$Q$57</f>
        <v>Special</v>
      </c>
      <c r="FH33" s="788"/>
      <c r="FI33" s="788"/>
      <c r="FJ33" s="789"/>
      <c r="FK33" s="515"/>
      <c r="FL33" s="516"/>
      <c r="FM33" s="516"/>
      <c r="FN33" s="516"/>
      <c r="FO33" s="517"/>
      <c r="FP33" s="1120" t="str">
        <f>CharacterSheet!$Q$57</f>
        <v>Special</v>
      </c>
      <c r="FQ33" s="972"/>
      <c r="FR33" s="972"/>
      <c r="FS33" s="1121"/>
      <c r="FT33" s="503"/>
      <c r="FU33" s="504"/>
      <c r="FV33" s="504"/>
      <c r="FW33" s="504"/>
      <c r="FX33" s="505"/>
      <c r="FY33" s="1116" t="str">
        <f>CharacterSheet!$Q$57</f>
        <v>Special</v>
      </c>
      <c r="FZ33" s="788"/>
      <c r="GA33" s="788"/>
      <c r="GB33" s="789"/>
      <c r="GC33" s="515"/>
      <c r="GD33" s="516"/>
      <c r="GE33" s="516"/>
      <c r="GF33" s="516"/>
      <c r="GG33" s="517"/>
    </row>
    <row r="34" spans="1:189" ht="15.75" customHeight="1" thickBot="1" x14ac:dyDescent="0.3">
      <c r="A34" s="733"/>
      <c r="B34" s="733"/>
      <c r="C34" s="733"/>
      <c r="D34" s="733"/>
      <c r="E34" s="733"/>
      <c r="F34" s="733"/>
      <c r="G34" s="733"/>
      <c r="H34" s="733"/>
      <c r="I34" s="733"/>
      <c r="J34" s="733"/>
      <c r="K34" s="733"/>
      <c r="L34" s="733"/>
      <c r="M34" s="733"/>
      <c r="N34" s="733"/>
      <c r="O34" s="733"/>
      <c r="P34" s="740" t="str">
        <f>CharacterSheet!$Q$56</f>
        <v>Special</v>
      </c>
      <c r="Q34" s="671"/>
      <c r="R34" s="671"/>
      <c r="S34" s="671"/>
      <c r="T34" s="291">
        <f>IF(Creation!AC29+Creation!AF29&gt;0,1,0)</f>
        <v>0</v>
      </c>
      <c r="U34" s="291">
        <f>IF(Creation!AC29+Creation!AF29&gt;1,1,0)</f>
        <v>0</v>
      </c>
      <c r="V34" s="291">
        <f>IF(Creation!AC29+Creation!AF29&gt;2,1,0)</f>
        <v>0</v>
      </c>
      <c r="W34" s="291">
        <f>IF(Creation!AC29+Creation!AF29&gt;3,1,0)</f>
        <v>0</v>
      </c>
      <c r="X34" s="292">
        <f>IF(Creation!AC29+Creation!AF29&gt;4,1,0)</f>
        <v>0</v>
      </c>
      <c r="Y34" s="890"/>
      <c r="Z34" s="823"/>
      <c r="AA34" s="823"/>
      <c r="AB34" s="823"/>
      <c r="AC34" s="823"/>
      <c r="AD34" s="823"/>
      <c r="AE34" s="823"/>
      <c r="AF34" s="823"/>
      <c r="AG34" s="823"/>
      <c r="AH34" s="824"/>
      <c r="AI34" s="797"/>
      <c r="AJ34" s="754"/>
      <c r="AK34" s="754"/>
      <c r="AL34" s="754"/>
      <c r="AM34" s="754"/>
      <c r="AN34" s="740" t="str">
        <f>CharacterSheet!$Q$56</f>
        <v>Special</v>
      </c>
      <c r="AO34" s="671"/>
      <c r="AP34" s="671"/>
      <c r="AQ34" s="692"/>
      <c r="AR34" s="392"/>
      <c r="AS34" s="381"/>
      <c r="AT34" s="381"/>
      <c r="AU34" s="381"/>
      <c r="AV34" s="382"/>
      <c r="AW34" s="1105"/>
      <c r="AX34" s="1106"/>
      <c r="AY34" s="1106"/>
      <c r="AZ34" s="1106"/>
      <c r="BA34" s="1106"/>
      <c r="BB34" s="1106"/>
      <c r="BC34" s="1106"/>
      <c r="BD34" s="1106"/>
      <c r="BE34" s="1106"/>
      <c r="BF34" s="1106"/>
      <c r="BG34" s="1106"/>
      <c r="BH34" s="1106"/>
      <c r="BI34" s="1106"/>
      <c r="BJ34" s="1106"/>
      <c r="BK34" s="1106"/>
      <c r="BL34" s="740" t="str">
        <f>CharacterSheet!$Q$56</f>
        <v>Special</v>
      </c>
      <c r="BM34" s="671"/>
      <c r="BN34" s="671"/>
      <c r="BO34" s="692"/>
      <c r="BP34" s="400"/>
      <c r="BQ34" s="381"/>
      <c r="BR34" s="381"/>
      <c r="BS34" s="381"/>
      <c r="BT34" s="382"/>
      <c r="BU34" s="754"/>
      <c r="BV34" s="754"/>
      <c r="BW34" s="754"/>
      <c r="BX34" s="754"/>
      <c r="BY34" s="754"/>
      <c r="BZ34" s="754"/>
      <c r="CA34" s="754"/>
      <c r="CB34" s="754"/>
      <c r="CC34" s="754"/>
      <c r="CD34" s="754"/>
      <c r="CE34" s="754"/>
      <c r="CF34" s="754"/>
      <c r="CG34" s="754"/>
      <c r="CH34" s="754"/>
      <c r="CI34" s="754"/>
      <c r="CJ34" s="740" t="str">
        <f>CharacterSheet!$Q$56</f>
        <v>Special</v>
      </c>
      <c r="CK34" s="671"/>
      <c r="CL34" s="671"/>
      <c r="CM34" s="671"/>
      <c r="CN34" s="291">
        <f>IF(AND(T34=0,AR34=0,BP34=0,FB32=0,FK32=0,FT32=0,GC32=0,ES32=0,DemigodConversion!$AC29+DemigodConversion!$AF29&gt;0),1,0)</f>
        <v>0</v>
      </c>
      <c r="CO34" s="291">
        <f>IF(AND(U34=0,AS34=0,BQ34=0,FC32=0,FL32=0,FU32=0,GD32=0,ET32=0,DemigodConversion!$AC29+DemigodConversion!$AF29&gt;1),1,0)</f>
        <v>0</v>
      </c>
      <c r="CP34" s="291">
        <f>IF(AND(V34=0,AT34=0,BR34=0,FD32=0,FM32=0,FV32=0,GE32=0,EU32=0,DemigodConversion!$AC29+DemigodConversion!$AF29&gt;2),1,0)</f>
        <v>0</v>
      </c>
      <c r="CQ34" s="291">
        <f>IF(AND(W34=0,AU34=0,BS34=0,FE32=0,FN32=0,FW32=0,GF32=0,EV32=0,DemigodConversion!$AC29+DemigodConversion!$AF29&gt;3),1,0)</f>
        <v>0</v>
      </c>
      <c r="CR34" s="291">
        <f>IF(AND(X34=0,AV34=0,BT34=0,FF32=0,FO32=0,FX32=0,GG32=0,EW32=0,DemigodConversion!$AC29+DemigodConversion!$AF29&gt;4),1,0)</f>
        <v>0</v>
      </c>
      <c r="CS34" s="733"/>
      <c r="CT34" s="733"/>
      <c r="CU34" s="733"/>
      <c r="CV34" s="733"/>
      <c r="CW34" s="733"/>
      <c r="CX34" s="733"/>
      <c r="CY34" s="733"/>
      <c r="CZ34" s="733"/>
      <c r="DA34" s="733"/>
      <c r="DB34" s="733"/>
      <c r="DC34" s="733"/>
      <c r="DD34" s="733"/>
      <c r="DE34" s="733"/>
      <c r="DF34" s="733"/>
      <c r="DG34" s="733"/>
      <c r="DH34" s="740" t="str">
        <f>CharacterSheet!$Q$56</f>
        <v>Special</v>
      </c>
      <c r="DI34" s="671"/>
      <c r="DJ34" s="671"/>
      <c r="DK34" s="671"/>
      <c r="DL34" s="291">
        <f>IF(AND(T34=0,AR34=0,BP34=0,ES32=0,FB32=0,FK32=0,FT32=0,GC32=0,CN34=0,0&lt;GodConversion!$AC29+GodConversion!$AF29),1,0)</f>
        <v>0</v>
      </c>
      <c r="DM34" s="291">
        <f>IF(AND(U34=0,AS34=0,BQ34=0,ET32=0,FC32=0,FL32=0,FU32=0,GD32=0,CO34=0,1&lt;GodConversion!$AC29+GodConversion!$AF29),1,0)</f>
        <v>0</v>
      </c>
      <c r="DN34" s="291">
        <f>IF(AND(V34=0,AT34=0,BR34=0,EU32=0,FD32=0,FM32=0,FV32=0,GE32=0,CP34=0,2&lt;GodConversion!$AC29+GodConversion!$AF29),1,0)</f>
        <v>0</v>
      </c>
      <c r="DO34" s="291">
        <f>IF(AND(W34=0,AU34=0,BS34=0,EV32=0,FE32=0,FN32=0,FW32=0,GF32=0,CQ34=0,3&lt;GodConversion!$AC29+GodConversion!$AF29),1,0)</f>
        <v>0</v>
      </c>
      <c r="DP34" s="291">
        <f>IF(AND(X34=0,AV34=0,BT34=0,EW32=0,FF32=0,FO32=0,FX32=0,GG32=0,CR34=0,4&lt;GodConversion!$AC29+GodConversion!$AF29),1,0)</f>
        <v>0</v>
      </c>
      <c r="DQ34" s="771"/>
      <c r="DR34" s="771"/>
      <c r="DS34" s="771"/>
      <c r="DT34" s="771"/>
      <c r="DU34" s="771"/>
      <c r="DV34" s="771"/>
      <c r="DW34" s="771"/>
      <c r="DX34" s="771"/>
      <c r="DY34" s="771"/>
      <c r="DZ34" s="771"/>
      <c r="EA34" s="771"/>
      <c r="EB34" s="771"/>
      <c r="EC34" s="771"/>
      <c r="ED34" s="771"/>
      <c r="EE34" s="771"/>
      <c r="EF34" s="740" t="str">
        <f>CharacterSheet!$Q$56</f>
        <v>Special</v>
      </c>
      <c r="EG34" s="671"/>
      <c r="EH34" s="671"/>
      <c r="EI34" s="671"/>
      <c r="EJ34" s="291">
        <f t="shared" si="21"/>
        <v>0</v>
      </c>
      <c r="EK34" s="291">
        <f t="shared" si="12"/>
        <v>0</v>
      </c>
      <c r="EL34" s="291">
        <f t="shared" si="13"/>
        <v>0</v>
      </c>
      <c r="EM34" s="291">
        <f t="shared" si="14"/>
        <v>0</v>
      </c>
      <c r="EN34" s="291">
        <f t="shared" si="15"/>
        <v>0</v>
      </c>
      <c r="EO34" s="740" t="str">
        <f>CharacterSheet!$Q$58</f>
        <v>Special</v>
      </c>
      <c r="EP34" s="671"/>
      <c r="EQ34" s="671"/>
      <c r="ER34" s="692"/>
      <c r="ES34" s="392"/>
      <c r="ET34" s="381"/>
      <c r="EU34" s="381"/>
      <c r="EV34" s="381"/>
      <c r="EW34" s="381"/>
      <c r="EX34" s="1120" t="str">
        <f>CharacterSheet!$Q$58</f>
        <v>Special</v>
      </c>
      <c r="EY34" s="972"/>
      <c r="EZ34" s="972"/>
      <c r="FA34" s="1121"/>
      <c r="FB34" s="503"/>
      <c r="FC34" s="504"/>
      <c r="FD34" s="504"/>
      <c r="FE34" s="504"/>
      <c r="FF34" s="505"/>
      <c r="FG34" s="1122" t="str">
        <f>CharacterSheet!$Q$58</f>
        <v>Special</v>
      </c>
      <c r="FH34" s="788"/>
      <c r="FI34" s="788"/>
      <c r="FJ34" s="789"/>
      <c r="FK34" s="515"/>
      <c r="FL34" s="516"/>
      <c r="FM34" s="516"/>
      <c r="FN34" s="516"/>
      <c r="FO34" s="517"/>
      <c r="FP34" s="1120" t="str">
        <f>CharacterSheet!$Q$58</f>
        <v>Special</v>
      </c>
      <c r="FQ34" s="972"/>
      <c r="FR34" s="972"/>
      <c r="FS34" s="1121"/>
      <c r="FT34" s="503"/>
      <c r="FU34" s="504"/>
      <c r="FV34" s="504"/>
      <c r="FW34" s="504"/>
      <c r="FX34" s="505"/>
      <c r="FY34" s="1116" t="str">
        <f>CharacterSheet!$Q$58</f>
        <v>Special</v>
      </c>
      <c r="FZ34" s="788"/>
      <c r="GA34" s="788"/>
      <c r="GB34" s="789"/>
      <c r="GC34" s="515"/>
      <c r="GD34" s="516"/>
      <c r="GE34" s="516"/>
      <c r="GF34" s="516"/>
      <c r="GG34" s="517"/>
    </row>
    <row r="35" spans="1:189" ht="15" customHeight="1" x14ac:dyDescent="0.25">
      <c r="A35" s="733"/>
      <c r="B35" s="733"/>
      <c r="C35" s="733"/>
      <c r="D35" s="733"/>
      <c r="E35" s="733"/>
      <c r="F35" s="733"/>
      <c r="G35" s="733"/>
      <c r="H35" s="733"/>
      <c r="I35" s="733"/>
      <c r="J35" s="733"/>
      <c r="K35" s="733"/>
      <c r="L35" s="733"/>
      <c r="M35" s="733"/>
      <c r="N35" s="733"/>
      <c r="O35" s="733"/>
      <c r="P35" s="740" t="str">
        <f>CharacterSheet!$Q$57</f>
        <v>Special</v>
      </c>
      <c r="Q35" s="671"/>
      <c r="R35" s="671"/>
      <c r="S35" s="671"/>
      <c r="T35" s="291">
        <f>IF(Creation!AC30+Creation!AF30&gt;0,1,0)</f>
        <v>0</v>
      </c>
      <c r="U35" s="291">
        <f>IF(Creation!AC30+Creation!AF30&gt;1,1,0)</f>
        <v>0</v>
      </c>
      <c r="V35" s="291">
        <f>IF(Creation!AC30+Creation!AF30&gt;2,1,0)</f>
        <v>0</v>
      </c>
      <c r="W35" s="291">
        <f>IF(Creation!AC30+Creation!AF30&gt;3,1,0)</f>
        <v>0</v>
      </c>
      <c r="X35" s="292">
        <f>IF(Creation!AC30+Creation!AF30&gt;4,1,0)</f>
        <v>0</v>
      </c>
      <c r="Y35" s="829" t="s">
        <v>491</v>
      </c>
      <c r="Z35" s="820"/>
      <c r="AA35" s="820"/>
      <c r="AB35" s="820"/>
      <c r="AC35" s="820"/>
      <c r="AD35" s="820"/>
      <c r="AE35" s="820">
        <f>CharacterSheet!V38</f>
        <v>0</v>
      </c>
      <c r="AF35" s="820"/>
      <c r="AG35" s="820"/>
      <c r="AH35" s="821"/>
      <c r="AI35" s="797"/>
      <c r="AJ35" s="754"/>
      <c r="AK35" s="754"/>
      <c r="AL35" s="754"/>
      <c r="AM35" s="754"/>
      <c r="AN35" s="740" t="str">
        <f>CharacterSheet!$Q$57</f>
        <v>Special</v>
      </c>
      <c r="AO35" s="671"/>
      <c r="AP35" s="671"/>
      <c r="AQ35" s="692"/>
      <c r="AR35" s="392"/>
      <c r="AS35" s="381"/>
      <c r="AT35" s="381"/>
      <c r="AU35" s="381"/>
      <c r="AV35" s="382"/>
      <c r="AW35" s="1105"/>
      <c r="AX35" s="1106"/>
      <c r="AY35" s="1106"/>
      <c r="AZ35" s="1106"/>
      <c r="BA35" s="1106"/>
      <c r="BB35" s="1106"/>
      <c r="BC35" s="1106"/>
      <c r="BD35" s="1106"/>
      <c r="BE35" s="1106"/>
      <c r="BF35" s="1106"/>
      <c r="BG35" s="1106"/>
      <c r="BH35" s="1106"/>
      <c r="BI35" s="1106"/>
      <c r="BJ35" s="1106"/>
      <c r="BK35" s="1106"/>
      <c r="BL35" s="740" t="str">
        <f>CharacterSheet!$Q$57</f>
        <v>Special</v>
      </c>
      <c r="BM35" s="671"/>
      <c r="BN35" s="671"/>
      <c r="BO35" s="692"/>
      <c r="BP35" s="400"/>
      <c r="BQ35" s="381"/>
      <c r="BR35" s="381"/>
      <c r="BS35" s="381"/>
      <c r="BT35" s="382"/>
      <c r="BU35" s="754"/>
      <c r="BV35" s="754"/>
      <c r="BW35" s="754"/>
      <c r="BX35" s="754"/>
      <c r="BY35" s="754"/>
      <c r="BZ35" s="754"/>
      <c r="CA35" s="754"/>
      <c r="CB35" s="754"/>
      <c r="CC35" s="754"/>
      <c r="CD35" s="754"/>
      <c r="CE35" s="754"/>
      <c r="CF35" s="754"/>
      <c r="CG35" s="754"/>
      <c r="CH35" s="754"/>
      <c r="CI35" s="754"/>
      <c r="CJ35" s="740" t="str">
        <f>CharacterSheet!$Q$57</f>
        <v>Special</v>
      </c>
      <c r="CK35" s="671"/>
      <c r="CL35" s="671"/>
      <c r="CM35" s="671"/>
      <c r="CN35" s="291">
        <f>IF(AND(T35=0,AR35=0,BP35=0,FB33=0,FK33=0,FT33=0,GC33=0,ES33=0,DemigodConversion!$AC30+DemigodConversion!$AF30&gt;0),1,0)</f>
        <v>0</v>
      </c>
      <c r="CO35" s="291">
        <f>IF(AND(U35=0,AS35=0,BQ35=0,FC33=0,FL33=0,FU33=0,GD33=0,ET33=0,DemigodConversion!$AC30+DemigodConversion!$AF30&gt;1),1,0)</f>
        <v>0</v>
      </c>
      <c r="CP35" s="291">
        <f>IF(AND(V35=0,AT35=0,BR35=0,FD33=0,FM33=0,FV33=0,GE33=0,EU33=0,DemigodConversion!$AC30+DemigodConversion!$AF30&gt;2),1,0)</f>
        <v>0</v>
      </c>
      <c r="CQ35" s="291">
        <f>IF(AND(W35=0,AU35=0,BS35=0,FE33=0,FN33=0,FW33=0,GF33=0,EV33=0,DemigodConversion!$AC30+DemigodConversion!$AF30&gt;3),1,0)</f>
        <v>0</v>
      </c>
      <c r="CR35" s="291">
        <f>IF(AND(X35=0,AV35=0,BT35=0,FF33=0,FO33=0,FX33=0,GG33=0,EW33=0,DemigodConversion!$AC30+DemigodConversion!$AF30&gt;4),1,0)</f>
        <v>0</v>
      </c>
      <c r="CS35" s="733"/>
      <c r="CT35" s="733"/>
      <c r="CU35" s="733"/>
      <c r="CV35" s="733"/>
      <c r="CW35" s="733"/>
      <c r="CX35" s="733"/>
      <c r="CY35" s="733"/>
      <c r="CZ35" s="733"/>
      <c r="DA35" s="733"/>
      <c r="DB35" s="733"/>
      <c r="DC35" s="733"/>
      <c r="DD35" s="733"/>
      <c r="DE35" s="733"/>
      <c r="DF35" s="733"/>
      <c r="DG35" s="733"/>
      <c r="DH35" s="740" t="str">
        <f>CharacterSheet!$Q$57</f>
        <v>Special</v>
      </c>
      <c r="DI35" s="671"/>
      <c r="DJ35" s="671"/>
      <c r="DK35" s="671"/>
      <c r="DL35" s="291">
        <f>IF(AND(T35=0,AR35=0,BP35=0,ES33=0,FB33=0,FK33=0,FT33=0,GC33=0,CN35=0,0&lt;GodConversion!$AC30+GodConversion!$AF30),1,0)</f>
        <v>0</v>
      </c>
      <c r="DM35" s="291">
        <f>IF(AND(U35=0,AS35=0,BQ35=0,ET33=0,FC33=0,FL33=0,FU33=0,GD33=0,CO35=0,1&lt;GodConversion!$AC30+GodConversion!$AF30),1,0)</f>
        <v>0</v>
      </c>
      <c r="DN35" s="291">
        <f>IF(AND(V35=0,AT35=0,BR35=0,EU33=0,FD33=0,FM33=0,FV33=0,GE33=0,CP35=0,2&lt;GodConversion!$AC30+GodConversion!$AF30),1,0)</f>
        <v>0</v>
      </c>
      <c r="DO35" s="291">
        <f>IF(AND(W35=0,AU35=0,BS35=0,EV33=0,FE33=0,FN33=0,FW33=0,GF33=0,CQ35=0,3&lt;GodConversion!$AC30+GodConversion!$AF30),1,0)</f>
        <v>0</v>
      </c>
      <c r="DP35" s="291">
        <f>IF(AND(X35=0,AV35=0,BT35=0,EW33=0,FF33=0,FO33=0,FX33=0,GG33=0,CR35=0,4&lt;GodConversion!$AC30+GodConversion!$AF30),1,0)</f>
        <v>0</v>
      </c>
      <c r="DQ35" s="771"/>
      <c r="DR35" s="771"/>
      <c r="DS35" s="771"/>
      <c r="DT35" s="771"/>
      <c r="DU35" s="771"/>
      <c r="DV35" s="771"/>
      <c r="DW35" s="771"/>
      <c r="DX35" s="771"/>
      <c r="DY35" s="771"/>
      <c r="DZ35" s="771"/>
      <c r="EA35" s="771"/>
      <c r="EB35" s="771"/>
      <c r="EC35" s="771"/>
      <c r="ED35" s="771"/>
      <c r="EE35" s="771"/>
      <c r="EF35" s="740" t="str">
        <f>CharacterSheet!$Q$57</f>
        <v>Special</v>
      </c>
      <c r="EG35" s="671"/>
      <c r="EH35" s="671"/>
      <c r="EI35" s="671"/>
      <c r="EJ35" s="291">
        <f t="shared" si="21"/>
        <v>0</v>
      </c>
      <c r="EK35" s="291">
        <f t="shared" si="12"/>
        <v>0</v>
      </c>
      <c r="EL35" s="291">
        <f t="shared" si="13"/>
        <v>0</v>
      </c>
      <c r="EM35" s="291">
        <f t="shared" si="14"/>
        <v>0</v>
      </c>
      <c r="EN35" s="291">
        <f t="shared" si="15"/>
        <v>0</v>
      </c>
      <c r="EO35" s="740" t="str">
        <f>CharacterSheet!$Q$59</f>
        <v>Special</v>
      </c>
      <c r="EP35" s="671"/>
      <c r="EQ35" s="671"/>
      <c r="ER35" s="692"/>
      <c r="ES35" s="392"/>
      <c r="ET35" s="381"/>
      <c r="EU35" s="381"/>
      <c r="EV35" s="381"/>
      <c r="EW35" s="381"/>
      <c r="EX35" s="1120" t="str">
        <f>CharacterSheet!$Q$59</f>
        <v>Special</v>
      </c>
      <c r="EY35" s="972"/>
      <c r="EZ35" s="972"/>
      <c r="FA35" s="1121"/>
      <c r="FB35" s="503"/>
      <c r="FC35" s="504"/>
      <c r="FD35" s="504"/>
      <c r="FE35" s="504"/>
      <c r="FF35" s="505"/>
      <c r="FG35" s="1122" t="str">
        <f>CharacterSheet!$Q$59</f>
        <v>Special</v>
      </c>
      <c r="FH35" s="788"/>
      <c r="FI35" s="788"/>
      <c r="FJ35" s="789"/>
      <c r="FK35" s="515"/>
      <c r="FL35" s="516"/>
      <c r="FM35" s="516"/>
      <c r="FN35" s="516"/>
      <c r="FO35" s="517"/>
      <c r="FP35" s="1120" t="str">
        <f>CharacterSheet!$Q$59</f>
        <v>Special</v>
      </c>
      <c r="FQ35" s="972"/>
      <c r="FR35" s="972"/>
      <c r="FS35" s="1121"/>
      <c r="FT35" s="503"/>
      <c r="FU35" s="504"/>
      <c r="FV35" s="504"/>
      <c r="FW35" s="504"/>
      <c r="FX35" s="505"/>
      <c r="FY35" s="1116" t="str">
        <f>CharacterSheet!$Q$59</f>
        <v>Special</v>
      </c>
      <c r="FZ35" s="788"/>
      <c r="GA35" s="788"/>
      <c r="GB35" s="789"/>
      <c r="GC35" s="515"/>
      <c r="GD35" s="516"/>
      <c r="GE35" s="516"/>
      <c r="GF35" s="516"/>
      <c r="GG35" s="517"/>
    </row>
    <row r="36" spans="1:189" ht="16.5" customHeight="1" thickBot="1" x14ac:dyDescent="0.3">
      <c r="A36" s="733"/>
      <c r="B36" s="733"/>
      <c r="C36" s="733"/>
      <c r="D36" s="733"/>
      <c r="E36" s="733"/>
      <c r="F36" s="733"/>
      <c r="G36" s="733"/>
      <c r="H36" s="733"/>
      <c r="I36" s="733"/>
      <c r="J36" s="733"/>
      <c r="K36" s="733"/>
      <c r="L36" s="733"/>
      <c r="M36" s="733"/>
      <c r="N36" s="733"/>
      <c r="O36" s="733"/>
      <c r="P36" s="740" t="str">
        <f>CharacterSheet!$Q$58</f>
        <v>Special</v>
      </c>
      <c r="Q36" s="671"/>
      <c r="R36" s="671"/>
      <c r="S36" s="671"/>
      <c r="T36" s="291">
        <f>IF(Creation!AC31+Creation!AF31&gt;0,1,0)</f>
        <v>0</v>
      </c>
      <c r="U36" s="291">
        <f>IF(Creation!AC31+Creation!AF31&gt;1,1,0)</f>
        <v>0</v>
      </c>
      <c r="V36" s="291">
        <f>IF(Creation!AC31+Creation!AF31&gt;2,1,0)</f>
        <v>0</v>
      </c>
      <c r="W36" s="291">
        <f>IF(Creation!AC31+Creation!AF31&gt;3,1,0)</f>
        <v>0</v>
      </c>
      <c r="X36" s="292">
        <f>IF(Creation!AC31+Creation!AF31&gt;4,1,0)</f>
        <v>0</v>
      </c>
      <c r="Y36" s="890"/>
      <c r="Z36" s="823"/>
      <c r="AA36" s="823"/>
      <c r="AB36" s="823"/>
      <c r="AC36" s="823"/>
      <c r="AD36" s="823"/>
      <c r="AE36" s="823"/>
      <c r="AF36" s="823"/>
      <c r="AG36" s="823"/>
      <c r="AH36" s="824"/>
      <c r="AI36" s="797"/>
      <c r="AJ36" s="754"/>
      <c r="AK36" s="754"/>
      <c r="AL36" s="754"/>
      <c r="AM36" s="754"/>
      <c r="AN36" s="740" t="str">
        <f>CharacterSheet!$Q$58</f>
        <v>Special</v>
      </c>
      <c r="AO36" s="671"/>
      <c r="AP36" s="671"/>
      <c r="AQ36" s="692"/>
      <c r="AR36" s="392"/>
      <c r="AS36" s="381"/>
      <c r="AT36" s="381"/>
      <c r="AU36" s="381"/>
      <c r="AV36" s="382"/>
      <c r="AW36" s="1105"/>
      <c r="AX36" s="1106"/>
      <c r="AY36" s="1106"/>
      <c r="AZ36" s="1106"/>
      <c r="BA36" s="1106"/>
      <c r="BB36" s="1106"/>
      <c r="BC36" s="1106"/>
      <c r="BD36" s="1106"/>
      <c r="BE36" s="1106"/>
      <c r="BF36" s="1106"/>
      <c r="BG36" s="1106"/>
      <c r="BH36" s="1106"/>
      <c r="BI36" s="1106"/>
      <c r="BJ36" s="1106"/>
      <c r="BK36" s="1106"/>
      <c r="BL36" s="740" t="str">
        <f>CharacterSheet!$Q$58</f>
        <v>Special</v>
      </c>
      <c r="BM36" s="671"/>
      <c r="BN36" s="671"/>
      <c r="BO36" s="692"/>
      <c r="BP36" s="400"/>
      <c r="BQ36" s="381"/>
      <c r="BR36" s="381"/>
      <c r="BS36" s="381"/>
      <c r="BT36" s="382"/>
      <c r="BU36" s="754"/>
      <c r="BV36" s="754"/>
      <c r="BW36" s="754"/>
      <c r="BX36" s="754"/>
      <c r="BY36" s="754"/>
      <c r="BZ36" s="754"/>
      <c r="CA36" s="754"/>
      <c r="CB36" s="754"/>
      <c r="CC36" s="754"/>
      <c r="CD36" s="754"/>
      <c r="CE36" s="754"/>
      <c r="CF36" s="754"/>
      <c r="CG36" s="754"/>
      <c r="CH36" s="754"/>
      <c r="CI36" s="754"/>
      <c r="CJ36" s="740" t="str">
        <f>CharacterSheet!$Q$58</f>
        <v>Special</v>
      </c>
      <c r="CK36" s="671"/>
      <c r="CL36" s="671"/>
      <c r="CM36" s="671"/>
      <c r="CN36" s="291">
        <f>IF(AND(T36=0,AR36=0,BP36=0,FB34=0,FK34=0,FT34=0,GC34=0,ES34=0,DemigodConversion!$AC31+DemigodConversion!$AF31&gt;0),1,0)</f>
        <v>0</v>
      </c>
      <c r="CO36" s="291">
        <f>IF(AND(U36=0,AS36=0,BQ36=0,FC34=0,FL34=0,FU34=0,GD34=0,ET34=0,DemigodConversion!$AC31+DemigodConversion!$AF31&gt;1),1,0)</f>
        <v>0</v>
      </c>
      <c r="CP36" s="291">
        <f>IF(AND(V36=0,AT36=0,BR36=0,FD34=0,FM34=0,FV34=0,GE34=0,EU34=0,DemigodConversion!$AC31+DemigodConversion!$AF31&gt;2),1,0)</f>
        <v>0</v>
      </c>
      <c r="CQ36" s="291">
        <f>IF(AND(W36=0,AU36=0,BS36=0,FE34=0,FN34=0,FW34=0,GF34=0,EV34=0,DemigodConversion!$AC31+DemigodConversion!$AF31&gt;3),1,0)</f>
        <v>0</v>
      </c>
      <c r="CR36" s="291">
        <f>IF(AND(X36=0,AV36=0,BT36=0,FF34=0,FO34=0,FX34=0,GG34=0,EW34=0,DemigodConversion!$AC31+DemigodConversion!$AF31&gt;4),1,0)</f>
        <v>0</v>
      </c>
      <c r="CS36" s="733"/>
      <c r="CT36" s="733"/>
      <c r="CU36" s="733"/>
      <c r="CV36" s="733"/>
      <c r="CW36" s="733"/>
      <c r="CX36" s="733"/>
      <c r="CY36" s="733"/>
      <c r="CZ36" s="733"/>
      <c r="DA36" s="733"/>
      <c r="DB36" s="733"/>
      <c r="DC36" s="733"/>
      <c r="DD36" s="733"/>
      <c r="DE36" s="733"/>
      <c r="DF36" s="733"/>
      <c r="DG36" s="733"/>
      <c r="DH36" s="740" t="str">
        <f>CharacterSheet!$Q$58</f>
        <v>Special</v>
      </c>
      <c r="DI36" s="671"/>
      <c r="DJ36" s="671"/>
      <c r="DK36" s="671"/>
      <c r="DL36" s="291">
        <f>IF(AND(T36=0,AR36=0,BP36=0,ES34=0,FB34=0,FK34=0,FT34=0,GC34=0,CN36=0,0&lt;GodConversion!$AC31+GodConversion!$AF31),1,0)</f>
        <v>0</v>
      </c>
      <c r="DM36" s="291">
        <f>IF(AND(U36=0,AS36=0,BQ36=0,ET34=0,FC34=0,FL34=0,FU34=0,GD34=0,CO36=0,1&lt;GodConversion!$AC31+GodConversion!$AF31),1,0)</f>
        <v>0</v>
      </c>
      <c r="DN36" s="291">
        <f>IF(AND(V36=0,AT36=0,BR36=0,EU34=0,FD34=0,FM34=0,FV34=0,GE34=0,CP36=0,2&lt;GodConversion!$AC31+GodConversion!$AF31),1,0)</f>
        <v>0</v>
      </c>
      <c r="DO36" s="291">
        <f>IF(AND(W36=0,AU36=0,BS36=0,EV34=0,FE34=0,FN34=0,FW34=0,GF34=0,CQ36=0,3&lt;GodConversion!$AC31+GodConversion!$AF31),1,0)</f>
        <v>0</v>
      </c>
      <c r="DP36" s="291">
        <f>IF(AND(X36=0,AV36=0,BT36=0,EW34=0,FF34=0,FO34=0,FX34=0,GG34=0,CR36=0,4&lt;GodConversion!$AC31+GodConversion!$AF31),1,0)</f>
        <v>0</v>
      </c>
      <c r="DQ36" s="771"/>
      <c r="DR36" s="771"/>
      <c r="DS36" s="771"/>
      <c r="DT36" s="771"/>
      <c r="DU36" s="771"/>
      <c r="DV36" s="771"/>
      <c r="DW36" s="771"/>
      <c r="DX36" s="771"/>
      <c r="DY36" s="771"/>
      <c r="DZ36" s="771"/>
      <c r="EA36" s="771"/>
      <c r="EB36" s="771"/>
      <c r="EC36" s="771"/>
      <c r="ED36" s="771"/>
      <c r="EE36" s="771"/>
      <c r="EF36" s="740" t="str">
        <f>CharacterSheet!$Q$58</f>
        <v>Special</v>
      </c>
      <c r="EG36" s="671"/>
      <c r="EH36" s="671"/>
      <c r="EI36" s="671"/>
      <c r="EJ36" s="291">
        <f t="shared" si="21"/>
        <v>0</v>
      </c>
      <c r="EK36" s="291">
        <f t="shared" si="12"/>
        <v>0</v>
      </c>
      <c r="EL36" s="291">
        <f t="shared" si="13"/>
        <v>0</v>
      </c>
      <c r="EM36" s="291">
        <f t="shared" si="14"/>
        <v>0</v>
      </c>
      <c r="EN36" s="291">
        <f t="shared" si="15"/>
        <v>0</v>
      </c>
      <c r="EO36" s="735" t="str">
        <f>CharacterSheet!$Q$60</f>
        <v>Special</v>
      </c>
      <c r="EP36" s="712"/>
      <c r="EQ36" s="712"/>
      <c r="ER36" s="720"/>
      <c r="ES36" s="403"/>
      <c r="ET36" s="379"/>
      <c r="EU36" s="381"/>
      <c r="EV36" s="381"/>
      <c r="EW36" s="381"/>
      <c r="EX36" s="1124" t="str">
        <f>CharacterSheet!$Q$60</f>
        <v>Special</v>
      </c>
      <c r="EY36" s="977"/>
      <c r="EZ36" s="977"/>
      <c r="FA36" s="1125"/>
      <c r="FB36" s="506"/>
      <c r="FC36" s="507"/>
      <c r="FD36" s="507"/>
      <c r="FE36" s="507"/>
      <c r="FF36" s="508"/>
      <c r="FG36" s="1145" t="str">
        <f>CharacterSheet!$Q$60</f>
        <v>Special</v>
      </c>
      <c r="FH36" s="1146"/>
      <c r="FI36" s="1146"/>
      <c r="FJ36" s="1147"/>
      <c r="FK36" s="377"/>
      <c r="FL36" s="378"/>
      <c r="FM36" s="378"/>
      <c r="FN36" s="378"/>
      <c r="FO36" s="545"/>
      <c r="FP36" s="1124" t="str">
        <f>CharacterSheet!$Q$60</f>
        <v>Special</v>
      </c>
      <c r="FQ36" s="977"/>
      <c r="FR36" s="977"/>
      <c r="FS36" s="1125"/>
      <c r="FT36" s="506"/>
      <c r="FU36" s="507"/>
      <c r="FV36" s="507"/>
      <c r="FW36" s="507"/>
      <c r="FX36" s="508"/>
      <c r="FY36" s="1148" t="str">
        <f>CharacterSheet!$Q$60</f>
        <v>Special</v>
      </c>
      <c r="FZ36" s="1146"/>
      <c r="GA36" s="1146"/>
      <c r="GB36" s="1147"/>
      <c r="GC36" s="377"/>
      <c r="GD36" s="378"/>
      <c r="GE36" s="378"/>
      <c r="GF36" s="378"/>
      <c r="GG36" s="545"/>
    </row>
    <row r="37" spans="1:189" ht="15.75" customHeight="1" x14ac:dyDescent="0.25">
      <c r="A37" s="733"/>
      <c r="B37" s="733"/>
      <c r="C37" s="733"/>
      <c r="D37" s="733"/>
      <c r="E37" s="733"/>
      <c r="F37" s="733"/>
      <c r="G37" s="733"/>
      <c r="H37" s="733"/>
      <c r="I37" s="733"/>
      <c r="J37" s="733"/>
      <c r="K37" s="733"/>
      <c r="L37" s="733"/>
      <c r="M37" s="733"/>
      <c r="N37" s="733"/>
      <c r="O37" s="733"/>
      <c r="P37" s="740" t="str">
        <f>CharacterSheet!$Q$59</f>
        <v>Special</v>
      </c>
      <c r="Q37" s="671"/>
      <c r="R37" s="671"/>
      <c r="S37" s="671"/>
      <c r="T37" s="291">
        <f>IF(Creation!AC32+Creation!AF32&gt;0,1,0)</f>
        <v>0</v>
      </c>
      <c r="U37" s="291">
        <f>IF(Creation!AC32+Creation!AF32&gt;1,1,0)</f>
        <v>0</v>
      </c>
      <c r="V37" s="291">
        <f>IF(Creation!AC32+Creation!AF32&gt;2,1,0)</f>
        <v>0</v>
      </c>
      <c r="W37" s="291">
        <f>IF(Creation!AC32+Creation!AF32&gt;3,1,0)</f>
        <v>0</v>
      </c>
      <c r="X37" s="292">
        <f>IF(Creation!AC32+Creation!AF32&gt;4,1,0)</f>
        <v>0</v>
      </c>
      <c r="Y37" s="829" t="s">
        <v>32</v>
      </c>
      <c r="Z37" s="820"/>
      <c r="AA37" s="820"/>
      <c r="AB37" s="820"/>
      <c r="AC37" s="820"/>
      <c r="AD37" s="820"/>
      <c r="AE37" s="820">
        <f>AE35-AE33</f>
        <v>0</v>
      </c>
      <c r="AF37" s="820"/>
      <c r="AG37" s="820"/>
      <c r="AH37" s="821"/>
      <c r="AI37" s="797"/>
      <c r="AJ37" s="754"/>
      <c r="AK37" s="754"/>
      <c r="AL37" s="754"/>
      <c r="AM37" s="754"/>
      <c r="AN37" s="740" t="str">
        <f>CharacterSheet!$Q$59</f>
        <v>Special</v>
      </c>
      <c r="AO37" s="671"/>
      <c r="AP37" s="671"/>
      <c r="AQ37" s="692"/>
      <c r="AR37" s="392"/>
      <c r="AS37" s="381"/>
      <c r="AT37" s="381"/>
      <c r="AU37" s="381"/>
      <c r="AV37" s="382"/>
      <c r="AW37" s="1105"/>
      <c r="AX37" s="1106"/>
      <c r="AY37" s="1106"/>
      <c r="AZ37" s="1106"/>
      <c r="BA37" s="1106"/>
      <c r="BB37" s="1106"/>
      <c r="BC37" s="1106"/>
      <c r="BD37" s="1106"/>
      <c r="BE37" s="1106"/>
      <c r="BF37" s="1106"/>
      <c r="BG37" s="1106"/>
      <c r="BH37" s="1106"/>
      <c r="BI37" s="1106"/>
      <c r="BJ37" s="1106"/>
      <c r="BK37" s="1106"/>
      <c r="BL37" s="740" t="str">
        <f>CharacterSheet!$Q$59</f>
        <v>Special</v>
      </c>
      <c r="BM37" s="671"/>
      <c r="BN37" s="671"/>
      <c r="BO37" s="692"/>
      <c r="BP37" s="400"/>
      <c r="BQ37" s="381"/>
      <c r="BR37" s="381"/>
      <c r="BS37" s="381"/>
      <c r="BT37" s="382"/>
      <c r="BU37" s="754"/>
      <c r="BV37" s="754"/>
      <c r="BW37" s="754"/>
      <c r="BX37" s="754"/>
      <c r="BY37" s="754"/>
      <c r="BZ37" s="754"/>
      <c r="CA37" s="754"/>
      <c r="CB37" s="754"/>
      <c r="CC37" s="754"/>
      <c r="CD37" s="754"/>
      <c r="CE37" s="754"/>
      <c r="CF37" s="754"/>
      <c r="CG37" s="754"/>
      <c r="CH37" s="754"/>
      <c r="CI37" s="754"/>
      <c r="CJ37" s="740" t="str">
        <f>CharacterSheet!$Q$59</f>
        <v>Special</v>
      </c>
      <c r="CK37" s="671"/>
      <c r="CL37" s="671"/>
      <c r="CM37" s="671"/>
      <c r="CN37" s="291">
        <f>IF(AND(T37=0,AR37=0,BP37=0,FB35=0,FK35=0,FT35=0,GC35=0,ES35=0,DemigodConversion!$AC32+DemigodConversion!$AF32&gt;0),1,0)</f>
        <v>0</v>
      </c>
      <c r="CO37" s="291">
        <f>IF(AND(U37=0,AS37=0,BQ37=0,FC35=0,FL35=0,FU35=0,GD35=0,ET35=0,DemigodConversion!$AC32+DemigodConversion!$AF32&gt;1),1,0)</f>
        <v>0</v>
      </c>
      <c r="CP37" s="291">
        <f>IF(AND(V37=0,AT37=0,BR37=0,FD35=0,FM35=0,FV35=0,GE35=0,EU35=0,DemigodConversion!$AC32+DemigodConversion!$AF32&gt;2),1,0)</f>
        <v>0</v>
      </c>
      <c r="CQ37" s="291">
        <f>IF(AND(W37=0,AU37=0,BS37=0,FE35=0,FN35=0,FW35=0,GF35=0,EV35=0,DemigodConversion!$AC32+DemigodConversion!$AF32&gt;3),1,0)</f>
        <v>0</v>
      </c>
      <c r="CR37" s="291">
        <f>IF(AND(X37=0,AV37=0,BT37=0,FF35=0,FO35=0,FX35=0,GG35=0,EW35=0,DemigodConversion!$AC32+DemigodConversion!$AF32&gt;4),1,0)</f>
        <v>0</v>
      </c>
      <c r="CS37" s="733"/>
      <c r="CT37" s="733"/>
      <c r="CU37" s="733"/>
      <c r="CV37" s="733"/>
      <c r="CW37" s="733"/>
      <c r="CX37" s="733"/>
      <c r="CY37" s="733"/>
      <c r="CZ37" s="733"/>
      <c r="DA37" s="733"/>
      <c r="DB37" s="733"/>
      <c r="DC37" s="733"/>
      <c r="DD37" s="733"/>
      <c r="DE37" s="733"/>
      <c r="DF37" s="733"/>
      <c r="DG37" s="733"/>
      <c r="DH37" s="740" t="str">
        <f>CharacterSheet!$Q$59</f>
        <v>Special</v>
      </c>
      <c r="DI37" s="671"/>
      <c r="DJ37" s="671"/>
      <c r="DK37" s="671"/>
      <c r="DL37" s="291">
        <f>IF(AND(T37=0,AR37=0,BP37=0,ES35=0,FB35=0,FK35=0,FT35=0,GC35=0,CN37=0,0&lt;GodConversion!$AC32+GodConversion!$AF32),1,0)</f>
        <v>0</v>
      </c>
      <c r="DM37" s="291">
        <f>IF(AND(U37=0,AS37=0,BQ37=0,ET35=0,FC35=0,FL35=0,FU35=0,GD35=0,CO37=0,1&lt;GodConversion!$AC32+GodConversion!$AF32),1,0)</f>
        <v>0</v>
      </c>
      <c r="DN37" s="291">
        <f>IF(AND(V37=0,AT37=0,BR37=0,EU35=0,FD35=0,FM35=0,FV35=0,GE35=0,CP37=0,2&lt;GodConversion!$AC32+GodConversion!$AF32),1,0)</f>
        <v>0</v>
      </c>
      <c r="DO37" s="291">
        <f>IF(AND(W37=0,AU37=0,BS37=0,EV35=0,FE35=0,FN35=0,FW35=0,GF35=0,CQ37=0,3&lt;GodConversion!$AC32+GodConversion!$AF32),1,0)</f>
        <v>0</v>
      </c>
      <c r="DP37" s="291">
        <f>IF(AND(X37=0,AV37=0,BT37=0,EW35=0,FF35=0,FO35=0,FX35=0,GG35=0,CR37=0,4&lt;GodConversion!$AC32+GodConversion!$AF32),1,0)</f>
        <v>0</v>
      </c>
      <c r="DQ37" s="771"/>
      <c r="DR37" s="771"/>
      <c r="DS37" s="771"/>
      <c r="DT37" s="771"/>
      <c r="DU37" s="771"/>
      <c r="DV37" s="771"/>
      <c r="DW37" s="771"/>
      <c r="DX37" s="771"/>
      <c r="DY37" s="771"/>
      <c r="DZ37" s="771"/>
      <c r="EA37" s="771"/>
      <c r="EB37" s="771"/>
      <c r="EC37" s="771"/>
      <c r="ED37" s="771"/>
      <c r="EE37" s="771"/>
      <c r="EF37" s="740" t="str">
        <f>CharacterSheet!$Q$59</f>
        <v>Special</v>
      </c>
      <c r="EG37" s="671"/>
      <c r="EH37" s="671"/>
      <c r="EI37" s="671"/>
      <c r="EJ37" s="291">
        <f t="shared" si="21"/>
        <v>0</v>
      </c>
      <c r="EK37" s="291">
        <f t="shared" si="12"/>
        <v>0</v>
      </c>
      <c r="EL37" s="291">
        <f t="shared" si="13"/>
        <v>0</v>
      </c>
      <c r="EM37" s="291">
        <f t="shared" si="14"/>
        <v>0</v>
      </c>
      <c r="EN37" s="291">
        <f t="shared" si="15"/>
        <v>0</v>
      </c>
      <c r="EO37" s="730"/>
      <c r="EP37" s="730"/>
      <c r="EQ37" s="730"/>
      <c r="ER37" s="730"/>
      <c r="ES37" s="730"/>
      <c r="ET37" s="730"/>
      <c r="EU37" s="730"/>
      <c r="EV37" s="730"/>
      <c r="EW37" s="730"/>
      <c r="EX37" s="730"/>
      <c r="EY37" s="730"/>
      <c r="EZ37" s="730"/>
      <c r="FA37" s="730"/>
      <c r="FB37" s="733"/>
      <c r="FC37" s="733"/>
      <c r="FD37" s="733"/>
      <c r="FE37" s="733"/>
      <c r="FF37" s="733"/>
      <c r="FG37" s="730"/>
      <c r="FH37" s="730"/>
      <c r="FI37" s="730"/>
      <c r="FJ37" s="730"/>
      <c r="FK37" s="730"/>
      <c r="FL37" s="730"/>
      <c r="FM37" s="730"/>
      <c r="FN37" s="730"/>
      <c r="FO37" s="730"/>
      <c r="FP37" s="730"/>
      <c r="FQ37" s="730"/>
      <c r="FR37" s="730"/>
      <c r="FS37" s="730"/>
      <c r="FT37" s="730"/>
      <c r="FU37" s="730"/>
      <c r="FV37" s="730"/>
      <c r="FW37" s="730"/>
      <c r="FX37" s="730"/>
      <c r="FY37" s="730"/>
      <c r="FZ37" s="730"/>
      <c r="GA37" s="730"/>
      <c r="GB37" s="730"/>
      <c r="GC37" s="730"/>
      <c r="GD37" s="730"/>
      <c r="GE37" s="730"/>
      <c r="GF37" s="730"/>
      <c r="GG37" s="730"/>
    </row>
    <row r="38" spans="1:189" ht="15.75" customHeight="1" thickBot="1" x14ac:dyDescent="0.3">
      <c r="A38" s="733"/>
      <c r="B38" s="733"/>
      <c r="C38" s="733"/>
      <c r="D38" s="733"/>
      <c r="E38" s="733"/>
      <c r="F38" s="733"/>
      <c r="G38" s="733"/>
      <c r="H38" s="733"/>
      <c r="I38" s="733"/>
      <c r="J38" s="733"/>
      <c r="K38" s="733"/>
      <c r="L38" s="733"/>
      <c r="M38" s="733"/>
      <c r="N38" s="733"/>
      <c r="O38" s="733"/>
      <c r="P38" s="735" t="str">
        <f>CharacterSheet!$Q$60</f>
        <v>Special</v>
      </c>
      <c r="Q38" s="712"/>
      <c r="R38" s="712"/>
      <c r="S38" s="712"/>
      <c r="T38" s="301">
        <f>IF(Creation!AC33+Creation!AF33&gt;0,1,0)</f>
        <v>0</v>
      </c>
      <c r="U38" s="301">
        <f>IF(Creation!AC33+Creation!AF33&gt;1,1,0)</f>
        <v>0</v>
      </c>
      <c r="V38" s="301">
        <f>IF(Creation!AC33+Creation!AF33&gt;2,1,0)</f>
        <v>0</v>
      </c>
      <c r="W38" s="301">
        <f>IF(Creation!AC33+Creation!AF33&gt;3,1,0)</f>
        <v>0</v>
      </c>
      <c r="X38" s="302">
        <f>IF(Creation!AC33+Creation!AF33&gt;4,1,0)</f>
        <v>0</v>
      </c>
      <c r="Y38" s="890"/>
      <c r="Z38" s="823"/>
      <c r="AA38" s="823"/>
      <c r="AB38" s="823"/>
      <c r="AC38" s="823"/>
      <c r="AD38" s="823"/>
      <c r="AE38" s="823"/>
      <c r="AF38" s="823"/>
      <c r="AG38" s="823"/>
      <c r="AH38" s="824"/>
      <c r="AI38" s="1175"/>
      <c r="AJ38" s="757"/>
      <c r="AK38" s="757"/>
      <c r="AL38" s="757"/>
      <c r="AM38" s="757"/>
      <c r="AN38" s="735" t="str">
        <f>CharacterSheet!$Q$60</f>
        <v>Special</v>
      </c>
      <c r="AO38" s="712"/>
      <c r="AP38" s="712"/>
      <c r="AQ38" s="720"/>
      <c r="AR38" s="403"/>
      <c r="AS38" s="379"/>
      <c r="AT38" s="379"/>
      <c r="AU38" s="379"/>
      <c r="AV38" s="282"/>
      <c r="AW38" s="1105"/>
      <c r="AX38" s="1106"/>
      <c r="AY38" s="1106"/>
      <c r="AZ38" s="1106"/>
      <c r="BA38" s="1106"/>
      <c r="BB38" s="1106"/>
      <c r="BC38" s="1106"/>
      <c r="BD38" s="1106"/>
      <c r="BE38" s="1106"/>
      <c r="BF38" s="1106"/>
      <c r="BG38" s="1106"/>
      <c r="BH38" s="1106"/>
      <c r="BI38" s="1106"/>
      <c r="BJ38" s="1106"/>
      <c r="BK38" s="1106"/>
      <c r="BL38" s="735" t="str">
        <f>CharacterSheet!$Q$60</f>
        <v>Special</v>
      </c>
      <c r="BM38" s="712"/>
      <c r="BN38" s="712"/>
      <c r="BO38" s="720"/>
      <c r="BP38" s="404"/>
      <c r="BQ38" s="379"/>
      <c r="BR38" s="379"/>
      <c r="BS38" s="379"/>
      <c r="BT38" s="282"/>
      <c r="BU38" s="754"/>
      <c r="BV38" s="754"/>
      <c r="BW38" s="754"/>
      <c r="BX38" s="754"/>
      <c r="BY38" s="754"/>
      <c r="BZ38" s="754"/>
      <c r="CA38" s="754"/>
      <c r="CB38" s="754"/>
      <c r="CC38" s="754"/>
      <c r="CD38" s="754"/>
      <c r="CE38" s="754"/>
      <c r="CF38" s="754"/>
      <c r="CG38" s="754"/>
      <c r="CH38" s="754"/>
      <c r="CI38" s="754"/>
      <c r="CJ38" s="735" t="str">
        <f>CharacterSheet!$Q$60</f>
        <v>Special</v>
      </c>
      <c r="CK38" s="712"/>
      <c r="CL38" s="712"/>
      <c r="CM38" s="712"/>
      <c r="CN38" s="291">
        <f>IF(AND(T38=0,AR38=0,BP38=0,FB36=0,FK36=0,FT36=0,GC36=0,ES36=0,DemigodConversion!$AC33+DemigodConversion!$AF33&gt;0),1,0)</f>
        <v>0</v>
      </c>
      <c r="CO38" s="291">
        <f>IF(AND(U38=0,AS38=0,BQ38=0,FC36=0,FL36=0,FU36=0,GD36=0,ET36=0,DemigodConversion!$AC33+DemigodConversion!$AF33&gt;1),1,0)</f>
        <v>0</v>
      </c>
      <c r="CP38" s="291">
        <f>IF(AND(V38=0,AT38=0,BR38=0,FD36=0,FM36=0,FV36=0,GE36=0,EU36=0,DemigodConversion!$AC33+DemigodConversion!$AF33&gt;2),1,0)</f>
        <v>0</v>
      </c>
      <c r="CQ38" s="291">
        <f>IF(AND(W38=0,AU38=0,BS38=0,FE36=0,FN36=0,FW36=0,GF36=0,EV36=0,DemigodConversion!$AC33+DemigodConversion!$AF33&gt;3),1,0)</f>
        <v>0</v>
      </c>
      <c r="CR38" s="291">
        <f>IF(AND(X38=0,AV38=0,BT38=0,FF36=0,FO36=0,FX36=0,GG36=0,EW36=0,DemigodConversion!$AC33+DemigodConversion!$AF33&gt;4),1,0)</f>
        <v>0</v>
      </c>
      <c r="CS38" s="733"/>
      <c r="CT38" s="733"/>
      <c r="CU38" s="733"/>
      <c r="CV38" s="733"/>
      <c r="CW38" s="733"/>
      <c r="CX38" s="733"/>
      <c r="CY38" s="733"/>
      <c r="CZ38" s="733"/>
      <c r="DA38" s="733"/>
      <c r="DB38" s="733"/>
      <c r="DC38" s="733"/>
      <c r="DD38" s="733"/>
      <c r="DE38" s="733"/>
      <c r="DF38" s="733"/>
      <c r="DG38" s="733"/>
      <c r="DH38" s="735" t="str">
        <f>CharacterSheet!$Q$60</f>
        <v>Special</v>
      </c>
      <c r="DI38" s="712"/>
      <c r="DJ38" s="712"/>
      <c r="DK38" s="712"/>
      <c r="DL38" s="291">
        <f>IF(AND(T38=0,AR38=0,BP38=0,ES36=0,FB36=0,FK36=0,FT36=0,GC36=0,CN38=0,0&lt;GodConversion!$AC33+GodConversion!$AF33),1,0)</f>
        <v>0</v>
      </c>
      <c r="DM38" s="291">
        <f>IF(AND(U38=0,AS38=0,BQ38=0,ET36=0,FC36=0,FL36=0,FU36=0,GD36=0,CO38=0,1&lt;GodConversion!$AC33+GodConversion!$AF33),1,0)</f>
        <v>0</v>
      </c>
      <c r="DN38" s="291">
        <f>IF(AND(V38=0,AT38=0,BR38=0,EU36=0,FD36=0,FM36=0,FV36=0,GE36=0,CP38=0,2&lt;GodConversion!$AC33+GodConversion!$AF33),1,0)</f>
        <v>0</v>
      </c>
      <c r="DO38" s="291">
        <f>IF(AND(W38=0,AU38=0,BS38=0,EV36=0,FE36=0,FN36=0,FW36=0,GF36=0,CQ38=0,3&lt;GodConversion!$AC33+GodConversion!$AF33),1,0)</f>
        <v>0</v>
      </c>
      <c r="DP38" s="291">
        <f>IF(AND(X38=0,AV38=0,BT38=0,EW36=0,FF36=0,FO36=0,FX36=0,GG36=0,CR38=0,4&lt;GodConversion!$AC33+GodConversion!$AF33),1,0)</f>
        <v>0</v>
      </c>
      <c r="DQ38" s="771"/>
      <c r="DR38" s="771"/>
      <c r="DS38" s="771"/>
      <c r="DT38" s="771"/>
      <c r="DU38" s="771"/>
      <c r="DV38" s="771"/>
      <c r="DW38" s="771"/>
      <c r="DX38" s="771"/>
      <c r="DY38" s="771"/>
      <c r="DZ38" s="771"/>
      <c r="EA38" s="771"/>
      <c r="EB38" s="771"/>
      <c r="EC38" s="771"/>
      <c r="ED38" s="771"/>
      <c r="EE38" s="771"/>
      <c r="EF38" s="735" t="str">
        <f>CharacterSheet!$Q$60</f>
        <v>Special</v>
      </c>
      <c r="EG38" s="712"/>
      <c r="EH38" s="712"/>
      <c r="EI38" s="712"/>
      <c r="EJ38" s="291">
        <f t="shared" si="21"/>
        <v>0</v>
      </c>
      <c r="EK38" s="291">
        <f t="shared" si="12"/>
        <v>0</v>
      </c>
      <c r="EL38" s="291">
        <f t="shared" si="13"/>
        <v>0</v>
      </c>
      <c r="EM38" s="291">
        <f t="shared" si="14"/>
        <v>0</v>
      </c>
      <c r="EN38" s="291">
        <f t="shared" si="15"/>
        <v>0</v>
      </c>
      <c r="EO38" s="733"/>
      <c r="EP38" s="733"/>
      <c r="EQ38" s="733"/>
      <c r="ER38" s="733"/>
      <c r="ES38" s="733"/>
      <c r="ET38" s="733"/>
      <c r="EU38" s="733"/>
      <c r="EV38" s="733"/>
      <c r="EW38" s="733"/>
      <c r="EX38" s="733"/>
      <c r="EY38" s="733"/>
      <c r="EZ38" s="733"/>
      <c r="FA38" s="733"/>
      <c r="FB38" s="733"/>
      <c r="FC38" s="733"/>
      <c r="FD38" s="733"/>
      <c r="FE38" s="733"/>
      <c r="FF38" s="733"/>
      <c r="FG38" s="733"/>
      <c r="FH38" s="733"/>
      <c r="FI38" s="733"/>
      <c r="FJ38" s="733"/>
      <c r="FK38" s="733"/>
      <c r="FL38" s="733"/>
      <c r="FM38" s="733"/>
      <c r="FN38" s="733"/>
      <c r="FO38" s="733"/>
      <c r="FP38" s="733"/>
      <c r="FQ38" s="733"/>
      <c r="FR38" s="733"/>
      <c r="FS38" s="733"/>
      <c r="FT38" s="733"/>
      <c r="FU38" s="733"/>
      <c r="FV38" s="733"/>
      <c r="FW38" s="733"/>
      <c r="FX38" s="733"/>
      <c r="FY38" s="733"/>
      <c r="FZ38" s="733"/>
      <c r="GA38" s="733"/>
      <c r="GB38" s="733"/>
      <c r="GC38" s="733"/>
      <c r="GD38" s="733"/>
      <c r="GE38" s="733"/>
      <c r="GF38" s="733"/>
      <c r="GG38" s="733"/>
    </row>
    <row r="39" spans="1:189" ht="15" customHeight="1" x14ac:dyDescent="0.25">
      <c r="A39" s="733"/>
      <c r="B39" s="733"/>
      <c r="C39" s="733"/>
      <c r="D39" s="733"/>
      <c r="E39" s="733"/>
      <c r="F39" s="733"/>
      <c r="G39" s="733"/>
      <c r="H39" s="733"/>
      <c r="I39" s="733"/>
      <c r="J39" s="733"/>
      <c r="K39" s="733"/>
      <c r="L39" s="733"/>
      <c r="M39" s="733"/>
      <c r="N39" s="733"/>
      <c r="O39" s="733"/>
      <c r="P39" s="733"/>
      <c r="Q39" s="733"/>
      <c r="R39" s="733"/>
      <c r="S39" s="733"/>
      <c r="T39" s="733"/>
      <c r="U39" s="733"/>
      <c r="V39" s="733"/>
      <c r="W39" s="733"/>
      <c r="X39" s="733"/>
      <c r="Y39" s="932" t="s">
        <v>485</v>
      </c>
      <c r="Z39" s="933"/>
      <c r="AA39" s="933"/>
      <c r="AB39" s="933"/>
      <c r="AC39" s="933"/>
      <c r="AD39" s="933"/>
      <c r="AE39" s="933"/>
      <c r="AF39" s="933"/>
      <c r="AG39" s="933"/>
      <c r="AH39" s="1158"/>
      <c r="AI39" s="1028" t="s">
        <v>71</v>
      </c>
      <c r="AJ39" s="725"/>
      <c r="AK39" s="725"/>
      <c r="AL39" s="409">
        <v>1</v>
      </c>
      <c r="AM39" s="409">
        <v>2</v>
      </c>
      <c r="AN39" s="410">
        <v>3</v>
      </c>
      <c r="AO39" s="410">
        <v>4</v>
      </c>
      <c r="AP39" s="410">
        <v>5</v>
      </c>
      <c r="AQ39" s="410">
        <v>6</v>
      </c>
      <c r="AR39" s="410">
        <v>7</v>
      </c>
      <c r="AS39" s="410">
        <v>8</v>
      </c>
      <c r="AT39" s="410">
        <v>9</v>
      </c>
      <c r="AU39" s="410">
        <v>10</v>
      </c>
      <c r="AV39" s="411">
        <v>11</v>
      </c>
      <c r="AW39" s="1105"/>
      <c r="AX39" s="1106"/>
      <c r="AY39" s="1106"/>
      <c r="AZ39" s="1106"/>
      <c r="BA39" s="1106"/>
      <c r="BB39" s="1106"/>
      <c r="BC39" s="1106"/>
      <c r="BD39" s="1106"/>
      <c r="BE39" s="1106"/>
      <c r="BF39" s="1106"/>
      <c r="BG39" s="1106"/>
      <c r="BH39" s="1106"/>
      <c r="BI39" s="1106"/>
      <c r="BJ39" s="1106"/>
      <c r="BK39" s="1106"/>
      <c r="BL39" s="733"/>
      <c r="BM39" s="733"/>
      <c r="BN39" s="733"/>
      <c r="BO39" s="733"/>
      <c r="BP39" s="733"/>
      <c r="BQ39" s="733"/>
      <c r="BR39" s="733"/>
      <c r="BS39" s="733"/>
      <c r="BT39" s="734"/>
      <c r="BU39" s="797"/>
      <c r="BV39" s="754"/>
      <c r="BW39" s="754"/>
      <c r="BX39" s="754"/>
      <c r="BY39" s="754"/>
      <c r="BZ39" s="754"/>
      <c r="CA39" s="754"/>
      <c r="CB39" s="754"/>
      <c r="CC39" s="754"/>
      <c r="CD39" s="754"/>
      <c r="CE39" s="754"/>
      <c r="CF39" s="754"/>
      <c r="CG39" s="754"/>
      <c r="CH39" s="754"/>
      <c r="CI39" s="754"/>
      <c r="CJ39" s="733"/>
      <c r="CK39" s="733"/>
      <c r="CL39" s="733"/>
      <c r="CM39" s="733"/>
      <c r="CN39" s="733"/>
      <c r="CO39" s="733"/>
      <c r="CP39" s="733"/>
      <c r="CQ39" s="733"/>
      <c r="CR39" s="734"/>
      <c r="CS39" s="733"/>
      <c r="CT39" s="733"/>
      <c r="CU39" s="733"/>
      <c r="CV39" s="733"/>
      <c r="CW39" s="733"/>
      <c r="CX39" s="733"/>
      <c r="CY39" s="733"/>
      <c r="CZ39" s="733"/>
      <c r="DA39" s="733"/>
      <c r="DB39" s="733"/>
      <c r="DC39" s="733"/>
      <c r="DD39" s="733"/>
      <c r="DE39" s="733"/>
      <c r="DF39" s="733"/>
      <c r="DG39" s="733"/>
      <c r="DH39" s="733"/>
      <c r="DI39" s="733"/>
      <c r="DJ39" s="733"/>
      <c r="DK39" s="733"/>
      <c r="DL39" s="733"/>
      <c r="DM39" s="733"/>
      <c r="DN39" s="733"/>
      <c r="DO39" s="733"/>
      <c r="DP39" s="733"/>
      <c r="DQ39" s="932" t="s">
        <v>485</v>
      </c>
      <c r="DR39" s="933"/>
      <c r="DS39" s="933"/>
      <c r="DT39" s="933"/>
      <c r="DU39" s="933"/>
      <c r="DV39" s="933"/>
      <c r="DW39" s="933"/>
      <c r="DX39" s="933"/>
      <c r="DY39" s="933"/>
      <c r="DZ39" s="1158"/>
      <c r="EA39" s="1187" t="s">
        <v>71</v>
      </c>
      <c r="EB39" s="765"/>
      <c r="EC39" s="765"/>
      <c r="ED39" s="412">
        <v>1</v>
      </c>
      <c r="EE39" s="412">
        <v>2</v>
      </c>
      <c r="EF39" s="412">
        <v>3</v>
      </c>
      <c r="EG39" s="412">
        <v>4</v>
      </c>
      <c r="EH39" s="412">
        <v>5</v>
      </c>
      <c r="EI39" s="412">
        <v>6</v>
      </c>
      <c r="EJ39" s="412">
        <v>7</v>
      </c>
      <c r="EK39" s="412">
        <v>8</v>
      </c>
      <c r="EL39" s="412">
        <v>9</v>
      </c>
      <c r="EM39" s="412">
        <v>10</v>
      </c>
      <c r="EN39" s="309">
        <v>11</v>
      </c>
      <c r="EO39" s="733"/>
      <c r="EP39" s="733"/>
      <c r="EQ39" s="733"/>
      <c r="ER39" s="733"/>
      <c r="ES39" s="733"/>
      <c r="ET39" s="733"/>
      <c r="EU39" s="733"/>
      <c r="EV39" s="733"/>
      <c r="EW39" s="733"/>
      <c r="EX39" s="733"/>
      <c r="EY39" s="733"/>
      <c r="EZ39" s="733"/>
      <c r="FA39" s="733"/>
      <c r="FB39" s="733"/>
      <c r="FC39" s="733"/>
      <c r="FD39" s="733"/>
      <c r="FE39" s="733"/>
      <c r="FF39" s="733"/>
      <c r="FG39" s="733"/>
      <c r="FH39" s="733"/>
      <c r="FI39" s="733"/>
      <c r="FJ39" s="733"/>
      <c r="FK39" s="733"/>
      <c r="FL39" s="733"/>
      <c r="FM39" s="733"/>
      <c r="FN39" s="733"/>
      <c r="FO39" s="733"/>
      <c r="FP39" s="733"/>
      <c r="FQ39" s="733"/>
      <c r="FR39" s="733"/>
      <c r="FS39" s="733"/>
      <c r="FT39" s="733"/>
      <c r="FU39" s="733"/>
      <c r="FV39" s="733"/>
      <c r="FW39" s="733"/>
      <c r="FX39" s="733"/>
      <c r="FY39" s="733"/>
      <c r="FZ39" s="733"/>
      <c r="GA39" s="733"/>
      <c r="GB39" s="733"/>
      <c r="GC39" s="733"/>
      <c r="GD39" s="733"/>
      <c r="GE39" s="733"/>
      <c r="GF39" s="733"/>
      <c r="GG39" s="733"/>
    </row>
    <row r="40" spans="1:189" ht="15.75" customHeight="1" thickBot="1" x14ac:dyDescent="0.3">
      <c r="A40" s="733"/>
      <c r="B40" s="733"/>
      <c r="C40" s="733"/>
      <c r="D40" s="733"/>
      <c r="E40" s="733"/>
      <c r="F40" s="733"/>
      <c r="G40" s="733"/>
      <c r="H40" s="733"/>
      <c r="I40" s="733"/>
      <c r="J40" s="733"/>
      <c r="K40" s="733"/>
      <c r="L40" s="733"/>
      <c r="M40" s="733"/>
      <c r="N40" s="733"/>
      <c r="O40" s="733"/>
      <c r="P40" s="733"/>
      <c r="Q40" s="733"/>
      <c r="R40" s="733"/>
      <c r="S40" s="733"/>
      <c r="T40" s="733"/>
      <c r="U40" s="733"/>
      <c r="V40" s="733"/>
      <c r="W40" s="733"/>
      <c r="X40" s="733"/>
      <c r="Y40" s="934"/>
      <c r="Z40" s="935"/>
      <c r="AA40" s="935"/>
      <c r="AB40" s="935"/>
      <c r="AC40" s="935"/>
      <c r="AD40" s="935"/>
      <c r="AE40" s="935"/>
      <c r="AF40" s="935"/>
      <c r="AG40" s="935"/>
      <c r="AH40" s="1162"/>
      <c r="AI40" s="1176" t="s">
        <v>81</v>
      </c>
      <c r="AJ40" s="804"/>
      <c r="AK40" s="804"/>
      <c r="AL40" s="413"/>
      <c r="AM40" s="413"/>
      <c r="AN40" s="413"/>
      <c r="AO40" s="413"/>
      <c r="AP40" s="413"/>
      <c r="AQ40" s="413"/>
      <c r="AR40" s="413"/>
      <c r="AS40" s="413"/>
      <c r="AT40" s="413"/>
      <c r="AU40" s="413"/>
      <c r="AV40" s="414"/>
      <c r="AW40" s="1105"/>
      <c r="AX40" s="1106"/>
      <c r="AY40" s="1106"/>
      <c r="AZ40" s="1106"/>
      <c r="BA40" s="1106"/>
      <c r="BB40" s="1106"/>
      <c r="BC40" s="1106"/>
      <c r="BD40" s="1106"/>
      <c r="BE40" s="1106"/>
      <c r="BF40" s="1106"/>
      <c r="BG40" s="1106"/>
      <c r="BH40" s="1106"/>
      <c r="BI40" s="1106"/>
      <c r="BJ40" s="1106"/>
      <c r="BK40" s="1106"/>
      <c r="BL40" s="733"/>
      <c r="BM40" s="733"/>
      <c r="BN40" s="733"/>
      <c r="BO40" s="733"/>
      <c r="BP40" s="733"/>
      <c r="BQ40" s="733"/>
      <c r="BR40" s="733"/>
      <c r="BS40" s="733"/>
      <c r="BT40" s="734"/>
      <c r="BU40" s="797"/>
      <c r="BV40" s="754"/>
      <c r="BW40" s="754"/>
      <c r="BX40" s="754"/>
      <c r="BY40" s="754"/>
      <c r="BZ40" s="754"/>
      <c r="CA40" s="754"/>
      <c r="CB40" s="754"/>
      <c r="CC40" s="754"/>
      <c r="CD40" s="754"/>
      <c r="CE40" s="754"/>
      <c r="CF40" s="754"/>
      <c r="CG40" s="754"/>
      <c r="CH40" s="754"/>
      <c r="CI40" s="754"/>
      <c r="CJ40" s="733"/>
      <c r="CK40" s="733"/>
      <c r="CL40" s="733"/>
      <c r="CM40" s="733"/>
      <c r="CN40" s="733"/>
      <c r="CO40" s="733"/>
      <c r="CP40" s="733"/>
      <c r="CQ40" s="733"/>
      <c r="CR40" s="734"/>
      <c r="CS40" s="733"/>
      <c r="CT40" s="733"/>
      <c r="CU40" s="733"/>
      <c r="CV40" s="733"/>
      <c r="CW40" s="733"/>
      <c r="CX40" s="733"/>
      <c r="CY40" s="733"/>
      <c r="CZ40" s="733"/>
      <c r="DA40" s="733"/>
      <c r="DB40" s="733"/>
      <c r="DC40" s="733"/>
      <c r="DD40" s="733"/>
      <c r="DE40" s="733"/>
      <c r="DF40" s="733"/>
      <c r="DG40" s="733"/>
      <c r="DH40" s="733"/>
      <c r="DI40" s="733"/>
      <c r="DJ40" s="733"/>
      <c r="DK40" s="733"/>
      <c r="DL40" s="733"/>
      <c r="DM40" s="733"/>
      <c r="DN40" s="733"/>
      <c r="DO40" s="733"/>
      <c r="DP40" s="733"/>
      <c r="DQ40" s="934"/>
      <c r="DR40" s="935"/>
      <c r="DS40" s="935"/>
      <c r="DT40" s="935"/>
      <c r="DU40" s="935"/>
      <c r="DV40" s="935"/>
      <c r="DW40" s="935"/>
      <c r="DX40" s="935"/>
      <c r="DY40" s="935"/>
      <c r="DZ40" s="1162"/>
      <c r="EA40" s="1176" t="s">
        <v>33</v>
      </c>
      <c r="EB40" s="804"/>
      <c r="EC40" s="804"/>
      <c r="ED40" s="415">
        <f>ED39*AL40*4</f>
        <v>0</v>
      </c>
      <c r="EE40" s="415">
        <f>EE39*AM40*4</f>
        <v>0</v>
      </c>
      <c r="EF40" s="415">
        <f t="shared" ref="EF40:EN40" si="22">EF39*AN40*4</f>
        <v>0</v>
      </c>
      <c r="EG40" s="415">
        <f t="shared" si="22"/>
        <v>0</v>
      </c>
      <c r="EH40" s="415">
        <f t="shared" si="22"/>
        <v>0</v>
      </c>
      <c r="EI40" s="415">
        <f t="shared" si="22"/>
        <v>0</v>
      </c>
      <c r="EJ40" s="415">
        <f t="shared" si="22"/>
        <v>0</v>
      </c>
      <c r="EK40" s="415">
        <f t="shared" si="22"/>
        <v>0</v>
      </c>
      <c r="EL40" s="415">
        <f t="shared" si="22"/>
        <v>0</v>
      </c>
      <c r="EM40" s="415">
        <f t="shared" si="22"/>
        <v>0</v>
      </c>
      <c r="EN40" s="416">
        <f t="shared" si="22"/>
        <v>0</v>
      </c>
      <c r="EO40" s="733"/>
      <c r="EP40" s="733"/>
      <c r="EQ40" s="733"/>
      <c r="ER40" s="733"/>
      <c r="ES40" s="733"/>
      <c r="ET40" s="733"/>
      <c r="EU40" s="733"/>
      <c r="EV40" s="733"/>
      <c r="EW40" s="733"/>
      <c r="EX40" s="733"/>
      <c r="EY40" s="733"/>
      <c r="EZ40" s="733"/>
      <c r="FA40" s="733"/>
      <c r="FB40" s="733"/>
      <c r="FC40" s="733"/>
      <c r="FD40" s="733"/>
      <c r="FE40" s="733"/>
      <c r="FF40" s="733"/>
      <c r="FG40" s="733"/>
      <c r="FH40" s="733"/>
      <c r="FI40" s="733"/>
      <c r="FJ40" s="733"/>
      <c r="FK40" s="733"/>
      <c r="FL40" s="733"/>
      <c r="FM40" s="733"/>
      <c r="FN40" s="733"/>
      <c r="FO40" s="733"/>
      <c r="FP40" s="733"/>
      <c r="FQ40" s="733"/>
      <c r="FR40" s="733"/>
      <c r="FS40" s="733"/>
      <c r="FT40" s="733"/>
      <c r="FU40" s="733"/>
      <c r="FV40" s="733"/>
      <c r="FW40" s="733"/>
      <c r="FX40" s="733"/>
      <c r="FY40" s="733"/>
      <c r="FZ40" s="733"/>
      <c r="GA40" s="733"/>
      <c r="GB40" s="733"/>
      <c r="GC40" s="733"/>
      <c r="GD40" s="733"/>
      <c r="GE40" s="733"/>
      <c r="GF40" s="733"/>
      <c r="GG40" s="733"/>
    </row>
    <row r="41" spans="1:189" ht="15.75" customHeight="1" x14ac:dyDescent="0.25">
      <c r="A41" s="733"/>
      <c r="B41" s="733"/>
      <c r="C41" s="733"/>
      <c r="D41" s="733"/>
      <c r="E41" s="733"/>
      <c r="F41" s="733"/>
      <c r="G41" s="733"/>
      <c r="H41" s="733"/>
      <c r="I41" s="733"/>
      <c r="J41" s="733"/>
      <c r="K41" s="733"/>
      <c r="L41" s="733"/>
      <c r="M41" s="733"/>
      <c r="N41" s="733"/>
      <c r="O41" s="733"/>
      <c r="P41" s="733"/>
      <c r="Q41" s="733"/>
      <c r="R41" s="733"/>
      <c r="S41" s="733"/>
      <c r="T41" s="733"/>
      <c r="U41" s="733"/>
      <c r="V41" s="733"/>
      <c r="W41" s="733"/>
      <c r="X41" s="733"/>
      <c r="Y41" s="932" t="s">
        <v>487</v>
      </c>
      <c r="Z41" s="933"/>
      <c r="AA41" s="933"/>
      <c r="AB41" s="933"/>
      <c r="AC41" s="933"/>
      <c r="AD41" s="933"/>
      <c r="AE41" s="933"/>
      <c r="AF41" s="933"/>
      <c r="AG41" s="933"/>
      <c r="AH41" s="1158"/>
      <c r="AI41" s="1187" t="s">
        <v>71</v>
      </c>
      <c r="AJ41" s="765"/>
      <c r="AK41" s="765"/>
      <c r="AL41" s="409">
        <v>1</v>
      </c>
      <c r="AM41" s="409">
        <v>2</v>
      </c>
      <c r="AN41" s="409">
        <v>3</v>
      </c>
      <c r="AO41" s="409">
        <v>4</v>
      </c>
      <c r="AP41" s="409">
        <v>5</v>
      </c>
      <c r="AQ41" s="409">
        <v>6</v>
      </c>
      <c r="AR41" s="409">
        <v>7</v>
      </c>
      <c r="AS41" s="409">
        <v>8</v>
      </c>
      <c r="AT41" s="409">
        <v>9</v>
      </c>
      <c r="AU41" s="409">
        <v>10</v>
      </c>
      <c r="AV41" s="417">
        <v>11</v>
      </c>
      <c r="AW41" s="1105"/>
      <c r="AX41" s="1106"/>
      <c r="AY41" s="1106"/>
      <c r="AZ41" s="1106"/>
      <c r="BA41" s="1106"/>
      <c r="BB41" s="1106"/>
      <c r="BC41" s="1106"/>
      <c r="BD41" s="1106"/>
      <c r="BE41" s="1106"/>
      <c r="BF41" s="1106"/>
      <c r="BG41" s="1106"/>
      <c r="BH41" s="1106"/>
      <c r="BI41" s="1106"/>
      <c r="BJ41" s="1106"/>
      <c r="BK41" s="1106"/>
      <c r="BL41" s="733"/>
      <c r="BM41" s="733"/>
      <c r="BN41" s="733"/>
      <c r="BO41" s="733"/>
      <c r="BP41" s="733"/>
      <c r="BQ41" s="733"/>
      <c r="BR41" s="733"/>
      <c r="BS41" s="733"/>
      <c r="BT41" s="734"/>
      <c r="BU41" s="797"/>
      <c r="BV41" s="754"/>
      <c r="BW41" s="754"/>
      <c r="BX41" s="754"/>
      <c r="BY41" s="754"/>
      <c r="BZ41" s="754"/>
      <c r="CA41" s="754"/>
      <c r="CB41" s="754"/>
      <c r="CC41" s="754"/>
      <c r="CD41" s="754"/>
      <c r="CE41" s="754"/>
      <c r="CF41" s="754"/>
      <c r="CG41" s="754"/>
      <c r="CH41" s="754"/>
      <c r="CI41" s="754"/>
      <c r="CJ41" s="733"/>
      <c r="CK41" s="733"/>
      <c r="CL41" s="733"/>
      <c r="CM41" s="733"/>
      <c r="CN41" s="733"/>
      <c r="CO41" s="733"/>
      <c r="CP41" s="733"/>
      <c r="CQ41" s="733"/>
      <c r="CR41" s="734"/>
      <c r="CS41" s="733"/>
      <c r="CT41" s="733"/>
      <c r="CU41" s="733"/>
      <c r="CV41" s="733"/>
      <c r="CW41" s="733"/>
      <c r="CX41" s="733"/>
      <c r="CY41" s="733"/>
      <c r="CZ41" s="733"/>
      <c r="DA41" s="733"/>
      <c r="DB41" s="733"/>
      <c r="DC41" s="733"/>
      <c r="DD41" s="733"/>
      <c r="DE41" s="733"/>
      <c r="DF41" s="733"/>
      <c r="DG41" s="733"/>
      <c r="DH41" s="733"/>
      <c r="DI41" s="733"/>
      <c r="DJ41" s="733"/>
      <c r="DK41" s="733"/>
      <c r="DL41" s="733"/>
      <c r="DM41" s="733"/>
      <c r="DN41" s="733"/>
      <c r="DO41" s="733"/>
      <c r="DP41" s="733"/>
      <c r="DQ41" s="932" t="s">
        <v>487</v>
      </c>
      <c r="DR41" s="933"/>
      <c r="DS41" s="933"/>
      <c r="DT41" s="933"/>
      <c r="DU41" s="933"/>
      <c r="DV41" s="933"/>
      <c r="DW41" s="933"/>
      <c r="DX41" s="933"/>
      <c r="DY41" s="933"/>
      <c r="DZ41" s="1158"/>
      <c r="EA41" s="1187" t="s">
        <v>71</v>
      </c>
      <c r="EB41" s="765"/>
      <c r="EC41" s="765"/>
      <c r="ED41" s="412">
        <v>1</v>
      </c>
      <c r="EE41" s="412">
        <v>2</v>
      </c>
      <c r="EF41" s="412">
        <v>3</v>
      </c>
      <c r="EG41" s="412">
        <v>4</v>
      </c>
      <c r="EH41" s="412">
        <v>5</v>
      </c>
      <c r="EI41" s="412">
        <v>6</v>
      </c>
      <c r="EJ41" s="412">
        <v>7</v>
      </c>
      <c r="EK41" s="412">
        <v>8</v>
      </c>
      <c r="EL41" s="412">
        <v>9</v>
      </c>
      <c r="EM41" s="412">
        <v>10</v>
      </c>
      <c r="EN41" s="309">
        <v>11</v>
      </c>
      <c r="EO41" s="733"/>
      <c r="EP41" s="733"/>
      <c r="EQ41" s="733"/>
      <c r="ER41" s="733"/>
      <c r="ES41" s="733"/>
      <c r="ET41" s="733"/>
      <c r="EU41" s="733"/>
      <c r="EV41" s="733"/>
      <c r="EW41" s="733"/>
      <c r="EX41" s="733"/>
      <c r="EY41" s="733"/>
      <c r="EZ41" s="733"/>
      <c r="FA41" s="733"/>
      <c r="FB41" s="733"/>
      <c r="FC41" s="733"/>
      <c r="FD41" s="733"/>
      <c r="FE41" s="733"/>
      <c r="FF41" s="733"/>
      <c r="FG41" s="733"/>
      <c r="FH41" s="733"/>
      <c r="FI41" s="733"/>
      <c r="FJ41" s="733"/>
      <c r="FK41" s="733"/>
      <c r="FL41" s="733"/>
      <c r="FM41" s="733"/>
      <c r="FN41" s="733"/>
      <c r="FO41" s="733"/>
      <c r="FP41" s="733"/>
      <c r="FQ41" s="733"/>
      <c r="FR41" s="733"/>
      <c r="FS41" s="733"/>
      <c r="FT41" s="733"/>
      <c r="FU41" s="733"/>
      <c r="FV41" s="733"/>
      <c r="FW41" s="733"/>
      <c r="FX41" s="733"/>
      <c r="FY41" s="733"/>
      <c r="FZ41" s="733"/>
      <c r="GA41" s="733"/>
      <c r="GB41" s="733"/>
      <c r="GC41" s="733"/>
      <c r="GD41" s="733"/>
      <c r="GE41" s="733"/>
      <c r="GF41" s="733"/>
      <c r="GG41" s="733"/>
    </row>
    <row r="42" spans="1:189" ht="15" customHeight="1" thickBot="1" x14ac:dyDescent="0.3">
      <c r="A42" s="733"/>
      <c r="B42" s="733"/>
      <c r="C42" s="733"/>
      <c r="D42" s="733"/>
      <c r="E42" s="733"/>
      <c r="F42" s="733"/>
      <c r="G42" s="733"/>
      <c r="H42" s="733"/>
      <c r="I42" s="733"/>
      <c r="J42" s="733"/>
      <c r="K42" s="733"/>
      <c r="L42" s="733"/>
      <c r="M42" s="733"/>
      <c r="N42" s="733"/>
      <c r="O42" s="733"/>
      <c r="P42" s="733"/>
      <c r="Q42" s="733"/>
      <c r="R42" s="733"/>
      <c r="S42" s="733"/>
      <c r="T42" s="733"/>
      <c r="U42" s="733"/>
      <c r="V42" s="733"/>
      <c r="W42" s="733"/>
      <c r="X42" s="733"/>
      <c r="Y42" s="934"/>
      <c r="Z42" s="935"/>
      <c r="AA42" s="935"/>
      <c r="AB42" s="935"/>
      <c r="AC42" s="935"/>
      <c r="AD42" s="935"/>
      <c r="AE42" s="935"/>
      <c r="AF42" s="935"/>
      <c r="AG42" s="935"/>
      <c r="AH42" s="1162"/>
      <c r="AI42" s="1176" t="s">
        <v>81</v>
      </c>
      <c r="AJ42" s="804"/>
      <c r="AK42" s="804"/>
      <c r="AL42" s="413"/>
      <c r="AM42" s="413"/>
      <c r="AN42" s="413"/>
      <c r="AO42" s="413"/>
      <c r="AP42" s="413"/>
      <c r="AQ42" s="413"/>
      <c r="AR42" s="413"/>
      <c r="AS42" s="413"/>
      <c r="AT42" s="413"/>
      <c r="AU42" s="413"/>
      <c r="AV42" s="414"/>
      <c r="AW42" s="1105"/>
      <c r="AX42" s="1106"/>
      <c r="AY42" s="1106"/>
      <c r="AZ42" s="1106"/>
      <c r="BA42" s="1106"/>
      <c r="BB42" s="1106"/>
      <c r="BC42" s="1106"/>
      <c r="BD42" s="1106"/>
      <c r="BE42" s="1106"/>
      <c r="BF42" s="1106"/>
      <c r="BG42" s="1106"/>
      <c r="BH42" s="1106"/>
      <c r="BI42" s="1106"/>
      <c r="BJ42" s="1106"/>
      <c r="BK42" s="1106"/>
      <c r="BL42" s="733"/>
      <c r="BM42" s="733"/>
      <c r="BN42" s="733"/>
      <c r="BO42" s="733"/>
      <c r="BP42" s="733"/>
      <c r="BQ42" s="733"/>
      <c r="BR42" s="733"/>
      <c r="BS42" s="733"/>
      <c r="BT42" s="734"/>
      <c r="BU42" s="797"/>
      <c r="BV42" s="754"/>
      <c r="BW42" s="754"/>
      <c r="BX42" s="754"/>
      <c r="BY42" s="754"/>
      <c r="BZ42" s="754"/>
      <c r="CA42" s="754"/>
      <c r="CB42" s="754"/>
      <c r="CC42" s="754"/>
      <c r="CD42" s="754"/>
      <c r="CE42" s="754"/>
      <c r="CF42" s="754"/>
      <c r="CG42" s="754"/>
      <c r="CH42" s="754"/>
      <c r="CI42" s="754"/>
      <c r="CJ42" s="733"/>
      <c r="CK42" s="733"/>
      <c r="CL42" s="733"/>
      <c r="CM42" s="733"/>
      <c r="CN42" s="733"/>
      <c r="CO42" s="733"/>
      <c r="CP42" s="733"/>
      <c r="CQ42" s="733"/>
      <c r="CR42" s="734"/>
      <c r="CS42" s="733"/>
      <c r="CT42" s="733"/>
      <c r="CU42" s="733"/>
      <c r="CV42" s="733"/>
      <c r="CW42" s="733"/>
      <c r="CX42" s="733"/>
      <c r="CY42" s="733"/>
      <c r="CZ42" s="733"/>
      <c r="DA42" s="733"/>
      <c r="DB42" s="733"/>
      <c r="DC42" s="733"/>
      <c r="DD42" s="733"/>
      <c r="DE42" s="733"/>
      <c r="DF42" s="733"/>
      <c r="DG42" s="733"/>
      <c r="DH42" s="733"/>
      <c r="DI42" s="733"/>
      <c r="DJ42" s="733"/>
      <c r="DK42" s="733"/>
      <c r="DL42" s="733"/>
      <c r="DM42" s="733"/>
      <c r="DN42" s="733"/>
      <c r="DO42" s="733"/>
      <c r="DP42" s="733"/>
      <c r="DQ42" s="934"/>
      <c r="DR42" s="935"/>
      <c r="DS42" s="935"/>
      <c r="DT42" s="935"/>
      <c r="DU42" s="935"/>
      <c r="DV42" s="935"/>
      <c r="DW42" s="935"/>
      <c r="DX42" s="935"/>
      <c r="DY42" s="935"/>
      <c r="DZ42" s="1162"/>
      <c r="EA42" s="1176" t="s">
        <v>33</v>
      </c>
      <c r="EB42" s="804"/>
      <c r="EC42" s="804"/>
      <c r="ED42" s="415">
        <f>ED41*AL42*5</f>
        <v>0</v>
      </c>
      <c r="EE42" s="415">
        <f t="shared" ref="EE42" si="23">EE41*AM42*5</f>
        <v>0</v>
      </c>
      <c r="EF42" s="415">
        <f t="shared" ref="EF42" si="24">EF41*AN42*5</f>
        <v>0</v>
      </c>
      <c r="EG42" s="415">
        <f t="shared" ref="EG42" si="25">EG41*AO42*5</f>
        <v>0</v>
      </c>
      <c r="EH42" s="415">
        <f t="shared" ref="EH42" si="26">EH41*AP42*5</f>
        <v>0</v>
      </c>
      <c r="EI42" s="415">
        <f t="shared" ref="EI42" si="27">EI41*AQ42*5</f>
        <v>0</v>
      </c>
      <c r="EJ42" s="415">
        <f t="shared" ref="EJ42" si="28">EJ41*AR42*5</f>
        <v>0</v>
      </c>
      <c r="EK42" s="415">
        <f t="shared" ref="EK42" si="29">EK41*AS42*5</f>
        <v>0</v>
      </c>
      <c r="EL42" s="415">
        <f t="shared" ref="EL42" si="30">EL41*AT42*5</f>
        <v>0</v>
      </c>
      <c r="EM42" s="415">
        <f t="shared" ref="EM42" si="31">EM41*AU42*5</f>
        <v>0</v>
      </c>
      <c r="EN42" s="416">
        <f t="shared" ref="EN42" si="32">EN41*AV42*5</f>
        <v>0</v>
      </c>
      <c r="EO42" s="733"/>
      <c r="EP42" s="733"/>
      <c r="EQ42" s="733"/>
      <c r="ER42" s="733"/>
      <c r="ES42" s="733"/>
      <c r="ET42" s="733"/>
      <c r="EU42" s="733"/>
      <c r="EV42" s="733"/>
      <c r="EW42" s="733"/>
      <c r="EX42" s="733"/>
      <c r="EY42" s="733"/>
      <c r="EZ42" s="733"/>
      <c r="FA42" s="733"/>
      <c r="FB42" s="733"/>
      <c r="FC42" s="733"/>
      <c r="FD42" s="733"/>
      <c r="FE42" s="733"/>
      <c r="FF42" s="733"/>
      <c r="FG42" s="733"/>
      <c r="FH42" s="733"/>
      <c r="FI42" s="733"/>
      <c r="FJ42" s="733"/>
      <c r="FK42" s="733"/>
      <c r="FL42" s="733"/>
      <c r="FM42" s="733"/>
      <c r="FN42" s="733"/>
      <c r="FO42" s="733"/>
      <c r="FP42" s="733"/>
      <c r="FQ42" s="733"/>
      <c r="FR42" s="733"/>
      <c r="FS42" s="733"/>
      <c r="FT42" s="733"/>
      <c r="FU42" s="733"/>
      <c r="FV42" s="733"/>
      <c r="FW42" s="733"/>
      <c r="FX42" s="733"/>
      <c r="FY42" s="733"/>
      <c r="FZ42" s="733"/>
      <c r="GA42" s="733"/>
      <c r="GB42" s="733"/>
      <c r="GC42" s="733"/>
      <c r="GD42" s="733"/>
      <c r="GE42" s="733"/>
      <c r="GF42" s="733"/>
      <c r="GG42" s="733"/>
    </row>
    <row r="43" spans="1:189" ht="15" customHeight="1" x14ac:dyDescent="0.25">
      <c r="A43" s="733"/>
      <c r="B43" s="733"/>
      <c r="C43" s="733"/>
      <c r="D43" s="733"/>
      <c r="E43" s="733"/>
      <c r="F43" s="733"/>
      <c r="G43" s="733"/>
      <c r="H43" s="733"/>
      <c r="I43" s="733"/>
      <c r="J43" s="733"/>
      <c r="K43" s="733"/>
      <c r="L43" s="733"/>
      <c r="M43" s="733"/>
      <c r="N43" s="733"/>
      <c r="O43" s="733"/>
      <c r="P43" s="733"/>
      <c r="Q43" s="733"/>
      <c r="R43" s="733"/>
      <c r="S43" s="733"/>
      <c r="T43" s="733"/>
      <c r="U43" s="733"/>
      <c r="V43" s="733"/>
      <c r="W43" s="733"/>
      <c r="X43" s="733"/>
      <c r="Y43" s="932" t="s">
        <v>488</v>
      </c>
      <c r="Z43" s="933"/>
      <c r="AA43" s="933"/>
      <c r="AB43" s="933"/>
      <c r="AC43" s="933"/>
      <c r="AD43" s="933"/>
      <c r="AE43" s="933"/>
      <c r="AF43" s="933"/>
      <c r="AG43" s="933"/>
      <c r="AH43" s="1158"/>
      <c r="AI43" s="1187" t="s">
        <v>71</v>
      </c>
      <c r="AJ43" s="765"/>
      <c r="AK43" s="765"/>
      <c r="AL43" s="409">
        <v>1</v>
      </c>
      <c r="AM43" s="409">
        <v>2</v>
      </c>
      <c r="AN43" s="409">
        <v>3</v>
      </c>
      <c r="AO43" s="409">
        <v>4</v>
      </c>
      <c r="AP43" s="409">
        <v>5</v>
      </c>
      <c r="AQ43" s="409">
        <v>6</v>
      </c>
      <c r="AR43" s="409">
        <v>7</v>
      </c>
      <c r="AS43" s="409">
        <v>8</v>
      </c>
      <c r="AT43" s="409">
        <v>9</v>
      </c>
      <c r="AU43" s="409">
        <v>10</v>
      </c>
      <c r="AV43" s="417">
        <v>11</v>
      </c>
      <c r="AW43" s="1105"/>
      <c r="AX43" s="1106"/>
      <c r="AY43" s="1106"/>
      <c r="AZ43" s="1106"/>
      <c r="BA43" s="1106"/>
      <c r="BB43" s="1106"/>
      <c r="BC43" s="1106"/>
      <c r="BD43" s="1106"/>
      <c r="BE43" s="1106"/>
      <c r="BF43" s="1106"/>
      <c r="BG43" s="1106"/>
      <c r="BH43" s="1106"/>
      <c r="BI43" s="1106"/>
      <c r="BJ43" s="1106"/>
      <c r="BK43" s="1106"/>
      <c r="BL43" s="733"/>
      <c r="BM43" s="733"/>
      <c r="BN43" s="733"/>
      <c r="BO43" s="733"/>
      <c r="BP43" s="733"/>
      <c r="BQ43" s="733"/>
      <c r="BR43" s="733"/>
      <c r="BS43" s="733"/>
      <c r="BT43" s="734"/>
      <c r="BU43" s="797"/>
      <c r="BV43" s="754"/>
      <c r="BW43" s="754"/>
      <c r="BX43" s="754"/>
      <c r="BY43" s="754"/>
      <c r="BZ43" s="754"/>
      <c r="CA43" s="754"/>
      <c r="CB43" s="754"/>
      <c r="CC43" s="754"/>
      <c r="CD43" s="754"/>
      <c r="CE43" s="754"/>
      <c r="CF43" s="754"/>
      <c r="CG43" s="754"/>
      <c r="CH43" s="754"/>
      <c r="CI43" s="754"/>
      <c r="CJ43" s="733"/>
      <c r="CK43" s="733"/>
      <c r="CL43" s="733"/>
      <c r="CM43" s="733"/>
      <c r="CN43" s="733"/>
      <c r="CO43" s="733"/>
      <c r="CP43" s="733"/>
      <c r="CQ43" s="733"/>
      <c r="CR43" s="734"/>
      <c r="CS43" s="733"/>
      <c r="CT43" s="733"/>
      <c r="CU43" s="733"/>
      <c r="CV43" s="733"/>
      <c r="CW43" s="733"/>
      <c r="CX43" s="733"/>
      <c r="CY43" s="733"/>
      <c r="CZ43" s="733"/>
      <c r="DA43" s="733"/>
      <c r="DB43" s="733"/>
      <c r="DC43" s="733"/>
      <c r="DD43" s="733"/>
      <c r="DE43" s="733"/>
      <c r="DF43" s="733"/>
      <c r="DG43" s="733"/>
      <c r="DH43" s="733"/>
      <c r="DI43" s="733"/>
      <c r="DJ43" s="733"/>
      <c r="DK43" s="733"/>
      <c r="DL43" s="733"/>
      <c r="DM43" s="733"/>
      <c r="DN43" s="733"/>
      <c r="DO43" s="733"/>
      <c r="DP43" s="733"/>
      <c r="DQ43" s="932" t="s">
        <v>488</v>
      </c>
      <c r="DR43" s="933"/>
      <c r="DS43" s="933"/>
      <c r="DT43" s="933"/>
      <c r="DU43" s="933"/>
      <c r="DV43" s="933"/>
      <c r="DW43" s="933"/>
      <c r="DX43" s="933"/>
      <c r="DY43" s="933"/>
      <c r="DZ43" s="1158"/>
      <c r="EA43" s="1187" t="s">
        <v>71</v>
      </c>
      <c r="EB43" s="765"/>
      <c r="EC43" s="765"/>
      <c r="ED43" s="412">
        <v>1</v>
      </c>
      <c r="EE43" s="412">
        <v>2</v>
      </c>
      <c r="EF43" s="412">
        <v>3</v>
      </c>
      <c r="EG43" s="412">
        <v>4</v>
      </c>
      <c r="EH43" s="412">
        <v>5</v>
      </c>
      <c r="EI43" s="412">
        <v>6</v>
      </c>
      <c r="EJ43" s="412">
        <v>7</v>
      </c>
      <c r="EK43" s="412">
        <v>8</v>
      </c>
      <c r="EL43" s="412">
        <v>9</v>
      </c>
      <c r="EM43" s="412">
        <v>10</v>
      </c>
      <c r="EN43" s="309">
        <v>11</v>
      </c>
      <c r="EO43" s="733"/>
      <c r="EP43" s="733"/>
      <c r="EQ43" s="733"/>
      <c r="ER43" s="733"/>
      <c r="ES43" s="733"/>
      <c r="ET43" s="733"/>
      <c r="EU43" s="733"/>
      <c r="EV43" s="733"/>
      <c r="EW43" s="733"/>
      <c r="EX43" s="733"/>
      <c r="EY43" s="733"/>
      <c r="EZ43" s="733"/>
      <c r="FA43" s="733"/>
      <c r="FB43" s="733"/>
      <c r="FC43" s="733"/>
      <c r="FD43" s="733"/>
      <c r="FE43" s="733"/>
      <c r="FF43" s="733"/>
      <c r="FG43" s="733"/>
      <c r="FH43" s="733"/>
      <c r="FI43" s="733"/>
      <c r="FJ43" s="733"/>
      <c r="FK43" s="733"/>
      <c r="FL43" s="733"/>
      <c r="FM43" s="733"/>
      <c r="FN43" s="733"/>
      <c r="FO43" s="733"/>
      <c r="FP43" s="733"/>
      <c r="FQ43" s="733"/>
      <c r="FR43" s="733"/>
      <c r="FS43" s="733"/>
      <c r="FT43" s="733"/>
      <c r="FU43" s="733"/>
      <c r="FV43" s="733"/>
      <c r="FW43" s="733"/>
      <c r="FX43" s="733"/>
      <c r="FY43" s="733"/>
      <c r="FZ43" s="733"/>
      <c r="GA43" s="733"/>
      <c r="GB43" s="733"/>
      <c r="GC43" s="733"/>
      <c r="GD43" s="733"/>
      <c r="GE43" s="733"/>
      <c r="GF43" s="733"/>
      <c r="GG43" s="733"/>
    </row>
    <row r="44" spans="1:189" ht="15" customHeight="1" thickBot="1" x14ac:dyDescent="0.3">
      <c r="A44" s="733"/>
      <c r="B44" s="733"/>
      <c r="C44" s="733"/>
      <c r="D44" s="733"/>
      <c r="E44" s="733"/>
      <c r="F44" s="733"/>
      <c r="G44" s="733"/>
      <c r="H44" s="733"/>
      <c r="I44" s="733"/>
      <c r="J44" s="733"/>
      <c r="K44" s="733"/>
      <c r="L44" s="733"/>
      <c r="M44" s="733"/>
      <c r="N44" s="733"/>
      <c r="O44" s="733"/>
      <c r="P44" s="733"/>
      <c r="Q44" s="733"/>
      <c r="R44" s="733"/>
      <c r="S44" s="733"/>
      <c r="T44" s="733"/>
      <c r="U44" s="733"/>
      <c r="V44" s="733"/>
      <c r="W44" s="733"/>
      <c r="X44" s="733"/>
      <c r="Y44" s="934"/>
      <c r="Z44" s="935"/>
      <c r="AA44" s="935"/>
      <c r="AB44" s="935"/>
      <c r="AC44" s="935"/>
      <c r="AD44" s="935"/>
      <c r="AE44" s="935"/>
      <c r="AF44" s="935"/>
      <c r="AG44" s="935"/>
      <c r="AH44" s="1162"/>
      <c r="AI44" s="1176" t="s">
        <v>81</v>
      </c>
      <c r="AJ44" s="804"/>
      <c r="AK44" s="804"/>
      <c r="AL44" s="413"/>
      <c r="AM44" s="413"/>
      <c r="AN44" s="413"/>
      <c r="AO44" s="413"/>
      <c r="AP44" s="413"/>
      <c r="AQ44" s="413"/>
      <c r="AR44" s="413"/>
      <c r="AS44" s="413"/>
      <c r="AT44" s="413"/>
      <c r="AU44" s="413"/>
      <c r="AV44" s="414"/>
      <c r="AW44" s="1105"/>
      <c r="AX44" s="1106"/>
      <c r="AY44" s="1106"/>
      <c r="AZ44" s="1106"/>
      <c r="BA44" s="1106"/>
      <c r="BB44" s="1106"/>
      <c r="BC44" s="1106"/>
      <c r="BD44" s="1106"/>
      <c r="BE44" s="1106"/>
      <c r="BF44" s="1106"/>
      <c r="BG44" s="1106"/>
      <c r="BH44" s="1106"/>
      <c r="BI44" s="1106"/>
      <c r="BJ44" s="1106"/>
      <c r="BK44" s="1106"/>
      <c r="BL44" s="733"/>
      <c r="BM44" s="733"/>
      <c r="BN44" s="733"/>
      <c r="BO44" s="733"/>
      <c r="BP44" s="733"/>
      <c r="BQ44" s="733"/>
      <c r="BR44" s="733"/>
      <c r="BS44" s="733"/>
      <c r="BT44" s="734"/>
      <c r="BU44" s="797"/>
      <c r="BV44" s="754"/>
      <c r="BW44" s="754"/>
      <c r="BX44" s="754"/>
      <c r="BY44" s="754"/>
      <c r="BZ44" s="754"/>
      <c r="CA44" s="754"/>
      <c r="CB44" s="754"/>
      <c r="CC44" s="754"/>
      <c r="CD44" s="754"/>
      <c r="CE44" s="754"/>
      <c r="CF44" s="754"/>
      <c r="CG44" s="754"/>
      <c r="CH44" s="754"/>
      <c r="CI44" s="754"/>
      <c r="CJ44" s="733"/>
      <c r="CK44" s="733"/>
      <c r="CL44" s="733"/>
      <c r="CM44" s="733"/>
      <c r="CN44" s="733"/>
      <c r="CO44" s="733"/>
      <c r="CP44" s="733"/>
      <c r="CQ44" s="733"/>
      <c r="CR44" s="734"/>
      <c r="CS44" s="733"/>
      <c r="CT44" s="733"/>
      <c r="CU44" s="733"/>
      <c r="CV44" s="733"/>
      <c r="CW44" s="733"/>
      <c r="CX44" s="733"/>
      <c r="CY44" s="733"/>
      <c r="CZ44" s="733"/>
      <c r="DA44" s="733"/>
      <c r="DB44" s="733"/>
      <c r="DC44" s="733"/>
      <c r="DD44" s="733"/>
      <c r="DE44" s="733"/>
      <c r="DF44" s="733"/>
      <c r="DG44" s="733"/>
      <c r="DH44" s="733"/>
      <c r="DI44" s="733"/>
      <c r="DJ44" s="733"/>
      <c r="DK44" s="733"/>
      <c r="DL44" s="733"/>
      <c r="DM44" s="733"/>
      <c r="DN44" s="733"/>
      <c r="DO44" s="733"/>
      <c r="DP44" s="733"/>
      <c r="DQ44" s="934"/>
      <c r="DR44" s="935"/>
      <c r="DS44" s="935"/>
      <c r="DT44" s="935"/>
      <c r="DU44" s="935"/>
      <c r="DV44" s="935"/>
      <c r="DW44" s="935"/>
      <c r="DX44" s="935"/>
      <c r="DY44" s="935"/>
      <c r="DZ44" s="1162"/>
      <c r="EA44" s="1176" t="s">
        <v>33</v>
      </c>
      <c r="EB44" s="804"/>
      <c r="EC44" s="804"/>
      <c r="ED44" s="415">
        <f>ED43*AL44*3</f>
        <v>0</v>
      </c>
      <c r="EE44" s="415">
        <f>EE43*AM44*4</f>
        <v>0</v>
      </c>
      <c r="EF44" s="415">
        <f t="shared" ref="EF44:EN44" si="33">EF43*AN44*4</f>
        <v>0</v>
      </c>
      <c r="EG44" s="415">
        <f t="shared" si="33"/>
        <v>0</v>
      </c>
      <c r="EH44" s="415">
        <f t="shared" si="33"/>
        <v>0</v>
      </c>
      <c r="EI44" s="415">
        <f t="shared" si="33"/>
        <v>0</v>
      </c>
      <c r="EJ44" s="415">
        <f t="shared" si="33"/>
        <v>0</v>
      </c>
      <c r="EK44" s="415">
        <f t="shared" si="33"/>
        <v>0</v>
      </c>
      <c r="EL44" s="415">
        <f t="shared" si="33"/>
        <v>0</v>
      </c>
      <c r="EM44" s="415">
        <f t="shared" si="33"/>
        <v>0</v>
      </c>
      <c r="EN44" s="416">
        <f t="shared" si="33"/>
        <v>0</v>
      </c>
      <c r="EO44" s="733"/>
      <c r="EP44" s="733"/>
      <c r="EQ44" s="733"/>
      <c r="ER44" s="733"/>
      <c r="ES44" s="733"/>
      <c r="ET44" s="733"/>
      <c r="EU44" s="733"/>
      <c r="EV44" s="733"/>
      <c r="EW44" s="733"/>
      <c r="EX44" s="733"/>
      <c r="EY44" s="733"/>
      <c r="EZ44" s="733"/>
      <c r="FA44" s="733"/>
      <c r="FB44" s="733"/>
      <c r="FC44" s="733"/>
      <c r="FD44" s="733"/>
      <c r="FE44" s="733"/>
      <c r="FF44" s="733"/>
      <c r="FG44" s="733"/>
      <c r="FH44" s="733"/>
      <c r="FI44" s="733"/>
      <c r="FJ44" s="733"/>
      <c r="FK44" s="733"/>
      <c r="FL44" s="733"/>
      <c r="FM44" s="733"/>
      <c r="FN44" s="733"/>
      <c r="FO44" s="733"/>
      <c r="FP44" s="733"/>
      <c r="FQ44" s="733"/>
      <c r="FR44" s="733"/>
      <c r="FS44" s="733"/>
      <c r="FT44" s="733"/>
      <c r="FU44" s="733"/>
      <c r="FV44" s="733"/>
      <c r="FW44" s="733"/>
      <c r="FX44" s="733"/>
      <c r="FY44" s="733"/>
      <c r="FZ44" s="733"/>
      <c r="GA44" s="733"/>
      <c r="GB44" s="733"/>
      <c r="GC44" s="733"/>
      <c r="GD44" s="733"/>
      <c r="GE44" s="733"/>
      <c r="GF44" s="733"/>
      <c r="GG44" s="733"/>
    </row>
    <row r="45" spans="1:189" ht="15.75" customHeight="1" x14ac:dyDescent="0.25">
      <c r="A45" s="733"/>
      <c r="B45" s="733"/>
      <c r="C45" s="733"/>
      <c r="D45" s="733"/>
      <c r="E45" s="733"/>
      <c r="F45" s="733"/>
      <c r="G45" s="733"/>
      <c r="H45" s="733"/>
      <c r="I45" s="733"/>
      <c r="J45" s="733"/>
      <c r="K45" s="733"/>
      <c r="L45" s="733"/>
      <c r="M45" s="733"/>
      <c r="N45" s="733"/>
      <c r="O45" s="733"/>
      <c r="P45" s="733"/>
      <c r="Q45" s="733"/>
      <c r="R45" s="733"/>
      <c r="S45" s="733"/>
      <c r="T45" s="733"/>
      <c r="U45" s="733"/>
      <c r="V45" s="733"/>
      <c r="W45" s="733"/>
      <c r="X45" s="733"/>
      <c r="Y45" s="932" t="s">
        <v>489</v>
      </c>
      <c r="Z45" s="933"/>
      <c r="AA45" s="933"/>
      <c r="AB45" s="933"/>
      <c r="AC45" s="933"/>
      <c r="AD45" s="933"/>
      <c r="AE45" s="933"/>
      <c r="AF45" s="933"/>
      <c r="AG45" s="933"/>
      <c r="AH45" s="1158"/>
      <c r="AI45" s="1187" t="s">
        <v>71</v>
      </c>
      <c r="AJ45" s="765"/>
      <c r="AK45" s="765"/>
      <c r="AL45" s="409">
        <v>1</v>
      </c>
      <c r="AM45" s="409">
        <v>2</v>
      </c>
      <c r="AN45" s="409">
        <v>3</v>
      </c>
      <c r="AO45" s="409">
        <v>4</v>
      </c>
      <c r="AP45" s="409">
        <v>5</v>
      </c>
      <c r="AQ45" s="409">
        <v>6</v>
      </c>
      <c r="AR45" s="409">
        <v>7</v>
      </c>
      <c r="AS45" s="409">
        <v>8</v>
      </c>
      <c r="AT45" s="409">
        <v>9</v>
      </c>
      <c r="AU45" s="409">
        <v>10</v>
      </c>
      <c r="AV45" s="417">
        <v>11</v>
      </c>
      <c r="AW45" s="1105"/>
      <c r="AX45" s="1106"/>
      <c r="AY45" s="1106"/>
      <c r="AZ45" s="1106"/>
      <c r="BA45" s="1106"/>
      <c r="BB45" s="1106"/>
      <c r="BC45" s="1106"/>
      <c r="BD45" s="1106"/>
      <c r="BE45" s="1106"/>
      <c r="BF45" s="1106"/>
      <c r="BG45" s="1106"/>
      <c r="BH45" s="1106"/>
      <c r="BI45" s="1106"/>
      <c r="BJ45" s="1106"/>
      <c r="BK45" s="1106"/>
      <c r="BL45" s="733"/>
      <c r="BM45" s="733"/>
      <c r="BN45" s="733"/>
      <c r="BO45" s="733"/>
      <c r="BP45" s="733"/>
      <c r="BQ45" s="733"/>
      <c r="BR45" s="733"/>
      <c r="BS45" s="733"/>
      <c r="BT45" s="734"/>
      <c r="BU45" s="797"/>
      <c r="BV45" s="754"/>
      <c r="BW45" s="754"/>
      <c r="BX45" s="754"/>
      <c r="BY45" s="754"/>
      <c r="BZ45" s="754"/>
      <c r="CA45" s="754"/>
      <c r="CB45" s="754"/>
      <c r="CC45" s="754"/>
      <c r="CD45" s="754"/>
      <c r="CE45" s="754"/>
      <c r="CF45" s="754"/>
      <c r="CG45" s="754"/>
      <c r="CH45" s="754"/>
      <c r="CI45" s="754"/>
      <c r="CJ45" s="733"/>
      <c r="CK45" s="733"/>
      <c r="CL45" s="733"/>
      <c r="CM45" s="733"/>
      <c r="CN45" s="733"/>
      <c r="CO45" s="733"/>
      <c r="CP45" s="733"/>
      <c r="CQ45" s="733"/>
      <c r="CR45" s="734"/>
      <c r="CS45" s="733"/>
      <c r="CT45" s="733"/>
      <c r="CU45" s="733"/>
      <c r="CV45" s="733"/>
      <c r="CW45" s="733"/>
      <c r="CX45" s="733"/>
      <c r="CY45" s="733"/>
      <c r="CZ45" s="733"/>
      <c r="DA45" s="733"/>
      <c r="DB45" s="733"/>
      <c r="DC45" s="733"/>
      <c r="DD45" s="733"/>
      <c r="DE45" s="733"/>
      <c r="DF45" s="733"/>
      <c r="DG45" s="733"/>
      <c r="DH45" s="733"/>
      <c r="DI45" s="733"/>
      <c r="DJ45" s="733"/>
      <c r="DK45" s="733"/>
      <c r="DL45" s="733"/>
      <c r="DM45" s="733"/>
      <c r="DN45" s="733"/>
      <c r="DO45" s="733"/>
      <c r="DP45" s="733"/>
      <c r="DQ45" s="932" t="s">
        <v>489</v>
      </c>
      <c r="DR45" s="933"/>
      <c r="DS45" s="933"/>
      <c r="DT45" s="933"/>
      <c r="DU45" s="933"/>
      <c r="DV45" s="933"/>
      <c r="DW45" s="933"/>
      <c r="DX45" s="933"/>
      <c r="DY45" s="933"/>
      <c r="DZ45" s="1158"/>
      <c r="EA45" s="1187" t="s">
        <v>71</v>
      </c>
      <c r="EB45" s="765"/>
      <c r="EC45" s="765"/>
      <c r="ED45" s="412">
        <v>1</v>
      </c>
      <c r="EE45" s="412">
        <v>2</v>
      </c>
      <c r="EF45" s="412">
        <v>3</v>
      </c>
      <c r="EG45" s="412">
        <v>4</v>
      </c>
      <c r="EH45" s="412">
        <v>5</v>
      </c>
      <c r="EI45" s="412">
        <v>6</v>
      </c>
      <c r="EJ45" s="412">
        <v>7</v>
      </c>
      <c r="EK45" s="412">
        <v>8</v>
      </c>
      <c r="EL45" s="412">
        <v>9</v>
      </c>
      <c r="EM45" s="412">
        <v>10</v>
      </c>
      <c r="EN45" s="309">
        <v>11</v>
      </c>
      <c r="EO45" s="733"/>
      <c r="EP45" s="733"/>
      <c r="EQ45" s="733"/>
      <c r="ER45" s="733"/>
      <c r="ES45" s="733"/>
      <c r="ET45" s="733"/>
      <c r="EU45" s="733"/>
      <c r="EV45" s="733"/>
      <c r="EW45" s="733"/>
      <c r="EX45" s="733"/>
      <c r="EY45" s="733"/>
      <c r="EZ45" s="733"/>
      <c r="FA45" s="733"/>
      <c r="FB45" s="733"/>
      <c r="FC45" s="733"/>
      <c r="FD45" s="733"/>
      <c r="FE45" s="733"/>
      <c r="FF45" s="733"/>
      <c r="FG45" s="733"/>
      <c r="FH45" s="733"/>
      <c r="FI45" s="733"/>
      <c r="FJ45" s="733"/>
      <c r="FK45" s="733"/>
      <c r="FL45" s="733"/>
      <c r="FM45" s="733"/>
      <c r="FN45" s="733"/>
      <c r="FO45" s="733"/>
      <c r="FP45" s="733"/>
      <c r="FQ45" s="733"/>
      <c r="FR45" s="733"/>
      <c r="FS45" s="733"/>
      <c r="FT45" s="733"/>
      <c r="FU45" s="733"/>
      <c r="FV45" s="733"/>
      <c r="FW45" s="733"/>
      <c r="FX45" s="733"/>
      <c r="FY45" s="733"/>
      <c r="FZ45" s="733"/>
      <c r="GA45" s="733"/>
      <c r="GB45" s="733"/>
      <c r="GC45" s="733"/>
      <c r="GD45" s="733"/>
      <c r="GE45" s="733"/>
      <c r="GF45" s="733"/>
      <c r="GG45" s="733"/>
    </row>
    <row r="46" spans="1:189" ht="15" customHeight="1" thickBot="1" x14ac:dyDescent="0.3">
      <c r="A46" s="733"/>
      <c r="B46" s="733"/>
      <c r="C46" s="733"/>
      <c r="D46" s="733"/>
      <c r="E46" s="733"/>
      <c r="F46" s="733"/>
      <c r="G46" s="733"/>
      <c r="H46" s="733"/>
      <c r="I46" s="733"/>
      <c r="J46" s="733"/>
      <c r="K46" s="733"/>
      <c r="L46" s="733"/>
      <c r="M46" s="733"/>
      <c r="N46" s="733"/>
      <c r="O46" s="733"/>
      <c r="P46" s="733"/>
      <c r="Q46" s="733"/>
      <c r="R46" s="733"/>
      <c r="S46" s="733"/>
      <c r="T46" s="733"/>
      <c r="U46" s="733"/>
      <c r="V46" s="733"/>
      <c r="W46" s="733"/>
      <c r="X46" s="733"/>
      <c r="Y46" s="934"/>
      <c r="Z46" s="935"/>
      <c r="AA46" s="935"/>
      <c r="AB46" s="935"/>
      <c r="AC46" s="935"/>
      <c r="AD46" s="935"/>
      <c r="AE46" s="935"/>
      <c r="AF46" s="935"/>
      <c r="AG46" s="935"/>
      <c r="AH46" s="1162"/>
      <c r="AI46" s="1176" t="s">
        <v>81</v>
      </c>
      <c r="AJ46" s="804"/>
      <c r="AK46" s="804"/>
      <c r="AL46" s="413"/>
      <c r="AM46" s="413"/>
      <c r="AN46" s="413"/>
      <c r="AO46" s="413"/>
      <c r="AP46" s="413"/>
      <c r="AQ46" s="413"/>
      <c r="AR46" s="413"/>
      <c r="AS46" s="413"/>
      <c r="AT46" s="413"/>
      <c r="AU46" s="413"/>
      <c r="AV46" s="414"/>
      <c r="AW46" s="1105"/>
      <c r="AX46" s="1106"/>
      <c r="AY46" s="1106"/>
      <c r="AZ46" s="1106"/>
      <c r="BA46" s="1106"/>
      <c r="BB46" s="1106"/>
      <c r="BC46" s="1106"/>
      <c r="BD46" s="1106"/>
      <c r="BE46" s="1106"/>
      <c r="BF46" s="1106"/>
      <c r="BG46" s="1106"/>
      <c r="BH46" s="1106"/>
      <c r="BI46" s="1106"/>
      <c r="BJ46" s="1106"/>
      <c r="BK46" s="1106"/>
      <c r="BL46" s="733"/>
      <c r="BM46" s="733"/>
      <c r="BN46" s="733"/>
      <c r="BO46" s="733"/>
      <c r="BP46" s="733"/>
      <c r="BQ46" s="733"/>
      <c r="BR46" s="733"/>
      <c r="BS46" s="733"/>
      <c r="BT46" s="734"/>
      <c r="BU46" s="797"/>
      <c r="BV46" s="754"/>
      <c r="BW46" s="754"/>
      <c r="BX46" s="754"/>
      <c r="BY46" s="754"/>
      <c r="BZ46" s="754"/>
      <c r="CA46" s="754"/>
      <c r="CB46" s="754"/>
      <c r="CC46" s="754"/>
      <c r="CD46" s="754"/>
      <c r="CE46" s="754"/>
      <c r="CF46" s="754"/>
      <c r="CG46" s="754"/>
      <c r="CH46" s="754"/>
      <c r="CI46" s="754"/>
      <c r="CJ46" s="733"/>
      <c r="CK46" s="733"/>
      <c r="CL46" s="733"/>
      <c r="CM46" s="733"/>
      <c r="CN46" s="733"/>
      <c r="CO46" s="733"/>
      <c r="CP46" s="733"/>
      <c r="CQ46" s="733"/>
      <c r="CR46" s="734"/>
      <c r="CS46" s="733"/>
      <c r="CT46" s="733"/>
      <c r="CU46" s="733"/>
      <c r="CV46" s="733"/>
      <c r="CW46" s="733"/>
      <c r="CX46" s="733"/>
      <c r="CY46" s="733"/>
      <c r="CZ46" s="733"/>
      <c r="DA46" s="733"/>
      <c r="DB46" s="733"/>
      <c r="DC46" s="733"/>
      <c r="DD46" s="733"/>
      <c r="DE46" s="733"/>
      <c r="DF46" s="733"/>
      <c r="DG46" s="733"/>
      <c r="DH46" s="733"/>
      <c r="DI46" s="733"/>
      <c r="DJ46" s="733"/>
      <c r="DK46" s="733"/>
      <c r="DL46" s="733"/>
      <c r="DM46" s="733"/>
      <c r="DN46" s="733"/>
      <c r="DO46" s="733"/>
      <c r="DP46" s="733"/>
      <c r="DQ46" s="934"/>
      <c r="DR46" s="935"/>
      <c r="DS46" s="935"/>
      <c r="DT46" s="935"/>
      <c r="DU46" s="935"/>
      <c r="DV46" s="935"/>
      <c r="DW46" s="935"/>
      <c r="DX46" s="935"/>
      <c r="DY46" s="935"/>
      <c r="DZ46" s="1162"/>
      <c r="EA46" s="1176" t="s">
        <v>33</v>
      </c>
      <c r="EB46" s="804"/>
      <c r="EC46" s="804"/>
      <c r="ED46" s="415">
        <f>ED45*AL46*4</f>
        <v>0</v>
      </c>
      <c r="EE46" s="415">
        <f t="shared" ref="EE46" si="34">EE45*AM46*5</f>
        <v>0</v>
      </c>
      <c r="EF46" s="415">
        <f t="shared" ref="EF46" si="35">EF45*AN46*5</f>
        <v>0</v>
      </c>
      <c r="EG46" s="415">
        <f t="shared" ref="EG46" si="36">EG45*AO46*5</f>
        <v>0</v>
      </c>
      <c r="EH46" s="415">
        <f t="shared" ref="EH46" si="37">EH45*AP46*5</f>
        <v>0</v>
      </c>
      <c r="EI46" s="415">
        <f t="shared" ref="EI46" si="38">EI45*AQ46*5</f>
        <v>0</v>
      </c>
      <c r="EJ46" s="415">
        <f t="shared" ref="EJ46" si="39">EJ45*AR46*5</f>
        <v>0</v>
      </c>
      <c r="EK46" s="415">
        <f t="shared" ref="EK46" si="40">EK45*AS46*5</f>
        <v>0</v>
      </c>
      <c r="EL46" s="415">
        <f t="shared" ref="EL46" si="41">EL45*AT46*5</f>
        <v>0</v>
      </c>
      <c r="EM46" s="415">
        <f t="shared" ref="EM46" si="42">EM45*AU46*5</f>
        <v>0</v>
      </c>
      <c r="EN46" s="416">
        <f t="shared" ref="EN46" si="43">EN45*AV46*5</f>
        <v>0</v>
      </c>
      <c r="EO46" s="733"/>
      <c r="EP46" s="733"/>
      <c r="EQ46" s="733"/>
      <c r="ER46" s="733"/>
      <c r="ES46" s="733"/>
      <c r="ET46" s="733"/>
      <c r="EU46" s="733"/>
      <c r="EV46" s="733"/>
      <c r="EW46" s="733"/>
      <c r="EX46" s="733"/>
      <c r="EY46" s="733"/>
      <c r="EZ46" s="733"/>
      <c r="FA46" s="733"/>
      <c r="FB46" s="733"/>
      <c r="FC46" s="733"/>
      <c r="FD46" s="733"/>
      <c r="FE46" s="733"/>
      <c r="FF46" s="733"/>
      <c r="FG46" s="733"/>
      <c r="FH46" s="733"/>
      <c r="FI46" s="733"/>
      <c r="FJ46" s="733"/>
      <c r="FK46" s="733"/>
      <c r="FL46" s="733"/>
      <c r="FM46" s="733"/>
      <c r="FN46" s="733"/>
      <c r="FO46" s="733"/>
      <c r="FP46" s="733"/>
      <c r="FQ46" s="733"/>
      <c r="FR46" s="733"/>
      <c r="FS46" s="733"/>
      <c r="FT46" s="733"/>
      <c r="FU46" s="733"/>
      <c r="FV46" s="733"/>
      <c r="FW46" s="733"/>
      <c r="FX46" s="733"/>
      <c r="FY46" s="733"/>
      <c r="FZ46" s="733"/>
      <c r="GA46" s="733"/>
      <c r="GB46" s="733"/>
      <c r="GC46" s="733"/>
      <c r="GD46" s="733"/>
      <c r="GE46" s="733"/>
      <c r="GF46" s="733"/>
      <c r="GG46" s="733"/>
    </row>
    <row r="47" spans="1:189" ht="15.75" customHeight="1" x14ac:dyDescent="0.25">
      <c r="A47" s="733"/>
      <c r="B47" s="733"/>
      <c r="C47" s="733"/>
      <c r="D47" s="733"/>
      <c r="E47" s="733"/>
      <c r="F47" s="733"/>
      <c r="G47" s="733"/>
      <c r="H47" s="733"/>
      <c r="I47" s="733"/>
      <c r="J47" s="733"/>
      <c r="K47" s="733"/>
      <c r="L47" s="733"/>
      <c r="M47" s="733"/>
      <c r="N47" s="733"/>
      <c r="O47" s="733"/>
      <c r="P47" s="733"/>
      <c r="Q47" s="733"/>
      <c r="R47" s="733"/>
      <c r="S47" s="733"/>
      <c r="T47" s="733"/>
      <c r="U47" s="733"/>
      <c r="V47" s="733"/>
      <c r="W47" s="733"/>
      <c r="X47" s="733"/>
      <c r="Y47" s="932" t="s">
        <v>486</v>
      </c>
      <c r="Z47" s="933"/>
      <c r="AA47" s="933"/>
      <c r="AB47" s="933"/>
      <c r="AC47" s="933"/>
      <c r="AD47" s="933"/>
      <c r="AE47" s="933"/>
      <c r="AF47" s="933"/>
      <c r="AG47" s="933"/>
      <c r="AH47" s="1158"/>
      <c r="AI47" s="1187" t="s">
        <v>71</v>
      </c>
      <c r="AJ47" s="765"/>
      <c r="AK47" s="765"/>
      <c r="AL47" s="409">
        <v>1</v>
      </c>
      <c r="AM47" s="409">
        <v>2</v>
      </c>
      <c r="AN47" s="409">
        <v>3</v>
      </c>
      <c r="AO47" s="409">
        <v>4</v>
      </c>
      <c r="AP47" s="409">
        <v>5</v>
      </c>
      <c r="AQ47" s="409">
        <v>6</v>
      </c>
      <c r="AR47" s="409">
        <v>7</v>
      </c>
      <c r="AS47" s="409">
        <v>8</v>
      </c>
      <c r="AT47" s="409">
        <v>9</v>
      </c>
      <c r="AU47" s="409">
        <v>10</v>
      </c>
      <c r="AV47" s="417">
        <v>11</v>
      </c>
      <c r="AW47" s="1105"/>
      <c r="AX47" s="1106"/>
      <c r="AY47" s="1106"/>
      <c r="AZ47" s="1106"/>
      <c r="BA47" s="1106"/>
      <c r="BB47" s="1106"/>
      <c r="BC47" s="1106"/>
      <c r="BD47" s="1106"/>
      <c r="BE47" s="1106"/>
      <c r="BF47" s="1106"/>
      <c r="BG47" s="1106"/>
      <c r="BH47" s="1106"/>
      <c r="BI47" s="1106"/>
      <c r="BJ47" s="1106"/>
      <c r="BK47" s="1106"/>
      <c r="BL47" s="733"/>
      <c r="BM47" s="733"/>
      <c r="BN47" s="733"/>
      <c r="BO47" s="733"/>
      <c r="BP47" s="733"/>
      <c r="BQ47" s="733"/>
      <c r="BR47" s="733"/>
      <c r="BS47" s="733"/>
      <c r="BT47" s="734"/>
      <c r="BU47" s="797"/>
      <c r="BV47" s="754"/>
      <c r="BW47" s="754"/>
      <c r="BX47" s="754"/>
      <c r="BY47" s="754"/>
      <c r="BZ47" s="754"/>
      <c r="CA47" s="754"/>
      <c r="CB47" s="754"/>
      <c r="CC47" s="754"/>
      <c r="CD47" s="754"/>
      <c r="CE47" s="754"/>
      <c r="CF47" s="754"/>
      <c r="CG47" s="754"/>
      <c r="CH47" s="754"/>
      <c r="CI47" s="754"/>
      <c r="CJ47" s="733"/>
      <c r="CK47" s="733"/>
      <c r="CL47" s="733"/>
      <c r="CM47" s="733"/>
      <c r="CN47" s="733"/>
      <c r="CO47" s="733"/>
      <c r="CP47" s="733"/>
      <c r="CQ47" s="733"/>
      <c r="CR47" s="734"/>
      <c r="CS47" s="733"/>
      <c r="CT47" s="733"/>
      <c r="CU47" s="733"/>
      <c r="CV47" s="733"/>
      <c r="CW47" s="733"/>
      <c r="CX47" s="733"/>
      <c r="CY47" s="733"/>
      <c r="CZ47" s="733"/>
      <c r="DA47" s="733"/>
      <c r="DB47" s="733"/>
      <c r="DC47" s="733"/>
      <c r="DD47" s="733"/>
      <c r="DE47" s="733"/>
      <c r="DF47" s="733"/>
      <c r="DG47" s="733"/>
      <c r="DH47" s="733"/>
      <c r="DI47" s="733"/>
      <c r="DJ47" s="733"/>
      <c r="DK47" s="733"/>
      <c r="DL47" s="733"/>
      <c r="DM47" s="733"/>
      <c r="DN47" s="733"/>
      <c r="DO47" s="733"/>
      <c r="DP47" s="733"/>
      <c r="DQ47" s="932" t="s">
        <v>486</v>
      </c>
      <c r="DR47" s="933"/>
      <c r="DS47" s="933"/>
      <c r="DT47" s="933"/>
      <c r="DU47" s="933"/>
      <c r="DV47" s="933"/>
      <c r="DW47" s="933"/>
      <c r="DX47" s="933"/>
      <c r="DY47" s="933"/>
      <c r="DZ47" s="1158"/>
      <c r="EA47" s="1187" t="s">
        <v>71</v>
      </c>
      <c r="EB47" s="765"/>
      <c r="EC47" s="765"/>
      <c r="ED47" s="412">
        <v>1</v>
      </c>
      <c r="EE47" s="412">
        <v>2</v>
      </c>
      <c r="EF47" s="412">
        <v>3</v>
      </c>
      <c r="EG47" s="412">
        <v>4</v>
      </c>
      <c r="EH47" s="412">
        <v>5</v>
      </c>
      <c r="EI47" s="412">
        <v>6</v>
      </c>
      <c r="EJ47" s="412">
        <v>7</v>
      </c>
      <c r="EK47" s="412">
        <v>8</v>
      </c>
      <c r="EL47" s="412">
        <v>9</v>
      </c>
      <c r="EM47" s="412">
        <v>10</v>
      </c>
      <c r="EN47" s="309">
        <v>11</v>
      </c>
      <c r="EO47" s="733"/>
      <c r="EP47" s="733"/>
      <c r="EQ47" s="733"/>
      <c r="ER47" s="733"/>
      <c r="ES47" s="733"/>
      <c r="ET47" s="733"/>
      <c r="EU47" s="733"/>
      <c r="EV47" s="733"/>
      <c r="EW47" s="733"/>
      <c r="EX47" s="733"/>
      <c r="EY47" s="733"/>
      <c r="EZ47" s="733"/>
      <c r="FA47" s="733"/>
      <c r="FB47" s="733"/>
      <c r="FC47" s="733"/>
      <c r="FD47" s="733"/>
      <c r="FE47" s="733"/>
      <c r="FF47" s="733"/>
      <c r="FG47" s="733"/>
      <c r="FH47" s="733"/>
      <c r="FI47" s="733"/>
      <c r="FJ47" s="733"/>
      <c r="FK47" s="733"/>
      <c r="FL47" s="733"/>
      <c r="FM47" s="733"/>
      <c r="FN47" s="733"/>
      <c r="FO47" s="733"/>
      <c r="FP47" s="733"/>
      <c r="FQ47" s="733"/>
      <c r="FR47" s="733"/>
      <c r="FS47" s="733"/>
      <c r="FT47" s="733"/>
      <c r="FU47" s="733"/>
      <c r="FV47" s="733"/>
      <c r="FW47" s="733"/>
      <c r="FX47" s="733"/>
      <c r="FY47" s="733"/>
      <c r="FZ47" s="733"/>
      <c r="GA47" s="733"/>
      <c r="GB47" s="733"/>
      <c r="GC47" s="733"/>
      <c r="GD47" s="733"/>
      <c r="GE47" s="733"/>
      <c r="GF47" s="733"/>
      <c r="GG47" s="733"/>
    </row>
    <row r="48" spans="1:189" ht="15.75" customHeight="1" thickBot="1" x14ac:dyDescent="0.3">
      <c r="A48" s="733"/>
      <c r="B48" s="733"/>
      <c r="C48" s="733"/>
      <c r="D48" s="733"/>
      <c r="E48" s="733"/>
      <c r="F48" s="733"/>
      <c r="G48" s="733"/>
      <c r="H48" s="733"/>
      <c r="I48" s="733"/>
      <c r="J48" s="733"/>
      <c r="K48" s="733"/>
      <c r="L48" s="733"/>
      <c r="M48" s="733"/>
      <c r="N48" s="733"/>
      <c r="O48" s="733"/>
      <c r="P48" s="733"/>
      <c r="Q48" s="733"/>
      <c r="R48" s="733"/>
      <c r="S48" s="733"/>
      <c r="T48" s="733"/>
      <c r="U48" s="733"/>
      <c r="V48" s="733"/>
      <c r="W48" s="733"/>
      <c r="X48" s="733"/>
      <c r="Y48" s="934"/>
      <c r="Z48" s="935"/>
      <c r="AA48" s="935"/>
      <c r="AB48" s="935"/>
      <c r="AC48" s="935"/>
      <c r="AD48" s="935"/>
      <c r="AE48" s="935"/>
      <c r="AF48" s="935"/>
      <c r="AG48" s="935"/>
      <c r="AH48" s="1162"/>
      <c r="AI48" s="1176" t="s">
        <v>81</v>
      </c>
      <c r="AJ48" s="804"/>
      <c r="AK48" s="804"/>
      <c r="AL48" s="413"/>
      <c r="AM48" s="413"/>
      <c r="AN48" s="413"/>
      <c r="AO48" s="413"/>
      <c r="AP48" s="413"/>
      <c r="AQ48" s="413"/>
      <c r="AR48" s="413"/>
      <c r="AS48" s="413"/>
      <c r="AT48" s="413"/>
      <c r="AU48" s="413"/>
      <c r="AV48" s="414"/>
      <c r="AW48" s="1105"/>
      <c r="AX48" s="1106"/>
      <c r="AY48" s="1106"/>
      <c r="AZ48" s="1106"/>
      <c r="BA48" s="1106"/>
      <c r="BB48" s="1106"/>
      <c r="BC48" s="1106"/>
      <c r="BD48" s="1106"/>
      <c r="BE48" s="1106"/>
      <c r="BF48" s="1106"/>
      <c r="BG48" s="1106"/>
      <c r="BH48" s="1106"/>
      <c r="BI48" s="1106"/>
      <c r="BJ48" s="1106"/>
      <c r="BK48" s="1106"/>
      <c r="BL48" s="733"/>
      <c r="BM48" s="733"/>
      <c r="BN48" s="733"/>
      <c r="BO48" s="733"/>
      <c r="BP48" s="733"/>
      <c r="BQ48" s="733"/>
      <c r="BR48" s="733"/>
      <c r="BS48" s="733"/>
      <c r="BT48" s="734"/>
      <c r="BU48" s="797"/>
      <c r="BV48" s="754"/>
      <c r="BW48" s="754"/>
      <c r="BX48" s="754"/>
      <c r="BY48" s="754"/>
      <c r="BZ48" s="754"/>
      <c r="CA48" s="754"/>
      <c r="CB48" s="754"/>
      <c r="CC48" s="754"/>
      <c r="CD48" s="754"/>
      <c r="CE48" s="754"/>
      <c r="CF48" s="754"/>
      <c r="CG48" s="754"/>
      <c r="CH48" s="754"/>
      <c r="CI48" s="754"/>
      <c r="CJ48" s="733"/>
      <c r="CK48" s="733"/>
      <c r="CL48" s="733"/>
      <c r="CM48" s="733"/>
      <c r="CN48" s="733"/>
      <c r="CO48" s="733"/>
      <c r="CP48" s="733"/>
      <c r="CQ48" s="733"/>
      <c r="CR48" s="734"/>
      <c r="CS48" s="733"/>
      <c r="CT48" s="733"/>
      <c r="CU48" s="733"/>
      <c r="CV48" s="733"/>
      <c r="CW48" s="733"/>
      <c r="CX48" s="733"/>
      <c r="CY48" s="733"/>
      <c r="CZ48" s="733"/>
      <c r="DA48" s="733"/>
      <c r="DB48" s="733"/>
      <c r="DC48" s="733"/>
      <c r="DD48" s="733"/>
      <c r="DE48" s="733"/>
      <c r="DF48" s="733"/>
      <c r="DG48" s="733"/>
      <c r="DH48" s="733"/>
      <c r="DI48" s="733"/>
      <c r="DJ48" s="733"/>
      <c r="DK48" s="733"/>
      <c r="DL48" s="733"/>
      <c r="DM48" s="733"/>
      <c r="DN48" s="733"/>
      <c r="DO48" s="733"/>
      <c r="DP48" s="733"/>
      <c r="DQ48" s="934"/>
      <c r="DR48" s="935"/>
      <c r="DS48" s="935"/>
      <c r="DT48" s="935"/>
      <c r="DU48" s="935"/>
      <c r="DV48" s="935"/>
      <c r="DW48" s="935"/>
      <c r="DX48" s="935"/>
      <c r="DY48" s="935"/>
      <c r="DZ48" s="1162"/>
      <c r="EA48" s="1176" t="s">
        <v>33</v>
      </c>
      <c r="EB48" s="804"/>
      <c r="EC48" s="804"/>
      <c r="ED48" s="415">
        <f>IF(LOOKUP(CharacterSheet!$AK$7,AssociatedRef!$AP$2:$AP$130,AssociatedRef!$BM$2:$BM$130)="Yes",ED47*4*AL48,AL48*5*ED47)</f>
        <v>0</v>
      </c>
      <c r="EE48" s="415">
        <f>IF(LOOKUP(CharacterSheet!$AK$7,AssociatedRef!$AP$2:$AP$130,AssociatedRef!$BM$2:$BM$130)="Yes",EE47*4*AM48,AM48*5*EE47)</f>
        <v>0</v>
      </c>
      <c r="EF48" s="415">
        <f>IF(LOOKUP(CharacterSheet!$AK$7,AssociatedRef!$AP$2:$AP$130,AssociatedRef!$BM$2:$BM$130)="Yes",EF47*4*AN48,AN48*5*EF47)</f>
        <v>0</v>
      </c>
      <c r="EG48" s="415">
        <f>IF(LOOKUP(CharacterSheet!$AK$7,AssociatedRef!$AP$2:$AP$130,AssociatedRef!$BM$2:$BM$130)="Yes",EG47*4*AO48,AO48*5*EG47)</f>
        <v>0</v>
      </c>
      <c r="EH48" s="415">
        <f>IF(LOOKUP(CharacterSheet!$AK$7,AssociatedRef!$AP$2:$AP$130,AssociatedRef!$BM$2:$BM$130)="Yes",EH47*4*AP48,AP48*5*EH47)</f>
        <v>0</v>
      </c>
      <c r="EI48" s="415">
        <f>IF(LOOKUP(CharacterSheet!$AK$7,AssociatedRef!$AP$2:$AP$130,AssociatedRef!$BM$2:$BM$130)="Yes",EI47*4*AQ48,AQ48*5*EI47)</f>
        <v>0</v>
      </c>
      <c r="EJ48" s="415">
        <f>IF(LOOKUP(CharacterSheet!$AK$7,AssociatedRef!$AP$2:$AP$130,AssociatedRef!$BM$2:$BM$130)="Yes",EJ47*4*AR48,AR48*5*EJ47)</f>
        <v>0</v>
      </c>
      <c r="EK48" s="415">
        <f>IF(LOOKUP(CharacterSheet!$AK$7,AssociatedRef!$AP$2:$AP$130,AssociatedRef!$BM$2:$BM$130)="Yes",EK47*4*AS48,AS48*5*EK47)</f>
        <v>0</v>
      </c>
      <c r="EL48" s="415">
        <f>IF(LOOKUP(CharacterSheet!$AK$7,AssociatedRef!$AP$2:$AP$130,AssociatedRef!$BM$2:$BM$130)="Yes",EL47*4*AT48,AT48*5*EL47)</f>
        <v>0</v>
      </c>
      <c r="EM48" s="415">
        <f>IF(LOOKUP(CharacterSheet!$AK$7,AssociatedRef!$AP$2:$AP$130,AssociatedRef!$BM$2:$BM$130)="Yes",EM47*4*AU48,AU48*5*EM47)</f>
        <v>0</v>
      </c>
      <c r="EN48" s="416">
        <f>IF(LOOKUP(CharacterSheet!$AK$7,AssociatedRef!$AP$2:$AP$130,AssociatedRef!$BM$2:$BM$130)="Yes",EN47*4*AV48,AV48*5*EN47)</f>
        <v>0</v>
      </c>
      <c r="EO48" s="733"/>
      <c r="EP48" s="733"/>
      <c r="EQ48" s="733"/>
      <c r="ER48" s="733"/>
      <c r="ES48" s="733"/>
      <c r="ET48" s="733"/>
      <c r="EU48" s="733"/>
      <c r="EV48" s="733"/>
      <c r="EW48" s="733"/>
      <c r="EX48" s="733"/>
      <c r="EY48" s="733"/>
      <c r="EZ48" s="733"/>
      <c r="FA48" s="733"/>
      <c r="FB48" s="733"/>
      <c r="FC48" s="733"/>
      <c r="FD48" s="733"/>
      <c r="FE48" s="733"/>
      <c r="FF48" s="733"/>
      <c r="FG48" s="733"/>
      <c r="FH48" s="733"/>
      <c r="FI48" s="733"/>
      <c r="FJ48" s="733"/>
      <c r="FK48" s="733"/>
      <c r="FL48" s="733"/>
      <c r="FM48" s="733"/>
      <c r="FN48" s="733"/>
      <c r="FO48" s="733"/>
      <c r="FP48" s="733"/>
      <c r="FQ48" s="733"/>
      <c r="FR48" s="733"/>
      <c r="FS48" s="733"/>
      <c r="FT48" s="733"/>
      <c r="FU48" s="733"/>
      <c r="FV48" s="733"/>
      <c r="FW48" s="733"/>
      <c r="FX48" s="733"/>
      <c r="FY48" s="733"/>
      <c r="FZ48" s="733"/>
      <c r="GA48" s="733"/>
      <c r="GB48" s="733"/>
      <c r="GC48" s="733"/>
      <c r="GD48" s="733"/>
      <c r="GE48" s="733"/>
      <c r="GF48" s="733"/>
      <c r="GG48" s="733"/>
    </row>
    <row r="49" spans="1:189" ht="15" customHeight="1" x14ac:dyDescent="0.25">
      <c r="A49" s="733"/>
      <c r="B49" s="733"/>
      <c r="C49" s="733"/>
      <c r="D49" s="733"/>
      <c r="E49" s="733"/>
      <c r="F49" s="733"/>
      <c r="G49" s="733"/>
      <c r="H49" s="733"/>
      <c r="I49" s="733"/>
      <c r="J49" s="733"/>
      <c r="K49" s="733"/>
      <c r="L49" s="733"/>
      <c r="M49" s="733"/>
      <c r="N49" s="733"/>
      <c r="O49" s="733"/>
      <c r="P49" s="733"/>
      <c r="Q49" s="733"/>
      <c r="R49" s="733"/>
      <c r="S49" s="733"/>
      <c r="T49" s="733"/>
      <c r="U49" s="733"/>
      <c r="V49" s="733"/>
      <c r="W49" s="733"/>
      <c r="X49" s="733"/>
      <c r="Y49" s="932" t="s">
        <v>490</v>
      </c>
      <c r="Z49" s="933"/>
      <c r="AA49" s="933"/>
      <c r="AB49" s="933"/>
      <c r="AC49" s="933"/>
      <c r="AD49" s="933"/>
      <c r="AE49" s="933"/>
      <c r="AF49" s="933"/>
      <c r="AG49" s="933"/>
      <c r="AH49" s="1158"/>
      <c r="AI49" s="1187" t="s">
        <v>71</v>
      </c>
      <c r="AJ49" s="765"/>
      <c r="AK49" s="765"/>
      <c r="AL49" s="409">
        <v>1</v>
      </c>
      <c r="AM49" s="409">
        <v>2</v>
      </c>
      <c r="AN49" s="409">
        <v>3</v>
      </c>
      <c r="AO49" s="409">
        <v>4</v>
      </c>
      <c r="AP49" s="409">
        <v>5</v>
      </c>
      <c r="AQ49" s="409">
        <v>6</v>
      </c>
      <c r="AR49" s="409">
        <v>7</v>
      </c>
      <c r="AS49" s="409">
        <v>8</v>
      </c>
      <c r="AT49" s="409">
        <v>9</v>
      </c>
      <c r="AU49" s="409">
        <v>10</v>
      </c>
      <c r="AV49" s="417">
        <v>11</v>
      </c>
      <c r="AW49" s="1105"/>
      <c r="AX49" s="1106"/>
      <c r="AY49" s="1106"/>
      <c r="AZ49" s="1106"/>
      <c r="BA49" s="1106"/>
      <c r="BB49" s="1106"/>
      <c r="BC49" s="1106"/>
      <c r="BD49" s="1106"/>
      <c r="BE49" s="1106"/>
      <c r="BF49" s="1106"/>
      <c r="BG49" s="1106"/>
      <c r="BH49" s="1106"/>
      <c r="BI49" s="1106"/>
      <c r="BJ49" s="1106"/>
      <c r="BK49" s="1106"/>
      <c r="BL49" s="733"/>
      <c r="BM49" s="733"/>
      <c r="BN49" s="733"/>
      <c r="BO49" s="733"/>
      <c r="BP49" s="733"/>
      <c r="BQ49" s="733"/>
      <c r="BR49" s="733"/>
      <c r="BS49" s="733"/>
      <c r="BT49" s="734"/>
      <c r="BU49" s="797"/>
      <c r="BV49" s="754"/>
      <c r="BW49" s="754"/>
      <c r="BX49" s="754"/>
      <c r="BY49" s="754"/>
      <c r="BZ49" s="754"/>
      <c r="CA49" s="754"/>
      <c r="CB49" s="754"/>
      <c r="CC49" s="754"/>
      <c r="CD49" s="754"/>
      <c r="CE49" s="754"/>
      <c r="CF49" s="754"/>
      <c r="CG49" s="754"/>
      <c r="CH49" s="754"/>
      <c r="CI49" s="754"/>
      <c r="CJ49" s="733"/>
      <c r="CK49" s="733"/>
      <c r="CL49" s="733"/>
      <c r="CM49" s="733"/>
      <c r="CN49" s="733"/>
      <c r="CO49" s="733"/>
      <c r="CP49" s="733"/>
      <c r="CQ49" s="733"/>
      <c r="CR49" s="734"/>
      <c r="CS49" s="733"/>
      <c r="CT49" s="733"/>
      <c r="CU49" s="733"/>
      <c r="CV49" s="733"/>
      <c r="CW49" s="733"/>
      <c r="CX49" s="733"/>
      <c r="CY49" s="733"/>
      <c r="CZ49" s="733"/>
      <c r="DA49" s="733"/>
      <c r="DB49" s="733"/>
      <c r="DC49" s="733"/>
      <c r="DD49" s="733"/>
      <c r="DE49" s="733"/>
      <c r="DF49" s="733"/>
      <c r="DG49" s="733"/>
      <c r="DH49" s="733"/>
      <c r="DI49" s="733"/>
      <c r="DJ49" s="733"/>
      <c r="DK49" s="733"/>
      <c r="DL49" s="733"/>
      <c r="DM49" s="733"/>
      <c r="DN49" s="733"/>
      <c r="DO49" s="733"/>
      <c r="DP49" s="733"/>
      <c r="DQ49" s="932" t="s">
        <v>490</v>
      </c>
      <c r="DR49" s="933"/>
      <c r="DS49" s="933"/>
      <c r="DT49" s="933"/>
      <c r="DU49" s="933"/>
      <c r="DV49" s="933"/>
      <c r="DW49" s="933"/>
      <c r="DX49" s="933"/>
      <c r="DY49" s="933"/>
      <c r="DZ49" s="1158"/>
      <c r="EA49" s="1187" t="s">
        <v>71</v>
      </c>
      <c r="EB49" s="765"/>
      <c r="EC49" s="765"/>
      <c r="ED49" s="412">
        <v>1</v>
      </c>
      <c r="EE49" s="412">
        <v>2</v>
      </c>
      <c r="EF49" s="412">
        <v>3</v>
      </c>
      <c r="EG49" s="412">
        <v>4</v>
      </c>
      <c r="EH49" s="412">
        <v>5</v>
      </c>
      <c r="EI49" s="412">
        <v>6</v>
      </c>
      <c r="EJ49" s="412">
        <v>7</v>
      </c>
      <c r="EK49" s="412">
        <v>8</v>
      </c>
      <c r="EL49" s="412">
        <v>9</v>
      </c>
      <c r="EM49" s="412">
        <v>10</v>
      </c>
      <c r="EN49" s="309">
        <v>11</v>
      </c>
      <c r="EO49" s="733"/>
      <c r="EP49" s="733"/>
      <c r="EQ49" s="733"/>
      <c r="ER49" s="733"/>
      <c r="ES49" s="733"/>
      <c r="ET49" s="733"/>
      <c r="EU49" s="733"/>
      <c r="EV49" s="733"/>
      <c r="EW49" s="733"/>
      <c r="EX49" s="733"/>
      <c r="EY49" s="733"/>
      <c r="EZ49" s="733"/>
      <c r="FA49" s="733"/>
      <c r="FB49" s="733"/>
      <c r="FC49" s="733"/>
      <c r="FD49" s="733"/>
      <c r="FE49" s="733"/>
      <c r="FF49" s="733"/>
      <c r="FG49" s="733"/>
      <c r="FH49" s="733"/>
      <c r="FI49" s="733"/>
      <c r="FJ49" s="733"/>
      <c r="FK49" s="733"/>
      <c r="FL49" s="733"/>
      <c r="FM49" s="733"/>
      <c r="FN49" s="733"/>
      <c r="FO49" s="733"/>
      <c r="FP49" s="733"/>
      <c r="FQ49" s="733"/>
      <c r="FR49" s="733"/>
      <c r="FS49" s="733"/>
      <c r="FT49" s="733"/>
      <c r="FU49" s="733"/>
      <c r="FV49" s="733"/>
      <c r="FW49" s="733"/>
      <c r="FX49" s="733"/>
      <c r="FY49" s="733"/>
      <c r="FZ49" s="733"/>
      <c r="GA49" s="733"/>
      <c r="GB49" s="733"/>
      <c r="GC49" s="733"/>
      <c r="GD49" s="733"/>
      <c r="GE49" s="733"/>
      <c r="GF49" s="733"/>
      <c r="GG49" s="733"/>
    </row>
    <row r="50" spans="1:189" ht="15.75" customHeight="1" thickBot="1" x14ac:dyDescent="0.3">
      <c r="A50" s="733"/>
      <c r="B50" s="733"/>
      <c r="C50" s="733"/>
      <c r="D50" s="733"/>
      <c r="E50" s="733"/>
      <c r="F50" s="733"/>
      <c r="G50" s="733"/>
      <c r="H50" s="733"/>
      <c r="I50" s="733"/>
      <c r="J50" s="733"/>
      <c r="K50" s="733"/>
      <c r="L50" s="733"/>
      <c r="M50" s="733"/>
      <c r="N50" s="733"/>
      <c r="O50" s="733"/>
      <c r="P50" s="733"/>
      <c r="Q50" s="733"/>
      <c r="R50" s="733"/>
      <c r="S50" s="733"/>
      <c r="T50" s="733"/>
      <c r="U50" s="733"/>
      <c r="V50" s="733"/>
      <c r="W50" s="733"/>
      <c r="X50" s="733"/>
      <c r="Y50" s="934"/>
      <c r="Z50" s="935"/>
      <c r="AA50" s="935"/>
      <c r="AB50" s="935"/>
      <c r="AC50" s="935"/>
      <c r="AD50" s="935"/>
      <c r="AE50" s="935"/>
      <c r="AF50" s="935"/>
      <c r="AG50" s="935"/>
      <c r="AH50" s="1162"/>
      <c r="AI50" s="1176" t="s">
        <v>81</v>
      </c>
      <c r="AJ50" s="804"/>
      <c r="AK50" s="804"/>
      <c r="AL50" s="413"/>
      <c r="AM50" s="413"/>
      <c r="AN50" s="413"/>
      <c r="AO50" s="413"/>
      <c r="AP50" s="413"/>
      <c r="AQ50" s="413"/>
      <c r="AR50" s="413"/>
      <c r="AS50" s="413"/>
      <c r="AT50" s="413"/>
      <c r="AU50" s="413"/>
      <c r="AV50" s="414"/>
      <c r="AW50" s="1107"/>
      <c r="AX50" s="1108"/>
      <c r="AY50" s="1108"/>
      <c r="AZ50" s="1108"/>
      <c r="BA50" s="1108"/>
      <c r="BB50" s="1108"/>
      <c r="BC50" s="1108"/>
      <c r="BD50" s="1108"/>
      <c r="BE50" s="1108"/>
      <c r="BF50" s="1108"/>
      <c r="BG50" s="1108"/>
      <c r="BH50" s="1108"/>
      <c r="BI50" s="1108"/>
      <c r="BJ50" s="1108"/>
      <c r="BK50" s="1108"/>
      <c r="BL50" s="1188"/>
      <c r="BM50" s="1188"/>
      <c r="BN50" s="1188"/>
      <c r="BO50" s="1188"/>
      <c r="BP50" s="1188"/>
      <c r="BQ50" s="1188"/>
      <c r="BR50" s="1188"/>
      <c r="BS50" s="1188"/>
      <c r="BT50" s="1189"/>
      <c r="BU50" s="1175"/>
      <c r="BV50" s="757"/>
      <c r="BW50" s="757"/>
      <c r="BX50" s="757"/>
      <c r="BY50" s="757"/>
      <c r="BZ50" s="757"/>
      <c r="CA50" s="757"/>
      <c r="CB50" s="757"/>
      <c r="CC50" s="757"/>
      <c r="CD50" s="757"/>
      <c r="CE50" s="757"/>
      <c r="CF50" s="757"/>
      <c r="CG50" s="757"/>
      <c r="CH50" s="757"/>
      <c r="CI50" s="757"/>
      <c r="CJ50" s="1188"/>
      <c r="CK50" s="1188"/>
      <c r="CL50" s="1188"/>
      <c r="CM50" s="1188"/>
      <c r="CN50" s="1188"/>
      <c r="CO50" s="1188"/>
      <c r="CP50" s="1188"/>
      <c r="CQ50" s="1188"/>
      <c r="CR50" s="1189"/>
      <c r="CS50" s="733"/>
      <c r="CT50" s="733"/>
      <c r="CU50" s="733"/>
      <c r="CV50" s="733"/>
      <c r="CW50" s="733"/>
      <c r="CX50" s="733"/>
      <c r="CY50" s="733"/>
      <c r="CZ50" s="733"/>
      <c r="DA50" s="733"/>
      <c r="DB50" s="733"/>
      <c r="DC50" s="733"/>
      <c r="DD50" s="733"/>
      <c r="DE50" s="733"/>
      <c r="DF50" s="733"/>
      <c r="DG50" s="733"/>
      <c r="DH50" s="733"/>
      <c r="DI50" s="733"/>
      <c r="DJ50" s="733"/>
      <c r="DK50" s="733"/>
      <c r="DL50" s="733"/>
      <c r="DM50" s="733"/>
      <c r="DN50" s="733"/>
      <c r="DO50" s="733"/>
      <c r="DP50" s="733"/>
      <c r="DQ50" s="934"/>
      <c r="DR50" s="935"/>
      <c r="DS50" s="935"/>
      <c r="DT50" s="935"/>
      <c r="DU50" s="935"/>
      <c r="DV50" s="935"/>
      <c r="DW50" s="935"/>
      <c r="DX50" s="935"/>
      <c r="DY50" s="935"/>
      <c r="DZ50" s="1162"/>
      <c r="EA50" s="1176" t="s">
        <v>33</v>
      </c>
      <c r="EB50" s="804"/>
      <c r="EC50" s="804"/>
      <c r="ED50" s="415">
        <f>ED49*AL50*3</f>
        <v>0</v>
      </c>
      <c r="EE50" s="415">
        <f>EE49*AM50*4</f>
        <v>0</v>
      </c>
      <c r="EF50" s="415">
        <f t="shared" ref="EF50:EN50" si="44">EF49*AN50*4</f>
        <v>0</v>
      </c>
      <c r="EG50" s="415">
        <f t="shared" si="44"/>
        <v>0</v>
      </c>
      <c r="EH50" s="415">
        <f t="shared" si="44"/>
        <v>0</v>
      </c>
      <c r="EI50" s="415">
        <f t="shared" si="44"/>
        <v>0</v>
      </c>
      <c r="EJ50" s="415">
        <f t="shared" si="44"/>
        <v>0</v>
      </c>
      <c r="EK50" s="415">
        <f t="shared" si="44"/>
        <v>0</v>
      </c>
      <c r="EL50" s="415">
        <f t="shared" si="44"/>
        <v>0</v>
      </c>
      <c r="EM50" s="415">
        <f t="shared" si="44"/>
        <v>0</v>
      </c>
      <c r="EN50" s="416">
        <f t="shared" si="44"/>
        <v>0</v>
      </c>
      <c r="EO50" s="733"/>
      <c r="EP50" s="733"/>
      <c r="EQ50" s="733"/>
      <c r="ER50" s="733"/>
      <c r="ES50" s="733"/>
      <c r="ET50" s="733"/>
      <c r="EU50" s="733"/>
      <c r="EV50" s="733"/>
      <c r="EW50" s="733"/>
      <c r="EX50" s="733"/>
      <c r="EY50" s="733"/>
      <c r="EZ50" s="733"/>
      <c r="FA50" s="733"/>
      <c r="FB50" s="733"/>
      <c r="FC50" s="733"/>
      <c r="FD50" s="733"/>
      <c r="FE50" s="733"/>
      <c r="FF50" s="733"/>
      <c r="FG50" s="733"/>
      <c r="FH50" s="733"/>
      <c r="FI50" s="733"/>
      <c r="FJ50" s="733"/>
      <c r="FK50" s="733"/>
      <c r="FL50" s="733"/>
      <c r="FM50" s="733"/>
      <c r="FN50" s="733"/>
      <c r="FO50" s="733"/>
      <c r="FP50" s="733"/>
      <c r="FQ50" s="733"/>
      <c r="FR50" s="733"/>
      <c r="FS50" s="733"/>
      <c r="FT50" s="733"/>
      <c r="FU50" s="733"/>
      <c r="FV50" s="733"/>
      <c r="FW50" s="733"/>
      <c r="FX50" s="733"/>
      <c r="FY50" s="733"/>
      <c r="FZ50" s="733"/>
      <c r="GA50" s="733"/>
      <c r="GB50" s="733"/>
      <c r="GC50" s="733"/>
      <c r="GD50" s="733"/>
      <c r="GE50" s="733"/>
      <c r="GF50" s="733"/>
      <c r="GG50" s="733"/>
    </row>
    <row r="51" spans="1:189" ht="15" hidden="1" customHeight="1" x14ac:dyDescent="0.25"/>
    <row r="52" spans="1:189" hidden="1" x14ac:dyDescent="0.25"/>
    <row r="53" spans="1:189" hidden="1" x14ac:dyDescent="0.25"/>
    <row r="54" spans="1:189" ht="15" hidden="1" customHeight="1" x14ac:dyDescent="0.25">
      <c r="AW54" s="679" t="s">
        <v>60</v>
      </c>
      <c r="AX54" s="679"/>
      <c r="AY54" s="679"/>
      <c r="AZ54" s="679"/>
      <c r="BA54" s="283">
        <f>CharacterSheet!V34</f>
        <v>2</v>
      </c>
    </row>
    <row r="55" spans="1:189" hidden="1" x14ac:dyDescent="0.25">
      <c r="AW55" s="1104" t="s">
        <v>30</v>
      </c>
      <c r="AX55" s="767"/>
      <c r="AY55" s="767"/>
      <c r="AZ55" s="768"/>
      <c r="BA55" s="283">
        <f>CharacterSheet!E6</f>
        <v>1</v>
      </c>
    </row>
    <row r="56" spans="1:189" hidden="1" x14ac:dyDescent="0.25">
      <c r="AW56" s="1104" t="s">
        <v>13</v>
      </c>
      <c r="AX56" s="767"/>
      <c r="AY56" s="767"/>
      <c r="AZ56" s="768"/>
      <c r="BA56" s="283">
        <f>CharacterSheet!E7</f>
        <v>1</v>
      </c>
    </row>
    <row r="57" spans="1:189" hidden="1" x14ac:dyDescent="0.25">
      <c r="AW57" s="1104" t="s">
        <v>14</v>
      </c>
      <c r="AX57" s="767"/>
      <c r="AY57" s="767"/>
      <c r="AZ57" s="768"/>
      <c r="BA57" s="283">
        <f>CharacterSheet!E8</f>
        <v>1</v>
      </c>
    </row>
    <row r="58" spans="1:189" hidden="1" x14ac:dyDescent="0.25">
      <c r="AW58" s="1104" t="s">
        <v>16</v>
      </c>
      <c r="AX58" s="767"/>
      <c r="AY58" s="767"/>
      <c r="AZ58" s="768"/>
      <c r="BA58" s="283">
        <f>CharacterSheet!M6</f>
        <v>1</v>
      </c>
    </row>
    <row r="59" spans="1:189" hidden="1" x14ac:dyDescent="0.25">
      <c r="AW59" s="1104" t="s">
        <v>17</v>
      </c>
      <c r="AX59" s="767"/>
      <c r="AY59" s="767"/>
      <c r="AZ59" s="768"/>
      <c r="BA59" s="283">
        <f>CharacterSheet!M7</f>
        <v>1</v>
      </c>
    </row>
    <row r="60" spans="1:189" hidden="1" x14ac:dyDescent="0.25">
      <c r="AW60" s="1104" t="s">
        <v>18</v>
      </c>
      <c r="AX60" s="767"/>
      <c r="AY60" s="767"/>
      <c r="AZ60" s="768"/>
      <c r="BA60" s="283">
        <f>CharacterSheet!M8</f>
        <v>1</v>
      </c>
    </row>
    <row r="61" spans="1:189" hidden="1" x14ac:dyDescent="0.25">
      <c r="AW61" s="1104" t="s">
        <v>19</v>
      </c>
      <c r="AX61" s="767"/>
      <c r="AY61" s="767"/>
      <c r="AZ61" s="768"/>
      <c r="BA61" s="283">
        <f>CharacterSheet!U6</f>
        <v>1</v>
      </c>
    </row>
    <row r="62" spans="1:189" hidden="1" x14ac:dyDescent="0.25">
      <c r="AW62" s="1104" t="s">
        <v>20</v>
      </c>
      <c r="AX62" s="767"/>
      <c r="AY62" s="767"/>
      <c r="AZ62" s="768"/>
      <c r="BA62" s="283">
        <f>CharacterSheet!U7</f>
        <v>1</v>
      </c>
    </row>
    <row r="63" spans="1:189" ht="15.75" hidden="1" thickBot="1" x14ac:dyDescent="0.3">
      <c r="AW63" s="885" t="s">
        <v>21</v>
      </c>
      <c r="AX63" s="804"/>
      <c r="AY63" s="804"/>
      <c r="AZ63" s="817"/>
      <c r="BA63" s="283">
        <f>CharacterSheet!U8</f>
        <v>1</v>
      </c>
    </row>
  </sheetData>
  <sheetProtection password="E9C2" sheet="1" objects="1" scenarios="1" selectLockedCells="1"/>
  <mergeCells count="591">
    <mergeCell ref="AN27:AQ27"/>
    <mergeCell ref="P39:X50"/>
    <mergeCell ref="Y43:AH44"/>
    <mergeCell ref="Y45:AH46"/>
    <mergeCell ref="BL37:BO37"/>
    <mergeCell ref="BL38:BO38"/>
    <mergeCell ref="BL29:BO29"/>
    <mergeCell ref="BL30:BO30"/>
    <mergeCell ref="BL31:BO31"/>
    <mergeCell ref="BL32:BO32"/>
    <mergeCell ref="BL33:BO33"/>
    <mergeCell ref="AN37:AQ37"/>
    <mergeCell ref="AN38:AQ38"/>
    <mergeCell ref="AN36:AQ36"/>
    <mergeCell ref="Y35:AD36"/>
    <mergeCell ref="Y37:AD38"/>
    <mergeCell ref="Y33:AD34"/>
    <mergeCell ref="BL34:BO34"/>
    <mergeCell ref="BL35:BO35"/>
    <mergeCell ref="BL36:BO36"/>
    <mergeCell ref="AN35:AQ35"/>
    <mergeCell ref="Y47:AH48"/>
    <mergeCell ref="Y49:AH50"/>
    <mergeCell ref="AI39:AK39"/>
    <mergeCell ref="AI40:AK40"/>
    <mergeCell ref="AI41:AK41"/>
    <mergeCell ref="AI42:AK42"/>
    <mergeCell ref="AI43:AK43"/>
    <mergeCell ref="AI44:AK44"/>
    <mergeCell ref="AI45:AK45"/>
    <mergeCell ref="AI46:AK46"/>
    <mergeCell ref="AI47:AK47"/>
    <mergeCell ref="AI48:AK48"/>
    <mergeCell ref="AI49:AK49"/>
    <mergeCell ref="AI50:AK50"/>
    <mergeCell ref="Y39:AH40"/>
    <mergeCell ref="Y41:AH42"/>
    <mergeCell ref="CJ30:CM30"/>
    <mergeCell ref="CJ31:CM31"/>
    <mergeCell ref="DQ39:DZ40"/>
    <mergeCell ref="DQ41:DZ42"/>
    <mergeCell ref="CJ39:CR50"/>
    <mergeCell ref="DQ43:DZ44"/>
    <mergeCell ref="DQ45:DZ46"/>
    <mergeCell ref="DQ47:DZ48"/>
    <mergeCell ref="DQ49:DZ50"/>
    <mergeCell ref="DQ29:EE38"/>
    <mergeCell ref="DH39:DP50"/>
    <mergeCell ref="CS27:DG50"/>
    <mergeCell ref="BU27:CI50"/>
    <mergeCell ref="BL39:BT50"/>
    <mergeCell ref="EA42:EC42"/>
    <mergeCell ref="EA43:EC43"/>
    <mergeCell ref="EA44:EC44"/>
    <mergeCell ref="EA45:EC45"/>
    <mergeCell ref="EA46:EC46"/>
    <mergeCell ref="EA47:EC47"/>
    <mergeCell ref="EA48:EC48"/>
    <mergeCell ref="EA49:EC49"/>
    <mergeCell ref="EA50:EC50"/>
    <mergeCell ref="EA39:EC39"/>
    <mergeCell ref="EA40:EC40"/>
    <mergeCell ref="EA41:EC41"/>
    <mergeCell ref="DH36:DK36"/>
    <mergeCell ref="DH37:DK37"/>
    <mergeCell ref="DH38:DK38"/>
    <mergeCell ref="DH27:DK27"/>
    <mergeCell ref="DH28:DK28"/>
    <mergeCell ref="CJ35:CM35"/>
    <mergeCell ref="CJ36:CM36"/>
    <mergeCell ref="CJ27:CM27"/>
    <mergeCell ref="CJ28:CM28"/>
    <mergeCell ref="CJ29:CM29"/>
    <mergeCell ref="EF36:EI36"/>
    <mergeCell ref="EF37:EI37"/>
    <mergeCell ref="EF38:EI38"/>
    <mergeCell ref="DQ24:DT24"/>
    <mergeCell ref="EF24:EI24"/>
    <mergeCell ref="DQ25:DU26"/>
    <mergeCell ref="EF25:EI25"/>
    <mergeCell ref="EF26:EI26"/>
    <mergeCell ref="EF27:EI27"/>
    <mergeCell ref="EF28:EI28"/>
    <mergeCell ref="EF29:EI29"/>
    <mergeCell ref="EF30:EI30"/>
    <mergeCell ref="EF31:EI31"/>
    <mergeCell ref="EF32:EI32"/>
    <mergeCell ref="EF33:EI33"/>
    <mergeCell ref="EF34:EI34"/>
    <mergeCell ref="EF35:EI35"/>
    <mergeCell ref="DY27:DZ27"/>
    <mergeCell ref="DV28:DX28"/>
    <mergeCell ref="DY28:DZ28"/>
    <mergeCell ref="DQ27:DU28"/>
    <mergeCell ref="DV27:DX27"/>
    <mergeCell ref="EA27:EE28"/>
    <mergeCell ref="DQ22:DT22"/>
    <mergeCell ref="EF22:EI22"/>
    <mergeCell ref="DQ23:DT23"/>
    <mergeCell ref="EF23:EI23"/>
    <mergeCell ref="DQ18:DT18"/>
    <mergeCell ref="EF18:EI18"/>
    <mergeCell ref="DQ19:DT19"/>
    <mergeCell ref="EF19:EI19"/>
    <mergeCell ref="DQ20:DT20"/>
    <mergeCell ref="EF20:EI20"/>
    <mergeCell ref="DQ17:DT17"/>
    <mergeCell ref="EF17:EI17"/>
    <mergeCell ref="DQ12:DT12"/>
    <mergeCell ref="EF12:EI12"/>
    <mergeCell ref="DQ13:DT13"/>
    <mergeCell ref="EF13:EI13"/>
    <mergeCell ref="DQ14:DT14"/>
    <mergeCell ref="EF14:EI14"/>
    <mergeCell ref="DQ21:DT21"/>
    <mergeCell ref="EF21:EI21"/>
    <mergeCell ref="EF6:EI6"/>
    <mergeCell ref="DQ7:DT7"/>
    <mergeCell ref="EF7:EI7"/>
    <mergeCell ref="DQ8:DT8"/>
    <mergeCell ref="EF8:EI8"/>
    <mergeCell ref="DQ15:DT15"/>
    <mergeCell ref="EF15:EI15"/>
    <mergeCell ref="DQ16:DT16"/>
    <mergeCell ref="EF16:EI16"/>
    <mergeCell ref="DQ3:DS4"/>
    <mergeCell ref="EF3:EI3"/>
    <mergeCell ref="EF4:EI4"/>
    <mergeCell ref="DQ5:DT5"/>
    <mergeCell ref="EF5:EI5"/>
    <mergeCell ref="DQ1:EN2"/>
    <mergeCell ref="AE33:AH34"/>
    <mergeCell ref="DH34:DK34"/>
    <mergeCell ref="DH35:DK35"/>
    <mergeCell ref="DH29:DK29"/>
    <mergeCell ref="DH30:DK30"/>
    <mergeCell ref="DH31:DK31"/>
    <mergeCell ref="DH32:DK32"/>
    <mergeCell ref="DH33:DK33"/>
    <mergeCell ref="DQ9:DT9"/>
    <mergeCell ref="EF9:EI9"/>
    <mergeCell ref="DQ10:DT10"/>
    <mergeCell ref="EF10:EI10"/>
    <mergeCell ref="DQ11:DT11"/>
    <mergeCell ref="EF11:EI11"/>
    <mergeCell ref="DQ6:DT6"/>
    <mergeCell ref="CS25:CW26"/>
    <mergeCell ref="DH25:DK25"/>
    <mergeCell ref="DH26:DK26"/>
    <mergeCell ref="CS22:CV22"/>
    <mergeCell ref="DH22:DK22"/>
    <mergeCell ref="CS23:CV23"/>
    <mergeCell ref="DH23:DK23"/>
    <mergeCell ref="CS24:CV24"/>
    <mergeCell ref="DH24:DK24"/>
    <mergeCell ref="CS19:CV19"/>
    <mergeCell ref="DH19:DK19"/>
    <mergeCell ref="CS20:CV20"/>
    <mergeCell ref="DH20:DK20"/>
    <mergeCell ref="CS21:CV21"/>
    <mergeCell ref="DH21:DK21"/>
    <mergeCell ref="CS16:CV16"/>
    <mergeCell ref="DH16:DK16"/>
    <mergeCell ref="CS17:CV17"/>
    <mergeCell ref="DH17:DK17"/>
    <mergeCell ref="CS18:CV18"/>
    <mergeCell ref="DH18:DK18"/>
    <mergeCell ref="CS13:CV13"/>
    <mergeCell ref="DH13:DK13"/>
    <mergeCell ref="CS14:CV14"/>
    <mergeCell ref="DH14:DK14"/>
    <mergeCell ref="CS15:CV15"/>
    <mergeCell ref="DH15:DK15"/>
    <mergeCell ref="DH10:DK10"/>
    <mergeCell ref="CS11:CV11"/>
    <mergeCell ref="DH11:DK11"/>
    <mergeCell ref="CS12:CV12"/>
    <mergeCell ref="DH12:DK12"/>
    <mergeCell ref="CJ37:CM37"/>
    <mergeCell ref="CJ38:CM38"/>
    <mergeCell ref="CS3:CU4"/>
    <mergeCell ref="DH3:DK3"/>
    <mergeCell ref="DH4:DK4"/>
    <mergeCell ref="CS5:CV5"/>
    <mergeCell ref="DH5:DK5"/>
    <mergeCell ref="CS6:CV6"/>
    <mergeCell ref="DH6:DK6"/>
    <mergeCell ref="CS7:CV7"/>
    <mergeCell ref="DH7:DK7"/>
    <mergeCell ref="CS8:CV8"/>
    <mergeCell ref="DH8:DK8"/>
    <mergeCell ref="CS9:CV9"/>
    <mergeCell ref="DH9:DK9"/>
    <mergeCell ref="CS10:CV10"/>
    <mergeCell ref="CJ32:CM32"/>
    <mergeCell ref="CJ33:CM33"/>
    <mergeCell ref="CJ34:CM34"/>
    <mergeCell ref="BU24:BX24"/>
    <mergeCell ref="CJ24:CM24"/>
    <mergeCell ref="BU25:BY26"/>
    <mergeCell ref="CJ25:CM25"/>
    <mergeCell ref="CJ26:CM26"/>
    <mergeCell ref="BU21:BX21"/>
    <mergeCell ref="CJ21:CM21"/>
    <mergeCell ref="BU22:BX22"/>
    <mergeCell ref="CJ22:CM22"/>
    <mergeCell ref="BU23:BX23"/>
    <mergeCell ref="CJ23:CM23"/>
    <mergeCell ref="BU18:BX18"/>
    <mergeCell ref="CJ18:CM18"/>
    <mergeCell ref="BU19:BX19"/>
    <mergeCell ref="CJ19:CM19"/>
    <mergeCell ref="BU20:BX20"/>
    <mergeCell ref="CJ20:CM20"/>
    <mergeCell ref="BU15:BX15"/>
    <mergeCell ref="CJ15:CM15"/>
    <mergeCell ref="BU16:BX16"/>
    <mergeCell ref="CJ16:CM16"/>
    <mergeCell ref="BU17:BX17"/>
    <mergeCell ref="CJ17:CM17"/>
    <mergeCell ref="BU12:BX12"/>
    <mergeCell ref="CJ12:CM12"/>
    <mergeCell ref="BU13:BX13"/>
    <mergeCell ref="CJ13:CM13"/>
    <mergeCell ref="BU14:BX14"/>
    <mergeCell ref="CJ14:CM14"/>
    <mergeCell ref="BU9:BX9"/>
    <mergeCell ref="CJ9:CM9"/>
    <mergeCell ref="BU10:BX10"/>
    <mergeCell ref="CJ10:CM10"/>
    <mergeCell ref="BU11:BX11"/>
    <mergeCell ref="CJ11:CM11"/>
    <mergeCell ref="BU6:BX6"/>
    <mergeCell ref="CJ6:CM6"/>
    <mergeCell ref="BU7:BX7"/>
    <mergeCell ref="CJ7:CM7"/>
    <mergeCell ref="BU8:BX8"/>
    <mergeCell ref="CJ8:CM8"/>
    <mergeCell ref="BU3:BW4"/>
    <mergeCell ref="CJ3:CM3"/>
    <mergeCell ref="CJ4:CM4"/>
    <mergeCell ref="BU5:BX5"/>
    <mergeCell ref="CJ5:CM5"/>
    <mergeCell ref="BL27:BO27"/>
    <mergeCell ref="BL28:BO28"/>
    <mergeCell ref="AW22:AZ22"/>
    <mergeCell ref="BL22:BO22"/>
    <mergeCell ref="AW23:AZ23"/>
    <mergeCell ref="BL23:BO23"/>
    <mergeCell ref="AW24:AZ24"/>
    <mergeCell ref="BL24:BO24"/>
    <mergeCell ref="AW27:BA28"/>
    <mergeCell ref="BB27:BC28"/>
    <mergeCell ref="AN30:AQ30"/>
    <mergeCell ref="AN31:AQ31"/>
    <mergeCell ref="AW3:AY4"/>
    <mergeCell ref="BL3:BO3"/>
    <mergeCell ref="BL4:BO4"/>
    <mergeCell ref="AW5:AZ5"/>
    <mergeCell ref="BL5:BO5"/>
    <mergeCell ref="AW6:AZ6"/>
    <mergeCell ref="BL6:BO6"/>
    <mergeCell ref="AW7:AZ7"/>
    <mergeCell ref="BL7:BO7"/>
    <mergeCell ref="AW13:AZ13"/>
    <mergeCell ref="BL13:BO13"/>
    <mergeCell ref="AW14:AZ14"/>
    <mergeCell ref="BL14:BO14"/>
    <mergeCell ref="AW15:AZ15"/>
    <mergeCell ref="BL15:BO15"/>
    <mergeCell ref="BL10:BO10"/>
    <mergeCell ref="AW11:AZ11"/>
    <mergeCell ref="BL11:BO11"/>
    <mergeCell ref="AN23:AQ23"/>
    <mergeCell ref="AW8:AZ8"/>
    <mergeCell ref="BL25:BO25"/>
    <mergeCell ref="BL26:BO26"/>
    <mergeCell ref="BL8:BO8"/>
    <mergeCell ref="AW9:AZ9"/>
    <mergeCell ref="BL9:BO9"/>
    <mergeCell ref="AW10:AZ10"/>
    <mergeCell ref="AN32:AQ32"/>
    <mergeCell ref="AN33:AQ33"/>
    <mergeCell ref="AN34:AQ34"/>
    <mergeCell ref="AW12:AZ12"/>
    <mergeCell ref="BL12:BO12"/>
    <mergeCell ref="AW19:AZ19"/>
    <mergeCell ref="BL19:BO19"/>
    <mergeCell ref="AW20:AZ20"/>
    <mergeCell ref="BL20:BO20"/>
    <mergeCell ref="AW21:AZ21"/>
    <mergeCell ref="BL21:BO21"/>
    <mergeCell ref="AW16:AZ16"/>
    <mergeCell ref="BL16:BO16"/>
    <mergeCell ref="AW17:AZ17"/>
    <mergeCell ref="BL17:BO17"/>
    <mergeCell ref="AW18:AZ18"/>
    <mergeCell ref="BL18:BO18"/>
    <mergeCell ref="AW25:BA26"/>
    <mergeCell ref="AN28:AQ28"/>
    <mergeCell ref="AN29:AQ29"/>
    <mergeCell ref="Y24:AB24"/>
    <mergeCell ref="AN24:AQ24"/>
    <mergeCell ref="Y25:AC26"/>
    <mergeCell ref="AN25:AQ25"/>
    <mergeCell ref="AN26:AQ26"/>
    <mergeCell ref="Y21:AB21"/>
    <mergeCell ref="AN21:AQ21"/>
    <mergeCell ref="Y22:AB22"/>
    <mergeCell ref="AN22:AQ22"/>
    <mergeCell ref="Y23:AB23"/>
    <mergeCell ref="A27:O50"/>
    <mergeCell ref="AN7:AQ7"/>
    <mergeCell ref="Y8:AB8"/>
    <mergeCell ref="AN8:AQ8"/>
    <mergeCell ref="Y3:AA4"/>
    <mergeCell ref="AN3:AQ3"/>
    <mergeCell ref="AN4:AQ4"/>
    <mergeCell ref="Y5:AB5"/>
    <mergeCell ref="AN5:AQ5"/>
    <mergeCell ref="Y12:AB12"/>
    <mergeCell ref="AN12:AQ12"/>
    <mergeCell ref="Y13:AB13"/>
    <mergeCell ref="AN13:AQ13"/>
    <mergeCell ref="Y14:AB14"/>
    <mergeCell ref="AN14:AQ14"/>
    <mergeCell ref="Y9:AB9"/>
    <mergeCell ref="AN9:AQ9"/>
    <mergeCell ref="Y10:AB10"/>
    <mergeCell ref="AN10:AQ10"/>
    <mergeCell ref="Y11:AB11"/>
    <mergeCell ref="AN11:AQ11"/>
    <mergeCell ref="AE35:AH36"/>
    <mergeCell ref="AE37:AH38"/>
    <mergeCell ref="Y18:AB18"/>
    <mergeCell ref="Y7:AB7"/>
    <mergeCell ref="P8:S8"/>
    <mergeCell ref="A25:E26"/>
    <mergeCell ref="P33:S33"/>
    <mergeCell ref="P34:S34"/>
    <mergeCell ref="P35:S35"/>
    <mergeCell ref="P36:S36"/>
    <mergeCell ref="P37:S37"/>
    <mergeCell ref="P28:S28"/>
    <mergeCell ref="P29:S29"/>
    <mergeCell ref="P30:S30"/>
    <mergeCell ref="P31:S31"/>
    <mergeCell ref="P32:S32"/>
    <mergeCell ref="P23:S23"/>
    <mergeCell ref="P24:S24"/>
    <mergeCell ref="P25:S25"/>
    <mergeCell ref="P26:S26"/>
    <mergeCell ref="P27:S27"/>
    <mergeCell ref="P9:S9"/>
    <mergeCell ref="P10:S10"/>
    <mergeCell ref="P11:S11"/>
    <mergeCell ref="P12:S12"/>
    <mergeCell ref="P13:S13"/>
    <mergeCell ref="P14:S14"/>
    <mergeCell ref="P38:S38"/>
    <mergeCell ref="A1:X2"/>
    <mergeCell ref="Y1:AV2"/>
    <mergeCell ref="AW1:BT2"/>
    <mergeCell ref="BU1:CR2"/>
    <mergeCell ref="CS1:DP2"/>
    <mergeCell ref="A15:D15"/>
    <mergeCell ref="A16:D16"/>
    <mergeCell ref="A17:D17"/>
    <mergeCell ref="A7:D7"/>
    <mergeCell ref="A8:D8"/>
    <mergeCell ref="A9:D9"/>
    <mergeCell ref="A10:D10"/>
    <mergeCell ref="A11:D11"/>
    <mergeCell ref="A12:D12"/>
    <mergeCell ref="P6:S6"/>
    <mergeCell ref="P7:S7"/>
    <mergeCell ref="A3:C4"/>
    <mergeCell ref="P15:S15"/>
    <mergeCell ref="P16:S16"/>
    <mergeCell ref="P17:S17"/>
    <mergeCell ref="A6:D6"/>
    <mergeCell ref="Y6:AB6"/>
    <mergeCell ref="AN6:AQ6"/>
    <mergeCell ref="A24:D24"/>
    <mergeCell ref="P3:S3"/>
    <mergeCell ref="P4:S4"/>
    <mergeCell ref="P5:S5"/>
    <mergeCell ref="A18:D18"/>
    <mergeCell ref="A19:D19"/>
    <mergeCell ref="A20:D20"/>
    <mergeCell ref="A21:D21"/>
    <mergeCell ref="A22:D22"/>
    <mergeCell ref="A23:D23"/>
    <mergeCell ref="A13:D13"/>
    <mergeCell ref="A14:D14"/>
    <mergeCell ref="A5:D5"/>
    <mergeCell ref="P18:S18"/>
    <mergeCell ref="P19:S19"/>
    <mergeCell ref="P20:S20"/>
    <mergeCell ref="P21:S21"/>
    <mergeCell ref="P22:S22"/>
    <mergeCell ref="EO31:ER31"/>
    <mergeCell ref="EO32:ER32"/>
    <mergeCell ref="EO33:ER33"/>
    <mergeCell ref="EO34:ER34"/>
    <mergeCell ref="EO35:ER35"/>
    <mergeCell ref="EO8:ER8"/>
    <mergeCell ref="EO9:ER9"/>
    <mergeCell ref="EO10:ER10"/>
    <mergeCell ref="Y27:AC28"/>
    <mergeCell ref="AD27:AE28"/>
    <mergeCell ref="Y29:AE32"/>
    <mergeCell ref="AI33:AM38"/>
    <mergeCell ref="AF27:AM32"/>
    <mergeCell ref="AN18:AQ18"/>
    <mergeCell ref="Y19:AB19"/>
    <mergeCell ref="AN19:AQ19"/>
    <mergeCell ref="Y20:AB20"/>
    <mergeCell ref="AN20:AQ20"/>
    <mergeCell ref="Y15:AB15"/>
    <mergeCell ref="AN15:AQ15"/>
    <mergeCell ref="Y16:AB16"/>
    <mergeCell ref="AN16:AQ16"/>
    <mergeCell ref="Y17:AB17"/>
    <mergeCell ref="AN17:AQ17"/>
    <mergeCell ref="EO14:ER14"/>
    <mergeCell ref="EO15:ER15"/>
    <mergeCell ref="EO21:ER21"/>
    <mergeCell ref="EO22:ER22"/>
    <mergeCell ref="EO25:ER25"/>
    <mergeCell ref="EO26:ER26"/>
    <mergeCell ref="EO27:ER27"/>
    <mergeCell ref="EO28:ER28"/>
    <mergeCell ref="EO29:ER29"/>
    <mergeCell ref="EO37:GG50"/>
    <mergeCell ref="FY3:GG5"/>
    <mergeCell ref="FY6:GB6"/>
    <mergeCell ref="FY7:GB7"/>
    <mergeCell ref="FY8:GB8"/>
    <mergeCell ref="FY9:GB9"/>
    <mergeCell ref="FY10:GB10"/>
    <mergeCell ref="FY11:GB11"/>
    <mergeCell ref="FY12:GB12"/>
    <mergeCell ref="FY13:GB13"/>
    <mergeCell ref="FP3:FX5"/>
    <mergeCell ref="EO6:ER6"/>
    <mergeCell ref="EO7:ER7"/>
    <mergeCell ref="EO19:ER19"/>
    <mergeCell ref="EO16:ER16"/>
    <mergeCell ref="EO17:ER17"/>
    <mergeCell ref="EO18:ER18"/>
    <mergeCell ref="EO20:ER20"/>
    <mergeCell ref="EO24:ER24"/>
    <mergeCell ref="EO30:ER30"/>
    <mergeCell ref="EO23:ER23"/>
    <mergeCell ref="EO11:ER11"/>
    <mergeCell ref="EO12:ER12"/>
    <mergeCell ref="EO13:ER13"/>
    <mergeCell ref="FG36:FJ36"/>
    <mergeCell ref="FP33:FS33"/>
    <mergeCell ref="FP34:FS34"/>
    <mergeCell ref="FP35:FS35"/>
    <mergeCell ref="FP36:FS36"/>
    <mergeCell ref="FY32:GB32"/>
    <mergeCell ref="FY33:GB33"/>
    <mergeCell ref="FY34:GB34"/>
    <mergeCell ref="FY35:GB35"/>
    <mergeCell ref="FY36:GB36"/>
    <mergeCell ref="EO36:ER36"/>
    <mergeCell ref="EX6:FA6"/>
    <mergeCell ref="EX7:FA7"/>
    <mergeCell ref="EX8:FA8"/>
    <mergeCell ref="EX9:FA9"/>
    <mergeCell ref="EX10:FA10"/>
    <mergeCell ref="EX11:FA11"/>
    <mergeCell ref="EX12:FA12"/>
    <mergeCell ref="EX13:FA13"/>
    <mergeCell ref="EX14:FA14"/>
    <mergeCell ref="EX15:FA15"/>
    <mergeCell ref="EX16:FA16"/>
    <mergeCell ref="EX17:FA17"/>
    <mergeCell ref="EX18:FA18"/>
    <mergeCell ref="EX19:FA19"/>
    <mergeCell ref="EX20:FA20"/>
    <mergeCell ref="EX21:FA21"/>
    <mergeCell ref="EX22:FA22"/>
    <mergeCell ref="EX23:FA23"/>
    <mergeCell ref="EX24:FA24"/>
    <mergeCell ref="EX25:FA25"/>
    <mergeCell ref="EX26:FA26"/>
    <mergeCell ref="EX27:FA27"/>
    <mergeCell ref="EX28:FA28"/>
    <mergeCell ref="EX29:FA29"/>
    <mergeCell ref="EX30:FA30"/>
    <mergeCell ref="EX31:FA31"/>
    <mergeCell ref="EX32:FA32"/>
    <mergeCell ref="EX33:FA33"/>
    <mergeCell ref="EX34:FA34"/>
    <mergeCell ref="EX35:FA35"/>
    <mergeCell ref="EX36:FA36"/>
    <mergeCell ref="EO1:GG2"/>
    <mergeCell ref="EO3:EW5"/>
    <mergeCell ref="EX3:FF5"/>
    <mergeCell ref="FG3:FO5"/>
    <mergeCell ref="FG6:FJ6"/>
    <mergeCell ref="FG7:FJ7"/>
    <mergeCell ref="FG8:FJ8"/>
    <mergeCell ref="FG9:FJ9"/>
    <mergeCell ref="FG10:FJ10"/>
    <mergeCell ref="FG11:FJ11"/>
    <mergeCell ref="FG12:FJ12"/>
    <mergeCell ref="FG13:FJ13"/>
    <mergeCell ref="FG14:FJ14"/>
    <mergeCell ref="FG15:FJ15"/>
    <mergeCell ref="FG16:FJ16"/>
    <mergeCell ref="FG17:FJ17"/>
    <mergeCell ref="FG31:FJ31"/>
    <mergeCell ref="FG32:FJ32"/>
    <mergeCell ref="FG33:FJ33"/>
    <mergeCell ref="FG34:FJ34"/>
    <mergeCell ref="FG35:FJ35"/>
    <mergeCell ref="FG18:FJ18"/>
    <mergeCell ref="FG19:FJ19"/>
    <mergeCell ref="FG20:FJ20"/>
    <mergeCell ref="FG21:FJ21"/>
    <mergeCell ref="FG22:FJ22"/>
    <mergeCell ref="FG23:FJ23"/>
    <mergeCell ref="FG24:FJ24"/>
    <mergeCell ref="FG25:FJ25"/>
    <mergeCell ref="FG26:FJ26"/>
    <mergeCell ref="FG30:FJ30"/>
    <mergeCell ref="FP6:FS6"/>
    <mergeCell ref="FP7:FS7"/>
    <mergeCell ref="FP8:FS8"/>
    <mergeCell ref="FP9:FS9"/>
    <mergeCell ref="FP10:FS10"/>
    <mergeCell ref="FP11:FS11"/>
    <mergeCell ref="FP12:FS12"/>
    <mergeCell ref="FP13:FS13"/>
    <mergeCell ref="FP14:FS14"/>
    <mergeCell ref="FY14:GB14"/>
    <mergeCell ref="FY15:GB15"/>
    <mergeCell ref="FY16:GB16"/>
    <mergeCell ref="FY17:GB17"/>
    <mergeCell ref="FY18:GB18"/>
    <mergeCell ref="FY19:GB19"/>
    <mergeCell ref="FY20:GB20"/>
    <mergeCell ref="FY21:GB21"/>
    <mergeCell ref="FY22:GB22"/>
    <mergeCell ref="FP15:FS15"/>
    <mergeCell ref="FP16:FS16"/>
    <mergeCell ref="FP17:FS17"/>
    <mergeCell ref="FP18:FS18"/>
    <mergeCell ref="FP19:FS19"/>
    <mergeCell ref="FP20:FS20"/>
    <mergeCell ref="FP21:FS21"/>
    <mergeCell ref="FP22:FS22"/>
    <mergeCell ref="FP23:FS23"/>
    <mergeCell ref="AW63:AZ63"/>
    <mergeCell ref="AW29:BK50"/>
    <mergeCell ref="BD27:BK28"/>
    <mergeCell ref="FY23:GB23"/>
    <mergeCell ref="FY24:GB24"/>
    <mergeCell ref="FY25:GB25"/>
    <mergeCell ref="FY26:GB26"/>
    <mergeCell ref="FY27:GB27"/>
    <mergeCell ref="FY28:GB28"/>
    <mergeCell ref="FY29:GB29"/>
    <mergeCell ref="FY30:GB30"/>
    <mergeCell ref="FY31:GB31"/>
    <mergeCell ref="FP24:FS24"/>
    <mergeCell ref="FP25:FS25"/>
    <mergeCell ref="FP26:FS26"/>
    <mergeCell ref="FP27:FS27"/>
    <mergeCell ref="FP28:FS28"/>
    <mergeCell ref="FP29:FS29"/>
    <mergeCell ref="FP30:FS30"/>
    <mergeCell ref="FP31:FS31"/>
    <mergeCell ref="FP32:FS32"/>
    <mergeCell ref="FG27:FJ27"/>
    <mergeCell ref="FG28:FJ28"/>
    <mergeCell ref="FG29:FJ29"/>
    <mergeCell ref="AW54:AZ54"/>
    <mergeCell ref="AW55:AZ55"/>
    <mergeCell ref="AW56:AZ56"/>
    <mergeCell ref="AW57:AZ57"/>
    <mergeCell ref="AW58:AZ58"/>
    <mergeCell ref="AW59:AZ59"/>
    <mergeCell ref="AW60:AZ60"/>
    <mergeCell ref="AW61:AZ61"/>
    <mergeCell ref="AW62:AZ62"/>
  </mergeCells>
  <conditionalFormatting sqref="AR9:AV38">
    <cfRule type="expression" dxfId="401" priority="44">
      <formula>OR(T9=1,BP9=1,CN9=1,DL9=1,ES7=1,FB7=1,FK7=1,FT7=1,GC7=1)</formula>
    </cfRule>
  </conditionalFormatting>
  <conditionalFormatting sqref="BP9:BT38">
    <cfRule type="expression" dxfId="400" priority="43">
      <formula>OR(T9=1,AR9=1,CN9=1,DL9=1,ES7=1,FB7=1,FK7=1,FT7=1,GC7=1)</formula>
    </cfRule>
  </conditionalFormatting>
  <conditionalFormatting sqref="ES7:EW36">
    <cfRule type="expression" dxfId="399" priority="42">
      <formula>OR(T9=1,BP9=1,CN9=1,DL9=1,AR9=1,FB7=1,FK7=1,FT7=1,GC7=1)</formula>
    </cfRule>
  </conditionalFormatting>
  <conditionalFormatting sqref="AD4:AM4">
    <cfRule type="expression" dxfId="398" priority="34">
      <formula>OR(F6=1,BB4=1,BZ4=1,CX4=1)</formula>
    </cfRule>
  </conditionalFormatting>
  <conditionalFormatting sqref="AD6:AM14">
    <cfRule type="expression" dxfId="397" priority="33">
      <formula>OR(F6=1,BB6=1,BZ6=1,CX6=1)</formula>
    </cfRule>
  </conditionalFormatting>
  <conditionalFormatting sqref="AC16:AM24">
    <cfRule type="expression" dxfId="396" priority="32">
      <formula>OR(E16=1,BA16=1,BY16=1,CW16=1)</formula>
    </cfRule>
  </conditionalFormatting>
  <conditionalFormatting sqref="AI26:AM26">
    <cfRule type="expression" dxfId="395" priority="31">
      <formula>OR(K26=1,BG26=1,CE26=1,DC26=1)</formula>
    </cfRule>
  </conditionalFormatting>
  <conditionalFormatting sqref="AS4:AV7">
    <cfRule type="expression" dxfId="394" priority="30">
      <formula>OR(U4=1,BQ4=1,CO4=1,DM4=1)</formula>
    </cfRule>
  </conditionalFormatting>
  <conditionalFormatting sqref="BB4:BK4">
    <cfRule type="expression" dxfId="393" priority="29">
      <formula>OR(F4=1,AD4=1,BZ4=1,CX4=1)</formula>
    </cfRule>
  </conditionalFormatting>
  <conditionalFormatting sqref="BB6:BK14">
    <cfRule type="expression" dxfId="392" priority="28">
      <formula>OR(F6=1,AD6=1,BZ6=1,CX6=1)</formula>
    </cfRule>
  </conditionalFormatting>
  <conditionalFormatting sqref="BA16:BK24">
    <cfRule type="expression" dxfId="391" priority="27">
      <formula>OR(E16=1,AC16=1,BY16=1,CW16=1)</formula>
    </cfRule>
  </conditionalFormatting>
  <conditionalFormatting sqref="BG26:BK26">
    <cfRule type="expression" dxfId="390" priority="26">
      <formula>OR(K26=1,AI26=1,CE26=1,DC26=1)</formula>
    </cfRule>
  </conditionalFormatting>
  <conditionalFormatting sqref="BQ4:BT7">
    <cfRule type="expression" dxfId="389" priority="25">
      <formula>OR(U4=1,AS4=1,CO4=1,DM4=1)</formula>
    </cfRule>
  </conditionalFormatting>
  <conditionalFormatting sqref="EX27:FF36">
    <cfRule type="expression" dxfId="388" priority="12">
      <formula>IF(OR($EX27="Special",$EX27="Art"),1,0)=1</formula>
    </cfRule>
  </conditionalFormatting>
  <conditionalFormatting sqref="FP27:FX36">
    <cfRule type="expression" dxfId="387" priority="8">
      <formula>IF(OR($EX27="Special",$EX27="Art"),1,0)=1</formula>
    </cfRule>
  </conditionalFormatting>
  <conditionalFormatting sqref="FB7:FF36">
    <cfRule type="expression" dxfId="386" priority="6">
      <formula>IF(OR(FT7=1,ES7=1,DL9=1,CN9=1,BP9=1,AR9=1),1,0)=1</formula>
    </cfRule>
  </conditionalFormatting>
  <conditionalFormatting sqref="FT7:FX36">
    <cfRule type="expression" dxfId="385" priority="5">
      <formula>IF(OR(FB7=1,ES7=1,DL9=1,CN9=1,BP9=1,AR9=1),1,0)=1</formula>
    </cfRule>
  </conditionalFormatting>
  <conditionalFormatting sqref="BF6:BK14 AH6:AM14">
    <cfRule type="expression" dxfId="384" priority="3">
      <formula>IF(AH$5&gt;$BA$54,1,0)=1</formula>
    </cfRule>
    <cfRule type="expression" dxfId="383" priority="4">
      <formula>IF($BA$54&lt;6,1,0)=1</formula>
    </cfRule>
  </conditionalFormatting>
  <conditionalFormatting sqref="BB16:BK24 AD16:AM24">
    <cfRule type="expression" dxfId="382" priority="1">
      <formula>IF(AD$15&gt;$BA55,1,0)=1</formula>
    </cfRule>
    <cfRule type="expression" dxfId="381" priority="2">
      <formula>IF(AD$15&gt;$BA$54-1,1,0)=1</formula>
    </cfRule>
  </conditionalFormatting>
  <pageMargins left="0.7" right="0.7" top="0.75" bottom="0.75" header="0.3" footer="0.3"/>
  <pageSetup scale="89" orientation="portrait" r:id="rId1"/>
  <colBreaks count="2" manualBreakCount="2">
    <brk id="48" max="1048575" man="1"/>
    <brk id="144" max="49" man="1"/>
  </colBreaks>
  <extLst>
    <ext xmlns:x14="http://schemas.microsoft.com/office/spreadsheetml/2009/9/main" uri="{78C0D931-6437-407d-A8EE-F0AAD7539E65}">
      <x14:conditionalFormattings>
        <x14:conditionalFormatting xmlns:xm="http://schemas.microsoft.com/office/excel/2006/main">
          <x14:cfRule type="expression" priority="596" id="{DEEA486E-BF19-43D9-8FFA-3FB8AFC97DAA}">
            <xm:f>CharacterSheet!#REF!="Yes"</xm:f>
            <x14:dxf>
              <fill>
                <patternFill>
                  <bgColor theme="1"/>
                </patternFill>
              </fill>
            </x14:dxf>
          </x14:cfRule>
          <xm:sqref>AR9:AV9 AR21:AV21 AR23:AV24</xm:sqref>
        </x14:conditionalFormatting>
        <x14:conditionalFormatting xmlns:xm="http://schemas.microsoft.com/office/excel/2006/main">
          <x14:cfRule type="expression" priority="601" id="{9EEFD732-17C8-4C6E-AB74-2611A54EB48C}">
            <xm:f>CharacterSheet!#REF!="Yes"</xm:f>
            <x14:dxf>
              <fill>
                <patternFill>
                  <bgColor theme="1"/>
                </patternFill>
              </fill>
            </x14:dxf>
          </x14:cfRule>
          <xm:sqref>AR11:AV11 AR13:AV13 AR18:AV20 AR22:AV22 AR27:AV28</xm:sqref>
        </x14:conditionalFormatting>
        <x14:conditionalFormatting xmlns:xm="http://schemas.microsoft.com/office/excel/2006/main">
          <x14:cfRule type="expression" priority="606" id="{27812D38-DFE7-4898-8305-49E7372E640A}">
            <xm:f>AND(OR($AN29="Craft",$AN29="Control"),CharacterSheet!#REF!="Yes")</xm:f>
            <x14:dxf>
              <fill>
                <patternFill>
                  <bgColor theme="1"/>
                </patternFill>
              </fill>
            </x14:dxf>
          </x14:cfRule>
          <x14:cfRule type="expression" priority="607" id="{0EA952C1-5954-4B2F-BDCC-EBDF38F7DCC0}">
            <xm:f>AND($AN29="Science",CharacterSheet!#REF!="Yes")</xm:f>
            <x14:dxf>
              <fill>
                <patternFill>
                  <bgColor theme="1"/>
                </patternFill>
              </fill>
            </x14:dxf>
          </x14:cfRule>
          <xm:sqref>AR29:AV38</xm:sqref>
        </x14:conditionalFormatting>
        <x14:conditionalFormatting xmlns:xm="http://schemas.microsoft.com/office/excel/2006/main">
          <x14:cfRule type="expression" priority="11" id="{40BC020E-889E-4F60-962C-1FFC53DACCC2}">
            <xm:f>IF('House Rules'!$B$6="Free",1,0)=1</xm:f>
            <x14:dxf>
              <fill>
                <patternFill>
                  <bgColor theme="1"/>
                </patternFill>
              </fill>
            </x14:dxf>
          </x14:cfRule>
          <xm:sqref>Y49:AV50</xm:sqref>
        </x14:conditionalFormatting>
        <x14:conditionalFormatting xmlns:xm="http://schemas.microsoft.com/office/excel/2006/main">
          <x14:cfRule type="expression" priority="10" id="{9814CDDD-EA9E-448A-AB6A-0417A2F98DAC}">
            <xm:f>IF('Purchased Knacks'!$E$157="No",1,0)=1</xm:f>
            <x14:dxf>
              <fill>
                <patternFill>
                  <bgColor theme="1"/>
                </patternFill>
              </fill>
            </x14:dxf>
          </x14:cfRule>
          <xm:sqref>EX7:FF7 EX19:FF19 EX21:FF22 EX27:FF36 FP19:FX19 FP21:FX22 FP27:FX36</xm:sqref>
        </x14:conditionalFormatting>
        <x14:conditionalFormatting xmlns:xm="http://schemas.microsoft.com/office/excel/2006/main">
          <x14:cfRule type="expression" priority="9" id="{350EE709-A81C-4E58-8314-D83DD0EFCE0B}">
            <xm:f>IF('Purchased Knacks'!$E$166="No",1,0)=1</xm:f>
            <x14:dxf>
              <fill>
                <patternFill>
                  <bgColor theme="1"/>
                </patternFill>
              </fill>
            </x14:dxf>
          </x14:cfRule>
          <xm:sqref>EX9:FF9 EX11:FF11 EX16:FF18 EX20:FF20 EX25:FF26 FP11:FX11 FP16:FX18 FP20:FX20 FP25:FX26</xm:sqref>
        </x14:conditionalFormatting>
        <x14:conditionalFormatting xmlns:xm="http://schemas.microsoft.com/office/excel/2006/main">
          <x14:cfRule type="expression" priority="7" id="{387D9C6A-EC02-4AA8-AF89-D0D9457F6899}">
            <xm:f>IF(AND(OR($EX27="Control",$EX27="Craft"),'Purchased Knacks'!$E$166="No"),1,0)=1</xm:f>
            <x14:dxf>
              <fill>
                <patternFill>
                  <bgColor theme="1"/>
                </patternFill>
              </fill>
            </x14:dxf>
          </x14:cfRule>
          <xm:sqref>EX27:FF36</xm:sqref>
        </x14:conditionalFormatting>
        <x14:conditionalFormatting xmlns:xm="http://schemas.microsoft.com/office/excel/2006/main">
          <x14:cfRule type="expression" priority="608" id="{9F778377-A057-4C43-83F1-1F3DBA2131FA}">
            <xm:f>IF('Purchased Knacks'!$E$157="No",1,0)=1</xm:f>
            <x14:dxf>
              <fill>
                <patternFill>
                  <bgColor theme="1"/>
                </patternFill>
              </fill>
            </x14:dxf>
          </x14:cfRule>
          <xm:sqref>FP7:FX7</xm:sqref>
        </x14:conditionalFormatting>
        <x14:conditionalFormatting xmlns:xm="http://schemas.microsoft.com/office/excel/2006/main">
          <x14:cfRule type="expression" priority="609" id="{CB8EB472-A49F-472D-9192-7F8D6DC0EA9D}">
            <xm:f>IF('Purchased Knacks'!$E$166="No",1,0)=1</xm:f>
            <x14:dxf>
              <fill>
                <patternFill>
                  <bgColor theme="1"/>
                </patternFill>
              </fill>
            </x14:dxf>
          </x14:cfRule>
          <xm:sqref>FP9:FX9</xm:sqref>
        </x14:conditionalFormatting>
        <x14:conditionalFormatting xmlns:xm="http://schemas.microsoft.com/office/excel/2006/main">
          <x14:cfRule type="expression" priority="610" id="{476E3110-4FD1-407A-A8D4-A56DF7300574}">
            <xm:f>IF(AND(OR($EX27="Control",$EX27="Craft"),'Purchased Knacks'!$E$166="No"),1,0)=1</xm:f>
            <x14:dxf>
              <fill>
                <patternFill>
                  <bgColor theme="1"/>
                </patternFill>
              </fill>
            </x14:dxf>
          </x14:cfRule>
          <xm:sqref>FP27:FX36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3" tint="0.39997558519241921"/>
  </sheetPr>
  <dimension ref="A1:CG122"/>
  <sheetViews>
    <sheetView view="pageBreakPreview" zoomScale="75" zoomScaleNormal="100" zoomScaleSheetLayoutView="75" workbookViewId="0">
      <selection activeCell="AN26" sqref="AN26:AS26"/>
    </sheetView>
  </sheetViews>
  <sheetFormatPr defaultRowHeight="15" x14ac:dyDescent="0.25"/>
  <cols>
    <col min="1" max="72" width="3.7109375" style="283" customWidth="1"/>
    <col min="73" max="73" width="3.7109375" style="283" hidden="1" customWidth="1"/>
    <col min="74" max="74" width="14.5703125" style="318" hidden="1" customWidth="1"/>
    <col min="75" max="75" width="2.42578125" style="318" hidden="1" customWidth="1"/>
    <col min="76" max="76" width="14.5703125" style="283" hidden="1" customWidth="1"/>
    <col min="77" max="77" width="2.42578125" style="283" hidden="1" customWidth="1"/>
    <col min="78" max="78" width="12.7109375" style="283" hidden="1" customWidth="1"/>
    <col min="79" max="79" width="9.7109375" style="283" hidden="1" customWidth="1"/>
    <col min="80" max="85" width="9.140625" style="283" hidden="1" customWidth="1"/>
    <col min="86" max="16384" width="9.140625" style="283"/>
  </cols>
  <sheetData>
    <row r="1" spans="1:85" ht="15" customHeight="1" thickBot="1" x14ac:dyDescent="0.3">
      <c r="A1" s="838" t="s">
        <v>145</v>
      </c>
      <c r="B1" s="839"/>
      <c r="C1" s="839"/>
      <c r="D1" s="839"/>
      <c r="E1" s="1190" t="s">
        <v>133</v>
      </c>
      <c r="F1" s="1190"/>
      <c r="G1" s="1190"/>
      <c r="H1" s="1191"/>
      <c r="I1" s="721" t="s">
        <v>7</v>
      </c>
      <c r="J1" s="722"/>
      <c r="K1" s="722"/>
      <c r="L1" s="722"/>
      <c r="M1" s="722" t="str">
        <f>IF(OR(E22="Select",E28="Select",E34="Select"),"Prioritize Your Attribute Groups",IF(AND(E22="Primary",E23&gt;0),"Select Physical Attributes",IF(AND(E28="primary",E29&gt;0),"Select Social Attributes",IF(AND(E34="Primary",E35&gt;0),"Select Mental Attributes",IF(AND(E22="Secondary",E23&gt;0),"Select Physical Attributes",IF(AND(E28="Secondary",E29&gt;0),"Select Social Attributes",IF(AND(E34="Secondary",E35&gt;0),"Select Mental Attributes",IF(AND(E22="Tertiary",E23&gt;0),"Select Physical Attributes",IF(AND(E28="Tertiary",E29&gt;0),"Select Social Attributes",IF(AND(E34="Tertiary",E35&gt;0),"Select Mental Attributes",IF(BO17="no","Select Advantages",IF(BM42="No","Select Birthrights",IF(M46="No","Spend Bonus Points","You're Done!")))))))))))))</f>
        <v>Prioritize Your Attribute Groups</v>
      </c>
      <c r="N1" s="722"/>
      <c r="O1" s="722"/>
      <c r="P1" s="722"/>
      <c r="Q1" s="722"/>
      <c r="R1" s="722"/>
      <c r="S1" s="722"/>
      <c r="T1" s="722"/>
      <c r="U1" s="722"/>
      <c r="V1" s="722"/>
      <c r="W1" s="722"/>
      <c r="X1" s="833"/>
      <c r="Y1" s="829" t="s">
        <v>69</v>
      </c>
      <c r="Z1" s="820"/>
      <c r="AA1" s="820"/>
      <c r="AB1" s="820"/>
      <c r="AC1" s="820"/>
      <c r="AD1" s="820"/>
      <c r="AE1" s="820"/>
      <c r="AF1" s="820"/>
      <c r="AG1" s="820"/>
      <c r="AH1" s="820"/>
      <c r="AI1" s="820"/>
      <c r="AJ1" s="820"/>
      <c r="AK1" s="820"/>
      <c r="AL1" s="820"/>
      <c r="AM1" s="821"/>
      <c r="AN1" s="829" t="s">
        <v>60</v>
      </c>
      <c r="AO1" s="820"/>
      <c r="AP1" s="820"/>
      <c r="AQ1" s="820"/>
      <c r="AR1" s="820"/>
      <c r="AS1" s="820"/>
      <c r="AT1" s="820"/>
      <c r="AU1" s="820"/>
      <c r="AV1" s="821"/>
      <c r="AW1" s="829" t="s">
        <v>68</v>
      </c>
      <c r="AX1" s="820"/>
      <c r="AY1" s="820"/>
      <c r="AZ1" s="820"/>
      <c r="BA1" s="820"/>
      <c r="BB1" s="820"/>
      <c r="BC1" s="820"/>
      <c r="BD1" s="820"/>
      <c r="BE1" s="820"/>
      <c r="BF1" s="820"/>
      <c r="BG1" s="820"/>
      <c r="BH1" s="821"/>
      <c r="BI1" s="829" t="s">
        <v>67</v>
      </c>
      <c r="BJ1" s="820"/>
      <c r="BK1" s="820"/>
      <c r="BL1" s="820"/>
      <c r="BM1" s="820"/>
      <c r="BN1" s="820"/>
      <c r="BO1" s="820"/>
      <c r="BP1" s="820"/>
      <c r="BQ1" s="820"/>
      <c r="BR1" s="820"/>
      <c r="BS1" s="820"/>
      <c r="BT1" s="821"/>
      <c r="BU1" s="418"/>
      <c r="BV1" s="419" t="s">
        <v>911</v>
      </c>
      <c r="BX1" s="420" t="s">
        <v>914</v>
      </c>
      <c r="BY1" s="318"/>
      <c r="BZ1" s="722" t="s">
        <v>3</v>
      </c>
      <c r="CA1" s="722"/>
      <c r="CB1" s="722"/>
      <c r="CC1" s="722"/>
      <c r="CD1" s="765" t="str">
        <f>Creation!M17</f>
        <v>Select</v>
      </c>
      <c r="CE1" s="765"/>
      <c r="CF1" s="765"/>
      <c r="CG1" s="766"/>
    </row>
    <row r="2" spans="1:85" ht="15" customHeight="1" thickBot="1" x14ac:dyDescent="0.3">
      <c r="A2" s="838" t="s">
        <v>146</v>
      </c>
      <c r="B2" s="839"/>
      <c r="C2" s="839"/>
      <c r="D2" s="839"/>
      <c r="E2" s="1190" t="s">
        <v>132</v>
      </c>
      <c r="F2" s="1190"/>
      <c r="G2" s="1190"/>
      <c r="H2" s="1191"/>
      <c r="I2" s="802"/>
      <c r="J2" s="803"/>
      <c r="K2" s="803"/>
      <c r="L2" s="803"/>
      <c r="M2" s="803"/>
      <c r="N2" s="803"/>
      <c r="O2" s="803"/>
      <c r="P2" s="803"/>
      <c r="Q2" s="803"/>
      <c r="R2" s="803"/>
      <c r="S2" s="803"/>
      <c r="T2" s="803"/>
      <c r="U2" s="803"/>
      <c r="V2" s="803"/>
      <c r="W2" s="803"/>
      <c r="X2" s="1170"/>
      <c r="Y2" s="890"/>
      <c r="Z2" s="823"/>
      <c r="AA2" s="823"/>
      <c r="AB2" s="823"/>
      <c r="AC2" s="823"/>
      <c r="AD2" s="823"/>
      <c r="AE2" s="823"/>
      <c r="AF2" s="823"/>
      <c r="AG2" s="823"/>
      <c r="AH2" s="823"/>
      <c r="AI2" s="823"/>
      <c r="AJ2" s="823"/>
      <c r="AK2" s="823"/>
      <c r="AL2" s="823"/>
      <c r="AM2" s="824"/>
      <c r="AN2" s="890"/>
      <c r="AO2" s="823"/>
      <c r="AP2" s="823"/>
      <c r="AQ2" s="823"/>
      <c r="AR2" s="823"/>
      <c r="AS2" s="823"/>
      <c r="AT2" s="823"/>
      <c r="AU2" s="823"/>
      <c r="AV2" s="824"/>
      <c r="AW2" s="890"/>
      <c r="AX2" s="823"/>
      <c r="AY2" s="823"/>
      <c r="AZ2" s="823"/>
      <c r="BA2" s="823"/>
      <c r="BB2" s="823"/>
      <c r="BC2" s="823"/>
      <c r="BD2" s="823"/>
      <c r="BE2" s="823"/>
      <c r="BF2" s="823"/>
      <c r="BG2" s="823"/>
      <c r="BH2" s="824"/>
      <c r="BI2" s="890"/>
      <c r="BJ2" s="823"/>
      <c r="BK2" s="823"/>
      <c r="BL2" s="823"/>
      <c r="BM2" s="823"/>
      <c r="BN2" s="823"/>
      <c r="BO2" s="823"/>
      <c r="BP2" s="823"/>
      <c r="BQ2" s="823"/>
      <c r="BR2" s="823"/>
      <c r="BS2" s="823"/>
      <c r="BT2" s="824"/>
      <c r="BU2" s="418"/>
      <c r="BV2" s="421" t="str">
        <f>IF('House Rules'!$B$10="Potent","Academics*","Academics")</f>
        <v>Academics</v>
      </c>
      <c r="BW2" s="318">
        <f>SUM(DotTracking!$T9:$X9,DotTracking!$AR9:$AV9,DotTracking!$BP9:$BT9)</f>
        <v>0</v>
      </c>
      <c r="BX2" s="421" t="str">
        <f>IF('House Rules'!$B$10="Potent","Command*","Command")</f>
        <v>Command</v>
      </c>
      <c r="BY2" s="318">
        <f>SUM(DotTracking!$T14:$X14,DotTracking!$AR14:$AV15,DotTracking!$BP14:$BT14)</f>
        <v>0</v>
      </c>
      <c r="BZ2" s="803" t="s">
        <v>5</v>
      </c>
      <c r="CA2" s="803"/>
      <c r="CB2" s="803"/>
      <c r="CC2" s="803"/>
      <c r="CD2" s="804" t="str">
        <f>Creation!M19</f>
        <v>Select</v>
      </c>
      <c r="CE2" s="804"/>
      <c r="CF2" s="804"/>
      <c r="CG2" s="817"/>
    </row>
    <row r="3" spans="1:85" ht="15" customHeight="1" x14ac:dyDescent="0.25">
      <c r="A3" s="1028" t="str">
        <f>IF(M1=Reference!A26,Reference!I14,IF(M1=Reference!A28,Reference!I16,IF(M1=Reference!A29,Reference!I17,IF(M1=Reference!A30,Reference!I18,IF(M1=Reference!A31,Reference!I19,IF(M1=Reference!A32,Reference!I20,IF(M1=Reference!A33,Reference!I21,IF(M1=Reference!A34,Reference!I22,IF(M1=Reference!A35,Reference!I23,IF(M1=Reference!A36,Reference!I24,IF(M1=Reference!A37,Reference!I25,IF(M1=Reference!A38,Reference!I26,IF(M1=Reference!A39,Reference!I27,IF(M1=Reference!A40,Reference!I28))))))))))))))</f>
        <v>Just like at creation, you have to prioritize your ability groups. You do not have to prioritize them the same way you did before. If you want to do them the same way, go for it. If not, that's swell too. This time around, your primary group gets 4 new dots, your secondary gets 3 new dots and your tertiary gets 2 new dots. Have at it!</v>
      </c>
      <c r="B3" s="725"/>
      <c r="C3" s="725"/>
      <c r="D3" s="725"/>
      <c r="E3" s="725"/>
      <c r="F3" s="725"/>
      <c r="G3" s="725"/>
      <c r="H3" s="725"/>
      <c r="I3" s="725"/>
      <c r="J3" s="725"/>
      <c r="K3" s="725"/>
      <c r="L3" s="725"/>
      <c r="M3" s="725"/>
      <c r="N3" s="725"/>
      <c r="O3" s="725"/>
      <c r="P3" s="725"/>
      <c r="Q3" s="725"/>
      <c r="R3" s="725"/>
      <c r="S3" s="725"/>
      <c r="T3" s="725"/>
      <c r="U3" s="725"/>
      <c r="V3" s="725"/>
      <c r="W3" s="725"/>
      <c r="X3" s="726"/>
      <c r="Y3" s="1187"/>
      <c r="Z3" s="765"/>
      <c r="AA3" s="765"/>
      <c r="AB3" s="765"/>
      <c r="AC3" s="722" t="s">
        <v>10</v>
      </c>
      <c r="AD3" s="722"/>
      <c r="AE3" s="722"/>
      <c r="AF3" s="722" t="s">
        <v>11</v>
      </c>
      <c r="AG3" s="722"/>
      <c r="AH3" s="722" t="s">
        <v>33</v>
      </c>
      <c r="AI3" s="722"/>
      <c r="AJ3" s="722" t="s">
        <v>34</v>
      </c>
      <c r="AK3" s="722"/>
      <c r="AL3" s="722"/>
      <c r="AM3" s="833"/>
      <c r="AN3" s="721" t="s">
        <v>61</v>
      </c>
      <c r="AO3" s="722"/>
      <c r="AP3" s="722"/>
      <c r="AQ3" s="722"/>
      <c r="AR3" s="722"/>
      <c r="AS3" s="722"/>
      <c r="AT3" s="722"/>
      <c r="AU3" s="765">
        <f>SUM(DotTracking!D4:O4,DotTracking!AB4:AM4,DotTracking!AZ4:BK4)</f>
        <v>2</v>
      </c>
      <c r="AV3" s="766"/>
      <c r="AW3" s="721" t="s">
        <v>70</v>
      </c>
      <c r="AX3" s="722"/>
      <c r="AY3" s="722"/>
      <c r="AZ3" s="722"/>
      <c r="BA3" s="722"/>
      <c r="BB3" s="722"/>
      <c r="BC3" s="722" t="s">
        <v>71</v>
      </c>
      <c r="BD3" s="722"/>
      <c r="BE3" s="722" t="s">
        <v>149</v>
      </c>
      <c r="BF3" s="722"/>
      <c r="BG3" s="722" t="s">
        <v>11</v>
      </c>
      <c r="BH3" s="833"/>
      <c r="BI3" s="1187"/>
      <c r="BJ3" s="765"/>
      <c r="BK3" s="722" t="s">
        <v>65</v>
      </c>
      <c r="BL3" s="722"/>
      <c r="BM3" s="722" t="s">
        <v>143</v>
      </c>
      <c r="BN3" s="722"/>
      <c r="BO3" s="722" t="s">
        <v>144</v>
      </c>
      <c r="BP3" s="722"/>
      <c r="BQ3" s="722" t="s">
        <v>11</v>
      </c>
      <c r="BR3" s="722"/>
      <c r="BS3" s="722" t="s">
        <v>33</v>
      </c>
      <c r="BT3" s="833"/>
      <c r="BU3" s="314"/>
      <c r="BV3" s="421" t="str">
        <f>IF('House Rules'!$B$10="Potent","Animal Ken*","Animal Ken")</f>
        <v>Animal Ken</v>
      </c>
      <c r="BW3" s="318">
        <f>SUM(DotTracking!$T10:$X10,DotTracking!$AR10:$AV10,DotTracking!$BP10:$BT10)</f>
        <v>0</v>
      </c>
      <c r="BX3" s="421" t="str">
        <f>IF('House Rules'!$B$10="Potent","Control*","Control")</f>
        <v>Control</v>
      </c>
      <c r="BY3" s="318">
        <f>IF('House Rules'!B10="Standard",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0),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0))</f>
        <v>0</v>
      </c>
      <c r="BZ3" s="318" t="s">
        <v>917</v>
      </c>
      <c r="CD3" s="421"/>
    </row>
    <row r="4" spans="1:85" ht="15" customHeight="1" thickBot="1" x14ac:dyDescent="0.3">
      <c r="A4" s="1026"/>
      <c r="B4" s="727"/>
      <c r="C4" s="727"/>
      <c r="D4" s="727"/>
      <c r="E4" s="727"/>
      <c r="F4" s="727"/>
      <c r="G4" s="727"/>
      <c r="H4" s="727"/>
      <c r="I4" s="727"/>
      <c r="J4" s="727"/>
      <c r="K4" s="727"/>
      <c r="L4" s="727"/>
      <c r="M4" s="727"/>
      <c r="N4" s="727"/>
      <c r="O4" s="727"/>
      <c r="P4" s="727"/>
      <c r="Q4" s="727"/>
      <c r="R4" s="727"/>
      <c r="S4" s="727"/>
      <c r="T4" s="727"/>
      <c r="U4" s="727"/>
      <c r="V4" s="727"/>
      <c r="W4" s="727"/>
      <c r="X4" s="728"/>
      <c r="Y4" s="723" t="s">
        <v>35</v>
      </c>
      <c r="Z4" s="724"/>
      <c r="AA4" s="724"/>
      <c r="AB4" s="724"/>
      <c r="AC4" s="767">
        <f>SUM(DotTracking!T9:X9,DotTracking!AR9:AV9,DotTracking!BP9:BT9,DotTracking!ES7:EW7,DotTracking!FB7:FF7,DotTracking!FK7:FO7,DotTracking!FT7:FX7,DotTracking!GC7:GG7)</f>
        <v>0</v>
      </c>
      <c r="AD4" s="767"/>
      <c r="AE4" s="767"/>
      <c r="AF4" s="818"/>
      <c r="AG4" s="818"/>
      <c r="AH4" s="767">
        <f>IF(OR(Y4=Q$19,Y4=Q$20,Y4=Q$21,Y4=Q$22,Y4=Q$23,Y4=Q$24),AF4,AF4*2)</f>
        <v>0</v>
      </c>
      <c r="AI4" s="767"/>
      <c r="AJ4" s="1114"/>
      <c r="AK4" s="1114"/>
      <c r="AL4" s="1114"/>
      <c r="AM4" s="1115"/>
      <c r="AN4" s="802" t="s">
        <v>80</v>
      </c>
      <c r="AO4" s="803"/>
      <c r="AP4" s="803"/>
      <c r="AQ4" s="803"/>
      <c r="AR4" s="803"/>
      <c r="AS4" s="803"/>
      <c r="AT4" s="803"/>
      <c r="AU4" s="1199"/>
      <c r="AV4" s="1204"/>
      <c r="AW4" s="842"/>
      <c r="AX4" s="818"/>
      <c r="AY4" s="818"/>
      <c r="AZ4" s="818"/>
      <c r="BA4" s="818"/>
      <c r="BB4" s="818"/>
      <c r="BC4" s="381"/>
      <c r="BD4" s="291">
        <f>IF(BG4="No",BC4,0)</f>
        <v>0</v>
      </c>
      <c r="BE4" s="767" t="str">
        <f>IF(AW4="","",HLOOKUP(AW4,AssociatedRef!$AP$1:$BZ$123,LOOKUP($CD$2,AssociatedRef!$AP$2:$AP$123,AssociatedRef!$AQ$2:$AQ$123),FALSE))</f>
        <v/>
      </c>
      <c r="BF4" s="767"/>
      <c r="BG4" s="381" t="s">
        <v>347</v>
      </c>
      <c r="BH4" s="292" t="str">
        <f>IF(BG4="Yes",IF(BE4="Yes",4,5),"")</f>
        <v/>
      </c>
      <c r="BI4" s="723" t="s">
        <v>918</v>
      </c>
      <c r="BJ4" s="724"/>
      <c r="BK4" s="767">
        <f>SUM(E19:H19)</f>
        <v>1</v>
      </c>
      <c r="BL4" s="767"/>
      <c r="BM4" s="767">
        <f>SUM(DotTracking!E16:O16,DotTracking!AC16:AM16,DotTracking!BA16:BK16)</f>
        <v>0</v>
      </c>
      <c r="BN4" s="767"/>
      <c r="BO4" s="818"/>
      <c r="BP4" s="818"/>
      <c r="BQ4" s="818"/>
      <c r="BR4" s="818"/>
      <c r="BS4" s="767">
        <f>IF(LOOKUP($CD$2,AssociatedRef!$A$2:$A$123,AssociatedRef!$B$2:$B$123)="Yes",BQ4*4,BQ4*5)</f>
        <v>0</v>
      </c>
      <c r="BT4" s="768"/>
      <c r="BU4" s="283" t="str">
        <f>IF(Creation!BI4="Strength*","Yes","No")</f>
        <v>No</v>
      </c>
      <c r="BV4" s="421" t="str">
        <f>IF('House Rules'!$B$10="Potent","Art*","Art")</f>
        <v>Art</v>
      </c>
      <c r="BW4" s="318">
        <f>IF('House Rules'!B10="Standard",SUM(IF(DotTracking!P29="Art",DotTracking!T29:X29,0),IF(DotTracking!AN29="Art",DotTracking!AR29:AV29,0),IF(DotTracking!BL29="Art",DotTracking!BP29:BT29,0),IF(DotTracking!P30="Art",DotTracking!T30:X30,0),IF(DotTracking!AN30="Art",DotTracking!AR30:AV30,0),IF(DotTracking!BL30="Art",DotTracking!BP30:BT30,0),IF(DotTracking!P32="Art",DotTracking!T32:X32,0),IF(DotTracking!AN32="Art",DotTracking!AR32:AV32,0),IF(DotTracking!BL32="Art",DotTracking!BP32:BT32,0),IF(DotTracking!P31="Art",DotTracking!T31:X31,0),IF(DotTracking!AN31="Art",DotTracking!AR31:AV31,0),IF(DotTracking!BL31="Art",DotTracking!BP31:BT31,0),IF(DotTracking!P33="Art",DotTracking!T33:X33,0),IF(DotTracking!AN33="Art",DotTracking!AR33:AV33,0),IF(DotTracking!BL33="Art",DotTracking!BP33:BT33,0),IF(DotTracking!P34="Art",DotTracking!T34:X34,0),IF(DotTracking!AN34="Art",DotTracking!AR34:AV34,0),IF(DotTracking!BL34="Art",DotTracking!BP34:BT34,0),IF(DotTracking!P35="Art",DotTracking!T35:X35,0),IF(DotTracking!AN35="Art",DotTracking!AR35:AV35,0),IF(DotTracking!BL35="Art",DotTracking!BP35:BT35,0),IF(DotTracking!P36="Art",DotTracking!T36:X36,0),IF(DotTracking!AN36="Art",DotTracking!AR36:AV36,0),IF(DotTracking!BL36="Art",DotTracking!BP36:BT36,0),IF(DotTracking!P37="Art",DotTracking!T37:X37,0),IF(DotTracking!AN37="Art",DotTracking!AR37:AV37,0),IF(DotTracking!BL37="Art",DotTracking!BP37:BT37,0),IF(DotTracking!P38="Art",DotTracking!T38:X38,0),IF(DotTracking!AN38="Art",DotTracking!AR38:AV38,0),IF(DotTracking!BL38="Art",DotTracking!BP38:BT38,0),0),SUM(IF(DotTracking!P29="Art*",DotTracking!T29:X29,0),IF(DotTracking!AN29="Art*",DotTracking!AR29:AV29,0),IF(DotTracking!BL29="Art*",DotTracking!BP29:BT29,0),IF(DotTracking!P30="Art*",DotTracking!T30:X30,0),IF(DotTracking!AN30="Art*",DotTracking!AR30:AV30,0),IF(DotTracking!BL30="Art*",DotTracking!BP30:BT30,0),IF(DotTracking!P32="Art*",DotTracking!T32:X32,0),IF(DotTracking!AN32="Art*",DotTracking!AR32:AV32,0),IF(DotTracking!BL32="Art*",DotTracking!BP32:BT32,0),IF(DotTracking!P31="Art*",DotTracking!T31:X31,0),IF(DotTracking!AN31="Art*",DotTracking!AR31:AV31,0),IF(DotTracking!BL31="Art*",DotTracking!BP31:BT31,0),IF(DotTracking!P33="Art*",DotTracking!T33:X33,0),IF(DotTracking!AN33="Art*",DotTracking!AR33:AV33,0),IF(DotTracking!BL33="Art*",DotTracking!BP33:BT33,0),IF(DotTracking!P34="Art*",DotTracking!T34:X34,0),IF(DotTracking!AN34="Art*",DotTracking!AR34:AV34,0),IF(DotTracking!BL34="Art*",DotTracking!BP34:BT34,0),IF(DotTracking!P35="Art*",DotTracking!T35:X35,0),IF(DotTracking!AN35="Art*",DotTracking!AR35:AV35,0),IF(DotTracking!BL35="Art*",DotTracking!BP35:BT35,0),IF(DotTracking!P36="Art*",DotTracking!T36:X36,0),IF(DotTracking!AN36="Art*",DotTracking!AR36:AV36,0),IF(DotTracking!BL36="Art*",DotTracking!BP36:BT36,0),IF(DotTracking!P37="Art*",DotTracking!T37:X37,0),IF(DotTracking!AN37="Art*",DotTracking!AR37:AV37,0),IF(DotTracking!BL37="Art*",DotTracking!BP37:BT37,0),IF(DotTracking!P38="Art*",DotTracking!T38:X38,0),IF(DotTracking!AN38="Art*",DotTracking!AR38:AV38,0),IF(DotTracking!BL38="Art*",DotTracking!BP38:BT38,0),0))</f>
        <v>0</v>
      </c>
      <c r="BX4" s="421" t="str">
        <f>IF('House Rules'!$B$10="Potent","Craft*","Craft")</f>
        <v>Craft</v>
      </c>
      <c r="BY4" s="318">
        <f>IF('House Rules'!B10="Standard",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f>
        <v>0</v>
      </c>
      <c r="BZ4" s="283">
        <f t="shared" ref="BZ4:BZ9" si="0">IF(BG4="Yes",1,0)</f>
        <v>0</v>
      </c>
      <c r="CD4" s="421"/>
    </row>
    <row r="5" spans="1:85" ht="15" customHeight="1" x14ac:dyDescent="0.25">
      <c r="A5" s="1026"/>
      <c r="B5" s="727"/>
      <c r="C5" s="727"/>
      <c r="D5" s="727"/>
      <c r="E5" s="727"/>
      <c r="F5" s="727"/>
      <c r="G5" s="727"/>
      <c r="H5" s="727"/>
      <c r="I5" s="727"/>
      <c r="J5" s="727"/>
      <c r="K5" s="727"/>
      <c r="L5" s="727"/>
      <c r="M5" s="727"/>
      <c r="N5" s="727"/>
      <c r="O5" s="727"/>
      <c r="P5" s="727"/>
      <c r="Q5" s="727"/>
      <c r="R5" s="727"/>
      <c r="S5" s="727"/>
      <c r="T5" s="727"/>
      <c r="U5" s="727"/>
      <c r="V5" s="727"/>
      <c r="W5" s="727"/>
      <c r="X5" s="728"/>
      <c r="Y5" s="723" t="s">
        <v>36</v>
      </c>
      <c r="Z5" s="724"/>
      <c r="AA5" s="724"/>
      <c r="AB5" s="724"/>
      <c r="AC5" s="767">
        <f>SUM(DotTracking!T10:X10,DotTracking!AR10:AV10,DotTracking!BP10:BT10,DotTracking!ES8:EW8,DotTracking!FB8:FF8,DotTracking!FK8:FO8,DotTracking!FT8:FX8,DotTracking!GC8:GG8)</f>
        <v>0</v>
      </c>
      <c r="AD5" s="767"/>
      <c r="AE5" s="767"/>
      <c r="AF5" s="818"/>
      <c r="AG5" s="818"/>
      <c r="AH5" s="767">
        <f t="shared" ref="AH5:AH33" si="1">IF(OR(Y5=Q$19,Y5=Q$20,Y5=Q$21,Y5=Q$22,Y5=Q$23,Y5=Q$24),AF5,AF5*2)</f>
        <v>0</v>
      </c>
      <c r="AI5" s="767"/>
      <c r="AJ5" s="1114"/>
      <c r="AK5" s="1114"/>
      <c r="AL5" s="1114"/>
      <c r="AM5" s="1115"/>
      <c r="AN5" s="721" t="s">
        <v>62</v>
      </c>
      <c r="AO5" s="722"/>
      <c r="AP5" s="722"/>
      <c r="AQ5" s="722"/>
      <c r="AR5" s="722"/>
      <c r="AS5" s="722"/>
      <c r="AT5" s="722" t="s">
        <v>33</v>
      </c>
      <c r="AU5" s="722"/>
      <c r="AV5" s="833"/>
      <c r="AW5" s="842"/>
      <c r="AX5" s="818"/>
      <c r="AY5" s="818"/>
      <c r="AZ5" s="818"/>
      <c r="BA5" s="818"/>
      <c r="BB5" s="818"/>
      <c r="BC5" s="381"/>
      <c r="BD5" s="291">
        <f t="shared" ref="BD5:BD46" si="2">IF(BG5="No",BC5,0)</f>
        <v>0</v>
      </c>
      <c r="BE5" s="767" t="str">
        <f>IF(AW5="","",HLOOKUP(AW5,AssociatedRef!$AP$1:$BZ$123,LOOKUP($CD$2,AssociatedRef!$AP$2:$AP$123,AssociatedRef!$AQ$2:$AQ$123),FALSE))</f>
        <v/>
      </c>
      <c r="BF5" s="767"/>
      <c r="BG5" s="381" t="s">
        <v>347</v>
      </c>
      <c r="BH5" s="292" t="str">
        <f t="shared" ref="BH5:BH46" si="3">IF(BG5="Yes",IF(BE5="Yes",4,5),"")</f>
        <v/>
      </c>
      <c r="BI5" s="723" t="s">
        <v>919</v>
      </c>
      <c r="BJ5" s="724"/>
      <c r="BK5" s="767">
        <f t="shared" ref="BK5:BK6" si="4">SUM(E20:H20)</f>
        <v>1</v>
      </c>
      <c r="BL5" s="767"/>
      <c r="BM5" s="767">
        <f>SUM(DotTracking!E17:O17,DotTracking!AC17:AM17,DotTracking!BA17:BK17)</f>
        <v>0</v>
      </c>
      <c r="BN5" s="767"/>
      <c r="BO5" s="818"/>
      <c r="BP5" s="818"/>
      <c r="BQ5" s="818"/>
      <c r="BR5" s="818"/>
      <c r="BS5" s="767">
        <f>IF(LOOKUP($CD$2,AssociatedRef!$A$2:$A$123,AssociatedRef!$C$2:$C$123)="Yes",BQ5*4,BQ5*5)</f>
        <v>0</v>
      </c>
      <c r="BT5" s="768"/>
      <c r="BU5" s="283" t="str">
        <f>IF(Creation!BI5="Dexterity*","Yes","No")</f>
        <v>No</v>
      </c>
      <c r="BV5" s="421" t="str">
        <f>IF('House Rules'!$B$10="Potent","Athletics*","Athletics")</f>
        <v>Athletics</v>
      </c>
      <c r="BW5" s="318">
        <f>SUM(DotTracking!$T11:$X11,DotTracking!$AR11:$AV12,DotTracking!$BP11:$BT11)</f>
        <v>0</v>
      </c>
      <c r="BX5" s="421" t="str">
        <f>IF('House Rules'!$B$10="Potent","Empathy*","Empathy")</f>
        <v>Empathy</v>
      </c>
      <c r="BY5" s="318">
        <f>SUM(DotTracking!$T15:$X15,DotTracking!$AR15:$AV15,DotTracking!$BP15:$BT15)</f>
        <v>0</v>
      </c>
      <c r="BZ5" s="283">
        <f t="shared" si="0"/>
        <v>0</v>
      </c>
      <c r="CD5" s="421"/>
    </row>
    <row r="6" spans="1:85" ht="15" customHeight="1" x14ac:dyDescent="0.25">
      <c r="A6" s="1026"/>
      <c r="B6" s="727"/>
      <c r="C6" s="727"/>
      <c r="D6" s="727"/>
      <c r="E6" s="727"/>
      <c r="F6" s="727"/>
      <c r="G6" s="727"/>
      <c r="H6" s="727"/>
      <c r="I6" s="727"/>
      <c r="J6" s="727"/>
      <c r="K6" s="727"/>
      <c r="L6" s="727"/>
      <c r="M6" s="727"/>
      <c r="N6" s="727"/>
      <c r="O6" s="727"/>
      <c r="P6" s="727"/>
      <c r="Q6" s="727"/>
      <c r="R6" s="727"/>
      <c r="S6" s="727"/>
      <c r="T6" s="727"/>
      <c r="U6" s="727"/>
      <c r="V6" s="727"/>
      <c r="W6" s="727"/>
      <c r="X6" s="728"/>
      <c r="Y6" s="723" t="s">
        <v>37</v>
      </c>
      <c r="Z6" s="724"/>
      <c r="AA6" s="724"/>
      <c r="AB6" s="724"/>
      <c r="AC6" s="767">
        <f>SUM(DotTracking!T11:X11,DotTracking!AR11:AV11,DotTracking!BP11:BT11,DotTracking!ES9:EW9,DotTracking!FB9:FF9,DotTracking!FK9:FO9,DotTracking!FT9:FX9,DotTracking!GC9:GG9)</f>
        <v>0</v>
      </c>
      <c r="AD6" s="767"/>
      <c r="AE6" s="767"/>
      <c r="AF6" s="818"/>
      <c r="AG6" s="818"/>
      <c r="AH6" s="767">
        <f t="shared" si="1"/>
        <v>0</v>
      </c>
      <c r="AI6" s="767"/>
      <c r="AJ6" s="1114"/>
      <c r="AK6" s="1114"/>
      <c r="AL6" s="1114"/>
      <c r="AM6" s="1115"/>
      <c r="AN6" s="842"/>
      <c r="AO6" s="818"/>
      <c r="AP6" s="818"/>
      <c r="AQ6" s="818"/>
      <c r="AR6" s="818"/>
      <c r="AS6" s="818"/>
      <c r="AT6" s="767" t="str">
        <f>IF(AN6="","",3)</f>
        <v/>
      </c>
      <c r="AU6" s="767"/>
      <c r="AV6" s="768"/>
      <c r="AW6" s="842"/>
      <c r="AX6" s="818"/>
      <c r="AY6" s="818"/>
      <c r="AZ6" s="818"/>
      <c r="BA6" s="818"/>
      <c r="BB6" s="818"/>
      <c r="BC6" s="381"/>
      <c r="BD6" s="291">
        <f t="shared" si="2"/>
        <v>0</v>
      </c>
      <c r="BE6" s="767" t="str">
        <f>IF(AW6="","",HLOOKUP(AW6,AssociatedRef!$AP$1:$BZ$123,LOOKUP($CD$2,AssociatedRef!$AP$2:$AP$123,AssociatedRef!$AQ$2:$AQ$123),FALSE))</f>
        <v/>
      </c>
      <c r="BF6" s="767"/>
      <c r="BG6" s="381" t="s">
        <v>347</v>
      </c>
      <c r="BH6" s="292" t="str">
        <f t="shared" si="3"/>
        <v/>
      </c>
      <c r="BI6" s="723" t="s">
        <v>920</v>
      </c>
      <c r="BJ6" s="724"/>
      <c r="BK6" s="767">
        <f t="shared" si="4"/>
        <v>1</v>
      </c>
      <c r="BL6" s="767"/>
      <c r="BM6" s="767">
        <f>SUM(DotTracking!E18:O18,DotTracking!AC18:AM18,DotTracking!BA18:BK18)</f>
        <v>0</v>
      </c>
      <c r="BN6" s="767"/>
      <c r="BO6" s="818"/>
      <c r="BP6" s="818"/>
      <c r="BQ6" s="818"/>
      <c r="BR6" s="818"/>
      <c r="BS6" s="767">
        <f>IF(LOOKUP($CD$2,AssociatedRef!$A$2:$A$123,AssociatedRef!$D$2:$D$123)="Yes",BQ6*4,BQ6*5)</f>
        <v>0</v>
      </c>
      <c r="BT6" s="768"/>
      <c r="BU6" s="283" t="str">
        <f>IF(Creation!BI6="Stamina*","Yes","No")</f>
        <v>No</v>
      </c>
      <c r="BV6" s="421" t="str">
        <f>IF('House Rules'!$B$10="Potent","Awareness*","Awareness")</f>
        <v>Awareness</v>
      </c>
      <c r="BW6" s="318">
        <f>SUM(DotTracking!$T12:$X12,DotTracking!$AR12:$AV13,DotTracking!$BP12:$BT12)</f>
        <v>0</v>
      </c>
      <c r="BX6" s="421" t="str">
        <f>IF('House Rules'!$B$10="Potent","Fortitude*","Fortitude")</f>
        <v>Fortitude</v>
      </c>
      <c r="BY6" s="318">
        <f>SUM(DotTracking!$T16:$X16,DotTracking!$AR16:$AV16,DotTracking!$BP16:$BT16)</f>
        <v>0</v>
      </c>
      <c r="BZ6" s="283">
        <f t="shared" si="0"/>
        <v>0</v>
      </c>
      <c r="CD6" s="421"/>
    </row>
    <row r="7" spans="1:85" ht="15" customHeight="1" x14ac:dyDescent="0.25">
      <c r="A7" s="1026"/>
      <c r="B7" s="727"/>
      <c r="C7" s="727"/>
      <c r="D7" s="727"/>
      <c r="E7" s="727"/>
      <c r="F7" s="727"/>
      <c r="G7" s="727"/>
      <c r="H7" s="727"/>
      <c r="I7" s="727"/>
      <c r="J7" s="727"/>
      <c r="K7" s="727"/>
      <c r="L7" s="727"/>
      <c r="M7" s="727"/>
      <c r="N7" s="727"/>
      <c r="O7" s="727"/>
      <c r="P7" s="727"/>
      <c r="Q7" s="727"/>
      <c r="R7" s="727"/>
      <c r="S7" s="727"/>
      <c r="T7" s="727"/>
      <c r="U7" s="727"/>
      <c r="V7" s="727"/>
      <c r="W7" s="727"/>
      <c r="X7" s="728"/>
      <c r="Y7" s="723" t="s">
        <v>38</v>
      </c>
      <c r="Z7" s="724"/>
      <c r="AA7" s="724"/>
      <c r="AB7" s="724"/>
      <c r="AC7" s="767">
        <f>SUM(DotTracking!T12:X12,DotTracking!AR12:AV12,DotTracking!BP12:BT12,DotTracking!ES10:EW10,DotTracking!FB10:FF10,DotTracking!FK10:FO10,DotTracking!FT10:FX10,DotTracking!GC10:GG10)</f>
        <v>0</v>
      </c>
      <c r="AD7" s="767"/>
      <c r="AE7" s="767"/>
      <c r="AF7" s="818"/>
      <c r="AG7" s="818"/>
      <c r="AH7" s="767">
        <f t="shared" si="1"/>
        <v>0</v>
      </c>
      <c r="AI7" s="767"/>
      <c r="AJ7" s="1114"/>
      <c r="AK7" s="1114"/>
      <c r="AL7" s="1114"/>
      <c r="AM7" s="1115"/>
      <c r="AN7" s="842"/>
      <c r="AO7" s="818"/>
      <c r="AP7" s="818"/>
      <c r="AQ7" s="818"/>
      <c r="AR7" s="818"/>
      <c r="AS7" s="818"/>
      <c r="AT7" s="767" t="str">
        <f t="shared" ref="AT7:AT33" si="5">IF(AN7="","",3)</f>
        <v/>
      </c>
      <c r="AU7" s="767"/>
      <c r="AV7" s="768"/>
      <c r="AW7" s="842"/>
      <c r="AX7" s="818"/>
      <c r="AY7" s="818"/>
      <c r="AZ7" s="818"/>
      <c r="BA7" s="818"/>
      <c r="BB7" s="818"/>
      <c r="BC7" s="381"/>
      <c r="BD7" s="291">
        <f t="shared" si="2"/>
        <v>0</v>
      </c>
      <c r="BE7" s="767" t="str">
        <f>IF(AW7="","",HLOOKUP(AW7,AssociatedRef!$AP$1:$BZ$123,LOOKUP($CD$2,AssociatedRef!$AP$2:$AP$123,AssociatedRef!$AQ$2:$AQ$123),FALSE))</f>
        <v/>
      </c>
      <c r="BF7" s="767"/>
      <c r="BG7" s="381" t="s">
        <v>347</v>
      </c>
      <c r="BH7" s="292" t="str">
        <f t="shared" si="3"/>
        <v/>
      </c>
      <c r="BI7" s="723" t="s">
        <v>921</v>
      </c>
      <c r="BJ7" s="724"/>
      <c r="BK7" s="767">
        <f>SUM(E25:H25)</f>
        <v>1</v>
      </c>
      <c r="BL7" s="767"/>
      <c r="BM7" s="767">
        <f>SUM(DotTracking!E19:O19,DotTracking!AC19:AM19,DotTracking!BA19:BK19)</f>
        <v>0</v>
      </c>
      <c r="BN7" s="767"/>
      <c r="BO7" s="818"/>
      <c r="BP7" s="818"/>
      <c r="BQ7" s="818"/>
      <c r="BR7" s="818"/>
      <c r="BS7" s="767">
        <f>IF(LOOKUP($CD$2,AssociatedRef!$A$2:$A$123,AssociatedRef!$E$2:$E$123)="Yes",BQ7*4,BQ7*5)</f>
        <v>0</v>
      </c>
      <c r="BT7" s="768"/>
      <c r="BU7" s="283" t="str">
        <f>IF(Creation!BI7="Charisma*","Yes","No")</f>
        <v>No</v>
      </c>
      <c r="BV7" s="421" t="str">
        <f>IF('House Rules'!$B$10="Potent","Brawl*","Brawl")</f>
        <v>Brawl</v>
      </c>
      <c r="BW7" s="318">
        <f>SUM(DotTracking!$T13:$X13,DotTracking!$AR13:$AV14,DotTracking!$BP13:$BT13)</f>
        <v>0</v>
      </c>
      <c r="BX7" s="421" t="str">
        <f>IF('House Rules'!$B$10="Potent","Integrity*","Integrity")</f>
        <v>Integrity</v>
      </c>
      <c r="BY7" s="318">
        <f>SUM(DotTracking!$T17:$X17,DotTracking!$AR17:$AV17,DotTracking!$BP17:$BT17)</f>
        <v>0</v>
      </c>
      <c r="BZ7" s="283">
        <f t="shared" si="0"/>
        <v>0</v>
      </c>
      <c r="CD7" s="421"/>
    </row>
    <row r="8" spans="1:85" ht="15" customHeight="1" x14ac:dyDescent="0.25">
      <c r="A8" s="1026"/>
      <c r="B8" s="727"/>
      <c r="C8" s="727"/>
      <c r="D8" s="727"/>
      <c r="E8" s="727"/>
      <c r="F8" s="727"/>
      <c r="G8" s="727"/>
      <c r="H8" s="727"/>
      <c r="I8" s="727"/>
      <c r="J8" s="727"/>
      <c r="K8" s="727"/>
      <c r="L8" s="727"/>
      <c r="M8" s="727"/>
      <c r="N8" s="727"/>
      <c r="O8" s="727"/>
      <c r="P8" s="727"/>
      <c r="Q8" s="727"/>
      <c r="R8" s="727"/>
      <c r="S8" s="727"/>
      <c r="T8" s="727"/>
      <c r="U8" s="727"/>
      <c r="V8" s="727"/>
      <c r="W8" s="727"/>
      <c r="X8" s="728"/>
      <c r="Y8" s="723" t="s">
        <v>39</v>
      </c>
      <c r="Z8" s="724"/>
      <c r="AA8" s="724"/>
      <c r="AB8" s="724"/>
      <c r="AC8" s="767">
        <f>SUM(DotTracking!T13:X13,DotTracking!AR13:AV13,DotTracking!BP13:BT13,DotTracking!ES11:EW11,DotTracking!FB11:FF11,DotTracking!FK11:FO11,DotTracking!FT11:FX11,DotTracking!GC11:GG11)</f>
        <v>0</v>
      </c>
      <c r="AD8" s="767"/>
      <c r="AE8" s="767"/>
      <c r="AF8" s="818"/>
      <c r="AG8" s="818"/>
      <c r="AH8" s="767">
        <f t="shared" si="1"/>
        <v>0</v>
      </c>
      <c r="AI8" s="767"/>
      <c r="AJ8" s="1114"/>
      <c r="AK8" s="1114"/>
      <c r="AL8" s="1114"/>
      <c r="AM8" s="1115"/>
      <c r="AN8" s="842"/>
      <c r="AO8" s="818"/>
      <c r="AP8" s="818"/>
      <c r="AQ8" s="818"/>
      <c r="AR8" s="818"/>
      <c r="AS8" s="818"/>
      <c r="AT8" s="767" t="str">
        <f t="shared" si="5"/>
        <v/>
      </c>
      <c r="AU8" s="767"/>
      <c r="AV8" s="768"/>
      <c r="AW8" s="842"/>
      <c r="AX8" s="818"/>
      <c r="AY8" s="818"/>
      <c r="AZ8" s="818"/>
      <c r="BA8" s="818"/>
      <c r="BB8" s="818"/>
      <c r="BC8" s="381"/>
      <c r="BD8" s="291">
        <f t="shared" si="2"/>
        <v>0</v>
      </c>
      <c r="BE8" s="767" t="str">
        <f>IF(AW8="","",HLOOKUP(AW8,AssociatedRef!$AP$1:$BZ$123,LOOKUP($CD$2,AssociatedRef!$AP$2:$AP$123,AssociatedRef!$AQ$2:$AQ$123),FALSE))</f>
        <v/>
      </c>
      <c r="BF8" s="767"/>
      <c r="BG8" s="381" t="s">
        <v>347</v>
      </c>
      <c r="BH8" s="292" t="str">
        <f t="shared" si="3"/>
        <v/>
      </c>
      <c r="BI8" s="723" t="s">
        <v>922</v>
      </c>
      <c r="BJ8" s="724"/>
      <c r="BK8" s="767">
        <f t="shared" ref="BK8:BK9" si="6">SUM(E26:H26)</f>
        <v>1</v>
      </c>
      <c r="BL8" s="767"/>
      <c r="BM8" s="767">
        <f>SUM(DotTracking!E20:O20,DotTracking!AC20:AM20,DotTracking!BA20:BK20)</f>
        <v>0</v>
      </c>
      <c r="BN8" s="767"/>
      <c r="BO8" s="818"/>
      <c r="BP8" s="818"/>
      <c r="BQ8" s="818"/>
      <c r="BR8" s="818"/>
      <c r="BS8" s="767">
        <f>IF(LOOKUP($CD$2,AssociatedRef!$A$2:$A$123,AssociatedRef!$F$2:$F$123)="Yes",BQ8*4,BQ8*5)</f>
        <v>0</v>
      </c>
      <c r="BT8" s="768"/>
      <c r="BU8" s="283" t="str">
        <f>IF(Creation!BI8="Manipulation*","Yes","No")</f>
        <v>No</v>
      </c>
      <c r="BV8" s="421" t="str">
        <f>IF('House Rules'!$B$10="Potent","Command*","Command")</f>
        <v>Command</v>
      </c>
      <c r="BW8" s="318">
        <f>SUM(DotTracking!$T14:$X14,DotTracking!$AR14:$AV15,DotTracking!$BP14:$BT14)</f>
        <v>0</v>
      </c>
      <c r="BX8" s="421" t="str">
        <f>IF('House Rules'!$B$10="Potent","Investigation*","Investigation")</f>
        <v>Investigation</v>
      </c>
      <c r="BY8" s="318">
        <f>SUM(DotTracking!$T18:$X18,DotTracking!$AR18:$AV18,DotTracking!$BP18:$BT18)</f>
        <v>0</v>
      </c>
      <c r="BZ8" s="283">
        <f t="shared" si="0"/>
        <v>0</v>
      </c>
      <c r="CD8" s="421"/>
    </row>
    <row r="9" spans="1:85" ht="15" customHeight="1" x14ac:dyDescent="0.25">
      <c r="A9" s="1026"/>
      <c r="B9" s="727"/>
      <c r="C9" s="727"/>
      <c r="D9" s="727"/>
      <c r="E9" s="727"/>
      <c r="F9" s="727"/>
      <c r="G9" s="727"/>
      <c r="H9" s="727"/>
      <c r="I9" s="727"/>
      <c r="J9" s="727"/>
      <c r="K9" s="727"/>
      <c r="L9" s="727"/>
      <c r="M9" s="727"/>
      <c r="N9" s="727"/>
      <c r="O9" s="727"/>
      <c r="P9" s="727"/>
      <c r="Q9" s="727"/>
      <c r="R9" s="727"/>
      <c r="S9" s="727"/>
      <c r="T9" s="727"/>
      <c r="U9" s="727"/>
      <c r="V9" s="727"/>
      <c r="W9" s="727"/>
      <c r="X9" s="728"/>
      <c r="Y9" s="723" t="s">
        <v>40</v>
      </c>
      <c r="Z9" s="724"/>
      <c r="AA9" s="724"/>
      <c r="AB9" s="724"/>
      <c r="AC9" s="767">
        <f>SUM(DotTracking!T14:X14,DotTracking!AR14:AV14,DotTracking!BP14:BT14,DotTracking!ES12:EW12,DotTracking!FB12:FF12,DotTracking!FK12:FO12,DotTracking!FT12:FX12,DotTracking!GC12:GG12)</f>
        <v>0</v>
      </c>
      <c r="AD9" s="767"/>
      <c r="AE9" s="767"/>
      <c r="AF9" s="818"/>
      <c r="AG9" s="818"/>
      <c r="AH9" s="767">
        <f t="shared" si="1"/>
        <v>0</v>
      </c>
      <c r="AI9" s="767"/>
      <c r="AJ9" s="1114"/>
      <c r="AK9" s="1114"/>
      <c r="AL9" s="1114"/>
      <c r="AM9" s="1115"/>
      <c r="AN9" s="842"/>
      <c r="AO9" s="818"/>
      <c r="AP9" s="818"/>
      <c r="AQ9" s="818"/>
      <c r="AR9" s="818"/>
      <c r="AS9" s="818"/>
      <c r="AT9" s="767" t="str">
        <f t="shared" si="5"/>
        <v/>
      </c>
      <c r="AU9" s="767"/>
      <c r="AV9" s="768"/>
      <c r="AW9" s="842"/>
      <c r="AX9" s="818"/>
      <c r="AY9" s="818"/>
      <c r="AZ9" s="818"/>
      <c r="BA9" s="818"/>
      <c r="BB9" s="818"/>
      <c r="BC9" s="381"/>
      <c r="BD9" s="291">
        <f t="shared" si="2"/>
        <v>0</v>
      </c>
      <c r="BE9" s="767" t="str">
        <f>IF(AW9="","",HLOOKUP(AW9,AssociatedRef!$AP$1:$BZ$123,LOOKUP($CD$2,AssociatedRef!$AP$2:$AP$123,AssociatedRef!$AQ$2:$AQ$123),FALSE))</f>
        <v/>
      </c>
      <c r="BF9" s="767"/>
      <c r="BG9" s="381" t="s">
        <v>347</v>
      </c>
      <c r="BH9" s="292" t="str">
        <f t="shared" si="3"/>
        <v/>
      </c>
      <c r="BI9" s="723" t="s">
        <v>923</v>
      </c>
      <c r="BJ9" s="724"/>
      <c r="BK9" s="767">
        <f t="shared" si="6"/>
        <v>1</v>
      </c>
      <c r="BL9" s="767"/>
      <c r="BM9" s="767">
        <f>SUM(DotTracking!E21:O21,DotTracking!AC21:AM21,DotTracking!BA21:BK21)</f>
        <v>0</v>
      </c>
      <c r="BN9" s="767"/>
      <c r="BO9" s="818"/>
      <c r="BP9" s="818"/>
      <c r="BQ9" s="818"/>
      <c r="BR9" s="818"/>
      <c r="BS9" s="767">
        <f>IF(LOOKUP($CD$2,AssociatedRef!$A$2:$A$123,AssociatedRef!$G$2:$G$123)="Yes",BQ9*4,BQ9*5)</f>
        <v>0</v>
      </c>
      <c r="BT9" s="768"/>
      <c r="BU9" s="283" t="str">
        <f>IF(Creation!BI9="Appearance*","Yes","No")</f>
        <v>No</v>
      </c>
      <c r="BV9" s="421" t="str">
        <f>IF('House Rules'!$B$10="Potent","Craft*","Craft")</f>
        <v>Craft</v>
      </c>
      <c r="BW9" s="318">
        <f>IF('House Rules'!B10="Standard",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f>
        <v>0</v>
      </c>
      <c r="BX9" s="421" t="str">
        <f>IF('House Rules'!$B$10="Potent","Larceny*","Larceny")</f>
        <v>Larceny</v>
      </c>
      <c r="BY9" s="318">
        <f>SUM(DotTracking!$T19:$X19,DotTracking!$AR19:$AV19,DotTracking!$BP19:$BT19)</f>
        <v>0</v>
      </c>
      <c r="BZ9" s="283">
        <f t="shared" si="0"/>
        <v>0</v>
      </c>
      <c r="CD9" s="421"/>
    </row>
    <row r="10" spans="1:85" ht="15" customHeight="1" x14ac:dyDescent="0.25">
      <c r="A10" s="1026"/>
      <c r="B10" s="727"/>
      <c r="C10" s="727"/>
      <c r="D10" s="727"/>
      <c r="E10" s="727"/>
      <c r="F10" s="727"/>
      <c r="G10" s="727"/>
      <c r="H10" s="727"/>
      <c r="I10" s="727"/>
      <c r="J10" s="727"/>
      <c r="K10" s="727"/>
      <c r="L10" s="727"/>
      <c r="M10" s="727"/>
      <c r="N10" s="727"/>
      <c r="O10" s="727"/>
      <c r="P10" s="727"/>
      <c r="Q10" s="727"/>
      <c r="R10" s="727"/>
      <c r="S10" s="727"/>
      <c r="T10" s="727"/>
      <c r="U10" s="727"/>
      <c r="V10" s="727"/>
      <c r="W10" s="727"/>
      <c r="X10" s="728"/>
      <c r="Y10" s="723" t="s">
        <v>41</v>
      </c>
      <c r="Z10" s="724"/>
      <c r="AA10" s="724"/>
      <c r="AB10" s="724"/>
      <c r="AC10" s="767">
        <f>SUM(DotTracking!T15:X15,DotTracking!AR15:AV15,DotTracking!BP15:BT15,DotTracking!ES13:EW13,DotTracking!FB13:FF13,DotTracking!FK13:FO13,DotTracking!FT13:FX13,DotTracking!GC13:GG13)</f>
        <v>0</v>
      </c>
      <c r="AD10" s="767"/>
      <c r="AE10" s="767"/>
      <c r="AF10" s="818"/>
      <c r="AG10" s="818"/>
      <c r="AH10" s="767">
        <f t="shared" si="1"/>
        <v>0</v>
      </c>
      <c r="AI10" s="767"/>
      <c r="AJ10" s="1114"/>
      <c r="AK10" s="1114"/>
      <c r="AL10" s="1114"/>
      <c r="AM10" s="1115"/>
      <c r="AN10" s="842"/>
      <c r="AO10" s="818"/>
      <c r="AP10" s="818"/>
      <c r="AQ10" s="818"/>
      <c r="AR10" s="818"/>
      <c r="AS10" s="818"/>
      <c r="AT10" s="767" t="str">
        <f t="shared" si="5"/>
        <v/>
      </c>
      <c r="AU10" s="767"/>
      <c r="AV10" s="768"/>
      <c r="AW10" s="842"/>
      <c r="AX10" s="818"/>
      <c r="AY10" s="818"/>
      <c r="AZ10" s="818"/>
      <c r="BA10" s="818"/>
      <c r="BB10" s="818"/>
      <c r="BC10" s="381"/>
      <c r="BD10" s="291">
        <f t="shared" si="2"/>
        <v>0</v>
      </c>
      <c r="BE10" s="767" t="str">
        <f>IF(AW10="","",HLOOKUP(AW10,AssociatedRef!$AP$1:$BZ$123,LOOKUP($CD$2,AssociatedRef!$AP$2:$AP$123,AssociatedRef!$AQ$2:$AQ$123),FALSE))</f>
        <v/>
      </c>
      <c r="BF10" s="767"/>
      <c r="BG10" s="381" t="s">
        <v>347</v>
      </c>
      <c r="BH10" s="292" t="str">
        <f t="shared" si="3"/>
        <v/>
      </c>
      <c r="BI10" s="723" t="s">
        <v>924</v>
      </c>
      <c r="BJ10" s="724"/>
      <c r="BK10" s="767">
        <f>SUM(E31:H31)</f>
        <v>1</v>
      </c>
      <c r="BL10" s="767"/>
      <c r="BM10" s="767">
        <f>SUM(DotTracking!E22:O22,DotTracking!AC22:AM22,DotTracking!BA22:BK22)</f>
        <v>0</v>
      </c>
      <c r="BN10" s="767"/>
      <c r="BO10" s="818"/>
      <c r="BP10" s="818"/>
      <c r="BQ10" s="818"/>
      <c r="BR10" s="818"/>
      <c r="BS10" s="767">
        <f>IF(LOOKUP($CD$2,AssociatedRef!$A$2:$A$123,AssociatedRef!$H$2:$H$123)="Yes",BQ10*4,BQ10*5)</f>
        <v>0</v>
      </c>
      <c r="BT10" s="768"/>
      <c r="BU10" s="283" t="str">
        <f>IF(Creation!BI10="Perception*","Yes","No")</f>
        <v>No</v>
      </c>
      <c r="BV10" s="421" t="str">
        <f>IF('House Rules'!$B$10="Potent","Empathy*","Empathy")</f>
        <v>Empathy</v>
      </c>
      <c r="BW10" s="318">
        <f>SUM(DotTracking!$T15:$X15,DotTracking!$AR15:$AV15,DotTracking!$BP15:$BT15)</f>
        <v>0</v>
      </c>
      <c r="BX10" s="421" t="str">
        <f>IF('House Rules'!$B$10="Potent","Marksmanship*","Marksmanship")</f>
        <v>Marksmanship</v>
      </c>
      <c r="BY10" s="318">
        <f>SUM(DotTracking!$T20:$X20,DotTracking!$AR20:$AV20,DotTracking!$BP20:$BT20)</f>
        <v>0</v>
      </c>
      <c r="BZ10" s="283">
        <f t="shared" ref="BZ10:BZ46" si="7">IF(BG10="Yes",1,0)</f>
        <v>0</v>
      </c>
      <c r="CD10" s="421"/>
      <c r="CE10" s="421"/>
    </row>
    <row r="11" spans="1:85" ht="15" customHeight="1" thickBot="1" x14ac:dyDescent="0.3">
      <c r="A11" s="1192"/>
      <c r="B11" s="867"/>
      <c r="C11" s="867"/>
      <c r="D11" s="867"/>
      <c r="E11" s="867"/>
      <c r="F11" s="867"/>
      <c r="G11" s="867"/>
      <c r="H11" s="867"/>
      <c r="I11" s="867"/>
      <c r="J11" s="867"/>
      <c r="K11" s="867"/>
      <c r="L11" s="867"/>
      <c r="M11" s="867"/>
      <c r="N11" s="867"/>
      <c r="O11" s="867"/>
      <c r="P11" s="867"/>
      <c r="Q11" s="867"/>
      <c r="R11" s="867"/>
      <c r="S11" s="867"/>
      <c r="T11" s="867"/>
      <c r="U11" s="867"/>
      <c r="V11" s="867"/>
      <c r="W11" s="867"/>
      <c r="X11" s="1193"/>
      <c r="Y11" s="723" t="s">
        <v>42</v>
      </c>
      <c r="Z11" s="724"/>
      <c r="AA11" s="724"/>
      <c r="AB11" s="724"/>
      <c r="AC11" s="767">
        <f>SUM(DotTracking!T16:X16,DotTracking!AR16:AV16,DotTracking!BP16:BT16,DotTracking!ES14:EW14,DotTracking!FB14:FF14,DotTracking!FK14:FO14,DotTracking!FT14:FX14,DotTracking!GC14:GG14)</f>
        <v>0</v>
      </c>
      <c r="AD11" s="767"/>
      <c r="AE11" s="767"/>
      <c r="AF11" s="818"/>
      <c r="AG11" s="818"/>
      <c r="AH11" s="767">
        <f t="shared" si="1"/>
        <v>0</v>
      </c>
      <c r="AI11" s="767"/>
      <c r="AJ11" s="1114"/>
      <c r="AK11" s="1114"/>
      <c r="AL11" s="1114"/>
      <c r="AM11" s="1115"/>
      <c r="AN11" s="842"/>
      <c r="AO11" s="818"/>
      <c r="AP11" s="818"/>
      <c r="AQ11" s="818"/>
      <c r="AR11" s="818"/>
      <c r="AS11" s="818"/>
      <c r="AT11" s="767" t="str">
        <f t="shared" si="5"/>
        <v/>
      </c>
      <c r="AU11" s="767"/>
      <c r="AV11" s="768"/>
      <c r="AW11" s="842"/>
      <c r="AX11" s="818"/>
      <c r="AY11" s="818"/>
      <c r="AZ11" s="818"/>
      <c r="BA11" s="818"/>
      <c r="BB11" s="818"/>
      <c r="BC11" s="381"/>
      <c r="BD11" s="291">
        <f t="shared" si="2"/>
        <v>0</v>
      </c>
      <c r="BE11" s="767" t="str">
        <f>IF(AW11="","",HLOOKUP(AW11,AssociatedRef!$AP$1:$BZ$123,LOOKUP($CD$2,AssociatedRef!$AP$2:$AP$123,AssociatedRef!$AQ$2:$AQ$123),FALSE))</f>
        <v/>
      </c>
      <c r="BF11" s="767"/>
      <c r="BG11" s="381" t="s">
        <v>347</v>
      </c>
      <c r="BH11" s="292" t="str">
        <f t="shared" si="3"/>
        <v/>
      </c>
      <c r="BI11" s="723" t="s">
        <v>925</v>
      </c>
      <c r="BJ11" s="724"/>
      <c r="BK11" s="767">
        <f t="shared" ref="BK11" si="8">SUM(E32:H32)</f>
        <v>1</v>
      </c>
      <c r="BL11" s="767"/>
      <c r="BM11" s="767">
        <f>SUM(DotTracking!E23:O23,DotTracking!AC23:AM23,DotTracking!BA23:BK23)</f>
        <v>0</v>
      </c>
      <c r="BN11" s="767"/>
      <c r="BO11" s="818"/>
      <c r="BP11" s="818"/>
      <c r="BQ11" s="818"/>
      <c r="BR11" s="818"/>
      <c r="BS11" s="767">
        <f>IF(LOOKUP($CD$2,AssociatedRef!$A$2:$A$123,AssociatedRef!$I$2:$I$123)="Yes",BQ11*4,BQ11*5)</f>
        <v>0</v>
      </c>
      <c r="BT11" s="768"/>
      <c r="BU11" s="283" t="str">
        <f>IF(Creation!BI11="Intelligence*","Yes","No")</f>
        <v>No</v>
      </c>
      <c r="BV11" s="420" t="s">
        <v>912</v>
      </c>
      <c r="BX11" s="421" t="str">
        <f>IF('House Rules'!$B$10="Potent","Medicine*","Medicine")</f>
        <v>Medicine</v>
      </c>
      <c r="BY11" s="318">
        <f>SUM(DotTracking!$T21:$X21,DotTracking!$AR21:$AV21,DotTracking!$BP21:$BT21)</f>
        <v>0</v>
      </c>
      <c r="BZ11" s="283">
        <f t="shared" si="7"/>
        <v>0</v>
      </c>
      <c r="CD11" s="421"/>
      <c r="CE11" s="421"/>
    </row>
    <row r="12" spans="1:85" ht="15" customHeight="1" x14ac:dyDescent="0.25">
      <c r="A12" s="721" t="s">
        <v>0</v>
      </c>
      <c r="B12" s="722"/>
      <c r="C12" s="722"/>
      <c r="D12" s="722"/>
      <c r="E12" s="841"/>
      <c r="F12" s="841"/>
      <c r="G12" s="841"/>
      <c r="H12" s="841"/>
      <c r="I12" s="841"/>
      <c r="J12" s="841"/>
      <c r="K12" s="841"/>
      <c r="L12" s="841"/>
      <c r="M12" s="841"/>
      <c r="N12" s="945"/>
      <c r="O12" s="721" t="s">
        <v>2</v>
      </c>
      <c r="P12" s="722"/>
      <c r="Q12" s="722"/>
      <c r="R12" s="722"/>
      <c r="S12" s="765">
        <f>Creation!S12</f>
        <v>0</v>
      </c>
      <c r="T12" s="765"/>
      <c r="U12" s="765"/>
      <c r="V12" s="765"/>
      <c r="W12" s="765"/>
      <c r="X12" s="766"/>
      <c r="Y12" s="775" t="s">
        <v>43</v>
      </c>
      <c r="Z12" s="724"/>
      <c r="AA12" s="724"/>
      <c r="AB12" s="724"/>
      <c r="AC12" s="767">
        <f>SUM(DotTracking!T17:X17,DotTracking!AR17:AV17,DotTracking!BP17:BT17,DotTracking!ES15:EW15,DotTracking!FB15:FF15,DotTracking!FK15:FO15,DotTracking!FT15:FX15,DotTracking!GC15:GG15)</f>
        <v>0</v>
      </c>
      <c r="AD12" s="767"/>
      <c r="AE12" s="767"/>
      <c r="AF12" s="818"/>
      <c r="AG12" s="818"/>
      <c r="AH12" s="767">
        <f t="shared" si="1"/>
        <v>0</v>
      </c>
      <c r="AI12" s="767"/>
      <c r="AJ12" s="1114"/>
      <c r="AK12" s="1114"/>
      <c r="AL12" s="1114"/>
      <c r="AM12" s="1115"/>
      <c r="AN12" s="842"/>
      <c r="AO12" s="818"/>
      <c r="AP12" s="818"/>
      <c r="AQ12" s="818"/>
      <c r="AR12" s="818"/>
      <c r="AS12" s="818"/>
      <c r="AT12" s="767" t="str">
        <f t="shared" si="5"/>
        <v/>
      </c>
      <c r="AU12" s="767"/>
      <c r="AV12" s="768"/>
      <c r="AW12" s="842"/>
      <c r="AX12" s="818"/>
      <c r="AY12" s="818"/>
      <c r="AZ12" s="818"/>
      <c r="BA12" s="818"/>
      <c r="BB12" s="818"/>
      <c r="BC12" s="381"/>
      <c r="BD12" s="291">
        <f t="shared" si="2"/>
        <v>0</v>
      </c>
      <c r="BE12" s="767" t="str">
        <f>IF(AW12="","",HLOOKUP(AW12,AssociatedRef!$AP$1:$BZ$123,LOOKUP($CD$2,AssociatedRef!$AP$2:$AP$123,AssociatedRef!$AQ$2:$AQ$123),FALSE))</f>
        <v/>
      </c>
      <c r="BF12" s="767"/>
      <c r="BG12" s="381" t="s">
        <v>347</v>
      </c>
      <c r="BH12" s="292" t="str">
        <f t="shared" si="3"/>
        <v/>
      </c>
      <c r="BI12" s="723" t="s">
        <v>21</v>
      </c>
      <c r="BJ12" s="724"/>
      <c r="BK12" s="767">
        <f>SUM(E33:H33)</f>
        <v>1</v>
      </c>
      <c r="BL12" s="767"/>
      <c r="BM12" s="767">
        <f>SUM(DotTracking!E24:O24,DotTracking!AC24:AM24,DotTracking!BA24:BK24)</f>
        <v>0</v>
      </c>
      <c r="BN12" s="767"/>
      <c r="BO12" s="818"/>
      <c r="BP12" s="818"/>
      <c r="BQ12" s="818"/>
      <c r="BR12" s="818"/>
      <c r="BS12" s="767">
        <f>IF(LOOKUP($CD$2,AssociatedRef!$A$2:$A$123,AssociatedRef!$J$2:$J$123)="Yes",BQ12*4,BQ12*5)</f>
        <v>0</v>
      </c>
      <c r="BT12" s="768"/>
      <c r="BU12" s="283" t="str">
        <f>IF(Creation!BI12="Wits*","Yes","No")</f>
        <v>No</v>
      </c>
      <c r="BV12" s="421" t="str">
        <f>IF('House Rules'!$B$10="Potent","Art*","Art")</f>
        <v>Art</v>
      </c>
      <c r="BW12" s="318">
        <f>IF('House Rules'!B10="Standard",SUM(IF(DotTracking!P29="Art",DotTracking!T29:X29,0),IF(DotTracking!AN29="Art",DotTracking!AR29:AV29,0),IF(DotTracking!BL29="Art",DotTracking!BP29:BT29,0),IF(DotTracking!P30="Art",DotTracking!T30:X30,0),IF(DotTracking!AN30="Art",DotTracking!AR30:AV30,0),IF(DotTracking!BL30="Art",DotTracking!BP30:BT30,0),IF(DotTracking!P32="Art",DotTracking!T32:X32,0),IF(DotTracking!AN32="Art",DotTracking!AR32:AV32,0),IF(DotTracking!BL32="Art",DotTracking!BP32:BT32,0),IF(DotTracking!P31="Art",DotTracking!T31:X31,0),IF(DotTracking!AN31="Art",DotTracking!AR31:AV31,0),IF(DotTracking!BL31="Art",DotTracking!BP31:BT31,0),IF(DotTracking!P33="Art",DotTracking!T33:X33,0),IF(DotTracking!AN33="Art",DotTracking!AR33:AV33,0),IF(DotTracking!BL33="Art",DotTracking!BP33:BT33,0),IF(DotTracking!P34="Art",DotTracking!T34:X34,0),IF(DotTracking!AN34="Art",DotTracking!AR34:AV34,0),IF(DotTracking!BL34="Art",DotTracking!BP34:BT34,0),IF(DotTracking!P35="Art",DotTracking!T35:X35,0),IF(DotTracking!AN35="Art",DotTracking!AR35:AV35,0),IF(DotTracking!BL35="Art",DotTracking!BP35:BT35,0),IF(DotTracking!P36="Art",DotTracking!T36:X36,0),IF(DotTracking!AN36="Art",DotTracking!AR36:AV36,0),IF(DotTracking!BL36="Art",DotTracking!BP36:BT36,0),IF(DotTracking!P37="Art",DotTracking!T37:X37,0),IF(DotTracking!AN37="Art",DotTracking!AR37:AV37,0),IF(DotTracking!BL37="Art",DotTracking!BP37:BT37,0),IF(DotTracking!P38="Art",DotTracking!T38:X38,0),IF(DotTracking!AN38="Art",DotTracking!AR38:AV38,0),IF(DotTracking!BL38="Art",DotTracking!BP38:BT38,0),0),SUM(IF(DotTracking!P29="Art*",DotTracking!T29:X29,0),IF(DotTracking!AN29="Art*",DotTracking!AR29:AV29,0),IF(DotTracking!BL29="Art*",DotTracking!BP29:BT29,0),IF(DotTracking!P30="Art*",DotTracking!T30:X30,0),IF(DotTracking!AN30="Art*",DotTracking!AR30:AV30,0),IF(DotTracking!BL30="Art*",DotTracking!BP30:BT30,0),IF(DotTracking!P32="Art*",DotTracking!T32:X32,0),IF(DotTracking!AN32="Art*",DotTracking!AR32:AV32,0),IF(DotTracking!BL32="Art*",DotTracking!BP32:BT32,0),IF(DotTracking!P31="Art*",DotTracking!T31:X31,0),IF(DotTracking!AN31="Art*",DotTracking!AR31:AV31,0),IF(DotTracking!BL31="Art*",DotTracking!BP31:BT31,0),IF(DotTracking!P33="Art*",DotTracking!T33:X33,0),IF(DotTracking!AN33="Art*",DotTracking!AR33:AV33,0),IF(DotTracking!BL33="Art*",DotTracking!BP33:BT33,0),IF(DotTracking!P34="Art*",DotTracking!T34:X34,0),IF(DotTracking!AN34="Art*",DotTracking!AR34:AV34,0),IF(DotTracking!BL34="Art*",DotTracking!BP34:BT34,0),IF(DotTracking!P35="Art*",DotTracking!T35:X35,0),IF(DotTracking!AN35="Art*",DotTracking!AR35:AV35,0),IF(DotTracking!BL35="Art*",DotTracking!BP35:BT35,0),IF(DotTracking!P36="Art*",DotTracking!T36:X36,0),IF(DotTracking!AN36="Art*",DotTracking!AR36:AV36,0),IF(DotTracking!BL36="Art*",DotTracking!BP36:BT36,0),IF(DotTracking!P37="Art*",DotTracking!T37:X37,0),IF(DotTracking!AN37="Art*",DotTracking!AR37:AV37,0),IF(DotTracking!BL37="Art*",DotTracking!BP37:BT37,0),IF(DotTracking!P38="Art*",DotTracking!T38:X38,0),IF(DotTracking!AN38="Art*",DotTracking!AR38:AV38,0),IF(DotTracking!BL38="Art*",DotTracking!BP38:BT38,0),0))</f>
        <v>0</v>
      </c>
      <c r="BX12" s="421" t="str">
        <f>IF('House Rules'!$B$10="Potent","Melee*","Melee")</f>
        <v>Melee</v>
      </c>
      <c r="BY12" s="318">
        <f>SUM(DotTracking!$T22:$X22,DotTracking!$AR22:$AV22,DotTracking!$BP22:$BT22)</f>
        <v>0</v>
      </c>
      <c r="BZ12" s="283">
        <f t="shared" si="7"/>
        <v>0</v>
      </c>
      <c r="CC12" s="421"/>
      <c r="CD12" s="421"/>
    </row>
    <row r="13" spans="1:85" ht="15" customHeight="1" thickBot="1" x14ac:dyDescent="0.3">
      <c r="A13" s="802" t="s">
        <v>1</v>
      </c>
      <c r="B13" s="803"/>
      <c r="C13" s="803"/>
      <c r="D13" s="803"/>
      <c r="E13" s="845"/>
      <c r="F13" s="845"/>
      <c r="G13" s="845"/>
      <c r="H13" s="845"/>
      <c r="I13" s="845"/>
      <c r="J13" s="845"/>
      <c r="K13" s="845"/>
      <c r="L13" s="845"/>
      <c r="M13" s="845"/>
      <c r="N13" s="856"/>
      <c r="O13" s="802" t="s">
        <v>4</v>
      </c>
      <c r="P13" s="803"/>
      <c r="Q13" s="803"/>
      <c r="R13" s="803"/>
      <c r="S13" s="792"/>
      <c r="T13" s="792"/>
      <c r="U13" s="792"/>
      <c r="V13" s="792"/>
      <c r="W13" s="792"/>
      <c r="X13" s="793"/>
      <c r="Y13" s="775" t="s">
        <v>44</v>
      </c>
      <c r="Z13" s="724"/>
      <c r="AA13" s="724"/>
      <c r="AB13" s="724"/>
      <c r="AC13" s="767">
        <f>SUM(DotTracking!T18:X18,DotTracking!AR18:AV18,DotTracking!BP18:BT18,DotTracking!ES16:EW16,DotTracking!FB16:FF16,DotTracking!FK16:FO16,DotTracking!FT16:FX16,DotTracking!GC16:GG16)</f>
        <v>0</v>
      </c>
      <c r="AD13" s="767"/>
      <c r="AE13" s="767"/>
      <c r="AF13" s="818"/>
      <c r="AG13" s="818"/>
      <c r="AH13" s="767">
        <f t="shared" si="1"/>
        <v>0</v>
      </c>
      <c r="AI13" s="767"/>
      <c r="AJ13" s="1114"/>
      <c r="AK13" s="1114"/>
      <c r="AL13" s="1114"/>
      <c r="AM13" s="1115"/>
      <c r="AN13" s="842"/>
      <c r="AO13" s="818"/>
      <c r="AP13" s="818"/>
      <c r="AQ13" s="818"/>
      <c r="AR13" s="818"/>
      <c r="AS13" s="818"/>
      <c r="AT13" s="767" t="str">
        <f t="shared" si="5"/>
        <v/>
      </c>
      <c r="AU13" s="767"/>
      <c r="AV13" s="768"/>
      <c r="AW13" s="842"/>
      <c r="AX13" s="818"/>
      <c r="AY13" s="818"/>
      <c r="AZ13" s="818"/>
      <c r="BA13" s="818"/>
      <c r="BB13" s="818"/>
      <c r="BC13" s="381"/>
      <c r="BD13" s="291">
        <f t="shared" si="2"/>
        <v>0</v>
      </c>
      <c r="BE13" s="767" t="str">
        <f>IF(AW13="","",HLOOKUP(AW13,AssociatedRef!$AP$1:$BZ$123,LOOKUP($CD$2,AssociatedRef!$AP$2:$AP$123,AssociatedRef!$AQ$2:$AQ$123),FALSE))</f>
        <v/>
      </c>
      <c r="BF13" s="767"/>
      <c r="BG13" s="381" t="s">
        <v>347</v>
      </c>
      <c r="BH13" s="292" t="str">
        <f t="shared" si="3"/>
        <v/>
      </c>
      <c r="BI13" s="1176"/>
      <c r="BJ13" s="804"/>
      <c r="BK13" s="804"/>
      <c r="BL13" s="804"/>
      <c r="BM13" s="803" t="s">
        <v>28</v>
      </c>
      <c r="BN13" s="803"/>
      <c r="BO13" s="804">
        <f>SUM(BO4:BP12)</f>
        <v>0</v>
      </c>
      <c r="BP13" s="804"/>
      <c r="BQ13" s="804">
        <f t="shared" ref="BQ13" si="9">SUM(BQ4:BR12)</f>
        <v>0</v>
      </c>
      <c r="BR13" s="804"/>
      <c r="BS13" s="804">
        <f t="shared" ref="BS13" si="10">SUM(BS4:BT12)</f>
        <v>0</v>
      </c>
      <c r="BT13" s="817"/>
      <c r="BU13" s="281"/>
      <c r="BV13" s="421" t="str">
        <f>IF('House Rules'!$B$10="Potent","Athletics*","Athletics")</f>
        <v>Athletics</v>
      </c>
      <c r="BW13" s="318">
        <f>SUM(DotTracking!$T11:$X11,DotTracking!$AR11:$AV12,DotTracking!$BP11:$BT11)</f>
        <v>0</v>
      </c>
      <c r="BX13" s="421" t="str">
        <f>IF('House Rules'!$B$10="Potent","Occult*","Occult")</f>
        <v>Occult</v>
      </c>
      <c r="BY13" s="318">
        <f>SUM(DotTracking!$T23:$X23,DotTracking!$AR23:$AV23,DotTracking!$BP23:$BT23)</f>
        <v>0</v>
      </c>
      <c r="BZ13" s="283">
        <f t="shared" si="7"/>
        <v>0</v>
      </c>
      <c r="CC13" s="421"/>
      <c r="CD13" s="421"/>
    </row>
    <row r="14" spans="1:85" ht="15" customHeight="1" x14ac:dyDescent="0.25">
      <c r="A14" s="1167" t="s">
        <v>498</v>
      </c>
      <c r="B14" s="1168"/>
      <c r="C14" s="1168"/>
      <c r="D14" s="1168"/>
      <c r="E14" s="1168"/>
      <c r="F14" s="1168"/>
      <c r="G14" s="1168"/>
      <c r="H14" s="1168"/>
      <c r="I14" s="1168"/>
      <c r="J14" s="1168"/>
      <c r="K14" s="1168"/>
      <c r="L14" s="1168"/>
      <c r="M14" s="1168"/>
      <c r="N14" s="1168"/>
      <c r="O14" s="1168"/>
      <c r="P14" s="1168"/>
      <c r="Q14" s="1168"/>
      <c r="R14" s="1168"/>
      <c r="S14" s="1168"/>
      <c r="T14" s="1168"/>
      <c r="U14" s="1168"/>
      <c r="V14" s="1168"/>
      <c r="W14" s="1168"/>
      <c r="X14" s="1169"/>
      <c r="Y14" s="723" t="s">
        <v>45</v>
      </c>
      <c r="Z14" s="724"/>
      <c r="AA14" s="724"/>
      <c r="AB14" s="724"/>
      <c r="AC14" s="767">
        <f>SUM(DotTracking!T19:X19,DotTracking!AR19:AV19,DotTracking!BP19:BT19,DotTracking!ES17:EW17,DotTracking!FB17:FF17,DotTracking!FK17:FO17,DotTracking!FT17:FX17,DotTracking!GC17:GG17)</f>
        <v>0</v>
      </c>
      <c r="AD14" s="767"/>
      <c r="AE14" s="767"/>
      <c r="AF14" s="818"/>
      <c r="AG14" s="818"/>
      <c r="AH14" s="767">
        <f t="shared" si="1"/>
        <v>0</v>
      </c>
      <c r="AI14" s="767"/>
      <c r="AJ14" s="1114"/>
      <c r="AK14" s="1114"/>
      <c r="AL14" s="1114"/>
      <c r="AM14" s="1115"/>
      <c r="AN14" s="842"/>
      <c r="AO14" s="818"/>
      <c r="AP14" s="818"/>
      <c r="AQ14" s="818"/>
      <c r="AR14" s="818"/>
      <c r="AS14" s="818"/>
      <c r="AT14" s="767" t="str">
        <f t="shared" si="5"/>
        <v/>
      </c>
      <c r="AU14" s="767"/>
      <c r="AV14" s="768"/>
      <c r="AW14" s="842"/>
      <c r="AX14" s="818"/>
      <c r="AY14" s="818"/>
      <c r="AZ14" s="818"/>
      <c r="BA14" s="818"/>
      <c r="BB14" s="818"/>
      <c r="BC14" s="381"/>
      <c r="BD14" s="291">
        <f t="shared" si="2"/>
        <v>0</v>
      </c>
      <c r="BE14" s="767" t="str">
        <f>IF(AW14="","",HLOOKUP(AW14,AssociatedRef!$AP$1:$BZ$123,LOOKUP($CD$2,AssociatedRef!$AP$2:$AP$123,AssociatedRef!$AQ$2:$AQ$123),FALSE))</f>
        <v/>
      </c>
      <c r="BF14" s="767"/>
      <c r="BG14" s="381" t="s">
        <v>347</v>
      </c>
      <c r="BH14" s="292" t="str">
        <f t="shared" si="3"/>
        <v/>
      </c>
      <c r="BI14" s="721" t="s">
        <v>73</v>
      </c>
      <c r="BJ14" s="722"/>
      <c r="BK14" s="722"/>
      <c r="BL14" s="722"/>
      <c r="BM14" s="722"/>
      <c r="BN14" s="722"/>
      <c r="BO14" s="765">
        <f>SUM(BO13,BD4:BD46)</f>
        <v>0</v>
      </c>
      <c r="BP14" s="766"/>
      <c r="BQ14" s="733"/>
      <c r="BR14" s="733"/>
      <c r="BS14" s="733"/>
      <c r="BT14" s="734"/>
      <c r="BU14" s="281"/>
      <c r="BV14" s="421" t="str">
        <f>IF('House Rules'!$B$10="Potent","Awareness*","Awareness")</f>
        <v>Awareness</v>
      </c>
      <c r="BW14" s="318">
        <f>SUM(DotTracking!$T12:$X12,DotTracking!$AR12:$AV13,DotTracking!$BP12:$BT12)</f>
        <v>0</v>
      </c>
      <c r="BX14" s="421" t="str">
        <f>IF('House Rules'!$B$10="Potent","Politics*","Politics")</f>
        <v>Politics</v>
      </c>
      <c r="BY14" s="318">
        <f>SUM(DotTracking!$T24:$X24,DotTracking!$AR24:$AV24,DotTracking!$BP24:$BT24)</f>
        <v>0</v>
      </c>
      <c r="BZ14" s="283">
        <f t="shared" si="7"/>
        <v>0</v>
      </c>
      <c r="CC14" s="421"/>
      <c r="CD14" s="421"/>
    </row>
    <row r="15" spans="1:85" ht="15" customHeight="1" thickBot="1" x14ac:dyDescent="0.3">
      <c r="A15" s="802"/>
      <c r="B15" s="803"/>
      <c r="C15" s="803"/>
      <c r="D15" s="803"/>
      <c r="E15" s="803"/>
      <c r="F15" s="803"/>
      <c r="G15" s="803"/>
      <c r="H15" s="803"/>
      <c r="I15" s="803"/>
      <c r="J15" s="803"/>
      <c r="K15" s="803"/>
      <c r="L15" s="803"/>
      <c r="M15" s="803"/>
      <c r="N15" s="803"/>
      <c r="O15" s="803"/>
      <c r="P15" s="803"/>
      <c r="Q15" s="803"/>
      <c r="R15" s="803"/>
      <c r="S15" s="803"/>
      <c r="T15" s="803"/>
      <c r="U15" s="803"/>
      <c r="V15" s="803"/>
      <c r="W15" s="803"/>
      <c r="X15" s="1170"/>
      <c r="Y15" s="723" t="s">
        <v>46</v>
      </c>
      <c r="Z15" s="724"/>
      <c r="AA15" s="724"/>
      <c r="AB15" s="724"/>
      <c r="AC15" s="767">
        <f>SUM(DotTracking!T20:X20,DotTracking!AR20:AV20,DotTracking!BP20:BT20,DotTracking!ES18:EW18,DotTracking!FB18:FF18,DotTracking!FK18:FO18,DotTracking!FT18:FX18,DotTracking!GC18:GG18)</f>
        <v>0</v>
      </c>
      <c r="AD15" s="767"/>
      <c r="AE15" s="767"/>
      <c r="AF15" s="818"/>
      <c r="AG15" s="818"/>
      <c r="AH15" s="767">
        <f t="shared" si="1"/>
        <v>0</v>
      </c>
      <c r="AI15" s="767"/>
      <c r="AJ15" s="1114"/>
      <c r="AK15" s="1114"/>
      <c r="AL15" s="1114"/>
      <c r="AM15" s="1115"/>
      <c r="AN15" s="842"/>
      <c r="AO15" s="818"/>
      <c r="AP15" s="818"/>
      <c r="AQ15" s="818"/>
      <c r="AR15" s="818"/>
      <c r="AS15" s="818"/>
      <c r="AT15" s="767" t="str">
        <f t="shared" si="5"/>
        <v/>
      </c>
      <c r="AU15" s="767"/>
      <c r="AV15" s="768"/>
      <c r="AW15" s="842"/>
      <c r="AX15" s="818"/>
      <c r="AY15" s="818"/>
      <c r="AZ15" s="818"/>
      <c r="BA15" s="818"/>
      <c r="BB15" s="818"/>
      <c r="BC15" s="381"/>
      <c r="BD15" s="291">
        <f t="shared" si="2"/>
        <v>0</v>
      </c>
      <c r="BE15" s="767" t="str">
        <f>IF(AW15="","",HLOOKUP(AW15,AssociatedRef!$AP$1:$BZ$123,LOOKUP($CD$2,AssociatedRef!$AP$2:$AP$123,AssociatedRef!$AQ$2:$AQ$123),FALSE))</f>
        <v/>
      </c>
      <c r="BF15" s="767"/>
      <c r="BG15" s="381" t="s">
        <v>347</v>
      </c>
      <c r="BH15" s="292" t="str">
        <f t="shared" si="3"/>
        <v/>
      </c>
      <c r="BI15" s="723"/>
      <c r="BJ15" s="724"/>
      <c r="BK15" s="724"/>
      <c r="BL15" s="724"/>
      <c r="BM15" s="724"/>
      <c r="BN15" s="724"/>
      <c r="BO15" s="767"/>
      <c r="BP15" s="768"/>
      <c r="BQ15" s="733"/>
      <c r="BR15" s="733"/>
      <c r="BS15" s="733"/>
      <c r="BT15" s="734"/>
      <c r="BU15" s="281"/>
      <c r="BV15" s="421" t="str">
        <f>IF('House Rules'!$B$10="Potent","Brawl*","Brawl")</f>
        <v>Brawl</v>
      </c>
      <c r="BW15" s="318">
        <f>SUM(DotTracking!$T13:$X13,DotTracking!$AR13:$AV14,DotTracking!$BP13:$BT13)</f>
        <v>0</v>
      </c>
      <c r="BX15" s="421" t="str">
        <f>IF('House Rules'!$B$10="Potent","Presence*","Presence")</f>
        <v>Presence</v>
      </c>
      <c r="BY15" s="318">
        <f>SUM(DotTracking!$T25:$X25,DotTracking!$AR25:$AV25,DotTracking!$BP25:$BT25)</f>
        <v>0</v>
      </c>
      <c r="BZ15" s="283">
        <f t="shared" si="7"/>
        <v>0</v>
      </c>
      <c r="CC15" s="421"/>
      <c r="CD15" s="421"/>
    </row>
    <row r="16" spans="1:85" ht="15" customHeight="1" x14ac:dyDescent="0.25">
      <c r="A16" s="829" t="s">
        <v>8</v>
      </c>
      <c r="B16" s="820"/>
      <c r="C16" s="820"/>
      <c r="D16" s="820"/>
      <c r="E16" s="820"/>
      <c r="F16" s="820"/>
      <c r="G16" s="820"/>
      <c r="H16" s="820"/>
      <c r="I16" s="820"/>
      <c r="J16" s="820"/>
      <c r="K16" s="820"/>
      <c r="L16" s="821"/>
      <c r="M16" s="829" t="s">
        <v>9</v>
      </c>
      <c r="N16" s="820"/>
      <c r="O16" s="820"/>
      <c r="P16" s="820"/>
      <c r="Q16" s="820"/>
      <c r="R16" s="820"/>
      <c r="S16" s="820"/>
      <c r="T16" s="820"/>
      <c r="U16" s="820"/>
      <c r="V16" s="820"/>
      <c r="W16" s="820"/>
      <c r="X16" s="821"/>
      <c r="Y16" s="723" t="s">
        <v>47</v>
      </c>
      <c r="Z16" s="724"/>
      <c r="AA16" s="724"/>
      <c r="AB16" s="724"/>
      <c r="AC16" s="767">
        <f>SUM(DotTracking!T21:X21,DotTracking!AR21:AV21,DotTracking!BP21:BT21,DotTracking!ES19:EW19,DotTracking!FB19:FF19,DotTracking!FK19:FO19,DotTracking!FT19:FX19,DotTracking!GC19:GG19)</f>
        <v>0</v>
      </c>
      <c r="AD16" s="767"/>
      <c r="AE16" s="767"/>
      <c r="AF16" s="818"/>
      <c r="AG16" s="818"/>
      <c r="AH16" s="767">
        <f t="shared" si="1"/>
        <v>0</v>
      </c>
      <c r="AI16" s="767"/>
      <c r="AJ16" s="1114"/>
      <c r="AK16" s="1114"/>
      <c r="AL16" s="1114"/>
      <c r="AM16" s="1115"/>
      <c r="AN16" s="842"/>
      <c r="AO16" s="818"/>
      <c r="AP16" s="818"/>
      <c r="AQ16" s="818"/>
      <c r="AR16" s="818"/>
      <c r="AS16" s="818"/>
      <c r="AT16" s="767" t="str">
        <f t="shared" si="5"/>
        <v/>
      </c>
      <c r="AU16" s="767"/>
      <c r="AV16" s="768"/>
      <c r="AW16" s="842"/>
      <c r="AX16" s="818"/>
      <c r="AY16" s="818"/>
      <c r="AZ16" s="818"/>
      <c r="BA16" s="818"/>
      <c r="BB16" s="818"/>
      <c r="BC16" s="381"/>
      <c r="BD16" s="291">
        <f t="shared" si="2"/>
        <v>0</v>
      </c>
      <c r="BE16" s="767" t="str">
        <f>IF(AW16="","",HLOOKUP(AW16,AssociatedRef!$AP$1:$BZ$123,LOOKUP($CD$2,AssociatedRef!$AP$2:$AP$123,AssociatedRef!$AQ$2:$AQ$123),FALSE))</f>
        <v/>
      </c>
      <c r="BF16" s="767"/>
      <c r="BG16" s="381" t="s">
        <v>347</v>
      </c>
      <c r="BH16" s="292" t="str">
        <f t="shared" si="3"/>
        <v/>
      </c>
      <c r="BI16" s="723" t="s">
        <v>32</v>
      </c>
      <c r="BJ16" s="724"/>
      <c r="BK16" s="724"/>
      <c r="BL16" s="724"/>
      <c r="BM16" s="724"/>
      <c r="BN16" s="724"/>
      <c r="BO16" s="767">
        <f>10-BO14</f>
        <v>10</v>
      </c>
      <c r="BP16" s="768"/>
      <c r="BQ16" s="733"/>
      <c r="BR16" s="733"/>
      <c r="BS16" s="733"/>
      <c r="BT16" s="734"/>
      <c r="BU16" s="281"/>
      <c r="BV16" s="421" t="str">
        <f>IF('House Rules'!$B$10="Potent","Command*","Command")</f>
        <v>Command</v>
      </c>
      <c r="BW16" s="318">
        <f>SUM(DotTracking!$T14:$X14,DotTracking!$AR14:$AV15,DotTracking!$BP14:$BT14)</f>
        <v>0</v>
      </c>
      <c r="BX16" s="420" t="s">
        <v>915</v>
      </c>
      <c r="BY16" s="318"/>
      <c r="BZ16" s="283">
        <f t="shared" si="7"/>
        <v>0</v>
      </c>
      <c r="CC16" s="421"/>
      <c r="CD16" s="421"/>
    </row>
    <row r="17" spans="1:82" ht="15" customHeight="1" thickBot="1" x14ac:dyDescent="0.3">
      <c r="A17" s="890"/>
      <c r="B17" s="823"/>
      <c r="C17" s="823"/>
      <c r="D17" s="823"/>
      <c r="E17" s="823"/>
      <c r="F17" s="823"/>
      <c r="G17" s="823"/>
      <c r="H17" s="823"/>
      <c r="I17" s="823"/>
      <c r="J17" s="823"/>
      <c r="K17" s="823"/>
      <c r="L17" s="824"/>
      <c r="M17" s="890"/>
      <c r="N17" s="823"/>
      <c r="O17" s="823"/>
      <c r="P17" s="823"/>
      <c r="Q17" s="823"/>
      <c r="R17" s="823"/>
      <c r="S17" s="823"/>
      <c r="T17" s="823"/>
      <c r="U17" s="823"/>
      <c r="V17" s="823"/>
      <c r="W17" s="823"/>
      <c r="X17" s="824"/>
      <c r="Y17" s="723" t="s">
        <v>48</v>
      </c>
      <c r="Z17" s="724"/>
      <c r="AA17" s="724"/>
      <c r="AB17" s="724"/>
      <c r="AC17" s="767">
        <f>SUM(DotTracking!T22:X22,DotTracking!AR22:AV22,DotTracking!BP22:BT22,DotTracking!ES20:EW20,DotTracking!FB20:FF20,DotTracking!FK20:FO20,DotTracking!FT20:FX20,DotTracking!GC20:GG20)</f>
        <v>0</v>
      </c>
      <c r="AD17" s="767"/>
      <c r="AE17" s="767"/>
      <c r="AF17" s="818"/>
      <c r="AG17" s="818"/>
      <c r="AH17" s="767">
        <f t="shared" si="1"/>
        <v>0</v>
      </c>
      <c r="AI17" s="767"/>
      <c r="AJ17" s="1114"/>
      <c r="AK17" s="1114"/>
      <c r="AL17" s="1114"/>
      <c r="AM17" s="1115"/>
      <c r="AN17" s="842"/>
      <c r="AO17" s="818"/>
      <c r="AP17" s="818"/>
      <c r="AQ17" s="818"/>
      <c r="AR17" s="818"/>
      <c r="AS17" s="818"/>
      <c r="AT17" s="767" t="str">
        <f t="shared" si="5"/>
        <v/>
      </c>
      <c r="AU17" s="767"/>
      <c r="AV17" s="768"/>
      <c r="AW17" s="842"/>
      <c r="AX17" s="818"/>
      <c r="AY17" s="818"/>
      <c r="AZ17" s="818"/>
      <c r="BA17" s="818"/>
      <c r="BB17" s="818"/>
      <c r="BC17" s="381"/>
      <c r="BD17" s="291">
        <f t="shared" si="2"/>
        <v>0</v>
      </c>
      <c r="BE17" s="767" t="str">
        <f>IF(AW17="","",HLOOKUP(AW17,AssociatedRef!$AP$1:$BZ$123,LOOKUP($CD$2,AssociatedRef!$AP$2:$AP$123,AssociatedRef!$AQ$2:$AQ$123),FALSE))</f>
        <v/>
      </c>
      <c r="BF17" s="767"/>
      <c r="BG17" s="381" t="s">
        <v>347</v>
      </c>
      <c r="BH17" s="292" t="str">
        <f t="shared" si="3"/>
        <v/>
      </c>
      <c r="BI17" s="802" t="s">
        <v>29</v>
      </c>
      <c r="BJ17" s="803"/>
      <c r="BK17" s="803"/>
      <c r="BL17" s="803"/>
      <c r="BM17" s="803"/>
      <c r="BN17" s="803"/>
      <c r="BO17" s="804" t="str">
        <f>IF(BO16=0,"Yes","No")</f>
        <v>No</v>
      </c>
      <c r="BP17" s="817"/>
      <c r="BQ17" s="733"/>
      <c r="BR17" s="733"/>
      <c r="BS17" s="733"/>
      <c r="BT17" s="734"/>
      <c r="BU17" s="281"/>
      <c r="BV17" s="421" t="str">
        <f>IF('House Rules'!$B$10="Potent","Control*","Control")</f>
        <v>Control</v>
      </c>
      <c r="BW17" s="318">
        <f>IF('House Rules'!B10="Standard",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0),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0))</f>
        <v>0</v>
      </c>
      <c r="BX17" s="421" t="str">
        <f>IF('House Rules'!$B$10="Potent","Fortitude*","Fortitude")</f>
        <v>Fortitude</v>
      </c>
      <c r="BY17" s="318">
        <f>SUM(DotTracking!$T16:$X16,DotTracking!$AR16:$AV16,DotTracking!$BP16:$BT16)</f>
        <v>0</v>
      </c>
      <c r="BZ17" s="283">
        <f t="shared" si="7"/>
        <v>0</v>
      </c>
      <c r="CB17" s="283" t="s">
        <v>347</v>
      </c>
      <c r="CC17" s="421"/>
      <c r="CD17" s="421"/>
    </row>
    <row r="18" spans="1:82" ht="15" customHeight="1" x14ac:dyDescent="0.25">
      <c r="A18" s="1187"/>
      <c r="B18" s="765"/>
      <c r="C18" s="765"/>
      <c r="D18" s="765"/>
      <c r="E18" s="722" t="s">
        <v>143</v>
      </c>
      <c r="F18" s="722"/>
      <c r="G18" s="722" t="s">
        <v>144</v>
      </c>
      <c r="H18" s="722"/>
      <c r="I18" s="722" t="s">
        <v>11</v>
      </c>
      <c r="J18" s="722"/>
      <c r="K18" s="722"/>
      <c r="L18" s="833"/>
      <c r="M18" s="1187"/>
      <c r="N18" s="765"/>
      <c r="O18" s="765"/>
      <c r="P18" s="765"/>
      <c r="Q18" s="722" t="s">
        <v>12</v>
      </c>
      <c r="R18" s="722"/>
      <c r="S18" s="722"/>
      <c r="T18" s="722"/>
      <c r="U18" s="722" t="s">
        <v>2676</v>
      </c>
      <c r="V18" s="722"/>
      <c r="W18" s="722"/>
      <c r="X18" s="833"/>
      <c r="Y18" s="723" t="s">
        <v>49</v>
      </c>
      <c r="Z18" s="724"/>
      <c r="AA18" s="724"/>
      <c r="AB18" s="724"/>
      <c r="AC18" s="767">
        <f>SUM(DotTracking!T23:X23,DotTracking!AR23:AV23,DotTracking!BP23:BT23,DotTracking!ES21:EW21,DotTracking!FB21:FF21,DotTracking!FK21:FO21,DotTracking!FT21:FX21,DotTracking!GC21:GG21)</f>
        <v>0</v>
      </c>
      <c r="AD18" s="767"/>
      <c r="AE18" s="767"/>
      <c r="AF18" s="818"/>
      <c r="AG18" s="818"/>
      <c r="AH18" s="767">
        <f t="shared" si="1"/>
        <v>0</v>
      </c>
      <c r="AI18" s="767"/>
      <c r="AJ18" s="1114"/>
      <c r="AK18" s="1114"/>
      <c r="AL18" s="1114"/>
      <c r="AM18" s="1115"/>
      <c r="AN18" s="842"/>
      <c r="AO18" s="818"/>
      <c r="AP18" s="818"/>
      <c r="AQ18" s="818"/>
      <c r="AR18" s="818"/>
      <c r="AS18" s="818"/>
      <c r="AT18" s="767" t="str">
        <f t="shared" si="5"/>
        <v/>
      </c>
      <c r="AU18" s="767"/>
      <c r="AV18" s="768"/>
      <c r="AW18" s="842"/>
      <c r="AX18" s="818"/>
      <c r="AY18" s="818"/>
      <c r="AZ18" s="818"/>
      <c r="BA18" s="818"/>
      <c r="BB18" s="818"/>
      <c r="BC18" s="381"/>
      <c r="BD18" s="291">
        <f t="shared" si="2"/>
        <v>0</v>
      </c>
      <c r="BE18" s="767" t="str">
        <f>IF(AW18="","",HLOOKUP(AW18,AssociatedRef!$AP$1:$BZ$123,LOOKUP($CD$2,AssociatedRef!$AP$2:$AP$123,AssociatedRef!$AQ$2:$AQ$123),FALSE))</f>
        <v/>
      </c>
      <c r="BF18" s="767"/>
      <c r="BG18" s="381" t="s">
        <v>347</v>
      </c>
      <c r="BH18" s="292" t="str">
        <f t="shared" si="3"/>
        <v/>
      </c>
      <c r="BI18" s="829" t="s">
        <v>147</v>
      </c>
      <c r="BJ18" s="820"/>
      <c r="BK18" s="820"/>
      <c r="BL18" s="820"/>
      <c r="BM18" s="820"/>
      <c r="BN18" s="820"/>
      <c r="BO18" s="820"/>
      <c r="BP18" s="820"/>
      <c r="BQ18" s="820"/>
      <c r="BR18" s="820"/>
      <c r="BS18" s="820"/>
      <c r="BT18" s="821"/>
      <c r="BU18" s="418"/>
      <c r="BV18" s="421" t="str">
        <f>IF('House Rules'!$B$10="Potent","Craft*","Craft")</f>
        <v>Craft</v>
      </c>
      <c r="BW18" s="318">
        <f>IF('House Rules'!B10="Standard",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f>
        <v>0</v>
      </c>
      <c r="BX18" s="421" t="str">
        <f>IF('House Rules'!$B$10="Potent","Integrity*","Integrity")</f>
        <v>Integrity</v>
      </c>
      <c r="BY18" s="318">
        <f>SUM(DotTracking!$T17:$X17,DotTracking!$AR17:$AV17,DotTracking!$BP17:$BT17)</f>
        <v>0</v>
      </c>
      <c r="BZ18" s="283">
        <f t="shared" si="7"/>
        <v>0</v>
      </c>
      <c r="CC18" s="421"/>
      <c r="CD18" s="421"/>
    </row>
    <row r="19" spans="1:82" ht="15" customHeight="1" thickBot="1" x14ac:dyDescent="0.3">
      <c r="A19" s="723" t="s">
        <v>30</v>
      </c>
      <c r="B19" s="724"/>
      <c r="C19" s="724"/>
      <c r="D19" s="724"/>
      <c r="E19" s="767">
        <f>SUM(DotTracking!E6:O6,DotTracking!AC6:AM6,DotTracking!BA6:BK6)</f>
        <v>1</v>
      </c>
      <c r="F19" s="767"/>
      <c r="G19" s="818"/>
      <c r="H19" s="818"/>
      <c r="I19" s="818"/>
      <c r="J19" s="818"/>
      <c r="K19" s="818"/>
      <c r="L19" s="855"/>
      <c r="M19" s="723" t="s">
        <v>22</v>
      </c>
      <c r="N19" s="724"/>
      <c r="O19" s="724"/>
      <c r="P19" s="724"/>
      <c r="Q19" s="767" t="str">
        <f>Creation!Q28</f>
        <v/>
      </c>
      <c r="R19" s="767"/>
      <c r="S19" s="767"/>
      <c r="T19" s="767"/>
      <c r="U19" s="767" t="e">
        <f>VLOOKUP(Q19,BV2:BW10,2,FALSE)</f>
        <v>#N/A</v>
      </c>
      <c r="V19" s="767"/>
      <c r="W19" s="767"/>
      <c r="X19" s="768"/>
      <c r="Y19" s="723" t="s">
        <v>50</v>
      </c>
      <c r="Z19" s="724"/>
      <c r="AA19" s="724"/>
      <c r="AB19" s="724"/>
      <c r="AC19" s="767">
        <f>SUM(DotTracking!T24:X24,DotTracking!AR24:AV24,DotTracking!BP24:BT24,DotTracking!ES22:EW22,DotTracking!FB22:FF22,DotTracking!FK22:FO22,DotTracking!FT22:FX22,DotTracking!GC22:GG22)</f>
        <v>0</v>
      </c>
      <c r="AD19" s="767"/>
      <c r="AE19" s="767"/>
      <c r="AF19" s="818"/>
      <c r="AG19" s="818"/>
      <c r="AH19" s="767">
        <f t="shared" si="1"/>
        <v>0</v>
      </c>
      <c r="AI19" s="767"/>
      <c r="AJ19" s="1114"/>
      <c r="AK19" s="1114"/>
      <c r="AL19" s="1114"/>
      <c r="AM19" s="1115"/>
      <c r="AN19" s="842"/>
      <c r="AO19" s="818"/>
      <c r="AP19" s="818"/>
      <c r="AQ19" s="818"/>
      <c r="AR19" s="818"/>
      <c r="AS19" s="818"/>
      <c r="AT19" s="767" t="str">
        <f t="shared" si="5"/>
        <v/>
      </c>
      <c r="AU19" s="767"/>
      <c r="AV19" s="768"/>
      <c r="AW19" s="842"/>
      <c r="AX19" s="818"/>
      <c r="AY19" s="818"/>
      <c r="AZ19" s="818"/>
      <c r="BA19" s="818"/>
      <c r="BB19" s="818"/>
      <c r="BC19" s="381"/>
      <c r="BD19" s="291">
        <f t="shared" si="2"/>
        <v>0</v>
      </c>
      <c r="BE19" s="767" t="str">
        <f>IF(AW19="","",HLOOKUP(AW19,AssociatedRef!$AP$1:$BZ$123,LOOKUP($CD$2,AssociatedRef!$AP$2:$AP$123,AssociatedRef!$AQ$2:$AQ$123),FALSE))</f>
        <v/>
      </c>
      <c r="BF19" s="767"/>
      <c r="BG19" s="381" t="s">
        <v>347</v>
      </c>
      <c r="BH19" s="292" t="str">
        <f t="shared" si="3"/>
        <v/>
      </c>
      <c r="BI19" s="890"/>
      <c r="BJ19" s="823"/>
      <c r="BK19" s="823"/>
      <c r="BL19" s="823"/>
      <c r="BM19" s="823"/>
      <c r="BN19" s="823"/>
      <c r="BO19" s="823"/>
      <c r="BP19" s="823"/>
      <c r="BQ19" s="823"/>
      <c r="BR19" s="823"/>
      <c r="BS19" s="823"/>
      <c r="BT19" s="824"/>
      <c r="BU19" s="418"/>
      <c r="BV19" s="421" t="str">
        <f>IF('House Rules'!$B$10="Potent","Empathy*","Empathy")</f>
        <v>Empathy</v>
      </c>
      <c r="BW19" s="318">
        <f>SUM(DotTracking!$T15:$X15,DotTracking!$AR15:$AV15,DotTracking!$BP15:$BT15)</f>
        <v>0</v>
      </c>
      <c r="BX19" s="421" t="str">
        <f>IF('House Rules'!$B$10="Potent","Investigation*","Investigation")</f>
        <v>Investigation</v>
      </c>
      <c r="BY19" s="318">
        <f>SUM(DotTracking!$T18:$X18,DotTracking!$AR18:$AV18,DotTracking!$BP18:$BT18)</f>
        <v>0</v>
      </c>
      <c r="BZ19" s="283">
        <f t="shared" si="7"/>
        <v>0</v>
      </c>
      <c r="CC19" s="421"/>
      <c r="CD19" s="421"/>
    </row>
    <row r="20" spans="1:82" ht="15" customHeight="1" x14ac:dyDescent="0.25">
      <c r="A20" s="723" t="s">
        <v>13</v>
      </c>
      <c r="B20" s="724"/>
      <c r="C20" s="724"/>
      <c r="D20" s="724"/>
      <c r="E20" s="767">
        <f>SUM(DotTracking!E7:O7,DotTracking!AC7:AM7,DotTracking!BA7:BK7)</f>
        <v>1</v>
      </c>
      <c r="F20" s="767"/>
      <c r="G20" s="818"/>
      <c r="H20" s="818"/>
      <c r="I20" s="818"/>
      <c r="J20" s="818"/>
      <c r="K20" s="818"/>
      <c r="L20" s="855"/>
      <c r="M20" s="723" t="s">
        <v>23</v>
      </c>
      <c r="N20" s="724"/>
      <c r="O20" s="724"/>
      <c r="P20" s="724"/>
      <c r="Q20" s="767" t="str">
        <f>Creation!Q29</f>
        <v/>
      </c>
      <c r="R20" s="767"/>
      <c r="S20" s="767"/>
      <c r="T20" s="767"/>
      <c r="U20" s="767" t="e">
        <f>VLOOKUP(Q20,BV12:BW23,2,FALSE)</f>
        <v>#N/A</v>
      </c>
      <c r="V20" s="767"/>
      <c r="W20" s="767"/>
      <c r="X20" s="768"/>
      <c r="Y20" s="723" t="s">
        <v>51</v>
      </c>
      <c r="Z20" s="724"/>
      <c r="AA20" s="724"/>
      <c r="AB20" s="724"/>
      <c r="AC20" s="767">
        <f>SUM(DotTracking!T25:X25,DotTracking!AR25:AV25,DotTracking!BP25:BT25,DotTracking!ES23:EW23,DotTracking!FB23:FF23,DotTracking!FK23:FO23,DotTracking!FT23:FX23,DotTracking!GC23:GG23)</f>
        <v>0</v>
      </c>
      <c r="AD20" s="767"/>
      <c r="AE20" s="767"/>
      <c r="AF20" s="818"/>
      <c r="AG20" s="818"/>
      <c r="AH20" s="767">
        <f t="shared" si="1"/>
        <v>0</v>
      </c>
      <c r="AI20" s="767"/>
      <c r="AJ20" s="1114"/>
      <c r="AK20" s="1114"/>
      <c r="AL20" s="1114"/>
      <c r="AM20" s="1115"/>
      <c r="AN20" s="842"/>
      <c r="AO20" s="818"/>
      <c r="AP20" s="818"/>
      <c r="AQ20" s="818"/>
      <c r="AR20" s="818"/>
      <c r="AS20" s="818"/>
      <c r="AT20" s="767" t="str">
        <f t="shared" si="5"/>
        <v/>
      </c>
      <c r="AU20" s="767"/>
      <c r="AV20" s="768"/>
      <c r="AW20" s="842"/>
      <c r="AX20" s="818"/>
      <c r="AY20" s="818"/>
      <c r="AZ20" s="818"/>
      <c r="BA20" s="818"/>
      <c r="BB20" s="818"/>
      <c r="BC20" s="381"/>
      <c r="BD20" s="291">
        <f t="shared" si="2"/>
        <v>0</v>
      </c>
      <c r="BE20" s="767" t="str">
        <f>IF(AW20="","",HLOOKUP(AW20,AssociatedRef!$AP$1:$BZ$123,LOOKUP($CD$2,AssociatedRef!$AP$2:$AP$123,AssociatedRef!$AQ$2:$AQ$123),FALSE))</f>
        <v/>
      </c>
      <c r="BF20" s="767"/>
      <c r="BG20" s="381" t="s">
        <v>347</v>
      </c>
      <c r="BH20" s="292" t="str">
        <f t="shared" si="3"/>
        <v/>
      </c>
      <c r="BI20" s="721" t="s">
        <v>75</v>
      </c>
      <c r="BJ20" s="722"/>
      <c r="BK20" s="722"/>
      <c r="BL20" s="722"/>
      <c r="BM20" s="298" t="s">
        <v>76</v>
      </c>
      <c r="BN20" s="722" t="s">
        <v>11</v>
      </c>
      <c r="BO20" s="722"/>
      <c r="BP20" s="722" t="s">
        <v>77</v>
      </c>
      <c r="BQ20" s="722"/>
      <c r="BR20" s="722"/>
      <c r="BS20" s="722"/>
      <c r="BT20" s="833"/>
      <c r="BU20" s="314"/>
      <c r="BV20" s="421" t="str">
        <f>IF('House Rules'!$B$10="Potent","Fortitude*","Fortitude")</f>
        <v>Fortitude</v>
      </c>
      <c r="BW20" s="318">
        <f>SUM(DotTracking!$T16:$X16,DotTracking!$AR16:$AV16,DotTracking!$BP16:$BT16)</f>
        <v>0</v>
      </c>
      <c r="BX20" s="421" t="str">
        <f>IF('House Rules'!$B$10="Potent","Larceny*","Larceny")</f>
        <v>Larceny</v>
      </c>
      <c r="BY20" s="318">
        <f>SUM(DotTracking!$T19:$X19,DotTracking!$AR19:$AV19,DotTracking!$BP19:$BT19)</f>
        <v>0</v>
      </c>
      <c r="BZ20" s="283">
        <f t="shared" si="7"/>
        <v>0</v>
      </c>
      <c r="CC20" s="421"/>
      <c r="CD20" s="421"/>
    </row>
    <row r="21" spans="1:82" ht="15" customHeight="1" x14ac:dyDescent="0.25">
      <c r="A21" s="723" t="s">
        <v>14</v>
      </c>
      <c r="B21" s="724"/>
      <c r="C21" s="724"/>
      <c r="D21" s="724"/>
      <c r="E21" s="767">
        <f>SUM(DotTracking!E8:O8,DotTracking!AC8:AM8,DotTracking!BA8:BK8)</f>
        <v>1</v>
      </c>
      <c r="F21" s="767"/>
      <c r="G21" s="818"/>
      <c r="H21" s="818"/>
      <c r="I21" s="818"/>
      <c r="J21" s="818"/>
      <c r="K21" s="818"/>
      <c r="L21" s="855"/>
      <c r="M21" s="723" t="s">
        <v>24</v>
      </c>
      <c r="N21" s="724"/>
      <c r="O21" s="724"/>
      <c r="P21" s="724"/>
      <c r="Q21" s="767" t="str">
        <f>Creation!Q30</f>
        <v/>
      </c>
      <c r="R21" s="767"/>
      <c r="S21" s="767"/>
      <c r="T21" s="767"/>
      <c r="U21" s="767" t="e">
        <f>VLOOKUP(Q21,BV25:BW37,2,FALSE)</f>
        <v>#N/A</v>
      </c>
      <c r="V21" s="767"/>
      <c r="W21" s="767"/>
      <c r="X21" s="768"/>
      <c r="Y21" s="723" t="s">
        <v>52</v>
      </c>
      <c r="Z21" s="724"/>
      <c r="AA21" s="724"/>
      <c r="AB21" s="724"/>
      <c r="AC21" s="767">
        <f>SUM(DotTracking!T26:X26,DotTracking!AR26:AV26,DotTracking!BP26:BT26,DotTracking!ES24:EW24,DotTracking!FB24:FF24,DotTracking!FK24:FO24,DotTracking!FT24:FX24,DotTracking!GC24:GG24)</f>
        <v>0</v>
      </c>
      <c r="AD21" s="767"/>
      <c r="AE21" s="767"/>
      <c r="AF21" s="818"/>
      <c r="AG21" s="818"/>
      <c r="AH21" s="767">
        <f t="shared" si="1"/>
        <v>0</v>
      </c>
      <c r="AI21" s="767"/>
      <c r="AJ21" s="1114"/>
      <c r="AK21" s="1114"/>
      <c r="AL21" s="1114"/>
      <c r="AM21" s="1115"/>
      <c r="AN21" s="842"/>
      <c r="AO21" s="818"/>
      <c r="AP21" s="818"/>
      <c r="AQ21" s="818"/>
      <c r="AR21" s="818"/>
      <c r="AS21" s="818"/>
      <c r="AT21" s="767" t="str">
        <f t="shared" si="5"/>
        <v/>
      </c>
      <c r="AU21" s="767"/>
      <c r="AV21" s="768"/>
      <c r="AW21" s="842"/>
      <c r="AX21" s="818"/>
      <c r="AY21" s="818"/>
      <c r="AZ21" s="818"/>
      <c r="BA21" s="818"/>
      <c r="BB21" s="818"/>
      <c r="BC21" s="381"/>
      <c r="BD21" s="291">
        <f t="shared" si="2"/>
        <v>0</v>
      </c>
      <c r="BE21" s="767" t="str">
        <f>IF(AW21="","",HLOOKUP(AW21,AssociatedRef!$AP$1:$BZ$123,LOOKUP($CD$2,AssociatedRef!$AP$2:$AP$123,AssociatedRef!$AQ$2:$AQ$123),FALSE))</f>
        <v/>
      </c>
      <c r="BF21" s="767"/>
      <c r="BG21" s="381" t="s">
        <v>347</v>
      </c>
      <c r="BH21" s="292" t="str">
        <f t="shared" si="3"/>
        <v/>
      </c>
      <c r="BI21" s="842"/>
      <c r="BJ21" s="818"/>
      <c r="BK21" s="818"/>
      <c r="BL21" s="818"/>
      <c r="BM21" s="381"/>
      <c r="BN21" s="381"/>
      <c r="BO21" s="381"/>
      <c r="BP21" s="818"/>
      <c r="BQ21" s="818"/>
      <c r="BR21" s="818"/>
      <c r="BS21" s="818"/>
      <c r="BT21" s="855"/>
      <c r="BU21" s="422"/>
      <c r="BV21" s="421" t="str">
        <f>IF('House Rules'!$B$10="Potent","Integrity*","Integrity")</f>
        <v>Integrity</v>
      </c>
      <c r="BW21" s="318">
        <f>SUM(DotTracking!$T17:$X17,DotTracking!$AR17:$AV17,DotTracking!$BP17:$BT17)</f>
        <v>0</v>
      </c>
      <c r="BX21" s="421" t="str">
        <f>IF('House Rules'!$B$10="Potent","Marksmanship*","Marksmanship")</f>
        <v>Marksmanship</v>
      </c>
      <c r="BY21" s="318">
        <f>SUM(DotTracking!$T20:$X20,DotTracking!$AR20:$AV20,DotTracking!$BP20:$BT20)</f>
        <v>0</v>
      </c>
      <c r="BZ21" s="283">
        <f t="shared" si="7"/>
        <v>0</v>
      </c>
      <c r="CC21" s="421"/>
      <c r="CD21" s="421"/>
    </row>
    <row r="22" spans="1:82" ht="15" customHeight="1" x14ac:dyDescent="0.25">
      <c r="A22" s="723" t="s">
        <v>15</v>
      </c>
      <c r="B22" s="724"/>
      <c r="C22" s="724"/>
      <c r="D22" s="724"/>
      <c r="E22" s="818" t="s">
        <v>59</v>
      </c>
      <c r="F22" s="818"/>
      <c r="G22" s="818"/>
      <c r="H22" s="818"/>
      <c r="I22" s="767"/>
      <c r="J22" s="767"/>
      <c r="K22" s="767"/>
      <c r="L22" s="768"/>
      <c r="M22" s="723" t="s">
        <v>25</v>
      </c>
      <c r="N22" s="724"/>
      <c r="O22" s="724"/>
      <c r="P22" s="724"/>
      <c r="Q22" s="767" t="str">
        <f>Creation!Q31</f>
        <v/>
      </c>
      <c r="R22" s="767"/>
      <c r="S22" s="767"/>
      <c r="T22" s="767"/>
      <c r="U22" s="767" t="e">
        <f>VLOOKUP(Q22,BX2:BY15,2,FALSE)</f>
        <v>#N/A</v>
      </c>
      <c r="V22" s="767"/>
      <c r="W22" s="767"/>
      <c r="X22" s="768"/>
      <c r="Y22" s="723" t="s">
        <v>53</v>
      </c>
      <c r="Z22" s="724"/>
      <c r="AA22" s="724"/>
      <c r="AB22" s="724"/>
      <c r="AC22" s="767">
        <f>SUM(DotTracking!T27:X27,DotTracking!AR27:AV27,DotTracking!BP27:BT27,DotTracking!ES25:EW25,DotTracking!FB25:FF25,DotTracking!FK25:FO25,DotTracking!FT25:FX25,DotTracking!GC25:GG25)</f>
        <v>0</v>
      </c>
      <c r="AD22" s="767"/>
      <c r="AE22" s="767"/>
      <c r="AF22" s="818"/>
      <c r="AG22" s="818"/>
      <c r="AH22" s="767">
        <f t="shared" si="1"/>
        <v>0</v>
      </c>
      <c r="AI22" s="767"/>
      <c r="AJ22" s="1114"/>
      <c r="AK22" s="1114"/>
      <c r="AL22" s="1114"/>
      <c r="AM22" s="1115"/>
      <c r="AN22" s="842"/>
      <c r="AO22" s="818"/>
      <c r="AP22" s="818"/>
      <c r="AQ22" s="818"/>
      <c r="AR22" s="818"/>
      <c r="AS22" s="818"/>
      <c r="AT22" s="767" t="str">
        <f t="shared" si="5"/>
        <v/>
      </c>
      <c r="AU22" s="767"/>
      <c r="AV22" s="768"/>
      <c r="AW22" s="842"/>
      <c r="AX22" s="818"/>
      <c r="AY22" s="818"/>
      <c r="AZ22" s="818"/>
      <c r="BA22" s="818"/>
      <c r="BB22" s="818"/>
      <c r="BC22" s="381"/>
      <c r="BD22" s="291">
        <f t="shared" si="2"/>
        <v>0</v>
      </c>
      <c r="BE22" s="767" t="str">
        <f>IF(AW22="","",HLOOKUP(AW22,AssociatedRef!$AP$1:$BZ$123,LOOKUP($CD$2,AssociatedRef!$AP$2:$AP$123,AssociatedRef!$AQ$2:$AQ$123),FALSE))</f>
        <v/>
      </c>
      <c r="BF22" s="767"/>
      <c r="BG22" s="381" t="s">
        <v>347</v>
      </c>
      <c r="BH22" s="292" t="str">
        <f t="shared" si="3"/>
        <v/>
      </c>
      <c r="BI22" s="842"/>
      <c r="BJ22" s="818"/>
      <c r="BK22" s="818"/>
      <c r="BL22" s="818"/>
      <c r="BM22" s="381"/>
      <c r="BN22" s="381"/>
      <c r="BO22" s="381"/>
      <c r="BP22" s="818"/>
      <c r="BQ22" s="818"/>
      <c r="BR22" s="818"/>
      <c r="BS22" s="818"/>
      <c r="BT22" s="855"/>
      <c r="BU22" s="422"/>
      <c r="BV22" s="421" t="str">
        <f>IF('House Rules'!$B$10="Potent","Investigation*","Investigation")</f>
        <v>Investigation</v>
      </c>
      <c r="BW22" s="318">
        <f>SUM(DotTracking!$T18:$X18,DotTracking!$AR18:$AV18,DotTracking!$BP18:$BT18)</f>
        <v>0</v>
      </c>
      <c r="BX22" s="421" t="str">
        <f>IF('House Rules'!$B$10="Potent","Medicine*","Medicine")</f>
        <v>Medicine</v>
      </c>
      <c r="BY22" s="318">
        <f>SUM(DotTracking!$T21:$X21,DotTracking!$AR21:$AV21,DotTracking!$BP21:$BT21)</f>
        <v>0</v>
      </c>
      <c r="BZ22" s="283">
        <f t="shared" si="7"/>
        <v>0</v>
      </c>
      <c r="CC22" s="421"/>
      <c r="CD22" s="421"/>
    </row>
    <row r="23" spans="1:82" ht="15" customHeight="1" x14ac:dyDescent="0.25">
      <c r="A23" s="723" t="s">
        <v>32</v>
      </c>
      <c r="B23" s="724"/>
      <c r="C23" s="724"/>
      <c r="D23" s="724"/>
      <c r="E23" s="767" t="str">
        <f>IF(E22="primary",4-SUM(G19:H21),IF(E22="Secondary",3-SUM(G19:H21),IF(E22="Tertiary",2-SUM(G19:H21),"Select Priority")))</f>
        <v>Select Priority</v>
      </c>
      <c r="F23" s="767"/>
      <c r="G23" s="767"/>
      <c r="H23" s="767"/>
      <c r="I23" s="767"/>
      <c r="J23" s="767"/>
      <c r="K23" s="767"/>
      <c r="L23" s="768"/>
      <c r="M23" s="723" t="s">
        <v>26</v>
      </c>
      <c r="N23" s="724"/>
      <c r="O23" s="724"/>
      <c r="P23" s="724"/>
      <c r="Q23" s="767" t="str">
        <f>Creation!Q32</f>
        <v/>
      </c>
      <c r="R23" s="767"/>
      <c r="S23" s="767"/>
      <c r="T23" s="767"/>
      <c r="U23" s="767" t="e">
        <f>VLOOKUP(Q23,BX17:BY28,2,FALSE)</f>
        <v>#N/A</v>
      </c>
      <c r="V23" s="767"/>
      <c r="W23" s="767"/>
      <c r="X23" s="768"/>
      <c r="Y23" s="723" t="s">
        <v>54</v>
      </c>
      <c r="Z23" s="724"/>
      <c r="AA23" s="724"/>
      <c r="AB23" s="724"/>
      <c r="AC23" s="767">
        <f>SUM(DotTracking!T28:X28,DotTracking!AR28:AV28,DotTracking!BP28:BT28,DotTracking!ES26:EW26,DotTracking!FB26:FF26,DotTracking!FK26:FO26,DotTracking!FT26:FX26,DotTracking!GC26:GG26)</f>
        <v>0</v>
      </c>
      <c r="AD23" s="767"/>
      <c r="AE23" s="767"/>
      <c r="AF23" s="818"/>
      <c r="AG23" s="818"/>
      <c r="AH23" s="767">
        <f t="shared" si="1"/>
        <v>0</v>
      </c>
      <c r="AI23" s="767"/>
      <c r="AJ23" s="1114"/>
      <c r="AK23" s="1114"/>
      <c r="AL23" s="1114"/>
      <c r="AM23" s="1115"/>
      <c r="AN23" s="842"/>
      <c r="AO23" s="818"/>
      <c r="AP23" s="818"/>
      <c r="AQ23" s="818"/>
      <c r="AR23" s="818"/>
      <c r="AS23" s="818"/>
      <c r="AT23" s="767" t="str">
        <f t="shared" si="5"/>
        <v/>
      </c>
      <c r="AU23" s="767"/>
      <c r="AV23" s="768"/>
      <c r="AW23" s="842"/>
      <c r="AX23" s="818"/>
      <c r="AY23" s="818"/>
      <c r="AZ23" s="818"/>
      <c r="BA23" s="818"/>
      <c r="BB23" s="818"/>
      <c r="BC23" s="381"/>
      <c r="BD23" s="291">
        <f t="shared" si="2"/>
        <v>0</v>
      </c>
      <c r="BE23" s="767" t="str">
        <f>IF(AW23="","",HLOOKUP(AW23,AssociatedRef!$AP$1:$BZ$123,LOOKUP($CD$2,AssociatedRef!$AP$2:$AP$123,AssociatedRef!$AQ$2:$AQ$123),FALSE))</f>
        <v/>
      </c>
      <c r="BF23" s="767"/>
      <c r="BG23" s="381" t="s">
        <v>347</v>
      </c>
      <c r="BH23" s="292" t="str">
        <f t="shared" si="3"/>
        <v/>
      </c>
      <c r="BI23" s="842"/>
      <c r="BJ23" s="818"/>
      <c r="BK23" s="818"/>
      <c r="BL23" s="818"/>
      <c r="BM23" s="381"/>
      <c r="BN23" s="381"/>
      <c r="BO23" s="381"/>
      <c r="BP23" s="818"/>
      <c r="BQ23" s="818"/>
      <c r="BR23" s="818"/>
      <c r="BS23" s="818"/>
      <c r="BT23" s="855"/>
      <c r="BU23" s="422"/>
      <c r="BV23" s="421" t="str">
        <f>IF('House Rules'!$B$10="Potent","Larceny*","Larceny")</f>
        <v>Larceny</v>
      </c>
      <c r="BW23" s="318">
        <f>SUM(DotTracking!$T19:$X19,DotTracking!$AR19:$AV19,DotTracking!$BP19:$BT19)</f>
        <v>0</v>
      </c>
      <c r="BX23" s="421" t="str">
        <f>IF('House Rules'!$B$10="Potent","Melee*","Melee")</f>
        <v>Melee</v>
      </c>
      <c r="BY23" s="318">
        <f>SUM(DotTracking!$T22:$X22,DotTracking!$AR22:$AV22,DotTracking!$BP22:$BT22)</f>
        <v>0</v>
      </c>
      <c r="BZ23" s="283">
        <f t="shared" si="7"/>
        <v>0</v>
      </c>
      <c r="CC23" s="421"/>
      <c r="CD23" s="421"/>
    </row>
    <row r="24" spans="1:82" ht="15" customHeight="1" thickBot="1" x14ac:dyDescent="0.3">
      <c r="A24" s="1163"/>
      <c r="B24" s="767"/>
      <c r="C24" s="767"/>
      <c r="D24" s="767"/>
      <c r="E24" s="767"/>
      <c r="F24" s="767"/>
      <c r="G24" s="767"/>
      <c r="H24" s="767"/>
      <c r="I24" s="767"/>
      <c r="J24" s="767"/>
      <c r="K24" s="767"/>
      <c r="L24" s="768"/>
      <c r="M24" s="802" t="s">
        <v>27</v>
      </c>
      <c r="N24" s="803"/>
      <c r="O24" s="803"/>
      <c r="P24" s="803"/>
      <c r="Q24" s="804" t="str">
        <f>Creation!Q33</f>
        <v/>
      </c>
      <c r="R24" s="804"/>
      <c r="S24" s="804"/>
      <c r="T24" s="804"/>
      <c r="U24" s="804" t="e">
        <f>VLOOKUP(Q24,BX30:BY38,2,FALSE)</f>
        <v>#N/A</v>
      </c>
      <c r="V24" s="804"/>
      <c r="W24" s="804"/>
      <c r="X24" s="817"/>
      <c r="Y24" s="1200" t="s">
        <v>522</v>
      </c>
      <c r="Z24" s="1201"/>
      <c r="AA24" s="1201"/>
      <c r="AB24" s="1201"/>
      <c r="AC24" s="767">
        <f>SUM(DotTracking!T29:X29,DotTracking!AR29:AV29,DotTracking!BP29:BT29,DotTracking!ES27:EW27,DotTracking!FB27:FF27,DotTracking!FK27:FO27,DotTracking!FT27:FX27,DotTracking!GC27:GG27)</f>
        <v>0</v>
      </c>
      <c r="AD24" s="767"/>
      <c r="AE24" s="767"/>
      <c r="AF24" s="818"/>
      <c r="AG24" s="818"/>
      <c r="AH24" s="767">
        <f t="shared" si="1"/>
        <v>0</v>
      </c>
      <c r="AI24" s="767"/>
      <c r="AJ24" s="818"/>
      <c r="AK24" s="818"/>
      <c r="AL24" s="818"/>
      <c r="AM24" s="855"/>
      <c r="AN24" s="842"/>
      <c r="AO24" s="818"/>
      <c r="AP24" s="818"/>
      <c r="AQ24" s="818"/>
      <c r="AR24" s="818"/>
      <c r="AS24" s="818"/>
      <c r="AT24" s="767" t="str">
        <f t="shared" si="5"/>
        <v/>
      </c>
      <c r="AU24" s="767"/>
      <c r="AV24" s="768"/>
      <c r="AW24" s="842"/>
      <c r="AX24" s="818"/>
      <c r="AY24" s="818"/>
      <c r="AZ24" s="818"/>
      <c r="BA24" s="818"/>
      <c r="BB24" s="818"/>
      <c r="BC24" s="381"/>
      <c r="BD24" s="291">
        <f t="shared" si="2"/>
        <v>0</v>
      </c>
      <c r="BE24" s="767" t="str">
        <f>IF(AW24="","",HLOOKUP(AW24,AssociatedRef!$AP$1:$BZ$123,LOOKUP($CD$2,AssociatedRef!$AP$2:$AP$123,AssociatedRef!$AQ$2:$AQ$123),FALSE))</f>
        <v/>
      </c>
      <c r="BF24" s="767"/>
      <c r="BG24" s="381" t="s">
        <v>347</v>
      </c>
      <c r="BH24" s="292" t="str">
        <f t="shared" si="3"/>
        <v/>
      </c>
      <c r="BI24" s="842"/>
      <c r="BJ24" s="818"/>
      <c r="BK24" s="818"/>
      <c r="BL24" s="818"/>
      <c r="BM24" s="381"/>
      <c r="BN24" s="381"/>
      <c r="BO24" s="381"/>
      <c r="BP24" s="818"/>
      <c r="BQ24" s="818"/>
      <c r="BR24" s="818"/>
      <c r="BS24" s="818"/>
      <c r="BT24" s="855"/>
      <c r="BU24" s="422"/>
      <c r="BV24" s="420" t="s">
        <v>913</v>
      </c>
      <c r="BX24" s="421" t="str">
        <f>IF('House Rules'!$B$10="Potent","Occult*","Occult")</f>
        <v>Occult</v>
      </c>
      <c r="BY24" s="318">
        <f>SUM(DotTracking!$T23:$X23,DotTracking!$AR23:$AV23,DotTracking!$BP23:$BT23)</f>
        <v>0</v>
      </c>
      <c r="BZ24" s="283">
        <f t="shared" si="7"/>
        <v>0</v>
      </c>
      <c r="CB24" s="421"/>
      <c r="CC24" s="421"/>
    </row>
    <row r="25" spans="1:82" ht="15" customHeight="1" x14ac:dyDescent="0.25">
      <c r="A25" s="723" t="s">
        <v>16</v>
      </c>
      <c r="B25" s="724"/>
      <c r="C25" s="724"/>
      <c r="D25" s="724"/>
      <c r="E25" s="767">
        <f>SUM(DotTracking!E9:O9,DotTracking!AC9:AM9,DotTracking!BA9:BK9)</f>
        <v>1</v>
      </c>
      <c r="F25" s="767"/>
      <c r="G25" s="818"/>
      <c r="H25" s="818"/>
      <c r="I25" s="818"/>
      <c r="J25" s="818"/>
      <c r="K25" s="818"/>
      <c r="L25" s="855"/>
      <c r="M25" s="733"/>
      <c r="N25" s="733"/>
      <c r="O25" s="733"/>
      <c r="P25" s="733"/>
      <c r="Q25" s="733"/>
      <c r="R25" s="733"/>
      <c r="S25" s="733"/>
      <c r="T25" s="733"/>
      <c r="U25" s="733"/>
      <c r="V25" s="733"/>
      <c r="W25" s="733"/>
      <c r="X25" s="733"/>
      <c r="Y25" s="1200" t="s">
        <v>522</v>
      </c>
      <c r="Z25" s="1201"/>
      <c r="AA25" s="1201"/>
      <c r="AB25" s="1201"/>
      <c r="AC25" s="767">
        <f>SUM(DotTracking!T30:X30,DotTracking!AR30:AV30,DotTracking!BP30:BT30,DotTracking!ES28:EW28,DotTracking!FB28:FF28,DotTracking!FK28:FO28,DotTracking!FT28:FX28,DotTracking!GC28:GG28)</f>
        <v>0</v>
      </c>
      <c r="AD25" s="767"/>
      <c r="AE25" s="767"/>
      <c r="AF25" s="818"/>
      <c r="AG25" s="818"/>
      <c r="AH25" s="767">
        <f t="shared" si="1"/>
        <v>0</v>
      </c>
      <c r="AI25" s="767"/>
      <c r="AJ25" s="818"/>
      <c r="AK25" s="818"/>
      <c r="AL25" s="818"/>
      <c r="AM25" s="855"/>
      <c r="AN25" s="842"/>
      <c r="AO25" s="818"/>
      <c r="AP25" s="818"/>
      <c r="AQ25" s="818"/>
      <c r="AR25" s="818"/>
      <c r="AS25" s="818"/>
      <c r="AT25" s="767" t="str">
        <f t="shared" si="5"/>
        <v/>
      </c>
      <c r="AU25" s="767"/>
      <c r="AV25" s="768"/>
      <c r="AW25" s="842"/>
      <c r="AX25" s="818"/>
      <c r="AY25" s="818"/>
      <c r="AZ25" s="818"/>
      <c r="BA25" s="818"/>
      <c r="BB25" s="818"/>
      <c r="BC25" s="381"/>
      <c r="BD25" s="291">
        <f t="shared" si="2"/>
        <v>0</v>
      </c>
      <c r="BE25" s="767" t="str">
        <f>IF(AW25="","",HLOOKUP(AW25,AssociatedRef!$AP$1:$BZ$123,LOOKUP($CD$2,AssociatedRef!$AP$2:$AP$123,AssociatedRef!$AQ$2:$AQ$123),FALSE))</f>
        <v/>
      </c>
      <c r="BF25" s="767"/>
      <c r="BG25" s="381" t="s">
        <v>347</v>
      </c>
      <c r="BH25" s="292" t="str">
        <f t="shared" si="3"/>
        <v/>
      </c>
      <c r="BI25" s="842"/>
      <c r="BJ25" s="818"/>
      <c r="BK25" s="818"/>
      <c r="BL25" s="818"/>
      <c r="BM25" s="381"/>
      <c r="BN25" s="381"/>
      <c r="BO25" s="381"/>
      <c r="BP25" s="818"/>
      <c r="BQ25" s="818"/>
      <c r="BR25" s="818"/>
      <c r="BS25" s="818"/>
      <c r="BT25" s="855"/>
      <c r="BU25" s="422"/>
      <c r="BV25" s="421" t="str">
        <f>IF('House Rules'!$B$10="Potent","Awareness*","Awareness")</f>
        <v>Awareness</v>
      </c>
      <c r="BW25" s="318">
        <f>SUM(DotTracking!$T12:$X12,DotTracking!$AR12:$AV13,DotTracking!$BP12:$BT12)</f>
        <v>0</v>
      </c>
      <c r="BX25" s="421" t="str">
        <f>IF('House Rules'!$B$10="Potent","Politics*","Politics")</f>
        <v>Politics</v>
      </c>
      <c r="BY25" s="318">
        <f>SUM(DotTracking!$T24:$X24,DotTracking!$AR24:$AV24,DotTracking!$BP24:$BT24)</f>
        <v>0</v>
      </c>
      <c r="BZ25" s="283">
        <f t="shared" si="7"/>
        <v>0</v>
      </c>
      <c r="CB25" s="421"/>
      <c r="CC25" s="421"/>
    </row>
    <row r="26" spans="1:82" ht="15" customHeight="1" thickBot="1" x14ac:dyDescent="0.3">
      <c r="A26" s="723" t="s">
        <v>17</v>
      </c>
      <c r="B26" s="724"/>
      <c r="C26" s="724"/>
      <c r="D26" s="724"/>
      <c r="E26" s="767">
        <f>SUM(DotTracking!E10:O10,DotTracking!AC10:AM10,DotTracking!BA10:BK10)</f>
        <v>1</v>
      </c>
      <c r="F26" s="767"/>
      <c r="G26" s="818"/>
      <c r="H26" s="818"/>
      <c r="I26" s="818"/>
      <c r="J26" s="818"/>
      <c r="K26" s="818"/>
      <c r="L26" s="855"/>
      <c r="M26" s="733"/>
      <c r="N26" s="733"/>
      <c r="O26" s="733"/>
      <c r="P26" s="733"/>
      <c r="Q26" s="733"/>
      <c r="R26" s="733"/>
      <c r="S26" s="733"/>
      <c r="T26" s="733"/>
      <c r="U26" s="733"/>
      <c r="V26" s="733"/>
      <c r="W26" s="733"/>
      <c r="X26" s="733"/>
      <c r="Y26" s="1200" t="s">
        <v>522</v>
      </c>
      <c r="Z26" s="1201"/>
      <c r="AA26" s="1201"/>
      <c r="AB26" s="1201"/>
      <c r="AC26" s="767">
        <f>SUM(DotTracking!T31:X31,DotTracking!AR31:AV31,DotTracking!BP31:BT31,DotTracking!ES29:EW29,DotTracking!FB29:FF29,DotTracking!FK29:FO29,DotTracking!FT29:FX29,DotTracking!GC29:GG29)</f>
        <v>0</v>
      </c>
      <c r="AD26" s="767"/>
      <c r="AE26" s="767"/>
      <c r="AF26" s="818"/>
      <c r="AG26" s="818"/>
      <c r="AH26" s="767">
        <f t="shared" si="1"/>
        <v>0</v>
      </c>
      <c r="AI26" s="767"/>
      <c r="AJ26" s="818"/>
      <c r="AK26" s="818"/>
      <c r="AL26" s="818"/>
      <c r="AM26" s="855"/>
      <c r="AN26" s="842"/>
      <c r="AO26" s="818"/>
      <c r="AP26" s="818"/>
      <c r="AQ26" s="818"/>
      <c r="AR26" s="818"/>
      <c r="AS26" s="818"/>
      <c r="AT26" s="767" t="str">
        <f t="shared" si="5"/>
        <v/>
      </c>
      <c r="AU26" s="767"/>
      <c r="AV26" s="768"/>
      <c r="AW26" s="842"/>
      <c r="AX26" s="818"/>
      <c r="AY26" s="818"/>
      <c r="AZ26" s="818"/>
      <c r="BA26" s="818"/>
      <c r="BB26" s="818"/>
      <c r="BC26" s="381"/>
      <c r="BD26" s="291">
        <f t="shared" si="2"/>
        <v>0</v>
      </c>
      <c r="BE26" s="767" t="str">
        <f>IF(AW26="","",HLOOKUP(AW26,AssociatedRef!$AP$1:$BZ$123,LOOKUP($CD$2,AssociatedRef!$AP$2:$AP$123,AssociatedRef!$AQ$2:$AQ$123),FALSE))</f>
        <v/>
      </c>
      <c r="BF26" s="767"/>
      <c r="BG26" s="381" t="s">
        <v>347</v>
      </c>
      <c r="BH26" s="292" t="str">
        <f t="shared" si="3"/>
        <v/>
      </c>
      <c r="BI26" s="842"/>
      <c r="BJ26" s="818"/>
      <c r="BK26" s="818"/>
      <c r="BL26" s="818"/>
      <c r="BM26" s="381"/>
      <c r="BN26" s="381"/>
      <c r="BO26" s="381"/>
      <c r="BP26" s="818"/>
      <c r="BQ26" s="818"/>
      <c r="BR26" s="818"/>
      <c r="BS26" s="818"/>
      <c r="BT26" s="855"/>
      <c r="BU26" s="422"/>
      <c r="BV26" s="421" t="str">
        <f>IF('House Rules'!$B$10="Potent","Brawl*","Brawl")</f>
        <v>Brawl</v>
      </c>
      <c r="BW26" s="318">
        <f>SUM(DotTracking!$T13:$X13,DotTracking!$AR13:$AV14,DotTracking!$BP13:$BT13)</f>
        <v>0</v>
      </c>
      <c r="BX26" s="421" t="str">
        <f>IF('House Rules'!$B$10="Potent","Presence*","Presence")</f>
        <v>Presence</v>
      </c>
      <c r="BY26" s="318">
        <f>SUM(DotTracking!$T25:$X25,DotTracking!$AR25:$AV25,DotTracking!$BP25:$BT25)</f>
        <v>0</v>
      </c>
      <c r="BZ26" s="283">
        <f t="shared" si="7"/>
        <v>0</v>
      </c>
      <c r="CB26" s="421"/>
      <c r="CC26" s="421"/>
    </row>
    <row r="27" spans="1:82" ht="15" customHeight="1" x14ac:dyDescent="0.25">
      <c r="A27" s="723" t="s">
        <v>18</v>
      </c>
      <c r="B27" s="724"/>
      <c r="C27" s="724"/>
      <c r="D27" s="724"/>
      <c r="E27" s="767">
        <f>SUM(DotTracking!E11:O11,DotTracking!AC11:AM11,DotTracking!BA11:BK11)</f>
        <v>1</v>
      </c>
      <c r="F27" s="767"/>
      <c r="G27" s="818"/>
      <c r="H27" s="818"/>
      <c r="I27" s="818"/>
      <c r="J27" s="818"/>
      <c r="K27" s="818"/>
      <c r="L27" s="855"/>
      <c r="M27" s="829" t="s">
        <v>31</v>
      </c>
      <c r="N27" s="820"/>
      <c r="O27" s="820"/>
      <c r="P27" s="820"/>
      <c r="Q27" s="820"/>
      <c r="R27" s="820"/>
      <c r="S27" s="820"/>
      <c r="T27" s="821"/>
      <c r="U27" s="829" t="s">
        <v>938</v>
      </c>
      <c r="V27" s="820"/>
      <c r="W27" s="820"/>
      <c r="X27" s="821"/>
      <c r="Y27" s="1200" t="s">
        <v>522</v>
      </c>
      <c r="Z27" s="1201"/>
      <c r="AA27" s="1201"/>
      <c r="AB27" s="1201"/>
      <c r="AC27" s="767">
        <f>SUM(DotTracking!T32:X32,DotTracking!AR32:AV32,DotTracking!BP32:BT32,DotTracking!ES30:EW30,DotTracking!FB30:FF30,DotTracking!FK30:FO30,DotTracking!FT30:FX30,DotTracking!GC30:GG30)</f>
        <v>0</v>
      </c>
      <c r="AD27" s="767"/>
      <c r="AE27" s="767"/>
      <c r="AF27" s="818"/>
      <c r="AG27" s="818"/>
      <c r="AH27" s="767">
        <f t="shared" si="1"/>
        <v>0</v>
      </c>
      <c r="AI27" s="767"/>
      <c r="AJ27" s="818"/>
      <c r="AK27" s="818"/>
      <c r="AL27" s="818"/>
      <c r="AM27" s="855"/>
      <c r="AN27" s="842"/>
      <c r="AO27" s="818"/>
      <c r="AP27" s="818"/>
      <c r="AQ27" s="818"/>
      <c r="AR27" s="818"/>
      <c r="AS27" s="818"/>
      <c r="AT27" s="767" t="str">
        <f t="shared" si="5"/>
        <v/>
      </c>
      <c r="AU27" s="767"/>
      <c r="AV27" s="768"/>
      <c r="AW27" s="842"/>
      <c r="AX27" s="818"/>
      <c r="AY27" s="818"/>
      <c r="AZ27" s="818"/>
      <c r="BA27" s="818"/>
      <c r="BB27" s="818"/>
      <c r="BC27" s="381"/>
      <c r="BD27" s="291">
        <f t="shared" si="2"/>
        <v>0</v>
      </c>
      <c r="BE27" s="767" t="str">
        <f>IF(AW27="","",HLOOKUP(AW27,AssociatedRef!$AP$1:$BZ$123,LOOKUP($CD$2,AssociatedRef!$AP$2:$AP$123,AssociatedRef!$AQ$2:$AQ$123),FALSE))</f>
        <v/>
      </c>
      <c r="BF27" s="767"/>
      <c r="BG27" s="381" t="s">
        <v>347</v>
      </c>
      <c r="BH27" s="292" t="str">
        <f t="shared" si="3"/>
        <v/>
      </c>
      <c r="BI27" s="842"/>
      <c r="BJ27" s="818"/>
      <c r="BK27" s="818"/>
      <c r="BL27" s="818"/>
      <c r="BM27" s="381"/>
      <c r="BN27" s="381"/>
      <c r="BO27" s="381"/>
      <c r="BP27" s="818"/>
      <c r="BQ27" s="818"/>
      <c r="BR27" s="818"/>
      <c r="BS27" s="818"/>
      <c r="BT27" s="855"/>
      <c r="BU27" s="422"/>
      <c r="BV27" s="421" t="str">
        <f>IF('House Rules'!$B$10="Potent","Command*","Command")</f>
        <v>Command</v>
      </c>
      <c r="BW27" s="318">
        <f>SUM(DotTracking!$T14:$X14,DotTracking!$AR14:$AV15,DotTracking!$BP14:$BT14)</f>
        <v>0</v>
      </c>
      <c r="BX27" s="421" t="str">
        <f>IF('House Rules'!$B$10="Potent","Science*","Science")</f>
        <v>Science</v>
      </c>
      <c r="BY27" s="318">
        <f>IF('House Rules'!B10="Standard",SUM(IF(DotTracking!P29="Science",DotTracking!T29:X29,0),IF(DotTracking!AN29="Science",DotTracking!AR29:AV29,0),IF(DotTracking!BL29="Science",DotTracking!BP29:BT29,0),IF(DotTracking!P30="Science",DotTracking!T30:X30,0),IF(DotTracking!AN30="Science",DotTracking!AR30:AV30,0),IF(DotTracking!BL30="Science",DotTracking!BP30:BT30,0),IF(DotTracking!P32="Science",DotTracking!T32:X32,0),IF(DotTracking!AN32="Science",DotTracking!AR32:AV32,0),IF(DotTracking!BL32="Science",DotTracking!BP32:BT32,0),IF(DotTracking!P31="Science",DotTracking!T31:X31,0),IF(DotTracking!AN31="Science",DotTracking!AR31:AV31,0),IF(DotTracking!BL31="Science",DotTracking!BP31:BT31,0),IF(DotTracking!P33="Science",DotTracking!T33:X33,0),IF(DotTracking!AN33="Science",DotTracking!AR33:AV33,0),IF(DotTracking!BL33="Science",DotTracking!BP33:BT33,0),IF(DotTracking!P34="Science",DotTracking!T34:X34,0),IF(DotTracking!AN34="Science",DotTracking!AR34:AV34,0),IF(DotTracking!BL34="Science",DotTracking!BP34:BT34,0),IF(DotTracking!P35="Science",DotTracking!T35:X35,0),IF(DotTracking!AN35="Science",DotTracking!AR35:AV35,0),IF(DotTracking!BL35="Science",DotTracking!BP35:BT35,0),IF(DotTracking!P36="Science",DotTracking!T36:X36,0),IF(DotTracking!AN36="Science",DotTracking!AR36:AV36,0),IF(DotTracking!BL36="Science",DotTracking!BP36:BT36,0),IF(DotTracking!P37="Science",DotTracking!T37:X37,0),IF(DotTracking!AN37="Science",DotTracking!AR37:AV37,0),IF(DotTracking!BL37="Science",DotTracking!BP37:BT37,0),IF(DotTracking!P38="Science",DotTracking!T38:X38,0),IF(DotTracking!AN38="Science",DotTracking!AR38:AV38,0),IF(DotTracking!BL38="Science",DotTracking!BP38:BT38,0),0),SUM(IF(DotTracking!P29="Science*",DotTracking!T29:X29,0),IF(DotTracking!AN29="Science*",DotTracking!AR29:AV29,0),IF(DotTracking!BL29="Science*",DotTracking!BP29:BT29,0),IF(DotTracking!P30="Science*",DotTracking!T30:X30,0),IF(DotTracking!AN30="Science*",DotTracking!AR30:AV30,0),IF(DotTracking!BL30="Science*",DotTracking!BP30:BT30,0),IF(DotTracking!P32="Science*",DotTracking!T32:X32,0),IF(DotTracking!AN32="Science*",DotTracking!AR32:AV32,0),IF(DotTracking!BL32="Science*",DotTracking!BP32:BT32,0),IF(DotTracking!P31="Science*",DotTracking!T31:X31,0),IF(DotTracking!AN31="Science*",DotTracking!AR31:AV31,0),IF(DotTracking!BL31="Science*",DotTracking!BP31:BT31,0),IF(DotTracking!P33="Science*",DotTracking!T33:X33,0),IF(DotTracking!AN33="Science*",DotTracking!AR33:AV33,0),IF(DotTracking!BL33="Science*",DotTracking!BP33:BT33,0),IF(DotTracking!P34="Science*",DotTracking!T34:X34,0),IF(DotTracking!AN34="Science*",DotTracking!AR34:AV34,0),IF(DotTracking!BL34="Science*",DotTracking!BP34:BT34,0),IF(DotTracking!P35="Science*",DotTracking!T35:X35,0),IF(DotTracking!AN35="Science*",DotTracking!AR35:AV35,0),IF(DotTracking!BL35="Science*",DotTracking!BP35:BT35,0),IF(DotTracking!P36="Science*",DotTracking!T36:X36,0),IF(DotTracking!AN36="Science*",DotTracking!AR36:AV36,0),IF(DotTracking!BL36="Science*",DotTracking!BP36:BT36,0),IF(DotTracking!P37="Science*",DotTracking!T37:X37,0),IF(DotTracking!AN37="Science*",DotTracking!AR37:AV37,0),IF(DotTracking!BL37="Science*",DotTracking!BP37:BT37,0),IF(DotTracking!P38="Science*",DotTracking!T38:X38,0),IF(DotTracking!AN38="Science*",DotTracking!AR38:AV38,0),IF(DotTracking!BL38="Science*",DotTracking!BP38:BT38,0),0))</f>
        <v>0</v>
      </c>
      <c r="BZ27" s="283">
        <f t="shared" si="7"/>
        <v>0</v>
      </c>
      <c r="CB27" s="421"/>
      <c r="CC27" s="421"/>
    </row>
    <row r="28" spans="1:82" ht="15" customHeight="1" thickBot="1" x14ac:dyDescent="0.3">
      <c r="A28" s="723" t="s">
        <v>15</v>
      </c>
      <c r="B28" s="724"/>
      <c r="C28" s="724"/>
      <c r="D28" s="724"/>
      <c r="E28" s="818" t="s">
        <v>59</v>
      </c>
      <c r="F28" s="818"/>
      <c r="G28" s="818"/>
      <c r="H28" s="818"/>
      <c r="I28" s="767"/>
      <c r="J28" s="767"/>
      <c r="K28" s="767"/>
      <c r="L28" s="768"/>
      <c r="M28" s="890"/>
      <c r="N28" s="823"/>
      <c r="O28" s="823"/>
      <c r="P28" s="823"/>
      <c r="Q28" s="823"/>
      <c r="R28" s="823"/>
      <c r="S28" s="823"/>
      <c r="T28" s="824"/>
      <c r="U28" s="890"/>
      <c r="V28" s="823"/>
      <c r="W28" s="823"/>
      <c r="X28" s="824"/>
      <c r="Y28" s="1200" t="s">
        <v>522</v>
      </c>
      <c r="Z28" s="1201"/>
      <c r="AA28" s="1201"/>
      <c r="AB28" s="1201"/>
      <c r="AC28" s="767">
        <f>SUM(DotTracking!T33:X33,DotTracking!AR33:AV33,DotTracking!BP33:BT33,DotTracking!ES31:EW31,DotTracking!FB31:FF31,DotTracking!FK31:FO31,DotTracking!FT31:FX31,DotTracking!GC31:GG31)</f>
        <v>0</v>
      </c>
      <c r="AD28" s="767"/>
      <c r="AE28" s="767"/>
      <c r="AF28" s="818"/>
      <c r="AG28" s="818"/>
      <c r="AH28" s="767">
        <f t="shared" si="1"/>
        <v>0</v>
      </c>
      <c r="AI28" s="767"/>
      <c r="AJ28" s="818"/>
      <c r="AK28" s="818"/>
      <c r="AL28" s="818"/>
      <c r="AM28" s="855"/>
      <c r="AN28" s="842"/>
      <c r="AO28" s="818"/>
      <c r="AP28" s="818"/>
      <c r="AQ28" s="818"/>
      <c r="AR28" s="818"/>
      <c r="AS28" s="818"/>
      <c r="AT28" s="767" t="str">
        <f t="shared" si="5"/>
        <v/>
      </c>
      <c r="AU28" s="767"/>
      <c r="AV28" s="768"/>
      <c r="AW28" s="842"/>
      <c r="AX28" s="818"/>
      <c r="AY28" s="818"/>
      <c r="AZ28" s="818"/>
      <c r="BA28" s="818"/>
      <c r="BB28" s="818"/>
      <c r="BC28" s="381"/>
      <c r="BD28" s="291">
        <f t="shared" si="2"/>
        <v>0</v>
      </c>
      <c r="BE28" s="767" t="str">
        <f>IF(AW28="","",HLOOKUP(AW28,AssociatedRef!$AP$1:$BZ$123,LOOKUP($CD$2,AssociatedRef!$AP$2:$AP$123,AssociatedRef!$AQ$2:$AQ$123),FALSE))</f>
        <v/>
      </c>
      <c r="BF28" s="767"/>
      <c r="BG28" s="381" t="s">
        <v>347</v>
      </c>
      <c r="BH28" s="292" t="str">
        <f t="shared" si="3"/>
        <v/>
      </c>
      <c r="BI28" s="842"/>
      <c r="BJ28" s="818"/>
      <c r="BK28" s="818"/>
      <c r="BL28" s="818"/>
      <c r="BM28" s="423"/>
      <c r="BN28" s="381"/>
      <c r="BO28" s="381"/>
      <c r="BP28" s="1202"/>
      <c r="BQ28" s="1202"/>
      <c r="BR28" s="1202"/>
      <c r="BS28" s="1202"/>
      <c r="BT28" s="1203"/>
      <c r="BU28" s="422"/>
      <c r="BV28" s="421" t="str">
        <f>IF('House Rules'!$B$10="Potent","Control*","Control")</f>
        <v>Control</v>
      </c>
      <c r="BW28" s="318">
        <f>IF('House Rules'!B10="Standard",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0),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0))</f>
        <v>0</v>
      </c>
      <c r="BX28" s="421" t="str">
        <f>IF('House Rules'!$B$10="Potent","Stealth*","Stealth")</f>
        <v>Stealth</v>
      </c>
      <c r="BY28" s="318">
        <f>SUM(DotTracking!$T26:$X26,DotTracking!$AR26:$AV26,DotTracking!$BP26:$BT26)</f>
        <v>0</v>
      </c>
      <c r="BZ28" s="283">
        <f t="shared" si="7"/>
        <v>0</v>
      </c>
      <c r="CB28" s="421"/>
      <c r="CC28" s="421"/>
    </row>
    <row r="29" spans="1:82" ht="15" customHeight="1" x14ac:dyDescent="0.25">
      <c r="A29" s="723" t="s">
        <v>32</v>
      </c>
      <c r="B29" s="724"/>
      <c r="C29" s="724"/>
      <c r="D29" s="724"/>
      <c r="E29" s="767" t="str">
        <f>IF(E28="primary",4-SUM(G25:H27),IF(E28="Secondary",3-SUM(G25:H27),IF(E28="Tertiary",2-SUM(G25:H27),"Select Priority")))</f>
        <v>Select Priority</v>
      </c>
      <c r="F29" s="767"/>
      <c r="G29" s="767"/>
      <c r="H29" s="767"/>
      <c r="I29" s="767"/>
      <c r="J29" s="767"/>
      <c r="K29" s="767"/>
      <c r="L29" s="768"/>
      <c r="M29" s="1187"/>
      <c r="N29" s="765"/>
      <c r="O29" s="765"/>
      <c r="P29" s="765"/>
      <c r="Q29" s="722" t="s">
        <v>10</v>
      </c>
      <c r="R29" s="722"/>
      <c r="S29" s="722" t="s">
        <v>11</v>
      </c>
      <c r="T29" s="833"/>
      <c r="U29" s="721" t="s">
        <v>65</v>
      </c>
      <c r="V29" s="722"/>
      <c r="W29" s="765">
        <f>SUM(DotTracking!F26:O26,DotTracking!AD26:AM26,DotTracking!BB26:BK26)</f>
        <v>5</v>
      </c>
      <c r="X29" s="766"/>
      <c r="Y29" s="1200" t="s">
        <v>522</v>
      </c>
      <c r="Z29" s="1201"/>
      <c r="AA29" s="1201"/>
      <c r="AB29" s="1201"/>
      <c r="AC29" s="767">
        <f>SUM(DotTracking!T34:X34,DotTracking!AR34:AV34,DotTracking!BP34:BT34,DotTracking!ES32:EW32,DotTracking!FB32:FF32,DotTracking!FK32:FO32,DotTracking!FT32:FX32,DotTracking!GC32:GG32)</f>
        <v>0</v>
      </c>
      <c r="AD29" s="767"/>
      <c r="AE29" s="767"/>
      <c r="AF29" s="818"/>
      <c r="AG29" s="818"/>
      <c r="AH29" s="767">
        <f t="shared" si="1"/>
        <v>0</v>
      </c>
      <c r="AI29" s="767"/>
      <c r="AJ29" s="818"/>
      <c r="AK29" s="818"/>
      <c r="AL29" s="818"/>
      <c r="AM29" s="855"/>
      <c r="AN29" s="842"/>
      <c r="AO29" s="818"/>
      <c r="AP29" s="818"/>
      <c r="AQ29" s="818"/>
      <c r="AR29" s="818"/>
      <c r="AS29" s="818"/>
      <c r="AT29" s="767" t="str">
        <f t="shared" si="5"/>
        <v/>
      </c>
      <c r="AU29" s="767"/>
      <c r="AV29" s="768"/>
      <c r="AW29" s="842"/>
      <c r="AX29" s="818"/>
      <c r="AY29" s="818"/>
      <c r="AZ29" s="818"/>
      <c r="BA29" s="818"/>
      <c r="BB29" s="818"/>
      <c r="BC29" s="381"/>
      <c r="BD29" s="291">
        <f t="shared" si="2"/>
        <v>0</v>
      </c>
      <c r="BE29" s="767" t="str">
        <f>IF(AW29="","",HLOOKUP(AW29,AssociatedRef!$AP$1:$BZ$123,LOOKUP($CD$2,AssociatedRef!$AP$2:$AP$123,AssociatedRef!$AQ$2:$AQ$123),FALSE))</f>
        <v/>
      </c>
      <c r="BF29" s="767"/>
      <c r="BG29" s="381" t="s">
        <v>347</v>
      </c>
      <c r="BH29" s="292" t="str">
        <f t="shared" si="3"/>
        <v/>
      </c>
      <c r="BI29" s="829" t="s">
        <v>148</v>
      </c>
      <c r="BJ29" s="820"/>
      <c r="BK29" s="820"/>
      <c r="BL29" s="820"/>
      <c r="BM29" s="820"/>
      <c r="BN29" s="820"/>
      <c r="BO29" s="820"/>
      <c r="BP29" s="820"/>
      <c r="BQ29" s="820"/>
      <c r="BR29" s="820"/>
      <c r="BS29" s="820"/>
      <c r="BT29" s="821"/>
      <c r="BU29" s="418"/>
      <c r="BV29" s="421" t="str">
        <f>IF('House Rules'!$B$10="Potent","Craft*","Craft")</f>
        <v>Craft</v>
      </c>
      <c r="BW29" s="318">
        <f>IF('House Rules'!B10="Standard",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0))</f>
        <v>0</v>
      </c>
      <c r="BX29" s="420" t="s">
        <v>916</v>
      </c>
      <c r="BY29" s="318"/>
      <c r="BZ29" s="283">
        <f t="shared" si="7"/>
        <v>0</v>
      </c>
      <c r="CB29" s="421"/>
      <c r="CC29" s="421"/>
    </row>
    <row r="30" spans="1:82" ht="15" customHeight="1" thickBot="1" x14ac:dyDescent="0.3">
      <c r="A30" s="1163"/>
      <c r="B30" s="767"/>
      <c r="C30" s="767"/>
      <c r="D30" s="767"/>
      <c r="E30" s="767"/>
      <c r="F30" s="767"/>
      <c r="G30" s="767"/>
      <c r="H30" s="767"/>
      <c r="I30" s="767"/>
      <c r="J30" s="767"/>
      <c r="K30" s="767"/>
      <c r="L30" s="768"/>
      <c r="M30" s="723" t="str">
        <f>Creation!Q19</f>
        <v/>
      </c>
      <c r="N30" s="724"/>
      <c r="O30" s="724"/>
      <c r="P30" s="724"/>
      <c r="Q30" s="767">
        <f>SUM(DotTracking!T4:X4,DotTracking!AR4:AV4,DotTracking!BP4:BT4)</f>
        <v>1</v>
      </c>
      <c r="R30" s="767"/>
      <c r="S30" s="818"/>
      <c r="T30" s="855"/>
      <c r="U30" s="802" t="s">
        <v>11</v>
      </c>
      <c r="V30" s="803"/>
      <c r="W30" s="845"/>
      <c r="X30" s="856"/>
      <c r="Y30" s="1200" t="s">
        <v>522</v>
      </c>
      <c r="Z30" s="1201"/>
      <c r="AA30" s="1201"/>
      <c r="AB30" s="1201"/>
      <c r="AC30" s="767">
        <f>SUM(DotTracking!T35:X35,DotTracking!AR35:AV35,DotTracking!BP35:BT35,DotTracking!ES33:EW33,DotTracking!FB33:FF33,DotTracking!FK33:FO33,DotTracking!FT33:FX33,DotTracking!GC33:GG33)</f>
        <v>0</v>
      </c>
      <c r="AD30" s="767"/>
      <c r="AE30" s="767"/>
      <c r="AF30" s="818"/>
      <c r="AG30" s="818"/>
      <c r="AH30" s="767">
        <f t="shared" si="1"/>
        <v>0</v>
      </c>
      <c r="AI30" s="767"/>
      <c r="AJ30" s="818"/>
      <c r="AK30" s="818"/>
      <c r="AL30" s="818"/>
      <c r="AM30" s="855"/>
      <c r="AN30" s="842"/>
      <c r="AO30" s="818"/>
      <c r="AP30" s="818"/>
      <c r="AQ30" s="818"/>
      <c r="AR30" s="818"/>
      <c r="AS30" s="818"/>
      <c r="AT30" s="767" t="str">
        <f t="shared" si="5"/>
        <v/>
      </c>
      <c r="AU30" s="767"/>
      <c r="AV30" s="768"/>
      <c r="AW30" s="842"/>
      <c r="AX30" s="818"/>
      <c r="AY30" s="818"/>
      <c r="AZ30" s="818"/>
      <c r="BA30" s="818"/>
      <c r="BB30" s="818"/>
      <c r="BC30" s="381"/>
      <c r="BD30" s="291">
        <f t="shared" si="2"/>
        <v>0</v>
      </c>
      <c r="BE30" s="767" t="str">
        <f>IF(AW30="","",HLOOKUP(AW30,AssociatedRef!$AP$1:$BZ$123,LOOKUP($CD$2,AssociatedRef!$AP$2:$AP$123,AssociatedRef!$AQ$2:$AQ$123),FALSE))</f>
        <v/>
      </c>
      <c r="BF30" s="767"/>
      <c r="BG30" s="381" t="s">
        <v>347</v>
      </c>
      <c r="BH30" s="292" t="str">
        <f t="shared" si="3"/>
        <v/>
      </c>
      <c r="BI30" s="890"/>
      <c r="BJ30" s="823"/>
      <c r="BK30" s="823"/>
      <c r="BL30" s="823"/>
      <c r="BM30" s="823"/>
      <c r="BN30" s="823"/>
      <c r="BO30" s="823"/>
      <c r="BP30" s="823"/>
      <c r="BQ30" s="823"/>
      <c r="BR30" s="823"/>
      <c r="BS30" s="823"/>
      <c r="BT30" s="824"/>
      <c r="BU30" s="418"/>
      <c r="BV30" s="421" t="str">
        <f>IF('House Rules'!$B$10="Potent","Empathy*","Empathy")</f>
        <v>Empathy</v>
      </c>
      <c r="BW30" s="318">
        <f>SUM(DotTracking!$T15:$X15,DotTracking!$AR15:$AV15,DotTracking!$BP15:$BT15)</f>
        <v>0</v>
      </c>
      <c r="BX30" s="421" t="str">
        <f>IF('House Rules'!$B$10="Potent","Integrity*","Integrity")</f>
        <v>Integrity</v>
      </c>
      <c r="BY30" s="318">
        <f>SUM(DotTracking!$T17:$X17,DotTracking!$AR17:$AV17,DotTracking!$BP17:$BT17)</f>
        <v>0</v>
      </c>
      <c r="BZ30" s="283">
        <f t="shared" si="7"/>
        <v>0</v>
      </c>
      <c r="CB30" s="421"/>
      <c r="CC30" s="421"/>
    </row>
    <row r="31" spans="1:82" ht="15" customHeight="1" x14ac:dyDescent="0.25">
      <c r="A31" s="723" t="s">
        <v>19</v>
      </c>
      <c r="B31" s="724"/>
      <c r="C31" s="724"/>
      <c r="D31" s="724"/>
      <c r="E31" s="767">
        <f>SUM(DotTracking!E12:O12,DotTracking!AC12:AM12,DotTracking!BA12:BK12)</f>
        <v>1</v>
      </c>
      <c r="F31" s="767"/>
      <c r="G31" s="818"/>
      <c r="H31" s="818"/>
      <c r="I31" s="818"/>
      <c r="J31" s="818"/>
      <c r="K31" s="818"/>
      <c r="L31" s="855"/>
      <c r="M31" s="723" t="str">
        <f>Creation!Q20</f>
        <v/>
      </c>
      <c r="N31" s="724"/>
      <c r="O31" s="724"/>
      <c r="P31" s="724"/>
      <c r="Q31" s="767">
        <f>SUM(DotTracking!T5:X5,DotTracking!AR5:AV5,DotTracking!BP5:BT5)</f>
        <v>1</v>
      </c>
      <c r="R31" s="767"/>
      <c r="S31" s="818"/>
      <c r="T31" s="855"/>
      <c r="U31" s="733"/>
      <c r="V31" s="733"/>
      <c r="W31" s="733"/>
      <c r="X31" s="733"/>
      <c r="Y31" s="1200" t="s">
        <v>522</v>
      </c>
      <c r="Z31" s="1201"/>
      <c r="AA31" s="1201"/>
      <c r="AB31" s="1201"/>
      <c r="AC31" s="767">
        <f>SUM(DotTracking!T36:X36,DotTracking!AR36:AV36,DotTracking!BP36:BT36,DotTracking!ES34:EW34,DotTracking!FB34:FF34,DotTracking!FK34:FO34,DotTracking!FT34:FX34,DotTracking!GC34:GG34)</f>
        <v>0</v>
      </c>
      <c r="AD31" s="767"/>
      <c r="AE31" s="767"/>
      <c r="AF31" s="818"/>
      <c r="AG31" s="818"/>
      <c r="AH31" s="767">
        <f t="shared" si="1"/>
        <v>0</v>
      </c>
      <c r="AI31" s="767"/>
      <c r="AJ31" s="818"/>
      <c r="AK31" s="818"/>
      <c r="AL31" s="818"/>
      <c r="AM31" s="855"/>
      <c r="AN31" s="842"/>
      <c r="AO31" s="818"/>
      <c r="AP31" s="818"/>
      <c r="AQ31" s="818"/>
      <c r="AR31" s="818"/>
      <c r="AS31" s="818"/>
      <c r="AT31" s="767" t="str">
        <f t="shared" si="5"/>
        <v/>
      </c>
      <c r="AU31" s="767"/>
      <c r="AV31" s="768"/>
      <c r="AW31" s="842"/>
      <c r="AX31" s="818"/>
      <c r="AY31" s="818"/>
      <c r="AZ31" s="818"/>
      <c r="BA31" s="818"/>
      <c r="BB31" s="818"/>
      <c r="BC31" s="381"/>
      <c r="BD31" s="291">
        <f t="shared" si="2"/>
        <v>0</v>
      </c>
      <c r="BE31" s="767" t="str">
        <f>IF(AW31="","",HLOOKUP(AW31,AssociatedRef!$AP$1:$BZ$123,LOOKUP($CD$2,AssociatedRef!$AP$2:$AP$123,AssociatedRef!$AQ$2:$AQ$123),FALSE))</f>
        <v/>
      </c>
      <c r="BF31" s="767"/>
      <c r="BG31" s="381" t="s">
        <v>347</v>
      </c>
      <c r="BH31" s="292" t="str">
        <f t="shared" si="3"/>
        <v/>
      </c>
      <c r="BI31" s="721" t="s">
        <v>75</v>
      </c>
      <c r="BJ31" s="722"/>
      <c r="BK31" s="722"/>
      <c r="BL31" s="722"/>
      <c r="BM31" s="298" t="s">
        <v>76</v>
      </c>
      <c r="BN31" s="722" t="s">
        <v>11</v>
      </c>
      <c r="BO31" s="722"/>
      <c r="BP31" s="722" t="s">
        <v>77</v>
      </c>
      <c r="BQ31" s="722"/>
      <c r="BR31" s="722"/>
      <c r="BS31" s="722"/>
      <c r="BT31" s="833"/>
      <c r="BU31" s="314"/>
      <c r="BV31" s="421" t="str">
        <f>IF('House Rules'!$B$10="Potent","Fortitude*","Fortitude")</f>
        <v>Fortitude</v>
      </c>
      <c r="BW31" s="318">
        <f>SUM(DotTracking!$T16:$X16,DotTracking!$AR16:$AV16,DotTracking!$BP16:$BT16)</f>
        <v>0</v>
      </c>
      <c r="BX31" s="421" t="str">
        <f>IF('House Rules'!$B$10="Potent","Melee*","Melee")</f>
        <v>Melee</v>
      </c>
      <c r="BY31" s="318">
        <f>SUM(DotTracking!$T22:$X22,DotTracking!$AR22:$AV22,DotTracking!$BP22:$BT22)</f>
        <v>0</v>
      </c>
      <c r="BZ31" s="283">
        <f t="shared" si="7"/>
        <v>0</v>
      </c>
      <c r="CB31" s="421"/>
      <c r="CC31" s="421"/>
    </row>
    <row r="32" spans="1:82" ht="15" customHeight="1" x14ac:dyDescent="0.25">
      <c r="A32" s="723" t="s">
        <v>20</v>
      </c>
      <c r="B32" s="724"/>
      <c r="C32" s="724"/>
      <c r="D32" s="724"/>
      <c r="E32" s="767">
        <f>SUM(DotTracking!E13:O13,DotTracking!AC13:AM13,DotTracking!BA13:BK13)</f>
        <v>1</v>
      </c>
      <c r="F32" s="767"/>
      <c r="G32" s="818"/>
      <c r="H32" s="818"/>
      <c r="I32" s="818"/>
      <c r="J32" s="818"/>
      <c r="K32" s="818"/>
      <c r="L32" s="855"/>
      <c r="M32" s="723" t="str">
        <f>Creation!Q21</f>
        <v/>
      </c>
      <c r="N32" s="724"/>
      <c r="O32" s="724"/>
      <c r="P32" s="724"/>
      <c r="Q32" s="767">
        <f>SUM(DotTracking!T6:X6,DotTracking!AR6:AV6,DotTracking!BP6:BT6)</f>
        <v>1</v>
      </c>
      <c r="R32" s="767"/>
      <c r="S32" s="818"/>
      <c r="T32" s="855"/>
      <c r="U32" s="733"/>
      <c r="V32" s="733"/>
      <c r="W32" s="733"/>
      <c r="X32" s="733"/>
      <c r="Y32" s="1200" t="s">
        <v>522</v>
      </c>
      <c r="Z32" s="1201"/>
      <c r="AA32" s="1201"/>
      <c r="AB32" s="1201"/>
      <c r="AC32" s="767">
        <f>SUM(DotTracking!T37:X37,DotTracking!AR37:AV37,DotTracking!BP37:BT37,DotTracking!ES35:EW35,DotTracking!FB35:FF35,DotTracking!FK35:FO35,DotTracking!FT35:FX35,DotTracking!GC35:GG35)</f>
        <v>0</v>
      </c>
      <c r="AD32" s="767"/>
      <c r="AE32" s="767"/>
      <c r="AF32" s="818"/>
      <c r="AG32" s="818"/>
      <c r="AH32" s="767">
        <f t="shared" si="1"/>
        <v>0</v>
      </c>
      <c r="AI32" s="767"/>
      <c r="AJ32" s="818"/>
      <c r="AK32" s="818"/>
      <c r="AL32" s="818"/>
      <c r="AM32" s="855"/>
      <c r="AN32" s="842"/>
      <c r="AO32" s="818"/>
      <c r="AP32" s="818"/>
      <c r="AQ32" s="818"/>
      <c r="AR32" s="818"/>
      <c r="AS32" s="818"/>
      <c r="AT32" s="767" t="str">
        <f t="shared" si="5"/>
        <v/>
      </c>
      <c r="AU32" s="767"/>
      <c r="AV32" s="768"/>
      <c r="AW32" s="842"/>
      <c r="AX32" s="818"/>
      <c r="AY32" s="818"/>
      <c r="AZ32" s="818"/>
      <c r="BA32" s="818"/>
      <c r="BB32" s="818"/>
      <c r="BC32" s="381"/>
      <c r="BD32" s="291">
        <f t="shared" si="2"/>
        <v>0</v>
      </c>
      <c r="BE32" s="767" t="str">
        <f>IF(AW32="","",HLOOKUP(AW32,AssociatedRef!$AP$1:$BZ$123,LOOKUP($CD$2,AssociatedRef!$AP$2:$AP$123,AssociatedRef!$AQ$2:$AQ$123),FALSE))</f>
        <v/>
      </c>
      <c r="BF32" s="767"/>
      <c r="BG32" s="381" t="s">
        <v>347</v>
      </c>
      <c r="BH32" s="292" t="str">
        <f t="shared" si="3"/>
        <v/>
      </c>
      <c r="BI32" s="842"/>
      <c r="BJ32" s="818"/>
      <c r="BK32" s="818"/>
      <c r="BL32" s="818"/>
      <c r="BM32" s="381"/>
      <c r="BN32" s="381"/>
      <c r="BO32" s="381"/>
      <c r="BP32" s="818"/>
      <c r="BQ32" s="818"/>
      <c r="BR32" s="818"/>
      <c r="BS32" s="818"/>
      <c r="BT32" s="855"/>
      <c r="BU32" s="422"/>
      <c r="BV32" s="421" t="str">
        <f>IF('House Rules'!$B$10="Potent","Integrity*","Integrity")</f>
        <v>Integrity</v>
      </c>
      <c r="BW32" s="318">
        <f>SUM(DotTracking!$T17:$X17,DotTracking!$AR17:$AV17,DotTracking!$BP17:$BT17)</f>
        <v>0</v>
      </c>
      <c r="BX32" s="421" t="str">
        <f>IF('House Rules'!$B$10="Potent","Occult*","Occult")</f>
        <v>Occult</v>
      </c>
      <c r="BY32" s="318">
        <f>SUM(DotTracking!$T23:$X23,DotTracking!$AR23:$AV23,DotTracking!$BP23:$BT23)</f>
        <v>0</v>
      </c>
      <c r="BZ32" s="283">
        <f t="shared" si="7"/>
        <v>0</v>
      </c>
      <c r="CB32" s="421"/>
      <c r="CC32" s="421"/>
    </row>
    <row r="33" spans="1:81" ht="15" customHeight="1" thickBot="1" x14ac:dyDescent="0.3">
      <c r="A33" s="723" t="s">
        <v>21</v>
      </c>
      <c r="B33" s="724"/>
      <c r="C33" s="724"/>
      <c r="D33" s="724"/>
      <c r="E33" s="767">
        <f>SUM(DotTracking!E14:O14,DotTracking!AC14:AM14,DotTracking!BA14:BK14)</f>
        <v>1</v>
      </c>
      <c r="F33" s="767"/>
      <c r="G33" s="946"/>
      <c r="H33" s="843"/>
      <c r="I33" s="818"/>
      <c r="J33" s="818"/>
      <c r="K33" s="818"/>
      <c r="L33" s="855"/>
      <c r="M33" s="802" t="str">
        <f>Creation!Q22</f>
        <v/>
      </c>
      <c r="N33" s="803"/>
      <c r="O33" s="803"/>
      <c r="P33" s="803"/>
      <c r="Q33" s="804">
        <f>SUM(DotTracking!T7:X7,DotTracking!AR7:AV7,DotTracking!BP7:BT7)</f>
        <v>1</v>
      </c>
      <c r="R33" s="804"/>
      <c r="S33" s="845"/>
      <c r="T33" s="856"/>
      <c r="U33" s="733"/>
      <c r="V33" s="733"/>
      <c r="W33" s="733"/>
      <c r="X33" s="733"/>
      <c r="Y33" s="1198" t="s">
        <v>522</v>
      </c>
      <c r="Z33" s="1199"/>
      <c r="AA33" s="1199"/>
      <c r="AB33" s="1199"/>
      <c r="AC33" s="767">
        <f>SUM(DotTracking!T38:X38,DotTracking!AR38:AV38,DotTracking!BP38:BT38,DotTracking!ES36:EW36,DotTracking!FB36:FF36,DotTracking!FK36:FO36,DotTracking!FT36:FX36,DotTracking!GC36:GG36)</f>
        <v>0</v>
      </c>
      <c r="AD33" s="767"/>
      <c r="AE33" s="767"/>
      <c r="AF33" s="818"/>
      <c r="AG33" s="818"/>
      <c r="AH33" s="804">
        <f t="shared" si="1"/>
        <v>0</v>
      </c>
      <c r="AI33" s="804"/>
      <c r="AJ33" s="845"/>
      <c r="AK33" s="845"/>
      <c r="AL33" s="845"/>
      <c r="AM33" s="856"/>
      <c r="AN33" s="1194"/>
      <c r="AO33" s="845"/>
      <c r="AP33" s="845"/>
      <c r="AQ33" s="845"/>
      <c r="AR33" s="845"/>
      <c r="AS33" s="845"/>
      <c r="AT33" s="804" t="str">
        <f t="shared" si="5"/>
        <v/>
      </c>
      <c r="AU33" s="804"/>
      <c r="AV33" s="817"/>
      <c r="AW33" s="842"/>
      <c r="AX33" s="818"/>
      <c r="AY33" s="818"/>
      <c r="AZ33" s="818"/>
      <c r="BA33" s="818"/>
      <c r="BB33" s="818"/>
      <c r="BC33" s="381"/>
      <c r="BD33" s="291">
        <f t="shared" si="2"/>
        <v>0</v>
      </c>
      <c r="BE33" s="767" t="str">
        <f>IF(AW33="","",HLOOKUP(AW33,AssociatedRef!$AP$1:$BZ$123,LOOKUP($CD$2,AssociatedRef!$AP$2:$AP$123,AssociatedRef!$AQ$2:$AQ$123),FALSE))</f>
        <v/>
      </c>
      <c r="BF33" s="767"/>
      <c r="BG33" s="381" t="s">
        <v>347</v>
      </c>
      <c r="BH33" s="292" t="str">
        <f t="shared" si="3"/>
        <v/>
      </c>
      <c r="BI33" s="842"/>
      <c r="BJ33" s="818"/>
      <c r="BK33" s="818"/>
      <c r="BL33" s="818"/>
      <c r="BM33" s="381"/>
      <c r="BN33" s="381"/>
      <c r="BO33" s="381"/>
      <c r="BP33" s="818"/>
      <c r="BQ33" s="818"/>
      <c r="BR33" s="818"/>
      <c r="BS33" s="818"/>
      <c r="BT33" s="855"/>
      <c r="BU33" s="422"/>
      <c r="BV33" s="421" t="str">
        <f>IF('House Rules'!$B$10="Potent","Investigation*","Investigation")</f>
        <v>Investigation</v>
      </c>
      <c r="BW33" s="318">
        <f>SUM(DotTracking!$T18:$X18,DotTracking!$AR18:$AV18,DotTracking!$BP18:$BT18)</f>
        <v>0</v>
      </c>
      <c r="BX33" s="421" t="str">
        <f>IF('House Rules'!$B$10="Potent","Politics*","Politics")</f>
        <v>Politics</v>
      </c>
      <c r="BY33" s="318">
        <f>SUM(DotTracking!$T24:$X24,DotTracking!$AR24:$AV24,DotTracking!$BP24:$BT24)</f>
        <v>0</v>
      </c>
      <c r="BZ33" s="283">
        <f t="shared" si="7"/>
        <v>0</v>
      </c>
      <c r="CB33" s="421"/>
      <c r="CC33" s="421"/>
    </row>
    <row r="34" spans="1:81" ht="15" customHeight="1" x14ac:dyDescent="0.25">
      <c r="A34" s="723" t="s">
        <v>15</v>
      </c>
      <c r="B34" s="724"/>
      <c r="C34" s="724"/>
      <c r="D34" s="724"/>
      <c r="E34" s="818" t="s">
        <v>59</v>
      </c>
      <c r="F34" s="818"/>
      <c r="G34" s="818"/>
      <c r="H34" s="818"/>
      <c r="I34" s="767"/>
      <c r="J34" s="767"/>
      <c r="K34" s="767"/>
      <c r="L34" s="768"/>
      <c r="M34" s="733"/>
      <c r="N34" s="733"/>
      <c r="O34" s="733"/>
      <c r="P34" s="733"/>
      <c r="Q34" s="733"/>
      <c r="R34" s="733"/>
      <c r="S34" s="733"/>
      <c r="T34" s="734"/>
      <c r="U34" s="732"/>
      <c r="V34" s="733"/>
      <c r="W34" s="733"/>
      <c r="X34" s="733"/>
      <c r="Y34" s="721" t="s">
        <v>63</v>
      </c>
      <c r="Z34" s="722"/>
      <c r="AA34" s="722"/>
      <c r="AB34" s="722"/>
      <c r="AC34" s="722"/>
      <c r="AD34" s="722"/>
      <c r="AE34" s="722"/>
      <c r="AF34" s="725" t="str">
        <f>IF(CD2="Select","",VLOOKUP(CD2,PantheonList!A14:I142,9,FALSE))</f>
        <v/>
      </c>
      <c r="AG34" s="725"/>
      <c r="AH34" s="725"/>
      <c r="AI34" s="725"/>
      <c r="AJ34" s="725"/>
      <c r="AK34" s="725"/>
      <c r="AL34" s="725"/>
      <c r="AM34" s="725"/>
      <c r="AN34" s="725"/>
      <c r="AO34" s="725"/>
      <c r="AP34" s="725"/>
      <c r="AQ34" s="725"/>
      <c r="AR34" s="725"/>
      <c r="AS34" s="725"/>
      <c r="AT34" s="725"/>
      <c r="AU34" s="725"/>
      <c r="AV34" s="726"/>
      <c r="AW34" s="842"/>
      <c r="AX34" s="818"/>
      <c r="AY34" s="818"/>
      <c r="AZ34" s="818"/>
      <c r="BA34" s="818"/>
      <c r="BB34" s="818"/>
      <c r="BC34" s="381"/>
      <c r="BD34" s="291">
        <f t="shared" si="2"/>
        <v>0</v>
      </c>
      <c r="BE34" s="767" t="str">
        <f>IF(AW34="","",HLOOKUP(AW34,AssociatedRef!$AP$1:$BZ$123,LOOKUP($CD$2,AssociatedRef!$AP$2:$AP$123,AssociatedRef!$AQ$2:$AQ$123),FALSE))</f>
        <v/>
      </c>
      <c r="BF34" s="767"/>
      <c r="BG34" s="381" t="s">
        <v>347</v>
      </c>
      <c r="BH34" s="292" t="str">
        <f t="shared" si="3"/>
        <v/>
      </c>
      <c r="BI34" s="842"/>
      <c r="BJ34" s="818"/>
      <c r="BK34" s="818"/>
      <c r="BL34" s="818"/>
      <c r="BM34" s="381"/>
      <c r="BN34" s="381"/>
      <c r="BO34" s="381"/>
      <c r="BP34" s="818"/>
      <c r="BQ34" s="818"/>
      <c r="BR34" s="818"/>
      <c r="BS34" s="818"/>
      <c r="BT34" s="855"/>
      <c r="BU34" s="422"/>
      <c r="BV34" s="421" t="str">
        <f>IF('House Rules'!$B$10="Potent","Larceny*","Larceny")</f>
        <v>Larceny</v>
      </c>
      <c r="BW34" s="318">
        <f>SUM(DotTracking!$T19:$X19,DotTracking!$AR19:$AV19,DotTracking!$BP19:$BT19)</f>
        <v>0</v>
      </c>
      <c r="BX34" s="421" t="str">
        <f>IF('House Rules'!$B$10="Potent","Presence*","Presence")</f>
        <v>Presence</v>
      </c>
      <c r="BY34" s="318">
        <f>SUM(DotTracking!$T25:$X25,DotTracking!$AR25:$AV25,DotTracking!$BP25:$BT25)</f>
        <v>0</v>
      </c>
      <c r="BZ34" s="283">
        <f t="shared" si="7"/>
        <v>0</v>
      </c>
      <c r="CB34" s="421"/>
      <c r="CC34" s="421"/>
    </row>
    <row r="35" spans="1:81" ht="15" customHeight="1" thickBot="1" x14ac:dyDescent="0.3">
      <c r="A35" s="802" t="s">
        <v>32</v>
      </c>
      <c r="B35" s="803"/>
      <c r="C35" s="803"/>
      <c r="D35" s="803"/>
      <c r="E35" s="767" t="str">
        <f>IF(E34="primary",4-SUM(G31:H33),IF(E34="Secondary",3-SUM(G31:H33),IF(E34="Tertiary",2-SUM(G31:H33),"Select Priority")))</f>
        <v>Select Priority</v>
      </c>
      <c r="F35" s="767"/>
      <c r="G35" s="767"/>
      <c r="H35" s="767"/>
      <c r="I35" s="804"/>
      <c r="J35" s="804"/>
      <c r="K35" s="804"/>
      <c r="L35" s="817"/>
      <c r="M35" s="733"/>
      <c r="N35" s="733"/>
      <c r="O35" s="733"/>
      <c r="P35" s="733"/>
      <c r="Q35" s="733"/>
      <c r="R35" s="733"/>
      <c r="S35" s="733"/>
      <c r="T35" s="734"/>
      <c r="U35" s="732"/>
      <c r="V35" s="733"/>
      <c r="W35" s="733"/>
      <c r="X35" s="733"/>
      <c r="Y35" s="723"/>
      <c r="Z35" s="724"/>
      <c r="AA35" s="724"/>
      <c r="AB35" s="724"/>
      <c r="AC35" s="724"/>
      <c r="AD35" s="724"/>
      <c r="AE35" s="724"/>
      <c r="AF35" s="727"/>
      <c r="AG35" s="727"/>
      <c r="AH35" s="727"/>
      <c r="AI35" s="727"/>
      <c r="AJ35" s="727"/>
      <c r="AK35" s="727"/>
      <c r="AL35" s="727"/>
      <c r="AM35" s="727"/>
      <c r="AN35" s="727"/>
      <c r="AO35" s="727"/>
      <c r="AP35" s="727"/>
      <c r="AQ35" s="727"/>
      <c r="AR35" s="727"/>
      <c r="AS35" s="727"/>
      <c r="AT35" s="727"/>
      <c r="AU35" s="727"/>
      <c r="AV35" s="728"/>
      <c r="AW35" s="842"/>
      <c r="AX35" s="818"/>
      <c r="AY35" s="818"/>
      <c r="AZ35" s="818"/>
      <c r="BA35" s="818"/>
      <c r="BB35" s="818"/>
      <c r="BC35" s="381"/>
      <c r="BD35" s="291">
        <f t="shared" si="2"/>
        <v>0</v>
      </c>
      <c r="BE35" s="767" t="str">
        <f>IF(AW35="","",HLOOKUP(AW35,AssociatedRef!$AP$1:$BZ$123,LOOKUP($CD$2,AssociatedRef!$AP$2:$AP$123,AssociatedRef!$AQ$2:$AQ$123),FALSE))</f>
        <v/>
      </c>
      <c r="BF35" s="767"/>
      <c r="BG35" s="381" t="s">
        <v>347</v>
      </c>
      <c r="BH35" s="292" t="str">
        <f t="shared" si="3"/>
        <v/>
      </c>
      <c r="BI35" s="842"/>
      <c r="BJ35" s="818"/>
      <c r="BK35" s="818"/>
      <c r="BL35" s="818"/>
      <c r="BM35" s="381"/>
      <c r="BN35" s="381"/>
      <c r="BO35" s="381"/>
      <c r="BP35" s="818"/>
      <c r="BQ35" s="818"/>
      <c r="BR35" s="818"/>
      <c r="BS35" s="818"/>
      <c r="BT35" s="855"/>
      <c r="BU35" s="422"/>
      <c r="BV35" s="421" t="str">
        <f>IF('House Rules'!$B$10="Potent","Marksmanship*","Marksmanship")</f>
        <v>Marksmanship</v>
      </c>
      <c r="BW35" s="318">
        <f>SUM(DotTracking!$T20:$X20,DotTracking!$AR20:$AV20,DotTracking!$BP20:$BT20)</f>
        <v>0</v>
      </c>
      <c r="BX35" s="421" t="str">
        <f>IF('House Rules'!$B$10="Potent","Science*","Science")</f>
        <v>Science</v>
      </c>
      <c r="BY35" s="318">
        <f>IF('House Rules'!B10="Standard",SUM(IF(DotTracking!P29="Science",DotTracking!T29:X29,0),IF(DotTracking!AN29="Science",DotTracking!AR29:AV29,0),IF(DotTracking!BL29="Science",DotTracking!BP29:BT29,0),IF(DotTracking!P30="Science",DotTracking!T30:X30,0),IF(DotTracking!AN30="Science",DotTracking!AR30:AV30,0),IF(DotTracking!BL30="Science",DotTracking!BP30:BT30,0),IF(DotTracking!P32="Science",DotTracking!T32:X32,0),IF(DotTracking!AN32="Science",DotTracking!AR32:AV32,0),IF(DotTracking!BL32="Science",DotTracking!BP32:BT32,0),IF(DotTracking!P31="Science",DotTracking!T31:X31,0),IF(DotTracking!AN31="Science",DotTracking!AR31:AV31,0),IF(DotTracking!BL31="Science",DotTracking!BP31:BT31,0),IF(DotTracking!P33="Science",DotTracking!T33:X33,0),IF(DotTracking!AN33="Science",DotTracking!AR33:AV33,0),IF(DotTracking!BL33="Science",DotTracking!BP33:BT33,0),IF(DotTracking!P34="Science",DotTracking!T34:X34,0),IF(DotTracking!AN34="Science",DotTracking!AR34:AV34,0),IF(DotTracking!BL34="Science",DotTracking!BP34:BT34,0),IF(DotTracking!P35="Science",DotTracking!T35:X35,0),IF(DotTracking!AN35="Science",DotTracking!AR35:AV35,0),IF(DotTracking!BL35="Science",DotTracking!BP35:BT35,0),IF(DotTracking!P36="Science",DotTracking!T36:X36,0),IF(DotTracking!AN36="Science",DotTracking!AR36:AV36,0),IF(DotTracking!BL36="Science",DotTracking!BP36:BT36,0),IF(DotTracking!P37="Science",DotTracking!T37:X37,0),IF(DotTracking!AN37="Science",DotTracking!AR37:AV37,0),IF(DotTracking!BL37="Science",DotTracking!BP37:BT37,0),IF(DotTracking!P38="Science",DotTracking!T38:X38,0),IF(DotTracking!AN38="Science",DotTracking!AR38:AV38,0),IF(DotTracking!BL38="Science",DotTracking!BP38:BT38,0),0),SUM(IF(DotTracking!P29="Science*",DotTracking!T29:X29,0),IF(DotTracking!AN29="Science*",DotTracking!AR29:AV29,0),IF(DotTracking!BL29="Science*",DotTracking!BP29:BT29,0),IF(DotTracking!P30="Science*",DotTracking!T30:X30,0),IF(DotTracking!AN30="Science*",DotTracking!AR30:AV30,0),IF(DotTracking!BL30="Science*",DotTracking!BP30:BT30,0),IF(DotTracking!P32="Science*",DotTracking!T32:X32,0),IF(DotTracking!AN32="Science*",DotTracking!AR32:AV32,0),IF(DotTracking!BL32="Science*",DotTracking!BP32:BT32,0),IF(DotTracking!P31="Science*",DotTracking!T31:X31,0),IF(DotTracking!AN31="Science*",DotTracking!AR31:AV31,0),IF(DotTracking!BL31="Science*",DotTracking!BP31:BT31,0),IF(DotTracking!P33="Science*",DotTracking!T33:X33,0),IF(DotTracking!AN33="Science*",DotTracking!AR33:AV33,0),IF(DotTracking!BL33="Science*",DotTracking!BP33:BT33,0),IF(DotTracking!P34="Science*",DotTracking!T34:X34,0),IF(DotTracking!AN34="Science*",DotTracking!AR34:AV34,0),IF(DotTracking!BL34="Science*",DotTracking!BP34:BT34,0),IF(DotTracking!P35="Science*",DotTracking!T35:X35,0),IF(DotTracking!AN35="Science*",DotTracking!AR35:AV35,0),IF(DotTracking!BL35="Science*",DotTracking!BP35:BT35,0),IF(DotTracking!P36="Science*",DotTracking!T36:X36,0),IF(DotTracking!AN36="Science*",DotTracking!AR36:AV36,0),IF(DotTracking!BL36="Science*",DotTracking!BP36:BT36,0),IF(DotTracking!P37="Science*",DotTracking!T37:X37,0),IF(DotTracking!AN37="Science*",DotTracking!AR37:AV37,0),IF(DotTracking!BL37="Science*",DotTracking!BP37:BT37,0),IF(DotTracking!P38="Science*",DotTracking!T38:X38,0),IF(DotTracking!AN38="Science*",DotTracking!AR38:AV38,0),IF(DotTracking!BL38="Science*",DotTracking!BP38:BT38,0),0))</f>
        <v>0</v>
      </c>
      <c r="BZ35" s="283">
        <f t="shared" si="7"/>
        <v>0</v>
      </c>
      <c r="CB35" s="421"/>
      <c r="CC35" s="421"/>
    </row>
    <row r="36" spans="1:81" ht="15" customHeight="1" x14ac:dyDescent="0.25">
      <c r="A36" s="829" t="s">
        <v>80</v>
      </c>
      <c r="B36" s="820"/>
      <c r="C36" s="820"/>
      <c r="D36" s="820"/>
      <c r="E36" s="820"/>
      <c r="F36" s="820"/>
      <c r="G36" s="820"/>
      <c r="H36" s="820"/>
      <c r="I36" s="820"/>
      <c r="J36" s="820"/>
      <c r="K36" s="820"/>
      <c r="L36" s="820"/>
      <c r="M36" s="820"/>
      <c r="N36" s="820"/>
      <c r="O36" s="820"/>
      <c r="P36" s="820"/>
      <c r="Q36" s="820"/>
      <c r="R36" s="820"/>
      <c r="S36" s="820"/>
      <c r="T36" s="820"/>
      <c r="U36" s="820"/>
      <c r="V36" s="820"/>
      <c r="W36" s="820"/>
      <c r="X36" s="821"/>
      <c r="Y36" s="723" t="s">
        <v>64</v>
      </c>
      <c r="Z36" s="724"/>
      <c r="AA36" s="724"/>
      <c r="AB36" s="724"/>
      <c r="AC36" s="724"/>
      <c r="AD36" s="724"/>
      <c r="AE36" s="724"/>
      <c r="AF36" s="727" t="str">
        <f>IF(CD2="Select","",VLOOKUP(CD2,PantheonList!A14:I142,8,FALSE))</f>
        <v/>
      </c>
      <c r="AG36" s="727"/>
      <c r="AH36" s="727"/>
      <c r="AI36" s="727"/>
      <c r="AJ36" s="727"/>
      <c r="AK36" s="727"/>
      <c r="AL36" s="727"/>
      <c r="AM36" s="727"/>
      <c r="AN36" s="727"/>
      <c r="AO36" s="727"/>
      <c r="AP36" s="727"/>
      <c r="AQ36" s="727"/>
      <c r="AR36" s="727"/>
      <c r="AS36" s="727"/>
      <c r="AT36" s="727"/>
      <c r="AU36" s="727"/>
      <c r="AV36" s="728"/>
      <c r="AW36" s="842"/>
      <c r="AX36" s="818"/>
      <c r="AY36" s="818"/>
      <c r="AZ36" s="818"/>
      <c r="BA36" s="818"/>
      <c r="BB36" s="818"/>
      <c r="BC36" s="381"/>
      <c r="BD36" s="291">
        <f t="shared" si="2"/>
        <v>0</v>
      </c>
      <c r="BE36" s="767" t="str">
        <f>IF(AW36="","",HLOOKUP(AW36,AssociatedRef!$AP$1:$BZ$123,LOOKUP($CD$2,AssociatedRef!$AP$2:$AP$123,AssociatedRef!$AQ$2:$AQ$123),FALSE))</f>
        <v/>
      </c>
      <c r="BF36" s="767"/>
      <c r="BG36" s="381" t="s">
        <v>347</v>
      </c>
      <c r="BH36" s="292" t="str">
        <f t="shared" si="3"/>
        <v/>
      </c>
      <c r="BI36" s="842"/>
      <c r="BJ36" s="818"/>
      <c r="BK36" s="818"/>
      <c r="BL36" s="818"/>
      <c r="BM36" s="381"/>
      <c r="BN36" s="381"/>
      <c r="BO36" s="381"/>
      <c r="BP36" s="818"/>
      <c r="BQ36" s="818"/>
      <c r="BR36" s="818"/>
      <c r="BS36" s="818"/>
      <c r="BT36" s="855"/>
      <c r="BU36" s="422"/>
      <c r="BV36" s="421" t="str">
        <f>IF('House Rules'!$B$10="Potent","Medicine*","Medicine")</f>
        <v>Medicine</v>
      </c>
      <c r="BW36" s="318">
        <f>SUM(DotTracking!$T21:$X21,DotTracking!$AR21:$AV21,DotTracking!$BP21:$BT21)</f>
        <v>0</v>
      </c>
      <c r="BX36" s="421" t="str">
        <f>IF('House Rules'!$B$10="Potent","Stealth*","Stealth")</f>
        <v>Stealth</v>
      </c>
      <c r="BY36" s="318">
        <f>SUM(DotTracking!$T26:$X26,DotTracking!$AR26:$AV26,DotTracking!$BP26:$BT26)</f>
        <v>0</v>
      </c>
      <c r="BZ36" s="283">
        <f t="shared" si="7"/>
        <v>0</v>
      </c>
      <c r="CB36" s="421"/>
      <c r="CC36" s="421"/>
    </row>
    <row r="37" spans="1:81" ht="15" customHeight="1" thickBot="1" x14ac:dyDescent="0.3">
      <c r="A37" s="890"/>
      <c r="B37" s="823"/>
      <c r="C37" s="823"/>
      <c r="D37" s="823"/>
      <c r="E37" s="823"/>
      <c r="F37" s="823"/>
      <c r="G37" s="823"/>
      <c r="H37" s="823"/>
      <c r="I37" s="823"/>
      <c r="J37" s="823"/>
      <c r="K37" s="823"/>
      <c r="L37" s="823"/>
      <c r="M37" s="823"/>
      <c r="N37" s="823"/>
      <c r="O37" s="823"/>
      <c r="P37" s="823"/>
      <c r="Q37" s="823"/>
      <c r="R37" s="823"/>
      <c r="S37" s="823"/>
      <c r="T37" s="823"/>
      <c r="U37" s="823"/>
      <c r="V37" s="823"/>
      <c r="W37" s="823"/>
      <c r="X37" s="824"/>
      <c r="Y37" s="723"/>
      <c r="Z37" s="724"/>
      <c r="AA37" s="724"/>
      <c r="AB37" s="724"/>
      <c r="AC37" s="724"/>
      <c r="AD37" s="724"/>
      <c r="AE37" s="724"/>
      <c r="AF37" s="727"/>
      <c r="AG37" s="727"/>
      <c r="AH37" s="727"/>
      <c r="AI37" s="727"/>
      <c r="AJ37" s="727"/>
      <c r="AK37" s="727"/>
      <c r="AL37" s="727"/>
      <c r="AM37" s="727"/>
      <c r="AN37" s="727"/>
      <c r="AO37" s="727"/>
      <c r="AP37" s="727"/>
      <c r="AQ37" s="727"/>
      <c r="AR37" s="727"/>
      <c r="AS37" s="727"/>
      <c r="AT37" s="727"/>
      <c r="AU37" s="727"/>
      <c r="AV37" s="728"/>
      <c r="AW37" s="842"/>
      <c r="AX37" s="818"/>
      <c r="AY37" s="818"/>
      <c r="AZ37" s="818"/>
      <c r="BA37" s="818"/>
      <c r="BB37" s="818"/>
      <c r="BC37" s="381"/>
      <c r="BD37" s="291">
        <f t="shared" si="2"/>
        <v>0</v>
      </c>
      <c r="BE37" s="767" t="str">
        <f>IF(AW37="","",HLOOKUP(AW37,AssociatedRef!$AP$1:$BZ$123,LOOKUP($CD$2,AssociatedRef!$AP$2:$AP$123,AssociatedRef!$AQ$2:$AQ$123),FALSE))</f>
        <v/>
      </c>
      <c r="BF37" s="767"/>
      <c r="BG37" s="381" t="s">
        <v>347</v>
      </c>
      <c r="BH37" s="292" t="str">
        <f t="shared" si="3"/>
        <v/>
      </c>
      <c r="BI37" s="842"/>
      <c r="BJ37" s="818"/>
      <c r="BK37" s="818"/>
      <c r="BL37" s="818"/>
      <c r="BM37" s="381"/>
      <c r="BN37" s="381"/>
      <c r="BO37" s="381"/>
      <c r="BP37" s="818"/>
      <c r="BQ37" s="818"/>
      <c r="BR37" s="818"/>
      <c r="BS37" s="818"/>
      <c r="BT37" s="855"/>
      <c r="BU37" s="422"/>
      <c r="BV37" s="421" t="str">
        <f>IF('House Rules'!$B$10="Potent","Occult*","Occult")</f>
        <v>Occult</v>
      </c>
      <c r="BW37" s="318">
        <f>SUM(DotTracking!$T23:$X23,DotTracking!$AR23:$AV23,DotTracking!$BP23:$BT23)</f>
        <v>0</v>
      </c>
      <c r="BX37" s="421" t="str">
        <f>IF('House Rules'!$B$10="Potent","Survival*","Survival")</f>
        <v>Survival</v>
      </c>
      <c r="BY37" s="318">
        <f>SUM(DotTracking!$T27:$X27,DotTracking!$AR27:$AV27,DotTracking!$BP27:$BT27)</f>
        <v>0</v>
      </c>
      <c r="BZ37" s="283">
        <f t="shared" si="7"/>
        <v>0</v>
      </c>
      <c r="CB37" s="421"/>
      <c r="CC37" s="421"/>
    </row>
    <row r="38" spans="1:81" ht="15" customHeight="1" thickBot="1" x14ac:dyDescent="0.3">
      <c r="A38" s="1187"/>
      <c r="B38" s="765"/>
      <c r="C38" s="765"/>
      <c r="D38" s="765"/>
      <c r="E38" s="722" t="s">
        <v>81</v>
      </c>
      <c r="F38" s="722"/>
      <c r="G38" s="722"/>
      <c r="H38" s="722"/>
      <c r="I38" s="722" t="s">
        <v>82</v>
      </c>
      <c r="J38" s="722"/>
      <c r="K38" s="722"/>
      <c r="L38" s="722"/>
      <c r="M38" s="722"/>
      <c r="N38" s="722"/>
      <c r="O38" s="722"/>
      <c r="P38" s="722"/>
      <c r="Q38" s="722" t="s">
        <v>81</v>
      </c>
      <c r="R38" s="722"/>
      <c r="S38" s="722"/>
      <c r="T38" s="722"/>
      <c r="U38" s="722" t="s">
        <v>82</v>
      </c>
      <c r="V38" s="722"/>
      <c r="W38" s="722"/>
      <c r="X38" s="833"/>
      <c r="Y38" s="802" t="s">
        <v>129</v>
      </c>
      <c r="Z38" s="803"/>
      <c r="AA38" s="803"/>
      <c r="AB38" s="803"/>
      <c r="AC38" s="803"/>
      <c r="AD38" s="803"/>
      <c r="AE38" s="803"/>
      <c r="AF38" s="712" t="str">
        <f>IF(CD1="Select","",VLOOKUP(CD1,PantheonList!A3:F15,2,FALSE))</f>
        <v/>
      </c>
      <c r="AG38" s="712"/>
      <c r="AH38" s="712"/>
      <c r="AI38" s="712"/>
      <c r="AJ38" s="712"/>
      <c r="AK38" s="712"/>
      <c r="AL38" s="712"/>
      <c r="AM38" s="712"/>
      <c r="AN38" s="712"/>
      <c r="AO38" s="712"/>
      <c r="AP38" s="712"/>
      <c r="AQ38" s="712"/>
      <c r="AR38" s="712"/>
      <c r="AS38" s="712"/>
      <c r="AT38" s="712"/>
      <c r="AU38" s="712"/>
      <c r="AV38" s="720"/>
      <c r="AW38" s="842"/>
      <c r="AX38" s="818"/>
      <c r="AY38" s="818"/>
      <c r="AZ38" s="818"/>
      <c r="BA38" s="818"/>
      <c r="BB38" s="818"/>
      <c r="BC38" s="381"/>
      <c r="BD38" s="291">
        <f t="shared" si="2"/>
        <v>0</v>
      </c>
      <c r="BE38" s="767" t="str">
        <f>IF(AW38="","",HLOOKUP(AW38,AssociatedRef!$AP$1:$BZ$123,LOOKUP($CD$2,AssociatedRef!$AP$2:$AP$123,AssociatedRef!$AQ$2:$AQ$123),FALSE))</f>
        <v/>
      </c>
      <c r="BF38" s="767"/>
      <c r="BG38" s="381" t="s">
        <v>347</v>
      </c>
      <c r="BH38" s="292" t="str">
        <f t="shared" si="3"/>
        <v/>
      </c>
      <c r="BI38" s="842"/>
      <c r="BJ38" s="818"/>
      <c r="BK38" s="818"/>
      <c r="BL38" s="818"/>
      <c r="BM38" s="381"/>
      <c r="BN38" s="381"/>
      <c r="BO38" s="381"/>
      <c r="BP38" s="818"/>
      <c r="BQ38" s="818"/>
      <c r="BR38" s="818"/>
      <c r="BS38" s="818"/>
      <c r="BT38" s="855"/>
      <c r="BU38" s="422"/>
      <c r="BX38" s="421" t="str">
        <f>IF('House Rules'!$B$10="Potent","Thrown*","Thrown")</f>
        <v>Thrown</v>
      </c>
      <c r="BY38" s="318">
        <f>SUM(DotTracking!$T28:$X28,DotTracking!$AR28:$AV28,DotTracking!$BP28:$BT28)</f>
        <v>0</v>
      </c>
      <c r="BZ38" s="283">
        <f t="shared" si="7"/>
        <v>0</v>
      </c>
      <c r="CB38" s="421"/>
      <c r="CC38" s="421"/>
    </row>
    <row r="39" spans="1:81" ht="15" customHeight="1" x14ac:dyDescent="0.25">
      <c r="A39" s="723" t="s">
        <v>8</v>
      </c>
      <c r="B39" s="724"/>
      <c r="C39" s="724"/>
      <c r="D39" s="724"/>
      <c r="E39" s="767">
        <f>SUM(I19:L33)</f>
        <v>0</v>
      </c>
      <c r="F39" s="767"/>
      <c r="G39" s="767"/>
      <c r="H39" s="767"/>
      <c r="I39" s="767">
        <f>E39*4</f>
        <v>0</v>
      </c>
      <c r="J39" s="767"/>
      <c r="K39" s="767"/>
      <c r="L39" s="767"/>
      <c r="M39" s="724" t="s">
        <v>67</v>
      </c>
      <c r="N39" s="724"/>
      <c r="O39" s="724"/>
      <c r="P39" s="724"/>
      <c r="Q39" s="767">
        <f>BQ13</f>
        <v>0</v>
      </c>
      <c r="R39" s="767"/>
      <c r="S39" s="767"/>
      <c r="T39" s="767"/>
      <c r="U39" s="767">
        <f>BS13</f>
        <v>0</v>
      </c>
      <c r="V39" s="767"/>
      <c r="W39" s="767"/>
      <c r="X39" s="768"/>
      <c r="Y39" s="733"/>
      <c r="Z39" s="733"/>
      <c r="AA39" s="733"/>
      <c r="AB39" s="733"/>
      <c r="AC39" s="733"/>
      <c r="AD39" s="733"/>
      <c r="AE39" s="733"/>
      <c r="AF39" s="733"/>
      <c r="AG39" s="733"/>
      <c r="AH39" s="733"/>
      <c r="AI39" s="733"/>
      <c r="AJ39" s="733"/>
      <c r="AK39" s="733"/>
      <c r="AL39" s="733"/>
      <c r="AM39" s="733"/>
      <c r="AN39" s="733"/>
      <c r="AO39" s="733"/>
      <c r="AP39" s="733"/>
      <c r="AQ39" s="733"/>
      <c r="AR39" s="733"/>
      <c r="AS39" s="733"/>
      <c r="AT39" s="733"/>
      <c r="AU39" s="733"/>
      <c r="AV39" s="733"/>
      <c r="AW39" s="842"/>
      <c r="AX39" s="818"/>
      <c r="AY39" s="818"/>
      <c r="AZ39" s="818"/>
      <c r="BA39" s="818"/>
      <c r="BB39" s="818"/>
      <c r="BC39" s="381"/>
      <c r="BD39" s="291">
        <f t="shared" si="2"/>
        <v>0</v>
      </c>
      <c r="BE39" s="767" t="str">
        <f>IF(AW39="","",HLOOKUP(AW39,AssociatedRef!$AP$1:$BZ$123,LOOKUP($CD$2,AssociatedRef!$AP$2:$AP$123,AssociatedRef!$AQ$2:$AQ$123),FALSE))</f>
        <v/>
      </c>
      <c r="BF39" s="767"/>
      <c r="BG39" s="381" t="s">
        <v>347</v>
      </c>
      <c r="BH39" s="292" t="str">
        <f t="shared" si="3"/>
        <v/>
      </c>
      <c r="BI39" s="842"/>
      <c r="BJ39" s="818"/>
      <c r="BK39" s="818"/>
      <c r="BL39" s="818"/>
      <c r="BM39" s="381"/>
      <c r="BN39" s="381"/>
      <c r="BO39" s="381"/>
      <c r="BP39" s="818"/>
      <c r="BQ39" s="818"/>
      <c r="BR39" s="818"/>
      <c r="BS39" s="818"/>
      <c r="BT39" s="855"/>
      <c r="BU39" s="422"/>
      <c r="BZ39" s="283">
        <f t="shared" si="7"/>
        <v>0</v>
      </c>
      <c r="CA39" s="421"/>
      <c r="CB39" s="421"/>
    </row>
    <row r="40" spans="1:81" ht="15" customHeight="1" x14ac:dyDescent="0.25">
      <c r="A40" s="723" t="s">
        <v>69</v>
      </c>
      <c r="B40" s="724"/>
      <c r="C40" s="724"/>
      <c r="D40" s="724"/>
      <c r="E40" s="767">
        <f>SUM(AF4:AG33)</f>
        <v>0</v>
      </c>
      <c r="F40" s="767"/>
      <c r="G40" s="767"/>
      <c r="H40" s="767"/>
      <c r="I40" s="767">
        <f>SUM(AH4:AI33)</f>
        <v>0</v>
      </c>
      <c r="J40" s="767"/>
      <c r="K40" s="767"/>
      <c r="L40" s="767"/>
      <c r="M40" s="724" t="s">
        <v>439</v>
      </c>
      <c r="N40" s="724"/>
      <c r="O40" s="724"/>
      <c r="P40" s="724"/>
      <c r="Q40" s="767">
        <f>U40/3</f>
        <v>0</v>
      </c>
      <c r="R40" s="767"/>
      <c r="S40" s="767"/>
      <c r="T40" s="767"/>
      <c r="U40" s="767">
        <f>SUM(AT6:AV33)</f>
        <v>0</v>
      </c>
      <c r="V40" s="767"/>
      <c r="W40" s="767"/>
      <c r="X40" s="768"/>
      <c r="Y40" s="733"/>
      <c r="Z40" s="733"/>
      <c r="AA40" s="733"/>
      <c r="AB40" s="733"/>
      <c r="AC40" s="733"/>
      <c r="AD40" s="733"/>
      <c r="AE40" s="733"/>
      <c r="AF40" s="733"/>
      <c r="AG40" s="733"/>
      <c r="AH40" s="733"/>
      <c r="AI40" s="733"/>
      <c r="AJ40" s="733"/>
      <c r="AK40" s="733"/>
      <c r="AL40" s="733"/>
      <c r="AM40" s="733"/>
      <c r="AN40" s="733"/>
      <c r="AO40" s="733"/>
      <c r="AP40" s="733"/>
      <c r="AQ40" s="733"/>
      <c r="AR40" s="733"/>
      <c r="AS40" s="733"/>
      <c r="AT40" s="733"/>
      <c r="AU40" s="733"/>
      <c r="AV40" s="733"/>
      <c r="AW40" s="842"/>
      <c r="AX40" s="818"/>
      <c r="AY40" s="818"/>
      <c r="AZ40" s="818"/>
      <c r="BA40" s="818"/>
      <c r="BB40" s="818"/>
      <c r="BC40" s="381"/>
      <c r="BD40" s="291">
        <f t="shared" si="2"/>
        <v>0</v>
      </c>
      <c r="BE40" s="767" t="str">
        <f>IF(AW40="","",HLOOKUP(AW40,AssociatedRef!$AP$1:$BZ$123,LOOKUP($CD$2,AssociatedRef!$AP$2:$AP$123,AssociatedRef!$AQ$2:$AQ$123),FALSE))</f>
        <v/>
      </c>
      <c r="BF40" s="767"/>
      <c r="BG40" s="381" t="s">
        <v>347</v>
      </c>
      <c r="BH40" s="292" t="str">
        <f t="shared" si="3"/>
        <v/>
      </c>
      <c r="BI40" s="723" t="s">
        <v>28</v>
      </c>
      <c r="BJ40" s="724"/>
      <c r="BK40" s="724"/>
      <c r="BL40" s="724"/>
      <c r="BM40" s="287">
        <f>SUM(BM21:BM28,BM32:BM39)</f>
        <v>0</v>
      </c>
      <c r="BN40" s="1196" t="s">
        <v>78</v>
      </c>
      <c r="BO40" s="1196" t="s">
        <v>79</v>
      </c>
      <c r="BP40" s="727" t="s">
        <v>1755</v>
      </c>
      <c r="BQ40" s="727"/>
      <c r="BR40" s="727"/>
      <c r="BS40" s="727"/>
      <c r="BT40" s="728"/>
      <c r="BU40" s="424"/>
      <c r="BZ40" s="283">
        <f t="shared" si="7"/>
        <v>0</v>
      </c>
      <c r="CA40" s="421"/>
      <c r="CB40" s="421"/>
    </row>
    <row r="41" spans="1:81" ht="15" customHeight="1" x14ac:dyDescent="0.25">
      <c r="A41" s="723" t="s">
        <v>31</v>
      </c>
      <c r="B41" s="724"/>
      <c r="C41" s="724"/>
      <c r="D41" s="724"/>
      <c r="E41" s="767">
        <f>SUM(S30:T33)</f>
        <v>0</v>
      </c>
      <c r="F41" s="767"/>
      <c r="G41" s="767"/>
      <c r="H41" s="767"/>
      <c r="I41" s="767">
        <f>E41*3</f>
        <v>0</v>
      </c>
      <c r="J41" s="767"/>
      <c r="K41" s="767"/>
      <c r="L41" s="767"/>
      <c r="M41" s="724" t="s">
        <v>85</v>
      </c>
      <c r="N41" s="724"/>
      <c r="O41" s="724"/>
      <c r="P41" s="724"/>
      <c r="Q41" s="767">
        <f>SUM(BN21:BO28,BN32:BO39)</f>
        <v>0</v>
      </c>
      <c r="R41" s="767"/>
      <c r="S41" s="767"/>
      <c r="T41" s="767"/>
      <c r="U41" s="767">
        <f>SUM(BN21:BN28,BN32:BN39)+SUM(BO21:BO28,BO32:BO39)*2</f>
        <v>0</v>
      </c>
      <c r="V41" s="767"/>
      <c r="W41" s="767"/>
      <c r="X41" s="768"/>
      <c r="Y41" s="733"/>
      <c r="Z41" s="733"/>
      <c r="AA41" s="733"/>
      <c r="AB41" s="733"/>
      <c r="AC41" s="733"/>
      <c r="AD41" s="733"/>
      <c r="AE41" s="733"/>
      <c r="AF41" s="733"/>
      <c r="AG41" s="733"/>
      <c r="AH41" s="733"/>
      <c r="AI41" s="733"/>
      <c r="AJ41" s="733"/>
      <c r="AK41" s="733"/>
      <c r="AL41" s="733"/>
      <c r="AM41" s="733"/>
      <c r="AN41" s="733"/>
      <c r="AO41" s="733"/>
      <c r="AP41" s="733"/>
      <c r="AQ41" s="733"/>
      <c r="AR41" s="733"/>
      <c r="AS41" s="733"/>
      <c r="AT41" s="733"/>
      <c r="AU41" s="733"/>
      <c r="AV41" s="733"/>
      <c r="AW41" s="842"/>
      <c r="AX41" s="818"/>
      <c r="AY41" s="818"/>
      <c r="AZ41" s="818"/>
      <c r="BA41" s="818"/>
      <c r="BB41" s="818"/>
      <c r="BC41" s="381"/>
      <c r="BD41" s="291">
        <f t="shared" si="2"/>
        <v>0</v>
      </c>
      <c r="BE41" s="767" t="str">
        <f>IF(AW41="","",HLOOKUP(AW41,AssociatedRef!$AP$1:$BZ$123,LOOKUP($CD$2,AssociatedRef!$AP$2:$AP$123,AssociatedRef!$AQ$2:$AQ$123),FALSE))</f>
        <v/>
      </c>
      <c r="BF41" s="767"/>
      <c r="BG41" s="381" t="s">
        <v>347</v>
      </c>
      <c r="BH41" s="292" t="str">
        <f t="shared" si="3"/>
        <v/>
      </c>
      <c r="BI41" s="723" t="s">
        <v>32</v>
      </c>
      <c r="BJ41" s="724"/>
      <c r="BK41" s="724"/>
      <c r="BL41" s="724"/>
      <c r="BM41" s="287">
        <f>5-BM40</f>
        <v>5</v>
      </c>
      <c r="BN41" s="1196"/>
      <c r="BO41" s="1196"/>
      <c r="BP41" s="727"/>
      <c r="BQ41" s="727"/>
      <c r="BR41" s="727"/>
      <c r="BS41" s="727"/>
      <c r="BT41" s="728"/>
      <c r="BU41" s="424"/>
      <c r="BZ41" s="283">
        <f t="shared" si="7"/>
        <v>0</v>
      </c>
      <c r="CA41" s="421"/>
      <c r="CB41" s="421"/>
    </row>
    <row r="42" spans="1:81" ht="15" customHeight="1" x14ac:dyDescent="0.25">
      <c r="A42" s="723" t="s">
        <v>83</v>
      </c>
      <c r="B42" s="724"/>
      <c r="C42" s="724"/>
      <c r="D42" s="724"/>
      <c r="E42" s="767">
        <f>W30</f>
        <v>0</v>
      </c>
      <c r="F42" s="767"/>
      <c r="G42" s="767"/>
      <c r="H42" s="767"/>
      <c r="I42" s="767">
        <f>E42*2</f>
        <v>0</v>
      </c>
      <c r="J42" s="767"/>
      <c r="K42" s="767"/>
      <c r="L42" s="767"/>
      <c r="M42" s="724" t="s">
        <v>68</v>
      </c>
      <c r="N42" s="724"/>
      <c r="O42" s="724"/>
      <c r="P42" s="724"/>
      <c r="Q42" s="767">
        <f>SUM(BZ4:BZ46)</f>
        <v>0</v>
      </c>
      <c r="R42" s="767"/>
      <c r="S42" s="767"/>
      <c r="T42" s="767"/>
      <c r="U42" s="767">
        <f>SUM(BH4:BH46)</f>
        <v>0</v>
      </c>
      <c r="V42" s="767"/>
      <c r="W42" s="767"/>
      <c r="X42" s="768"/>
      <c r="Y42" s="733"/>
      <c r="Z42" s="733"/>
      <c r="AA42" s="733"/>
      <c r="AB42" s="733"/>
      <c r="AC42" s="733"/>
      <c r="AD42" s="733"/>
      <c r="AE42" s="733"/>
      <c r="AF42" s="733"/>
      <c r="AG42" s="733"/>
      <c r="AH42" s="733"/>
      <c r="AI42" s="733"/>
      <c r="AJ42" s="733"/>
      <c r="AK42" s="733"/>
      <c r="AL42" s="733"/>
      <c r="AM42" s="733"/>
      <c r="AN42" s="733"/>
      <c r="AO42" s="733"/>
      <c r="AP42" s="733"/>
      <c r="AQ42" s="733"/>
      <c r="AR42" s="733"/>
      <c r="AS42" s="733"/>
      <c r="AT42" s="733"/>
      <c r="AU42" s="733"/>
      <c r="AV42" s="733"/>
      <c r="AW42" s="842"/>
      <c r="AX42" s="818"/>
      <c r="AY42" s="818"/>
      <c r="AZ42" s="818"/>
      <c r="BA42" s="818"/>
      <c r="BB42" s="818"/>
      <c r="BC42" s="381"/>
      <c r="BD42" s="291">
        <f t="shared" si="2"/>
        <v>0</v>
      </c>
      <c r="BE42" s="767" t="str">
        <f>IF(AW42="","",HLOOKUP(AW42,AssociatedRef!$AP$1:$BZ$123,LOOKUP($CD$2,AssociatedRef!$AP$2:$AP$123,AssociatedRef!$AQ$2:$AQ$123),FALSE))</f>
        <v/>
      </c>
      <c r="BF42" s="767"/>
      <c r="BG42" s="381" t="s">
        <v>347</v>
      </c>
      <c r="BH42" s="292" t="str">
        <f t="shared" si="3"/>
        <v/>
      </c>
      <c r="BI42" s="723" t="s">
        <v>29</v>
      </c>
      <c r="BJ42" s="724"/>
      <c r="BK42" s="724"/>
      <c r="BL42" s="724"/>
      <c r="BM42" s="287" t="str">
        <f>IF(AND(BM41=0,MAX(BM21:BM28,BM32:BM39)&lt;4),"Yes","No")</f>
        <v>No</v>
      </c>
      <c r="BN42" s="1196"/>
      <c r="BO42" s="1196"/>
      <c r="BP42" s="727"/>
      <c r="BQ42" s="727"/>
      <c r="BR42" s="727"/>
      <c r="BS42" s="727"/>
      <c r="BT42" s="728"/>
      <c r="BU42" s="424"/>
      <c r="BZ42" s="283">
        <f t="shared" si="7"/>
        <v>0</v>
      </c>
      <c r="CA42" s="421"/>
      <c r="CB42" s="421"/>
    </row>
    <row r="43" spans="1:81" ht="15" customHeight="1" x14ac:dyDescent="0.25">
      <c r="A43" s="1163"/>
      <c r="B43" s="767"/>
      <c r="C43" s="767"/>
      <c r="D43" s="767"/>
      <c r="E43" s="767"/>
      <c r="F43" s="767"/>
      <c r="G43" s="767"/>
      <c r="H43" s="767"/>
      <c r="I43" s="767"/>
      <c r="J43" s="767"/>
      <c r="K43" s="767"/>
      <c r="L43" s="767"/>
      <c r="M43" s="724" t="s">
        <v>84</v>
      </c>
      <c r="N43" s="724"/>
      <c r="O43" s="724"/>
      <c r="P43" s="724"/>
      <c r="Q43" s="767">
        <f>AU4</f>
        <v>0</v>
      </c>
      <c r="R43" s="767"/>
      <c r="S43" s="767"/>
      <c r="T43" s="767"/>
      <c r="U43" s="767">
        <f>Q43*7</f>
        <v>0</v>
      </c>
      <c r="V43" s="767"/>
      <c r="W43" s="767"/>
      <c r="X43" s="768"/>
      <c r="Y43" s="733"/>
      <c r="Z43" s="733"/>
      <c r="AA43" s="733"/>
      <c r="AB43" s="733"/>
      <c r="AC43" s="733"/>
      <c r="AD43" s="733"/>
      <c r="AE43" s="733"/>
      <c r="AF43" s="733"/>
      <c r="AG43" s="733"/>
      <c r="AH43" s="733"/>
      <c r="AI43" s="733"/>
      <c r="AJ43" s="733"/>
      <c r="AK43" s="733"/>
      <c r="AL43" s="733"/>
      <c r="AM43" s="733"/>
      <c r="AN43" s="733"/>
      <c r="AO43" s="733"/>
      <c r="AP43" s="733"/>
      <c r="AQ43" s="733"/>
      <c r="AR43" s="733"/>
      <c r="AS43" s="733"/>
      <c r="AT43" s="733"/>
      <c r="AU43" s="733"/>
      <c r="AV43" s="733"/>
      <c r="AW43" s="842"/>
      <c r="AX43" s="818"/>
      <c r="AY43" s="818"/>
      <c r="AZ43" s="818"/>
      <c r="BA43" s="818"/>
      <c r="BB43" s="818"/>
      <c r="BC43" s="381"/>
      <c r="BD43" s="291">
        <f t="shared" si="2"/>
        <v>0</v>
      </c>
      <c r="BE43" s="767" t="str">
        <f>IF(AW43="","",HLOOKUP(AW43,AssociatedRef!$AP$1:$BZ$123,LOOKUP($CD$2,AssociatedRef!$AP$2:$AP$123,AssociatedRef!$AQ$2:$AQ$123),FALSE))</f>
        <v/>
      </c>
      <c r="BF43" s="767"/>
      <c r="BG43" s="381" t="s">
        <v>347</v>
      </c>
      <c r="BH43" s="292" t="str">
        <f t="shared" si="3"/>
        <v/>
      </c>
      <c r="BI43" s="1163"/>
      <c r="BJ43" s="767"/>
      <c r="BK43" s="767"/>
      <c r="BL43" s="767"/>
      <c r="BM43" s="767"/>
      <c r="BN43" s="1196"/>
      <c r="BO43" s="1196"/>
      <c r="BP43" s="727"/>
      <c r="BQ43" s="727"/>
      <c r="BR43" s="727"/>
      <c r="BS43" s="727"/>
      <c r="BT43" s="728"/>
      <c r="BU43" s="424"/>
      <c r="BZ43" s="283">
        <f t="shared" si="7"/>
        <v>0</v>
      </c>
      <c r="CA43" s="421"/>
      <c r="CB43" s="421"/>
    </row>
    <row r="44" spans="1:81" ht="15" customHeight="1" x14ac:dyDescent="0.25">
      <c r="A44" s="1163"/>
      <c r="B44" s="767"/>
      <c r="C44" s="767"/>
      <c r="D44" s="767"/>
      <c r="E44" s="767"/>
      <c r="F44" s="767"/>
      <c r="G44" s="767"/>
      <c r="H44" s="767"/>
      <c r="I44" s="724" t="s">
        <v>86</v>
      </c>
      <c r="J44" s="724"/>
      <c r="K44" s="724"/>
      <c r="L44" s="724"/>
      <c r="M44" s="767">
        <f>SUM(I39:L42,U39:X43)</f>
        <v>0</v>
      </c>
      <c r="N44" s="767"/>
      <c r="O44" s="767"/>
      <c r="P44" s="767"/>
      <c r="Q44" s="767"/>
      <c r="R44" s="767"/>
      <c r="S44" s="767"/>
      <c r="T44" s="767"/>
      <c r="U44" s="767"/>
      <c r="V44" s="767"/>
      <c r="W44" s="767"/>
      <c r="X44" s="768"/>
      <c r="Y44" s="733"/>
      <c r="Z44" s="733"/>
      <c r="AA44" s="733"/>
      <c r="AB44" s="733"/>
      <c r="AC44" s="733"/>
      <c r="AD44" s="733"/>
      <c r="AE44" s="733"/>
      <c r="AF44" s="733"/>
      <c r="AG44" s="733"/>
      <c r="AH44" s="733"/>
      <c r="AI44" s="733"/>
      <c r="AJ44" s="733"/>
      <c r="AK44" s="733"/>
      <c r="AL44" s="733"/>
      <c r="AM44" s="733"/>
      <c r="AN44" s="733"/>
      <c r="AO44" s="733"/>
      <c r="AP44" s="733"/>
      <c r="AQ44" s="733"/>
      <c r="AR44" s="733"/>
      <c r="AS44" s="733"/>
      <c r="AT44" s="733"/>
      <c r="AU44" s="733"/>
      <c r="AV44" s="733"/>
      <c r="AW44" s="842"/>
      <c r="AX44" s="818"/>
      <c r="AY44" s="818"/>
      <c r="AZ44" s="818"/>
      <c r="BA44" s="818"/>
      <c r="BB44" s="818"/>
      <c r="BC44" s="381"/>
      <c r="BD44" s="291">
        <f t="shared" si="2"/>
        <v>0</v>
      </c>
      <c r="BE44" s="767" t="str">
        <f>IF(AW44="","",HLOOKUP(AW44,AssociatedRef!$AP$1:$BZ$123,LOOKUP($CD$2,AssociatedRef!$AP$2:$AP$123,AssociatedRef!$AQ$2:$AQ$123),FALSE))</f>
        <v/>
      </c>
      <c r="BF44" s="767"/>
      <c r="BG44" s="381" t="s">
        <v>347</v>
      </c>
      <c r="BH44" s="292" t="str">
        <f t="shared" si="3"/>
        <v/>
      </c>
      <c r="BI44" s="1163"/>
      <c r="BJ44" s="767"/>
      <c r="BK44" s="767"/>
      <c r="BL44" s="767"/>
      <c r="BM44" s="767"/>
      <c r="BN44" s="1196"/>
      <c r="BO44" s="1196"/>
      <c r="BP44" s="727"/>
      <c r="BQ44" s="727"/>
      <c r="BR44" s="727"/>
      <c r="BS44" s="727"/>
      <c r="BT44" s="728"/>
      <c r="BU44" s="424"/>
      <c r="BZ44" s="283">
        <f t="shared" si="7"/>
        <v>0</v>
      </c>
      <c r="CA44" s="421"/>
      <c r="CB44" s="421"/>
    </row>
    <row r="45" spans="1:81" ht="15" customHeight="1" x14ac:dyDescent="0.25">
      <c r="A45" s="1163"/>
      <c r="B45" s="767"/>
      <c r="C45" s="767"/>
      <c r="D45" s="767"/>
      <c r="E45" s="767"/>
      <c r="F45" s="767"/>
      <c r="G45" s="767"/>
      <c r="H45" s="767"/>
      <c r="I45" s="724" t="s">
        <v>32</v>
      </c>
      <c r="J45" s="724"/>
      <c r="K45" s="724"/>
      <c r="L45" s="724"/>
      <c r="M45" s="767">
        <f>15-M44</f>
        <v>15</v>
      </c>
      <c r="N45" s="767"/>
      <c r="O45" s="767"/>
      <c r="P45" s="767"/>
      <c r="Q45" s="767"/>
      <c r="R45" s="767"/>
      <c r="S45" s="767"/>
      <c r="T45" s="767"/>
      <c r="U45" s="767"/>
      <c r="V45" s="767"/>
      <c r="W45" s="767"/>
      <c r="X45" s="768"/>
      <c r="Y45" s="733"/>
      <c r="Z45" s="733"/>
      <c r="AA45" s="733"/>
      <c r="AB45" s="733"/>
      <c r="AC45" s="733"/>
      <c r="AD45" s="733"/>
      <c r="AE45" s="733"/>
      <c r="AF45" s="733"/>
      <c r="AG45" s="733"/>
      <c r="AH45" s="733"/>
      <c r="AI45" s="733"/>
      <c r="AJ45" s="733"/>
      <c r="AK45" s="733"/>
      <c r="AL45" s="733"/>
      <c r="AM45" s="733"/>
      <c r="AN45" s="733"/>
      <c r="AO45" s="733"/>
      <c r="AP45" s="733"/>
      <c r="AQ45" s="733"/>
      <c r="AR45" s="733"/>
      <c r="AS45" s="733"/>
      <c r="AT45" s="733"/>
      <c r="AU45" s="733"/>
      <c r="AV45" s="733"/>
      <c r="AW45" s="842"/>
      <c r="AX45" s="818"/>
      <c r="AY45" s="818"/>
      <c r="AZ45" s="818"/>
      <c r="BA45" s="818"/>
      <c r="BB45" s="818"/>
      <c r="BC45" s="381"/>
      <c r="BD45" s="291">
        <f t="shared" si="2"/>
        <v>0</v>
      </c>
      <c r="BE45" s="767" t="str">
        <f>IF(AW45="","",HLOOKUP(AW45,AssociatedRef!$AP$1:$BZ$123,LOOKUP($CD$2,AssociatedRef!$AP$2:$AP$123,AssociatedRef!$AQ$2:$AQ$123),FALSE))</f>
        <v/>
      </c>
      <c r="BF45" s="767"/>
      <c r="BG45" s="381" t="s">
        <v>347</v>
      </c>
      <c r="BH45" s="292" t="str">
        <f t="shared" si="3"/>
        <v/>
      </c>
      <c r="BI45" s="1163"/>
      <c r="BJ45" s="767"/>
      <c r="BK45" s="767"/>
      <c r="BL45" s="767"/>
      <c r="BM45" s="767"/>
      <c r="BN45" s="1196"/>
      <c r="BO45" s="1196"/>
      <c r="BP45" s="727"/>
      <c r="BQ45" s="727"/>
      <c r="BR45" s="727"/>
      <c r="BS45" s="727"/>
      <c r="BT45" s="728"/>
      <c r="BU45" s="424"/>
      <c r="BZ45" s="283">
        <f t="shared" si="7"/>
        <v>0</v>
      </c>
      <c r="CA45" s="421"/>
      <c r="CB45" s="421"/>
    </row>
    <row r="46" spans="1:81" ht="15" customHeight="1" thickBot="1" x14ac:dyDescent="0.3">
      <c r="A46" s="1176"/>
      <c r="B46" s="804"/>
      <c r="C46" s="804"/>
      <c r="D46" s="804"/>
      <c r="E46" s="804"/>
      <c r="F46" s="804"/>
      <c r="G46" s="804"/>
      <c r="H46" s="804"/>
      <c r="I46" s="803" t="s">
        <v>29</v>
      </c>
      <c r="J46" s="803"/>
      <c r="K46" s="803"/>
      <c r="L46" s="803"/>
      <c r="M46" s="804" t="str">
        <f>IF(M45=0,"Yes","No")</f>
        <v>No</v>
      </c>
      <c r="N46" s="804"/>
      <c r="O46" s="804"/>
      <c r="P46" s="804"/>
      <c r="Q46" s="804"/>
      <c r="R46" s="804"/>
      <c r="S46" s="804"/>
      <c r="T46" s="804"/>
      <c r="U46" s="804"/>
      <c r="V46" s="804"/>
      <c r="W46" s="804"/>
      <c r="X46" s="817"/>
      <c r="Y46" s="1195"/>
      <c r="Z46" s="1195"/>
      <c r="AA46" s="1195"/>
      <c r="AB46" s="1195"/>
      <c r="AC46" s="1195"/>
      <c r="AD46" s="1195"/>
      <c r="AE46" s="1195"/>
      <c r="AF46" s="1195"/>
      <c r="AG46" s="1195"/>
      <c r="AH46" s="1195"/>
      <c r="AI46" s="1195"/>
      <c r="AJ46" s="1195"/>
      <c r="AK46" s="1195"/>
      <c r="AL46" s="1195"/>
      <c r="AM46" s="1195"/>
      <c r="AN46" s="1195"/>
      <c r="AO46" s="1195"/>
      <c r="AP46" s="1195"/>
      <c r="AQ46" s="1195"/>
      <c r="AR46" s="1195"/>
      <c r="AS46" s="1195"/>
      <c r="AT46" s="1195"/>
      <c r="AU46" s="1195"/>
      <c r="AV46" s="1195"/>
      <c r="AW46" s="1194"/>
      <c r="AX46" s="845"/>
      <c r="AY46" s="845"/>
      <c r="AZ46" s="845"/>
      <c r="BA46" s="845"/>
      <c r="BB46" s="845"/>
      <c r="BC46" s="379"/>
      <c r="BD46" s="301">
        <f t="shared" si="2"/>
        <v>0</v>
      </c>
      <c r="BE46" s="804" t="str">
        <f>IF(AW46="","",HLOOKUP(AW46,AssociatedRef!$AP$1:$BZ$123,LOOKUP($CD$2,AssociatedRef!$AP$2:$AP$123,AssociatedRef!$AQ$2:$AQ$123),FALSE))</f>
        <v/>
      </c>
      <c r="BF46" s="804"/>
      <c r="BG46" s="379" t="s">
        <v>347</v>
      </c>
      <c r="BH46" s="302" t="str">
        <f t="shared" si="3"/>
        <v/>
      </c>
      <c r="BI46" s="1176"/>
      <c r="BJ46" s="804"/>
      <c r="BK46" s="804"/>
      <c r="BL46" s="804"/>
      <c r="BM46" s="804"/>
      <c r="BN46" s="1197"/>
      <c r="BO46" s="1197"/>
      <c r="BP46" s="865"/>
      <c r="BQ46" s="865"/>
      <c r="BR46" s="865"/>
      <c r="BS46" s="865"/>
      <c r="BT46" s="921"/>
      <c r="BU46" s="424"/>
      <c r="BZ46" s="283">
        <f t="shared" si="7"/>
        <v>0</v>
      </c>
      <c r="CA46" s="421"/>
      <c r="CB46" s="421"/>
    </row>
    <row r="47" spans="1:81" x14ac:dyDescent="0.25">
      <c r="CA47" s="421"/>
      <c r="CB47" s="421"/>
    </row>
    <row r="48" spans="1:81" x14ac:dyDescent="0.25">
      <c r="CA48" s="421"/>
      <c r="CB48" s="421"/>
    </row>
    <row r="49" spans="15:80" x14ac:dyDescent="0.25">
      <c r="CA49" s="421"/>
      <c r="CB49" s="421"/>
    </row>
    <row r="50" spans="15:80" x14ac:dyDescent="0.25">
      <c r="CA50" s="421"/>
      <c r="CB50" s="421"/>
    </row>
    <row r="51" spans="15:80" x14ac:dyDescent="0.25">
      <c r="CA51" s="421"/>
      <c r="CB51" s="421"/>
    </row>
    <row r="52" spans="15:80" x14ac:dyDescent="0.25">
      <c r="CA52" s="421"/>
      <c r="CB52" s="421"/>
    </row>
    <row r="53" spans="15:80" x14ac:dyDescent="0.25">
      <c r="CA53" s="421"/>
      <c r="CB53" s="421"/>
    </row>
    <row r="54" spans="15:80" x14ac:dyDescent="0.25">
      <c r="BZ54" s="421"/>
      <c r="CA54" s="421"/>
    </row>
    <row r="55" spans="15:80" x14ac:dyDescent="0.25">
      <c r="BZ55" s="421"/>
      <c r="CA55" s="421"/>
    </row>
    <row r="56" spans="15:80" x14ac:dyDescent="0.25">
      <c r="BZ56" s="421"/>
      <c r="CA56" s="421"/>
    </row>
    <row r="57" spans="15:80" x14ac:dyDescent="0.25">
      <c r="O57" s="421"/>
      <c r="BZ57" s="421"/>
      <c r="CA57" s="421"/>
    </row>
    <row r="58" spans="15:80" x14ac:dyDescent="0.25">
      <c r="O58" s="421"/>
      <c r="BZ58" s="421"/>
      <c r="CA58" s="421"/>
    </row>
    <row r="59" spans="15:80" x14ac:dyDescent="0.25">
      <c r="BZ59" s="421"/>
      <c r="CA59" s="421"/>
    </row>
    <row r="60" spans="15:80" x14ac:dyDescent="0.25">
      <c r="BZ60" s="421"/>
      <c r="CA60" s="421"/>
    </row>
    <row r="61" spans="15:80" x14ac:dyDescent="0.25">
      <c r="BZ61" s="421"/>
      <c r="CA61" s="421"/>
    </row>
    <row r="62" spans="15:80" x14ac:dyDescent="0.25">
      <c r="BZ62" s="421"/>
      <c r="CA62" s="421"/>
    </row>
    <row r="63" spans="15:80" x14ac:dyDescent="0.25">
      <c r="BZ63" s="421"/>
      <c r="CA63" s="421"/>
    </row>
    <row r="64" spans="15:80" x14ac:dyDescent="0.25">
      <c r="BZ64" s="421"/>
      <c r="CA64" s="421"/>
    </row>
    <row r="65" spans="77:83" x14ac:dyDescent="0.25">
      <c r="BZ65" s="421"/>
      <c r="CA65" s="421"/>
    </row>
    <row r="66" spans="77:83" x14ac:dyDescent="0.25">
      <c r="BZ66" s="421"/>
      <c r="CA66" s="421"/>
    </row>
    <row r="67" spans="77:83" x14ac:dyDescent="0.25">
      <c r="BY67" s="421"/>
      <c r="BZ67" s="421"/>
    </row>
    <row r="68" spans="77:83" x14ac:dyDescent="0.25">
      <c r="BY68" s="421"/>
      <c r="BZ68" s="421"/>
    </row>
    <row r="69" spans="77:83" x14ac:dyDescent="0.25">
      <c r="BY69" s="421"/>
      <c r="BZ69" s="421"/>
    </row>
    <row r="70" spans="77:83" x14ac:dyDescent="0.25">
      <c r="BY70" s="421"/>
      <c r="BZ70" s="421"/>
    </row>
    <row r="71" spans="77:83" x14ac:dyDescent="0.25">
      <c r="BY71" s="421"/>
      <c r="BZ71" s="421"/>
    </row>
    <row r="72" spans="77:83" x14ac:dyDescent="0.25">
      <c r="BY72" s="421"/>
      <c r="BZ72" s="421"/>
    </row>
    <row r="73" spans="77:83" x14ac:dyDescent="0.25">
      <c r="BY73" s="421"/>
      <c r="BZ73" s="421"/>
    </row>
    <row r="74" spans="77:83" x14ac:dyDescent="0.25">
      <c r="BY74" s="421"/>
      <c r="BZ74" s="421"/>
    </row>
    <row r="75" spans="77:83" x14ac:dyDescent="0.25">
      <c r="BY75" s="421"/>
      <c r="BZ75" s="421"/>
    </row>
    <row r="76" spans="77:83" x14ac:dyDescent="0.25">
      <c r="CD76" s="421"/>
      <c r="CE76" s="421"/>
    </row>
    <row r="77" spans="77:83" x14ac:dyDescent="0.25">
      <c r="CD77" s="421"/>
      <c r="CE77" s="421"/>
    </row>
    <row r="78" spans="77:83" x14ac:dyDescent="0.25">
      <c r="CD78" s="421"/>
      <c r="CE78" s="421"/>
    </row>
    <row r="79" spans="77:83" x14ac:dyDescent="0.25">
      <c r="CD79" s="421"/>
      <c r="CE79" s="421"/>
    </row>
    <row r="80" spans="77:83" x14ac:dyDescent="0.25">
      <c r="CD80" s="421"/>
      <c r="CE80" s="421"/>
    </row>
    <row r="81" spans="82:83" x14ac:dyDescent="0.25">
      <c r="CD81" s="421"/>
      <c r="CE81" s="421"/>
    </row>
    <row r="82" spans="82:83" x14ac:dyDescent="0.25">
      <c r="CD82" s="421"/>
      <c r="CE82" s="421"/>
    </row>
    <row r="83" spans="82:83" x14ac:dyDescent="0.25">
      <c r="CD83" s="421"/>
      <c r="CE83" s="421"/>
    </row>
    <row r="84" spans="82:83" x14ac:dyDescent="0.25">
      <c r="CD84" s="421"/>
      <c r="CE84" s="421"/>
    </row>
    <row r="85" spans="82:83" x14ac:dyDescent="0.25">
      <c r="CD85" s="421"/>
      <c r="CE85" s="421"/>
    </row>
    <row r="86" spans="82:83" x14ac:dyDescent="0.25">
      <c r="CD86" s="421"/>
      <c r="CE86" s="421"/>
    </row>
    <row r="87" spans="82:83" x14ac:dyDescent="0.25">
      <c r="CD87" s="421"/>
      <c r="CE87" s="421"/>
    </row>
    <row r="88" spans="82:83" x14ac:dyDescent="0.25">
      <c r="CD88" s="421"/>
      <c r="CE88" s="421"/>
    </row>
    <row r="89" spans="82:83" x14ac:dyDescent="0.25">
      <c r="CD89" s="421"/>
      <c r="CE89" s="421"/>
    </row>
    <row r="90" spans="82:83" x14ac:dyDescent="0.25">
      <c r="CD90" s="421"/>
      <c r="CE90" s="421"/>
    </row>
    <row r="91" spans="82:83" x14ac:dyDescent="0.25">
      <c r="CD91" s="421"/>
      <c r="CE91" s="421"/>
    </row>
    <row r="92" spans="82:83" x14ac:dyDescent="0.25">
      <c r="CD92" s="421"/>
      <c r="CE92" s="421"/>
    </row>
    <row r="93" spans="82:83" x14ac:dyDescent="0.25">
      <c r="CD93" s="421"/>
      <c r="CE93" s="421"/>
    </row>
    <row r="94" spans="82:83" x14ac:dyDescent="0.25">
      <c r="CD94" s="421"/>
      <c r="CE94" s="421"/>
    </row>
    <row r="95" spans="82:83" x14ac:dyDescent="0.25">
      <c r="CD95" s="421"/>
      <c r="CE95" s="421"/>
    </row>
    <row r="96" spans="82:83" x14ac:dyDescent="0.25">
      <c r="CD96" s="421"/>
      <c r="CE96" s="421"/>
    </row>
    <row r="97" spans="82:83" x14ac:dyDescent="0.25">
      <c r="CD97" s="421"/>
      <c r="CE97" s="421"/>
    </row>
    <row r="98" spans="82:83" x14ac:dyDescent="0.25">
      <c r="CD98" s="421"/>
      <c r="CE98" s="421"/>
    </row>
    <row r="99" spans="82:83" x14ac:dyDescent="0.25">
      <c r="CD99" s="421"/>
      <c r="CE99" s="421"/>
    </row>
    <row r="100" spans="82:83" x14ac:dyDescent="0.25">
      <c r="CD100" s="421"/>
      <c r="CE100" s="421"/>
    </row>
    <row r="101" spans="82:83" x14ac:dyDescent="0.25">
      <c r="CD101" s="421"/>
      <c r="CE101" s="421"/>
    </row>
    <row r="102" spans="82:83" x14ac:dyDescent="0.25">
      <c r="CD102" s="421"/>
      <c r="CE102" s="421"/>
    </row>
    <row r="103" spans="82:83" x14ac:dyDescent="0.25">
      <c r="CD103" s="421"/>
      <c r="CE103" s="421"/>
    </row>
    <row r="104" spans="82:83" x14ac:dyDescent="0.25">
      <c r="CD104" s="421"/>
      <c r="CE104" s="421"/>
    </row>
    <row r="105" spans="82:83" x14ac:dyDescent="0.25">
      <c r="CD105" s="421"/>
      <c r="CE105" s="421"/>
    </row>
    <row r="106" spans="82:83" x14ac:dyDescent="0.25">
      <c r="CD106" s="421"/>
      <c r="CE106" s="421"/>
    </row>
    <row r="107" spans="82:83" x14ac:dyDescent="0.25">
      <c r="CD107" s="421"/>
      <c r="CE107" s="421"/>
    </row>
    <row r="108" spans="82:83" x14ac:dyDescent="0.25">
      <c r="CD108" s="421"/>
      <c r="CE108" s="421"/>
    </row>
    <row r="109" spans="82:83" x14ac:dyDescent="0.25">
      <c r="CD109" s="421"/>
      <c r="CE109" s="421"/>
    </row>
    <row r="110" spans="82:83" x14ac:dyDescent="0.25">
      <c r="CD110" s="421"/>
      <c r="CE110" s="421"/>
    </row>
    <row r="111" spans="82:83" x14ac:dyDescent="0.25">
      <c r="CD111" s="421"/>
      <c r="CE111" s="421"/>
    </row>
    <row r="112" spans="82:83" x14ac:dyDescent="0.25">
      <c r="CD112" s="421"/>
      <c r="CE112" s="421"/>
    </row>
    <row r="113" spans="82:83" x14ac:dyDescent="0.25">
      <c r="CD113" s="421"/>
      <c r="CE113" s="421"/>
    </row>
    <row r="114" spans="82:83" x14ac:dyDescent="0.25">
      <c r="CD114" s="421"/>
      <c r="CE114" s="421"/>
    </row>
    <row r="115" spans="82:83" x14ac:dyDescent="0.25">
      <c r="CD115" s="421"/>
      <c r="CE115" s="421"/>
    </row>
    <row r="116" spans="82:83" x14ac:dyDescent="0.25">
      <c r="CD116" s="421"/>
      <c r="CE116" s="421"/>
    </row>
    <row r="117" spans="82:83" x14ac:dyDescent="0.25">
      <c r="CD117" s="421"/>
      <c r="CE117" s="421"/>
    </row>
    <row r="118" spans="82:83" x14ac:dyDescent="0.25">
      <c r="CD118" s="421"/>
      <c r="CE118" s="421"/>
    </row>
    <row r="119" spans="82:83" x14ac:dyDescent="0.25">
      <c r="CD119" s="421"/>
      <c r="CE119" s="421"/>
    </row>
    <row r="120" spans="82:83" x14ac:dyDescent="0.25">
      <c r="CD120" s="421"/>
      <c r="CE120" s="421"/>
    </row>
    <row r="121" spans="82:83" x14ac:dyDescent="0.25">
      <c r="CD121" s="421"/>
      <c r="CE121" s="421"/>
    </row>
    <row r="122" spans="82:83" x14ac:dyDescent="0.25">
      <c r="CD122" s="421"/>
      <c r="CE122" s="421"/>
    </row>
  </sheetData>
  <sheetProtection password="E9C2" sheet="1" objects="1" scenarios="1" selectLockedCells="1"/>
  <sortState ref="BZ1:BZ122">
    <sortCondition ref="BZ1"/>
  </sortState>
  <mergeCells count="604">
    <mergeCell ref="Y28:AB28"/>
    <mergeCell ref="AC28:AE28"/>
    <mergeCell ref="AF28:AG28"/>
    <mergeCell ref="U27:X28"/>
    <mergeCell ref="AT29:AV29"/>
    <mergeCell ref="AC5:AE5"/>
    <mergeCell ref="AF5:AG5"/>
    <mergeCell ref="AJ10:AM10"/>
    <mergeCell ref="AN10:AS10"/>
    <mergeCell ref="AJ9:AM9"/>
    <mergeCell ref="AN9:AS9"/>
    <mergeCell ref="AT9:AV9"/>
    <mergeCell ref="Y9:AB9"/>
    <mergeCell ref="AC9:AE9"/>
    <mergeCell ref="AF9:AG9"/>
    <mergeCell ref="AH5:AI5"/>
    <mergeCell ref="AJ5:AM5"/>
    <mergeCell ref="AN5:AS5"/>
    <mergeCell ref="AN7:AS7"/>
    <mergeCell ref="Y8:AB8"/>
    <mergeCell ref="AC8:AE8"/>
    <mergeCell ref="AF8:AG8"/>
    <mergeCell ref="AH8:AI8"/>
    <mergeCell ref="AJ8:AM8"/>
    <mergeCell ref="AN8:AS8"/>
    <mergeCell ref="AT8:AV8"/>
    <mergeCell ref="AT5:AV5"/>
    <mergeCell ref="AJ14:AM14"/>
    <mergeCell ref="Y12:AB12"/>
    <mergeCell ref="AC12:AE12"/>
    <mergeCell ref="AF12:AG12"/>
    <mergeCell ref="AJ12:AM12"/>
    <mergeCell ref="AN12:AS12"/>
    <mergeCell ref="AF13:AG13"/>
    <mergeCell ref="AH13:AI13"/>
    <mergeCell ref="AJ13:AM13"/>
    <mergeCell ref="Y13:AB13"/>
    <mergeCell ref="AC13:AE13"/>
    <mergeCell ref="AF14:AG14"/>
    <mergeCell ref="AH14:AI14"/>
    <mergeCell ref="Y1:AM2"/>
    <mergeCell ref="AN1:AV2"/>
    <mergeCell ref="BO3:BP3"/>
    <mergeCell ref="BQ3:BR3"/>
    <mergeCell ref="AW1:BH2"/>
    <mergeCell ref="BI1:BT2"/>
    <mergeCell ref="AU3:AV3"/>
    <mergeCell ref="BM3:BN3"/>
    <mergeCell ref="Y3:AB3"/>
    <mergeCell ref="AC3:AE3"/>
    <mergeCell ref="AF3:AG3"/>
    <mergeCell ref="AH3:AI3"/>
    <mergeCell ref="AJ3:AM3"/>
    <mergeCell ref="AN3:AT3"/>
    <mergeCell ref="AW3:BB3"/>
    <mergeCell ref="BC3:BD3"/>
    <mergeCell ref="BE3:BF3"/>
    <mergeCell ref="BI3:BJ3"/>
    <mergeCell ref="BK3:BL3"/>
    <mergeCell ref="BS5:BT5"/>
    <mergeCell ref="AW5:BB5"/>
    <mergeCell ref="BE5:BF5"/>
    <mergeCell ref="BO5:BP5"/>
    <mergeCell ref="BS3:BT3"/>
    <mergeCell ref="Y4:AB4"/>
    <mergeCell ref="BG3:BH3"/>
    <mergeCell ref="BS4:BT4"/>
    <mergeCell ref="AW4:BB4"/>
    <mergeCell ref="BE4:BF4"/>
    <mergeCell ref="AC4:AE4"/>
    <mergeCell ref="AF4:AG4"/>
    <mergeCell ref="AH4:AI4"/>
    <mergeCell ref="AJ4:AM4"/>
    <mergeCell ref="AN4:AT4"/>
    <mergeCell ref="AU4:AV4"/>
    <mergeCell ref="BM4:BN4"/>
    <mergeCell ref="BO4:BP4"/>
    <mergeCell ref="BQ4:BR4"/>
    <mergeCell ref="BI4:BJ4"/>
    <mergeCell ref="BI5:BJ5"/>
    <mergeCell ref="BK4:BL4"/>
    <mergeCell ref="BK5:BL5"/>
    <mergeCell ref="Y5:AB5"/>
    <mergeCell ref="BS6:BT6"/>
    <mergeCell ref="AW6:BB6"/>
    <mergeCell ref="BE6:BF6"/>
    <mergeCell ref="Y6:AB6"/>
    <mergeCell ref="AC6:AE6"/>
    <mergeCell ref="AF6:AG6"/>
    <mergeCell ref="AH6:AI6"/>
    <mergeCell ref="AJ6:AM6"/>
    <mergeCell ref="BO6:BP6"/>
    <mergeCell ref="BM6:BN6"/>
    <mergeCell ref="AN6:AS6"/>
    <mergeCell ref="AT6:AV6"/>
    <mergeCell ref="BI6:BJ6"/>
    <mergeCell ref="AW8:BB8"/>
    <mergeCell ref="AT7:AV7"/>
    <mergeCell ref="AW7:BB7"/>
    <mergeCell ref="BK6:BL6"/>
    <mergeCell ref="BQ6:BR6"/>
    <mergeCell ref="BK12:BL12"/>
    <mergeCell ref="BI7:BJ7"/>
    <mergeCell ref="BI8:BJ8"/>
    <mergeCell ref="BI9:BJ9"/>
    <mergeCell ref="BQ7:BR7"/>
    <mergeCell ref="BQ12:BR12"/>
    <mergeCell ref="BQ10:BR10"/>
    <mergeCell ref="BM5:BN5"/>
    <mergeCell ref="BQ5:BR5"/>
    <mergeCell ref="BK7:BL7"/>
    <mergeCell ref="BK8:BL8"/>
    <mergeCell ref="BK9:BL9"/>
    <mergeCell ref="BK10:BL10"/>
    <mergeCell ref="BK11:BL11"/>
    <mergeCell ref="BE8:BF8"/>
    <mergeCell ref="BM8:BN8"/>
    <mergeCell ref="BO8:BP8"/>
    <mergeCell ref="BM9:BN9"/>
    <mergeCell ref="BO9:BP9"/>
    <mergeCell ref="BM10:BN10"/>
    <mergeCell ref="BI10:BJ10"/>
    <mergeCell ref="BS7:BT7"/>
    <mergeCell ref="BE7:BF7"/>
    <mergeCell ref="BM7:BN7"/>
    <mergeCell ref="BO7:BP7"/>
    <mergeCell ref="Y11:AB11"/>
    <mergeCell ref="AC11:AE11"/>
    <mergeCell ref="AT10:AV10"/>
    <mergeCell ref="AF11:AG11"/>
    <mergeCell ref="BQ9:BR9"/>
    <mergeCell ref="BS9:BT9"/>
    <mergeCell ref="AW9:BB9"/>
    <mergeCell ref="BE9:BF9"/>
    <mergeCell ref="Y7:AB7"/>
    <mergeCell ref="AC7:AE7"/>
    <mergeCell ref="AF7:AG7"/>
    <mergeCell ref="AH7:AI7"/>
    <mergeCell ref="AJ7:AM7"/>
    <mergeCell ref="Y10:AB10"/>
    <mergeCell ref="AC10:AE10"/>
    <mergeCell ref="AF10:AG10"/>
    <mergeCell ref="AH10:AI10"/>
    <mergeCell ref="BQ8:BR8"/>
    <mergeCell ref="BS8:BT8"/>
    <mergeCell ref="AH9:AI9"/>
    <mergeCell ref="BS12:BT12"/>
    <mergeCell ref="AT12:AV12"/>
    <mergeCell ref="AW12:BB12"/>
    <mergeCell ref="BE12:BF12"/>
    <mergeCell ref="AH12:AI12"/>
    <mergeCell ref="AN13:AS13"/>
    <mergeCell ref="AT13:AV13"/>
    <mergeCell ref="AW13:BB13"/>
    <mergeCell ref="BQ13:BR13"/>
    <mergeCell ref="BS13:BT13"/>
    <mergeCell ref="BE13:BF13"/>
    <mergeCell ref="BM13:BN13"/>
    <mergeCell ref="BO13:BP13"/>
    <mergeCell ref="BI12:BJ12"/>
    <mergeCell ref="BI13:BL13"/>
    <mergeCell ref="BM12:BN12"/>
    <mergeCell ref="BO12:BP12"/>
    <mergeCell ref="Y15:AB15"/>
    <mergeCell ref="AC15:AE15"/>
    <mergeCell ref="BZ2:CC2"/>
    <mergeCell ref="Y18:AB18"/>
    <mergeCell ref="AC18:AE18"/>
    <mergeCell ref="S12:X12"/>
    <mergeCell ref="S13:X13"/>
    <mergeCell ref="E12:N12"/>
    <mergeCell ref="E13:N13"/>
    <mergeCell ref="BS10:BT10"/>
    <mergeCell ref="BO10:BP10"/>
    <mergeCell ref="BE11:BF11"/>
    <mergeCell ref="BM11:BN11"/>
    <mergeCell ref="BO11:BP11"/>
    <mergeCell ref="BQ11:BR11"/>
    <mergeCell ref="BS11:BT11"/>
    <mergeCell ref="AH11:AI11"/>
    <mergeCell ref="AJ11:AM11"/>
    <mergeCell ref="AN11:AS11"/>
    <mergeCell ref="AT11:AV11"/>
    <mergeCell ref="AW11:BB11"/>
    <mergeCell ref="AW10:BB10"/>
    <mergeCell ref="BE10:BF10"/>
    <mergeCell ref="BI11:BJ11"/>
    <mergeCell ref="AF15:AG15"/>
    <mergeCell ref="AH15:AI15"/>
    <mergeCell ref="AJ15:AM15"/>
    <mergeCell ref="AN15:AS15"/>
    <mergeCell ref="AN16:AS16"/>
    <mergeCell ref="AN14:AS14"/>
    <mergeCell ref="AN17:AS17"/>
    <mergeCell ref="AN18:AS18"/>
    <mergeCell ref="A16:L17"/>
    <mergeCell ref="Y16:AB16"/>
    <mergeCell ref="AC16:AE16"/>
    <mergeCell ref="AF16:AG16"/>
    <mergeCell ref="AH16:AI16"/>
    <mergeCell ref="AJ16:AM16"/>
    <mergeCell ref="Y17:AB17"/>
    <mergeCell ref="AC17:AE17"/>
    <mergeCell ref="AF17:AG17"/>
    <mergeCell ref="AH17:AI17"/>
    <mergeCell ref="AJ17:AM17"/>
    <mergeCell ref="AF18:AG18"/>
    <mergeCell ref="AH18:AI18"/>
    <mergeCell ref="AJ18:AM18"/>
    <mergeCell ref="Y14:AB14"/>
    <mergeCell ref="AC14:AE14"/>
    <mergeCell ref="AW14:BB14"/>
    <mergeCell ref="BE14:BF14"/>
    <mergeCell ref="BI14:BN15"/>
    <mergeCell ref="BO14:BP15"/>
    <mergeCell ref="BQ14:BT17"/>
    <mergeCell ref="AT15:AV15"/>
    <mergeCell ref="AW15:BB15"/>
    <mergeCell ref="BE15:BF15"/>
    <mergeCell ref="AT16:AV16"/>
    <mergeCell ref="AW16:BB16"/>
    <mergeCell ref="BE16:BF16"/>
    <mergeCell ref="BI16:BN16"/>
    <mergeCell ref="BO16:BP16"/>
    <mergeCell ref="AW17:BB17"/>
    <mergeCell ref="BE17:BF17"/>
    <mergeCell ref="BI17:BN17"/>
    <mergeCell ref="BO17:BP17"/>
    <mergeCell ref="AT17:AV17"/>
    <mergeCell ref="AT14:AV14"/>
    <mergeCell ref="A21:D21"/>
    <mergeCell ref="I21:L21"/>
    <mergeCell ref="M21:P21"/>
    <mergeCell ref="Q21:T21"/>
    <mergeCell ref="E21:F21"/>
    <mergeCell ref="G21:H21"/>
    <mergeCell ref="G18:H18"/>
    <mergeCell ref="A18:D18"/>
    <mergeCell ref="I18:L18"/>
    <mergeCell ref="M18:P18"/>
    <mergeCell ref="Q18:T18"/>
    <mergeCell ref="A20:D20"/>
    <mergeCell ref="I20:L20"/>
    <mergeCell ref="M20:P20"/>
    <mergeCell ref="Q20:T20"/>
    <mergeCell ref="A19:D19"/>
    <mergeCell ref="I19:L19"/>
    <mergeCell ref="M19:P19"/>
    <mergeCell ref="Q19:T19"/>
    <mergeCell ref="E18:F18"/>
    <mergeCell ref="Y20:AB20"/>
    <mergeCell ref="Y19:AB19"/>
    <mergeCell ref="AC19:AE19"/>
    <mergeCell ref="AF19:AG19"/>
    <mergeCell ref="AH19:AI19"/>
    <mergeCell ref="I22:L23"/>
    <mergeCell ref="AJ22:AM22"/>
    <mergeCell ref="Y22:AB22"/>
    <mergeCell ref="AF21:AG21"/>
    <mergeCell ref="AH21:AI21"/>
    <mergeCell ref="AC23:AE23"/>
    <mergeCell ref="M23:P23"/>
    <mergeCell ref="Q23:T23"/>
    <mergeCell ref="AF23:AG23"/>
    <mergeCell ref="U20:X20"/>
    <mergeCell ref="U21:X21"/>
    <mergeCell ref="U22:X22"/>
    <mergeCell ref="U23:X23"/>
    <mergeCell ref="U19:X19"/>
    <mergeCell ref="AN19:AS19"/>
    <mergeCell ref="AT19:AV19"/>
    <mergeCell ref="AW19:BB19"/>
    <mergeCell ref="BE19:BF19"/>
    <mergeCell ref="AJ19:AM19"/>
    <mergeCell ref="AT18:AV18"/>
    <mergeCell ref="BP20:BT20"/>
    <mergeCell ref="AT20:AV20"/>
    <mergeCell ref="BE21:BF21"/>
    <mergeCell ref="BI21:BL21"/>
    <mergeCell ref="BP21:BT21"/>
    <mergeCell ref="AT21:AV21"/>
    <mergeCell ref="AW21:BB21"/>
    <mergeCell ref="AW20:BB20"/>
    <mergeCell ref="BE20:BF20"/>
    <mergeCell ref="BI20:BL20"/>
    <mergeCell ref="BN20:BO20"/>
    <mergeCell ref="AW18:BB18"/>
    <mergeCell ref="BE18:BF18"/>
    <mergeCell ref="BI18:BT19"/>
    <mergeCell ref="E26:F26"/>
    <mergeCell ref="G26:H26"/>
    <mergeCell ref="E22:H22"/>
    <mergeCell ref="M22:P22"/>
    <mergeCell ref="Q22:T22"/>
    <mergeCell ref="A23:D23"/>
    <mergeCell ref="E23:H23"/>
    <mergeCell ref="A22:D22"/>
    <mergeCell ref="AN24:AS24"/>
    <mergeCell ref="AN22:AS22"/>
    <mergeCell ref="Y23:AB23"/>
    <mergeCell ref="AH26:AI26"/>
    <mergeCell ref="U24:X24"/>
    <mergeCell ref="M24:P24"/>
    <mergeCell ref="Q24:T24"/>
    <mergeCell ref="AH23:AI23"/>
    <mergeCell ref="AJ23:AM23"/>
    <mergeCell ref="AF26:AG26"/>
    <mergeCell ref="Y26:AB26"/>
    <mergeCell ref="AC26:AE26"/>
    <mergeCell ref="M25:X26"/>
    <mergeCell ref="A28:D28"/>
    <mergeCell ref="E28:H28"/>
    <mergeCell ref="Y21:AB21"/>
    <mergeCell ref="AC21:AE21"/>
    <mergeCell ref="AC20:AE20"/>
    <mergeCell ref="AF20:AG20"/>
    <mergeCell ref="AH20:AI20"/>
    <mergeCell ref="AJ20:AM20"/>
    <mergeCell ref="AN20:AS20"/>
    <mergeCell ref="AJ21:AM21"/>
    <mergeCell ref="AN21:AS21"/>
    <mergeCell ref="Y24:AB24"/>
    <mergeCell ref="AC24:AE24"/>
    <mergeCell ref="AF24:AG24"/>
    <mergeCell ref="AC22:AE22"/>
    <mergeCell ref="AF22:AG22"/>
    <mergeCell ref="AH22:AI22"/>
    <mergeCell ref="A24:L24"/>
    <mergeCell ref="A26:D26"/>
    <mergeCell ref="I26:L26"/>
    <mergeCell ref="E25:F25"/>
    <mergeCell ref="G25:H25"/>
    <mergeCell ref="A25:D25"/>
    <mergeCell ref="I25:L25"/>
    <mergeCell ref="BP24:BT24"/>
    <mergeCell ref="AH24:AI24"/>
    <mergeCell ref="AJ24:AM24"/>
    <mergeCell ref="BP22:BT22"/>
    <mergeCell ref="BP23:BT23"/>
    <mergeCell ref="AN23:AS23"/>
    <mergeCell ref="AT24:AV24"/>
    <mergeCell ref="AW24:BB24"/>
    <mergeCell ref="BE24:BF24"/>
    <mergeCell ref="BI24:BL24"/>
    <mergeCell ref="AT22:AV22"/>
    <mergeCell ref="AT23:AV23"/>
    <mergeCell ref="AW23:BB23"/>
    <mergeCell ref="BE23:BF23"/>
    <mergeCell ref="BI23:BL23"/>
    <mergeCell ref="AW22:BB22"/>
    <mergeCell ref="BE22:BF22"/>
    <mergeCell ref="BI22:BL22"/>
    <mergeCell ref="AW25:BB25"/>
    <mergeCell ref="BE25:BF25"/>
    <mergeCell ref="BI25:BL25"/>
    <mergeCell ref="BP25:BT25"/>
    <mergeCell ref="AN25:AS25"/>
    <mergeCell ref="A33:D33"/>
    <mergeCell ref="I33:L33"/>
    <mergeCell ref="M33:P33"/>
    <mergeCell ref="Q33:R33"/>
    <mergeCell ref="Y25:AB25"/>
    <mergeCell ref="AC25:AE25"/>
    <mergeCell ref="AF25:AG25"/>
    <mergeCell ref="AH25:AI25"/>
    <mergeCell ref="AJ25:AM25"/>
    <mergeCell ref="A32:D32"/>
    <mergeCell ref="I32:L32"/>
    <mergeCell ref="M32:P32"/>
    <mergeCell ref="Q32:R32"/>
    <mergeCell ref="S32:T32"/>
    <mergeCell ref="BP26:BT26"/>
    <mergeCell ref="S33:T33"/>
    <mergeCell ref="AT25:AV25"/>
    <mergeCell ref="AT27:AV27"/>
    <mergeCell ref="BP28:BT28"/>
    <mergeCell ref="BI28:BL28"/>
    <mergeCell ref="AW27:BB27"/>
    <mergeCell ref="BP34:BT34"/>
    <mergeCell ref="BE27:BF27"/>
    <mergeCell ref="BI27:BL27"/>
    <mergeCell ref="BP27:BT27"/>
    <mergeCell ref="AJ27:AM27"/>
    <mergeCell ref="AN27:AS27"/>
    <mergeCell ref="AN26:AS26"/>
    <mergeCell ref="AT26:AV26"/>
    <mergeCell ref="AW26:BB26"/>
    <mergeCell ref="BE26:BF26"/>
    <mergeCell ref="BI26:BL26"/>
    <mergeCell ref="AJ26:AM26"/>
    <mergeCell ref="BE30:BF30"/>
    <mergeCell ref="BI29:BT30"/>
    <mergeCell ref="BP32:BT32"/>
    <mergeCell ref="BI31:BL31"/>
    <mergeCell ref="BP31:BT31"/>
    <mergeCell ref="AW32:BB32"/>
    <mergeCell ref="BI33:BL33"/>
    <mergeCell ref="BP33:BT33"/>
    <mergeCell ref="AW33:BB33"/>
    <mergeCell ref="BE33:BF33"/>
    <mergeCell ref="BN31:BO31"/>
    <mergeCell ref="AW30:BB30"/>
    <mergeCell ref="BE29:BF29"/>
    <mergeCell ref="BE32:BF32"/>
    <mergeCell ref="BI32:BL32"/>
    <mergeCell ref="BE31:BF31"/>
    <mergeCell ref="A31:D31"/>
    <mergeCell ref="I31:L31"/>
    <mergeCell ref="M31:P31"/>
    <mergeCell ref="Q31:R31"/>
    <mergeCell ref="AH31:AI31"/>
    <mergeCell ref="Y29:AB29"/>
    <mergeCell ref="AC29:AE29"/>
    <mergeCell ref="AF29:AG29"/>
    <mergeCell ref="AH29:AI29"/>
    <mergeCell ref="Y30:AB30"/>
    <mergeCell ref="AH30:AI30"/>
    <mergeCell ref="AC30:AE30"/>
    <mergeCell ref="AF30:AG30"/>
    <mergeCell ref="Y31:AB31"/>
    <mergeCell ref="AC31:AE31"/>
    <mergeCell ref="AF31:AG31"/>
    <mergeCell ref="Q29:R29"/>
    <mergeCell ref="S29:T29"/>
    <mergeCell ref="M27:T28"/>
    <mergeCell ref="Y32:AB32"/>
    <mergeCell ref="AC32:AE32"/>
    <mergeCell ref="AC33:AE33"/>
    <mergeCell ref="AJ31:AM31"/>
    <mergeCell ref="AW29:BB29"/>
    <mergeCell ref="AF27:AG27"/>
    <mergeCell ref="AH27:AI27"/>
    <mergeCell ref="AH28:AI28"/>
    <mergeCell ref="M30:P30"/>
    <mergeCell ref="Q30:R30"/>
    <mergeCell ref="S30:T30"/>
    <mergeCell ref="AJ28:AM28"/>
    <mergeCell ref="AT28:AV28"/>
    <mergeCell ref="AN28:AS28"/>
    <mergeCell ref="M29:P29"/>
    <mergeCell ref="U30:V30"/>
    <mergeCell ref="W30:X30"/>
    <mergeCell ref="AN30:AS30"/>
    <mergeCell ref="AT30:AV30"/>
    <mergeCell ref="Y27:AB27"/>
    <mergeCell ref="AC27:AE27"/>
    <mergeCell ref="U29:V29"/>
    <mergeCell ref="W29:X29"/>
    <mergeCell ref="AJ29:AM29"/>
    <mergeCell ref="A34:D34"/>
    <mergeCell ref="E34:H34"/>
    <mergeCell ref="AW34:BB34"/>
    <mergeCell ref="Y33:AB33"/>
    <mergeCell ref="E33:F33"/>
    <mergeCell ref="G33:H33"/>
    <mergeCell ref="E31:F31"/>
    <mergeCell ref="G31:H31"/>
    <mergeCell ref="E32:F32"/>
    <mergeCell ref="G32:H32"/>
    <mergeCell ref="AT31:AV31"/>
    <mergeCell ref="AW31:BB31"/>
    <mergeCell ref="AF34:AV35"/>
    <mergeCell ref="AJ30:AM30"/>
    <mergeCell ref="Y38:AE38"/>
    <mergeCell ref="AF38:AV38"/>
    <mergeCell ref="Y39:AV46"/>
    <mergeCell ref="Y36:AE37"/>
    <mergeCell ref="AF36:AV37"/>
    <mergeCell ref="BO40:BO46"/>
    <mergeCell ref="BP40:BT46"/>
    <mergeCell ref="BP39:BT39"/>
    <mergeCell ref="BN40:BN46"/>
    <mergeCell ref="AW40:BB40"/>
    <mergeCell ref="BE40:BF40"/>
    <mergeCell ref="BI40:BL40"/>
    <mergeCell ref="BI39:BL39"/>
    <mergeCell ref="AW38:BB38"/>
    <mergeCell ref="BE38:BF38"/>
    <mergeCell ref="BI38:BL38"/>
    <mergeCell ref="AW43:BB43"/>
    <mergeCell ref="BE43:BF43"/>
    <mergeCell ref="BI43:BM46"/>
    <mergeCell ref="AW44:BB44"/>
    <mergeCell ref="BE44:BF44"/>
    <mergeCell ref="AW45:BB45"/>
    <mergeCell ref="AW41:BB41"/>
    <mergeCell ref="BE41:BF41"/>
    <mergeCell ref="I40:L40"/>
    <mergeCell ref="M40:P40"/>
    <mergeCell ref="Q40:T40"/>
    <mergeCell ref="A36:X37"/>
    <mergeCell ref="A40:D40"/>
    <mergeCell ref="A39:D39"/>
    <mergeCell ref="M39:P39"/>
    <mergeCell ref="Q39:T39"/>
    <mergeCell ref="U39:X39"/>
    <mergeCell ref="U38:X38"/>
    <mergeCell ref="U40:X40"/>
    <mergeCell ref="BI41:BL41"/>
    <mergeCell ref="BE45:BF45"/>
    <mergeCell ref="AW46:BB46"/>
    <mergeCell ref="BE46:BF46"/>
    <mergeCell ref="AW42:BB42"/>
    <mergeCell ref="BI42:BL42"/>
    <mergeCell ref="BI36:BL36"/>
    <mergeCell ref="BI35:BL35"/>
    <mergeCell ref="BP38:BT38"/>
    <mergeCell ref="AW39:BB39"/>
    <mergeCell ref="BE39:BF39"/>
    <mergeCell ref="AW37:BB37"/>
    <mergeCell ref="BP37:BT37"/>
    <mergeCell ref="BE37:BF37"/>
    <mergeCell ref="BI37:BL37"/>
    <mergeCell ref="BP35:BT35"/>
    <mergeCell ref="AW35:BB35"/>
    <mergeCell ref="BE35:BF35"/>
    <mergeCell ref="AW36:BB36"/>
    <mergeCell ref="BP36:BT36"/>
    <mergeCell ref="U43:X43"/>
    <mergeCell ref="I46:L46"/>
    <mergeCell ref="M46:P46"/>
    <mergeCell ref="I45:L45"/>
    <mergeCell ref="M45:P45"/>
    <mergeCell ref="A30:L30"/>
    <mergeCell ref="M16:X17"/>
    <mergeCell ref="A29:D29"/>
    <mergeCell ref="E29:H29"/>
    <mergeCell ref="A27:D27"/>
    <mergeCell ref="I27:L27"/>
    <mergeCell ref="I28:L29"/>
    <mergeCell ref="A42:D42"/>
    <mergeCell ref="E42:H42"/>
    <mergeCell ref="I42:L42"/>
    <mergeCell ref="M42:P42"/>
    <mergeCell ref="Q42:T42"/>
    <mergeCell ref="A41:D41"/>
    <mergeCell ref="E41:H41"/>
    <mergeCell ref="I41:L41"/>
    <mergeCell ref="M41:P41"/>
    <mergeCell ref="Q41:T41"/>
    <mergeCell ref="U42:X42"/>
    <mergeCell ref="E40:H40"/>
    <mergeCell ref="BI34:BL34"/>
    <mergeCell ref="CD2:CG2"/>
    <mergeCell ref="A12:D12"/>
    <mergeCell ref="O12:R12"/>
    <mergeCell ref="BZ1:CC1"/>
    <mergeCell ref="CD1:CG1"/>
    <mergeCell ref="A13:D13"/>
    <mergeCell ref="E27:F27"/>
    <mergeCell ref="G27:H27"/>
    <mergeCell ref="U31:X35"/>
    <mergeCell ref="S31:T31"/>
    <mergeCell ref="BE34:BF34"/>
    <mergeCell ref="AN31:AS31"/>
    <mergeCell ref="A35:D35"/>
    <mergeCell ref="E35:H35"/>
    <mergeCell ref="M34:T35"/>
    <mergeCell ref="I34:L35"/>
    <mergeCell ref="AF32:AG32"/>
    <mergeCell ref="AH32:AI32"/>
    <mergeCell ref="AJ32:AM32"/>
    <mergeCell ref="AN32:AS32"/>
    <mergeCell ref="Y34:AE35"/>
    <mergeCell ref="AN29:AS29"/>
    <mergeCell ref="BE28:BF28"/>
    <mergeCell ref="AW28:BB28"/>
    <mergeCell ref="AT32:AV32"/>
    <mergeCell ref="AJ33:AM33"/>
    <mergeCell ref="AN33:AS33"/>
    <mergeCell ref="AT33:AV33"/>
    <mergeCell ref="AF33:AG33"/>
    <mergeCell ref="AH33:AI33"/>
    <mergeCell ref="BE36:BF36"/>
    <mergeCell ref="A43:H46"/>
    <mergeCell ref="I44:L44"/>
    <mergeCell ref="M44:P44"/>
    <mergeCell ref="Q44:X46"/>
    <mergeCell ref="I43:L43"/>
    <mergeCell ref="M43:P43"/>
    <mergeCell ref="Q43:T43"/>
    <mergeCell ref="U41:X41"/>
    <mergeCell ref="E39:H39"/>
    <mergeCell ref="BE42:BF42"/>
    <mergeCell ref="I39:L39"/>
    <mergeCell ref="A38:D38"/>
    <mergeCell ref="E38:H38"/>
    <mergeCell ref="I38:L38"/>
    <mergeCell ref="M38:P38"/>
    <mergeCell ref="Q38:T38"/>
    <mergeCell ref="A1:D1"/>
    <mergeCell ref="A2:D2"/>
    <mergeCell ref="E1:H1"/>
    <mergeCell ref="E2:H2"/>
    <mergeCell ref="E19:F19"/>
    <mergeCell ref="G19:H19"/>
    <mergeCell ref="E20:F20"/>
    <mergeCell ref="G20:H20"/>
    <mergeCell ref="A14:X15"/>
    <mergeCell ref="A3:X11"/>
    <mergeCell ref="O13:R13"/>
    <mergeCell ref="U18:X18"/>
    <mergeCell ref="I1:L2"/>
    <mergeCell ref="M1:X2"/>
  </mergeCells>
  <conditionalFormatting sqref="E22:H22 E28:H28 E34:H34">
    <cfRule type="expression" dxfId="369" priority="379">
      <formula>NOT($M$1="Prioritize Your Attribute Groups")</formula>
    </cfRule>
    <cfRule type="notContainsText" dxfId="368" priority="382" operator="notContains" text="Select">
      <formula>ISERROR(SEARCH("Select",E22))</formula>
    </cfRule>
    <cfRule type="expression" dxfId="367" priority="383">
      <formula>$M$1="Prioritize Your Attribute Groups"</formula>
    </cfRule>
  </conditionalFormatting>
  <conditionalFormatting sqref="E22:H22">
    <cfRule type="expression" dxfId="366" priority="378">
      <formula>AND(NOT($E$22="Select"),OR($E$22=$E$28,$E$22=$E$34))</formula>
    </cfRule>
  </conditionalFormatting>
  <conditionalFormatting sqref="E28:H28">
    <cfRule type="expression" dxfId="365" priority="377">
      <formula>AND(NOT($E$28="Select"),OR($E$22=$E$28,$E$28=$E$34))</formula>
    </cfRule>
  </conditionalFormatting>
  <conditionalFormatting sqref="E34:H34">
    <cfRule type="expression" dxfId="364" priority="376">
      <formula>AND(NOT($E$34="Select"),OR($E$34=$E$28,$E$22=$E$34))</formula>
    </cfRule>
  </conditionalFormatting>
  <conditionalFormatting sqref="AW4:BC46 BO4:BP12">
    <cfRule type="expression" dxfId="363" priority="373">
      <formula>$BO$17="yes"</formula>
    </cfRule>
    <cfRule type="expression" dxfId="362" priority="375">
      <formula>$M$1="Select Advantages"</formula>
    </cfRule>
  </conditionalFormatting>
  <conditionalFormatting sqref="AW4:BC46">
    <cfRule type="notContainsBlanks" dxfId="361" priority="371">
      <formula>LEN(TRIM(AW4))&gt;0</formula>
    </cfRule>
    <cfRule type="notContainsBlanks" dxfId="360" priority="374">
      <formula>LEN(TRIM(AW4))&gt;0</formula>
    </cfRule>
  </conditionalFormatting>
  <conditionalFormatting sqref="I19:L21 I25:L27 I31:L33 S30:T33 W30:X30 AU4:AV4 AN6:AS33 AW4:BC46 BQ4:BR4 BN21:BO21 BN32:BO39 AF4:AG4">
    <cfRule type="expression" dxfId="359" priority="372">
      <formula>$M$1="Spend Bonus Points"</formula>
    </cfRule>
  </conditionalFormatting>
  <conditionalFormatting sqref="G31:H33">
    <cfRule type="expression" dxfId="358" priority="313">
      <formula>NOT($M$1="Select Mental Attributes")</formula>
    </cfRule>
    <cfRule type="expression" dxfId="357" priority="322">
      <formula>$M$1="Select Mental Attributes"</formula>
    </cfRule>
  </conditionalFormatting>
  <conditionalFormatting sqref="G25:H27">
    <cfRule type="expression" dxfId="356" priority="310">
      <formula>NOT($M$1="Select Social Attributes")</formula>
    </cfRule>
    <cfRule type="expression" dxfId="355" priority="321">
      <formula>$M$1="Select Social Attributes"</formula>
    </cfRule>
  </conditionalFormatting>
  <conditionalFormatting sqref="G19:H21">
    <cfRule type="expression" dxfId="354" priority="307">
      <formula>NOT($M$1="Select Physical Attributes")</formula>
    </cfRule>
    <cfRule type="expression" dxfId="353" priority="320">
      <formula>$M$1="Select Physical Attributes"</formula>
    </cfRule>
  </conditionalFormatting>
  <conditionalFormatting sqref="S30:T30">
    <cfRule type="expression" dxfId="352" priority="275">
      <formula>$S$30+$Q$30&gt;5</formula>
    </cfRule>
    <cfRule type="expression" dxfId="351" priority="276">
      <formula>$S$30+$Q$30=5</formula>
    </cfRule>
  </conditionalFormatting>
  <conditionalFormatting sqref="S31:T31">
    <cfRule type="expression" dxfId="350" priority="273">
      <formula>$S$31+$Q$31&gt;5</formula>
    </cfRule>
    <cfRule type="expression" dxfId="349" priority="274">
      <formula>$S$31+$Q$31=5</formula>
    </cfRule>
  </conditionalFormatting>
  <conditionalFormatting sqref="S32:T32">
    <cfRule type="expression" dxfId="348" priority="271">
      <formula>$S$32+$Q$32&gt;5</formula>
    </cfRule>
    <cfRule type="expression" dxfId="347" priority="272">
      <formula>$S$32+$Q$32=5</formula>
    </cfRule>
  </conditionalFormatting>
  <conditionalFormatting sqref="S33:T33">
    <cfRule type="expression" dxfId="346" priority="269">
      <formula>$S$33+$Q$33&gt;5</formula>
    </cfRule>
    <cfRule type="expression" dxfId="345" priority="270">
      <formula>$S$33+$Q$33=5</formula>
    </cfRule>
  </conditionalFormatting>
  <conditionalFormatting sqref="AF4:AG4">
    <cfRule type="expression" dxfId="344" priority="238">
      <formula>$AF$4+$AC$4&gt;5</formula>
    </cfRule>
    <cfRule type="expression" dxfId="343" priority="268">
      <formula>AC4+AF4=5</formula>
    </cfRule>
  </conditionalFormatting>
  <conditionalFormatting sqref="AF5:AG5">
    <cfRule type="expression" dxfId="342" priority="235">
      <formula>$M$1="Spend Bonus Points"</formula>
    </cfRule>
  </conditionalFormatting>
  <conditionalFormatting sqref="AF5:AG5">
    <cfRule type="expression" dxfId="341" priority="233">
      <formula>$AF$4+$AC$4&gt;5</formula>
    </cfRule>
    <cfRule type="expression" dxfId="340" priority="234">
      <formula>AC5+AF5=5</formula>
    </cfRule>
  </conditionalFormatting>
  <conditionalFormatting sqref="AF6:AG6">
    <cfRule type="expression" dxfId="339" priority="232">
      <formula>$M$1="Spend Bonus Points"</formula>
    </cfRule>
  </conditionalFormatting>
  <conditionalFormatting sqref="AF6:AG6">
    <cfRule type="expression" dxfId="338" priority="230">
      <formula>$AF$4+$AC$4&gt;5</formula>
    </cfRule>
    <cfRule type="expression" dxfId="337" priority="231">
      <formula>AC6+AF6=5</formula>
    </cfRule>
  </conditionalFormatting>
  <conditionalFormatting sqref="AF7:AG7">
    <cfRule type="expression" dxfId="336" priority="229">
      <formula>$M$1="Spend Bonus Points"</formula>
    </cfRule>
  </conditionalFormatting>
  <conditionalFormatting sqref="AF7:AG7">
    <cfRule type="expression" dxfId="335" priority="227">
      <formula>$AF$4+$AC$4&gt;5</formula>
    </cfRule>
    <cfRule type="expression" dxfId="334" priority="228">
      <formula>AC7+AF7=5</formula>
    </cfRule>
  </conditionalFormatting>
  <conditionalFormatting sqref="AF8:AG8">
    <cfRule type="expression" dxfId="333" priority="226">
      <formula>$M$1="Spend Bonus Points"</formula>
    </cfRule>
  </conditionalFormatting>
  <conditionalFormatting sqref="AF8:AG8">
    <cfRule type="expression" dxfId="332" priority="224">
      <formula>$AF$4+$AC$4&gt;5</formula>
    </cfRule>
    <cfRule type="expression" dxfId="331" priority="225">
      <formula>AC8+AF8=5</formula>
    </cfRule>
  </conditionalFormatting>
  <conditionalFormatting sqref="AF9:AG9">
    <cfRule type="expression" dxfId="330" priority="223">
      <formula>$M$1="Spend Bonus Points"</formula>
    </cfRule>
  </conditionalFormatting>
  <conditionalFormatting sqref="AF9:AG9">
    <cfRule type="expression" dxfId="329" priority="221">
      <formula>$AF$4+$AC$4&gt;5</formula>
    </cfRule>
    <cfRule type="expression" dxfId="328" priority="222">
      <formula>AC9+AF9=5</formula>
    </cfRule>
  </conditionalFormatting>
  <conditionalFormatting sqref="AF10:AG10">
    <cfRule type="expression" dxfId="327" priority="220">
      <formula>$M$1="Spend Bonus Points"</formula>
    </cfRule>
  </conditionalFormatting>
  <conditionalFormatting sqref="AF10:AG10">
    <cfRule type="expression" dxfId="326" priority="218">
      <formula>$AF$4+$AC$4&gt;5</formula>
    </cfRule>
    <cfRule type="expression" dxfId="325" priority="219">
      <formula>AC10+AF10=5</formula>
    </cfRule>
  </conditionalFormatting>
  <conditionalFormatting sqref="AF11:AG11">
    <cfRule type="expression" dxfId="324" priority="217">
      <formula>$M$1="Spend Bonus Points"</formula>
    </cfRule>
  </conditionalFormatting>
  <conditionalFormatting sqref="AF11:AG11">
    <cfRule type="expression" dxfId="323" priority="215">
      <formula>$AF$4+$AC$4&gt;5</formula>
    </cfRule>
    <cfRule type="expression" dxfId="322" priority="216">
      <formula>AC11+AF11=5</formula>
    </cfRule>
  </conditionalFormatting>
  <conditionalFormatting sqref="AF12:AG12">
    <cfRule type="expression" dxfId="321" priority="214">
      <formula>$M$1="Spend Bonus Points"</formula>
    </cfRule>
  </conditionalFormatting>
  <conditionalFormatting sqref="AF12:AG12">
    <cfRule type="expression" dxfId="320" priority="212">
      <formula>$AF$4+$AC$4&gt;5</formula>
    </cfRule>
    <cfRule type="expression" dxfId="319" priority="213">
      <formula>AC12+AF12=5</formula>
    </cfRule>
  </conditionalFormatting>
  <conditionalFormatting sqref="AF13:AG13">
    <cfRule type="expression" dxfId="318" priority="211">
      <formula>$M$1="Spend Bonus Points"</formula>
    </cfRule>
  </conditionalFormatting>
  <conditionalFormatting sqref="AF13:AG13">
    <cfRule type="expression" dxfId="317" priority="209">
      <formula>$AF$4+$AC$4&gt;5</formula>
    </cfRule>
    <cfRule type="expression" dxfId="316" priority="210">
      <formula>AC13+AF13=5</formula>
    </cfRule>
  </conditionalFormatting>
  <conditionalFormatting sqref="AF14:AG14">
    <cfRule type="expression" dxfId="315" priority="208">
      <formula>$M$1="Spend Bonus Points"</formula>
    </cfRule>
  </conditionalFormatting>
  <conditionalFormatting sqref="AF14:AG14">
    <cfRule type="expression" dxfId="314" priority="206">
      <formula>$AF$4+$AC$4&gt;5</formula>
    </cfRule>
    <cfRule type="expression" dxfId="313" priority="207">
      <formula>AC14+AF14=5</formula>
    </cfRule>
  </conditionalFormatting>
  <conditionalFormatting sqref="AF15:AG15">
    <cfRule type="expression" dxfId="312" priority="205">
      <formula>$M$1="Spend Bonus Points"</formula>
    </cfRule>
  </conditionalFormatting>
  <conditionalFormatting sqref="AF15:AG15">
    <cfRule type="expression" dxfId="311" priority="203">
      <formula>$AF$4+$AC$4&gt;5</formula>
    </cfRule>
    <cfRule type="expression" dxfId="310" priority="204">
      <formula>AC15+AF15=5</formula>
    </cfRule>
  </conditionalFormatting>
  <conditionalFormatting sqref="AF16:AG16">
    <cfRule type="expression" dxfId="309" priority="202">
      <formula>$M$1="Spend Bonus Points"</formula>
    </cfRule>
  </conditionalFormatting>
  <conditionalFormatting sqref="AF16:AG16">
    <cfRule type="expression" dxfId="308" priority="200">
      <formula>$AF$4+$AC$4&gt;5</formula>
    </cfRule>
    <cfRule type="expression" dxfId="307" priority="201">
      <formula>AC16+AF16=5</formula>
    </cfRule>
  </conditionalFormatting>
  <conditionalFormatting sqref="AF17:AG17">
    <cfRule type="expression" dxfId="306" priority="199">
      <formula>$M$1="Spend Bonus Points"</formula>
    </cfRule>
  </conditionalFormatting>
  <conditionalFormatting sqref="AF17:AG17">
    <cfRule type="expression" dxfId="305" priority="197">
      <formula>$AF$4+$AC$4&gt;5</formula>
    </cfRule>
    <cfRule type="expression" dxfId="304" priority="198">
      <formula>AC17+AF17=5</formula>
    </cfRule>
  </conditionalFormatting>
  <conditionalFormatting sqref="AF18:AG18">
    <cfRule type="expression" dxfId="303" priority="196">
      <formula>$M$1="Spend Bonus Points"</formula>
    </cfRule>
  </conditionalFormatting>
  <conditionalFormatting sqref="AF18:AG18">
    <cfRule type="expression" dxfId="302" priority="194">
      <formula>$AF$4+$AC$4&gt;5</formula>
    </cfRule>
    <cfRule type="expression" dxfId="301" priority="195">
      <formula>AC18+AF18=5</formula>
    </cfRule>
  </conditionalFormatting>
  <conditionalFormatting sqref="AF19:AG19">
    <cfRule type="expression" dxfId="300" priority="193">
      <formula>$M$1="Spend Bonus Points"</formula>
    </cfRule>
  </conditionalFormatting>
  <conditionalFormatting sqref="AF19:AG19">
    <cfRule type="expression" dxfId="299" priority="191">
      <formula>$AF$4+$AC$4&gt;5</formula>
    </cfRule>
    <cfRule type="expression" dxfId="298" priority="192">
      <formula>AC19+AF19=5</formula>
    </cfRule>
  </conditionalFormatting>
  <conditionalFormatting sqref="AF20:AG20">
    <cfRule type="expression" dxfId="297" priority="190">
      <formula>$M$1="Spend Bonus Points"</formula>
    </cfRule>
  </conditionalFormatting>
  <conditionalFormatting sqref="AF20:AG20">
    <cfRule type="expression" dxfId="296" priority="188">
      <formula>$AF$4+$AC$4&gt;5</formula>
    </cfRule>
    <cfRule type="expression" dxfId="295" priority="189">
      <formula>AC20+AF20=5</formula>
    </cfRule>
  </conditionalFormatting>
  <conditionalFormatting sqref="AF21:AG21">
    <cfRule type="expression" dxfId="294" priority="187">
      <formula>$M$1="Spend Bonus Points"</formula>
    </cfRule>
  </conditionalFormatting>
  <conditionalFormatting sqref="AF21:AG21">
    <cfRule type="expression" dxfId="293" priority="185">
      <formula>$AF$4+$AC$4&gt;5</formula>
    </cfRule>
    <cfRule type="expression" dxfId="292" priority="186">
      <formula>AC21+AF21=5</formula>
    </cfRule>
  </conditionalFormatting>
  <conditionalFormatting sqref="AF22:AG22">
    <cfRule type="expression" dxfId="291" priority="184">
      <formula>$M$1="Spend Bonus Points"</formula>
    </cfRule>
  </conditionalFormatting>
  <conditionalFormatting sqref="AF22:AG22">
    <cfRule type="expression" dxfId="290" priority="182">
      <formula>$AF$4+$AC$4&gt;5</formula>
    </cfRule>
    <cfRule type="expression" dxfId="289" priority="183">
      <formula>AC22+AF22=5</formula>
    </cfRule>
  </conditionalFormatting>
  <conditionalFormatting sqref="AF23:AG23">
    <cfRule type="expression" dxfId="288" priority="181">
      <formula>$M$1="Spend Bonus Points"</formula>
    </cfRule>
  </conditionalFormatting>
  <conditionalFormatting sqref="AF23:AG23">
    <cfRule type="expression" dxfId="287" priority="179">
      <formula>$AF$4+$AC$4&gt;5</formula>
    </cfRule>
    <cfRule type="expression" dxfId="286" priority="180">
      <formula>AC23+AF23=5</formula>
    </cfRule>
  </conditionalFormatting>
  <conditionalFormatting sqref="AF24:AG24">
    <cfRule type="expression" dxfId="285" priority="178">
      <formula>$M$1="Spend Bonus Points"</formula>
    </cfRule>
  </conditionalFormatting>
  <conditionalFormatting sqref="AF24:AG24">
    <cfRule type="expression" dxfId="284" priority="176">
      <formula>$AF$4+$AC$4&gt;5</formula>
    </cfRule>
    <cfRule type="expression" dxfId="283" priority="177">
      <formula>AC24+AF24=5</formula>
    </cfRule>
  </conditionalFormatting>
  <conditionalFormatting sqref="AF25:AG25">
    <cfRule type="expression" dxfId="282" priority="175">
      <formula>$M$1="Spend Bonus Points"</formula>
    </cfRule>
  </conditionalFormatting>
  <conditionalFormatting sqref="AF25:AG25">
    <cfRule type="expression" dxfId="281" priority="173">
      <formula>$AF$4+$AC$4&gt;5</formula>
    </cfRule>
    <cfRule type="expression" dxfId="280" priority="174">
      <formula>AC25+AF25=5</formula>
    </cfRule>
  </conditionalFormatting>
  <conditionalFormatting sqref="AF26:AG26">
    <cfRule type="expression" dxfId="279" priority="172">
      <formula>$M$1="Spend Bonus Points"</formula>
    </cfRule>
  </conditionalFormatting>
  <conditionalFormatting sqref="AF26:AG26">
    <cfRule type="expression" dxfId="278" priority="170">
      <formula>$AF$4+$AC$4&gt;5</formula>
    </cfRule>
    <cfRule type="expression" dxfId="277" priority="171">
      <formula>AC26+AF26=5</formula>
    </cfRule>
  </conditionalFormatting>
  <conditionalFormatting sqref="AF27:AG27">
    <cfRule type="expression" dxfId="276" priority="169">
      <formula>$M$1="Spend Bonus Points"</formula>
    </cfRule>
  </conditionalFormatting>
  <conditionalFormatting sqref="AF27:AG27">
    <cfRule type="expression" dxfId="275" priority="167">
      <formula>$AF$4+$AC$4&gt;5</formula>
    </cfRule>
    <cfRule type="expression" dxfId="274" priority="168">
      <formula>AC27+AF27=5</formula>
    </cfRule>
  </conditionalFormatting>
  <conditionalFormatting sqref="AF28:AG28">
    <cfRule type="expression" dxfId="273" priority="166">
      <formula>$M$1="Spend Bonus Points"</formula>
    </cfRule>
  </conditionalFormatting>
  <conditionalFormatting sqref="AF28:AG28">
    <cfRule type="expression" dxfId="272" priority="164">
      <formula>$AF$4+$AC$4&gt;5</formula>
    </cfRule>
    <cfRule type="expression" dxfId="271" priority="165">
      <formula>AC28+AF28=5</formula>
    </cfRule>
  </conditionalFormatting>
  <conditionalFormatting sqref="AF29:AG29">
    <cfRule type="expression" dxfId="270" priority="163">
      <formula>$M$1="Spend Bonus Points"</formula>
    </cfRule>
  </conditionalFormatting>
  <conditionalFormatting sqref="AF29:AG29">
    <cfRule type="expression" dxfId="269" priority="161">
      <formula>$AF$4+$AC$4&gt;5</formula>
    </cfRule>
    <cfRule type="expression" dxfId="268" priority="162">
      <formula>AC29+AF29=5</formula>
    </cfRule>
  </conditionalFormatting>
  <conditionalFormatting sqref="AF30:AG30">
    <cfRule type="expression" dxfId="267" priority="160">
      <formula>$M$1="Spend Bonus Points"</formula>
    </cfRule>
  </conditionalFormatting>
  <conditionalFormatting sqref="AF30:AG30">
    <cfRule type="expression" dxfId="266" priority="158">
      <formula>$AF$4+$AC$4&gt;5</formula>
    </cfRule>
    <cfRule type="expression" dxfId="265" priority="159">
      <formula>AC30+AF30=5</formula>
    </cfRule>
  </conditionalFormatting>
  <conditionalFormatting sqref="AF31:AG31">
    <cfRule type="expression" dxfId="264" priority="157">
      <formula>$M$1="Spend Bonus Points"</formula>
    </cfRule>
  </conditionalFormatting>
  <conditionalFormatting sqref="AF31:AG31">
    <cfRule type="expression" dxfId="263" priority="155">
      <formula>$AF$4+$AC$4&gt;5</formula>
    </cfRule>
    <cfRule type="expression" dxfId="262" priority="156">
      <formula>AC31+AF31=5</formula>
    </cfRule>
  </conditionalFormatting>
  <conditionalFormatting sqref="AF32:AG32">
    <cfRule type="expression" dxfId="261" priority="154">
      <formula>$M$1="Spend Bonus Points"</formula>
    </cfRule>
  </conditionalFormatting>
  <conditionalFormatting sqref="AF32:AG32">
    <cfRule type="expression" dxfId="260" priority="152">
      <formula>$AF$4+$AC$4&gt;5</formula>
    </cfRule>
    <cfRule type="expression" dxfId="259" priority="153">
      <formula>AC32+AF32=5</formula>
    </cfRule>
  </conditionalFormatting>
  <conditionalFormatting sqref="AF33:AG33">
    <cfRule type="expression" dxfId="258" priority="151">
      <formula>$M$1="Spend Bonus Points"</formula>
    </cfRule>
  </conditionalFormatting>
  <conditionalFormatting sqref="AF33:AG33">
    <cfRule type="expression" dxfId="257" priority="149">
      <formula>$AF$4+$AC$4&gt;5</formula>
    </cfRule>
    <cfRule type="expression" dxfId="256" priority="150">
      <formula>AC33+AF33=5</formula>
    </cfRule>
  </conditionalFormatting>
  <conditionalFormatting sqref="AN6:AS33">
    <cfRule type="notContainsBlanks" dxfId="255" priority="148">
      <formula>LEN(TRIM(AN6))&gt;0</formula>
    </cfRule>
  </conditionalFormatting>
  <conditionalFormatting sqref="AU4:AV4">
    <cfRule type="expression" dxfId="254" priority="147">
      <formula>$AU$4+$AU$3&gt;12</formula>
    </cfRule>
  </conditionalFormatting>
  <conditionalFormatting sqref="BN21">
    <cfRule type="expression" dxfId="253" priority="117">
      <formula>BN21+BM21&gt;3</formula>
    </cfRule>
    <cfRule type="expression" dxfId="252" priority="118">
      <formula>BM21+BN21=3</formula>
    </cfRule>
  </conditionalFormatting>
  <conditionalFormatting sqref="BO21">
    <cfRule type="expression" dxfId="251" priority="115">
      <formula>BM21+BN21+BO21&gt;5</formula>
    </cfRule>
    <cfRule type="expression" dxfId="250" priority="116">
      <formula>BM21+BN21+BO21=5</formula>
    </cfRule>
  </conditionalFormatting>
  <conditionalFormatting sqref="BN22:BO22">
    <cfRule type="expression" dxfId="249" priority="79">
      <formula>$M$1="Spend Bonus Points"</formula>
    </cfRule>
  </conditionalFormatting>
  <conditionalFormatting sqref="BN22">
    <cfRule type="expression" dxfId="248" priority="77">
      <formula>BN22+BM22&gt;3</formula>
    </cfRule>
    <cfRule type="expression" dxfId="247" priority="78">
      <formula>BM22+BN22=3</formula>
    </cfRule>
  </conditionalFormatting>
  <conditionalFormatting sqref="BO22">
    <cfRule type="expression" dxfId="246" priority="75">
      <formula>BM22+BN22+BO22&gt;5</formula>
    </cfRule>
    <cfRule type="expression" dxfId="245" priority="76">
      <formula>BM22+BN22+BO22=5</formula>
    </cfRule>
  </conditionalFormatting>
  <conditionalFormatting sqref="BN23:BO23">
    <cfRule type="expression" dxfId="244" priority="74">
      <formula>$M$1="Spend Bonus Points"</formula>
    </cfRule>
  </conditionalFormatting>
  <conditionalFormatting sqref="BN23">
    <cfRule type="expression" dxfId="243" priority="72">
      <formula>BN23+BM23&gt;3</formula>
    </cfRule>
    <cfRule type="expression" dxfId="242" priority="73">
      <formula>BM23+BN23=3</formula>
    </cfRule>
  </conditionalFormatting>
  <conditionalFormatting sqref="BO23">
    <cfRule type="expression" dxfId="241" priority="70">
      <formula>BM23+BN23+BO23&gt;5</formula>
    </cfRule>
    <cfRule type="expression" dxfId="240" priority="71">
      <formula>BM23+BN23+BO23=5</formula>
    </cfRule>
  </conditionalFormatting>
  <conditionalFormatting sqref="BN24:BO24">
    <cfRule type="expression" dxfId="239" priority="69">
      <formula>$M$1="Spend Bonus Points"</formula>
    </cfRule>
  </conditionalFormatting>
  <conditionalFormatting sqref="BN24">
    <cfRule type="expression" dxfId="238" priority="67">
      <formula>BN24+BM24&gt;3</formula>
    </cfRule>
    <cfRule type="expression" dxfId="237" priority="68">
      <formula>BM24+BN24=3</formula>
    </cfRule>
  </conditionalFormatting>
  <conditionalFormatting sqref="BO24">
    <cfRule type="expression" dxfId="236" priority="65">
      <formula>BM24+BN24+BO24&gt;5</formula>
    </cfRule>
    <cfRule type="expression" dxfId="235" priority="66">
      <formula>BM24+BN24+BO24=5</formula>
    </cfRule>
  </conditionalFormatting>
  <conditionalFormatting sqref="BN25:BO25">
    <cfRule type="expression" dxfId="234" priority="64">
      <formula>$M$1="Spend Bonus Points"</formula>
    </cfRule>
  </conditionalFormatting>
  <conditionalFormatting sqref="BN25">
    <cfRule type="expression" dxfId="233" priority="62">
      <formula>BN25+BM25&gt;3</formula>
    </cfRule>
    <cfRule type="expression" dxfId="232" priority="63">
      <formula>BM25+BN25=3</formula>
    </cfRule>
  </conditionalFormatting>
  <conditionalFormatting sqref="BO25">
    <cfRule type="expression" dxfId="231" priority="60">
      <formula>BM25+BN25+BO25&gt;5</formula>
    </cfRule>
    <cfRule type="expression" dxfId="230" priority="61">
      <formula>BM25+BN25+BO25=5</formula>
    </cfRule>
  </conditionalFormatting>
  <conditionalFormatting sqref="BN26:BO26">
    <cfRule type="expression" dxfId="229" priority="59">
      <formula>$M$1="Spend Bonus Points"</formula>
    </cfRule>
  </conditionalFormatting>
  <conditionalFormatting sqref="BN26">
    <cfRule type="expression" dxfId="228" priority="57">
      <formula>BN26+BM26&gt;3</formula>
    </cfRule>
    <cfRule type="expression" dxfId="227" priority="58">
      <formula>BM26+BN26=3</formula>
    </cfRule>
  </conditionalFormatting>
  <conditionalFormatting sqref="BO26">
    <cfRule type="expression" dxfId="226" priority="55">
      <formula>BM26+BN26+BO26&gt;5</formula>
    </cfRule>
    <cfRule type="expression" dxfId="225" priority="56">
      <formula>BM26+BN26+BO26=5</formula>
    </cfRule>
  </conditionalFormatting>
  <conditionalFormatting sqref="BN27:BO27">
    <cfRule type="expression" dxfId="224" priority="54">
      <formula>$M$1="Spend Bonus Points"</formula>
    </cfRule>
  </conditionalFormatting>
  <conditionalFormatting sqref="BN27">
    <cfRule type="expression" dxfId="223" priority="52">
      <formula>BN27+BM27&gt;3</formula>
    </cfRule>
    <cfRule type="expression" dxfId="222" priority="53">
      <formula>BM27+BN27=3</formula>
    </cfRule>
  </conditionalFormatting>
  <conditionalFormatting sqref="BO27">
    <cfRule type="expression" dxfId="221" priority="50">
      <formula>BM27+BN27+BO27&gt;5</formula>
    </cfRule>
    <cfRule type="expression" dxfId="220" priority="51">
      <formula>BM27+BN27+BO27=5</formula>
    </cfRule>
  </conditionalFormatting>
  <conditionalFormatting sqref="BN28:BO28">
    <cfRule type="expression" dxfId="219" priority="49">
      <formula>$M$1="Spend Bonus Points"</formula>
    </cfRule>
  </conditionalFormatting>
  <conditionalFormatting sqref="BN28">
    <cfRule type="expression" dxfId="218" priority="47">
      <formula>BN28+BM28&gt;3</formula>
    </cfRule>
    <cfRule type="expression" dxfId="217" priority="48">
      <formula>BM28+BN28=3</formula>
    </cfRule>
  </conditionalFormatting>
  <conditionalFormatting sqref="BO28">
    <cfRule type="expression" dxfId="216" priority="45">
      <formula>BM28+BN28+BO28&gt;5</formula>
    </cfRule>
    <cfRule type="expression" dxfId="215" priority="46">
      <formula>BM28+BN28+BO28=5</formula>
    </cfRule>
  </conditionalFormatting>
  <conditionalFormatting sqref="A3:AB3 E25:AB26 A24:L24 A30:AB30 E27:L28 Y27:AB28 A44:H46 A38:D38 A43:L43 M44:BM46 E39:L42 M38:P38 E29:AB29 E19:L23 A18:D18 M18:AB18 Y16:AB17 A14:AB15 S12 Q43:BM43 BP40:BU46 Q39:BH42 BM40:BM42 E31:AB33 BO13:BU17 BK4:BT12 BI3:BJ3 E34:X35 AU3:AV3 A4:AI4 AW5:BH5 AU4:BH4 AN13:BL13 Q19:AB24 AN6:BH12 AN14:BH23 A5:AB11 AF5:AI23 AF24:BH33 Y12:AB13 CD1:CG2 E12:E13 AW34:BH38 BM21:BU28 BM32:BU39">
    <cfRule type="expression" dxfId="214" priority="38">
      <formula>$M$1="You're Done!"</formula>
    </cfRule>
  </conditionalFormatting>
  <conditionalFormatting sqref="BM21:BM28 BM32:BM39">
    <cfRule type="expression" dxfId="213" priority="39">
      <formula>$BM$41&lt;0</formula>
    </cfRule>
    <cfRule type="notContainsBlanks" dxfId="212" priority="40">
      <formula>LEN(TRIM(BM21))&gt;0</formula>
    </cfRule>
    <cfRule type="expression" dxfId="211" priority="41">
      <formula>$M$1="Select Birthrights"</formula>
    </cfRule>
  </conditionalFormatting>
  <conditionalFormatting sqref="AC5:AE33">
    <cfRule type="expression" dxfId="210" priority="37">
      <formula>$M$1="You're Done!"</formula>
    </cfRule>
  </conditionalFormatting>
  <conditionalFormatting sqref="S13">
    <cfRule type="expression" dxfId="209" priority="36">
      <formula>$M$1="Select Your Nature"</formula>
    </cfRule>
  </conditionalFormatting>
  <conditionalFormatting sqref="S13">
    <cfRule type="expression" dxfId="208" priority="35">
      <formula>$M$1="You're Done!"</formula>
    </cfRule>
  </conditionalFormatting>
  <conditionalFormatting sqref="AF38:AV38">
    <cfRule type="expression" dxfId="207" priority="33">
      <formula>$M$1="You're Done!"</formula>
    </cfRule>
  </conditionalFormatting>
  <conditionalFormatting sqref="AF34:AV37">
    <cfRule type="expression" dxfId="206" priority="34">
      <formula>$M$1="You're Done!"</formula>
    </cfRule>
  </conditionalFormatting>
  <conditionalFormatting sqref="BC4:BC46">
    <cfRule type="expression" dxfId="205" priority="31">
      <formula>IF(OR(AND($BE4="Yes",$BC4=$AU$3+$AU$4),AND($BE4="no",$BC4=$AU$4+$AU$3-1)),1,0)=1</formula>
    </cfRule>
    <cfRule type="expression" dxfId="204" priority="32">
      <formula>IF(OR(AND($BE4="Yes",$BC4&gt;$AU$3+$AU$4),AND($BE4="no",$BC4&gt;$AU$4+$AU$3-1)),1,0)=1</formula>
    </cfRule>
  </conditionalFormatting>
  <conditionalFormatting sqref="BO4:BP12">
    <cfRule type="expression" dxfId="203" priority="29">
      <formula>IF(OR(AND($BO4+$BM4&gt;$AU$3+$AU$4,$BU4="Yes"),AND($BO4+$BM4&gt;$AU$3+$AU$4-1,$BU4="No")),1,0)=1</formula>
    </cfRule>
    <cfRule type="expression" dxfId="202" priority="30">
      <formula>IF(OR(AND($BO4+$BM4=$AU$3+$AU$4,$BU4="Yes"),AND($BO4+$BM4=$AU$3+$AU$4-1,$BU4="No")),1,0)=1</formula>
    </cfRule>
  </conditionalFormatting>
  <conditionalFormatting sqref="BQ4:BR12">
    <cfRule type="expression" dxfId="201" priority="26">
      <formula>IF(OR(AND($BO4+$BQ4+$BM4=$AU$3+$AU$4,$BU4="Yes"),AND($BO4+$BQ4+$BM4=$AU$3+$AU$4-1,$BU4="No")),1,0)=1</formula>
    </cfRule>
    <cfRule type="expression" dxfId="200" priority="27">
      <formula>IF(OR(AND($BO4+$BQ4+$BM4&gt;$AU$3+$AU$4,$BU4="Yes"),AND($BO4+$BQ4+$BM4&gt;$AU$3+$AU$4-1,$BU4="No")),1,0)=1</formula>
    </cfRule>
    <cfRule type="expression" dxfId="199" priority="28">
      <formula>$M$1="Spend Bonus Points"</formula>
    </cfRule>
  </conditionalFormatting>
  <conditionalFormatting sqref="BI32:BL39">
    <cfRule type="expression" dxfId="198" priority="18">
      <formula>$M$1="You're Done!"</formula>
    </cfRule>
  </conditionalFormatting>
  <conditionalFormatting sqref="BI32:BL39">
    <cfRule type="expression" dxfId="197" priority="19">
      <formula>$BM$41&lt;0</formula>
    </cfRule>
    <cfRule type="notContainsBlanks" dxfId="196" priority="20">
      <formula>LEN(TRIM(BI32))&gt;0</formula>
    </cfRule>
    <cfRule type="expression" dxfId="195" priority="21">
      <formula>$M$1="Select Birthrights"</formula>
    </cfRule>
  </conditionalFormatting>
  <conditionalFormatting sqref="BI21:BL28">
    <cfRule type="expression" dxfId="194" priority="14">
      <formula>$M$1="You're Done!"</formula>
    </cfRule>
  </conditionalFormatting>
  <conditionalFormatting sqref="BI21:BL28">
    <cfRule type="expression" dxfId="193" priority="15">
      <formula>$BM$41&lt;0</formula>
    </cfRule>
    <cfRule type="notContainsBlanks" dxfId="192" priority="16">
      <formula>LEN(TRIM(BI21))&gt;0</formula>
    </cfRule>
    <cfRule type="expression" dxfId="191" priority="17">
      <formula>$M$1="Select Birthrights"</formula>
    </cfRule>
  </conditionalFormatting>
  <conditionalFormatting sqref="G19:L21">
    <cfRule type="expression" dxfId="190" priority="9">
      <formula>IF($E$23&lt;0,1,0)=1</formula>
    </cfRule>
  </conditionalFormatting>
  <conditionalFormatting sqref="G25:L27">
    <cfRule type="expression" dxfId="189" priority="8">
      <formula>IF($E$29&lt;0,1,0)=1</formula>
    </cfRule>
  </conditionalFormatting>
  <conditionalFormatting sqref="G31:L33">
    <cfRule type="expression" dxfId="188" priority="7">
      <formula>IF($E$35&lt;0,1,0)=1</formula>
    </cfRule>
  </conditionalFormatting>
  <conditionalFormatting sqref="G31:L33 G25:L27 G19:L21">
    <cfRule type="expression" dxfId="187" priority="4">
      <formula>IF(AND($E19+$G19+$I19=5,$AU$3+$AU$4&lt;6),1,0)=1</formula>
    </cfRule>
  </conditionalFormatting>
  <conditionalFormatting sqref="G31:L33 G25:L27 G19:L20">
    <cfRule type="expression" dxfId="186" priority="1">
      <formula>IF(AND($E19+$G19+$I19&gt;$AU$3+$AU$4,$AU$3+$AU$4&gt;5),1,0)=1</formula>
    </cfRule>
    <cfRule type="expression" dxfId="185" priority="2">
      <formula>IF(AND($E19+$G19+$I19=$AU$3+$AU$4,$AU$3+$AU$4&gt;5),1,0)=1</formula>
    </cfRule>
    <cfRule type="expression" dxfId="184" priority="3">
      <formula>IF(AND($E19+$G19+$I19&gt;5,$AU$3+$AU$4&lt;6),1,0)=1</formula>
    </cfRule>
  </conditionalFormatting>
  <dataValidations count="7">
    <dataValidation type="list" allowBlank="1" showInputMessage="1" showErrorMessage="1" sqref="BG4:BG46">
      <formula1>Test</formula1>
    </dataValidation>
    <dataValidation type="list" allowBlank="1" showInputMessage="1" showErrorMessage="1" sqref="AW4:BB46">
      <formula1>Purviews</formula1>
    </dataValidation>
    <dataValidation type="list" allowBlank="1" showInputMessage="1" showErrorMessage="1" sqref="E22:H22 E28:H28 E34:H34">
      <formula1>Priority</formula1>
    </dataValidation>
    <dataValidation type="list" allowBlank="1" showInputMessage="1" showErrorMessage="1" sqref="AN6:AS33">
      <formula1>Knack</formula1>
    </dataValidation>
    <dataValidation type="list" allowBlank="1" showInputMessage="1" showErrorMessage="1" sqref="Y24:AB33">
      <formula1>Special</formula1>
    </dataValidation>
    <dataValidation type="list" allowBlank="1" showInputMessage="1" showErrorMessage="1" sqref="S13">
      <formula1>Natures</formula1>
    </dataValidation>
    <dataValidation type="list" allowBlank="1" showInputMessage="1" showErrorMessage="1" sqref="BI32:BL39 BI21:BL28">
      <formula1>"Creature, Follower, Relic, Guide"</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39997558519241921"/>
  </sheetPr>
  <dimension ref="A1:CH75"/>
  <sheetViews>
    <sheetView view="pageBreakPreview" zoomScale="75" zoomScaleNormal="100" zoomScaleSheetLayoutView="75" workbookViewId="0">
      <selection activeCell="S30" sqref="S30:T30"/>
    </sheetView>
  </sheetViews>
  <sheetFormatPr defaultRowHeight="15" customHeight="1" x14ac:dyDescent="0.25"/>
  <cols>
    <col min="1" max="72" width="3.7109375" style="283" customWidth="1"/>
    <col min="73" max="73" width="3.7109375" style="283" hidden="1" customWidth="1"/>
    <col min="74" max="74" width="14.5703125" style="318" hidden="1" customWidth="1"/>
    <col min="75" max="75" width="2.42578125" style="283" hidden="1" customWidth="1"/>
    <col min="76" max="76" width="14.5703125" style="283" hidden="1" customWidth="1"/>
    <col min="77" max="77" width="2.42578125" style="283" hidden="1" customWidth="1"/>
    <col min="78" max="78" width="12.7109375" style="283" hidden="1" customWidth="1"/>
    <col min="79" max="86" width="9.140625" style="283" hidden="1" customWidth="1"/>
    <col min="87" max="16384" width="9.140625" style="283"/>
  </cols>
  <sheetData>
    <row r="1" spans="1:86" ht="15" customHeight="1" thickBot="1" x14ac:dyDescent="0.3">
      <c r="A1" s="838" t="s">
        <v>145</v>
      </c>
      <c r="B1" s="839"/>
      <c r="C1" s="839"/>
      <c r="D1" s="839"/>
      <c r="E1" s="1190" t="s">
        <v>132</v>
      </c>
      <c r="F1" s="1190"/>
      <c r="G1" s="1190"/>
      <c r="H1" s="1191"/>
      <c r="I1" s="721" t="s">
        <v>7</v>
      </c>
      <c r="J1" s="722"/>
      <c r="K1" s="722"/>
      <c r="L1" s="722"/>
      <c r="M1" s="722" t="str">
        <f>IF(OR(E22="Select",E28="Select",E34="Select"),"Prioritize Your Attribute Groups",IF(AND(E22="Primary",E23&gt;0),"Select Physical Attributes",IF(AND(E28="primary",E29&gt;0),"Select Social Attributes",IF(AND(E34="Primary",E35&gt;0),"Select Mental Attributes",IF(AND(E22="Secondary",E23&gt;0),"Select Physical Attributes",IF(AND(E28="Secondary",E29&gt;0),"Select Social Attributes",IF(AND(E34="Secondary",E35&gt;0),"Select Mental Attributes",IF(AND(E22="Tertiary",E23&gt;0),"Select Physical Attributes",IF(AND(E28="Tertiary",E29&gt;0),"Select Social Attributes",IF(AND(E34="Tertiary",E35&gt;0),"Select Mental Attributes",IF(BO17="no","Select Advantages",IF(BM42="No","Select Birthrights",IF(M46="No","Spend Bonus Points","You're Done!")))))))))))))</f>
        <v>Prioritize Your Attribute Groups</v>
      </c>
      <c r="N1" s="722"/>
      <c r="O1" s="722"/>
      <c r="P1" s="722"/>
      <c r="Q1" s="722"/>
      <c r="R1" s="722"/>
      <c r="S1" s="722"/>
      <c r="T1" s="722"/>
      <c r="U1" s="722"/>
      <c r="V1" s="722"/>
      <c r="W1" s="722"/>
      <c r="X1" s="833"/>
      <c r="Y1" s="829" t="s">
        <v>69</v>
      </c>
      <c r="Z1" s="820"/>
      <c r="AA1" s="820"/>
      <c r="AB1" s="820"/>
      <c r="AC1" s="820"/>
      <c r="AD1" s="820"/>
      <c r="AE1" s="820"/>
      <c r="AF1" s="820"/>
      <c r="AG1" s="820"/>
      <c r="AH1" s="820"/>
      <c r="AI1" s="820"/>
      <c r="AJ1" s="820"/>
      <c r="AK1" s="820"/>
      <c r="AL1" s="820"/>
      <c r="AM1" s="821"/>
      <c r="AN1" s="829" t="s">
        <v>60</v>
      </c>
      <c r="AO1" s="820"/>
      <c r="AP1" s="820"/>
      <c r="AQ1" s="820"/>
      <c r="AR1" s="820"/>
      <c r="AS1" s="820"/>
      <c r="AT1" s="820"/>
      <c r="AU1" s="820"/>
      <c r="AV1" s="821"/>
      <c r="AW1" s="829" t="s">
        <v>68</v>
      </c>
      <c r="AX1" s="820"/>
      <c r="AY1" s="820"/>
      <c r="AZ1" s="820"/>
      <c r="BA1" s="820"/>
      <c r="BB1" s="820"/>
      <c r="BC1" s="820"/>
      <c r="BD1" s="820"/>
      <c r="BE1" s="820"/>
      <c r="BF1" s="820"/>
      <c r="BG1" s="820"/>
      <c r="BH1" s="821"/>
      <c r="BI1" s="829" t="s">
        <v>67</v>
      </c>
      <c r="BJ1" s="820"/>
      <c r="BK1" s="820"/>
      <c r="BL1" s="820"/>
      <c r="BM1" s="820"/>
      <c r="BN1" s="820"/>
      <c r="BO1" s="820"/>
      <c r="BP1" s="820"/>
      <c r="BQ1" s="820"/>
      <c r="BR1" s="820"/>
      <c r="BS1" s="820"/>
      <c r="BT1" s="821"/>
      <c r="BU1" s="418"/>
      <c r="BV1" s="419" t="s">
        <v>911</v>
      </c>
      <c r="BW1" s="318"/>
      <c r="BX1" s="420" t="s">
        <v>914</v>
      </c>
      <c r="BY1" s="318"/>
      <c r="CA1" s="722" t="s">
        <v>3</v>
      </c>
      <c r="CB1" s="722"/>
      <c r="CC1" s="722"/>
      <c r="CD1" s="722"/>
      <c r="CE1" s="765" t="str">
        <f>Creation!M17</f>
        <v>Select</v>
      </c>
      <c r="CF1" s="765"/>
      <c r="CG1" s="765"/>
      <c r="CH1" s="766"/>
    </row>
    <row r="2" spans="1:86" ht="15" customHeight="1" thickBot="1" x14ac:dyDescent="0.3">
      <c r="A2" s="838" t="s">
        <v>146</v>
      </c>
      <c r="B2" s="839"/>
      <c r="C2" s="839"/>
      <c r="D2" s="839"/>
      <c r="E2" s="1190" t="s">
        <v>5</v>
      </c>
      <c r="F2" s="1190"/>
      <c r="G2" s="1190"/>
      <c r="H2" s="1191"/>
      <c r="I2" s="802"/>
      <c r="J2" s="803"/>
      <c r="K2" s="803"/>
      <c r="L2" s="803"/>
      <c r="M2" s="803"/>
      <c r="N2" s="803"/>
      <c r="O2" s="803"/>
      <c r="P2" s="803"/>
      <c r="Q2" s="803"/>
      <c r="R2" s="803"/>
      <c r="S2" s="803"/>
      <c r="T2" s="803"/>
      <c r="U2" s="803"/>
      <c r="V2" s="803"/>
      <c r="W2" s="803"/>
      <c r="X2" s="1170"/>
      <c r="Y2" s="890"/>
      <c r="Z2" s="823"/>
      <c r="AA2" s="823"/>
      <c r="AB2" s="823"/>
      <c r="AC2" s="823"/>
      <c r="AD2" s="823"/>
      <c r="AE2" s="823"/>
      <c r="AF2" s="823"/>
      <c r="AG2" s="823"/>
      <c r="AH2" s="823"/>
      <c r="AI2" s="823"/>
      <c r="AJ2" s="823"/>
      <c r="AK2" s="823"/>
      <c r="AL2" s="823"/>
      <c r="AM2" s="824"/>
      <c r="AN2" s="890"/>
      <c r="AO2" s="823"/>
      <c r="AP2" s="823"/>
      <c r="AQ2" s="823"/>
      <c r="AR2" s="823"/>
      <c r="AS2" s="823"/>
      <c r="AT2" s="823"/>
      <c r="AU2" s="823"/>
      <c r="AV2" s="824"/>
      <c r="AW2" s="890"/>
      <c r="AX2" s="823"/>
      <c r="AY2" s="823"/>
      <c r="AZ2" s="823"/>
      <c r="BA2" s="823"/>
      <c r="BB2" s="823"/>
      <c r="BC2" s="823"/>
      <c r="BD2" s="823"/>
      <c r="BE2" s="823"/>
      <c r="BF2" s="823"/>
      <c r="BG2" s="823"/>
      <c r="BH2" s="824"/>
      <c r="BI2" s="890"/>
      <c r="BJ2" s="823"/>
      <c r="BK2" s="823"/>
      <c r="BL2" s="823"/>
      <c r="BM2" s="823"/>
      <c r="BN2" s="823"/>
      <c r="BO2" s="823"/>
      <c r="BP2" s="823"/>
      <c r="BQ2" s="823"/>
      <c r="BR2" s="823"/>
      <c r="BS2" s="823"/>
      <c r="BT2" s="824"/>
      <c r="BU2" s="418"/>
      <c r="BV2" s="421" t="str">
        <f>IF('House Rules'!$B$10="Potent","Academics*","Academics")</f>
        <v>Academics</v>
      </c>
      <c r="BW2" s="318">
        <f>SUM(DotTracking!$T9:$X9,DotTracking!$AR9:$AV9,DotTracking!$BP9:$BT9,DotTracking!CN9:CR9)</f>
        <v>0</v>
      </c>
      <c r="BX2" s="421" t="str">
        <f>IF('House Rules'!$B$10="Potent","Command*","Command")</f>
        <v>Command</v>
      </c>
      <c r="BY2" s="318">
        <f>SUM(DotTracking!$T14:$X14,DotTracking!$AR14:$AV15,DotTracking!$BP14:$BT14,DotTracking!CN14:CR14)</f>
        <v>0</v>
      </c>
      <c r="CA2" s="803" t="s">
        <v>5</v>
      </c>
      <c r="CB2" s="803"/>
      <c r="CC2" s="803"/>
      <c r="CD2" s="803"/>
      <c r="CE2" s="804" t="str">
        <f>Creation!M19</f>
        <v>Select</v>
      </c>
      <c r="CF2" s="804"/>
      <c r="CG2" s="804"/>
      <c r="CH2" s="817"/>
    </row>
    <row r="3" spans="1:86" ht="15" customHeight="1" x14ac:dyDescent="0.25">
      <c r="A3" s="1028" t="str">
        <f>IF(M1=Reference!A27,Reference!J15,IF(M1=Reference!A28,Reference!J16,IF(M1=Reference!A29,Reference!J17,IF(M1=Reference!A30,Reference!J18,IF(M1=Reference!A31,Reference!J19,IF(M1=Reference!A32,Reference!J20,IF(M1=Reference!A33,Reference!J21,IF(M1=Reference!A34,Reference!J22,IF(M1=Reference!A35,Reference!J23,IF(M1=Reference!A36,Reference!J24,IF(M1=Reference!A37,Reference!J25,IF(M1=Reference!A38,Reference!J26,IF(M1=Reference!A39,Reference!J27,IF(M1=Reference!A40,Reference!J28))))))))))))))</f>
        <v>You….you made it to God? Really? Ok, well…Go ahead and prioritize your attribute groups again. Just like before, you don't have to pick the same ones and you get 4/3/2 for primary/secondary/tertiary. On to the good stuff!</v>
      </c>
      <c r="B3" s="725"/>
      <c r="C3" s="725"/>
      <c r="D3" s="725"/>
      <c r="E3" s="725"/>
      <c r="F3" s="725"/>
      <c r="G3" s="725"/>
      <c r="H3" s="725"/>
      <c r="I3" s="725"/>
      <c r="J3" s="725"/>
      <c r="K3" s="725"/>
      <c r="L3" s="725"/>
      <c r="M3" s="725"/>
      <c r="N3" s="725"/>
      <c r="O3" s="725"/>
      <c r="P3" s="725"/>
      <c r="Q3" s="725"/>
      <c r="R3" s="725"/>
      <c r="S3" s="725"/>
      <c r="T3" s="725"/>
      <c r="U3" s="725"/>
      <c r="V3" s="725"/>
      <c r="W3" s="725"/>
      <c r="X3" s="726"/>
      <c r="Y3" s="1187"/>
      <c r="Z3" s="765"/>
      <c r="AA3" s="765"/>
      <c r="AB3" s="765"/>
      <c r="AC3" s="722" t="s">
        <v>10</v>
      </c>
      <c r="AD3" s="722"/>
      <c r="AE3" s="722"/>
      <c r="AF3" s="722" t="s">
        <v>11</v>
      </c>
      <c r="AG3" s="722"/>
      <c r="AH3" s="722" t="s">
        <v>33</v>
      </c>
      <c r="AI3" s="722"/>
      <c r="AJ3" s="722" t="s">
        <v>34</v>
      </c>
      <c r="AK3" s="722"/>
      <c r="AL3" s="722"/>
      <c r="AM3" s="833"/>
      <c r="AN3" s="721" t="s">
        <v>61</v>
      </c>
      <c r="AO3" s="722"/>
      <c r="AP3" s="722"/>
      <c r="AQ3" s="722"/>
      <c r="AR3" s="722"/>
      <c r="AS3" s="722"/>
      <c r="AT3" s="722"/>
      <c r="AU3" s="765">
        <f>SUM(DotTracking!D4:O4,DotTracking!AB4:AM4,DotTracking!AZ4:BK4,DotTracking!BX4:CI4)</f>
        <v>2</v>
      </c>
      <c r="AV3" s="766"/>
      <c r="AW3" s="721" t="s">
        <v>70</v>
      </c>
      <c r="AX3" s="722"/>
      <c r="AY3" s="722"/>
      <c r="AZ3" s="722"/>
      <c r="BA3" s="722"/>
      <c r="BB3" s="722"/>
      <c r="BC3" s="722" t="s">
        <v>71</v>
      </c>
      <c r="BD3" s="722"/>
      <c r="BE3" s="722" t="s">
        <v>149</v>
      </c>
      <c r="BF3" s="722"/>
      <c r="BG3" s="722" t="s">
        <v>11</v>
      </c>
      <c r="BH3" s="833"/>
      <c r="BI3" s="1187"/>
      <c r="BJ3" s="765"/>
      <c r="BK3" s="722" t="s">
        <v>65</v>
      </c>
      <c r="BL3" s="722"/>
      <c r="BM3" s="722" t="s">
        <v>143</v>
      </c>
      <c r="BN3" s="722"/>
      <c r="BO3" s="722" t="s">
        <v>144</v>
      </c>
      <c r="BP3" s="722"/>
      <c r="BQ3" s="722" t="s">
        <v>11</v>
      </c>
      <c r="BR3" s="722"/>
      <c r="BS3" s="722" t="s">
        <v>33</v>
      </c>
      <c r="BT3" s="833"/>
      <c r="BU3" s="314"/>
      <c r="BV3" s="421" t="str">
        <f>IF('House Rules'!$B$10="Potent","Animal Ken*","Animal Ken")</f>
        <v>Animal Ken</v>
      </c>
      <c r="BW3" s="318">
        <f>SUM(DotTracking!$T10:$X10,DotTracking!$AR10:$AV10,DotTracking!$BP10:$BT10,DotTracking!CN10:CR10)</f>
        <v>0</v>
      </c>
      <c r="BX3" s="421" t="str">
        <f>IF('House Rules'!$B$10="Potent","Control*","Control")</f>
        <v>Control</v>
      </c>
      <c r="BY3" s="318">
        <f>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IF(DotTracking!CJ29="Control",DotTracking!CN29:CR29,0),IF(DotTracking!CJ30="Control",DotTracking!CN30:CR30,0),IF(DotTracking!CJ31="Control",DotTracking!CN31:CR31,0),IF(DotTracking!CJ32="Control",DotTracking!CN32:CR32,0),IF(DotTracking!CJ33="Control",DotTracking!CN33:CR33,0),IF(DotTracking!CJ34="Control",DotTracking!CN34:CR34,0),IF(DotTracking!CJ35="Control",DotTracking!CN35:CR35,0),IF(DotTracking!CJ36="Control",DotTracking!CN36:CR36,0),IF(DotTracking!CJ37="Control",DotTracking!CN37:CR37,0),IF(DotTracking!CJ38="Control",DotTracking!CN38:CR38,0),0)</f>
        <v>0</v>
      </c>
      <c r="BZ3" s="318" t="s">
        <v>917</v>
      </c>
    </row>
    <row r="4" spans="1:86" ht="15" customHeight="1" thickBot="1" x14ac:dyDescent="0.3">
      <c r="A4" s="1026"/>
      <c r="B4" s="727"/>
      <c r="C4" s="727"/>
      <c r="D4" s="727"/>
      <c r="E4" s="727"/>
      <c r="F4" s="727"/>
      <c r="G4" s="727"/>
      <c r="H4" s="727"/>
      <c r="I4" s="727"/>
      <c r="J4" s="727"/>
      <c r="K4" s="727"/>
      <c r="L4" s="727"/>
      <c r="M4" s="727"/>
      <c r="N4" s="727"/>
      <c r="O4" s="727"/>
      <c r="P4" s="727"/>
      <c r="Q4" s="727"/>
      <c r="R4" s="727"/>
      <c r="S4" s="727"/>
      <c r="T4" s="727"/>
      <c r="U4" s="727"/>
      <c r="V4" s="727"/>
      <c r="W4" s="727"/>
      <c r="X4" s="728"/>
      <c r="Y4" s="723" t="s">
        <v>35</v>
      </c>
      <c r="Z4" s="724"/>
      <c r="AA4" s="724"/>
      <c r="AB4" s="724"/>
      <c r="AC4" s="767">
        <f>SUM(DotTracking!T9:X9,DotTracking!AR9:AV9,DotTracking!BP9:BT9,DotTracking!CN9:CR9,DotTracking!ES7:EW7,DotTracking!FB7:FF7,DotTracking!FK7:FO7,DotTracking!FT7:FX7,DotTracking!GC7:GG7)</f>
        <v>0</v>
      </c>
      <c r="AD4" s="767"/>
      <c r="AE4" s="767"/>
      <c r="AF4" s="818"/>
      <c r="AG4" s="818"/>
      <c r="AH4" s="767">
        <f>IF(OR(Y4=Q$19,Y4=Q$20,Y4=Q$21,Y4=Q$22,Y4=Q$23,Y4=Q$24),AF4,AF4*2)</f>
        <v>0</v>
      </c>
      <c r="AI4" s="767"/>
      <c r="AJ4" s="1114"/>
      <c r="AK4" s="1114"/>
      <c r="AL4" s="1114"/>
      <c r="AM4" s="1115"/>
      <c r="AN4" s="802" t="s">
        <v>80</v>
      </c>
      <c r="AO4" s="803"/>
      <c r="AP4" s="803"/>
      <c r="AQ4" s="803"/>
      <c r="AR4" s="803"/>
      <c r="AS4" s="803"/>
      <c r="AT4" s="803"/>
      <c r="AU4" s="1199"/>
      <c r="AV4" s="1204"/>
      <c r="AW4" s="842"/>
      <c r="AX4" s="818"/>
      <c r="AY4" s="818"/>
      <c r="AZ4" s="818"/>
      <c r="BA4" s="818"/>
      <c r="BB4" s="818"/>
      <c r="BC4" s="381"/>
      <c r="BD4" s="291">
        <f>IF(BG4="No",BC4,0)</f>
        <v>0</v>
      </c>
      <c r="BE4" s="767" t="str">
        <f>IF(AW4="","",HLOOKUP(AW4,AssociatedRef!$AP$1:$BZ$123,LOOKUP($CE$2,AssociatedRef!$AP$2:$AP$123,AssociatedRef!$AQ$2:$AQ$123),FALSE))</f>
        <v/>
      </c>
      <c r="BF4" s="767"/>
      <c r="BG4" s="381" t="s">
        <v>347</v>
      </c>
      <c r="BH4" s="292" t="str">
        <f>IF(BG4="Yes",IF(BE4="Yes",4,5),"")</f>
        <v/>
      </c>
      <c r="BI4" s="723" t="s">
        <v>918</v>
      </c>
      <c r="BJ4" s="724"/>
      <c r="BK4" s="767">
        <f>SUM(E19:H19)</f>
        <v>1</v>
      </c>
      <c r="BL4" s="767"/>
      <c r="BM4" s="767">
        <f>SUM(DotTracking!AC16:AM16,DotTracking!E16:O16,DotTracking!BA16:BK16,DotTracking!BY16:CI16)</f>
        <v>0</v>
      </c>
      <c r="BN4" s="767"/>
      <c r="BO4" s="818"/>
      <c r="BP4" s="818"/>
      <c r="BQ4" s="818"/>
      <c r="BR4" s="818"/>
      <c r="BS4" s="767">
        <f>IF(LOOKUP($CE$2,AssociatedRef!$A$2:$A$123,AssociatedRef!$B$2:$B$123)="Yes",BQ4*4,BQ4*5)</f>
        <v>0</v>
      </c>
      <c r="BT4" s="768"/>
      <c r="BU4" s="283" t="str">
        <f>IF(Creation!BI4="Strength*","Yes","No")</f>
        <v>No</v>
      </c>
      <c r="BV4" s="421" t="str">
        <f>IF('House Rules'!$B$10="Potent","Art*","Art")</f>
        <v>Art</v>
      </c>
      <c r="BW4" s="318">
        <f>SUM(IF(DotTracking!P29="Art",DotTracking!T29:X29,0),IF(DotTracking!AN29="Art",DotTracking!AR29:AV29,0),IF(DotTracking!BL29="Art",DotTracking!BP29:BT29,0),IF(DotTracking!P30="Art",DotTracking!T30:X30,0),IF(DotTracking!AN30="Art",DotTracking!AR30:AV30,0),IF(DotTracking!BL30="Art",DotTracking!BP30:BT30,0),IF(DotTracking!P32="Art",DotTracking!T32:X32,0),IF(DotTracking!AN32="Art",DotTracking!AR32:AV32,0),IF(DotTracking!BL32="Art",DotTracking!BP32:BT32,0),IF(DotTracking!P31="Art",DotTracking!T31:X31,0),IF(DotTracking!AN31="Art",DotTracking!AR31:AV31,0),IF(DotTracking!BL31="Art",DotTracking!BP31:BT31,0),IF(DotTracking!P33="Art",DotTracking!T33:X33,0),IF(DotTracking!AN33="Art",DotTracking!AR33:AV33,0),IF(DotTracking!BL33="Art",DotTracking!BP33:BT33,0),IF(DotTracking!P34="Art",DotTracking!T34:X34,0),IF(DotTracking!AN34="Art",DotTracking!AR34:AV34,0),IF(DotTracking!BL34="Art",DotTracking!BP34:BT34,0),IF(DotTracking!P35="Art",DotTracking!T35:X35,0),IF(DotTracking!AN35="Art",DotTracking!AR35:AV35,0),IF(DotTracking!BL35="Art",DotTracking!BP35:BT35,0),IF(DotTracking!P36="Art",DotTracking!T36:X36,0),IF(DotTracking!AN36="Art",DotTracking!AR36:AV36,0),IF(DotTracking!BL36="Art",DotTracking!BP36:BT36,0),IF(DotTracking!P37="Art",DotTracking!T37:X37,0),IF(DotTracking!AN37="Art",DotTracking!AR37:AV37,0),IF(DotTracking!BL37="Art",DotTracking!BP37:BT37,0),IF(DotTracking!P38="Art",DotTracking!T38:X38,0),IF(DotTracking!AN38="Art",DotTracking!AR38:AV38,0),IF(DotTracking!BL38="Art",DotTracking!BP38:BT38,0),IF(DotTracking!CJ29="Art",DotTracking!CN29:CR29,0),IF(DotTracking!CJ30="Art",DotTracking!CN30:CR30,0),IF(DotTracking!CJ31="Art",DotTracking!CN31:CR31,0),IF(DotTracking!CJ32="Art",DotTracking!CN32:CR32,0),IF(DotTracking!CJ33="Art",DotTracking!CN33:CR33,0),IF(DotTracking!CJ34="Art",DotTracking!CN34:CR34,0),IF(DotTracking!CJ35="Art",DotTracking!CN35:CR35,0),IF(DotTracking!CJ36="Art",DotTracking!CN36:CR36,0),IF(DotTracking!CJ37="Art",DotTracking!CN37:CR37,0),IF(DotTracking!CJ38="Art",DotTracking!CN38:CR38,0),0)</f>
        <v>0</v>
      </c>
      <c r="BX4" s="421" t="str">
        <f>IF('House Rules'!$B$10="Potent","Craft*","Craft")</f>
        <v>Craft</v>
      </c>
      <c r="BY4" s="318">
        <f>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IF(DotTracking!CJ29="Craft",DotTracking!CN29:CR29,0),IF(DotTracking!CJ30="Craft",DotTracking!CN30:CR30,0),IF(DotTracking!CJ31="Craft",DotTracking!CN31:CR31,0),IF(DotTracking!CJ32="Craft",DotTracking!CN32:CR32,0),IF(DotTracking!CJ33="Craft",DotTracking!CN33:CR33,0),IF(DotTracking!CJ34="Craft",DotTracking!CN34:CR34,0),IF(DotTracking!CJ35="Craft",DotTracking!CN35:CR35,0),IF(DotTracking!CJ36="Craft",DotTracking!CN36:CR36,0),IF(DotTracking!CJ37="Craft",DotTracking!CN37:CR37,0),IF(DotTracking!CJ38="Craft",DotTracking!CN38:CR38,0),0)</f>
        <v>0</v>
      </c>
      <c r="BZ4" s="283">
        <f>IF(BG4="Yes",1,0)</f>
        <v>0</v>
      </c>
    </row>
    <row r="5" spans="1:86" ht="15" customHeight="1" x14ac:dyDescent="0.25">
      <c r="A5" s="1026"/>
      <c r="B5" s="727"/>
      <c r="C5" s="727"/>
      <c r="D5" s="727"/>
      <c r="E5" s="727"/>
      <c r="F5" s="727"/>
      <c r="G5" s="727"/>
      <c r="H5" s="727"/>
      <c r="I5" s="727"/>
      <c r="J5" s="727"/>
      <c r="K5" s="727"/>
      <c r="L5" s="727"/>
      <c r="M5" s="727"/>
      <c r="N5" s="727"/>
      <c r="O5" s="727"/>
      <c r="P5" s="727"/>
      <c r="Q5" s="727"/>
      <c r="R5" s="727"/>
      <c r="S5" s="727"/>
      <c r="T5" s="727"/>
      <c r="U5" s="727"/>
      <c r="V5" s="727"/>
      <c r="W5" s="727"/>
      <c r="X5" s="728"/>
      <c r="Y5" s="723" t="s">
        <v>36</v>
      </c>
      <c r="Z5" s="724"/>
      <c r="AA5" s="724"/>
      <c r="AB5" s="724"/>
      <c r="AC5" s="767">
        <f>SUM(DotTracking!T10:X10,DotTracking!AR10:AV10,DotTracking!BP10:BT10,DotTracking!CN10:CR10,DotTracking!ES8:EW8,DotTracking!FB8:FF8,DotTracking!FK8:FO8,DotTracking!FT8:FX8,DotTracking!GC8:GG8)</f>
        <v>0</v>
      </c>
      <c r="AD5" s="767"/>
      <c r="AE5" s="767"/>
      <c r="AF5" s="818"/>
      <c r="AG5" s="818"/>
      <c r="AH5" s="767">
        <f t="shared" ref="AH5:AH33" si="0">IF(OR(Y5=Q$19,Y5=Q$20,Y5=Q$21,Y5=Q$22,Y5=Q$23,Y5=Q$24),AF5,AF5*2)</f>
        <v>0</v>
      </c>
      <c r="AI5" s="767"/>
      <c r="AJ5" s="1114"/>
      <c r="AK5" s="1114"/>
      <c r="AL5" s="1114"/>
      <c r="AM5" s="1115"/>
      <c r="AN5" s="721" t="s">
        <v>62</v>
      </c>
      <c r="AO5" s="722"/>
      <c r="AP5" s="722"/>
      <c r="AQ5" s="722"/>
      <c r="AR5" s="722"/>
      <c r="AS5" s="722"/>
      <c r="AT5" s="722" t="s">
        <v>33</v>
      </c>
      <c r="AU5" s="722"/>
      <c r="AV5" s="833"/>
      <c r="AW5" s="842"/>
      <c r="AX5" s="818"/>
      <c r="AY5" s="818"/>
      <c r="AZ5" s="818"/>
      <c r="BA5" s="818"/>
      <c r="BB5" s="818"/>
      <c r="BC5" s="381"/>
      <c r="BD5" s="291">
        <f t="shared" ref="BD5:BD46" si="1">IF(BG5="No",BC5,0)</f>
        <v>0</v>
      </c>
      <c r="BE5" s="767" t="str">
        <f>IF(AW5="","",HLOOKUP(AW5,AssociatedRef!$AP$1:$BZ$123,LOOKUP($CE$2,AssociatedRef!$AP$2:$AP$123,AssociatedRef!$AQ$2:$AQ$123),FALSE))</f>
        <v/>
      </c>
      <c r="BF5" s="767"/>
      <c r="BG5" s="381" t="s">
        <v>347</v>
      </c>
      <c r="BH5" s="292" t="str">
        <f t="shared" ref="BH5:BH46" si="2">IF(BG5="Yes",IF(BE5="Yes",4,5),"")</f>
        <v/>
      </c>
      <c r="BI5" s="723" t="s">
        <v>919</v>
      </c>
      <c r="BJ5" s="724"/>
      <c r="BK5" s="767">
        <f t="shared" ref="BK5:BK6" si="3">SUM(E20:H20)</f>
        <v>1</v>
      </c>
      <c r="BL5" s="767"/>
      <c r="BM5" s="767">
        <f>SUM(DotTracking!AC17:AM17,DotTracking!E17:O17,DotTracking!BA17:BK17,DotTracking!BY17:CI17)</f>
        <v>0</v>
      </c>
      <c r="BN5" s="767"/>
      <c r="BO5" s="818"/>
      <c r="BP5" s="818"/>
      <c r="BQ5" s="818"/>
      <c r="BR5" s="818"/>
      <c r="BS5" s="767">
        <f>IF(LOOKUP($CE$2,AssociatedRef!$A$2:$A$123,AssociatedRef!$C$2:$C$123)="Yes",BQ5*4,BQ5*5)</f>
        <v>0</v>
      </c>
      <c r="BT5" s="768"/>
      <c r="BU5" s="283" t="str">
        <f>IF(Creation!BI5="Dexterity*","Yes","No")</f>
        <v>No</v>
      </c>
      <c r="BV5" s="421" t="str">
        <f>IF('House Rules'!$B$10="Potent","Athletics*","Athletics")</f>
        <v>Athletics</v>
      </c>
      <c r="BW5" s="318">
        <f>SUM(DotTracking!$T11:$X11,DotTracking!$AR11:$AV12,DotTracking!$BP11:$BT11,DotTracking!CN11:CR11)</f>
        <v>0</v>
      </c>
      <c r="BX5" s="421" t="str">
        <f>IF('House Rules'!$B$10="Potent","Empathy*","Empathy")</f>
        <v>Empathy</v>
      </c>
      <c r="BY5" s="318">
        <f>SUM(DotTracking!$T15:$X15,DotTracking!$AR15:$AV15,DotTracking!$BP15:$BT15,DotTracking!CN15:CR15)</f>
        <v>0</v>
      </c>
      <c r="BZ5" s="283">
        <f t="shared" ref="BZ5:BZ46" si="4">IF(BG5="Yes",1,0)</f>
        <v>0</v>
      </c>
    </row>
    <row r="6" spans="1:86" ht="15" customHeight="1" x14ac:dyDescent="0.25">
      <c r="A6" s="1026"/>
      <c r="B6" s="727"/>
      <c r="C6" s="727"/>
      <c r="D6" s="727"/>
      <c r="E6" s="727"/>
      <c r="F6" s="727"/>
      <c r="G6" s="727"/>
      <c r="H6" s="727"/>
      <c r="I6" s="727"/>
      <c r="J6" s="727"/>
      <c r="K6" s="727"/>
      <c r="L6" s="727"/>
      <c r="M6" s="727"/>
      <c r="N6" s="727"/>
      <c r="O6" s="727"/>
      <c r="P6" s="727"/>
      <c r="Q6" s="727"/>
      <c r="R6" s="727"/>
      <c r="S6" s="727"/>
      <c r="T6" s="727"/>
      <c r="U6" s="727"/>
      <c r="V6" s="727"/>
      <c r="W6" s="727"/>
      <c r="X6" s="728"/>
      <c r="Y6" s="723" t="s">
        <v>37</v>
      </c>
      <c r="Z6" s="724"/>
      <c r="AA6" s="724"/>
      <c r="AB6" s="724"/>
      <c r="AC6" s="767">
        <f>SUM(DotTracking!T11:X11,DotTracking!AR11:AV11,DotTracking!BP11:BT11,DotTracking!CN11:CR11,DotTracking!ES9:EW9,DotTracking!FB9:FF9,DotTracking!FK9:FO9,DotTracking!FT9:FX9,DotTracking!GC9:GG9)</f>
        <v>0</v>
      </c>
      <c r="AD6" s="767"/>
      <c r="AE6" s="767"/>
      <c r="AF6" s="818"/>
      <c r="AG6" s="818"/>
      <c r="AH6" s="767">
        <f t="shared" si="0"/>
        <v>0</v>
      </c>
      <c r="AI6" s="767"/>
      <c r="AJ6" s="1114"/>
      <c r="AK6" s="1114"/>
      <c r="AL6" s="1114"/>
      <c r="AM6" s="1115"/>
      <c r="AN6" s="842"/>
      <c r="AO6" s="818"/>
      <c r="AP6" s="818"/>
      <c r="AQ6" s="818"/>
      <c r="AR6" s="818"/>
      <c r="AS6" s="818"/>
      <c r="AT6" s="767" t="str">
        <f>IF(AN6="","",3)</f>
        <v/>
      </c>
      <c r="AU6" s="767"/>
      <c r="AV6" s="768"/>
      <c r="AW6" s="842"/>
      <c r="AX6" s="818"/>
      <c r="AY6" s="818"/>
      <c r="AZ6" s="818"/>
      <c r="BA6" s="818"/>
      <c r="BB6" s="818"/>
      <c r="BC6" s="381"/>
      <c r="BD6" s="291">
        <f t="shared" si="1"/>
        <v>0</v>
      </c>
      <c r="BE6" s="767" t="str">
        <f>IF(AW6="","",HLOOKUP(AW6,AssociatedRef!$AP$1:$BZ$123,LOOKUP($CE$2,AssociatedRef!$AP$2:$AP$123,AssociatedRef!$AQ$2:$AQ$123),FALSE))</f>
        <v/>
      </c>
      <c r="BF6" s="767"/>
      <c r="BG6" s="381" t="s">
        <v>347</v>
      </c>
      <c r="BH6" s="292" t="str">
        <f t="shared" si="2"/>
        <v/>
      </c>
      <c r="BI6" s="723" t="s">
        <v>920</v>
      </c>
      <c r="BJ6" s="724"/>
      <c r="BK6" s="767">
        <f t="shared" si="3"/>
        <v>1</v>
      </c>
      <c r="BL6" s="767"/>
      <c r="BM6" s="767">
        <f>SUM(DotTracking!AC18:AM18,DotTracking!E18:O18,DotTracking!BA18:BK18,DotTracking!BY18:CI18)</f>
        <v>0</v>
      </c>
      <c r="BN6" s="767"/>
      <c r="BO6" s="818"/>
      <c r="BP6" s="818"/>
      <c r="BQ6" s="818"/>
      <c r="BR6" s="818"/>
      <c r="BS6" s="767">
        <f>IF(LOOKUP($CE$2,AssociatedRef!$A$2:$A$123,AssociatedRef!$D$2:$D$123)="Yes",BQ6*4,BQ6*5)</f>
        <v>0</v>
      </c>
      <c r="BT6" s="768"/>
      <c r="BU6" s="283" t="str">
        <f>IF(Creation!BI6="Stamina*","Yes","No")</f>
        <v>No</v>
      </c>
      <c r="BV6" s="421" t="str">
        <f>IF('House Rules'!$B$10="Potent","Awareness*","Awareness")</f>
        <v>Awareness</v>
      </c>
      <c r="BW6" s="318">
        <f>SUM(DotTracking!$T12:$X12,DotTracking!$AR12:$AV13,DotTracking!$BP12:$BT12,DotTracking!CN12:CR12)</f>
        <v>0</v>
      </c>
      <c r="BX6" s="421" t="str">
        <f>IF('House Rules'!$B$10="Potent","Fortitude*","Fortitude")</f>
        <v>Fortitude</v>
      </c>
      <c r="BY6" s="318">
        <f>SUM(DotTracking!$T16:$X16,DotTracking!$AR16:$AV16,DotTracking!$BP16:$BT16,DotTracking!CN16:CR16)</f>
        <v>0</v>
      </c>
      <c r="BZ6" s="283">
        <f t="shared" si="4"/>
        <v>0</v>
      </c>
    </row>
    <row r="7" spans="1:86" ht="15" customHeight="1" x14ac:dyDescent="0.25">
      <c r="A7" s="1026"/>
      <c r="B7" s="727"/>
      <c r="C7" s="727"/>
      <c r="D7" s="727"/>
      <c r="E7" s="727"/>
      <c r="F7" s="727"/>
      <c r="G7" s="727"/>
      <c r="H7" s="727"/>
      <c r="I7" s="727"/>
      <c r="J7" s="727"/>
      <c r="K7" s="727"/>
      <c r="L7" s="727"/>
      <c r="M7" s="727"/>
      <c r="N7" s="727"/>
      <c r="O7" s="727"/>
      <c r="P7" s="727"/>
      <c r="Q7" s="727"/>
      <c r="R7" s="727"/>
      <c r="S7" s="727"/>
      <c r="T7" s="727"/>
      <c r="U7" s="727"/>
      <c r="V7" s="727"/>
      <c r="W7" s="727"/>
      <c r="X7" s="728"/>
      <c r="Y7" s="723" t="s">
        <v>38</v>
      </c>
      <c r="Z7" s="724"/>
      <c r="AA7" s="724"/>
      <c r="AB7" s="724"/>
      <c r="AC7" s="767">
        <f>SUM(DotTracking!T12:X12,DotTracking!AR12:AV12,DotTracking!BP12:BT12,DotTracking!CN12:CR12,DotTracking!ES10:EW10,DotTracking!FB10:FF10,DotTracking!FK10:FO10,DotTracking!FT10:FX10,DotTracking!GC10:GG10)</f>
        <v>0</v>
      </c>
      <c r="AD7" s="767"/>
      <c r="AE7" s="767"/>
      <c r="AF7" s="818"/>
      <c r="AG7" s="818"/>
      <c r="AH7" s="767">
        <f t="shared" si="0"/>
        <v>0</v>
      </c>
      <c r="AI7" s="767"/>
      <c r="AJ7" s="1114"/>
      <c r="AK7" s="1114"/>
      <c r="AL7" s="1114"/>
      <c r="AM7" s="1115"/>
      <c r="AN7" s="842"/>
      <c r="AO7" s="818"/>
      <c r="AP7" s="818"/>
      <c r="AQ7" s="818"/>
      <c r="AR7" s="818"/>
      <c r="AS7" s="818"/>
      <c r="AT7" s="767" t="str">
        <f t="shared" ref="AT7:AT33" si="5">IF(AN7="","",3)</f>
        <v/>
      </c>
      <c r="AU7" s="767"/>
      <c r="AV7" s="768"/>
      <c r="AW7" s="842"/>
      <c r="AX7" s="818"/>
      <c r="AY7" s="818"/>
      <c r="AZ7" s="818"/>
      <c r="BA7" s="818"/>
      <c r="BB7" s="818"/>
      <c r="BC7" s="381"/>
      <c r="BD7" s="291">
        <f t="shared" si="1"/>
        <v>0</v>
      </c>
      <c r="BE7" s="767" t="str">
        <f>IF(AW7="","",HLOOKUP(AW7,AssociatedRef!$AP$1:$BZ$123,LOOKUP($CE$2,AssociatedRef!$AP$2:$AP$123,AssociatedRef!$AQ$2:$AQ$123),FALSE))</f>
        <v/>
      </c>
      <c r="BF7" s="767"/>
      <c r="BG7" s="381" t="s">
        <v>347</v>
      </c>
      <c r="BH7" s="292" t="str">
        <f t="shared" si="2"/>
        <v/>
      </c>
      <c r="BI7" s="723" t="s">
        <v>921</v>
      </c>
      <c r="BJ7" s="724"/>
      <c r="BK7" s="767">
        <f>SUM(E25:H25)</f>
        <v>1</v>
      </c>
      <c r="BL7" s="767"/>
      <c r="BM7" s="767">
        <f>SUM(DotTracking!AC19:AM19,DotTracking!E19:O19,DotTracking!BA19:BK19,DotTracking!BY19:CI19)</f>
        <v>0</v>
      </c>
      <c r="BN7" s="767"/>
      <c r="BO7" s="818"/>
      <c r="BP7" s="818"/>
      <c r="BQ7" s="818"/>
      <c r="BR7" s="818"/>
      <c r="BS7" s="767">
        <f>IF(LOOKUP($CE$2,AssociatedRef!$A$2:$A$123,AssociatedRef!$E$2:$E$123)="Yes",BQ7*4,BQ7*5)</f>
        <v>0</v>
      </c>
      <c r="BT7" s="768"/>
      <c r="BU7" s="283" t="str">
        <f>IF(Creation!BI7="Charisma*","Yes","No")</f>
        <v>No</v>
      </c>
      <c r="BV7" s="421" t="str">
        <f>IF('House Rules'!$B$10="Potent","Brawl*","Brawl")</f>
        <v>Brawl</v>
      </c>
      <c r="BW7" s="318">
        <f>SUM(DotTracking!$T13:$X13,DotTracking!$AR13:$AV14,DotTracking!$BP13:$BT13,DotTracking!CN13:CR13)</f>
        <v>0</v>
      </c>
      <c r="BX7" s="421" t="str">
        <f>IF('House Rules'!$B$10="Potent","Integrity*","Integrity")</f>
        <v>Integrity</v>
      </c>
      <c r="BY7" s="318">
        <f>SUM(DotTracking!$T17:$X17,DotTracking!$AR17:$AV17,DotTracking!$BP17:$BT17,DotTracking!CN17:CR17)</f>
        <v>0</v>
      </c>
      <c r="BZ7" s="283">
        <f t="shared" si="4"/>
        <v>0</v>
      </c>
    </row>
    <row r="8" spans="1:86" ht="15" customHeight="1" x14ac:dyDescent="0.25">
      <c r="A8" s="1026"/>
      <c r="B8" s="727"/>
      <c r="C8" s="727"/>
      <c r="D8" s="727"/>
      <c r="E8" s="727"/>
      <c r="F8" s="727"/>
      <c r="G8" s="727"/>
      <c r="H8" s="727"/>
      <c r="I8" s="727"/>
      <c r="J8" s="727"/>
      <c r="K8" s="727"/>
      <c r="L8" s="727"/>
      <c r="M8" s="727"/>
      <c r="N8" s="727"/>
      <c r="O8" s="727"/>
      <c r="P8" s="727"/>
      <c r="Q8" s="727"/>
      <c r="R8" s="727"/>
      <c r="S8" s="727"/>
      <c r="T8" s="727"/>
      <c r="U8" s="727"/>
      <c r="V8" s="727"/>
      <c r="W8" s="727"/>
      <c r="X8" s="728"/>
      <c r="Y8" s="723" t="s">
        <v>39</v>
      </c>
      <c r="Z8" s="724"/>
      <c r="AA8" s="724"/>
      <c r="AB8" s="724"/>
      <c r="AC8" s="767">
        <f>SUM(DotTracking!T13:X13,DotTracking!AR13:AV13,DotTracking!BP13:BT13,DotTracking!CN13:CR13,DotTracking!ES11:EW11,DotTracking!FB11:FF11,DotTracking!FK11:FO11,DotTracking!FT11:FX11,DotTracking!GC11:GG11)</f>
        <v>0</v>
      </c>
      <c r="AD8" s="767"/>
      <c r="AE8" s="767"/>
      <c r="AF8" s="818"/>
      <c r="AG8" s="818"/>
      <c r="AH8" s="767">
        <f t="shared" si="0"/>
        <v>0</v>
      </c>
      <c r="AI8" s="767"/>
      <c r="AJ8" s="1114"/>
      <c r="AK8" s="1114"/>
      <c r="AL8" s="1114"/>
      <c r="AM8" s="1115"/>
      <c r="AN8" s="842"/>
      <c r="AO8" s="818"/>
      <c r="AP8" s="818"/>
      <c r="AQ8" s="818"/>
      <c r="AR8" s="818"/>
      <c r="AS8" s="818"/>
      <c r="AT8" s="767" t="str">
        <f t="shared" si="5"/>
        <v/>
      </c>
      <c r="AU8" s="767"/>
      <c r="AV8" s="768"/>
      <c r="AW8" s="842"/>
      <c r="AX8" s="818"/>
      <c r="AY8" s="818"/>
      <c r="AZ8" s="818"/>
      <c r="BA8" s="818"/>
      <c r="BB8" s="818"/>
      <c r="BC8" s="381"/>
      <c r="BD8" s="291">
        <f t="shared" si="1"/>
        <v>0</v>
      </c>
      <c r="BE8" s="767" t="str">
        <f>IF(AW8="","",HLOOKUP(AW8,AssociatedRef!$AP$1:$BZ$123,LOOKUP($CE$2,AssociatedRef!$AP$2:$AP$123,AssociatedRef!$AQ$2:$AQ$123),FALSE))</f>
        <v/>
      </c>
      <c r="BF8" s="767"/>
      <c r="BG8" s="381" t="s">
        <v>347</v>
      </c>
      <c r="BH8" s="292" t="str">
        <f t="shared" si="2"/>
        <v/>
      </c>
      <c r="BI8" s="723" t="s">
        <v>922</v>
      </c>
      <c r="BJ8" s="724"/>
      <c r="BK8" s="767">
        <f t="shared" ref="BK8:BK9" si="6">SUM(E26:H26)</f>
        <v>1</v>
      </c>
      <c r="BL8" s="767"/>
      <c r="BM8" s="767">
        <f>SUM(DotTracking!AC20:AM20,DotTracking!E20:O20,DotTracking!BA20:BK20,DotTracking!BY20:CI20)</f>
        <v>0</v>
      </c>
      <c r="BN8" s="767"/>
      <c r="BO8" s="818"/>
      <c r="BP8" s="818"/>
      <c r="BQ8" s="818"/>
      <c r="BR8" s="818"/>
      <c r="BS8" s="767">
        <f>IF(LOOKUP($CE$2,AssociatedRef!$A$2:$A$123,AssociatedRef!$F$2:$F$123)="Yes",BQ8*4,BQ8*5)</f>
        <v>0</v>
      </c>
      <c r="BT8" s="768"/>
      <c r="BU8" s="283" t="str">
        <f>IF(Creation!BI8="Manipulation*","Yes","No")</f>
        <v>No</v>
      </c>
      <c r="BV8" s="421" t="str">
        <f>IF('House Rules'!$B$10="Potent","Command*","Command")</f>
        <v>Command</v>
      </c>
      <c r="BW8" s="318">
        <f>SUM(DotTracking!$T14:$X14,DotTracking!$AR14:$AV15,DotTracking!$BP14:$BT14,DotTracking!CN14:CR14)</f>
        <v>0</v>
      </c>
      <c r="BX8" s="421" t="str">
        <f>IF('House Rules'!$B$10="Potent","Investigation*","Investigation")</f>
        <v>Investigation</v>
      </c>
      <c r="BY8" s="318">
        <f>SUM(DotTracking!$T18:$X18,DotTracking!$AR18:$AV18,DotTracking!$BP18:$BT18,DotTracking!CN18:CR18)</f>
        <v>0</v>
      </c>
      <c r="BZ8" s="283">
        <f t="shared" si="4"/>
        <v>0</v>
      </c>
    </row>
    <row r="9" spans="1:86" ht="15" customHeight="1" x14ac:dyDescent="0.25">
      <c r="A9" s="1026"/>
      <c r="B9" s="727"/>
      <c r="C9" s="727"/>
      <c r="D9" s="727"/>
      <c r="E9" s="727"/>
      <c r="F9" s="727"/>
      <c r="G9" s="727"/>
      <c r="H9" s="727"/>
      <c r="I9" s="727"/>
      <c r="J9" s="727"/>
      <c r="K9" s="727"/>
      <c r="L9" s="727"/>
      <c r="M9" s="727"/>
      <c r="N9" s="727"/>
      <c r="O9" s="727"/>
      <c r="P9" s="727"/>
      <c r="Q9" s="727"/>
      <c r="R9" s="727"/>
      <c r="S9" s="727"/>
      <c r="T9" s="727"/>
      <c r="U9" s="727"/>
      <c r="V9" s="727"/>
      <c r="W9" s="727"/>
      <c r="X9" s="728"/>
      <c r="Y9" s="723" t="s">
        <v>40</v>
      </c>
      <c r="Z9" s="724"/>
      <c r="AA9" s="724"/>
      <c r="AB9" s="724"/>
      <c r="AC9" s="767">
        <f>SUM(DotTracking!T14:X14,DotTracking!AR14:AV14,DotTracking!BP14:BT14,DotTracking!CN14:CR14,DotTracking!ES12:EW12,DotTracking!FB12:FF12,DotTracking!FK12:FO12,DotTracking!FT12:FX12,DotTracking!GC12:GG12)</f>
        <v>0</v>
      </c>
      <c r="AD9" s="767"/>
      <c r="AE9" s="767"/>
      <c r="AF9" s="818"/>
      <c r="AG9" s="818"/>
      <c r="AH9" s="767">
        <f t="shared" si="0"/>
        <v>0</v>
      </c>
      <c r="AI9" s="767"/>
      <c r="AJ9" s="1114"/>
      <c r="AK9" s="1114"/>
      <c r="AL9" s="1114"/>
      <c r="AM9" s="1115"/>
      <c r="AN9" s="842"/>
      <c r="AO9" s="818"/>
      <c r="AP9" s="818"/>
      <c r="AQ9" s="818"/>
      <c r="AR9" s="818"/>
      <c r="AS9" s="818"/>
      <c r="AT9" s="767" t="str">
        <f t="shared" si="5"/>
        <v/>
      </c>
      <c r="AU9" s="767"/>
      <c r="AV9" s="768"/>
      <c r="AW9" s="842"/>
      <c r="AX9" s="818"/>
      <c r="AY9" s="818"/>
      <c r="AZ9" s="818"/>
      <c r="BA9" s="818"/>
      <c r="BB9" s="818"/>
      <c r="BC9" s="381"/>
      <c r="BD9" s="291">
        <f t="shared" si="1"/>
        <v>0</v>
      </c>
      <c r="BE9" s="767" t="str">
        <f>IF(AW9="","",HLOOKUP(AW9,AssociatedRef!$AP$1:$BZ$123,LOOKUP($CE$2,AssociatedRef!$AP$2:$AP$123,AssociatedRef!$AQ$2:$AQ$123),FALSE))</f>
        <v/>
      </c>
      <c r="BF9" s="767"/>
      <c r="BG9" s="381" t="s">
        <v>347</v>
      </c>
      <c r="BH9" s="292" t="str">
        <f t="shared" si="2"/>
        <v/>
      </c>
      <c r="BI9" s="723" t="s">
        <v>923</v>
      </c>
      <c r="BJ9" s="724"/>
      <c r="BK9" s="767">
        <f t="shared" si="6"/>
        <v>1</v>
      </c>
      <c r="BL9" s="767"/>
      <c r="BM9" s="767">
        <f>SUM(DotTracking!AC21:AM21,DotTracking!E21:O21,DotTracking!BA21:BK21,DotTracking!BY21:CI21)</f>
        <v>0</v>
      </c>
      <c r="BN9" s="767"/>
      <c r="BO9" s="818"/>
      <c r="BP9" s="818"/>
      <c r="BQ9" s="818"/>
      <c r="BR9" s="818"/>
      <c r="BS9" s="767">
        <f>IF(LOOKUP($CE$2,AssociatedRef!$A$2:$A$123,AssociatedRef!$G$2:$G$123)="Yes",BQ9*4,BQ9*5)</f>
        <v>0</v>
      </c>
      <c r="BT9" s="768"/>
      <c r="BU9" s="283" t="str">
        <f>IF(Creation!BI9="Appearance*","Yes","No")</f>
        <v>No</v>
      </c>
      <c r="BV9" s="421" t="str">
        <f>IF('House Rules'!$B$10="Potent","Craft*","Craft")</f>
        <v>Craft</v>
      </c>
      <c r="BW9" s="318">
        <f>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IF(DotTracking!CJ29="Craft",DotTracking!CN29:CR29,0),IF(DotTracking!CJ30="Craft",DotTracking!CN30:CR30,0),IF(DotTracking!CJ31="Craft",DotTracking!CN31:CR31,0),IF(DotTracking!CJ32="Craft",DotTracking!CN32:CR32,0),IF(DotTracking!CJ33="Craft",DotTracking!CN33:CR33,0),IF(DotTracking!CJ34="Craft",DotTracking!CN34:CR34,0),IF(DotTracking!CJ35="Craft",DotTracking!CN35:CR35,0),IF(DotTracking!CJ36="Craft",DotTracking!CN36:CR36,0),IF(DotTracking!CJ37="Craft",DotTracking!CN37:CR37,0),IF(DotTracking!CJ38="Craft",DotTracking!CN38:CR38,0),0)</f>
        <v>0</v>
      </c>
      <c r="BX9" s="421" t="str">
        <f>IF('House Rules'!$B$10="Potent","Larceny*","Larceny")</f>
        <v>Larceny</v>
      </c>
      <c r="BY9" s="318">
        <f>SUM(DotTracking!$T19:$X19,DotTracking!$AR19:$AV19,DotTracking!$BP19:$BT19,DotTracking!CN19:CR19)</f>
        <v>0</v>
      </c>
      <c r="BZ9" s="283">
        <f t="shared" si="4"/>
        <v>0</v>
      </c>
    </row>
    <row r="10" spans="1:86" ht="15" customHeight="1" x14ac:dyDescent="0.25">
      <c r="A10" s="1026"/>
      <c r="B10" s="727"/>
      <c r="C10" s="727"/>
      <c r="D10" s="727"/>
      <c r="E10" s="727"/>
      <c r="F10" s="727"/>
      <c r="G10" s="727"/>
      <c r="H10" s="727"/>
      <c r="I10" s="727"/>
      <c r="J10" s="727"/>
      <c r="K10" s="727"/>
      <c r="L10" s="727"/>
      <c r="M10" s="727"/>
      <c r="N10" s="727"/>
      <c r="O10" s="727"/>
      <c r="P10" s="727"/>
      <c r="Q10" s="727"/>
      <c r="R10" s="727"/>
      <c r="S10" s="727"/>
      <c r="T10" s="727"/>
      <c r="U10" s="727"/>
      <c r="V10" s="727"/>
      <c r="W10" s="727"/>
      <c r="X10" s="728"/>
      <c r="Y10" s="723" t="s">
        <v>41</v>
      </c>
      <c r="Z10" s="724"/>
      <c r="AA10" s="724"/>
      <c r="AB10" s="724"/>
      <c r="AC10" s="767">
        <f>SUM(DotTracking!T15:X15,DotTracking!AR15:AV15,DotTracking!BP15:BT15,DotTracking!CN15:CR15,DotTracking!ES13:EW13,DotTracking!FB13:FF13,DotTracking!FK13:FO13,DotTracking!FT13:FX13,DotTracking!GC13:GG13)</f>
        <v>0</v>
      </c>
      <c r="AD10" s="767"/>
      <c r="AE10" s="767"/>
      <c r="AF10" s="818"/>
      <c r="AG10" s="818"/>
      <c r="AH10" s="767">
        <f t="shared" si="0"/>
        <v>0</v>
      </c>
      <c r="AI10" s="767"/>
      <c r="AJ10" s="1114"/>
      <c r="AK10" s="1114"/>
      <c r="AL10" s="1114"/>
      <c r="AM10" s="1115"/>
      <c r="AN10" s="842"/>
      <c r="AO10" s="818"/>
      <c r="AP10" s="818"/>
      <c r="AQ10" s="818"/>
      <c r="AR10" s="818"/>
      <c r="AS10" s="818"/>
      <c r="AT10" s="767" t="str">
        <f t="shared" si="5"/>
        <v/>
      </c>
      <c r="AU10" s="767"/>
      <c r="AV10" s="768"/>
      <c r="AW10" s="842"/>
      <c r="AX10" s="818"/>
      <c r="AY10" s="818"/>
      <c r="AZ10" s="818"/>
      <c r="BA10" s="818"/>
      <c r="BB10" s="818"/>
      <c r="BC10" s="381"/>
      <c r="BD10" s="291">
        <f t="shared" si="1"/>
        <v>0</v>
      </c>
      <c r="BE10" s="767" t="str">
        <f>IF(AW10="","",HLOOKUP(AW10,AssociatedRef!$AP$1:$BZ$123,LOOKUP($CE$2,AssociatedRef!$AP$2:$AP$123,AssociatedRef!$AQ$2:$AQ$123),FALSE))</f>
        <v/>
      </c>
      <c r="BF10" s="767"/>
      <c r="BG10" s="381" t="s">
        <v>347</v>
      </c>
      <c r="BH10" s="292" t="str">
        <f t="shared" si="2"/>
        <v/>
      </c>
      <c r="BI10" s="723" t="s">
        <v>924</v>
      </c>
      <c r="BJ10" s="724"/>
      <c r="BK10" s="767">
        <f>SUM(E31:H31)</f>
        <v>1</v>
      </c>
      <c r="BL10" s="767"/>
      <c r="BM10" s="767">
        <f>SUM(DotTracking!AC22:AM22,DotTracking!E22:O22,DotTracking!BA22:BK22,DotTracking!BY22:CI22)</f>
        <v>0</v>
      </c>
      <c r="BN10" s="767"/>
      <c r="BO10" s="818"/>
      <c r="BP10" s="818"/>
      <c r="BQ10" s="818"/>
      <c r="BR10" s="818"/>
      <c r="BS10" s="767">
        <f>IF(LOOKUP($CE$2,AssociatedRef!$A$2:$A$123,AssociatedRef!$H$2:$H$123)="Yes",BQ10*4,BQ10*5)</f>
        <v>0</v>
      </c>
      <c r="BT10" s="768"/>
      <c r="BU10" s="283" t="str">
        <f>IF(Creation!BI10="Perception*","Yes","No")</f>
        <v>No</v>
      </c>
      <c r="BV10" s="421" t="str">
        <f>IF('House Rules'!$B$10="Potent","Empathy*","Empathy")</f>
        <v>Empathy</v>
      </c>
      <c r="BW10" s="318">
        <f>SUM(DotTracking!$T15:$X15,DotTracking!$AR15:$AV15,DotTracking!$BP15:$BT15,DotTracking!CN15:CR15)</f>
        <v>0</v>
      </c>
      <c r="BX10" s="421" t="str">
        <f>IF('House Rules'!$B$10="Potent","Marksmanship*","Marksmanship")</f>
        <v>Marksmanship</v>
      </c>
      <c r="BY10" s="318">
        <f>SUM(DotTracking!$T20:$X20,DotTracking!$AR20:$AV20,DotTracking!$BP20:$BT20,DotTracking!CN20:CR20)</f>
        <v>0</v>
      </c>
      <c r="BZ10" s="283">
        <f t="shared" si="4"/>
        <v>0</v>
      </c>
    </row>
    <row r="11" spans="1:86" ht="15" customHeight="1" thickBot="1" x14ac:dyDescent="0.3">
      <c r="A11" s="1192"/>
      <c r="B11" s="867"/>
      <c r="C11" s="867"/>
      <c r="D11" s="867"/>
      <c r="E11" s="867"/>
      <c r="F11" s="867"/>
      <c r="G11" s="867"/>
      <c r="H11" s="867"/>
      <c r="I11" s="867"/>
      <c r="J11" s="867"/>
      <c r="K11" s="867"/>
      <c r="L11" s="867"/>
      <c r="M11" s="867"/>
      <c r="N11" s="867"/>
      <c r="O11" s="867"/>
      <c r="P11" s="867"/>
      <c r="Q11" s="867"/>
      <c r="R11" s="867"/>
      <c r="S11" s="867"/>
      <c r="T11" s="867"/>
      <c r="U11" s="867"/>
      <c r="V11" s="867"/>
      <c r="W11" s="867"/>
      <c r="X11" s="1193"/>
      <c r="Y11" s="723" t="s">
        <v>42</v>
      </c>
      <c r="Z11" s="724"/>
      <c r="AA11" s="724"/>
      <c r="AB11" s="724"/>
      <c r="AC11" s="767">
        <f>SUM(DotTracking!T16:X16,DotTracking!AR16:AV16,DotTracking!BP16:BT16,DotTracking!CN16:CR16,DotTracking!ES14:EW14,DotTracking!FB14:FF14,DotTracking!FK14:FO14,DotTracking!FT14:FX14,DotTracking!GC14:GG14)</f>
        <v>0</v>
      </c>
      <c r="AD11" s="767"/>
      <c r="AE11" s="767"/>
      <c r="AF11" s="818"/>
      <c r="AG11" s="818"/>
      <c r="AH11" s="767">
        <f t="shared" si="0"/>
        <v>0</v>
      </c>
      <c r="AI11" s="767"/>
      <c r="AJ11" s="1114"/>
      <c r="AK11" s="1114"/>
      <c r="AL11" s="1114"/>
      <c r="AM11" s="1115"/>
      <c r="AN11" s="842"/>
      <c r="AO11" s="818"/>
      <c r="AP11" s="818"/>
      <c r="AQ11" s="818"/>
      <c r="AR11" s="818"/>
      <c r="AS11" s="818"/>
      <c r="AT11" s="767" t="str">
        <f t="shared" si="5"/>
        <v/>
      </c>
      <c r="AU11" s="767"/>
      <c r="AV11" s="768"/>
      <c r="AW11" s="842"/>
      <c r="AX11" s="818"/>
      <c r="AY11" s="818"/>
      <c r="AZ11" s="818"/>
      <c r="BA11" s="818"/>
      <c r="BB11" s="818"/>
      <c r="BC11" s="381"/>
      <c r="BD11" s="291">
        <f t="shared" si="1"/>
        <v>0</v>
      </c>
      <c r="BE11" s="767" t="str">
        <f>IF(AW11="","",HLOOKUP(AW11,AssociatedRef!$AP$1:$BZ$123,LOOKUP($CE$2,AssociatedRef!$AP$2:$AP$123,AssociatedRef!$AQ$2:$AQ$123),FALSE))</f>
        <v/>
      </c>
      <c r="BF11" s="767"/>
      <c r="BG11" s="381" t="s">
        <v>347</v>
      </c>
      <c r="BH11" s="292" t="str">
        <f t="shared" si="2"/>
        <v/>
      </c>
      <c r="BI11" s="723" t="s">
        <v>925</v>
      </c>
      <c r="BJ11" s="724"/>
      <c r="BK11" s="767">
        <f t="shared" ref="BK11:BK12" si="7">SUM(E32:H32)</f>
        <v>1</v>
      </c>
      <c r="BL11" s="767"/>
      <c r="BM11" s="767">
        <f>SUM(DotTracking!AC23:AM23,DotTracking!E23:O23,DotTracking!BA23:BK23,DotTracking!BY23:CI23)</f>
        <v>0</v>
      </c>
      <c r="BN11" s="767"/>
      <c r="BO11" s="818"/>
      <c r="BP11" s="818"/>
      <c r="BQ11" s="818"/>
      <c r="BR11" s="818"/>
      <c r="BS11" s="767">
        <f>IF(LOOKUP($CE$2,AssociatedRef!$A$2:$A$123,AssociatedRef!$I$2:$I$123)="Yes",BQ11*4,BQ11*5)</f>
        <v>0</v>
      </c>
      <c r="BT11" s="768"/>
      <c r="BU11" s="283" t="str">
        <f>IF(Creation!BI11="Intelligence*","Yes","No")</f>
        <v>No</v>
      </c>
      <c r="BV11" s="420" t="s">
        <v>912</v>
      </c>
      <c r="BW11" s="318"/>
      <c r="BX11" s="421" t="str">
        <f>IF('House Rules'!$B$10="Potent","Medicine*","Medicine")</f>
        <v>Medicine</v>
      </c>
      <c r="BY11" s="318">
        <f>SUM(DotTracking!$T21:$X21,DotTracking!$AR21:$AV21,DotTracking!$BP21:$BT21,DotTracking!CN21:CR21)</f>
        <v>0</v>
      </c>
      <c r="BZ11" s="283">
        <f t="shared" si="4"/>
        <v>0</v>
      </c>
    </row>
    <row r="12" spans="1:86" ht="15" customHeight="1" x14ac:dyDescent="0.25">
      <c r="A12" s="721" t="s">
        <v>0</v>
      </c>
      <c r="B12" s="722"/>
      <c r="C12" s="722"/>
      <c r="D12" s="722"/>
      <c r="E12" s="841"/>
      <c r="F12" s="841"/>
      <c r="G12" s="841"/>
      <c r="H12" s="841"/>
      <c r="I12" s="841"/>
      <c r="J12" s="841"/>
      <c r="K12" s="841"/>
      <c r="L12" s="841"/>
      <c r="M12" s="841"/>
      <c r="N12" s="945"/>
      <c r="O12" s="721" t="s">
        <v>2</v>
      </c>
      <c r="P12" s="722"/>
      <c r="Q12" s="722"/>
      <c r="R12" s="722"/>
      <c r="S12" s="765">
        <f>Creation!S12</f>
        <v>0</v>
      </c>
      <c r="T12" s="765"/>
      <c r="U12" s="765"/>
      <c r="V12" s="765"/>
      <c r="W12" s="765"/>
      <c r="X12" s="766"/>
      <c r="Y12" s="775" t="s">
        <v>43</v>
      </c>
      <c r="Z12" s="724"/>
      <c r="AA12" s="724"/>
      <c r="AB12" s="724"/>
      <c r="AC12" s="767">
        <f>SUM(DotTracking!T17:X17,DotTracking!AR17:AV17,DotTracking!BP17:BT17,DotTracking!CN17:CR17,DotTracking!ES15:EW15,DotTracking!FB15:FF15,DotTracking!FK15:FO15,DotTracking!FT15:FX15,DotTracking!GC15:GG15)</f>
        <v>0</v>
      </c>
      <c r="AD12" s="767"/>
      <c r="AE12" s="767"/>
      <c r="AF12" s="818"/>
      <c r="AG12" s="818"/>
      <c r="AH12" s="767">
        <f t="shared" si="0"/>
        <v>0</v>
      </c>
      <c r="AI12" s="767"/>
      <c r="AJ12" s="1114"/>
      <c r="AK12" s="1114"/>
      <c r="AL12" s="1114"/>
      <c r="AM12" s="1115"/>
      <c r="AN12" s="842"/>
      <c r="AO12" s="818"/>
      <c r="AP12" s="818"/>
      <c r="AQ12" s="818"/>
      <c r="AR12" s="818"/>
      <c r="AS12" s="818"/>
      <c r="AT12" s="767" t="str">
        <f t="shared" si="5"/>
        <v/>
      </c>
      <c r="AU12" s="767"/>
      <c r="AV12" s="768"/>
      <c r="AW12" s="842"/>
      <c r="AX12" s="818"/>
      <c r="AY12" s="818"/>
      <c r="AZ12" s="818"/>
      <c r="BA12" s="818"/>
      <c r="BB12" s="818"/>
      <c r="BC12" s="381"/>
      <c r="BD12" s="291">
        <f t="shared" si="1"/>
        <v>0</v>
      </c>
      <c r="BE12" s="767" t="str">
        <f>IF(AW12="","",HLOOKUP(AW12,AssociatedRef!$AP$1:$BZ$123,LOOKUP($CE$2,AssociatedRef!$AP$2:$AP$123,AssociatedRef!$AQ$2:$AQ$123),FALSE))</f>
        <v/>
      </c>
      <c r="BF12" s="767"/>
      <c r="BG12" s="381" t="s">
        <v>347</v>
      </c>
      <c r="BH12" s="292" t="str">
        <f t="shared" si="2"/>
        <v/>
      </c>
      <c r="BI12" s="723" t="s">
        <v>21</v>
      </c>
      <c r="BJ12" s="724"/>
      <c r="BK12" s="767">
        <f t="shared" si="7"/>
        <v>1</v>
      </c>
      <c r="BL12" s="767"/>
      <c r="BM12" s="767">
        <f>SUM(DotTracking!AC24:AM24,DotTracking!E24:O24,DotTracking!BA24:BK24,DotTracking!BY24:CI24)</f>
        <v>0</v>
      </c>
      <c r="BN12" s="767"/>
      <c r="BO12" s="818"/>
      <c r="BP12" s="818"/>
      <c r="BQ12" s="818"/>
      <c r="BR12" s="818"/>
      <c r="BS12" s="767">
        <f>IF(LOOKUP($CE$2,AssociatedRef!$A$2:$A$123,AssociatedRef!$J$2:$J$123)="Yes",BQ12*4,BQ12*5)</f>
        <v>0</v>
      </c>
      <c r="BT12" s="768"/>
      <c r="BU12" s="283" t="str">
        <f>IF(Creation!BI12="Wits*","Yes","No")</f>
        <v>No</v>
      </c>
      <c r="BV12" s="421" t="str">
        <f>IF('House Rules'!$B$10="Potent","Art*","Art")</f>
        <v>Art</v>
      </c>
      <c r="BW12" s="318">
        <f>SUM(IF(DotTracking!P29="Art",DotTracking!T29:X29,0),IF(DotTracking!AN29="Art",DotTracking!AR29:AV29,0),IF(DotTracking!BL29="Art",DotTracking!BP29:BT29,0),IF(DotTracking!P30="Art",DotTracking!T30:X30,0),IF(DotTracking!AN30="Art",DotTracking!AR30:AV30,0),IF(DotTracking!BL30="Art",DotTracking!BP30:BT30,0),IF(DotTracking!P32="Art",DotTracking!T32:X32,0),IF(DotTracking!AN32="Art",DotTracking!AR32:AV32,0),IF(DotTracking!BL32="Art",DotTracking!BP32:BT32,0),IF(DotTracking!P31="Art",DotTracking!T31:X31,0),IF(DotTracking!AN31="Art",DotTracking!AR31:AV31,0),IF(DotTracking!BL31="Art",DotTracking!BP31:BT31,0),IF(DotTracking!P33="Art",DotTracking!T33:X33,0),IF(DotTracking!AN33="Art",DotTracking!AR33:AV33,0),IF(DotTracking!BL33="Art",DotTracking!BP33:BT33,0),IF(DotTracking!P34="Art",DotTracking!T34:X34,0),IF(DotTracking!AN34="Art",DotTracking!AR34:AV34,0),IF(DotTracking!BL34="Art",DotTracking!BP34:BT34,0),IF(DotTracking!P35="Art",DotTracking!T35:X35,0),IF(DotTracking!AN35="Art",DotTracking!AR35:AV35,0),IF(DotTracking!BL35="Art",DotTracking!BP35:BT35,0),IF(DotTracking!P36="Art",DotTracking!T36:X36,0),IF(DotTracking!AN36="Art",DotTracking!AR36:AV36,0),IF(DotTracking!BL36="Art",DotTracking!BP36:BT36,0),IF(DotTracking!P37="Art",DotTracking!T37:X37,0),IF(DotTracking!AN37="Art",DotTracking!AR37:AV37,0),IF(DotTracking!BL37="Art",DotTracking!BP37:BT37,0),IF(DotTracking!P38="Art",DotTracking!T38:X38,0),IF(DotTracking!AN38="Art",DotTracking!AR38:AV38,0),IF(DotTracking!BL38="Art",DotTracking!BP38:BT38,0),IF(DotTracking!CJ29="Art",DotTracking!CN29:CR29,0),IF(DotTracking!CJ30="Art",DotTracking!CN30:CR30,0),IF(DotTracking!CJ31="Art",DotTracking!CN31:CR31,0),IF(DotTracking!CJ32="Art",DotTracking!CN32:CR32,0),IF(DotTracking!CJ33="Art",DotTracking!CN33:CR33,0),IF(DotTracking!CJ34="Art",DotTracking!CN34:CR34,0),IF(DotTracking!CJ35="Art",DotTracking!CN35:CR35,0),IF(DotTracking!CJ36="Art",DotTracking!CN36:CR36,0),IF(DotTracking!CJ37="Art",DotTracking!CN37:CR37,0),IF(DotTracking!CJ38="Art",DotTracking!CN38:CR38,0),0)</f>
        <v>0</v>
      </c>
      <c r="BX12" s="421" t="str">
        <f>IF('House Rules'!$B$10="Potent","Melee*","Melee")</f>
        <v>Melee</v>
      </c>
      <c r="BY12" s="318">
        <f>SUM(DotTracking!$T22:$X22,DotTracking!$AR22:$AV22,DotTracking!$BP22:$BT22,DotTracking!CN22:CR22)</f>
        <v>0</v>
      </c>
      <c r="BZ12" s="283">
        <f t="shared" si="4"/>
        <v>0</v>
      </c>
    </row>
    <row r="13" spans="1:86" ht="15" customHeight="1" thickBot="1" x14ac:dyDescent="0.3">
      <c r="A13" s="802" t="s">
        <v>1</v>
      </c>
      <c r="B13" s="803"/>
      <c r="C13" s="803"/>
      <c r="D13" s="803"/>
      <c r="E13" s="845"/>
      <c r="F13" s="845"/>
      <c r="G13" s="845"/>
      <c r="H13" s="845"/>
      <c r="I13" s="845"/>
      <c r="J13" s="845"/>
      <c r="K13" s="845"/>
      <c r="L13" s="845"/>
      <c r="M13" s="845"/>
      <c r="N13" s="856"/>
      <c r="O13" s="802" t="s">
        <v>4</v>
      </c>
      <c r="P13" s="803"/>
      <c r="Q13" s="803"/>
      <c r="R13" s="803"/>
      <c r="S13" s="792"/>
      <c r="T13" s="792"/>
      <c r="U13" s="792"/>
      <c r="V13" s="792"/>
      <c r="W13" s="792"/>
      <c r="X13" s="793"/>
      <c r="Y13" s="775" t="s">
        <v>44</v>
      </c>
      <c r="Z13" s="724"/>
      <c r="AA13" s="724"/>
      <c r="AB13" s="724"/>
      <c r="AC13" s="767">
        <f>SUM(DotTracking!T18:X18,DotTracking!AR18:AV18,DotTracking!BP18:BT18,DotTracking!CN18:CR18,DotTracking!ES16:EW16,DotTracking!FB16:FF16,DotTracking!FK16:FO16,DotTracking!FT16:FX16,DotTracking!GC16:GG16)</f>
        <v>0</v>
      </c>
      <c r="AD13" s="767"/>
      <c r="AE13" s="767"/>
      <c r="AF13" s="818"/>
      <c r="AG13" s="818"/>
      <c r="AH13" s="767">
        <f t="shared" si="0"/>
        <v>0</v>
      </c>
      <c r="AI13" s="767"/>
      <c r="AJ13" s="1114"/>
      <c r="AK13" s="1114"/>
      <c r="AL13" s="1114"/>
      <c r="AM13" s="1115"/>
      <c r="AN13" s="842"/>
      <c r="AO13" s="818"/>
      <c r="AP13" s="818"/>
      <c r="AQ13" s="818"/>
      <c r="AR13" s="818"/>
      <c r="AS13" s="818"/>
      <c r="AT13" s="767" t="str">
        <f t="shared" si="5"/>
        <v/>
      </c>
      <c r="AU13" s="767"/>
      <c r="AV13" s="768"/>
      <c r="AW13" s="842"/>
      <c r="AX13" s="818"/>
      <c r="AY13" s="818"/>
      <c r="AZ13" s="818"/>
      <c r="BA13" s="818"/>
      <c r="BB13" s="818"/>
      <c r="BC13" s="381"/>
      <c r="BD13" s="291">
        <f t="shared" si="1"/>
        <v>0</v>
      </c>
      <c r="BE13" s="767" t="str">
        <f>IF(AW13="","",HLOOKUP(AW13,AssociatedRef!$AP$1:$BZ$123,LOOKUP($CE$2,AssociatedRef!$AP$2:$AP$123,AssociatedRef!$AQ$2:$AQ$123),FALSE))</f>
        <v/>
      </c>
      <c r="BF13" s="767"/>
      <c r="BG13" s="381" t="s">
        <v>347</v>
      </c>
      <c r="BH13" s="292" t="str">
        <f t="shared" si="2"/>
        <v/>
      </c>
      <c r="BI13" s="1176"/>
      <c r="BJ13" s="804"/>
      <c r="BK13" s="804"/>
      <c r="BL13" s="804"/>
      <c r="BM13" s="803" t="s">
        <v>28</v>
      </c>
      <c r="BN13" s="803"/>
      <c r="BO13" s="804">
        <f>SUM(BO4:BP12)</f>
        <v>0</v>
      </c>
      <c r="BP13" s="804"/>
      <c r="BQ13" s="804">
        <f t="shared" ref="BQ13" si="8">SUM(BQ4:BR12)</f>
        <v>0</v>
      </c>
      <c r="BR13" s="804"/>
      <c r="BS13" s="804">
        <f>SUM(BS4:BT12)</f>
        <v>0</v>
      </c>
      <c r="BT13" s="817"/>
      <c r="BU13" s="281"/>
      <c r="BV13" s="421" t="str">
        <f>IF('House Rules'!$B$10="Potent","Athletics*","Athletics")</f>
        <v>Athletics</v>
      </c>
      <c r="BW13" s="318">
        <f>SUM(DotTracking!$T11:$X11,DotTracking!$AR11:$AV12,DotTracking!$BP11:$BT11,DotTracking!CN11:CR11)</f>
        <v>0</v>
      </c>
      <c r="BX13" s="421" t="str">
        <f>IF('House Rules'!$B$10="Potent","Occult*","Occult")</f>
        <v>Occult</v>
      </c>
      <c r="BY13" s="318">
        <f>SUM(DotTracking!$T23:$X23,DotTracking!$AR23:$AV23,DotTracking!$BP23:$BT23,DotTracking!CN23:CR23)</f>
        <v>0</v>
      </c>
      <c r="BZ13" s="283">
        <f t="shared" si="4"/>
        <v>0</v>
      </c>
    </row>
    <row r="14" spans="1:86" ht="15" customHeight="1" x14ac:dyDescent="0.25">
      <c r="A14" s="1167" t="s">
        <v>498</v>
      </c>
      <c r="B14" s="1168"/>
      <c r="C14" s="1168"/>
      <c r="D14" s="1168"/>
      <c r="E14" s="1168"/>
      <c r="F14" s="1168"/>
      <c r="G14" s="1168"/>
      <c r="H14" s="1168"/>
      <c r="I14" s="1168"/>
      <c r="J14" s="1168"/>
      <c r="K14" s="1168"/>
      <c r="L14" s="1168"/>
      <c r="M14" s="1168"/>
      <c r="N14" s="1168"/>
      <c r="O14" s="1168"/>
      <c r="P14" s="1168"/>
      <c r="Q14" s="1168"/>
      <c r="R14" s="1168"/>
      <c r="S14" s="1168"/>
      <c r="T14" s="1168"/>
      <c r="U14" s="1168"/>
      <c r="V14" s="1168"/>
      <c r="W14" s="1168"/>
      <c r="X14" s="1169"/>
      <c r="Y14" s="723" t="s">
        <v>45</v>
      </c>
      <c r="Z14" s="724"/>
      <c r="AA14" s="724"/>
      <c r="AB14" s="724"/>
      <c r="AC14" s="767">
        <f>SUM(DotTracking!T19:X19,DotTracking!AR19:AV19,DotTracking!BP19:BT19,DotTracking!CN19:CR19,DotTracking!ES17:EW17,DotTracking!FB17:FF17,DotTracking!FK17:FO17,DotTracking!FT17:FX17,DotTracking!GC17:GG17)</f>
        <v>0</v>
      </c>
      <c r="AD14" s="767"/>
      <c r="AE14" s="767"/>
      <c r="AF14" s="818"/>
      <c r="AG14" s="818"/>
      <c r="AH14" s="767">
        <f t="shared" si="0"/>
        <v>0</v>
      </c>
      <c r="AI14" s="767"/>
      <c r="AJ14" s="1114"/>
      <c r="AK14" s="1114"/>
      <c r="AL14" s="1114"/>
      <c r="AM14" s="1115"/>
      <c r="AN14" s="842"/>
      <c r="AO14" s="818"/>
      <c r="AP14" s="818"/>
      <c r="AQ14" s="818"/>
      <c r="AR14" s="818"/>
      <c r="AS14" s="818"/>
      <c r="AT14" s="767" t="str">
        <f t="shared" si="5"/>
        <v/>
      </c>
      <c r="AU14" s="767"/>
      <c r="AV14" s="768"/>
      <c r="AW14" s="842"/>
      <c r="AX14" s="818"/>
      <c r="AY14" s="818"/>
      <c r="AZ14" s="818"/>
      <c r="BA14" s="818"/>
      <c r="BB14" s="818"/>
      <c r="BC14" s="381"/>
      <c r="BD14" s="291">
        <f t="shared" si="1"/>
        <v>0</v>
      </c>
      <c r="BE14" s="767" t="str">
        <f>IF(AW14="","",HLOOKUP(AW14,AssociatedRef!$AP$1:$BZ$123,LOOKUP($CE$2,AssociatedRef!$AP$2:$AP$123,AssociatedRef!$AQ$2:$AQ$123),FALSE))</f>
        <v/>
      </c>
      <c r="BF14" s="767"/>
      <c r="BG14" s="381" t="s">
        <v>347</v>
      </c>
      <c r="BH14" s="292" t="str">
        <f t="shared" si="2"/>
        <v/>
      </c>
      <c r="BI14" s="721" t="s">
        <v>73</v>
      </c>
      <c r="BJ14" s="722"/>
      <c r="BK14" s="722"/>
      <c r="BL14" s="722"/>
      <c r="BM14" s="722"/>
      <c r="BN14" s="722"/>
      <c r="BO14" s="765">
        <f>SUM(BO13,BD4:BD46)</f>
        <v>0</v>
      </c>
      <c r="BP14" s="766"/>
      <c r="BQ14" s="733"/>
      <c r="BR14" s="733"/>
      <c r="BS14" s="733"/>
      <c r="BT14" s="734"/>
      <c r="BU14" s="281"/>
      <c r="BV14" s="421" t="str">
        <f>IF('House Rules'!$B$10="Potent","Awareness*","Awareness")</f>
        <v>Awareness</v>
      </c>
      <c r="BW14" s="318">
        <f>SUM(DotTracking!$T12:$X12,DotTracking!$AR12:$AV13,DotTracking!$BP12:$BT12,DotTracking!CN12:CR12)</f>
        <v>0</v>
      </c>
      <c r="BX14" s="421" t="str">
        <f>IF('House Rules'!$B$10="Potent","Politics*","Politics")</f>
        <v>Politics</v>
      </c>
      <c r="BY14" s="318">
        <f>SUM(DotTracking!$T24:$X24,DotTracking!$AR24:$AV24,DotTracking!$BP24:$BT24,DotTracking!CN24:CR24)</f>
        <v>0</v>
      </c>
      <c r="BZ14" s="283">
        <f t="shared" si="4"/>
        <v>0</v>
      </c>
    </row>
    <row r="15" spans="1:86" ht="15" customHeight="1" thickBot="1" x14ac:dyDescent="0.3">
      <c r="A15" s="802"/>
      <c r="B15" s="803"/>
      <c r="C15" s="803"/>
      <c r="D15" s="803"/>
      <c r="E15" s="803"/>
      <c r="F15" s="803"/>
      <c r="G15" s="803"/>
      <c r="H15" s="803"/>
      <c r="I15" s="803"/>
      <c r="J15" s="803"/>
      <c r="K15" s="803"/>
      <c r="L15" s="803"/>
      <c r="M15" s="803"/>
      <c r="N15" s="803"/>
      <c r="O15" s="803"/>
      <c r="P15" s="803"/>
      <c r="Q15" s="803"/>
      <c r="R15" s="803"/>
      <c r="S15" s="803"/>
      <c r="T15" s="803"/>
      <c r="U15" s="803"/>
      <c r="V15" s="803"/>
      <c r="W15" s="803"/>
      <c r="X15" s="1170"/>
      <c r="Y15" s="723" t="s">
        <v>46</v>
      </c>
      <c r="Z15" s="724"/>
      <c r="AA15" s="724"/>
      <c r="AB15" s="724"/>
      <c r="AC15" s="767">
        <f>SUM(DotTracking!T20:X20,DotTracking!AR20:AV20,DotTracking!BP20:BT20,DotTracking!CN20:CR20,DotTracking!ES18:EW18,DotTracking!FB18:FF18,DotTracking!FK18:FO18,DotTracking!FT18:FX18,DotTracking!GC18:GG18)</f>
        <v>0</v>
      </c>
      <c r="AD15" s="767"/>
      <c r="AE15" s="767"/>
      <c r="AF15" s="818"/>
      <c r="AG15" s="818"/>
      <c r="AH15" s="767">
        <f t="shared" si="0"/>
        <v>0</v>
      </c>
      <c r="AI15" s="767"/>
      <c r="AJ15" s="1114"/>
      <c r="AK15" s="1114"/>
      <c r="AL15" s="1114"/>
      <c r="AM15" s="1115"/>
      <c r="AN15" s="842"/>
      <c r="AO15" s="818"/>
      <c r="AP15" s="818"/>
      <c r="AQ15" s="818"/>
      <c r="AR15" s="818"/>
      <c r="AS15" s="818"/>
      <c r="AT15" s="767" t="str">
        <f t="shared" si="5"/>
        <v/>
      </c>
      <c r="AU15" s="767"/>
      <c r="AV15" s="768"/>
      <c r="AW15" s="842"/>
      <c r="AX15" s="818"/>
      <c r="AY15" s="818"/>
      <c r="AZ15" s="818"/>
      <c r="BA15" s="818"/>
      <c r="BB15" s="818"/>
      <c r="BC15" s="381"/>
      <c r="BD15" s="291">
        <f t="shared" si="1"/>
        <v>0</v>
      </c>
      <c r="BE15" s="767" t="str">
        <f>IF(AW15="","",HLOOKUP(AW15,AssociatedRef!$AP$1:$BZ$123,LOOKUP($CE$2,AssociatedRef!$AP$2:$AP$123,AssociatedRef!$AQ$2:$AQ$123),FALSE))</f>
        <v/>
      </c>
      <c r="BF15" s="767"/>
      <c r="BG15" s="381" t="s">
        <v>347</v>
      </c>
      <c r="BH15" s="292" t="str">
        <f t="shared" si="2"/>
        <v/>
      </c>
      <c r="BI15" s="723"/>
      <c r="BJ15" s="724"/>
      <c r="BK15" s="724"/>
      <c r="BL15" s="724"/>
      <c r="BM15" s="724"/>
      <c r="BN15" s="724"/>
      <c r="BO15" s="767"/>
      <c r="BP15" s="768"/>
      <c r="BQ15" s="733"/>
      <c r="BR15" s="733"/>
      <c r="BS15" s="733"/>
      <c r="BT15" s="734"/>
      <c r="BU15" s="281"/>
      <c r="BV15" s="421" t="str">
        <f>IF('House Rules'!$B$10="Potent","Brawl*","Brawl")</f>
        <v>Brawl</v>
      </c>
      <c r="BW15" s="318">
        <f>SUM(DotTracking!$T13:$X13,DotTracking!$AR13:$AV14,DotTracking!$BP13:$BT13,DotTracking!CN13:CR13)</f>
        <v>0</v>
      </c>
      <c r="BX15" s="421" t="str">
        <f>IF('House Rules'!$B$10="Potent","Presence*","Presence")</f>
        <v>Presence</v>
      </c>
      <c r="BY15" s="318">
        <f>SUM(DotTracking!$T25:$X25,DotTracking!$AR25:$AV25,DotTracking!$BP25:$BT25,DotTracking!CN25:CR25)</f>
        <v>0</v>
      </c>
      <c r="BZ15" s="283">
        <f t="shared" si="4"/>
        <v>0</v>
      </c>
    </row>
    <row r="16" spans="1:86" ht="15" customHeight="1" x14ac:dyDescent="0.25">
      <c r="A16" s="829" t="s">
        <v>8</v>
      </c>
      <c r="B16" s="820"/>
      <c r="C16" s="820"/>
      <c r="D16" s="820"/>
      <c r="E16" s="820"/>
      <c r="F16" s="820"/>
      <c r="G16" s="820"/>
      <c r="H16" s="820"/>
      <c r="I16" s="820"/>
      <c r="J16" s="820"/>
      <c r="K16" s="820"/>
      <c r="L16" s="821"/>
      <c r="M16" s="829" t="s">
        <v>9</v>
      </c>
      <c r="N16" s="820"/>
      <c r="O16" s="820"/>
      <c r="P16" s="820"/>
      <c r="Q16" s="820"/>
      <c r="R16" s="820"/>
      <c r="S16" s="820"/>
      <c r="T16" s="820"/>
      <c r="U16" s="820"/>
      <c r="V16" s="820"/>
      <c r="W16" s="820"/>
      <c r="X16" s="821"/>
      <c r="Y16" s="723" t="s">
        <v>47</v>
      </c>
      <c r="Z16" s="724"/>
      <c r="AA16" s="724"/>
      <c r="AB16" s="724"/>
      <c r="AC16" s="767">
        <f>SUM(DotTracking!T21:X21,DotTracking!AR21:AV21,DotTracking!BP21:BT21,DotTracking!CN21:CR21,DotTracking!ES19:EW19,DotTracking!FB19:FF19,DotTracking!FK19:FO19,DotTracking!FT19:FX19,DotTracking!GC19:GG19)</f>
        <v>0</v>
      </c>
      <c r="AD16" s="767"/>
      <c r="AE16" s="767"/>
      <c r="AF16" s="818"/>
      <c r="AG16" s="818"/>
      <c r="AH16" s="767">
        <f t="shared" si="0"/>
        <v>0</v>
      </c>
      <c r="AI16" s="767"/>
      <c r="AJ16" s="1114"/>
      <c r="AK16" s="1114"/>
      <c r="AL16" s="1114"/>
      <c r="AM16" s="1115"/>
      <c r="AN16" s="842"/>
      <c r="AO16" s="818"/>
      <c r="AP16" s="818"/>
      <c r="AQ16" s="818"/>
      <c r="AR16" s="818"/>
      <c r="AS16" s="818"/>
      <c r="AT16" s="767" t="str">
        <f t="shared" si="5"/>
        <v/>
      </c>
      <c r="AU16" s="767"/>
      <c r="AV16" s="768"/>
      <c r="AW16" s="842"/>
      <c r="AX16" s="818"/>
      <c r="AY16" s="818"/>
      <c r="AZ16" s="818"/>
      <c r="BA16" s="818"/>
      <c r="BB16" s="818"/>
      <c r="BC16" s="381"/>
      <c r="BD16" s="291">
        <f t="shared" si="1"/>
        <v>0</v>
      </c>
      <c r="BE16" s="767" t="str">
        <f>IF(AW16="","",HLOOKUP(AW16,AssociatedRef!$AP$1:$BZ$123,LOOKUP($CE$2,AssociatedRef!$AP$2:$AP$123,AssociatedRef!$AQ$2:$AQ$123),FALSE))</f>
        <v/>
      </c>
      <c r="BF16" s="767"/>
      <c r="BG16" s="381" t="s">
        <v>347</v>
      </c>
      <c r="BH16" s="292" t="str">
        <f t="shared" si="2"/>
        <v/>
      </c>
      <c r="BI16" s="723" t="s">
        <v>32</v>
      </c>
      <c r="BJ16" s="724"/>
      <c r="BK16" s="724"/>
      <c r="BL16" s="724"/>
      <c r="BM16" s="724"/>
      <c r="BN16" s="724"/>
      <c r="BO16" s="767">
        <f>10-BO14</f>
        <v>10</v>
      </c>
      <c r="BP16" s="768"/>
      <c r="BQ16" s="733"/>
      <c r="BR16" s="733"/>
      <c r="BS16" s="733"/>
      <c r="BT16" s="734"/>
      <c r="BU16" s="281"/>
      <c r="BV16" s="421" t="str">
        <f>IF('House Rules'!$B$10="Potent","Command*","Command")</f>
        <v>Command</v>
      </c>
      <c r="BW16" s="318">
        <f>SUM(DotTracking!$T14:$X14,DotTracking!$AR14:$AV15,DotTracking!$BP14:$BT14,DotTracking!CN14:CR14)</f>
        <v>0</v>
      </c>
      <c r="BX16" s="420" t="s">
        <v>915</v>
      </c>
      <c r="BY16" s="318"/>
      <c r="BZ16" s="283">
        <f t="shared" si="4"/>
        <v>0</v>
      </c>
    </row>
    <row r="17" spans="1:78" ht="15" customHeight="1" thickBot="1" x14ac:dyDescent="0.3">
      <c r="A17" s="890"/>
      <c r="B17" s="823"/>
      <c r="C17" s="823"/>
      <c r="D17" s="823"/>
      <c r="E17" s="823"/>
      <c r="F17" s="823"/>
      <c r="G17" s="823"/>
      <c r="H17" s="823"/>
      <c r="I17" s="823"/>
      <c r="J17" s="823"/>
      <c r="K17" s="823"/>
      <c r="L17" s="824"/>
      <c r="M17" s="890"/>
      <c r="N17" s="823"/>
      <c r="O17" s="823"/>
      <c r="P17" s="823"/>
      <c r="Q17" s="823"/>
      <c r="R17" s="823"/>
      <c r="S17" s="823"/>
      <c r="T17" s="823"/>
      <c r="U17" s="823"/>
      <c r="V17" s="823"/>
      <c r="W17" s="823"/>
      <c r="X17" s="824"/>
      <c r="Y17" s="723" t="s">
        <v>48</v>
      </c>
      <c r="Z17" s="724"/>
      <c r="AA17" s="724"/>
      <c r="AB17" s="724"/>
      <c r="AC17" s="767">
        <f>SUM(DotTracking!T22:X22,DotTracking!AR22:AV22,DotTracking!BP22:BT22,DotTracking!CN22:CR22,DotTracking!ES20:EW20,DotTracking!FB20:FF20,DotTracking!FK20:FO20,DotTracking!FT20:FX20,DotTracking!GC20:GG20)</f>
        <v>0</v>
      </c>
      <c r="AD17" s="767"/>
      <c r="AE17" s="767"/>
      <c r="AF17" s="818"/>
      <c r="AG17" s="818"/>
      <c r="AH17" s="767">
        <f t="shared" si="0"/>
        <v>0</v>
      </c>
      <c r="AI17" s="767"/>
      <c r="AJ17" s="1114"/>
      <c r="AK17" s="1114"/>
      <c r="AL17" s="1114"/>
      <c r="AM17" s="1115"/>
      <c r="AN17" s="842"/>
      <c r="AO17" s="818"/>
      <c r="AP17" s="818"/>
      <c r="AQ17" s="818"/>
      <c r="AR17" s="818"/>
      <c r="AS17" s="818"/>
      <c r="AT17" s="767" t="str">
        <f t="shared" si="5"/>
        <v/>
      </c>
      <c r="AU17" s="767"/>
      <c r="AV17" s="768"/>
      <c r="AW17" s="842"/>
      <c r="AX17" s="818"/>
      <c r="AY17" s="818"/>
      <c r="AZ17" s="818"/>
      <c r="BA17" s="818"/>
      <c r="BB17" s="818"/>
      <c r="BC17" s="381"/>
      <c r="BD17" s="291">
        <f t="shared" si="1"/>
        <v>0</v>
      </c>
      <c r="BE17" s="767" t="str">
        <f>IF(AW17="","",HLOOKUP(AW17,AssociatedRef!$AP$1:$BZ$123,LOOKUP($CE$2,AssociatedRef!$AP$2:$AP$123,AssociatedRef!$AQ$2:$AQ$123),FALSE))</f>
        <v/>
      </c>
      <c r="BF17" s="767"/>
      <c r="BG17" s="381" t="s">
        <v>347</v>
      </c>
      <c r="BH17" s="292" t="str">
        <f t="shared" si="2"/>
        <v/>
      </c>
      <c r="BI17" s="802" t="s">
        <v>29</v>
      </c>
      <c r="BJ17" s="803"/>
      <c r="BK17" s="803"/>
      <c r="BL17" s="803"/>
      <c r="BM17" s="803"/>
      <c r="BN17" s="803"/>
      <c r="BO17" s="804" t="str">
        <f>IF(BO16=0,"Yes","No")</f>
        <v>No</v>
      </c>
      <c r="BP17" s="817"/>
      <c r="BQ17" s="733"/>
      <c r="BR17" s="733"/>
      <c r="BS17" s="733"/>
      <c r="BT17" s="734"/>
      <c r="BU17" s="281"/>
      <c r="BV17" s="421" t="str">
        <f>IF('House Rules'!$B$10="Potent","Control*","Control")</f>
        <v>Control</v>
      </c>
      <c r="BW17" s="318">
        <f>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IF(DotTracking!CJ29="Control",DotTracking!CN29:CR29,0),IF(DotTracking!CJ30="Control",DotTracking!CN30:CR30,0),IF(DotTracking!CJ31="Control",DotTracking!CN31:CR31,0),IF(DotTracking!CJ32="Control",DotTracking!CN32:CR32,0),IF(DotTracking!CJ33="Control",DotTracking!CN33:CR33,0),IF(DotTracking!CJ34="Control",DotTracking!CN34:CR34,0),IF(DotTracking!CJ35="Control",DotTracking!CN35:CR35,0),IF(DotTracking!CJ36="Control",DotTracking!CN36:CR36,0),IF(DotTracking!CJ37="Control",DotTracking!CN37:CR37,0),IF(DotTracking!CJ38="Control",DotTracking!CN38:CR38,0),0)</f>
        <v>0</v>
      </c>
      <c r="BX17" s="421" t="str">
        <f>IF('House Rules'!$B$10="Potent","Fortitude*","Fortitude")</f>
        <v>Fortitude</v>
      </c>
      <c r="BY17" s="318">
        <f>SUM(DotTracking!$T16:$X16,DotTracking!$AR16:$AV16,DotTracking!$BP16:$BT16,DotTracking!CN16:CR16)</f>
        <v>0</v>
      </c>
      <c r="BZ17" s="283">
        <f t="shared" si="4"/>
        <v>0</v>
      </c>
    </row>
    <row r="18" spans="1:78" ht="15" customHeight="1" x14ac:dyDescent="0.25">
      <c r="A18" s="1187"/>
      <c r="B18" s="765"/>
      <c r="C18" s="765"/>
      <c r="D18" s="765"/>
      <c r="E18" s="722" t="s">
        <v>143</v>
      </c>
      <c r="F18" s="722"/>
      <c r="G18" s="722" t="s">
        <v>144</v>
      </c>
      <c r="H18" s="722"/>
      <c r="I18" s="722" t="s">
        <v>11</v>
      </c>
      <c r="J18" s="722"/>
      <c r="K18" s="722"/>
      <c r="L18" s="833"/>
      <c r="M18" s="1187"/>
      <c r="N18" s="765"/>
      <c r="O18" s="765"/>
      <c r="P18" s="765"/>
      <c r="Q18" s="722" t="s">
        <v>12</v>
      </c>
      <c r="R18" s="722"/>
      <c r="S18" s="722"/>
      <c r="T18" s="722"/>
      <c r="U18" s="722" t="s">
        <v>10</v>
      </c>
      <c r="V18" s="722"/>
      <c r="W18" s="722"/>
      <c r="X18" s="833"/>
      <c r="Y18" s="723" t="s">
        <v>49</v>
      </c>
      <c r="Z18" s="724"/>
      <c r="AA18" s="724"/>
      <c r="AB18" s="724"/>
      <c r="AC18" s="767">
        <f>SUM(DotTracking!T23:X23,DotTracking!AR23:AV23,DotTracking!BP23:BT23,DotTracking!CN23:CR23,DotTracking!ES21:EW21,DotTracking!FB21:FF21,DotTracking!FK21:FO21,DotTracking!FT21:FX21,DotTracking!GC21:GG21)</f>
        <v>0</v>
      </c>
      <c r="AD18" s="767"/>
      <c r="AE18" s="767"/>
      <c r="AF18" s="818"/>
      <c r="AG18" s="818"/>
      <c r="AH18" s="767">
        <f t="shared" si="0"/>
        <v>0</v>
      </c>
      <c r="AI18" s="767"/>
      <c r="AJ18" s="1114"/>
      <c r="AK18" s="1114"/>
      <c r="AL18" s="1114"/>
      <c r="AM18" s="1115"/>
      <c r="AN18" s="842"/>
      <c r="AO18" s="818"/>
      <c r="AP18" s="818"/>
      <c r="AQ18" s="818"/>
      <c r="AR18" s="818"/>
      <c r="AS18" s="818"/>
      <c r="AT18" s="767" t="str">
        <f t="shared" si="5"/>
        <v/>
      </c>
      <c r="AU18" s="767"/>
      <c r="AV18" s="768"/>
      <c r="AW18" s="842"/>
      <c r="AX18" s="818"/>
      <c r="AY18" s="818"/>
      <c r="AZ18" s="818"/>
      <c r="BA18" s="818"/>
      <c r="BB18" s="818"/>
      <c r="BC18" s="381"/>
      <c r="BD18" s="291">
        <f t="shared" si="1"/>
        <v>0</v>
      </c>
      <c r="BE18" s="767" t="str">
        <f>IF(AW18="","",HLOOKUP(AW18,AssociatedRef!$AP$1:$BZ$123,LOOKUP($CE$2,AssociatedRef!$AP$2:$AP$123,AssociatedRef!$AQ$2:$AQ$123),FALSE))</f>
        <v/>
      </c>
      <c r="BF18" s="767"/>
      <c r="BG18" s="381" t="s">
        <v>347</v>
      </c>
      <c r="BH18" s="292" t="str">
        <f t="shared" si="2"/>
        <v/>
      </c>
      <c r="BI18" s="829" t="s">
        <v>147</v>
      </c>
      <c r="BJ18" s="820"/>
      <c r="BK18" s="820"/>
      <c r="BL18" s="820"/>
      <c r="BM18" s="820"/>
      <c r="BN18" s="820"/>
      <c r="BO18" s="820"/>
      <c r="BP18" s="820"/>
      <c r="BQ18" s="820"/>
      <c r="BR18" s="820"/>
      <c r="BS18" s="820"/>
      <c r="BT18" s="821"/>
      <c r="BU18" s="418"/>
      <c r="BV18" s="421" t="str">
        <f>IF('House Rules'!$B$10="Potent","Craft*","Craft")</f>
        <v>Craft</v>
      </c>
      <c r="BW18" s="318">
        <f>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IF(DotTracking!CJ29="Craft",DotTracking!CN29:CR29,0),IF(DotTracking!CJ30="Craft",DotTracking!CN30:CR30,0),IF(DotTracking!CJ31="Craft",DotTracking!CN31:CR31,0),IF(DotTracking!CJ32="Craft",DotTracking!CN32:CR32,0),IF(DotTracking!CJ33="Craft",DotTracking!CN33:CR33,0),IF(DotTracking!CJ34="Craft",DotTracking!CN34:CR34,0),IF(DotTracking!CJ35="Craft",DotTracking!CN35:CR35,0),IF(DotTracking!CJ36="Craft",DotTracking!CN36:CR36,0),IF(DotTracking!CJ37="Craft",DotTracking!CN37:CR37,0),IF(DotTracking!CJ38="Craft",DotTracking!CN38:CR38,0),0)</f>
        <v>0</v>
      </c>
      <c r="BX18" s="421" t="str">
        <f>IF('House Rules'!$B$10="Potent","Integrity*","Integrity")</f>
        <v>Integrity</v>
      </c>
      <c r="BY18" s="318">
        <f>SUM(DotTracking!$T17:$X17,DotTracking!$AR17:$AV17,DotTracking!$BP17:$BT17,DotTracking!CN17:CR17)</f>
        <v>0</v>
      </c>
      <c r="BZ18" s="283">
        <f t="shared" si="4"/>
        <v>0</v>
      </c>
    </row>
    <row r="19" spans="1:78" ht="15" customHeight="1" thickBot="1" x14ac:dyDescent="0.3">
      <c r="A19" s="723" t="s">
        <v>30</v>
      </c>
      <c r="B19" s="724"/>
      <c r="C19" s="724"/>
      <c r="D19" s="724"/>
      <c r="E19" s="767">
        <f>SUM(DotTracking!E6:O6,DotTracking!AC6:AM6,DotTracking!BA6:BK6,DotTracking!BY6:CI6)</f>
        <v>1</v>
      </c>
      <c r="F19" s="767"/>
      <c r="G19" s="818"/>
      <c r="H19" s="818"/>
      <c r="I19" s="818"/>
      <c r="J19" s="818"/>
      <c r="K19" s="818"/>
      <c r="L19" s="855"/>
      <c r="M19" s="723" t="s">
        <v>22</v>
      </c>
      <c r="N19" s="724"/>
      <c r="O19" s="724"/>
      <c r="P19" s="724"/>
      <c r="Q19" s="767" t="str">
        <f>Creation!Q28</f>
        <v/>
      </c>
      <c r="R19" s="767"/>
      <c r="S19" s="767"/>
      <c r="T19" s="767"/>
      <c r="U19" s="767" t="str">
        <f>IF(Q19="","",VLOOKUP(Q19,BV2:BW10,2,FALSE))</f>
        <v/>
      </c>
      <c r="V19" s="767"/>
      <c r="W19" s="767"/>
      <c r="X19" s="768"/>
      <c r="Y19" s="723" t="s">
        <v>50</v>
      </c>
      <c r="Z19" s="724"/>
      <c r="AA19" s="724"/>
      <c r="AB19" s="724"/>
      <c r="AC19" s="767">
        <f>SUM(DotTracking!T24:X24,DotTracking!AR24:AV24,DotTracking!BP24:BT24,DotTracking!CN24:CR24,DotTracking!ES22:EW22,DotTracking!FB22:FF22,DotTracking!FK22:FO22,DotTracking!FT22:FX22,DotTracking!GC22:GG22)</f>
        <v>0</v>
      </c>
      <c r="AD19" s="767"/>
      <c r="AE19" s="767"/>
      <c r="AF19" s="818"/>
      <c r="AG19" s="818"/>
      <c r="AH19" s="767">
        <f t="shared" si="0"/>
        <v>0</v>
      </c>
      <c r="AI19" s="767"/>
      <c r="AJ19" s="1114"/>
      <c r="AK19" s="1114"/>
      <c r="AL19" s="1114"/>
      <c r="AM19" s="1115"/>
      <c r="AN19" s="842"/>
      <c r="AO19" s="818"/>
      <c r="AP19" s="818"/>
      <c r="AQ19" s="818"/>
      <c r="AR19" s="818"/>
      <c r="AS19" s="818"/>
      <c r="AT19" s="767" t="str">
        <f t="shared" si="5"/>
        <v/>
      </c>
      <c r="AU19" s="767"/>
      <c r="AV19" s="768"/>
      <c r="AW19" s="842"/>
      <c r="AX19" s="818"/>
      <c r="AY19" s="818"/>
      <c r="AZ19" s="818"/>
      <c r="BA19" s="818"/>
      <c r="BB19" s="818"/>
      <c r="BC19" s="381"/>
      <c r="BD19" s="291">
        <f t="shared" si="1"/>
        <v>0</v>
      </c>
      <c r="BE19" s="767" t="str">
        <f>IF(AW19="","",HLOOKUP(AW19,AssociatedRef!$AP$1:$BZ$123,LOOKUP($CE$2,AssociatedRef!$AP$2:$AP$123,AssociatedRef!$AQ$2:$AQ$123),FALSE))</f>
        <v/>
      </c>
      <c r="BF19" s="767"/>
      <c r="BG19" s="381" t="s">
        <v>347</v>
      </c>
      <c r="BH19" s="292" t="str">
        <f t="shared" si="2"/>
        <v/>
      </c>
      <c r="BI19" s="890"/>
      <c r="BJ19" s="823"/>
      <c r="BK19" s="823"/>
      <c r="BL19" s="823"/>
      <c r="BM19" s="823"/>
      <c r="BN19" s="823"/>
      <c r="BO19" s="823"/>
      <c r="BP19" s="823"/>
      <c r="BQ19" s="823"/>
      <c r="BR19" s="823"/>
      <c r="BS19" s="823"/>
      <c r="BT19" s="824"/>
      <c r="BU19" s="418"/>
      <c r="BV19" s="421" t="str">
        <f>IF('House Rules'!$B$10="Potent","Empathy*","Empathy")</f>
        <v>Empathy</v>
      </c>
      <c r="BW19" s="318">
        <f>SUM(DotTracking!$T15:$X15,DotTracking!$AR15:$AV15,DotTracking!$BP15:$BT15,DotTracking!CN15:CR15)</f>
        <v>0</v>
      </c>
      <c r="BX19" s="421" t="str">
        <f>IF('House Rules'!$B$10="Potent","Investigation*","Investigation")</f>
        <v>Investigation</v>
      </c>
      <c r="BY19" s="318">
        <f>SUM(DotTracking!$T18:$X18,DotTracking!$AR18:$AV18,DotTracking!$BP18:$BT18,DotTracking!CN18:CR18)</f>
        <v>0</v>
      </c>
      <c r="BZ19" s="283">
        <f t="shared" si="4"/>
        <v>0</v>
      </c>
    </row>
    <row r="20" spans="1:78" ht="15" customHeight="1" x14ac:dyDescent="0.25">
      <c r="A20" s="723" t="s">
        <v>13</v>
      </c>
      <c r="B20" s="724"/>
      <c r="C20" s="724"/>
      <c r="D20" s="724"/>
      <c r="E20" s="767">
        <f>SUM(DotTracking!E7:O7,DotTracking!AC7:AM7,DotTracking!BA7:BK7,DotTracking!BY7:CI7)</f>
        <v>1</v>
      </c>
      <c r="F20" s="767"/>
      <c r="G20" s="818"/>
      <c r="H20" s="818"/>
      <c r="I20" s="818"/>
      <c r="J20" s="818"/>
      <c r="K20" s="818"/>
      <c r="L20" s="855"/>
      <c r="M20" s="723" t="s">
        <v>23</v>
      </c>
      <c r="N20" s="724"/>
      <c r="O20" s="724"/>
      <c r="P20" s="724"/>
      <c r="Q20" s="767" t="str">
        <f>Creation!Q29</f>
        <v/>
      </c>
      <c r="R20" s="767"/>
      <c r="S20" s="767"/>
      <c r="T20" s="767"/>
      <c r="U20" s="767" t="str">
        <f>IF(Q19="","",VLOOKUP(Q20,BV12:BW23,2,FALSE))</f>
        <v/>
      </c>
      <c r="V20" s="767"/>
      <c r="W20" s="767"/>
      <c r="X20" s="768"/>
      <c r="Y20" s="723" t="s">
        <v>51</v>
      </c>
      <c r="Z20" s="724"/>
      <c r="AA20" s="724"/>
      <c r="AB20" s="724"/>
      <c r="AC20" s="767">
        <f>SUM(DotTracking!T25:X25,DotTracking!AR25:AV25,DotTracking!BP25:BT25,DotTracking!CN25:CR25,DotTracking!ES23:EW23,DotTracking!FB23:FF23,DotTracking!FK23:FO23,DotTracking!FT23:FX23,DotTracking!GC23:GG23)</f>
        <v>0</v>
      </c>
      <c r="AD20" s="767"/>
      <c r="AE20" s="767"/>
      <c r="AF20" s="818"/>
      <c r="AG20" s="818"/>
      <c r="AH20" s="767">
        <f t="shared" si="0"/>
        <v>0</v>
      </c>
      <c r="AI20" s="767"/>
      <c r="AJ20" s="1114"/>
      <c r="AK20" s="1114"/>
      <c r="AL20" s="1114"/>
      <c r="AM20" s="1115"/>
      <c r="AN20" s="842"/>
      <c r="AO20" s="818"/>
      <c r="AP20" s="818"/>
      <c r="AQ20" s="818"/>
      <c r="AR20" s="818"/>
      <c r="AS20" s="818"/>
      <c r="AT20" s="767" t="str">
        <f t="shared" si="5"/>
        <v/>
      </c>
      <c r="AU20" s="767"/>
      <c r="AV20" s="768"/>
      <c r="AW20" s="842"/>
      <c r="AX20" s="818"/>
      <c r="AY20" s="818"/>
      <c r="AZ20" s="818"/>
      <c r="BA20" s="818"/>
      <c r="BB20" s="818"/>
      <c r="BC20" s="381"/>
      <c r="BD20" s="291">
        <f t="shared" si="1"/>
        <v>0</v>
      </c>
      <c r="BE20" s="767" t="str">
        <f>IF(AW20="","",HLOOKUP(AW20,AssociatedRef!$AP$1:$BZ$123,LOOKUP($CE$2,AssociatedRef!$AP$2:$AP$123,AssociatedRef!$AQ$2:$AQ$123),FALSE))</f>
        <v/>
      </c>
      <c r="BF20" s="767"/>
      <c r="BG20" s="381" t="s">
        <v>347</v>
      </c>
      <c r="BH20" s="292" t="str">
        <f t="shared" si="2"/>
        <v/>
      </c>
      <c r="BI20" s="721" t="s">
        <v>75</v>
      </c>
      <c r="BJ20" s="722"/>
      <c r="BK20" s="722"/>
      <c r="BL20" s="722"/>
      <c r="BM20" s="298" t="s">
        <v>76</v>
      </c>
      <c r="BN20" s="722" t="s">
        <v>11</v>
      </c>
      <c r="BO20" s="722"/>
      <c r="BP20" s="722" t="s">
        <v>77</v>
      </c>
      <c r="BQ20" s="722"/>
      <c r="BR20" s="722"/>
      <c r="BS20" s="722"/>
      <c r="BT20" s="833"/>
      <c r="BU20" s="314"/>
      <c r="BV20" s="421" t="str">
        <f>IF('House Rules'!$B$10="Potent","Fortitude*","Fortitude")</f>
        <v>Fortitude</v>
      </c>
      <c r="BW20" s="318">
        <f>SUM(DotTracking!$T16:$X16,DotTracking!$AR16:$AV16,DotTracking!$BP16:$BT16,DotTracking!CN16:CR16)</f>
        <v>0</v>
      </c>
      <c r="BX20" s="421" t="str">
        <f>IF('House Rules'!$B$10="Potent","Larceny*","Larceny")</f>
        <v>Larceny</v>
      </c>
      <c r="BY20" s="318">
        <f>SUM(DotTracking!$T19:$X19,DotTracking!$AR19:$AV19,DotTracking!$BP19:$BT19,DotTracking!CN19:CR19)</f>
        <v>0</v>
      </c>
      <c r="BZ20" s="283">
        <f t="shared" si="4"/>
        <v>0</v>
      </c>
    </row>
    <row r="21" spans="1:78" ht="15" customHeight="1" x14ac:dyDescent="0.25">
      <c r="A21" s="723" t="s">
        <v>14</v>
      </c>
      <c r="B21" s="724"/>
      <c r="C21" s="724"/>
      <c r="D21" s="724"/>
      <c r="E21" s="767">
        <f>SUM(DotTracking!E8:O8,DotTracking!AC8:AM8,DotTracking!BA8:BK8,DotTracking!BY8:CI8)</f>
        <v>1</v>
      </c>
      <c r="F21" s="767"/>
      <c r="G21" s="818"/>
      <c r="H21" s="818"/>
      <c r="I21" s="818"/>
      <c r="J21" s="818"/>
      <c r="K21" s="818"/>
      <c r="L21" s="855"/>
      <c r="M21" s="723" t="s">
        <v>24</v>
      </c>
      <c r="N21" s="724"/>
      <c r="O21" s="724"/>
      <c r="P21" s="724"/>
      <c r="Q21" s="767" t="str">
        <f>Creation!Q30</f>
        <v/>
      </c>
      <c r="R21" s="767"/>
      <c r="S21" s="767"/>
      <c r="T21" s="767"/>
      <c r="U21" s="767" t="str">
        <f>IF(Q19="","",VLOOKUP(Q21,BV25:BW37,2,FALSE))</f>
        <v/>
      </c>
      <c r="V21" s="767"/>
      <c r="W21" s="767"/>
      <c r="X21" s="768"/>
      <c r="Y21" s="723" t="s">
        <v>52</v>
      </c>
      <c r="Z21" s="724"/>
      <c r="AA21" s="724"/>
      <c r="AB21" s="724"/>
      <c r="AC21" s="767">
        <f>SUM(DotTracking!T26:X26,DotTracking!AR26:AV26,DotTracking!BP26:BT26,DotTracking!CN26:CR26,DotTracking!ES24:EW24,DotTracking!FB24:FF24,DotTracking!FK24:FO24,DotTracking!FT24:FX24,DotTracking!GC24:GG24)</f>
        <v>0</v>
      </c>
      <c r="AD21" s="767"/>
      <c r="AE21" s="767"/>
      <c r="AF21" s="818"/>
      <c r="AG21" s="818"/>
      <c r="AH21" s="767">
        <f t="shared" si="0"/>
        <v>0</v>
      </c>
      <c r="AI21" s="767"/>
      <c r="AJ21" s="1114"/>
      <c r="AK21" s="1114"/>
      <c r="AL21" s="1114"/>
      <c r="AM21" s="1115"/>
      <c r="AN21" s="842"/>
      <c r="AO21" s="818"/>
      <c r="AP21" s="818"/>
      <c r="AQ21" s="818"/>
      <c r="AR21" s="818"/>
      <c r="AS21" s="818"/>
      <c r="AT21" s="767" t="str">
        <f t="shared" si="5"/>
        <v/>
      </c>
      <c r="AU21" s="767"/>
      <c r="AV21" s="768"/>
      <c r="AW21" s="842"/>
      <c r="AX21" s="818"/>
      <c r="AY21" s="818"/>
      <c r="AZ21" s="818"/>
      <c r="BA21" s="818"/>
      <c r="BB21" s="818"/>
      <c r="BC21" s="381"/>
      <c r="BD21" s="291">
        <f t="shared" si="1"/>
        <v>0</v>
      </c>
      <c r="BE21" s="767" t="str">
        <f>IF(AW21="","",HLOOKUP(AW21,AssociatedRef!$AP$1:$BZ$123,LOOKUP($CE$2,AssociatedRef!$AP$2:$AP$123,AssociatedRef!$AQ$2:$AQ$123),FALSE))</f>
        <v/>
      </c>
      <c r="BF21" s="767"/>
      <c r="BG21" s="381" t="s">
        <v>347</v>
      </c>
      <c r="BH21" s="292" t="str">
        <f t="shared" si="2"/>
        <v/>
      </c>
      <c r="BI21" s="842"/>
      <c r="BJ21" s="818"/>
      <c r="BK21" s="818"/>
      <c r="BL21" s="818"/>
      <c r="BM21" s="381"/>
      <c r="BN21" s="381"/>
      <c r="BO21" s="381"/>
      <c r="BP21" s="818"/>
      <c r="BQ21" s="818"/>
      <c r="BR21" s="818"/>
      <c r="BS21" s="818"/>
      <c r="BT21" s="855"/>
      <c r="BU21" s="422"/>
      <c r="BV21" s="421" t="str">
        <f>IF('House Rules'!$B$10="Potent","Integrity*","Integrity")</f>
        <v>Integrity</v>
      </c>
      <c r="BW21" s="318">
        <f>SUM(DotTracking!$T17:$X17,DotTracking!$AR17:$AV17,DotTracking!$BP17:$BT17,DotTracking!CN17:CR17)</f>
        <v>0</v>
      </c>
      <c r="BX21" s="421" t="str">
        <f>IF('House Rules'!$B$10="Potent","Marksmanship*","Marksmanship")</f>
        <v>Marksmanship</v>
      </c>
      <c r="BY21" s="318">
        <f>SUM(DotTracking!$T20:$X20,DotTracking!$AR20:$AV20,DotTracking!$BP20:$BT20,DotTracking!CN20:CR20)</f>
        <v>0</v>
      </c>
      <c r="BZ21" s="283">
        <f t="shared" si="4"/>
        <v>0</v>
      </c>
    </row>
    <row r="22" spans="1:78" ht="15" customHeight="1" x14ac:dyDescent="0.25">
      <c r="A22" s="723" t="s">
        <v>15</v>
      </c>
      <c r="B22" s="724"/>
      <c r="C22" s="724"/>
      <c r="D22" s="724"/>
      <c r="E22" s="818" t="s">
        <v>59</v>
      </c>
      <c r="F22" s="818"/>
      <c r="G22" s="818"/>
      <c r="H22" s="818"/>
      <c r="I22" s="767"/>
      <c r="J22" s="767"/>
      <c r="K22" s="767"/>
      <c r="L22" s="768"/>
      <c r="M22" s="723" t="s">
        <v>25</v>
      </c>
      <c r="N22" s="724"/>
      <c r="O22" s="724"/>
      <c r="P22" s="724"/>
      <c r="Q22" s="767" t="str">
        <f>Creation!Q31</f>
        <v/>
      </c>
      <c r="R22" s="767"/>
      <c r="S22" s="767"/>
      <c r="T22" s="767"/>
      <c r="U22" s="767" t="str">
        <f>IF(Q19="","",VLOOKUP(Q22,BX2:BY15,2,FALSE))</f>
        <v/>
      </c>
      <c r="V22" s="767"/>
      <c r="W22" s="767"/>
      <c r="X22" s="768"/>
      <c r="Y22" s="723" t="s">
        <v>53</v>
      </c>
      <c r="Z22" s="724"/>
      <c r="AA22" s="724"/>
      <c r="AB22" s="724"/>
      <c r="AC22" s="767">
        <f>SUM(DotTracking!T27:X27,DotTracking!AR27:AV27,DotTracking!BP27:BT27,DotTracking!CN27:CR27,DotTracking!ES25:EW25,DotTracking!FB25:FF25,DotTracking!FK25:FO25,DotTracking!FT25:FX25,DotTracking!GC25:GG25)</f>
        <v>0</v>
      </c>
      <c r="AD22" s="767"/>
      <c r="AE22" s="767"/>
      <c r="AF22" s="818"/>
      <c r="AG22" s="818"/>
      <c r="AH22" s="767">
        <f t="shared" si="0"/>
        <v>0</v>
      </c>
      <c r="AI22" s="767"/>
      <c r="AJ22" s="1114"/>
      <c r="AK22" s="1114"/>
      <c r="AL22" s="1114"/>
      <c r="AM22" s="1115"/>
      <c r="AN22" s="842"/>
      <c r="AO22" s="818"/>
      <c r="AP22" s="818"/>
      <c r="AQ22" s="818"/>
      <c r="AR22" s="818"/>
      <c r="AS22" s="818"/>
      <c r="AT22" s="767" t="str">
        <f t="shared" si="5"/>
        <v/>
      </c>
      <c r="AU22" s="767"/>
      <c r="AV22" s="768"/>
      <c r="AW22" s="842"/>
      <c r="AX22" s="818"/>
      <c r="AY22" s="818"/>
      <c r="AZ22" s="818"/>
      <c r="BA22" s="818"/>
      <c r="BB22" s="818"/>
      <c r="BC22" s="381"/>
      <c r="BD22" s="291">
        <f t="shared" si="1"/>
        <v>0</v>
      </c>
      <c r="BE22" s="767" t="str">
        <f>IF(AW22="","",HLOOKUP(AW22,AssociatedRef!$AP$1:$BZ$123,LOOKUP($CE$2,AssociatedRef!$AP$2:$AP$123,AssociatedRef!$AQ$2:$AQ$123),FALSE))</f>
        <v/>
      </c>
      <c r="BF22" s="767"/>
      <c r="BG22" s="381" t="s">
        <v>347</v>
      </c>
      <c r="BH22" s="292" t="str">
        <f t="shared" si="2"/>
        <v/>
      </c>
      <c r="BI22" s="842"/>
      <c r="BJ22" s="818"/>
      <c r="BK22" s="818"/>
      <c r="BL22" s="818"/>
      <c r="BM22" s="381"/>
      <c r="BN22" s="381"/>
      <c r="BO22" s="381"/>
      <c r="BP22" s="818"/>
      <c r="BQ22" s="818"/>
      <c r="BR22" s="818"/>
      <c r="BS22" s="818"/>
      <c r="BT22" s="855"/>
      <c r="BU22" s="422"/>
      <c r="BV22" s="421" t="str">
        <f>IF('House Rules'!$B$10="Potent","Investigation*","Investigation")</f>
        <v>Investigation</v>
      </c>
      <c r="BW22" s="318">
        <f>SUM(DotTracking!$T18:$X18,DotTracking!$AR18:$AV18,DotTracking!$BP18:$BT18,DotTracking!CN18:CR18)</f>
        <v>0</v>
      </c>
      <c r="BX22" s="421" t="str">
        <f>IF('House Rules'!$B$10="Potent","Medicine*","Medicine")</f>
        <v>Medicine</v>
      </c>
      <c r="BY22" s="318">
        <f>SUM(DotTracking!$T21:$X21,DotTracking!$AR21:$AV21,DotTracking!$BP21:$BT21,DotTracking!CN21:CR21)</f>
        <v>0</v>
      </c>
      <c r="BZ22" s="283">
        <f t="shared" si="4"/>
        <v>0</v>
      </c>
    </row>
    <row r="23" spans="1:78" ht="15" customHeight="1" x14ac:dyDescent="0.25">
      <c r="A23" s="723" t="s">
        <v>32</v>
      </c>
      <c r="B23" s="724"/>
      <c r="C23" s="724"/>
      <c r="D23" s="724"/>
      <c r="E23" s="767" t="str">
        <f>IF(E22="primary",4-SUM(G19:H21),IF(E22="Secondary",3-SUM(G19:H21),IF(E22="Tertiary",2-SUM(G19:H21),"Select Priority")))</f>
        <v>Select Priority</v>
      </c>
      <c r="F23" s="767"/>
      <c r="G23" s="767"/>
      <c r="H23" s="767"/>
      <c r="I23" s="767"/>
      <c r="J23" s="767"/>
      <c r="K23" s="767"/>
      <c r="L23" s="768"/>
      <c r="M23" s="723" t="s">
        <v>26</v>
      </c>
      <c r="N23" s="724"/>
      <c r="O23" s="724"/>
      <c r="P23" s="724"/>
      <c r="Q23" s="767" t="str">
        <f>Creation!Q32</f>
        <v/>
      </c>
      <c r="R23" s="767"/>
      <c r="S23" s="767"/>
      <c r="T23" s="767"/>
      <c r="U23" s="767" t="str">
        <f>IF(Q19="","",VLOOKUP(Q23,BX17:BY28,2,FALSE))</f>
        <v/>
      </c>
      <c r="V23" s="767"/>
      <c r="W23" s="767"/>
      <c r="X23" s="768"/>
      <c r="Y23" s="723" t="s">
        <v>54</v>
      </c>
      <c r="Z23" s="724"/>
      <c r="AA23" s="724"/>
      <c r="AB23" s="724"/>
      <c r="AC23" s="767">
        <f>SUM(DotTracking!T28:X28,DotTracking!AR28:AV28,DotTracking!BP28:BT28,DotTracking!CN28:CR28,DotTracking!ES26:EW26,DotTracking!FB26:FF26,DotTracking!FK26:FO26,DotTracking!FT26:FX26,DotTracking!GC26:GG26)</f>
        <v>0</v>
      </c>
      <c r="AD23" s="767"/>
      <c r="AE23" s="767"/>
      <c r="AF23" s="818"/>
      <c r="AG23" s="818"/>
      <c r="AH23" s="767">
        <f t="shared" si="0"/>
        <v>0</v>
      </c>
      <c r="AI23" s="767"/>
      <c r="AJ23" s="1114"/>
      <c r="AK23" s="1114"/>
      <c r="AL23" s="1114"/>
      <c r="AM23" s="1115"/>
      <c r="AN23" s="842"/>
      <c r="AO23" s="818"/>
      <c r="AP23" s="818"/>
      <c r="AQ23" s="818"/>
      <c r="AR23" s="818"/>
      <c r="AS23" s="818"/>
      <c r="AT23" s="767" t="str">
        <f t="shared" si="5"/>
        <v/>
      </c>
      <c r="AU23" s="767"/>
      <c r="AV23" s="768"/>
      <c r="AW23" s="842"/>
      <c r="AX23" s="818"/>
      <c r="AY23" s="818"/>
      <c r="AZ23" s="818"/>
      <c r="BA23" s="818"/>
      <c r="BB23" s="818"/>
      <c r="BC23" s="381"/>
      <c r="BD23" s="291">
        <f t="shared" si="1"/>
        <v>0</v>
      </c>
      <c r="BE23" s="767" t="str">
        <f>IF(AW23="","",HLOOKUP(AW23,AssociatedRef!$AP$1:$BZ$123,LOOKUP($CE$2,AssociatedRef!$AP$2:$AP$123,AssociatedRef!$AQ$2:$AQ$123),FALSE))</f>
        <v/>
      </c>
      <c r="BF23" s="767"/>
      <c r="BG23" s="381" t="s">
        <v>347</v>
      </c>
      <c r="BH23" s="292" t="str">
        <f t="shared" si="2"/>
        <v/>
      </c>
      <c r="BI23" s="842"/>
      <c r="BJ23" s="818"/>
      <c r="BK23" s="818"/>
      <c r="BL23" s="818"/>
      <c r="BM23" s="381"/>
      <c r="BN23" s="381"/>
      <c r="BO23" s="381"/>
      <c r="BP23" s="818"/>
      <c r="BQ23" s="818"/>
      <c r="BR23" s="818"/>
      <c r="BS23" s="818"/>
      <c r="BT23" s="855"/>
      <c r="BU23" s="422"/>
      <c r="BV23" s="421" t="str">
        <f>IF('House Rules'!$B$10="Potent","Larceny*","Larceny")</f>
        <v>Larceny</v>
      </c>
      <c r="BW23" s="318">
        <f>SUM(DotTracking!$T19:$X19,DotTracking!$AR19:$AV19,DotTracking!$BP19:$BT19,DotTracking!CN19:CR19)</f>
        <v>0</v>
      </c>
      <c r="BX23" s="421" t="str">
        <f>IF('House Rules'!$B$10="Potent","Melee*","Melee")</f>
        <v>Melee</v>
      </c>
      <c r="BY23" s="318">
        <f>SUM(DotTracking!$T22:$X22,DotTracking!$AR22:$AV22,DotTracking!$BP22:$BT22,DotTracking!CN22:CR22)</f>
        <v>0</v>
      </c>
      <c r="BZ23" s="283">
        <f t="shared" si="4"/>
        <v>0</v>
      </c>
    </row>
    <row r="24" spans="1:78" ht="15" customHeight="1" thickBot="1" x14ac:dyDescent="0.3">
      <c r="A24" s="1163"/>
      <c r="B24" s="767"/>
      <c r="C24" s="767"/>
      <c r="D24" s="767"/>
      <c r="E24" s="767"/>
      <c r="F24" s="767"/>
      <c r="G24" s="767"/>
      <c r="H24" s="767"/>
      <c r="I24" s="767"/>
      <c r="J24" s="767"/>
      <c r="K24" s="767"/>
      <c r="L24" s="768"/>
      <c r="M24" s="802" t="s">
        <v>27</v>
      </c>
      <c r="N24" s="803"/>
      <c r="O24" s="803"/>
      <c r="P24" s="803"/>
      <c r="Q24" s="804" t="str">
        <f>Creation!Q33</f>
        <v/>
      </c>
      <c r="R24" s="804"/>
      <c r="S24" s="804"/>
      <c r="T24" s="804"/>
      <c r="U24" s="804" t="str">
        <f>IF(Q19="","",VLOOKUP(Q24,BX30:BY38,2,FALSE))</f>
        <v/>
      </c>
      <c r="V24" s="804"/>
      <c r="W24" s="804"/>
      <c r="X24" s="817"/>
      <c r="Y24" s="1200" t="s">
        <v>522</v>
      </c>
      <c r="Z24" s="1201"/>
      <c r="AA24" s="1201"/>
      <c r="AB24" s="1201"/>
      <c r="AC24" s="767">
        <f>SUM(DotTracking!T29:X29,DotTracking!AR29:AV29,DotTracking!BP29:BT29,DotTracking!CN29:CR29,DotTracking!ES27:EW27,DotTracking!FB27:FF27,DotTracking!FK27:FO27,DotTracking!FT27:FX27,DotTracking!GC27:GG27)</f>
        <v>0</v>
      </c>
      <c r="AD24" s="767"/>
      <c r="AE24" s="767"/>
      <c r="AF24" s="818"/>
      <c r="AG24" s="818"/>
      <c r="AH24" s="767">
        <f t="shared" si="0"/>
        <v>0</v>
      </c>
      <c r="AI24" s="767"/>
      <c r="AJ24" s="818"/>
      <c r="AK24" s="818"/>
      <c r="AL24" s="818"/>
      <c r="AM24" s="855"/>
      <c r="AN24" s="842"/>
      <c r="AO24" s="818"/>
      <c r="AP24" s="818"/>
      <c r="AQ24" s="818"/>
      <c r="AR24" s="818"/>
      <c r="AS24" s="818"/>
      <c r="AT24" s="767" t="str">
        <f t="shared" si="5"/>
        <v/>
      </c>
      <c r="AU24" s="767"/>
      <c r="AV24" s="768"/>
      <c r="AW24" s="842"/>
      <c r="AX24" s="818"/>
      <c r="AY24" s="818"/>
      <c r="AZ24" s="818"/>
      <c r="BA24" s="818"/>
      <c r="BB24" s="818"/>
      <c r="BC24" s="381"/>
      <c r="BD24" s="291">
        <f t="shared" si="1"/>
        <v>0</v>
      </c>
      <c r="BE24" s="767" t="str">
        <f>IF(AW24="","",HLOOKUP(AW24,AssociatedRef!$AP$1:$BZ$123,LOOKUP($CE$2,AssociatedRef!$AP$2:$AP$123,AssociatedRef!$AQ$2:$AQ$123),FALSE))</f>
        <v/>
      </c>
      <c r="BF24" s="767"/>
      <c r="BG24" s="381" t="s">
        <v>347</v>
      </c>
      <c r="BH24" s="292" t="str">
        <f t="shared" si="2"/>
        <v/>
      </c>
      <c r="BI24" s="842"/>
      <c r="BJ24" s="818"/>
      <c r="BK24" s="818"/>
      <c r="BL24" s="818"/>
      <c r="BM24" s="381"/>
      <c r="BN24" s="381"/>
      <c r="BO24" s="381"/>
      <c r="BP24" s="818"/>
      <c r="BQ24" s="818"/>
      <c r="BR24" s="818"/>
      <c r="BS24" s="818"/>
      <c r="BT24" s="855"/>
      <c r="BU24" s="422"/>
      <c r="BV24" s="420" t="s">
        <v>913</v>
      </c>
      <c r="BW24" s="318"/>
      <c r="BX24" s="421" t="str">
        <f>IF('House Rules'!$B$10="Potent","Occult*","Occult")</f>
        <v>Occult</v>
      </c>
      <c r="BY24" s="318">
        <f>SUM(DotTracking!$T23:$X23,DotTracking!$AR23:$AV23,DotTracking!$BP23:$BT23,DotTracking!CN23:CR23)</f>
        <v>0</v>
      </c>
      <c r="BZ24" s="283">
        <f t="shared" si="4"/>
        <v>0</v>
      </c>
    </row>
    <row r="25" spans="1:78" ht="15" customHeight="1" x14ac:dyDescent="0.25">
      <c r="A25" s="723" t="s">
        <v>16</v>
      </c>
      <c r="B25" s="724"/>
      <c r="C25" s="724"/>
      <c r="D25" s="724"/>
      <c r="E25" s="767">
        <f>SUM(DotTracking!E9:O9,DotTracking!AC9:AM9,DotTracking!BA9:BK9,DotTracking!BY9:CI9)</f>
        <v>1</v>
      </c>
      <c r="F25" s="767"/>
      <c r="G25" s="818"/>
      <c r="H25" s="818"/>
      <c r="I25" s="818"/>
      <c r="J25" s="818"/>
      <c r="K25" s="818"/>
      <c r="L25" s="855"/>
      <c r="M25" s="733"/>
      <c r="N25" s="733"/>
      <c r="O25" s="733"/>
      <c r="P25" s="733"/>
      <c r="Q25" s="733"/>
      <c r="R25" s="733"/>
      <c r="S25" s="733"/>
      <c r="T25" s="733"/>
      <c r="U25" s="733"/>
      <c r="V25" s="733"/>
      <c r="W25" s="733"/>
      <c r="X25" s="733"/>
      <c r="Y25" s="1200" t="s">
        <v>522</v>
      </c>
      <c r="Z25" s="1201"/>
      <c r="AA25" s="1201"/>
      <c r="AB25" s="1201"/>
      <c r="AC25" s="767">
        <f>SUM(DotTracking!T30:X30,DotTracking!AR30:AV30,DotTracking!BP30:BT30,DotTracking!CN30:CR30,DotTracking!ES28:EW28,DotTracking!FB28:FF28,DotTracking!FK28:FO28,DotTracking!FT28:FX28,DotTracking!GC28:GG28)</f>
        <v>0</v>
      </c>
      <c r="AD25" s="767"/>
      <c r="AE25" s="767"/>
      <c r="AF25" s="818"/>
      <c r="AG25" s="818"/>
      <c r="AH25" s="767">
        <f t="shared" si="0"/>
        <v>0</v>
      </c>
      <c r="AI25" s="767"/>
      <c r="AJ25" s="818"/>
      <c r="AK25" s="818"/>
      <c r="AL25" s="818"/>
      <c r="AM25" s="855"/>
      <c r="AN25" s="842"/>
      <c r="AO25" s="818"/>
      <c r="AP25" s="818"/>
      <c r="AQ25" s="818"/>
      <c r="AR25" s="818"/>
      <c r="AS25" s="818"/>
      <c r="AT25" s="767" t="str">
        <f t="shared" si="5"/>
        <v/>
      </c>
      <c r="AU25" s="767"/>
      <c r="AV25" s="768"/>
      <c r="AW25" s="842"/>
      <c r="AX25" s="818"/>
      <c r="AY25" s="818"/>
      <c r="AZ25" s="818"/>
      <c r="BA25" s="818"/>
      <c r="BB25" s="818"/>
      <c r="BC25" s="381"/>
      <c r="BD25" s="291">
        <f t="shared" si="1"/>
        <v>0</v>
      </c>
      <c r="BE25" s="767" t="str">
        <f>IF(AW25="","",HLOOKUP(AW25,AssociatedRef!$AP$1:$BZ$123,LOOKUP($CE$2,AssociatedRef!$AP$2:$AP$123,AssociatedRef!$AQ$2:$AQ$123),FALSE))</f>
        <v/>
      </c>
      <c r="BF25" s="767"/>
      <c r="BG25" s="381" t="s">
        <v>347</v>
      </c>
      <c r="BH25" s="292" t="str">
        <f t="shared" si="2"/>
        <v/>
      </c>
      <c r="BI25" s="842"/>
      <c r="BJ25" s="818"/>
      <c r="BK25" s="818"/>
      <c r="BL25" s="818"/>
      <c r="BM25" s="381"/>
      <c r="BN25" s="381"/>
      <c r="BO25" s="381"/>
      <c r="BP25" s="818"/>
      <c r="BQ25" s="818"/>
      <c r="BR25" s="818"/>
      <c r="BS25" s="818"/>
      <c r="BT25" s="855"/>
      <c r="BU25" s="422"/>
      <c r="BV25" s="421" t="str">
        <f>IF('House Rules'!$B$10="Potent","Awareness*","Awareness")</f>
        <v>Awareness</v>
      </c>
      <c r="BW25" s="318">
        <f>SUM(DotTracking!$T12:$X12,DotTracking!$AR12:$AV13,DotTracking!$BP12:$BT12,DotTracking!CN12:CR12)</f>
        <v>0</v>
      </c>
      <c r="BX25" s="421" t="str">
        <f>IF('House Rules'!$B$10="Potent","Politics*","Politics")</f>
        <v>Politics</v>
      </c>
      <c r="BY25" s="318">
        <f>SUM(DotTracking!$T24:$X24,DotTracking!$AR24:$AV24,DotTracking!$BP24:$BT24,DotTracking!CN24:CR24)</f>
        <v>0</v>
      </c>
      <c r="BZ25" s="283">
        <f t="shared" si="4"/>
        <v>0</v>
      </c>
    </row>
    <row r="26" spans="1:78" ht="15" customHeight="1" thickBot="1" x14ac:dyDescent="0.3">
      <c r="A26" s="723" t="s">
        <v>17</v>
      </c>
      <c r="B26" s="724"/>
      <c r="C26" s="724"/>
      <c r="D26" s="724"/>
      <c r="E26" s="767">
        <f>SUM(DotTracking!E10:O10,DotTracking!AC10:AM10,DotTracking!BA10:BK10,DotTracking!BY10:CI10)</f>
        <v>1</v>
      </c>
      <c r="F26" s="767"/>
      <c r="G26" s="818"/>
      <c r="H26" s="818"/>
      <c r="I26" s="818"/>
      <c r="J26" s="818"/>
      <c r="K26" s="818"/>
      <c r="L26" s="855"/>
      <c r="M26" s="733"/>
      <c r="N26" s="733"/>
      <c r="O26" s="733"/>
      <c r="P26" s="733"/>
      <c r="Q26" s="733"/>
      <c r="R26" s="733"/>
      <c r="S26" s="733"/>
      <c r="T26" s="733"/>
      <c r="U26" s="733"/>
      <c r="V26" s="733"/>
      <c r="W26" s="733"/>
      <c r="X26" s="733"/>
      <c r="Y26" s="1200" t="s">
        <v>522</v>
      </c>
      <c r="Z26" s="1201"/>
      <c r="AA26" s="1201"/>
      <c r="AB26" s="1201"/>
      <c r="AC26" s="767">
        <f>SUM(DotTracking!T31:X31,DotTracking!AR31:AV31,DotTracking!BP31:BT31,DotTracking!CN31:CR31,DotTracking!ES29:EW29,DotTracking!FB29:FF29,DotTracking!FK29:FO29,DotTracking!FT29:FX29,DotTracking!GC29:GG29)</f>
        <v>0</v>
      </c>
      <c r="AD26" s="767"/>
      <c r="AE26" s="767"/>
      <c r="AF26" s="818"/>
      <c r="AG26" s="818"/>
      <c r="AH26" s="767">
        <f t="shared" si="0"/>
        <v>0</v>
      </c>
      <c r="AI26" s="767"/>
      <c r="AJ26" s="818"/>
      <c r="AK26" s="818"/>
      <c r="AL26" s="818"/>
      <c r="AM26" s="855"/>
      <c r="AN26" s="842"/>
      <c r="AO26" s="818"/>
      <c r="AP26" s="818"/>
      <c r="AQ26" s="818"/>
      <c r="AR26" s="818"/>
      <c r="AS26" s="818"/>
      <c r="AT26" s="767" t="str">
        <f t="shared" si="5"/>
        <v/>
      </c>
      <c r="AU26" s="767"/>
      <c r="AV26" s="768"/>
      <c r="AW26" s="842"/>
      <c r="AX26" s="818"/>
      <c r="AY26" s="818"/>
      <c r="AZ26" s="818"/>
      <c r="BA26" s="818"/>
      <c r="BB26" s="818"/>
      <c r="BC26" s="381"/>
      <c r="BD26" s="291">
        <f t="shared" si="1"/>
        <v>0</v>
      </c>
      <c r="BE26" s="767" t="str">
        <f>IF(AW26="","",HLOOKUP(AW26,AssociatedRef!$AP$1:$BZ$123,LOOKUP($CE$2,AssociatedRef!$AP$2:$AP$123,AssociatedRef!$AQ$2:$AQ$123),FALSE))</f>
        <v/>
      </c>
      <c r="BF26" s="767"/>
      <c r="BG26" s="381" t="s">
        <v>347</v>
      </c>
      <c r="BH26" s="292" t="str">
        <f t="shared" si="2"/>
        <v/>
      </c>
      <c r="BI26" s="842"/>
      <c r="BJ26" s="818"/>
      <c r="BK26" s="818"/>
      <c r="BL26" s="818"/>
      <c r="BM26" s="381"/>
      <c r="BN26" s="381"/>
      <c r="BO26" s="381"/>
      <c r="BP26" s="818"/>
      <c r="BQ26" s="818"/>
      <c r="BR26" s="818"/>
      <c r="BS26" s="818"/>
      <c r="BT26" s="855"/>
      <c r="BU26" s="422"/>
      <c r="BV26" s="421" t="str">
        <f>IF('House Rules'!$B$10="Potent","Brawl*","Brawl")</f>
        <v>Brawl</v>
      </c>
      <c r="BW26" s="318">
        <f>SUM(DotTracking!$T13:$X13,DotTracking!$AR13:$AV14,DotTracking!$BP13:$BT13,DotTracking!CN13:CR13)</f>
        <v>0</v>
      </c>
      <c r="BX26" s="421" t="str">
        <f>IF('House Rules'!$B$10="Potent","Presence*","Presence")</f>
        <v>Presence</v>
      </c>
      <c r="BY26" s="318">
        <f>SUM(DotTracking!$T25:$X25,DotTracking!$AR25:$AV25,DotTracking!$BP25:$BT25,DotTracking!CN25:CR25)</f>
        <v>0</v>
      </c>
      <c r="BZ26" s="283">
        <f t="shared" si="4"/>
        <v>0</v>
      </c>
    </row>
    <row r="27" spans="1:78" ht="15" customHeight="1" x14ac:dyDescent="0.25">
      <c r="A27" s="723" t="s">
        <v>18</v>
      </c>
      <c r="B27" s="724"/>
      <c r="C27" s="724"/>
      <c r="D27" s="724"/>
      <c r="E27" s="767">
        <f>SUM(DotTracking!E11:O11,DotTracking!AC11:AM11,DotTracking!BA11:BK11,DotTracking!BY11:CI11)</f>
        <v>1</v>
      </c>
      <c r="F27" s="767"/>
      <c r="G27" s="818"/>
      <c r="H27" s="818"/>
      <c r="I27" s="818"/>
      <c r="J27" s="818"/>
      <c r="K27" s="818"/>
      <c r="L27" s="855"/>
      <c r="M27" s="829" t="s">
        <v>31</v>
      </c>
      <c r="N27" s="820"/>
      <c r="O27" s="820"/>
      <c r="P27" s="820"/>
      <c r="Q27" s="820"/>
      <c r="R27" s="820"/>
      <c r="S27" s="820"/>
      <c r="T27" s="821"/>
      <c r="U27" s="829" t="s">
        <v>938</v>
      </c>
      <c r="V27" s="820"/>
      <c r="W27" s="820"/>
      <c r="X27" s="821"/>
      <c r="Y27" s="1200" t="s">
        <v>522</v>
      </c>
      <c r="Z27" s="1201"/>
      <c r="AA27" s="1201"/>
      <c r="AB27" s="1201"/>
      <c r="AC27" s="767">
        <f>SUM(DotTracking!T32:X32,DotTracking!AR32:AV32,DotTracking!BP32:BT32,DotTracking!CN32:CR32,DotTracking!ES30:EW30,DotTracking!FB30:FF30,DotTracking!FK30:FO30,DotTracking!FT30:FX30,DotTracking!GC30:GG30)</f>
        <v>0</v>
      </c>
      <c r="AD27" s="767"/>
      <c r="AE27" s="767"/>
      <c r="AF27" s="818"/>
      <c r="AG27" s="818"/>
      <c r="AH27" s="767">
        <f t="shared" si="0"/>
        <v>0</v>
      </c>
      <c r="AI27" s="767"/>
      <c r="AJ27" s="818"/>
      <c r="AK27" s="818"/>
      <c r="AL27" s="818"/>
      <c r="AM27" s="855"/>
      <c r="AN27" s="842"/>
      <c r="AO27" s="818"/>
      <c r="AP27" s="818"/>
      <c r="AQ27" s="818"/>
      <c r="AR27" s="818"/>
      <c r="AS27" s="818"/>
      <c r="AT27" s="767" t="str">
        <f t="shared" si="5"/>
        <v/>
      </c>
      <c r="AU27" s="767"/>
      <c r="AV27" s="768"/>
      <c r="AW27" s="842"/>
      <c r="AX27" s="818"/>
      <c r="AY27" s="818"/>
      <c r="AZ27" s="818"/>
      <c r="BA27" s="818"/>
      <c r="BB27" s="818"/>
      <c r="BC27" s="381"/>
      <c r="BD27" s="291">
        <f t="shared" si="1"/>
        <v>0</v>
      </c>
      <c r="BE27" s="767" t="str">
        <f>IF(AW27="","",HLOOKUP(AW27,AssociatedRef!$AP$1:$BZ$123,LOOKUP($CE$2,AssociatedRef!$AP$2:$AP$123,AssociatedRef!$AQ$2:$AQ$123),FALSE))</f>
        <v/>
      </c>
      <c r="BF27" s="767"/>
      <c r="BG27" s="381" t="s">
        <v>347</v>
      </c>
      <c r="BH27" s="292" t="str">
        <f t="shared" si="2"/>
        <v/>
      </c>
      <c r="BI27" s="842"/>
      <c r="BJ27" s="818"/>
      <c r="BK27" s="818"/>
      <c r="BL27" s="818"/>
      <c r="BM27" s="381"/>
      <c r="BN27" s="381"/>
      <c r="BO27" s="381"/>
      <c r="BP27" s="818"/>
      <c r="BQ27" s="818"/>
      <c r="BR27" s="818"/>
      <c r="BS27" s="818"/>
      <c r="BT27" s="855"/>
      <c r="BU27" s="422"/>
      <c r="BV27" s="421" t="str">
        <f>IF('House Rules'!$B$10="Potent","Command*","Command")</f>
        <v>Command</v>
      </c>
      <c r="BW27" s="318">
        <f>SUM(DotTracking!$T14:$X14,DotTracking!$AR14:$AV15,DotTracking!$BP14:$BT14,DotTracking!CN14:CR14)</f>
        <v>0</v>
      </c>
      <c r="BX27" s="421" t="str">
        <f>IF('House Rules'!$B$10="Potent","Science*","Science")</f>
        <v>Science</v>
      </c>
      <c r="BY27" s="318">
        <f>SUM(IF(DotTracking!P29="Science",DotTracking!T29:X29,0),IF(DotTracking!AN29="Science",DotTracking!AR29:AV29,0),IF(DotTracking!BL29="Science",DotTracking!BP29:BT29,0),IF(DotTracking!P30="Science",DotTracking!T30:X30,0),IF(DotTracking!AN30="Science",DotTracking!AR30:AV30,0),IF(DotTracking!BL30="Science",DotTracking!BP30:BT30,0),IF(DotTracking!P32="Science",DotTracking!T32:X32,0),IF(DotTracking!AN32="Science",DotTracking!AR32:AV32,0),IF(DotTracking!BL32="Science",DotTracking!BP32:BT32,0),IF(DotTracking!P31="Science",DotTracking!T31:X31,0),IF(DotTracking!AN31="Science",DotTracking!AR31:AV31,0),IF(DotTracking!BL31="Science",DotTracking!BP31:BT31,0),IF(DotTracking!P33="Science",DotTracking!T33:X33,0),IF(DotTracking!AN33="Science",DotTracking!AR33:AV33,0),IF(DotTracking!BL33="Science",DotTracking!BP33:BT33,0),IF(DotTracking!P34="Science",DotTracking!T34:X34,0),IF(DotTracking!AN34="Science",DotTracking!AR34:AV34,0),IF(DotTracking!BL34="Science",DotTracking!BP34:BT34,0),IF(DotTracking!P35="Science",DotTracking!T35:X35,0),IF(DotTracking!AN35="Science",DotTracking!AR35:AV35,0),IF(DotTracking!BL35="Science",DotTracking!BP35:BT35,0),IF(DotTracking!P36="Science",DotTracking!T36:X36,0),IF(DotTracking!AN36="Science",DotTracking!AR36:AV36,0),IF(DotTracking!BL36="Science",DotTracking!BP36:BT36,0),IF(DotTracking!P37="Science",DotTracking!T37:X37,0),IF(DotTracking!AN37="Science",DotTracking!AR37:AV37,0),IF(DotTracking!BL37="Science",DotTracking!BP37:BT37,0),IF(DotTracking!P38="Science",DotTracking!T38:X38,0),IF(DotTracking!AN38="Science",DotTracking!AR38:AV38,0),IF(DotTracking!BL38="Science",DotTracking!BP38:BT38,0),IF(DotTracking!CJ29="Science",DotTracking!CN29:CR29,0),IF(DotTracking!CJ30="Science",DotTracking!CN30:CR30,0),IF(DotTracking!CJ31="Science",DotTracking!CN31:CR31,0),IF(DotTracking!CJ32="Science",DotTracking!CN32:CR32,0),IF(DotTracking!CJ33="Science",DotTracking!CN33:CR33,0),IF(DotTracking!CJ34="Science",DotTracking!CN34:CR34,0),IF(DotTracking!CJ35="Science",DotTracking!CN35:CR35,0),IF(DotTracking!CJ36="Science",DotTracking!CN36:CR36,0),IF(DotTracking!CJ37="Science",DotTracking!CN37:CR37,0),IF(DotTracking!CJ38="Science",DotTracking!CN38:CR38,0),0)</f>
        <v>0</v>
      </c>
      <c r="BZ27" s="283">
        <f t="shared" si="4"/>
        <v>0</v>
      </c>
    </row>
    <row r="28" spans="1:78" ht="15" customHeight="1" thickBot="1" x14ac:dyDescent="0.3">
      <c r="A28" s="723" t="s">
        <v>15</v>
      </c>
      <c r="B28" s="724"/>
      <c r="C28" s="724"/>
      <c r="D28" s="724"/>
      <c r="E28" s="818" t="s">
        <v>59</v>
      </c>
      <c r="F28" s="818"/>
      <c r="G28" s="818"/>
      <c r="H28" s="818"/>
      <c r="I28" s="767"/>
      <c r="J28" s="767"/>
      <c r="K28" s="767"/>
      <c r="L28" s="768"/>
      <c r="M28" s="890"/>
      <c r="N28" s="823"/>
      <c r="O28" s="823"/>
      <c r="P28" s="823"/>
      <c r="Q28" s="823"/>
      <c r="R28" s="823"/>
      <c r="S28" s="823"/>
      <c r="T28" s="824"/>
      <c r="U28" s="890"/>
      <c r="V28" s="823"/>
      <c r="W28" s="823"/>
      <c r="X28" s="824"/>
      <c r="Y28" s="1200" t="s">
        <v>522</v>
      </c>
      <c r="Z28" s="1201"/>
      <c r="AA28" s="1201"/>
      <c r="AB28" s="1201"/>
      <c r="AC28" s="767">
        <f>SUM(DotTracking!T33:X33,DotTracking!AR33:AV33,DotTracking!BP33:BT33,DotTracking!CN33:CR33,DotTracking!ES31:EW31,DotTracking!FB31:FF31,DotTracking!FK31:FO31,DotTracking!FT31:FX31,DotTracking!GC31:GG31)</f>
        <v>0</v>
      </c>
      <c r="AD28" s="767"/>
      <c r="AE28" s="767"/>
      <c r="AF28" s="818"/>
      <c r="AG28" s="818"/>
      <c r="AH28" s="767">
        <f t="shared" si="0"/>
        <v>0</v>
      </c>
      <c r="AI28" s="767"/>
      <c r="AJ28" s="818"/>
      <c r="AK28" s="818"/>
      <c r="AL28" s="818"/>
      <c r="AM28" s="855"/>
      <c r="AN28" s="842"/>
      <c r="AO28" s="818"/>
      <c r="AP28" s="818"/>
      <c r="AQ28" s="818"/>
      <c r="AR28" s="818"/>
      <c r="AS28" s="818"/>
      <c r="AT28" s="767" t="str">
        <f t="shared" si="5"/>
        <v/>
      </c>
      <c r="AU28" s="767"/>
      <c r="AV28" s="768"/>
      <c r="AW28" s="842"/>
      <c r="AX28" s="818"/>
      <c r="AY28" s="818"/>
      <c r="AZ28" s="818"/>
      <c r="BA28" s="818"/>
      <c r="BB28" s="818"/>
      <c r="BC28" s="381"/>
      <c r="BD28" s="291">
        <f t="shared" si="1"/>
        <v>0</v>
      </c>
      <c r="BE28" s="767" t="str">
        <f>IF(AW28="","",HLOOKUP(AW28,AssociatedRef!$AP$1:$BZ$123,LOOKUP($CE$2,AssociatedRef!$AP$2:$AP$123,AssociatedRef!$AQ$2:$AQ$123),FALSE))</f>
        <v/>
      </c>
      <c r="BF28" s="767"/>
      <c r="BG28" s="381" t="s">
        <v>347</v>
      </c>
      <c r="BH28" s="292" t="str">
        <f t="shared" si="2"/>
        <v/>
      </c>
      <c r="BI28" s="1205"/>
      <c r="BJ28" s="1202"/>
      <c r="BK28" s="1202"/>
      <c r="BL28" s="1202"/>
      <c r="BM28" s="423"/>
      <c r="BN28" s="381"/>
      <c r="BO28" s="381"/>
      <c r="BP28" s="1202"/>
      <c r="BQ28" s="1202"/>
      <c r="BR28" s="1202"/>
      <c r="BS28" s="1202"/>
      <c r="BT28" s="1203"/>
      <c r="BU28" s="422"/>
      <c r="BV28" s="421" t="str">
        <f>IF('House Rules'!$B$10="Potent","Control*","Control")</f>
        <v>Control</v>
      </c>
      <c r="BW28" s="318">
        <f>SUM(IF(DotTracking!P29="Control",DotTracking!T29:X29,0),IF(DotTracking!AN29="Control",DotTracking!AR29:AV29,0),IF(DotTracking!BL29="Control",DotTracking!BP29:BT29,0),IF(DotTracking!P30="Control",DotTracking!T30:X30,0),IF(DotTracking!AN30="Control",DotTracking!AR30:AV30,0),IF(DotTracking!BL30="Control",DotTracking!BP30:BT30,0),IF(DotTracking!P32="Control",DotTracking!T32:X32,0),IF(DotTracking!AN32="Control",DotTracking!AR32:AV32,0),IF(DotTracking!BL32="Control",DotTracking!BP32:BT32,0),IF(DotTracking!P31="Control",DotTracking!T31:X31,0),IF(DotTracking!AN31="Control",DotTracking!AR31:AV31,0),IF(DotTracking!BL31="Control",DotTracking!BP31:BT31,0),IF(DotTracking!P33="Control",DotTracking!T33:X33,0),IF(DotTracking!AN33="Control",DotTracking!AR33:AV33,0),IF(DotTracking!BL33="Control",DotTracking!BP33:BT33,0),IF(DotTracking!P34="Control",DotTracking!T34:X34,0),IF(DotTracking!AN34="Control",DotTracking!AR34:AV34,0),IF(DotTracking!BL34="Control",DotTracking!BP34:BT34,0),IF(DotTracking!P35="Control",DotTracking!T35:X35,0),IF(DotTracking!AN35="Control",DotTracking!AR35:AV35,0),IF(DotTracking!BL35="Control",DotTracking!BP35:BT35,0),IF(DotTracking!P36="Control",DotTracking!T36:X36,0),IF(DotTracking!AN36="Control",DotTracking!AR36:AV36,0),IF(DotTracking!BL36="Control",DotTracking!BP36:BT36,0),IF(DotTracking!P37="Control",DotTracking!T37:X37,0),IF(DotTracking!AN37="Control",DotTracking!AR37:AV37,0),IF(DotTracking!BL37="Control",DotTracking!BP37:BT37,0),IF(DotTracking!P38="Control",DotTracking!T38:X38,0),IF(DotTracking!AN38="Control",DotTracking!AR38:AV38,0),IF(DotTracking!BL38="Control",DotTracking!BP38:BT38,0),IF(DotTracking!CJ29="Control",DotTracking!CN29:CR29,0),IF(DotTracking!CJ30="Control",DotTracking!CN30:CR30,0),IF(DotTracking!CJ31="Control",DotTracking!CN31:CR31,0),IF(DotTracking!CJ32="Control",DotTracking!CN32:CR32,0),IF(DotTracking!CJ33="Control",DotTracking!CN33:CR33,0),IF(DotTracking!CJ34="Control",DotTracking!CN34:CR34,0),IF(DotTracking!CJ35="Control",DotTracking!CN35:CR35,0),IF(DotTracking!CJ36="Control",DotTracking!CN36:CR36,0),IF(DotTracking!CJ37="Control",DotTracking!CN37:CR37,0),IF(DotTracking!CJ38="Control",DotTracking!CN38:CR38,0),0)</f>
        <v>0</v>
      </c>
      <c r="BX28" s="421" t="str">
        <f>IF('House Rules'!$B$10="Potent","Stealth*","Stealth")</f>
        <v>Stealth</v>
      </c>
      <c r="BY28" s="318">
        <f>SUM(DotTracking!$T26:$X26,DotTracking!$AR26:$AV26,DotTracking!$BP26:$BT26,DotTracking!CN26:CR26)</f>
        <v>0</v>
      </c>
      <c r="BZ28" s="283">
        <f t="shared" si="4"/>
        <v>0</v>
      </c>
    </row>
    <row r="29" spans="1:78" ht="15" customHeight="1" x14ac:dyDescent="0.25">
      <c r="A29" s="723" t="s">
        <v>32</v>
      </c>
      <c r="B29" s="724"/>
      <c r="C29" s="724"/>
      <c r="D29" s="724"/>
      <c r="E29" s="767" t="str">
        <f>IF(E28="primary",4-SUM(G25:H27),IF(E28="Secondary",3-SUM(G25:H27),IF(E28="Tertiary",2-SUM(G25:H27),"Select Priority")))</f>
        <v>Select Priority</v>
      </c>
      <c r="F29" s="767"/>
      <c r="G29" s="767"/>
      <c r="H29" s="767"/>
      <c r="I29" s="767"/>
      <c r="J29" s="767"/>
      <c r="K29" s="767"/>
      <c r="L29" s="768"/>
      <c r="M29" s="1187"/>
      <c r="N29" s="765"/>
      <c r="O29" s="765"/>
      <c r="P29" s="765"/>
      <c r="Q29" s="722" t="s">
        <v>10</v>
      </c>
      <c r="R29" s="722"/>
      <c r="S29" s="722" t="s">
        <v>11</v>
      </c>
      <c r="T29" s="833"/>
      <c r="U29" s="721" t="s">
        <v>65</v>
      </c>
      <c r="V29" s="722"/>
      <c r="W29" s="765">
        <f>SUM(DotTracking!F26:O26,DotTracking!AD26:AM26,DotTracking!BB26:BK26,DotTracking!BZ26:CI26)</f>
        <v>5</v>
      </c>
      <c r="X29" s="766"/>
      <c r="Y29" s="1200" t="s">
        <v>522</v>
      </c>
      <c r="Z29" s="1201"/>
      <c r="AA29" s="1201"/>
      <c r="AB29" s="1201"/>
      <c r="AC29" s="767">
        <f>SUM(DotTracking!T34:X34,DotTracking!AR34:AV34,DotTracking!BP34:BT34,DotTracking!CN34:CR34,DotTracking!ES32:EW32,DotTracking!FB32:FF32,DotTracking!FK32:FO32,DotTracking!FT32:FX32,DotTracking!GC32:GG32)</f>
        <v>0</v>
      </c>
      <c r="AD29" s="767"/>
      <c r="AE29" s="767"/>
      <c r="AF29" s="818"/>
      <c r="AG29" s="818"/>
      <c r="AH29" s="767">
        <f t="shared" si="0"/>
        <v>0</v>
      </c>
      <c r="AI29" s="767"/>
      <c r="AJ29" s="818"/>
      <c r="AK29" s="818"/>
      <c r="AL29" s="818"/>
      <c r="AM29" s="855"/>
      <c r="AN29" s="842"/>
      <c r="AO29" s="818"/>
      <c r="AP29" s="818"/>
      <c r="AQ29" s="818"/>
      <c r="AR29" s="818"/>
      <c r="AS29" s="818"/>
      <c r="AT29" s="767" t="str">
        <f t="shared" si="5"/>
        <v/>
      </c>
      <c r="AU29" s="767"/>
      <c r="AV29" s="768"/>
      <c r="AW29" s="842"/>
      <c r="AX29" s="818"/>
      <c r="AY29" s="818"/>
      <c r="AZ29" s="818"/>
      <c r="BA29" s="818"/>
      <c r="BB29" s="818"/>
      <c r="BC29" s="381"/>
      <c r="BD29" s="291">
        <f t="shared" si="1"/>
        <v>0</v>
      </c>
      <c r="BE29" s="767" t="str">
        <f>IF(AW29="","",HLOOKUP(AW29,AssociatedRef!$AP$1:$BZ$123,LOOKUP($CE$2,AssociatedRef!$AP$2:$AP$123,AssociatedRef!$AQ$2:$AQ$123),FALSE))</f>
        <v/>
      </c>
      <c r="BF29" s="767"/>
      <c r="BG29" s="381" t="s">
        <v>347</v>
      </c>
      <c r="BH29" s="292" t="str">
        <f t="shared" si="2"/>
        <v/>
      </c>
      <c r="BI29" s="829" t="s">
        <v>148</v>
      </c>
      <c r="BJ29" s="820"/>
      <c r="BK29" s="820"/>
      <c r="BL29" s="820"/>
      <c r="BM29" s="820"/>
      <c r="BN29" s="820"/>
      <c r="BO29" s="820"/>
      <c r="BP29" s="820"/>
      <c r="BQ29" s="820"/>
      <c r="BR29" s="820"/>
      <c r="BS29" s="820"/>
      <c r="BT29" s="821"/>
      <c r="BU29" s="418"/>
      <c r="BV29" s="421" t="str">
        <f>IF('House Rules'!$B$10="Potent","Craft*","Craft")</f>
        <v>Craft</v>
      </c>
      <c r="BW29" s="318">
        <f>SUM(IF(DotTracking!P29="Craft",DotTracking!T29:X29,0),IF(DotTracking!AN29="Craft",DotTracking!AR29:AV29,0),IF(DotTracking!BL29="Craft",DotTracking!BP29:BT29,0),IF(DotTracking!P30="Craft",DotTracking!T30:X30,0),IF(DotTracking!AN30="Craft",DotTracking!AR30:AV30,0),IF(DotTracking!BL30="Craft",DotTracking!BP30:BT30,0),IF(DotTracking!P32="Craft",DotTracking!T32:X32,0),IF(DotTracking!AN32="Craft",DotTracking!AR32:AV32,0),IF(DotTracking!BL32="Craft",DotTracking!BP32:BT32,0),IF(DotTracking!P31="Craft",DotTracking!T31:X31,0),IF(DotTracking!AN31="Craft",DotTracking!AR31:AV31,0),IF(DotTracking!BL31="Craft",DotTracking!BP31:BT31,0),IF(DotTracking!P33="Craft",DotTracking!T33:X33,0),IF(DotTracking!AN33="Craft",DotTracking!AR33:AV33,0),IF(DotTracking!BL33="Craft",DotTracking!BP33:BT33,0),IF(DotTracking!P34="Craft",DotTracking!T34:X34,0),IF(DotTracking!AN34="Craft",DotTracking!AR34:AV34,0),IF(DotTracking!BL34="Craft",DotTracking!BP34:BT34,0),IF(DotTracking!P35="Craft",DotTracking!T35:X35,0),IF(DotTracking!AN35="Craft",DotTracking!AR35:AV35,0),IF(DotTracking!BL35="Craft",DotTracking!BP35:BT35,0),IF(DotTracking!P36="Craft",DotTracking!T36:X36,0),IF(DotTracking!AN36="Craft",DotTracking!AR36:AV36,0),IF(DotTracking!BL36="Craft",DotTracking!BP36:BT36,0),IF(DotTracking!P37="Craft",DotTracking!T37:X37,0),IF(DotTracking!AN37="Craft",DotTracking!AR37:AV37,0),IF(DotTracking!BL37="Craft",DotTracking!BP37:BT37,0),IF(DotTracking!P38="Craft",DotTracking!T38:X38,0),IF(DotTracking!AN38="Craft",DotTracking!AR38:AV38,0),IF(DotTracking!BL38="Craft",DotTracking!BP38:BT38,0),IF(DotTracking!CJ29="Craft",DotTracking!CN29:CR29,0),IF(DotTracking!CJ30="Craft",DotTracking!CN30:CR30,0),IF(DotTracking!CJ31="Craft",DotTracking!CN31:CR31,0),IF(DotTracking!CJ32="Craft",DotTracking!CN32:CR32,0),IF(DotTracking!CJ33="Craft",DotTracking!CN33:CR33,0),IF(DotTracking!CJ34="Craft",DotTracking!CN34:CR34,0),IF(DotTracking!CJ35="Craft",DotTracking!CN35:CR35,0),IF(DotTracking!CJ36="Craft",DotTracking!CN36:CR36,0),IF(DotTracking!CJ37="Craft",DotTracking!CN37:CR37,0),IF(DotTracking!CJ38="Craft",DotTracking!CN38:CR38,0),0)</f>
        <v>0</v>
      </c>
      <c r="BX29" s="420" t="s">
        <v>916</v>
      </c>
      <c r="BY29" s="318"/>
      <c r="BZ29" s="283">
        <f t="shared" si="4"/>
        <v>0</v>
      </c>
    </row>
    <row r="30" spans="1:78" ht="15" customHeight="1" thickBot="1" x14ac:dyDescent="0.3">
      <c r="A30" s="1163"/>
      <c r="B30" s="767"/>
      <c r="C30" s="767"/>
      <c r="D30" s="767"/>
      <c r="E30" s="767"/>
      <c r="F30" s="767"/>
      <c r="G30" s="767"/>
      <c r="H30" s="767"/>
      <c r="I30" s="767"/>
      <c r="J30" s="767"/>
      <c r="K30" s="767"/>
      <c r="L30" s="768"/>
      <c r="M30" s="723" t="str">
        <f>Creation!Q19</f>
        <v/>
      </c>
      <c r="N30" s="724"/>
      <c r="O30" s="724"/>
      <c r="P30" s="724"/>
      <c r="Q30" s="767">
        <f>SUM(DotTracking!T4:X4,DotTracking!AR4:AV4,DotTracking!BP4:BT4,DotTracking!CN4:CR4)</f>
        <v>1</v>
      </c>
      <c r="R30" s="767"/>
      <c r="S30" s="818"/>
      <c r="T30" s="855"/>
      <c r="U30" s="802" t="s">
        <v>11</v>
      </c>
      <c r="V30" s="803"/>
      <c r="W30" s="845"/>
      <c r="X30" s="856"/>
      <c r="Y30" s="1200" t="s">
        <v>522</v>
      </c>
      <c r="Z30" s="1201"/>
      <c r="AA30" s="1201"/>
      <c r="AB30" s="1201"/>
      <c r="AC30" s="767">
        <f>SUM(DotTracking!T35:X35,DotTracking!AR35:AV35,DotTracking!BP35:BT35,DotTracking!CN35:CR35,DotTracking!ES33:EW33,DotTracking!FB33:FF33,DotTracking!FK33:FO33,DotTracking!FT33:FX33,DotTracking!GC33:GG33)</f>
        <v>0</v>
      </c>
      <c r="AD30" s="767"/>
      <c r="AE30" s="767"/>
      <c r="AF30" s="818"/>
      <c r="AG30" s="818"/>
      <c r="AH30" s="767">
        <f t="shared" si="0"/>
        <v>0</v>
      </c>
      <c r="AI30" s="767"/>
      <c r="AJ30" s="818"/>
      <c r="AK30" s="818"/>
      <c r="AL30" s="818"/>
      <c r="AM30" s="855"/>
      <c r="AN30" s="842"/>
      <c r="AO30" s="818"/>
      <c r="AP30" s="818"/>
      <c r="AQ30" s="818"/>
      <c r="AR30" s="818"/>
      <c r="AS30" s="818"/>
      <c r="AT30" s="767" t="str">
        <f t="shared" si="5"/>
        <v/>
      </c>
      <c r="AU30" s="767"/>
      <c r="AV30" s="768"/>
      <c r="AW30" s="842"/>
      <c r="AX30" s="818"/>
      <c r="AY30" s="818"/>
      <c r="AZ30" s="818"/>
      <c r="BA30" s="818"/>
      <c r="BB30" s="818"/>
      <c r="BC30" s="381"/>
      <c r="BD30" s="291">
        <f t="shared" si="1"/>
        <v>0</v>
      </c>
      <c r="BE30" s="767" t="str">
        <f>IF(AW30="","",HLOOKUP(AW30,AssociatedRef!$AP$1:$BZ$123,LOOKUP($CE$2,AssociatedRef!$AP$2:$AP$123,AssociatedRef!$AQ$2:$AQ$123),FALSE))</f>
        <v/>
      </c>
      <c r="BF30" s="767"/>
      <c r="BG30" s="381" t="s">
        <v>347</v>
      </c>
      <c r="BH30" s="292" t="str">
        <f t="shared" si="2"/>
        <v/>
      </c>
      <c r="BI30" s="890"/>
      <c r="BJ30" s="823"/>
      <c r="BK30" s="823"/>
      <c r="BL30" s="823"/>
      <c r="BM30" s="823"/>
      <c r="BN30" s="823"/>
      <c r="BO30" s="823"/>
      <c r="BP30" s="823"/>
      <c r="BQ30" s="823"/>
      <c r="BR30" s="823"/>
      <c r="BS30" s="823"/>
      <c r="BT30" s="824"/>
      <c r="BU30" s="418"/>
      <c r="BV30" s="421" t="str">
        <f>IF('House Rules'!$B$10="Potent","Empathy*","Empathy")</f>
        <v>Empathy</v>
      </c>
      <c r="BW30" s="318">
        <f>SUM(DotTracking!$T15:$X15,DotTracking!$AR15:$AV15,DotTracking!$BP15:$BT15,DotTracking!CN15:CR15)</f>
        <v>0</v>
      </c>
      <c r="BX30" s="421" t="str">
        <f>IF('House Rules'!$B$10="Potent","Integrity*","Integrity")</f>
        <v>Integrity</v>
      </c>
      <c r="BY30" s="318">
        <f>SUM(DotTracking!$T17:$X17,DotTracking!$AR17:$AV17,DotTracking!$BP17:$BT17,DotTracking!CN17:CR17)</f>
        <v>0</v>
      </c>
      <c r="BZ30" s="283">
        <f t="shared" si="4"/>
        <v>0</v>
      </c>
    </row>
    <row r="31" spans="1:78" ht="15" customHeight="1" x14ac:dyDescent="0.25">
      <c r="A31" s="723" t="s">
        <v>19</v>
      </c>
      <c r="B31" s="724"/>
      <c r="C31" s="724"/>
      <c r="D31" s="724"/>
      <c r="E31" s="767">
        <f>SUM(DotTracking!E12:O12,DotTracking!AC12:AM12,DotTracking!BA12:BK12,DotTracking!BY12:CI12)</f>
        <v>1</v>
      </c>
      <c r="F31" s="767"/>
      <c r="G31" s="818"/>
      <c r="H31" s="818"/>
      <c r="I31" s="818"/>
      <c r="J31" s="818"/>
      <c r="K31" s="818"/>
      <c r="L31" s="855"/>
      <c r="M31" s="723" t="str">
        <f>Creation!Q20</f>
        <v/>
      </c>
      <c r="N31" s="724"/>
      <c r="O31" s="724"/>
      <c r="P31" s="724"/>
      <c r="Q31" s="767">
        <f>SUM(DotTracking!T5:X5,DotTracking!AR5:AV5,DotTracking!BP5:BT5,DotTracking!CN5:CR5)</f>
        <v>1</v>
      </c>
      <c r="R31" s="767"/>
      <c r="S31" s="818"/>
      <c r="T31" s="855"/>
      <c r="U31" s="733"/>
      <c r="V31" s="733"/>
      <c r="W31" s="733"/>
      <c r="X31" s="733"/>
      <c r="Y31" s="1200" t="s">
        <v>522</v>
      </c>
      <c r="Z31" s="1201"/>
      <c r="AA31" s="1201"/>
      <c r="AB31" s="1201"/>
      <c r="AC31" s="767">
        <f>SUM(DotTracking!T36:X36,DotTracking!AR36:AV36,DotTracking!BP36:BT36,DotTracking!CN36:CR36,DotTracking!ES34:EW34,DotTracking!FB34:FF34,DotTracking!FK34:FO34,DotTracking!FT34:FX34,DotTracking!GC34:GG34)</f>
        <v>0</v>
      </c>
      <c r="AD31" s="767"/>
      <c r="AE31" s="767"/>
      <c r="AF31" s="818"/>
      <c r="AG31" s="818"/>
      <c r="AH31" s="767">
        <f t="shared" si="0"/>
        <v>0</v>
      </c>
      <c r="AI31" s="767"/>
      <c r="AJ31" s="818"/>
      <c r="AK31" s="818"/>
      <c r="AL31" s="818"/>
      <c r="AM31" s="855"/>
      <c r="AN31" s="842"/>
      <c r="AO31" s="818"/>
      <c r="AP31" s="818"/>
      <c r="AQ31" s="818"/>
      <c r="AR31" s="818"/>
      <c r="AS31" s="818"/>
      <c r="AT31" s="767" t="str">
        <f t="shared" si="5"/>
        <v/>
      </c>
      <c r="AU31" s="767"/>
      <c r="AV31" s="768"/>
      <c r="AW31" s="842"/>
      <c r="AX31" s="818"/>
      <c r="AY31" s="818"/>
      <c r="AZ31" s="818"/>
      <c r="BA31" s="818"/>
      <c r="BB31" s="818"/>
      <c r="BC31" s="381"/>
      <c r="BD31" s="291">
        <f t="shared" si="1"/>
        <v>0</v>
      </c>
      <c r="BE31" s="767" t="str">
        <f>IF(AW31="","",HLOOKUP(AW31,AssociatedRef!$AP$1:$BZ$123,LOOKUP($CE$2,AssociatedRef!$AP$2:$AP$123,AssociatedRef!$AQ$2:$AQ$123),FALSE))</f>
        <v/>
      </c>
      <c r="BF31" s="767"/>
      <c r="BG31" s="381" t="s">
        <v>347</v>
      </c>
      <c r="BH31" s="292" t="str">
        <f t="shared" si="2"/>
        <v/>
      </c>
      <c r="BI31" s="721" t="s">
        <v>75</v>
      </c>
      <c r="BJ31" s="722"/>
      <c r="BK31" s="722"/>
      <c r="BL31" s="722"/>
      <c r="BM31" s="298" t="s">
        <v>76</v>
      </c>
      <c r="BN31" s="722" t="s">
        <v>11</v>
      </c>
      <c r="BO31" s="722"/>
      <c r="BP31" s="722" t="s">
        <v>77</v>
      </c>
      <c r="BQ31" s="722"/>
      <c r="BR31" s="722"/>
      <c r="BS31" s="722"/>
      <c r="BT31" s="833"/>
      <c r="BU31" s="314"/>
      <c r="BV31" s="421" t="str">
        <f>IF('House Rules'!$B$10="Potent","Fortitude*","Fortitude")</f>
        <v>Fortitude</v>
      </c>
      <c r="BW31" s="318">
        <f>SUM(DotTracking!$T16:$X16,DotTracking!$AR16:$AV16,DotTracking!$BP16:$BT16,DotTracking!CN16:CR16)</f>
        <v>0</v>
      </c>
      <c r="BX31" s="421" t="str">
        <f>IF('House Rules'!$B$10="Potent","Melee*","Melee")</f>
        <v>Melee</v>
      </c>
      <c r="BY31" s="318">
        <f>SUM(DotTracking!$T22:$X22,DotTracking!$AR22:$AV22,DotTracking!$BP22:$BT22,DotTracking!CN22:CR22)</f>
        <v>0</v>
      </c>
      <c r="BZ31" s="283">
        <f t="shared" si="4"/>
        <v>0</v>
      </c>
    </row>
    <row r="32" spans="1:78" ht="15" customHeight="1" x14ac:dyDescent="0.25">
      <c r="A32" s="723" t="s">
        <v>20</v>
      </c>
      <c r="B32" s="724"/>
      <c r="C32" s="724"/>
      <c r="D32" s="724"/>
      <c r="E32" s="767">
        <f>SUM(DotTracking!E13:O13,DotTracking!AC13:AM13,DotTracking!BA13:BK13,DotTracking!BY13:CI13)</f>
        <v>1</v>
      </c>
      <c r="F32" s="767"/>
      <c r="G32" s="818"/>
      <c r="H32" s="818"/>
      <c r="I32" s="818"/>
      <c r="J32" s="818"/>
      <c r="K32" s="818"/>
      <c r="L32" s="855"/>
      <c r="M32" s="723" t="str">
        <f>Creation!Q21</f>
        <v/>
      </c>
      <c r="N32" s="724"/>
      <c r="O32" s="724"/>
      <c r="P32" s="724"/>
      <c r="Q32" s="767">
        <f>SUM(DotTracking!T6:X6,DotTracking!AR6:AV6,DotTracking!BP6:BT6,DotTracking!CN6:CR6)</f>
        <v>1</v>
      </c>
      <c r="R32" s="767"/>
      <c r="S32" s="818"/>
      <c r="T32" s="855"/>
      <c r="U32" s="733"/>
      <c r="V32" s="733"/>
      <c r="W32" s="733"/>
      <c r="X32" s="733"/>
      <c r="Y32" s="1200" t="s">
        <v>522</v>
      </c>
      <c r="Z32" s="1201"/>
      <c r="AA32" s="1201"/>
      <c r="AB32" s="1201"/>
      <c r="AC32" s="767">
        <f>SUM(DotTracking!T37:X37,DotTracking!AR37:AV37,DotTracking!BP37:BT37,DotTracking!CN37:CR37,DotTracking!ES35:EW35,DotTracking!FB35:FF35,DotTracking!FK35:FO35,DotTracking!FT35:FX35,DotTracking!GC35:GG35)</f>
        <v>0</v>
      </c>
      <c r="AD32" s="767"/>
      <c r="AE32" s="767"/>
      <c r="AF32" s="818"/>
      <c r="AG32" s="818"/>
      <c r="AH32" s="767">
        <f t="shared" si="0"/>
        <v>0</v>
      </c>
      <c r="AI32" s="767"/>
      <c r="AJ32" s="818"/>
      <c r="AK32" s="818"/>
      <c r="AL32" s="818"/>
      <c r="AM32" s="855"/>
      <c r="AN32" s="842"/>
      <c r="AO32" s="818"/>
      <c r="AP32" s="818"/>
      <c r="AQ32" s="818"/>
      <c r="AR32" s="818"/>
      <c r="AS32" s="818"/>
      <c r="AT32" s="767" t="str">
        <f t="shared" si="5"/>
        <v/>
      </c>
      <c r="AU32" s="767"/>
      <c r="AV32" s="768"/>
      <c r="AW32" s="842"/>
      <c r="AX32" s="818"/>
      <c r="AY32" s="818"/>
      <c r="AZ32" s="818"/>
      <c r="BA32" s="818"/>
      <c r="BB32" s="818"/>
      <c r="BC32" s="381"/>
      <c r="BD32" s="291">
        <f t="shared" si="1"/>
        <v>0</v>
      </c>
      <c r="BE32" s="767" t="str">
        <f>IF(AW32="","",HLOOKUP(AW32,AssociatedRef!$AP$1:$BZ$123,LOOKUP($CE$2,AssociatedRef!$AP$2:$AP$123,AssociatedRef!$AQ$2:$AQ$123),FALSE))</f>
        <v/>
      </c>
      <c r="BF32" s="767"/>
      <c r="BG32" s="381" t="s">
        <v>347</v>
      </c>
      <c r="BH32" s="292" t="str">
        <f t="shared" si="2"/>
        <v/>
      </c>
      <c r="BI32" s="842"/>
      <c r="BJ32" s="818"/>
      <c r="BK32" s="818"/>
      <c r="BL32" s="818"/>
      <c r="BM32" s="381"/>
      <c r="BN32" s="381"/>
      <c r="BO32" s="381"/>
      <c r="BP32" s="818"/>
      <c r="BQ32" s="818"/>
      <c r="BR32" s="818"/>
      <c r="BS32" s="818"/>
      <c r="BT32" s="855"/>
      <c r="BU32" s="422"/>
      <c r="BV32" s="421" t="str">
        <f>IF('House Rules'!$B$10="Potent","Integrity*","Integrity")</f>
        <v>Integrity</v>
      </c>
      <c r="BW32" s="318">
        <f>SUM(DotTracking!$T17:$X17,DotTracking!$AR17:$AV17,DotTracking!$BP17:$BT17,DotTracking!CN17:CR17)</f>
        <v>0</v>
      </c>
      <c r="BX32" s="421" t="str">
        <f>IF('House Rules'!$B$10="Potent","Occult*","Occult")</f>
        <v>Occult</v>
      </c>
      <c r="BY32" s="318">
        <f>SUM(DotTracking!$T23:$X23,DotTracking!$AR23:$AV23,DotTracking!$BP23:$BT23,DotTracking!CN23:CR23)</f>
        <v>0</v>
      </c>
      <c r="BZ32" s="283">
        <f t="shared" si="4"/>
        <v>0</v>
      </c>
    </row>
    <row r="33" spans="1:78" ht="15" customHeight="1" thickBot="1" x14ac:dyDescent="0.3">
      <c r="A33" s="723" t="s">
        <v>21</v>
      </c>
      <c r="B33" s="724"/>
      <c r="C33" s="724"/>
      <c r="D33" s="724"/>
      <c r="E33" s="767">
        <f>SUM(DotTracking!E14:O14,DotTracking!AC14:AM14,DotTracking!BA14:BK14,DotTracking!BY14:CI14)</f>
        <v>1</v>
      </c>
      <c r="F33" s="767"/>
      <c r="G33" s="946"/>
      <c r="H33" s="843"/>
      <c r="I33" s="818"/>
      <c r="J33" s="818"/>
      <c r="K33" s="818"/>
      <c r="L33" s="855"/>
      <c r="M33" s="802" t="str">
        <f>Creation!Q22</f>
        <v/>
      </c>
      <c r="N33" s="803"/>
      <c r="O33" s="803"/>
      <c r="P33" s="803"/>
      <c r="Q33" s="804">
        <f>SUM(DotTracking!T7:X7,DotTracking!AR7:AV7,DotTracking!BP7:BT7,DotTracking!CN7:CR7)</f>
        <v>1</v>
      </c>
      <c r="R33" s="804"/>
      <c r="S33" s="845"/>
      <c r="T33" s="856"/>
      <c r="U33" s="733"/>
      <c r="V33" s="733"/>
      <c r="W33" s="733"/>
      <c r="X33" s="733"/>
      <c r="Y33" s="1198" t="s">
        <v>522</v>
      </c>
      <c r="Z33" s="1199"/>
      <c r="AA33" s="1199"/>
      <c r="AB33" s="1199"/>
      <c r="AC33" s="767">
        <f>SUM(DotTracking!T38:X38,DotTracking!AR38:AV38,DotTracking!BP38:BT38,DotTracking!CN38:CR38,DotTracking!ES36:EW36,DotTracking!FB36:FF36,DotTracking!FK36:FO36,DotTracking!FT36:FX36,DotTracking!GC36:GG36)</f>
        <v>0</v>
      </c>
      <c r="AD33" s="767"/>
      <c r="AE33" s="767"/>
      <c r="AF33" s="818"/>
      <c r="AG33" s="818"/>
      <c r="AH33" s="804">
        <f t="shared" si="0"/>
        <v>0</v>
      </c>
      <c r="AI33" s="804"/>
      <c r="AJ33" s="845"/>
      <c r="AK33" s="845"/>
      <c r="AL33" s="845"/>
      <c r="AM33" s="856"/>
      <c r="AN33" s="1194"/>
      <c r="AO33" s="845"/>
      <c r="AP33" s="845"/>
      <c r="AQ33" s="845"/>
      <c r="AR33" s="845"/>
      <c r="AS33" s="845"/>
      <c r="AT33" s="804" t="str">
        <f t="shared" si="5"/>
        <v/>
      </c>
      <c r="AU33" s="804"/>
      <c r="AV33" s="817"/>
      <c r="AW33" s="842"/>
      <c r="AX33" s="818"/>
      <c r="AY33" s="818"/>
      <c r="AZ33" s="818"/>
      <c r="BA33" s="818"/>
      <c r="BB33" s="818"/>
      <c r="BC33" s="381"/>
      <c r="BD33" s="291">
        <f t="shared" si="1"/>
        <v>0</v>
      </c>
      <c r="BE33" s="767" t="str">
        <f>IF(AW33="","",HLOOKUP(AW33,AssociatedRef!$AP$1:$BZ$123,LOOKUP($CE$2,AssociatedRef!$AP$2:$AP$123,AssociatedRef!$AQ$2:$AQ$123),FALSE))</f>
        <v/>
      </c>
      <c r="BF33" s="767"/>
      <c r="BG33" s="381" t="s">
        <v>347</v>
      </c>
      <c r="BH33" s="292" t="str">
        <f t="shared" si="2"/>
        <v/>
      </c>
      <c r="BI33" s="842"/>
      <c r="BJ33" s="818"/>
      <c r="BK33" s="818"/>
      <c r="BL33" s="818"/>
      <c r="BM33" s="381"/>
      <c r="BN33" s="381"/>
      <c r="BO33" s="381"/>
      <c r="BP33" s="818"/>
      <c r="BQ33" s="818"/>
      <c r="BR33" s="818"/>
      <c r="BS33" s="818"/>
      <c r="BT33" s="855"/>
      <c r="BU33" s="422"/>
      <c r="BV33" s="421" t="str">
        <f>IF('House Rules'!$B$10="Potent","Investigation*","Investigation")</f>
        <v>Investigation</v>
      </c>
      <c r="BW33" s="318">
        <f>SUM(DotTracking!$T18:$X18,DotTracking!$AR18:$AV18,DotTracking!$BP18:$BT18,DotTracking!CN18:CR18)</f>
        <v>0</v>
      </c>
      <c r="BX33" s="421" t="str">
        <f>IF('House Rules'!$B$10="Potent","Politics*","Politics")</f>
        <v>Politics</v>
      </c>
      <c r="BY33" s="318">
        <f>SUM(DotTracking!$T24:$X24,DotTracking!$AR24:$AV24,DotTracking!$BP24:$BT24,DotTracking!CN24:CR24)</f>
        <v>0</v>
      </c>
      <c r="BZ33" s="283">
        <f t="shared" si="4"/>
        <v>0</v>
      </c>
    </row>
    <row r="34" spans="1:78" ht="15" customHeight="1" x14ac:dyDescent="0.25">
      <c r="A34" s="723" t="s">
        <v>15</v>
      </c>
      <c r="B34" s="724"/>
      <c r="C34" s="724"/>
      <c r="D34" s="724"/>
      <c r="E34" s="818" t="s">
        <v>59</v>
      </c>
      <c r="F34" s="818"/>
      <c r="G34" s="818"/>
      <c r="H34" s="818"/>
      <c r="I34" s="767"/>
      <c r="J34" s="767"/>
      <c r="K34" s="767"/>
      <c r="L34" s="768"/>
      <c r="M34" s="733"/>
      <c r="N34" s="733"/>
      <c r="O34" s="733"/>
      <c r="P34" s="733"/>
      <c r="Q34" s="733"/>
      <c r="R34" s="733"/>
      <c r="S34" s="733"/>
      <c r="T34" s="734"/>
      <c r="U34" s="732"/>
      <c r="V34" s="733"/>
      <c r="W34" s="733"/>
      <c r="X34" s="733"/>
      <c r="Y34" s="721" t="s">
        <v>63</v>
      </c>
      <c r="Z34" s="722"/>
      <c r="AA34" s="722"/>
      <c r="AB34" s="722"/>
      <c r="AC34" s="722"/>
      <c r="AD34" s="722"/>
      <c r="AE34" s="722"/>
      <c r="AF34" s="725" t="str">
        <f>IF(M15="Select","",VLOOKUP(CE2,PantheonList!A14:I142,9,FALSE))</f>
        <v>Associated Purviews</v>
      </c>
      <c r="AG34" s="725"/>
      <c r="AH34" s="725"/>
      <c r="AI34" s="725"/>
      <c r="AJ34" s="725"/>
      <c r="AK34" s="725"/>
      <c r="AL34" s="725"/>
      <c r="AM34" s="725"/>
      <c r="AN34" s="725"/>
      <c r="AO34" s="725"/>
      <c r="AP34" s="725"/>
      <c r="AQ34" s="725"/>
      <c r="AR34" s="725"/>
      <c r="AS34" s="725"/>
      <c r="AT34" s="725"/>
      <c r="AU34" s="725"/>
      <c r="AV34" s="726"/>
      <c r="AW34" s="842"/>
      <c r="AX34" s="818"/>
      <c r="AY34" s="818"/>
      <c r="AZ34" s="818"/>
      <c r="BA34" s="818"/>
      <c r="BB34" s="818"/>
      <c r="BC34" s="381"/>
      <c r="BD34" s="291">
        <f t="shared" si="1"/>
        <v>0</v>
      </c>
      <c r="BE34" s="767" t="str">
        <f>IF(AW34="","",HLOOKUP(AW34,AssociatedRef!$AP$1:$BZ$123,LOOKUP($CE$2,AssociatedRef!$AP$2:$AP$123,AssociatedRef!$AQ$2:$AQ$123),FALSE))</f>
        <v/>
      </c>
      <c r="BF34" s="767"/>
      <c r="BG34" s="381" t="s">
        <v>347</v>
      </c>
      <c r="BH34" s="292" t="str">
        <f t="shared" si="2"/>
        <v/>
      </c>
      <c r="BI34" s="842"/>
      <c r="BJ34" s="818"/>
      <c r="BK34" s="818"/>
      <c r="BL34" s="818"/>
      <c r="BM34" s="381"/>
      <c r="BN34" s="381"/>
      <c r="BO34" s="381"/>
      <c r="BP34" s="818"/>
      <c r="BQ34" s="818"/>
      <c r="BR34" s="818"/>
      <c r="BS34" s="818"/>
      <c r="BT34" s="855"/>
      <c r="BU34" s="422"/>
      <c r="BV34" s="421" t="str">
        <f>IF('House Rules'!$B$10="Potent","Larceny*","Larceny")</f>
        <v>Larceny</v>
      </c>
      <c r="BW34" s="318">
        <f>SUM(DotTracking!$T19:$X19,DotTracking!$AR19:$AV19,DotTracking!$BP19:$BT19,DotTracking!CN19:CR19)</f>
        <v>0</v>
      </c>
      <c r="BX34" s="421" t="str">
        <f>IF('House Rules'!$B$10="Potent","Presence*","Presence")</f>
        <v>Presence</v>
      </c>
      <c r="BY34" s="318">
        <f>SUM(DotTracking!$T25:$X25,DotTracking!$AR25:$AV25,DotTracking!$BP25:$BT25,DotTracking!CN25:CR25)</f>
        <v>0</v>
      </c>
      <c r="BZ34" s="283">
        <f t="shared" si="4"/>
        <v>0</v>
      </c>
    </row>
    <row r="35" spans="1:78" ht="15" customHeight="1" thickBot="1" x14ac:dyDescent="0.3">
      <c r="A35" s="802" t="s">
        <v>32</v>
      </c>
      <c r="B35" s="803"/>
      <c r="C35" s="803"/>
      <c r="D35" s="803"/>
      <c r="E35" s="767" t="str">
        <f>IF(E34="primary",4-SUM(G31:H33),IF(E34="Secondary",3-SUM(G31:H33),IF(E34="Tertiary",2-SUM(G31:H33),"Select Priority")))</f>
        <v>Select Priority</v>
      </c>
      <c r="F35" s="767"/>
      <c r="G35" s="767"/>
      <c r="H35" s="767"/>
      <c r="I35" s="804"/>
      <c r="J35" s="804"/>
      <c r="K35" s="804"/>
      <c r="L35" s="817"/>
      <c r="M35" s="733"/>
      <c r="N35" s="733"/>
      <c r="O35" s="733"/>
      <c r="P35" s="733"/>
      <c r="Q35" s="733"/>
      <c r="R35" s="733"/>
      <c r="S35" s="733"/>
      <c r="T35" s="734"/>
      <c r="U35" s="732"/>
      <c r="V35" s="733"/>
      <c r="W35" s="733"/>
      <c r="X35" s="733"/>
      <c r="Y35" s="723"/>
      <c r="Z35" s="724"/>
      <c r="AA35" s="724"/>
      <c r="AB35" s="724"/>
      <c r="AC35" s="724"/>
      <c r="AD35" s="724"/>
      <c r="AE35" s="724"/>
      <c r="AF35" s="727"/>
      <c r="AG35" s="727"/>
      <c r="AH35" s="727"/>
      <c r="AI35" s="727"/>
      <c r="AJ35" s="727"/>
      <c r="AK35" s="727"/>
      <c r="AL35" s="727"/>
      <c r="AM35" s="727"/>
      <c r="AN35" s="727"/>
      <c r="AO35" s="727"/>
      <c r="AP35" s="727"/>
      <c r="AQ35" s="727"/>
      <c r="AR35" s="727"/>
      <c r="AS35" s="727"/>
      <c r="AT35" s="727"/>
      <c r="AU35" s="727"/>
      <c r="AV35" s="728"/>
      <c r="AW35" s="842"/>
      <c r="AX35" s="818"/>
      <c r="AY35" s="818"/>
      <c r="AZ35" s="818"/>
      <c r="BA35" s="818"/>
      <c r="BB35" s="818"/>
      <c r="BC35" s="381"/>
      <c r="BD35" s="291">
        <f t="shared" si="1"/>
        <v>0</v>
      </c>
      <c r="BE35" s="767" t="str">
        <f>IF(AW35="","",HLOOKUP(AW35,AssociatedRef!$AP$1:$BZ$123,LOOKUP($CE$2,AssociatedRef!$AP$2:$AP$123,AssociatedRef!$AQ$2:$AQ$123),FALSE))</f>
        <v/>
      </c>
      <c r="BF35" s="767"/>
      <c r="BG35" s="381" t="s">
        <v>347</v>
      </c>
      <c r="BH35" s="292" t="str">
        <f t="shared" si="2"/>
        <v/>
      </c>
      <c r="BI35" s="842"/>
      <c r="BJ35" s="818"/>
      <c r="BK35" s="818"/>
      <c r="BL35" s="818"/>
      <c r="BM35" s="381"/>
      <c r="BN35" s="381"/>
      <c r="BO35" s="381"/>
      <c r="BP35" s="818"/>
      <c r="BQ35" s="818"/>
      <c r="BR35" s="818"/>
      <c r="BS35" s="818"/>
      <c r="BT35" s="855"/>
      <c r="BU35" s="422"/>
      <c r="BV35" s="421" t="str">
        <f>IF('House Rules'!$B$10="Potent","Marksmanship*","Marksmanship")</f>
        <v>Marksmanship</v>
      </c>
      <c r="BW35" s="318">
        <f>SUM(DotTracking!$T20:$X20,DotTracking!$AR20:$AV20,DotTracking!$BP20:$BT20,DotTracking!CN20:CR20)</f>
        <v>0</v>
      </c>
      <c r="BX35" s="421" t="str">
        <f>IF('House Rules'!$B$10="Potent","Science*","Science")</f>
        <v>Science</v>
      </c>
      <c r="BY35" s="318">
        <f>SUM(IF(DotTracking!P29="Science",DotTracking!T29:X29,0),IF(DotTracking!AN29="Science",DotTracking!AR29:AV29,0),IF(DotTracking!BL29="Science",DotTracking!BP29:BT29,0),IF(DotTracking!P30="Science",DotTracking!T30:X30,0),IF(DotTracking!AN30="Science",DotTracking!AR30:AV30,0),IF(DotTracking!BL30="Science",DotTracking!BP30:BT30,0),IF(DotTracking!P32="Science",DotTracking!T32:X32,0),IF(DotTracking!AN32="Science",DotTracking!AR32:AV32,0),IF(DotTracking!BL32="Science",DotTracking!BP32:BT32,0),IF(DotTracking!P31="Science",DotTracking!T31:X31,0),IF(DotTracking!AN31="Science",DotTracking!AR31:AV31,0),IF(DotTracking!BL31="Science",DotTracking!BP31:BT31,0),IF(DotTracking!P33="Science",DotTracking!T33:X33,0),IF(DotTracking!AN33="Science",DotTracking!AR33:AV33,0),IF(DotTracking!BL33="Science",DotTracking!BP33:BT33,0),IF(DotTracking!P34="Science",DotTracking!T34:X34,0),IF(DotTracking!AN34="Science",DotTracking!AR34:AV34,0),IF(DotTracking!BL34="Science",DotTracking!BP34:BT34,0),IF(DotTracking!P35="Science",DotTracking!T35:X35,0),IF(DotTracking!AN35="Science",DotTracking!AR35:AV35,0),IF(DotTracking!BL35="Science",DotTracking!BP35:BT35,0),IF(DotTracking!P36="Science",DotTracking!T36:X36,0),IF(DotTracking!AN36="Science",DotTracking!AR36:AV36,0),IF(DotTracking!BL36="Science",DotTracking!BP36:BT36,0),IF(DotTracking!P37="Science",DotTracking!T37:X37,0),IF(DotTracking!AN37="Science",DotTracking!AR37:AV37,0),IF(DotTracking!BL37="Science",DotTracking!BP37:BT37,0),IF(DotTracking!P38="Science",DotTracking!T38:X38,0),IF(DotTracking!AN38="Science",DotTracking!AR38:AV38,0),IF(DotTracking!BL38="Science",DotTracking!BP38:BT38,0),IF(DotTracking!CJ29="Science",DotTracking!CN29:CR29,0),IF(DotTracking!CJ30="Science",DotTracking!CN30:CR30,0),IF(DotTracking!CJ31="Science",DotTracking!CN31:CR31,0),IF(DotTracking!CJ32="Science",DotTracking!CN32:CR32,0),IF(DotTracking!CJ33="Science",DotTracking!CN33:CR33,0),IF(DotTracking!CJ34="Science",DotTracking!CN34:CR34,0),IF(DotTracking!CJ35="Science",DotTracking!CN35:CR35,0),IF(DotTracking!CJ36="Science",DotTracking!CN36:CR36,0),IF(DotTracking!CJ37="Science",DotTracking!CN37:CR37,0),IF(DotTracking!CJ38="Science",DotTracking!CN38:CR38,0),0)</f>
        <v>0</v>
      </c>
      <c r="BZ35" s="283">
        <f t="shared" si="4"/>
        <v>0</v>
      </c>
    </row>
    <row r="36" spans="1:78" ht="15" customHeight="1" x14ac:dyDescent="0.25">
      <c r="A36" s="829" t="s">
        <v>80</v>
      </c>
      <c r="B36" s="820"/>
      <c r="C36" s="820"/>
      <c r="D36" s="820"/>
      <c r="E36" s="820"/>
      <c r="F36" s="820"/>
      <c r="G36" s="820"/>
      <c r="H36" s="820"/>
      <c r="I36" s="820"/>
      <c r="J36" s="820"/>
      <c r="K36" s="820"/>
      <c r="L36" s="820"/>
      <c r="M36" s="820"/>
      <c r="N36" s="820"/>
      <c r="O36" s="820"/>
      <c r="P36" s="820"/>
      <c r="Q36" s="820"/>
      <c r="R36" s="820"/>
      <c r="S36" s="820"/>
      <c r="T36" s="820"/>
      <c r="U36" s="820"/>
      <c r="V36" s="820"/>
      <c r="W36" s="820"/>
      <c r="X36" s="821"/>
      <c r="Y36" s="723" t="s">
        <v>64</v>
      </c>
      <c r="Z36" s="724"/>
      <c r="AA36" s="724"/>
      <c r="AB36" s="724"/>
      <c r="AC36" s="724"/>
      <c r="AD36" s="724"/>
      <c r="AE36" s="724"/>
      <c r="AF36" s="727" t="str">
        <f>IF(M15="Select","",VLOOKUP(CE2,PantheonList!A14:I142,8,FALSE))</f>
        <v>Associated Attributes</v>
      </c>
      <c r="AG36" s="727"/>
      <c r="AH36" s="727"/>
      <c r="AI36" s="727"/>
      <c r="AJ36" s="727"/>
      <c r="AK36" s="727"/>
      <c r="AL36" s="727"/>
      <c r="AM36" s="727"/>
      <c r="AN36" s="727"/>
      <c r="AO36" s="727"/>
      <c r="AP36" s="727"/>
      <c r="AQ36" s="727"/>
      <c r="AR36" s="727"/>
      <c r="AS36" s="727"/>
      <c r="AT36" s="727"/>
      <c r="AU36" s="727"/>
      <c r="AV36" s="728"/>
      <c r="AW36" s="842"/>
      <c r="AX36" s="818"/>
      <c r="AY36" s="818"/>
      <c r="AZ36" s="818"/>
      <c r="BA36" s="818"/>
      <c r="BB36" s="818"/>
      <c r="BC36" s="381"/>
      <c r="BD36" s="291">
        <f t="shared" si="1"/>
        <v>0</v>
      </c>
      <c r="BE36" s="767" t="str">
        <f>IF(AW36="","",HLOOKUP(AW36,AssociatedRef!$AP$1:$BZ$123,LOOKUP($CE$2,AssociatedRef!$AP$2:$AP$123,AssociatedRef!$AQ$2:$AQ$123),FALSE))</f>
        <v/>
      </c>
      <c r="BF36" s="767"/>
      <c r="BG36" s="381" t="s">
        <v>347</v>
      </c>
      <c r="BH36" s="292" t="str">
        <f t="shared" si="2"/>
        <v/>
      </c>
      <c r="BI36" s="842"/>
      <c r="BJ36" s="818"/>
      <c r="BK36" s="818"/>
      <c r="BL36" s="818"/>
      <c r="BM36" s="381"/>
      <c r="BN36" s="381"/>
      <c r="BO36" s="381"/>
      <c r="BP36" s="818"/>
      <c r="BQ36" s="818"/>
      <c r="BR36" s="818"/>
      <c r="BS36" s="818"/>
      <c r="BT36" s="855"/>
      <c r="BU36" s="422"/>
      <c r="BV36" s="421" t="str">
        <f>IF('House Rules'!$B$10="Potent","Medicine*","Medicine")</f>
        <v>Medicine</v>
      </c>
      <c r="BW36" s="318">
        <f>SUM(DotTracking!$T21:$X21,DotTracking!$AR21:$AV21,DotTracking!$BP21:$BT21,DotTracking!CN21:CR21)</f>
        <v>0</v>
      </c>
      <c r="BX36" s="421" t="str">
        <f>IF('House Rules'!$B$10="Potent","Stealth*","Stealth")</f>
        <v>Stealth</v>
      </c>
      <c r="BY36" s="318">
        <f>SUM(DotTracking!$T26:$X26,DotTracking!$AR26:$AV26,DotTracking!$BP26:$BT26,DotTracking!CN26:CR26)</f>
        <v>0</v>
      </c>
      <c r="BZ36" s="283">
        <f t="shared" si="4"/>
        <v>0</v>
      </c>
    </row>
    <row r="37" spans="1:78" ht="15" customHeight="1" thickBot="1" x14ac:dyDescent="0.3">
      <c r="A37" s="890"/>
      <c r="B37" s="823"/>
      <c r="C37" s="823"/>
      <c r="D37" s="823"/>
      <c r="E37" s="823"/>
      <c r="F37" s="823"/>
      <c r="G37" s="823"/>
      <c r="H37" s="823"/>
      <c r="I37" s="823"/>
      <c r="J37" s="823"/>
      <c r="K37" s="823"/>
      <c r="L37" s="823"/>
      <c r="M37" s="823"/>
      <c r="N37" s="823"/>
      <c r="O37" s="823"/>
      <c r="P37" s="823"/>
      <c r="Q37" s="823"/>
      <c r="R37" s="823"/>
      <c r="S37" s="823"/>
      <c r="T37" s="823"/>
      <c r="U37" s="823"/>
      <c r="V37" s="823"/>
      <c r="W37" s="823"/>
      <c r="X37" s="824"/>
      <c r="Y37" s="723"/>
      <c r="Z37" s="724"/>
      <c r="AA37" s="724"/>
      <c r="AB37" s="724"/>
      <c r="AC37" s="724"/>
      <c r="AD37" s="724"/>
      <c r="AE37" s="724"/>
      <c r="AF37" s="727"/>
      <c r="AG37" s="727"/>
      <c r="AH37" s="727"/>
      <c r="AI37" s="727"/>
      <c r="AJ37" s="727"/>
      <c r="AK37" s="727"/>
      <c r="AL37" s="727"/>
      <c r="AM37" s="727"/>
      <c r="AN37" s="727"/>
      <c r="AO37" s="727"/>
      <c r="AP37" s="727"/>
      <c r="AQ37" s="727"/>
      <c r="AR37" s="727"/>
      <c r="AS37" s="727"/>
      <c r="AT37" s="727"/>
      <c r="AU37" s="727"/>
      <c r="AV37" s="728"/>
      <c r="AW37" s="842"/>
      <c r="AX37" s="818"/>
      <c r="AY37" s="818"/>
      <c r="AZ37" s="818"/>
      <c r="BA37" s="818"/>
      <c r="BB37" s="818"/>
      <c r="BC37" s="381"/>
      <c r="BD37" s="291">
        <f t="shared" si="1"/>
        <v>0</v>
      </c>
      <c r="BE37" s="767" t="str">
        <f>IF(AW37="","",HLOOKUP(AW37,AssociatedRef!$AP$1:$BZ$123,LOOKUP($CE$2,AssociatedRef!$AP$2:$AP$123,AssociatedRef!$AQ$2:$AQ$123),FALSE))</f>
        <v/>
      </c>
      <c r="BF37" s="767"/>
      <c r="BG37" s="381" t="s">
        <v>347</v>
      </c>
      <c r="BH37" s="292" t="str">
        <f t="shared" si="2"/>
        <v/>
      </c>
      <c r="BI37" s="842"/>
      <c r="BJ37" s="818"/>
      <c r="BK37" s="818"/>
      <c r="BL37" s="818"/>
      <c r="BM37" s="381"/>
      <c r="BN37" s="381"/>
      <c r="BO37" s="381"/>
      <c r="BP37" s="818"/>
      <c r="BQ37" s="818"/>
      <c r="BR37" s="818"/>
      <c r="BS37" s="818"/>
      <c r="BT37" s="855"/>
      <c r="BU37" s="422"/>
      <c r="BV37" s="421" t="str">
        <f>IF('House Rules'!$B$10="Potent","Occult*","Occult")</f>
        <v>Occult</v>
      </c>
      <c r="BW37" s="318">
        <f>SUM(DotTracking!$T23:$X23,DotTracking!$AR23:$AV23,DotTracking!$BP23:$BT23,DotTracking!CN23:CR23)</f>
        <v>0</v>
      </c>
      <c r="BX37" s="421" t="str">
        <f>IF('House Rules'!$B$10="Potent","Survival*","Survival")</f>
        <v>Survival</v>
      </c>
      <c r="BY37" s="318">
        <f>SUM(DotTracking!$T27:$X27,DotTracking!$AR27:$AV27,DotTracking!$BP27:$BT27,DotTracking!CN27:CR27)</f>
        <v>0</v>
      </c>
      <c r="BZ37" s="283">
        <f t="shared" si="4"/>
        <v>0</v>
      </c>
    </row>
    <row r="38" spans="1:78" ht="15" customHeight="1" thickBot="1" x14ac:dyDescent="0.3">
      <c r="A38" s="1187"/>
      <c r="B38" s="765"/>
      <c r="C38" s="765"/>
      <c r="D38" s="765"/>
      <c r="E38" s="722" t="s">
        <v>81</v>
      </c>
      <c r="F38" s="722"/>
      <c r="G38" s="722"/>
      <c r="H38" s="722"/>
      <c r="I38" s="722" t="s">
        <v>82</v>
      </c>
      <c r="J38" s="722"/>
      <c r="K38" s="722"/>
      <c r="L38" s="722"/>
      <c r="M38" s="722"/>
      <c r="N38" s="722"/>
      <c r="O38" s="722"/>
      <c r="P38" s="722"/>
      <c r="Q38" s="722" t="s">
        <v>81</v>
      </c>
      <c r="R38" s="722"/>
      <c r="S38" s="722"/>
      <c r="T38" s="722"/>
      <c r="U38" s="722" t="s">
        <v>82</v>
      </c>
      <c r="V38" s="722"/>
      <c r="W38" s="722"/>
      <c r="X38" s="833"/>
      <c r="Y38" s="802" t="s">
        <v>129</v>
      </c>
      <c r="Z38" s="803"/>
      <c r="AA38" s="803"/>
      <c r="AB38" s="803"/>
      <c r="AC38" s="803"/>
      <c r="AD38" s="803"/>
      <c r="AE38" s="803"/>
      <c r="AF38" s="804" t="str">
        <f>IF(CE1="Select","",VLOOKUP(CE1,PantheonList!A3:F15,2,FALSE))</f>
        <v/>
      </c>
      <c r="AG38" s="804"/>
      <c r="AH38" s="804"/>
      <c r="AI38" s="804"/>
      <c r="AJ38" s="804"/>
      <c r="AK38" s="804"/>
      <c r="AL38" s="804"/>
      <c r="AM38" s="804"/>
      <c r="AN38" s="804"/>
      <c r="AO38" s="804"/>
      <c r="AP38" s="804"/>
      <c r="AQ38" s="804"/>
      <c r="AR38" s="804"/>
      <c r="AS38" s="804"/>
      <c r="AT38" s="804"/>
      <c r="AU38" s="804"/>
      <c r="AV38" s="817"/>
      <c r="AW38" s="842"/>
      <c r="AX38" s="818"/>
      <c r="AY38" s="818"/>
      <c r="AZ38" s="818"/>
      <c r="BA38" s="818"/>
      <c r="BB38" s="818"/>
      <c r="BC38" s="381"/>
      <c r="BD38" s="291">
        <f t="shared" si="1"/>
        <v>0</v>
      </c>
      <c r="BE38" s="767" t="str">
        <f>IF(AW38="","",HLOOKUP(AW38,AssociatedRef!$AP$1:$BZ$123,LOOKUP($CE$2,AssociatedRef!$AP$2:$AP$123,AssociatedRef!$AQ$2:$AQ$123),FALSE))</f>
        <v/>
      </c>
      <c r="BF38" s="767"/>
      <c r="BG38" s="381" t="s">
        <v>347</v>
      </c>
      <c r="BH38" s="292" t="str">
        <f t="shared" si="2"/>
        <v/>
      </c>
      <c r="BI38" s="842"/>
      <c r="BJ38" s="818"/>
      <c r="BK38" s="818"/>
      <c r="BL38" s="818"/>
      <c r="BM38" s="381"/>
      <c r="BN38" s="381"/>
      <c r="BO38" s="381"/>
      <c r="BP38" s="818"/>
      <c r="BQ38" s="818"/>
      <c r="BR38" s="818"/>
      <c r="BS38" s="818"/>
      <c r="BT38" s="855"/>
      <c r="BU38" s="422"/>
      <c r="BW38" s="318"/>
      <c r="BX38" s="421" t="str">
        <f>IF('House Rules'!$B$10="Potent","Thrown*","Thrown")</f>
        <v>Thrown</v>
      </c>
      <c r="BY38" s="318">
        <f>SUM(DotTracking!$T28:$X28,DotTracking!$AR28:$AV28,DotTracking!$BP28:$BT28,DotTracking!CN28:CR28)</f>
        <v>0</v>
      </c>
      <c r="BZ38" s="283">
        <f t="shared" si="4"/>
        <v>0</v>
      </c>
    </row>
    <row r="39" spans="1:78" ht="15" customHeight="1" x14ac:dyDescent="0.25">
      <c r="A39" s="723" t="s">
        <v>8</v>
      </c>
      <c r="B39" s="724"/>
      <c r="C39" s="724"/>
      <c r="D39" s="724"/>
      <c r="E39" s="767">
        <f>SUM(I19:L33)</f>
        <v>0</v>
      </c>
      <c r="F39" s="767"/>
      <c r="G39" s="767"/>
      <c r="H39" s="767"/>
      <c r="I39" s="767">
        <f>E39*4</f>
        <v>0</v>
      </c>
      <c r="J39" s="767"/>
      <c r="K39" s="767"/>
      <c r="L39" s="767"/>
      <c r="M39" s="724" t="s">
        <v>67</v>
      </c>
      <c r="N39" s="724"/>
      <c r="O39" s="724"/>
      <c r="P39" s="724"/>
      <c r="Q39" s="767">
        <f>SUM(BQ4:BR12)</f>
        <v>0</v>
      </c>
      <c r="R39" s="767"/>
      <c r="S39" s="767"/>
      <c r="T39" s="767"/>
      <c r="U39" s="767">
        <f>SUM(BS4:BT12)</f>
        <v>0</v>
      </c>
      <c r="V39" s="767"/>
      <c r="W39" s="767"/>
      <c r="X39" s="768"/>
      <c r="Y39" s="733"/>
      <c r="Z39" s="733"/>
      <c r="AA39" s="733"/>
      <c r="AB39" s="733"/>
      <c r="AC39" s="733"/>
      <c r="AD39" s="733"/>
      <c r="AE39" s="733"/>
      <c r="AF39" s="733"/>
      <c r="AG39" s="733"/>
      <c r="AH39" s="733"/>
      <c r="AI39" s="733"/>
      <c r="AJ39" s="733"/>
      <c r="AK39" s="733"/>
      <c r="AL39" s="733"/>
      <c r="AM39" s="733"/>
      <c r="AN39" s="733"/>
      <c r="AO39" s="733"/>
      <c r="AP39" s="733"/>
      <c r="AQ39" s="733"/>
      <c r="AR39" s="733"/>
      <c r="AS39" s="733"/>
      <c r="AT39" s="733"/>
      <c r="AU39" s="733"/>
      <c r="AV39" s="733"/>
      <c r="AW39" s="842"/>
      <c r="AX39" s="818"/>
      <c r="AY39" s="818"/>
      <c r="AZ39" s="818"/>
      <c r="BA39" s="818"/>
      <c r="BB39" s="818"/>
      <c r="BC39" s="381"/>
      <c r="BD39" s="291">
        <f t="shared" si="1"/>
        <v>0</v>
      </c>
      <c r="BE39" s="767" t="str">
        <f>IF(AW39="","",HLOOKUP(AW39,AssociatedRef!$AP$1:$BZ$123,LOOKUP($CE$2,AssociatedRef!$AP$2:$AP$123,AssociatedRef!$AQ$2:$AQ$123),FALSE))</f>
        <v/>
      </c>
      <c r="BF39" s="767"/>
      <c r="BG39" s="381" t="s">
        <v>347</v>
      </c>
      <c r="BH39" s="292" t="str">
        <f t="shared" si="2"/>
        <v/>
      </c>
      <c r="BI39" s="842"/>
      <c r="BJ39" s="818"/>
      <c r="BK39" s="818"/>
      <c r="BL39" s="818"/>
      <c r="BM39" s="381"/>
      <c r="BN39" s="381"/>
      <c r="BO39" s="381"/>
      <c r="BP39" s="818"/>
      <c r="BQ39" s="818"/>
      <c r="BR39" s="818"/>
      <c r="BS39" s="818"/>
      <c r="BT39" s="855"/>
      <c r="BU39" s="422"/>
      <c r="BZ39" s="283">
        <f t="shared" si="4"/>
        <v>0</v>
      </c>
    </row>
    <row r="40" spans="1:78" ht="15" customHeight="1" x14ac:dyDescent="0.25">
      <c r="A40" s="723" t="s">
        <v>69</v>
      </c>
      <c r="B40" s="724"/>
      <c r="C40" s="724"/>
      <c r="D40" s="724"/>
      <c r="E40" s="767">
        <f>SUM(AF4:AG33)</f>
        <v>0</v>
      </c>
      <c r="F40" s="767"/>
      <c r="G40" s="767"/>
      <c r="H40" s="767"/>
      <c r="I40" s="767">
        <f>SUM(AH4:AI33)</f>
        <v>0</v>
      </c>
      <c r="J40" s="767"/>
      <c r="K40" s="767"/>
      <c r="L40" s="767"/>
      <c r="M40" s="724" t="s">
        <v>439</v>
      </c>
      <c r="N40" s="724"/>
      <c r="O40" s="724"/>
      <c r="P40" s="724"/>
      <c r="Q40" s="767">
        <f>U40/3</f>
        <v>0</v>
      </c>
      <c r="R40" s="767"/>
      <c r="S40" s="767"/>
      <c r="T40" s="767"/>
      <c r="U40" s="767">
        <f>SUM(AT6:AV33)</f>
        <v>0</v>
      </c>
      <c r="V40" s="767"/>
      <c r="W40" s="767"/>
      <c r="X40" s="768"/>
      <c r="Y40" s="733"/>
      <c r="Z40" s="733"/>
      <c r="AA40" s="733"/>
      <c r="AB40" s="733"/>
      <c r="AC40" s="733"/>
      <c r="AD40" s="733"/>
      <c r="AE40" s="733"/>
      <c r="AF40" s="733"/>
      <c r="AG40" s="733"/>
      <c r="AH40" s="733"/>
      <c r="AI40" s="733"/>
      <c r="AJ40" s="733"/>
      <c r="AK40" s="733"/>
      <c r="AL40" s="733"/>
      <c r="AM40" s="733"/>
      <c r="AN40" s="733"/>
      <c r="AO40" s="733"/>
      <c r="AP40" s="733"/>
      <c r="AQ40" s="733"/>
      <c r="AR40" s="733"/>
      <c r="AS40" s="733"/>
      <c r="AT40" s="733"/>
      <c r="AU40" s="733"/>
      <c r="AV40" s="733"/>
      <c r="AW40" s="842"/>
      <c r="AX40" s="818"/>
      <c r="AY40" s="818"/>
      <c r="AZ40" s="818"/>
      <c r="BA40" s="818"/>
      <c r="BB40" s="818"/>
      <c r="BC40" s="381"/>
      <c r="BD40" s="291">
        <f t="shared" si="1"/>
        <v>0</v>
      </c>
      <c r="BE40" s="767" t="str">
        <f>IF(AW40="","",HLOOKUP(AW40,AssociatedRef!$AP$1:$BZ$123,LOOKUP($CE$2,AssociatedRef!$AP$2:$AP$123,AssociatedRef!$AQ$2:$AQ$123),FALSE))</f>
        <v/>
      </c>
      <c r="BF40" s="767"/>
      <c r="BG40" s="381" t="s">
        <v>347</v>
      </c>
      <c r="BH40" s="292" t="str">
        <f t="shared" si="2"/>
        <v/>
      </c>
      <c r="BI40" s="723" t="s">
        <v>28</v>
      </c>
      <c r="BJ40" s="724"/>
      <c r="BK40" s="724"/>
      <c r="BL40" s="724"/>
      <c r="BM40" s="287">
        <f>SUM(BM21:BM28,BM32:BM39)</f>
        <v>0</v>
      </c>
      <c r="BN40" s="1196" t="s">
        <v>78</v>
      </c>
      <c r="BO40" s="1196" t="s">
        <v>79</v>
      </c>
      <c r="BP40" s="727" t="s">
        <v>497</v>
      </c>
      <c r="BQ40" s="727"/>
      <c r="BR40" s="727"/>
      <c r="BS40" s="727"/>
      <c r="BT40" s="728"/>
      <c r="BU40" s="424"/>
      <c r="BZ40" s="283">
        <f t="shared" si="4"/>
        <v>0</v>
      </c>
    </row>
    <row r="41" spans="1:78" ht="15" customHeight="1" x14ac:dyDescent="0.25">
      <c r="A41" s="723" t="s">
        <v>31</v>
      </c>
      <c r="B41" s="724"/>
      <c r="C41" s="724"/>
      <c r="D41" s="724"/>
      <c r="E41" s="767">
        <f>SUM(S30:T33)</f>
        <v>0</v>
      </c>
      <c r="F41" s="767"/>
      <c r="G41" s="767"/>
      <c r="H41" s="767"/>
      <c r="I41" s="767">
        <f>E41*3</f>
        <v>0</v>
      </c>
      <c r="J41" s="767"/>
      <c r="K41" s="767"/>
      <c r="L41" s="767"/>
      <c r="M41" s="724" t="s">
        <v>85</v>
      </c>
      <c r="N41" s="724"/>
      <c r="O41" s="724"/>
      <c r="P41" s="724"/>
      <c r="Q41" s="767">
        <f>SUM(BN21:BO28,BN32:BO39)</f>
        <v>0</v>
      </c>
      <c r="R41" s="767"/>
      <c r="S41" s="767"/>
      <c r="T41" s="767"/>
      <c r="U41" s="767">
        <f>SUM(BN21:BN28,BN32:BN39)+SUM(BO21:BO28,BO32:BO39)*2</f>
        <v>0</v>
      </c>
      <c r="V41" s="767"/>
      <c r="W41" s="767"/>
      <c r="X41" s="768"/>
      <c r="Y41" s="733"/>
      <c r="Z41" s="733"/>
      <c r="AA41" s="733"/>
      <c r="AB41" s="733"/>
      <c r="AC41" s="733"/>
      <c r="AD41" s="733"/>
      <c r="AE41" s="733"/>
      <c r="AF41" s="733"/>
      <c r="AG41" s="733"/>
      <c r="AH41" s="733"/>
      <c r="AI41" s="733"/>
      <c r="AJ41" s="733"/>
      <c r="AK41" s="733"/>
      <c r="AL41" s="733"/>
      <c r="AM41" s="733"/>
      <c r="AN41" s="733"/>
      <c r="AO41" s="733"/>
      <c r="AP41" s="733"/>
      <c r="AQ41" s="733"/>
      <c r="AR41" s="733"/>
      <c r="AS41" s="733"/>
      <c r="AT41" s="733"/>
      <c r="AU41" s="733"/>
      <c r="AV41" s="733"/>
      <c r="AW41" s="842"/>
      <c r="AX41" s="818"/>
      <c r="AY41" s="818"/>
      <c r="AZ41" s="818"/>
      <c r="BA41" s="818"/>
      <c r="BB41" s="818"/>
      <c r="BC41" s="381"/>
      <c r="BD41" s="291">
        <f t="shared" si="1"/>
        <v>0</v>
      </c>
      <c r="BE41" s="767" t="str">
        <f>IF(AW41="","",HLOOKUP(AW41,AssociatedRef!$AP$1:$BZ$123,LOOKUP($CE$2,AssociatedRef!$AP$2:$AP$123,AssociatedRef!$AQ$2:$AQ$123),FALSE))</f>
        <v/>
      </c>
      <c r="BF41" s="767"/>
      <c r="BG41" s="381" t="s">
        <v>347</v>
      </c>
      <c r="BH41" s="292" t="str">
        <f t="shared" si="2"/>
        <v/>
      </c>
      <c r="BI41" s="723" t="s">
        <v>32</v>
      </c>
      <c r="BJ41" s="724"/>
      <c r="BK41" s="724"/>
      <c r="BL41" s="724"/>
      <c r="BM41" s="287">
        <f>5-BM40</f>
        <v>5</v>
      </c>
      <c r="BN41" s="1196"/>
      <c r="BO41" s="1196"/>
      <c r="BP41" s="727"/>
      <c r="BQ41" s="727"/>
      <c r="BR41" s="727"/>
      <c r="BS41" s="727"/>
      <c r="BT41" s="728"/>
      <c r="BU41" s="424"/>
      <c r="BZ41" s="283">
        <f t="shared" si="4"/>
        <v>0</v>
      </c>
    </row>
    <row r="42" spans="1:78" ht="15" customHeight="1" x14ac:dyDescent="0.25">
      <c r="A42" s="723" t="s">
        <v>83</v>
      </c>
      <c r="B42" s="724"/>
      <c r="C42" s="724"/>
      <c r="D42" s="724"/>
      <c r="E42" s="767">
        <f>W30</f>
        <v>0</v>
      </c>
      <c r="F42" s="767"/>
      <c r="G42" s="767"/>
      <c r="H42" s="767"/>
      <c r="I42" s="767">
        <f>E42*2</f>
        <v>0</v>
      </c>
      <c r="J42" s="767"/>
      <c r="K42" s="767"/>
      <c r="L42" s="767"/>
      <c r="M42" s="724" t="s">
        <v>68</v>
      </c>
      <c r="N42" s="724"/>
      <c r="O42" s="724"/>
      <c r="P42" s="724"/>
      <c r="Q42" s="767">
        <f>SUM(BZ4:BZ46)</f>
        <v>0</v>
      </c>
      <c r="R42" s="767"/>
      <c r="S42" s="767"/>
      <c r="T42" s="767"/>
      <c r="U42" s="767">
        <f>SUM(BH4:BH46)</f>
        <v>0</v>
      </c>
      <c r="V42" s="767"/>
      <c r="W42" s="767"/>
      <c r="X42" s="768"/>
      <c r="Y42" s="733"/>
      <c r="Z42" s="733"/>
      <c r="AA42" s="733"/>
      <c r="AB42" s="733"/>
      <c r="AC42" s="733"/>
      <c r="AD42" s="733"/>
      <c r="AE42" s="733"/>
      <c r="AF42" s="733"/>
      <c r="AG42" s="733"/>
      <c r="AH42" s="733"/>
      <c r="AI42" s="733"/>
      <c r="AJ42" s="733"/>
      <c r="AK42" s="733"/>
      <c r="AL42" s="733"/>
      <c r="AM42" s="733"/>
      <c r="AN42" s="733"/>
      <c r="AO42" s="733"/>
      <c r="AP42" s="733"/>
      <c r="AQ42" s="733"/>
      <c r="AR42" s="733"/>
      <c r="AS42" s="733"/>
      <c r="AT42" s="733"/>
      <c r="AU42" s="733"/>
      <c r="AV42" s="733"/>
      <c r="AW42" s="842"/>
      <c r="AX42" s="818"/>
      <c r="AY42" s="818"/>
      <c r="AZ42" s="818"/>
      <c r="BA42" s="818"/>
      <c r="BB42" s="818"/>
      <c r="BC42" s="381"/>
      <c r="BD42" s="291">
        <f t="shared" si="1"/>
        <v>0</v>
      </c>
      <c r="BE42" s="767" t="str">
        <f>IF(AW42="","",HLOOKUP(AW42,AssociatedRef!$AP$1:$BZ$123,LOOKUP($CE$2,AssociatedRef!$AP$2:$AP$123,AssociatedRef!$AQ$2:$AQ$123),FALSE))</f>
        <v/>
      </c>
      <c r="BF42" s="767"/>
      <c r="BG42" s="381" t="s">
        <v>347</v>
      </c>
      <c r="BH42" s="292" t="str">
        <f t="shared" si="2"/>
        <v/>
      </c>
      <c r="BI42" s="723" t="s">
        <v>29</v>
      </c>
      <c r="BJ42" s="724"/>
      <c r="BK42" s="724"/>
      <c r="BL42" s="724"/>
      <c r="BM42" s="287" t="str">
        <f>IF(AND(BM41=0,MAX(BM21:BM28,BM32:BM39)&lt;4),"Yes","No")</f>
        <v>No</v>
      </c>
      <c r="BN42" s="1196"/>
      <c r="BO42" s="1196"/>
      <c r="BP42" s="727"/>
      <c r="BQ42" s="727"/>
      <c r="BR42" s="727"/>
      <c r="BS42" s="727"/>
      <c r="BT42" s="728"/>
      <c r="BU42" s="424"/>
      <c r="BZ42" s="283">
        <f t="shared" si="4"/>
        <v>0</v>
      </c>
    </row>
    <row r="43" spans="1:78" ht="15" customHeight="1" x14ac:dyDescent="0.25">
      <c r="A43" s="1163"/>
      <c r="B43" s="767"/>
      <c r="C43" s="767"/>
      <c r="D43" s="767"/>
      <c r="E43" s="767"/>
      <c r="F43" s="767"/>
      <c r="G43" s="767"/>
      <c r="H43" s="767"/>
      <c r="I43" s="767"/>
      <c r="J43" s="767"/>
      <c r="K43" s="767"/>
      <c r="L43" s="767"/>
      <c r="M43" s="724" t="s">
        <v>84</v>
      </c>
      <c r="N43" s="724"/>
      <c r="O43" s="724"/>
      <c r="P43" s="724"/>
      <c r="Q43" s="767">
        <f>AU4</f>
        <v>0</v>
      </c>
      <c r="R43" s="767"/>
      <c r="S43" s="767"/>
      <c r="T43" s="767"/>
      <c r="U43" s="767">
        <f>Q43*7</f>
        <v>0</v>
      </c>
      <c r="V43" s="767"/>
      <c r="W43" s="767"/>
      <c r="X43" s="768"/>
      <c r="Y43" s="733"/>
      <c r="Z43" s="733"/>
      <c r="AA43" s="733"/>
      <c r="AB43" s="733"/>
      <c r="AC43" s="733"/>
      <c r="AD43" s="733"/>
      <c r="AE43" s="733"/>
      <c r="AF43" s="733"/>
      <c r="AG43" s="733"/>
      <c r="AH43" s="733"/>
      <c r="AI43" s="733"/>
      <c r="AJ43" s="733"/>
      <c r="AK43" s="733"/>
      <c r="AL43" s="733"/>
      <c r="AM43" s="733"/>
      <c r="AN43" s="733"/>
      <c r="AO43" s="733"/>
      <c r="AP43" s="733"/>
      <c r="AQ43" s="733"/>
      <c r="AR43" s="733"/>
      <c r="AS43" s="733"/>
      <c r="AT43" s="733"/>
      <c r="AU43" s="733"/>
      <c r="AV43" s="733"/>
      <c r="AW43" s="842"/>
      <c r="AX43" s="818"/>
      <c r="AY43" s="818"/>
      <c r="AZ43" s="818"/>
      <c r="BA43" s="818"/>
      <c r="BB43" s="818"/>
      <c r="BC43" s="381"/>
      <c r="BD43" s="291">
        <f t="shared" si="1"/>
        <v>0</v>
      </c>
      <c r="BE43" s="767" t="str">
        <f>IF(AW43="","",HLOOKUP(AW43,AssociatedRef!$AP$1:$BZ$123,LOOKUP($CE$2,AssociatedRef!$AP$2:$AP$123,AssociatedRef!$AQ$2:$AQ$123),FALSE))</f>
        <v/>
      </c>
      <c r="BF43" s="767"/>
      <c r="BG43" s="381" t="s">
        <v>347</v>
      </c>
      <c r="BH43" s="292" t="str">
        <f t="shared" si="2"/>
        <v/>
      </c>
      <c r="BI43" s="1163"/>
      <c r="BJ43" s="767"/>
      <c r="BK43" s="767"/>
      <c r="BL43" s="767"/>
      <c r="BM43" s="767"/>
      <c r="BN43" s="1196"/>
      <c r="BO43" s="1196"/>
      <c r="BP43" s="727"/>
      <c r="BQ43" s="727"/>
      <c r="BR43" s="727"/>
      <c r="BS43" s="727"/>
      <c r="BT43" s="728"/>
      <c r="BU43" s="424"/>
      <c r="BZ43" s="283">
        <f t="shared" si="4"/>
        <v>0</v>
      </c>
    </row>
    <row r="44" spans="1:78" ht="15" customHeight="1" x14ac:dyDescent="0.25">
      <c r="A44" s="1163"/>
      <c r="B44" s="767"/>
      <c r="C44" s="767"/>
      <c r="D44" s="767"/>
      <c r="E44" s="767"/>
      <c r="F44" s="767"/>
      <c r="G44" s="767"/>
      <c r="H44" s="767"/>
      <c r="I44" s="724" t="s">
        <v>86</v>
      </c>
      <c r="J44" s="724"/>
      <c r="K44" s="724"/>
      <c r="L44" s="724"/>
      <c r="M44" s="767">
        <f>SUM(I39:L42,U39:X43)</f>
        <v>0</v>
      </c>
      <c r="N44" s="767"/>
      <c r="O44" s="767"/>
      <c r="P44" s="767"/>
      <c r="Q44" s="767"/>
      <c r="R44" s="767"/>
      <c r="S44" s="767"/>
      <c r="T44" s="767"/>
      <c r="U44" s="767"/>
      <c r="V44" s="767"/>
      <c r="W44" s="767"/>
      <c r="X44" s="768"/>
      <c r="Y44" s="733"/>
      <c r="Z44" s="733"/>
      <c r="AA44" s="733"/>
      <c r="AB44" s="733"/>
      <c r="AC44" s="733"/>
      <c r="AD44" s="733"/>
      <c r="AE44" s="733"/>
      <c r="AF44" s="733"/>
      <c r="AG44" s="733"/>
      <c r="AH44" s="733"/>
      <c r="AI44" s="733"/>
      <c r="AJ44" s="733"/>
      <c r="AK44" s="733"/>
      <c r="AL44" s="733"/>
      <c r="AM44" s="733"/>
      <c r="AN44" s="733"/>
      <c r="AO44" s="733"/>
      <c r="AP44" s="733"/>
      <c r="AQ44" s="733"/>
      <c r="AR44" s="733"/>
      <c r="AS44" s="733"/>
      <c r="AT44" s="733"/>
      <c r="AU44" s="733"/>
      <c r="AV44" s="733"/>
      <c r="AW44" s="842"/>
      <c r="AX44" s="818"/>
      <c r="AY44" s="818"/>
      <c r="AZ44" s="818"/>
      <c r="BA44" s="818"/>
      <c r="BB44" s="818"/>
      <c r="BC44" s="381"/>
      <c r="BD44" s="291">
        <f t="shared" si="1"/>
        <v>0</v>
      </c>
      <c r="BE44" s="767" t="str">
        <f>IF(AW44="","",HLOOKUP(AW44,AssociatedRef!$AP$1:$BZ$123,LOOKUP($CE$2,AssociatedRef!$AP$2:$AP$123,AssociatedRef!$AQ$2:$AQ$123),FALSE))</f>
        <v/>
      </c>
      <c r="BF44" s="767"/>
      <c r="BG44" s="381" t="s">
        <v>347</v>
      </c>
      <c r="BH44" s="292" t="str">
        <f t="shared" si="2"/>
        <v/>
      </c>
      <c r="BI44" s="1163"/>
      <c r="BJ44" s="767"/>
      <c r="BK44" s="767"/>
      <c r="BL44" s="767"/>
      <c r="BM44" s="767"/>
      <c r="BN44" s="1196"/>
      <c r="BO44" s="1196"/>
      <c r="BP44" s="727"/>
      <c r="BQ44" s="727"/>
      <c r="BR44" s="727"/>
      <c r="BS44" s="727"/>
      <c r="BT44" s="728"/>
      <c r="BU44" s="424"/>
      <c r="BZ44" s="283">
        <f t="shared" si="4"/>
        <v>0</v>
      </c>
    </row>
    <row r="45" spans="1:78" ht="15" customHeight="1" x14ac:dyDescent="0.25">
      <c r="A45" s="1163"/>
      <c r="B45" s="767"/>
      <c r="C45" s="767"/>
      <c r="D45" s="767"/>
      <c r="E45" s="767"/>
      <c r="F45" s="767"/>
      <c r="G45" s="767"/>
      <c r="H45" s="767"/>
      <c r="I45" s="724" t="s">
        <v>32</v>
      </c>
      <c r="J45" s="724"/>
      <c r="K45" s="724"/>
      <c r="L45" s="724"/>
      <c r="M45" s="767">
        <f>15-M44</f>
        <v>15</v>
      </c>
      <c r="N45" s="767"/>
      <c r="O45" s="767"/>
      <c r="P45" s="767"/>
      <c r="Q45" s="767"/>
      <c r="R45" s="767"/>
      <c r="S45" s="767"/>
      <c r="T45" s="767"/>
      <c r="U45" s="767"/>
      <c r="V45" s="767"/>
      <c r="W45" s="767"/>
      <c r="X45" s="768"/>
      <c r="Y45" s="733"/>
      <c r="Z45" s="733"/>
      <c r="AA45" s="733"/>
      <c r="AB45" s="733"/>
      <c r="AC45" s="733"/>
      <c r="AD45" s="733"/>
      <c r="AE45" s="733"/>
      <c r="AF45" s="733"/>
      <c r="AG45" s="733"/>
      <c r="AH45" s="733"/>
      <c r="AI45" s="733"/>
      <c r="AJ45" s="733"/>
      <c r="AK45" s="733"/>
      <c r="AL45" s="733"/>
      <c r="AM45" s="733"/>
      <c r="AN45" s="733"/>
      <c r="AO45" s="733"/>
      <c r="AP45" s="733"/>
      <c r="AQ45" s="733"/>
      <c r="AR45" s="733"/>
      <c r="AS45" s="733"/>
      <c r="AT45" s="733"/>
      <c r="AU45" s="733"/>
      <c r="AV45" s="733"/>
      <c r="AW45" s="842"/>
      <c r="AX45" s="818"/>
      <c r="AY45" s="818"/>
      <c r="AZ45" s="818"/>
      <c r="BA45" s="818"/>
      <c r="BB45" s="818"/>
      <c r="BC45" s="381"/>
      <c r="BD45" s="291">
        <f t="shared" si="1"/>
        <v>0</v>
      </c>
      <c r="BE45" s="767" t="str">
        <f>IF(AW45="","",HLOOKUP(AW45,AssociatedRef!$AP$1:$BZ$123,LOOKUP($CE$2,AssociatedRef!$AP$2:$AP$123,AssociatedRef!$AQ$2:$AQ$123),FALSE))</f>
        <v/>
      </c>
      <c r="BF45" s="767"/>
      <c r="BG45" s="381" t="s">
        <v>347</v>
      </c>
      <c r="BH45" s="292" t="str">
        <f t="shared" si="2"/>
        <v/>
      </c>
      <c r="BI45" s="1163"/>
      <c r="BJ45" s="767"/>
      <c r="BK45" s="767"/>
      <c r="BL45" s="767"/>
      <c r="BM45" s="767"/>
      <c r="BN45" s="1196"/>
      <c r="BO45" s="1196"/>
      <c r="BP45" s="727"/>
      <c r="BQ45" s="727"/>
      <c r="BR45" s="727"/>
      <c r="BS45" s="727"/>
      <c r="BT45" s="728"/>
      <c r="BU45" s="424"/>
      <c r="BZ45" s="283">
        <f t="shared" si="4"/>
        <v>0</v>
      </c>
    </row>
    <row r="46" spans="1:78" ht="15" customHeight="1" thickBot="1" x14ac:dyDescent="0.3">
      <c r="A46" s="1176"/>
      <c r="B46" s="804"/>
      <c r="C46" s="804"/>
      <c r="D46" s="804"/>
      <c r="E46" s="804"/>
      <c r="F46" s="804"/>
      <c r="G46" s="804"/>
      <c r="H46" s="804"/>
      <c r="I46" s="803" t="s">
        <v>29</v>
      </c>
      <c r="J46" s="803"/>
      <c r="K46" s="803"/>
      <c r="L46" s="803"/>
      <c r="M46" s="804" t="str">
        <f>IF(M45=0,"Yes","No")</f>
        <v>No</v>
      </c>
      <c r="N46" s="804"/>
      <c r="O46" s="804"/>
      <c r="P46" s="804"/>
      <c r="Q46" s="804"/>
      <c r="R46" s="804"/>
      <c r="S46" s="804"/>
      <c r="T46" s="804"/>
      <c r="U46" s="804"/>
      <c r="V46" s="804"/>
      <c r="W46" s="804"/>
      <c r="X46" s="817"/>
      <c r="Y46" s="1195"/>
      <c r="Z46" s="1195"/>
      <c r="AA46" s="1195"/>
      <c r="AB46" s="1195"/>
      <c r="AC46" s="1195"/>
      <c r="AD46" s="1195"/>
      <c r="AE46" s="1195"/>
      <c r="AF46" s="1195"/>
      <c r="AG46" s="1195"/>
      <c r="AH46" s="1195"/>
      <c r="AI46" s="1195"/>
      <c r="AJ46" s="1195"/>
      <c r="AK46" s="1195"/>
      <c r="AL46" s="1195"/>
      <c r="AM46" s="1195"/>
      <c r="AN46" s="1195"/>
      <c r="AO46" s="1195"/>
      <c r="AP46" s="1195"/>
      <c r="AQ46" s="1195"/>
      <c r="AR46" s="1195"/>
      <c r="AS46" s="1195"/>
      <c r="AT46" s="1195"/>
      <c r="AU46" s="1195"/>
      <c r="AV46" s="1195"/>
      <c r="AW46" s="1194"/>
      <c r="AX46" s="845"/>
      <c r="AY46" s="845"/>
      <c r="AZ46" s="845"/>
      <c r="BA46" s="845"/>
      <c r="BB46" s="845"/>
      <c r="BC46" s="379"/>
      <c r="BD46" s="301">
        <f t="shared" si="1"/>
        <v>0</v>
      </c>
      <c r="BE46" s="804" t="str">
        <f>IF(AW46="","",HLOOKUP(AW46,AssociatedRef!$AP$1:$BZ$123,LOOKUP($CE$2,AssociatedRef!$AP$2:$AP$123,AssociatedRef!$AQ$2:$AQ$123),FALSE))</f>
        <v/>
      </c>
      <c r="BF46" s="804"/>
      <c r="BG46" s="379" t="s">
        <v>347</v>
      </c>
      <c r="BH46" s="302" t="str">
        <f t="shared" si="2"/>
        <v/>
      </c>
      <c r="BI46" s="1176"/>
      <c r="BJ46" s="804"/>
      <c r="BK46" s="804"/>
      <c r="BL46" s="804"/>
      <c r="BM46" s="804"/>
      <c r="BN46" s="1197"/>
      <c r="BO46" s="1197"/>
      <c r="BP46" s="865"/>
      <c r="BQ46" s="865"/>
      <c r="BR46" s="865"/>
      <c r="BS46" s="865"/>
      <c r="BT46" s="921"/>
      <c r="BU46" s="424"/>
      <c r="BZ46" s="283">
        <f t="shared" si="4"/>
        <v>0</v>
      </c>
    </row>
    <row r="54" spans="78:78" ht="15" customHeight="1" x14ac:dyDescent="0.25">
      <c r="BZ54" s="421"/>
    </row>
    <row r="55" spans="78:78" ht="15" customHeight="1" x14ac:dyDescent="0.25">
      <c r="BZ55" s="421"/>
    </row>
    <row r="56" spans="78:78" ht="15" customHeight="1" x14ac:dyDescent="0.25">
      <c r="BZ56" s="421"/>
    </row>
    <row r="57" spans="78:78" ht="15" customHeight="1" x14ac:dyDescent="0.25">
      <c r="BZ57" s="421"/>
    </row>
    <row r="58" spans="78:78" ht="15" customHeight="1" x14ac:dyDescent="0.25">
      <c r="BZ58" s="421"/>
    </row>
    <row r="59" spans="78:78" ht="15" customHeight="1" x14ac:dyDescent="0.25">
      <c r="BZ59" s="421"/>
    </row>
    <row r="60" spans="78:78" ht="15" customHeight="1" x14ac:dyDescent="0.25">
      <c r="BZ60" s="421"/>
    </row>
    <row r="61" spans="78:78" ht="15" customHeight="1" x14ac:dyDescent="0.25">
      <c r="BZ61" s="421"/>
    </row>
    <row r="62" spans="78:78" ht="15" customHeight="1" x14ac:dyDescent="0.25">
      <c r="BZ62" s="421"/>
    </row>
    <row r="63" spans="78:78" ht="15" customHeight="1" x14ac:dyDescent="0.25">
      <c r="BZ63" s="421"/>
    </row>
    <row r="64" spans="78:78" ht="15" customHeight="1" x14ac:dyDescent="0.25">
      <c r="BZ64" s="421"/>
    </row>
    <row r="65" spans="78:78" ht="15" customHeight="1" x14ac:dyDescent="0.25">
      <c r="BZ65" s="421"/>
    </row>
    <row r="66" spans="78:78" ht="15" customHeight="1" x14ac:dyDescent="0.25">
      <c r="BZ66" s="421"/>
    </row>
    <row r="67" spans="78:78" ht="15" customHeight="1" x14ac:dyDescent="0.25">
      <c r="BZ67" s="421"/>
    </row>
    <row r="68" spans="78:78" ht="15" customHeight="1" x14ac:dyDescent="0.25">
      <c r="BZ68" s="421"/>
    </row>
    <row r="69" spans="78:78" ht="15" customHeight="1" x14ac:dyDescent="0.25">
      <c r="BZ69" s="421"/>
    </row>
    <row r="70" spans="78:78" ht="15" customHeight="1" x14ac:dyDescent="0.25">
      <c r="BZ70" s="421"/>
    </row>
    <row r="71" spans="78:78" ht="15" customHeight="1" x14ac:dyDescent="0.25">
      <c r="BZ71" s="421"/>
    </row>
    <row r="72" spans="78:78" ht="15" customHeight="1" x14ac:dyDescent="0.25">
      <c r="BZ72" s="421"/>
    </row>
    <row r="73" spans="78:78" ht="15" customHeight="1" x14ac:dyDescent="0.25">
      <c r="BZ73" s="421"/>
    </row>
    <row r="74" spans="78:78" ht="15" customHeight="1" x14ac:dyDescent="0.25">
      <c r="BZ74" s="421"/>
    </row>
    <row r="75" spans="78:78" ht="15" customHeight="1" x14ac:dyDescent="0.25">
      <c r="BZ75" s="421"/>
    </row>
  </sheetData>
  <sheetProtection password="E9C2" sheet="1" objects="1" scenarios="1" selectLockedCells="1"/>
  <mergeCells count="604">
    <mergeCell ref="U20:X20"/>
    <mergeCell ref="U21:X21"/>
    <mergeCell ref="U22:X22"/>
    <mergeCell ref="U23:X23"/>
    <mergeCell ref="U24:X24"/>
    <mergeCell ref="A22:D22"/>
    <mergeCell ref="E22:H22"/>
    <mergeCell ref="A21:D21"/>
    <mergeCell ref="E21:F21"/>
    <mergeCell ref="G21:H21"/>
    <mergeCell ref="I21:L21"/>
    <mergeCell ref="M21:P21"/>
    <mergeCell ref="A23:D23"/>
    <mergeCell ref="E23:H23"/>
    <mergeCell ref="M23:P23"/>
    <mergeCell ref="Q23:T23"/>
    <mergeCell ref="AF26:AG26"/>
    <mergeCell ref="AH26:AI26"/>
    <mergeCell ref="AF27:AG27"/>
    <mergeCell ref="A43:H46"/>
    <mergeCell ref="M25:X26"/>
    <mergeCell ref="M34:T35"/>
    <mergeCell ref="I34:L35"/>
    <mergeCell ref="I28:L29"/>
    <mergeCell ref="I22:L23"/>
    <mergeCell ref="A24:L24"/>
    <mergeCell ref="A30:L30"/>
    <mergeCell ref="A25:D25"/>
    <mergeCell ref="E25:F25"/>
    <mergeCell ref="G25:H25"/>
    <mergeCell ref="I25:L25"/>
    <mergeCell ref="Y25:AB25"/>
    <mergeCell ref="AC25:AE25"/>
    <mergeCell ref="I27:L27"/>
    <mergeCell ref="AC27:AE27"/>
    <mergeCell ref="M24:P24"/>
    <mergeCell ref="Y24:AB24"/>
    <mergeCell ref="AC24:AE24"/>
    <mergeCell ref="Q24:T24"/>
    <mergeCell ref="AC26:AE26"/>
    <mergeCell ref="AJ8:AM8"/>
    <mergeCell ref="AN8:AS8"/>
    <mergeCell ref="AJ7:AM7"/>
    <mergeCell ref="AT7:AV7"/>
    <mergeCell ref="Y38:AE38"/>
    <mergeCell ref="AF38:AV38"/>
    <mergeCell ref="Y34:AE35"/>
    <mergeCell ref="AF34:AV35"/>
    <mergeCell ref="Y36:AE37"/>
    <mergeCell ref="AF36:AV37"/>
    <mergeCell ref="AJ16:AM16"/>
    <mergeCell ref="AJ19:AM19"/>
    <mergeCell ref="AC18:AE18"/>
    <mergeCell ref="AJ17:AM17"/>
    <mergeCell ref="AC17:AE17"/>
    <mergeCell ref="AF17:AG17"/>
    <mergeCell ref="AH17:AI17"/>
    <mergeCell ref="Y16:AB16"/>
    <mergeCell ref="AN17:AS17"/>
    <mergeCell ref="AT17:AV17"/>
    <mergeCell ref="AJ18:AM18"/>
    <mergeCell ref="AN18:AS18"/>
    <mergeCell ref="AC29:AE29"/>
    <mergeCell ref="Y26:AB26"/>
    <mergeCell ref="AN7:AS7"/>
    <mergeCell ref="BI11:BJ11"/>
    <mergeCell ref="BK11:BL11"/>
    <mergeCell ref="BI12:BJ12"/>
    <mergeCell ref="BK12:BL12"/>
    <mergeCell ref="CA1:CD1"/>
    <mergeCell ref="CE1:CH1"/>
    <mergeCell ref="CA2:CD2"/>
    <mergeCell ref="CE2:CH2"/>
    <mergeCell ref="AW9:BB9"/>
    <mergeCell ref="BE9:BF9"/>
    <mergeCell ref="AN9:AS9"/>
    <mergeCell ref="AW7:BB7"/>
    <mergeCell ref="BE7:BF7"/>
    <mergeCell ref="AT8:AV8"/>
    <mergeCell ref="AW8:BB8"/>
    <mergeCell ref="BE8:BF8"/>
    <mergeCell ref="BI6:BJ6"/>
    <mergeCell ref="BK6:BL6"/>
    <mergeCell ref="BI7:BJ7"/>
    <mergeCell ref="BK7:BL7"/>
    <mergeCell ref="BI8:BJ8"/>
    <mergeCell ref="BK8:BL8"/>
    <mergeCell ref="BI3:BJ3"/>
    <mergeCell ref="A16:L17"/>
    <mergeCell ref="M16:X17"/>
    <mergeCell ref="AF9:AG9"/>
    <mergeCell ref="AH9:AI9"/>
    <mergeCell ref="Y12:AB12"/>
    <mergeCell ref="AC4:AE4"/>
    <mergeCell ref="AF4:AG4"/>
    <mergeCell ref="A3:X11"/>
    <mergeCell ref="A12:D12"/>
    <mergeCell ref="O12:R12"/>
    <mergeCell ref="Y5:AB5"/>
    <mergeCell ref="Y4:AB4"/>
    <mergeCell ref="AC9:AE9"/>
    <mergeCell ref="AF16:AG16"/>
    <mergeCell ref="AH16:AI16"/>
    <mergeCell ref="AC16:AE16"/>
    <mergeCell ref="Y14:AB14"/>
    <mergeCell ref="Y15:AB15"/>
    <mergeCell ref="S12:X12"/>
    <mergeCell ref="S13:X13"/>
    <mergeCell ref="E12:N12"/>
    <mergeCell ref="E13:N13"/>
    <mergeCell ref="BG3:BH3"/>
    <mergeCell ref="BO4:BP4"/>
    <mergeCell ref="AW1:BH2"/>
    <mergeCell ref="BI1:BT2"/>
    <mergeCell ref="AN1:AV2"/>
    <mergeCell ref="BM3:BN3"/>
    <mergeCell ref="BO3:BP3"/>
    <mergeCell ref="BQ3:BR3"/>
    <mergeCell ref="BS3:BT3"/>
    <mergeCell ref="BQ4:BR4"/>
    <mergeCell ref="BS4:BT4"/>
    <mergeCell ref="BM4:BN4"/>
    <mergeCell ref="AN4:AT4"/>
    <mergeCell ref="AU4:AV4"/>
    <mergeCell ref="AW4:BB4"/>
    <mergeCell ref="BE4:BF4"/>
    <mergeCell ref="AW3:BB3"/>
    <mergeCell ref="BC3:BD3"/>
    <mergeCell ref="BE3:BF3"/>
    <mergeCell ref="BK4:BL4"/>
    <mergeCell ref="AN3:AT3"/>
    <mergeCell ref="AU3:AV3"/>
    <mergeCell ref="BK3:BL3"/>
    <mergeCell ref="BI4:BJ4"/>
    <mergeCell ref="A1:D1"/>
    <mergeCell ref="E1:H1"/>
    <mergeCell ref="I1:L2"/>
    <mergeCell ref="M1:X2"/>
    <mergeCell ref="Y1:AM2"/>
    <mergeCell ref="A2:D2"/>
    <mergeCell ref="E2:H2"/>
    <mergeCell ref="Y3:AB3"/>
    <mergeCell ref="AC3:AE3"/>
    <mergeCell ref="AF3:AG3"/>
    <mergeCell ref="AH3:AI3"/>
    <mergeCell ref="AJ3:AM3"/>
    <mergeCell ref="BS5:BT5"/>
    <mergeCell ref="BM5:BN5"/>
    <mergeCell ref="BO5:BP5"/>
    <mergeCell ref="BQ5:BR5"/>
    <mergeCell ref="AH4:AI4"/>
    <mergeCell ref="AJ4:AM4"/>
    <mergeCell ref="A13:D13"/>
    <mergeCell ref="O13:R13"/>
    <mergeCell ref="Y6:AB6"/>
    <mergeCell ref="AC6:AE6"/>
    <mergeCell ref="AF6:AG6"/>
    <mergeCell ref="AW5:BB5"/>
    <mergeCell ref="BE5:BF5"/>
    <mergeCell ref="AC5:AE5"/>
    <mergeCell ref="AF5:AG5"/>
    <mergeCell ref="AH5:AI5"/>
    <mergeCell ref="AJ5:AM5"/>
    <mergeCell ref="AN5:AS5"/>
    <mergeCell ref="AT5:AV5"/>
    <mergeCell ref="BM6:BN6"/>
    <mergeCell ref="BO6:BP6"/>
    <mergeCell ref="BQ6:BR6"/>
    <mergeCell ref="BI5:BJ5"/>
    <mergeCell ref="BK5:BL5"/>
    <mergeCell ref="BS6:BT6"/>
    <mergeCell ref="A14:X15"/>
    <mergeCell ref="Y7:AB7"/>
    <mergeCell ref="AC7:AE7"/>
    <mergeCell ref="AF7:AG7"/>
    <mergeCell ref="AH7:AI7"/>
    <mergeCell ref="AH6:AI6"/>
    <mergeCell ref="AJ6:AM6"/>
    <mergeCell ref="AN6:AS6"/>
    <mergeCell ref="AT6:AV6"/>
    <mergeCell ref="AW6:BB6"/>
    <mergeCell ref="BE6:BF6"/>
    <mergeCell ref="BM7:BN7"/>
    <mergeCell ref="BO7:BP7"/>
    <mergeCell ref="BQ7:BR7"/>
    <mergeCell ref="BS7:BT7"/>
    <mergeCell ref="Y8:AB8"/>
    <mergeCell ref="AC8:AE8"/>
    <mergeCell ref="AF8:AG8"/>
    <mergeCell ref="AH8:AI8"/>
    <mergeCell ref="BQ8:BR8"/>
    <mergeCell ref="BS8:BT8"/>
    <mergeCell ref="Y9:AB9"/>
    <mergeCell ref="BM8:BN8"/>
    <mergeCell ref="BO8:BP8"/>
    <mergeCell ref="BS10:BT10"/>
    <mergeCell ref="BQ9:BR9"/>
    <mergeCell ref="BS9:BT9"/>
    <mergeCell ref="Y10:AB10"/>
    <mergeCell ref="AC10:AE10"/>
    <mergeCell ref="AF10:AG10"/>
    <mergeCell ref="AH10:AI10"/>
    <mergeCell ref="BM9:BN9"/>
    <mergeCell ref="BO9:BP9"/>
    <mergeCell ref="BE10:BF10"/>
    <mergeCell ref="BM10:BN10"/>
    <mergeCell ref="BO10:BP10"/>
    <mergeCell ref="BQ10:BR10"/>
    <mergeCell ref="BI9:BJ9"/>
    <mergeCell ref="BK9:BL9"/>
    <mergeCell ref="BI10:BJ10"/>
    <mergeCell ref="BK10:BL10"/>
    <mergeCell ref="AJ10:AM10"/>
    <mergeCell ref="AN10:AS10"/>
    <mergeCell ref="AT10:AV10"/>
    <mergeCell ref="AW10:BB10"/>
    <mergeCell ref="AT9:AV9"/>
    <mergeCell ref="AJ9:AM9"/>
    <mergeCell ref="BM12:BN12"/>
    <mergeCell ref="BO12:BP12"/>
    <mergeCell ref="AC13:AE13"/>
    <mergeCell ref="AF13:AG13"/>
    <mergeCell ref="AH13:AI13"/>
    <mergeCell ref="BO16:BP16"/>
    <mergeCell ref="BO17:BP17"/>
    <mergeCell ref="AW13:BB13"/>
    <mergeCell ref="BE13:BF13"/>
    <mergeCell ref="BI13:BL13"/>
    <mergeCell ref="AJ13:AM13"/>
    <mergeCell ref="AN16:AS16"/>
    <mergeCell ref="AT16:AV16"/>
    <mergeCell ref="AT12:AV12"/>
    <mergeCell ref="AW12:BB12"/>
    <mergeCell ref="BE12:BF12"/>
    <mergeCell ref="AC12:AE12"/>
    <mergeCell ref="AF12:AG12"/>
    <mergeCell ref="AH12:AI12"/>
    <mergeCell ref="AH14:AI14"/>
    <mergeCell ref="AW16:BB16"/>
    <mergeCell ref="BE16:BF16"/>
    <mergeCell ref="BI16:BN16"/>
    <mergeCell ref="AJ14:AM14"/>
    <mergeCell ref="BM11:BN11"/>
    <mergeCell ref="BO11:BP11"/>
    <mergeCell ref="BQ11:BR11"/>
    <mergeCell ref="BS11:BT11"/>
    <mergeCell ref="A19:D19"/>
    <mergeCell ref="E19:F19"/>
    <mergeCell ref="G19:H19"/>
    <mergeCell ref="I19:L19"/>
    <mergeCell ref="M19:P19"/>
    <mergeCell ref="Q19:T19"/>
    <mergeCell ref="AJ11:AM11"/>
    <mergeCell ref="AN11:AS11"/>
    <mergeCell ref="AT11:AV11"/>
    <mergeCell ref="AW11:BB11"/>
    <mergeCell ref="BE11:BF11"/>
    <mergeCell ref="Y11:AB11"/>
    <mergeCell ref="AC11:AE11"/>
    <mergeCell ref="AF11:AG11"/>
    <mergeCell ref="AH11:AI11"/>
    <mergeCell ref="A18:D18"/>
    <mergeCell ref="BQ12:BR12"/>
    <mergeCell ref="BS12:BT12"/>
    <mergeCell ref="AJ12:AM12"/>
    <mergeCell ref="AN12:AS12"/>
    <mergeCell ref="BS13:BT13"/>
    <mergeCell ref="AN13:AS13"/>
    <mergeCell ref="AT13:AV13"/>
    <mergeCell ref="Y13:AB13"/>
    <mergeCell ref="BM13:BN13"/>
    <mergeCell ref="BO13:BP13"/>
    <mergeCell ref="BQ13:BR13"/>
    <mergeCell ref="AC15:AE15"/>
    <mergeCell ref="AF15:AG15"/>
    <mergeCell ref="AH15:AI15"/>
    <mergeCell ref="AJ15:AM15"/>
    <mergeCell ref="AN15:AS15"/>
    <mergeCell ref="AT15:AV15"/>
    <mergeCell ref="BO14:BP15"/>
    <mergeCell ref="BQ14:BT17"/>
    <mergeCell ref="AN14:AS14"/>
    <mergeCell ref="AT14:AV14"/>
    <mergeCell ref="AW14:BB14"/>
    <mergeCell ref="BE14:BF14"/>
    <mergeCell ref="BI14:BN15"/>
    <mergeCell ref="AW15:BB15"/>
    <mergeCell ref="BE15:BF15"/>
    <mergeCell ref="AC14:AE14"/>
    <mergeCell ref="AF14:AG14"/>
    <mergeCell ref="BE22:BF22"/>
    <mergeCell ref="G18:H18"/>
    <mergeCell ref="I18:L18"/>
    <mergeCell ref="M18:P18"/>
    <mergeCell ref="Q18:T18"/>
    <mergeCell ref="A20:D20"/>
    <mergeCell ref="E20:F20"/>
    <mergeCell ref="G20:H20"/>
    <mergeCell ref="I20:L20"/>
    <mergeCell ref="E18:F18"/>
    <mergeCell ref="Y18:AB18"/>
    <mergeCell ref="U18:X18"/>
    <mergeCell ref="U19:X19"/>
    <mergeCell ref="Q21:T21"/>
    <mergeCell ref="M20:P20"/>
    <mergeCell ref="Q20:T20"/>
    <mergeCell ref="AT18:AV18"/>
    <mergeCell ref="AW18:BB18"/>
    <mergeCell ref="AW19:BB19"/>
    <mergeCell ref="BE19:BF19"/>
    <mergeCell ref="AT21:AV21"/>
    <mergeCell ref="Y19:AB19"/>
    <mergeCell ref="AF18:AG18"/>
    <mergeCell ref="AH18:AI18"/>
    <mergeCell ref="AW17:BB17"/>
    <mergeCell ref="BE17:BF17"/>
    <mergeCell ref="AW21:BB21"/>
    <mergeCell ref="BE21:BF21"/>
    <mergeCell ref="Y17:AB17"/>
    <mergeCell ref="BI17:BN17"/>
    <mergeCell ref="AC19:AE19"/>
    <mergeCell ref="AF19:AG19"/>
    <mergeCell ref="AJ24:AM24"/>
    <mergeCell ref="AN24:AS24"/>
    <mergeCell ref="AT24:AV24"/>
    <mergeCell ref="AH19:AI19"/>
    <mergeCell ref="BE20:BF20"/>
    <mergeCell ref="BI20:BL20"/>
    <mergeCell ref="AN19:AS19"/>
    <mergeCell ref="AT19:AV19"/>
    <mergeCell ref="BN20:BO20"/>
    <mergeCell ref="BI22:BL22"/>
    <mergeCell ref="AF23:AG23"/>
    <mergeCell ref="AH23:AI23"/>
    <mergeCell ref="AH24:AI24"/>
    <mergeCell ref="AF24:AG24"/>
    <mergeCell ref="BE18:BF18"/>
    <mergeCell ref="BI18:BT19"/>
    <mergeCell ref="Y20:AB20"/>
    <mergeCell ref="AC20:AE20"/>
    <mergeCell ref="AJ21:AM21"/>
    <mergeCell ref="AN21:AS21"/>
    <mergeCell ref="AN23:AS23"/>
    <mergeCell ref="M22:P22"/>
    <mergeCell ref="Q22:T22"/>
    <mergeCell ref="BP20:BT20"/>
    <mergeCell ref="AT20:AV20"/>
    <mergeCell ref="AW20:BB20"/>
    <mergeCell ref="BI21:BL21"/>
    <mergeCell ref="BP21:BT21"/>
    <mergeCell ref="Y23:AB23"/>
    <mergeCell ref="AC23:AE23"/>
    <mergeCell ref="Y21:AB21"/>
    <mergeCell ref="AC21:AE21"/>
    <mergeCell ref="AF21:AG21"/>
    <mergeCell ref="AF20:AG20"/>
    <mergeCell ref="AH20:AI20"/>
    <mergeCell ref="AJ20:AM20"/>
    <mergeCell ref="AN20:AS20"/>
    <mergeCell ref="Y22:AB22"/>
    <mergeCell ref="AC22:AE22"/>
    <mergeCell ref="AH21:AI21"/>
    <mergeCell ref="BP24:BT24"/>
    <mergeCell ref="AF25:AG25"/>
    <mergeCell ref="AH25:AI25"/>
    <mergeCell ref="AW24:BB24"/>
    <mergeCell ref="BE24:BF24"/>
    <mergeCell ref="BI24:BL24"/>
    <mergeCell ref="BP25:BT25"/>
    <mergeCell ref="AJ25:AM25"/>
    <mergeCell ref="AN25:AS25"/>
    <mergeCell ref="AT25:AV25"/>
    <mergeCell ref="AW25:BB25"/>
    <mergeCell ref="BP22:BT22"/>
    <mergeCell ref="M30:P30"/>
    <mergeCell ref="Q30:R30"/>
    <mergeCell ref="S30:T30"/>
    <mergeCell ref="AF22:AG22"/>
    <mergeCell ref="AH22:AI22"/>
    <mergeCell ref="AJ22:AM22"/>
    <mergeCell ref="AN22:AS22"/>
    <mergeCell ref="AT22:AV22"/>
    <mergeCell ref="AW22:BB22"/>
    <mergeCell ref="AT23:AV23"/>
    <mergeCell ref="AW23:BB23"/>
    <mergeCell ref="BE23:BF23"/>
    <mergeCell ref="BI23:BL23"/>
    <mergeCell ref="BP23:BT23"/>
    <mergeCell ref="AJ23:AM23"/>
    <mergeCell ref="U30:V30"/>
    <mergeCell ref="W30:X30"/>
    <mergeCell ref="M27:T28"/>
    <mergeCell ref="Y27:AB27"/>
    <mergeCell ref="M29:P29"/>
    <mergeCell ref="Q29:R29"/>
    <mergeCell ref="S29:T29"/>
    <mergeCell ref="U29:V29"/>
    <mergeCell ref="BE30:BF30"/>
    <mergeCell ref="AJ30:AM30"/>
    <mergeCell ref="AF29:AG29"/>
    <mergeCell ref="AH29:AI29"/>
    <mergeCell ref="Y28:AB28"/>
    <mergeCell ref="AC28:AE28"/>
    <mergeCell ref="A26:D26"/>
    <mergeCell ref="A33:D33"/>
    <mergeCell ref="E33:F33"/>
    <mergeCell ref="G33:H33"/>
    <mergeCell ref="I33:L33"/>
    <mergeCell ref="M33:P33"/>
    <mergeCell ref="Q33:R33"/>
    <mergeCell ref="S33:T33"/>
    <mergeCell ref="A29:D29"/>
    <mergeCell ref="E29:H29"/>
    <mergeCell ref="A27:D27"/>
    <mergeCell ref="E27:F27"/>
    <mergeCell ref="G27:H27"/>
    <mergeCell ref="W29:X29"/>
    <mergeCell ref="Y29:AB29"/>
    <mergeCell ref="A28:D28"/>
    <mergeCell ref="E28:H28"/>
    <mergeCell ref="U27:X28"/>
    <mergeCell ref="BP28:BT28"/>
    <mergeCell ref="AJ28:AM28"/>
    <mergeCell ref="AN28:AS28"/>
    <mergeCell ref="BI26:BL26"/>
    <mergeCell ref="AN27:AS27"/>
    <mergeCell ref="AT27:AV27"/>
    <mergeCell ref="AH27:AI27"/>
    <mergeCell ref="E34:H34"/>
    <mergeCell ref="E26:F26"/>
    <mergeCell ref="G26:H26"/>
    <mergeCell ref="I26:L26"/>
    <mergeCell ref="AT28:AV28"/>
    <mergeCell ref="AW28:BB28"/>
    <mergeCell ref="BE28:BF28"/>
    <mergeCell ref="BI28:BL28"/>
    <mergeCell ref="AN30:AS30"/>
    <mergeCell ref="AJ29:AM29"/>
    <mergeCell ref="AN29:AS29"/>
    <mergeCell ref="AT29:AV29"/>
    <mergeCell ref="AW29:BB29"/>
    <mergeCell ref="BE29:BF29"/>
    <mergeCell ref="BI29:BT30"/>
    <mergeCell ref="AT30:AV30"/>
    <mergeCell ref="AW30:BB30"/>
    <mergeCell ref="AT26:AV26"/>
    <mergeCell ref="AW26:BB26"/>
    <mergeCell ref="BE26:BF26"/>
    <mergeCell ref="BP27:BT27"/>
    <mergeCell ref="AJ27:AM27"/>
    <mergeCell ref="BE25:BF25"/>
    <mergeCell ref="BI25:BL25"/>
    <mergeCell ref="BP26:BT26"/>
    <mergeCell ref="AJ26:AM26"/>
    <mergeCell ref="AN26:AS26"/>
    <mergeCell ref="AW27:BB27"/>
    <mergeCell ref="BE27:BF27"/>
    <mergeCell ref="BI27:BL27"/>
    <mergeCell ref="AF28:AG28"/>
    <mergeCell ref="AH28:AI28"/>
    <mergeCell ref="A35:D35"/>
    <mergeCell ref="E35:H35"/>
    <mergeCell ref="Y30:AB30"/>
    <mergeCell ref="AC30:AE30"/>
    <mergeCell ref="AF30:AG30"/>
    <mergeCell ref="AH30:AI30"/>
    <mergeCell ref="Q31:R31"/>
    <mergeCell ref="S31:T31"/>
    <mergeCell ref="A31:D31"/>
    <mergeCell ref="U31:X35"/>
    <mergeCell ref="A32:D32"/>
    <mergeCell ref="E32:F32"/>
    <mergeCell ref="G32:H32"/>
    <mergeCell ref="I32:L32"/>
    <mergeCell ref="M32:P32"/>
    <mergeCell ref="Q32:R32"/>
    <mergeCell ref="S32:T32"/>
    <mergeCell ref="A34:D34"/>
    <mergeCell ref="BE33:BF33"/>
    <mergeCell ref="BI33:BL33"/>
    <mergeCell ref="BP35:BT35"/>
    <mergeCell ref="A36:X37"/>
    <mergeCell ref="AN33:AS33"/>
    <mergeCell ref="AT33:AV33"/>
    <mergeCell ref="BN31:BO31"/>
    <mergeCell ref="BP31:BT31"/>
    <mergeCell ref="BI31:BL31"/>
    <mergeCell ref="AT31:AV31"/>
    <mergeCell ref="AW31:BB31"/>
    <mergeCell ref="BE31:BF31"/>
    <mergeCell ref="Y31:AB31"/>
    <mergeCell ref="AC31:AE31"/>
    <mergeCell ref="AF31:AG31"/>
    <mergeCell ref="AH31:AI31"/>
    <mergeCell ref="AJ31:AM31"/>
    <mergeCell ref="AN31:AS31"/>
    <mergeCell ref="E31:F31"/>
    <mergeCell ref="G31:H31"/>
    <mergeCell ref="I31:L31"/>
    <mergeCell ref="M31:P31"/>
    <mergeCell ref="AT32:AV32"/>
    <mergeCell ref="AW32:BB32"/>
    <mergeCell ref="BE32:BF32"/>
    <mergeCell ref="BI32:BL32"/>
    <mergeCell ref="BP32:BT32"/>
    <mergeCell ref="Y32:AB32"/>
    <mergeCell ref="AC32:AE32"/>
    <mergeCell ref="AF32:AG32"/>
    <mergeCell ref="AH32:AI32"/>
    <mergeCell ref="AJ32:AM32"/>
    <mergeCell ref="AN32:AS32"/>
    <mergeCell ref="AW33:BB33"/>
    <mergeCell ref="A40:D40"/>
    <mergeCell ref="E40:H40"/>
    <mergeCell ref="I40:L40"/>
    <mergeCell ref="M40:P40"/>
    <mergeCell ref="Q40:T40"/>
    <mergeCell ref="BP34:BT34"/>
    <mergeCell ref="BP37:BT37"/>
    <mergeCell ref="A41:D41"/>
    <mergeCell ref="E41:H41"/>
    <mergeCell ref="I41:L41"/>
    <mergeCell ref="M41:P41"/>
    <mergeCell ref="Q41:T41"/>
    <mergeCell ref="U41:X41"/>
    <mergeCell ref="AW34:BB34"/>
    <mergeCell ref="BE34:BF34"/>
    <mergeCell ref="BI34:BL34"/>
    <mergeCell ref="BP33:BT33"/>
    <mergeCell ref="U40:X40"/>
    <mergeCell ref="Y33:AB33"/>
    <mergeCell ref="AC33:AE33"/>
    <mergeCell ref="AF33:AG33"/>
    <mergeCell ref="AH33:AI33"/>
    <mergeCell ref="AJ33:AM33"/>
    <mergeCell ref="AW35:BB35"/>
    <mergeCell ref="BE35:BF35"/>
    <mergeCell ref="BI35:BL35"/>
    <mergeCell ref="A42:D42"/>
    <mergeCell ref="E42:H42"/>
    <mergeCell ref="I42:L42"/>
    <mergeCell ref="M42:P42"/>
    <mergeCell ref="Q42:T42"/>
    <mergeCell ref="BI39:BL39"/>
    <mergeCell ref="U42:X42"/>
    <mergeCell ref="A39:D39"/>
    <mergeCell ref="E39:H39"/>
    <mergeCell ref="I39:L39"/>
    <mergeCell ref="M39:P39"/>
    <mergeCell ref="Q39:T39"/>
    <mergeCell ref="U39:X39"/>
    <mergeCell ref="A38:D38"/>
    <mergeCell ref="E38:H38"/>
    <mergeCell ref="I38:L38"/>
    <mergeCell ref="M38:P38"/>
    <mergeCell ref="Q38:T38"/>
    <mergeCell ref="U38:X38"/>
    <mergeCell ref="AW36:BB36"/>
    <mergeCell ref="BE36:BF36"/>
    <mergeCell ref="BI36:BL36"/>
    <mergeCell ref="BP36:BT36"/>
    <mergeCell ref="I44:L44"/>
    <mergeCell ref="M44:P44"/>
    <mergeCell ref="Q44:X46"/>
    <mergeCell ref="BP39:BT39"/>
    <mergeCell ref="AW37:BB37"/>
    <mergeCell ref="BE37:BF37"/>
    <mergeCell ref="BI37:BL37"/>
    <mergeCell ref="AW40:BB40"/>
    <mergeCell ref="BE40:BF40"/>
    <mergeCell ref="BI40:BL40"/>
    <mergeCell ref="AW38:BB38"/>
    <mergeCell ref="BE38:BF38"/>
    <mergeCell ref="BI38:BL38"/>
    <mergeCell ref="BP38:BT38"/>
    <mergeCell ref="I46:L46"/>
    <mergeCell ref="M46:P46"/>
    <mergeCell ref="AW39:BB39"/>
    <mergeCell ref="BE39:BF39"/>
    <mergeCell ref="I43:L43"/>
    <mergeCell ref="M43:P43"/>
    <mergeCell ref="U43:X43"/>
    <mergeCell ref="BN40:BN46"/>
    <mergeCell ref="I45:L45"/>
    <mergeCell ref="M45:P45"/>
    <mergeCell ref="Q43:T43"/>
    <mergeCell ref="BO40:BO46"/>
    <mergeCell ref="BP40:BT46"/>
    <mergeCell ref="AW41:BB41"/>
    <mergeCell ref="BE41:BF41"/>
    <mergeCell ref="BI41:BL41"/>
    <mergeCell ref="BE45:BF45"/>
    <mergeCell ref="AW46:BB46"/>
    <mergeCell ref="BE46:BF46"/>
    <mergeCell ref="AW42:BB42"/>
    <mergeCell ref="BE42:BF42"/>
    <mergeCell ref="BI42:BL42"/>
    <mergeCell ref="AW43:BB43"/>
    <mergeCell ref="BE43:BF43"/>
    <mergeCell ref="BI43:BM46"/>
    <mergeCell ref="AW44:BB44"/>
    <mergeCell ref="BE44:BF44"/>
    <mergeCell ref="AW45:BB45"/>
    <mergeCell ref="Y39:AV46"/>
  </mergeCells>
  <conditionalFormatting sqref="E22:H22 E28:H28 E34:H34">
    <cfRule type="expression" dxfId="183" priority="265">
      <formula>NOT($M$1="Prioritize Your Attribute Groups")</formula>
    </cfRule>
    <cfRule type="notContainsText" dxfId="182" priority="266" operator="notContains" text="Select">
      <formula>ISERROR(SEARCH("Select",E22))</formula>
    </cfRule>
    <cfRule type="expression" dxfId="181" priority="267">
      <formula>$M$1="Prioritize Your Attribute Groups"</formula>
    </cfRule>
  </conditionalFormatting>
  <conditionalFormatting sqref="E22:H22">
    <cfRule type="expression" dxfId="180" priority="264">
      <formula>AND(NOT($E$22="Select"),OR($E$22=$E$28,$E$22=$E$34))</formula>
    </cfRule>
  </conditionalFormatting>
  <conditionalFormatting sqref="E28:H28">
    <cfRule type="expression" dxfId="179" priority="263">
      <formula>AND(NOT($E$28="Select"),OR($E$22=$E$28,$E$28=$E$34))</formula>
    </cfRule>
  </conditionalFormatting>
  <conditionalFormatting sqref="E34:H34">
    <cfRule type="expression" dxfId="178" priority="262">
      <formula>AND(NOT($E$34="Select"),OR($E$34=$E$28,$E$22=$E$34))</formula>
    </cfRule>
  </conditionalFormatting>
  <conditionalFormatting sqref="AW4:BC46">
    <cfRule type="expression" dxfId="177" priority="259">
      <formula>$BO$17="yes"</formula>
    </cfRule>
    <cfRule type="expression" dxfId="176" priority="261">
      <formula>$M$1="Select Advantages"</formula>
    </cfRule>
  </conditionalFormatting>
  <conditionalFormatting sqref="AW4:BC46">
    <cfRule type="notContainsBlanks" dxfId="175" priority="257">
      <formula>LEN(TRIM(AW4))&gt;0</formula>
    </cfRule>
    <cfRule type="notContainsBlanks" dxfId="174" priority="260">
      <formula>LEN(TRIM(AW4))&gt;0</formula>
    </cfRule>
  </conditionalFormatting>
  <conditionalFormatting sqref="BC4:BC46">
    <cfRule type="cellIs" dxfId="173" priority="94" operator="greaterThan">
      <formula>$AU$3+$AU$4-1</formula>
    </cfRule>
  </conditionalFormatting>
  <conditionalFormatting sqref="I19:L21 I25:L27 I31:L33 S30:T33 W30:X30 AU4:AV4 AN6:AS33 AW4:BC46 BN21:BO21 BN32:BO39 AF4:AG4">
    <cfRule type="expression" dxfId="172" priority="258">
      <formula>$M$1="Spend Bonus Points"</formula>
    </cfRule>
  </conditionalFormatting>
  <conditionalFormatting sqref="G31:H33">
    <cfRule type="expression" dxfId="171" priority="1">
      <formula>IF($E$35&lt;0,1,0)=1</formula>
    </cfRule>
    <cfRule type="expression" dxfId="170" priority="230">
      <formula>NOT($M$1="Select Mental Attributes")</formula>
    </cfRule>
    <cfRule type="expression" dxfId="169" priority="238">
      <formula>$M$1="Select Mental Attributes"</formula>
    </cfRule>
  </conditionalFormatting>
  <conditionalFormatting sqref="G25:H27">
    <cfRule type="expression" dxfId="168" priority="2">
      <formula>IF($E$29&lt;0,1,0)=1</formula>
    </cfRule>
    <cfRule type="expression" dxfId="167" priority="227">
      <formula>NOT($M$1="Select Social Attributes")</formula>
    </cfRule>
    <cfRule type="expression" dxfId="166" priority="237">
      <formula>$M$1="Select Social Attributes"</formula>
    </cfRule>
  </conditionalFormatting>
  <conditionalFormatting sqref="G19:H21">
    <cfRule type="expression" dxfId="165" priority="3">
      <formula>IF($E$23&lt;0,1,0)=1</formula>
    </cfRule>
    <cfRule type="expression" dxfId="164" priority="224">
      <formula>NOT($M$1="Select Physical Attributes")</formula>
    </cfRule>
    <cfRule type="expression" dxfId="163" priority="236">
      <formula>$M$1="Select Physical Attributes"</formula>
    </cfRule>
  </conditionalFormatting>
  <conditionalFormatting sqref="S30:T30">
    <cfRule type="expression" dxfId="162" priority="192">
      <formula>$S$30+$Q$30&gt;5</formula>
    </cfRule>
    <cfRule type="expression" dxfId="161" priority="193">
      <formula>$S$30+$Q$30=5</formula>
    </cfRule>
  </conditionalFormatting>
  <conditionalFormatting sqref="S31:T31">
    <cfRule type="expression" dxfId="160" priority="190">
      <formula>$S$31+$Q$31&gt;5</formula>
    </cfRule>
    <cfRule type="expression" dxfId="159" priority="191">
      <formula>$S$31+$Q$31=5</formula>
    </cfRule>
  </conditionalFormatting>
  <conditionalFormatting sqref="S32:T32">
    <cfRule type="expression" dxfId="158" priority="188">
      <formula>$S$32+$Q$32&gt;5</formula>
    </cfRule>
    <cfRule type="expression" dxfId="157" priority="189">
      <formula>$S$32+$Q$32=5</formula>
    </cfRule>
  </conditionalFormatting>
  <conditionalFormatting sqref="S33:T33">
    <cfRule type="expression" dxfId="156" priority="186">
      <formula>$S$33+$Q$33&gt;5</formula>
    </cfRule>
    <cfRule type="expression" dxfId="155" priority="187">
      <formula>$S$33+$Q$33=5</formula>
    </cfRule>
  </conditionalFormatting>
  <conditionalFormatting sqref="AF4:AG4">
    <cfRule type="expression" dxfId="154" priority="184">
      <formula>$AF$4+$AC$4&gt;5</formula>
    </cfRule>
    <cfRule type="expression" dxfId="153" priority="185">
      <formula>AC4+AF4=5</formula>
    </cfRule>
  </conditionalFormatting>
  <conditionalFormatting sqref="AF5:AG5">
    <cfRule type="expression" dxfId="152" priority="183">
      <formula>$M$1="Spend Bonus Points"</formula>
    </cfRule>
  </conditionalFormatting>
  <conditionalFormatting sqref="AF5:AG5">
    <cfRule type="expression" dxfId="151" priority="181">
      <formula>$AF$4+$AC$4&gt;5</formula>
    </cfRule>
    <cfRule type="expression" dxfId="150" priority="182">
      <formula>AC5+AF5=5</formula>
    </cfRule>
  </conditionalFormatting>
  <conditionalFormatting sqref="AF6:AG6">
    <cfRule type="expression" dxfId="149" priority="180">
      <formula>$M$1="Spend Bonus Points"</formula>
    </cfRule>
  </conditionalFormatting>
  <conditionalFormatting sqref="AF6:AG6">
    <cfRule type="expression" dxfId="148" priority="178">
      <formula>$AF$4+$AC$4&gt;5</formula>
    </cfRule>
    <cfRule type="expression" dxfId="147" priority="179">
      <formula>AC6+AF6=5</formula>
    </cfRule>
  </conditionalFormatting>
  <conditionalFormatting sqref="AF7:AG7">
    <cfRule type="expression" dxfId="146" priority="177">
      <formula>$M$1="Spend Bonus Points"</formula>
    </cfRule>
  </conditionalFormatting>
  <conditionalFormatting sqref="AF7:AG7">
    <cfRule type="expression" dxfId="145" priority="175">
      <formula>$AF$4+$AC$4&gt;5</formula>
    </cfRule>
    <cfRule type="expression" dxfId="144" priority="176">
      <formula>AC7+AF7=5</formula>
    </cfRule>
  </conditionalFormatting>
  <conditionalFormatting sqref="AF8:AG8">
    <cfRule type="expression" dxfId="143" priority="174">
      <formula>$M$1="Spend Bonus Points"</formula>
    </cfRule>
  </conditionalFormatting>
  <conditionalFormatting sqref="AF8:AG8">
    <cfRule type="expression" dxfId="142" priority="172">
      <formula>$AF$4+$AC$4&gt;5</formula>
    </cfRule>
    <cfRule type="expression" dxfId="141" priority="173">
      <formula>AC8+AF8=5</formula>
    </cfRule>
  </conditionalFormatting>
  <conditionalFormatting sqref="AF9:AG9">
    <cfRule type="expression" dxfId="140" priority="171">
      <formula>$M$1="Spend Bonus Points"</formula>
    </cfRule>
  </conditionalFormatting>
  <conditionalFormatting sqref="AF9:AG9">
    <cfRule type="expression" dxfId="139" priority="169">
      <formula>$AF$4+$AC$4&gt;5</formula>
    </cfRule>
    <cfRule type="expression" dxfId="138" priority="170">
      <formula>AC9+AF9=5</formula>
    </cfRule>
  </conditionalFormatting>
  <conditionalFormatting sqref="AF10:AG10">
    <cfRule type="expression" dxfId="137" priority="168">
      <formula>$M$1="Spend Bonus Points"</formula>
    </cfRule>
  </conditionalFormatting>
  <conditionalFormatting sqref="AF10:AG10">
    <cfRule type="expression" dxfId="136" priority="166">
      <formula>$AF$4+$AC$4&gt;5</formula>
    </cfRule>
    <cfRule type="expression" dxfId="135" priority="167">
      <formula>AC10+AF10=5</formula>
    </cfRule>
  </conditionalFormatting>
  <conditionalFormatting sqref="AF11:AG11">
    <cfRule type="expression" dxfId="134" priority="165">
      <formula>$M$1="Spend Bonus Points"</formula>
    </cfRule>
  </conditionalFormatting>
  <conditionalFormatting sqref="AF11:AG11">
    <cfRule type="expression" dxfId="133" priority="163">
      <formula>$AF$4+$AC$4&gt;5</formula>
    </cfRule>
    <cfRule type="expression" dxfId="132" priority="164">
      <formula>AC11+AF11=5</formula>
    </cfRule>
  </conditionalFormatting>
  <conditionalFormatting sqref="AF12:AG12">
    <cfRule type="expression" dxfId="131" priority="162">
      <formula>$M$1="Spend Bonus Points"</formula>
    </cfRule>
  </conditionalFormatting>
  <conditionalFormatting sqref="AF12:AG12">
    <cfRule type="expression" dxfId="130" priority="160">
      <formula>$AF$4+$AC$4&gt;5</formula>
    </cfRule>
    <cfRule type="expression" dxfId="129" priority="161">
      <formula>AC12+AF12=5</formula>
    </cfRule>
  </conditionalFormatting>
  <conditionalFormatting sqref="AF13:AG13">
    <cfRule type="expression" dxfId="128" priority="159">
      <formula>$M$1="Spend Bonus Points"</formula>
    </cfRule>
  </conditionalFormatting>
  <conditionalFormatting sqref="AF13:AG13">
    <cfRule type="expression" dxfId="127" priority="157">
      <formula>$AF$4+$AC$4&gt;5</formula>
    </cfRule>
    <cfRule type="expression" dxfId="126" priority="158">
      <formula>AC13+AF13=5</formula>
    </cfRule>
  </conditionalFormatting>
  <conditionalFormatting sqref="AF14:AG14">
    <cfRule type="expression" dxfId="125" priority="156">
      <formula>$M$1="Spend Bonus Points"</formula>
    </cfRule>
  </conditionalFormatting>
  <conditionalFormatting sqref="AF14:AG14">
    <cfRule type="expression" dxfId="124" priority="154">
      <formula>$AF$4+$AC$4&gt;5</formula>
    </cfRule>
    <cfRule type="expression" dxfId="123" priority="155">
      <formula>AC14+AF14=5</formula>
    </cfRule>
  </conditionalFormatting>
  <conditionalFormatting sqref="AF15:AG15">
    <cfRule type="expression" dxfId="122" priority="153">
      <formula>$M$1="Spend Bonus Points"</formula>
    </cfRule>
  </conditionalFormatting>
  <conditionalFormatting sqref="AF15:AG15">
    <cfRule type="expression" dxfId="121" priority="151">
      <formula>$AF$4+$AC$4&gt;5</formula>
    </cfRule>
    <cfRule type="expression" dxfId="120" priority="152">
      <formula>AC15+AF15=5</formula>
    </cfRule>
  </conditionalFormatting>
  <conditionalFormatting sqref="AF16:AG16">
    <cfRule type="expression" dxfId="119" priority="150">
      <formula>$M$1="Spend Bonus Points"</formula>
    </cfRule>
  </conditionalFormatting>
  <conditionalFormatting sqref="AF16:AG16">
    <cfRule type="expression" dxfId="118" priority="148">
      <formula>$AF$4+$AC$4&gt;5</formula>
    </cfRule>
    <cfRule type="expression" dxfId="117" priority="149">
      <formula>AC16+AF16=5</formula>
    </cfRule>
  </conditionalFormatting>
  <conditionalFormatting sqref="AF17:AG17">
    <cfRule type="expression" dxfId="116" priority="147">
      <formula>$M$1="Spend Bonus Points"</formula>
    </cfRule>
  </conditionalFormatting>
  <conditionalFormatting sqref="AF17:AG17">
    <cfRule type="expression" dxfId="115" priority="145">
      <formula>$AF$4+$AC$4&gt;5</formula>
    </cfRule>
    <cfRule type="expression" dxfId="114" priority="146">
      <formula>AC17+AF17=5</formula>
    </cfRule>
  </conditionalFormatting>
  <conditionalFormatting sqref="AF18:AG18">
    <cfRule type="expression" dxfId="113" priority="144">
      <formula>$M$1="Spend Bonus Points"</formula>
    </cfRule>
  </conditionalFormatting>
  <conditionalFormatting sqref="AF18:AG18">
    <cfRule type="expression" dxfId="112" priority="142">
      <formula>$AF$4+$AC$4&gt;5</formula>
    </cfRule>
    <cfRule type="expression" dxfId="111" priority="143">
      <formula>AC18+AF18=5</formula>
    </cfRule>
  </conditionalFormatting>
  <conditionalFormatting sqref="AF19:AG19">
    <cfRule type="expression" dxfId="110" priority="141">
      <formula>$M$1="Spend Bonus Points"</formula>
    </cfRule>
  </conditionalFormatting>
  <conditionalFormatting sqref="AF19:AG19">
    <cfRule type="expression" dxfId="109" priority="139">
      <formula>$AF$4+$AC$4&gt;5</formula>
    </cfRule>
    <cfRule type="expression" dxfId="108" priority="140">
      <formula>AC19+AF19=5</formula>
    </cfRule>
  </conditionalFormatting>
  <conditionalFormatting sqref="AF20:AG20">
    <cfRule type="expression" dxfId="107" priority="138">
      <formula>$M$1="Spend Bonus Points"</formula>
    </cfRule>
  </conditionalFormatting>
  <conditionalFormatting sqref="AF20:AG20">
    <cfRule type="expression" dxfId="106" priority="136">
      <formula>$AF$4+$AC$4&gt;5</formula>
    </cfRule>
    <cfRule type="expression" dxfId="105" priority="137">
      <formula>AC20+AF20=5</formula>
    </cfRule>
  </conditionalFormatting>
  <conditionalFormatting sqref="AF21:AG21">
    <cfRule type="expression" dxfId="104" priority="135">
      <formula>$M$1="Spend Bonus Points"</formula>
    </cfRule>
  </conditionalFormatting>
  <conditionalFormatting sqref="AF21:AG21">
    <cfRule type="expression" dxfId="103" priority="133">
      <formula>$AF$4+$AC$4&gt;5</formula>
    </cfRule>
    <cfRule type="expression" dxfId="102" priority="134">
      <formula>AC21+AF21=5</formula>
    </cfRule>
  </conditionalFormatting>
  <conditionalFormatting sqref="AF22:AG22">
    <cfRule type="expression" dxfId="101" priority="132">
      <formula>$M$1="Spend Bonus Points"</formula>
    </cfRule>
  </conditionalFormatting>
  <conditionalFormatting sqref="AF22:AG22">
    <cfRule type="expression" dxfId="100" priority="130">
      <formula>$AF$4+$AC$4&gt;5</formula>
    </cfRule>
    <cfRule type="expression" dxfId="99" priority="131">
      <formula>AC22+AF22=5</formula>
    </cfRule>
  </conditionalFormatting>
  <conditionalFormatting sqref="AF23:AG23">
    <cfRule type="expression" dxfId="98" priority="129">
      <formula>$M$1="Spend Bonus Points"</formula>
    </cfRule>
  </conditionalFormatting>
  <conditionalFormatting sqref="AF23:AG23">
    <cfRule type="expression" dxfId="97" priority="127">
      <formula>$AF$4+$AC$4&gt;5</formula>
    </cfRule>
    <cfRule type="expression" dxfId="96" priority="128">
      <formula>AC23+AF23=5</formula>
    </cfRule>
  </conditionalFormatting>
  <conditionalFormatting sqref="AF24:AG24">
    <cfRule type="expression" dxfId="95" priority="126">
      <formula>$M$1="Spend Bonus Points"</formula>
    </cfRule>
  </conditionalFormatting>
  <conditionalFormatting sqref="AF24:AG24">
    <cfRule type="expression" dxfId="94" priority="124">
      <formula>$AF$4+$AC$4&gt;5</formula>
    </cfRule>
    <cfRule type="expression" dxfId="93" priority="125">
      <formula>AC24+AF24=5</formula>
    </cfRule>
  </conditionalFormatting>
  <conditionalFormatting sqref="AF25:AG25">
    <cfRule type="expression" dxfId="92" priority="123">
      <formula>$M$1="Spend Bonus Points"</formula>
    </cfRule>
  </conditionalFormatting>
  <conditionalFormatting sqref="AF25:AG25">
    <cfRule type="expression" dxfId="91" priority="121">
      <formula>$AF$4+$AC$4&gt;5</formula>
    </cfRule>
    <cfRule type="expression" dxfId="90" priority="122">
      <formula>AC25+AF25=5</formula>
    </cfRule>
  </conditionalFormatting>
  <conditionalFormatting sqref="AF26:AG26">
    <cfRule type="expression" dxfId="89" priority="120">
      <formula>$M$1="Spend Bonus Points"</formula>
    </cfRule>
  </conditionalFormatting>
  <conditionalFormatting sqref="AF26:AG26">
    <cfRule type="expression" dxfId="88" priority="118">
      <formula>$AF$4+$AC$4&gt;5</formula>
    </cfRule>
    <cfRule type="expression" dxfId="87" priority="119">
      <formula>AC26+AF26=5</formula>
    </cfRule>
  </conditionalFormatting>
  <conditionalFormatting sqref="AF27:AG27">
    <cfRule type="expression" dxfId="86" priority="117">
      <formula>$M$1="Spend Bonus Points"</formula>
    </cfRule>
  </conditionalFormatting>
  <conditionalFormatting sqref="AF27:AG27">
    <cfRule type="expression" dxfId="85" priority="115">
      <formula>$AF$4+$AC$4&gt;5</formula>
    </cfRule>
    <cfRule type="expression" dxfId="84" priority="116">
      <formula>AC27+AF27=5</formula>
    </cfRule>
  </conditionalFormatting>
  <conditionalFormatting sqref="AF28:AG28">
    <cfRule type="expression" dxfId="83" priority="114">
      <formula>$M$1="Spend Bonus Points"</formula>
    </cfRule>
  </conditionalFormatting>
  <conditionalFormatting sqref="AF28:AG28">
    <cfRule type="expression" dxfId="82" priority="112">
      <formula>$AF$4+$AC$4&gt;5</formula>
    </cfRule>
    <cfRule type="expression" dxfId="81" priority="113">
      <formula>AC28+AF28=5</formula>
    </cfRule>
  </conditionalFormatting>
  <conditionalFormatting sqref="AF29:AG29">
    <cfRule type="expression" dxfId="80" priority="111">
      <formula>$M$1="Spend Bonus Points"</formula>
    </cfRule>
  </conditionalFormatting>
  <conditionalFormatting sqref="AF29:AG29">
    <cfRule type="expression" dxfId="79" priority="109">
      <formula>$AF$4+$AC$4&gt;5</formula>
    </cfRule>
    <cfRule type="expression" dxfId="78" priority="110">
      <formula>AC29+AF29=5</formula>
    </cfRule>
  </conditionalFormatting>
  <conditionalFormatting sqref="AF30:AG30">
    <cfRule type="expression" dxfId="77" priority="108">
      <formula>$M$1="Spend Bonus Points"</formula>
    </cfRule>
  </conditionalFormatting>
  <conditionalFormatting sqref="AF30:AG30">
    <cfRule type="expression" dxfId="76" priority="106">
      <formula>$AF$4+$AC$4&gt;5</formula>
    </cfRule>
    <cfRule type="expression" dxfId="75" priority="107">
      <formula>AC30+AF30=5</formula>
    </cfRule>
  </conditionalFormatting>
  <conditionalFormatting sqref="AF31:AG31">
    <cfRule type="expression" dxfId="74" priority="105">
      <formula>$M$1="Spend Bonus Points"</formula>
    </cfRule>
  </conditionalFormatting>
  <conditionalFormatting sqref="AF31:AG31">
    <cfRule type="expression" dxfId="73" priority="103">
      <formula>$AF$4+$AC$4&gt;5</formula>
    </cfRule>
    <cfRule type="expression" dxfId="72" priority="104">
      <formula>AC31+AF31=5</formula>
    </cfRule>
  </conditionalFormatting>
  <conditionalFormatting sqref="AF32:AG32">
    <cfRule type="expression" dxfId="71" priority="102">
      <formula>$M$1="Spend Bonus Points"</formula>
    </cfRule>
  </conditionalFormatting>
  <conditionalFormatting sqref="AF32:AG32">
    <cfRule type="expression" dxfId="70" priority="100">
      <formula>$AF$4+$AC$4&gt;5</formula>
    </cfRule>
    <cfRule type="expression" dxfId="69" priority="101">
      <formula>AC32+AF32=5</formula>
    </cfRule>
  </conditionalFormatting>
  <conditionalFormatting sqref="AF33:AG33">
    <cfRule type="expression" dxfId="68" priority="99">
      <formula>$M$1="Spend Bonus Points"</formula>
    </cfRule>
  </conditionalFormatting>
  <conditionalFormatting sqref="AF33:AG33">
    <cfRule type="expression" dxfId="67" priority="97">
      <formula>$AF$4+$AC$4&gt;5</formula>
    </cfRule>
    <cfRule type="expression" dxfId="66" priority="98">
      <formula>AC33+AF33=5</formula>
    </cfRule>
  </conditionalFormatting>
  <conditionalFormatting sqref="AN6:AS33">
    <cfRule type="notContainsBlanks" dxfId="65" priority="96">
      <formula>LEN(TRIM(AN6))&gt;0</formula>
    </cfRule>
  </conditionalFormatting>
  <conditionalFormatting sqref="AU4:AV4">
    <cfRule type="expression" dxfId="64" priority="95">
      <formula>$AU$4+$AU$3&gt;12</formula>
    </cfRule>
  </conditionalFormatting>
  <conditionalFormatting sqref="BN22:BO22">
    <cfRule type="expression" dxfId="63" priority="62">
      <formula>$M$1="Spend Bonus Points"</formula>
    </cfRule>
  </conditionalFormatting>
  <conditionalFormatting sqref="BN21">
    <cfRule type="expression" dxfId="62" priority="65">
      <formula>BN21+BM21&gt;3</formula>
    </cfRule>
    <cfRule type="expression" dxfId="61" priority="66">
      <formula>BM21+BN21=3</formula>
    </cfRule>
  </conditionalFormatting>
  <conditionalFormatting sqref="BO21">
    <cfRule type="expression" dxfId="60" priority="63">
      <formula>BM21+BN21+BO21&gt;5</formula>
    </cfRule>
    <cfRule type="expression" dxfId="59" priority="64">
      <formula>BM21+BN21+BO21=5</formula>
    </cfRule>
  </conditionalFormatting>
  <conditionalFormatting sqref="BN22">
    <cfRule type="expression" dxfId="58" priority="60">
      <formula>BN22+BM22&gt;3</formula>
    </cfRule>
    <cfRule type="expression" dxfId="57" priority="61">
      <formula>BM22+BN22=3</formula>
    </cfRule>
  </conditionalFormatting>
  <conditionalFormatting sqref="BO22">
    <cfRule type="expression" dxfId="56" priority="58">
      <formula>BM22+BN22+BO22&gt;5</formula>
    </cfRule>
    <cfRule type="expression" dxfId="55" priority="59">
      <formula>BM22+BN22+BO22=5</formula>
    </cfRule>
  </conditionalFormatting>
  <conditionalFormatting sqref="BN23:BO23">
    <cfRule type="expression" dxfId="54" priority="57">
      <formula>$M$1="Spend Bonus Points"</formula>
    </cfRule>
  </conditionalFormatting>
  <conditionalFormatting sqref="BN23">
    <cfRule type="expression" dxfId="53" priority="55">
      <formula>BN23+BM23&gt;3</formula>
    </cfRule>
    <cfRule type="expression" dxfId="52" priority="56">
      <formula>BM23+BN23=3</formula>
    </cfRule>
  </conditionalFormatting>
  <conditionalFormatting sqref="BO23">
    <cfRule type="expression" dxfId="51" priority="53">
      <formula>BM23+BN23+BO23&gt;5</formula>
    </cfRule>
    <cfRule type="expression" dxfId="50" priority="54">
      <formula>BM23+BN23+BO23=5</formula>
    </cfRule>
  </conditionalFormatting>
  <conditionalFormatting sqref="BN24:BO24">
    <cfRule type="expression" dxfId="49" priority="52">
      <formula>$M$1="Spend Bonus Points"</formula>
    </cfRule>
  </conditionalFormatting>
  <conditionalFormatting sqref="BN24">
    <cfRule type="expression" dxfId="48" priority="50">
      <formula>BN24+BM24&gt;3</formula>
    </cfRule>
    <cfRule type="expression" dxfId="47" priority="51">
      <formula>BM24+BN24=3</formula>
    </cfRule>
  </conditionalFormatting>
  <conditionalFormatting sqref="BO24">
    <cfRule type="expression" dxfId="46" priority="48">
      <formula>BM24+BN24+BO24&gt;5</formula>
    </cfRule>
    <cfRule type="expression" dxfId="45" priority="49">
      <formula>BM24+BN24+BO24=5</formula>
    </cfRule>
  </conditionalFormatting>
  <conditionalFormatting sqref="BN25:BO25">
    <cfRule type="expression" dxfId="44" priority="47">
      <formula>$M$1="Spend Bonus Points"</formula>
    </cfRule>
  </conditionalFormatting>
  <conditionalFormatting sqref="BN25">
    <cfRule type="expression" dxfId="43" priority="45">
      <formula>BN25+BM25&gt;3</formula>
    </cfRule>
    <cfRule type="expression" dxfId="42" priority="46">
      <formula>BM25+BN25=3</formula>
    </cfRule>
  </conditionalFormatting>
  <conditionalFormatting sqref="BO25">
    <cfRule type="expression" dxfId="41" priority="43">
      <formula>BM25+BN25+BO25&gt;5</formula>
    </cfRule>
    <cfRule type="expression" dxfId="40" priority="44">
      <formula>BM25+BN25+BO25=5</formula>
    </cfRule>
  </conditionalFormatting>
  <conditionalFormatting sqref="BN26:BO26">
    <cfRule type="expression" dxfId="39" priority="42">
      <formula>$M$1="Spend Bonus Points"</formula>
    </cfRule>
  </conditionalFormatting>
  <conditionalFormatting sqref="BN26">
    <cfRule type="expression" dxfId="38" priority="40">
      <formula>BN26+BM26&gt;3</formula>
    </cfRule>
    <cfRule type="expression" dxfId="37" priority="41">
      <formula>BM26+BN26=3</formula>
    </cfRule>
  </conditionalFormatting>
  <conditionalFormatting sqref="BO26">
    <cfRule type="expression" dxfId="36" priority="38">
      <formula>BM26+BN26+BO26&gt;5</formula>
    </cfRule>
    <cfRule type="expression" dxfId="35" priority="39">
      <formula>BM26+BN26+BO26=5</formula>
    </cfRule>
  </conditionalFormatting>
  <conditionalFormatting sqref="BN27:BO27">
    <cfRule type="expression" dxfId="34" priority="37">
      <formula>$M$1="Spend Bonus Points"</formula>
    </cfRule>
  </conditionalFormatting>
  <conditionalFormatting sqref="BN27">
    <cfRule type="expression" dxfId="33" priority="35">
      <formula>BN27+BM27&gt;3</formula>
    </cfRule>
    <cfRule type="expression" dxfId="32" priority="36">
      <formula>BM27+BN27=3</formula>
    </cfRule>
  </conditionalFormatting>
  <conditionalFormatting sqref="BO27">
    <cfRule type="expression" dxfId="31" priority="33">
      <formula>BM27+BN27+BO27&gt;5</formula>
    </cfRule>
    <cfRule type="expression" dxfId="30" priority="34">
      <formula>BM27+BN27+BO27=5</formula>
    </cfRule>
  </conditionalFormatting>
  <conditionalFormatting sqref="BN28:BO28">
    <cfRule type="expression" dxfId="29" priority="32">
      <formula>$M$1="Spend Bonus Points"</formula>
    </cfRule>
  </conditionalFormatting>
  <conditionalFormatting sqref="BN28">
    <cfRule type="expression" dxfId="28" priority="30">
      <formula>BN28+BM28&gt;3</formula>
    </cfRule>
    <cfRule type="expression" dxfId="27" priority="31">
      <formula>BM28+BN28=3</formula>
    </cfRule>
  </conditionalFormatting>
  <conditionalFormatting sqref="BO28">
    <cfRule type="expression" dxfId="26" priority="28">
      <formula>BM28+BN28+BO28&gt;5</formula>
    </cfRule>
    <cfRule type="expression" dxfId="25" priority="29">
      <formula>BM28+BN28+BO28=5</formula>
    </cfRule>
  </conditionalFormatting>
  <conditionalFormatting sqref="I19:L21 I25:L27 I31:L33 S30:T33 W30:X30 AF4:AG33 AN6:AS33 AU4:AV4 AW4:BC46 BN32:BO39 BN21:BO28">
    <cfRule type="expression" dxfId="24" priority="27">
      <formula>$M$45&lt;0</formula>
    </cfRule>
  </conditionalFormatting>
  <conditionalFormatting sqref="A3:AB3 E25:AB26 A24:L24 A30:AB30 E27:L28 Y27:AB28 A44:H46 A38:D38 A43:L43 Q39:BU39 M44:BM46 E39:L42 M38:P38 E29:AB29 E19:L23 A18:D18 M18:AB18 Y16:AB17 A14:AB15 S12 Q43:BM43 BP40:BU46 Q40:BH42 BM40:BM42 E31:AB33 BO13:BU17 BK4:BN12 BI3:BJ3 E34:X35 AU3:AV3 A4:AI4 AW5:BH5 AU4:BH4 AN13:BL13 Q19:T24 AN21:BU23 AN6:BH12 AN14:BH20 A5:AB11 AF5:AI23 AF29:BH31 AF24:BU28 Y12:AB13 CE1:CH2 E12:E13 AF38:BU38 AW34:BU37 Y19:AB24 BS4:BT12 AF32:BU33 BI33:BL39">
    <cfRule type="expression" dxfId="23" priority="23">
      <formula>$M$1="You're Done!"</formula>
    </cfRule>
  </conditionalFormatting>
  <conditionalFormatting sqref="BI21:BM28 BI32:BM39">
    <cfRule type="expression" dxfId="22" priority="24">
      <formula>$BM$41&lt;0</formula>
    </cfRule>
    <cfRule type="notContainsBlanks" dxfId="21" priority="25">
      <formula>LEN(TRIM(BI21))&gt;0</formula>
    </cfRule>
    <cfRule type="expression" dxfId="20" priority="26">
      <formula>$M$1="Select Birthrights"</formula>
    </cfRule>
  </conditionalFormatting>
  <conditionalFormatting sqref="AC5:AE33">
    <cfRule type="expression" dxfId="19" priority="22">
      <formula>$M$1="You're Done!"</formula>
    </cfRule>
  </conditionalFormatting>
  <conditionalFormatting sqref="S13">
    <cfRule type="expression" dxfId="18" priority="21">
      <formula>$M$1="Select Your Nature"</formula>
    </cfRule>
  </conditionalFormatting>
  <conditionalFormatting sqref="S13">
    <cfRule type="expression" dxfId="17" priority="20">
      <formula>$M$1="You're Done!"</formula>
    </cfRule>
  </conditionalFormatting>
  <conditionalFormatting sqref="AF34:AV37">
    <cfRule type="expression" dxfId="16" priority="19">
      <formula>$M$1="You're Done!"</formula>
    </cfRule>
  </conditionalFormatting>
  <conditionalFormatting sqref="U19:X24">
    <cfRule type="expression" dxfId="15" priority="18">
      <formula>$M$1="You're Done!"</formula>
    </cfRule>
  </conditionalFormatting>
  <conditionalFormatting sqref="BO4:BP12">
    <cfRule type="expression" dxfId="14" priority="16">
      <formula>$BO$17="yes"</formula>
    </cfRule>
    <cfRule type="expression" dxfId="13" priority="17">
      <formula>$M$1="Select Advantages"</formula>
    </cfRule>
  </conditionalFormatting>
  <conditionalFormatting sqref="BQ4:BR4">
    <cfRule type="expression" dxfId="12" priority="15">
      <formula>$M$1="Spend Bonus Points"</formula>
    </cfRule>
  </conditionalFormatting>
  <conditionalFormatting sqref="BQ4:BR12">
    <cfRule type="expression" dxfId="11" priority="14">
      <formula>$M$45&lt;0</formula>
    </cfRule>
  </conditionalFormatting>
  <conditionalFormatting sqref="BO4:BR12">
    <cfRule type="expression" dxfId="10" priority="13">
      <formula>$M$1="You're Done!"</formula>
    </cfRule>
  </conditionalFormatting>
  <conditionalFormatting sqref="BO4:BP12">
    <cfRule type="expression" dxfId="9" priority="11">
      <formula>IF(OR(AND($BO4+$BM4&gt;$AU$3+$AU$4,$BU4="Yes"),AND($BO4+$BM4&gt;$AU$3+$AU$4-1,$BU4="No")),1,0)=1</formula>
    </cfRule>
    <cfRule type="expression" dxfId="8" priority="12">
      <formula>IF(OR(AND($BO4+$BM4=$AU$3+$AU$4,$BU4="Yes"),AND($BO4+$BM4=$AU$3+$AU$4-1,$BU4="No")),1,0)=1</formula>
    </cfRule>
  </conditionalFormatting>
  <conditionalFormatting sqref="BQ4:BR12">
    <cfRule type="expression" dxfId="7" priority="8">
      <formula>IF(OR(AND($BO4+$BQ4+$BM4=$AU$3+$AU$4,$BU4="Yes"),AND($BO4+$BQ4+$BM4=$AU$3+$AU$4-1,$BU4="No")),1,0)=1</formula>
    </cfRule>
    <cfRule type="expression" dxfId="6" priority="9">
      <formula>IF(OR(AND($BO4+$BQ4+$BM4&gt;$AU$3+$AU$4,$BU4="Yes"),AND($BO4+$BQ4+$BM4&gt;$AU$3+$AU$4-1,$BU4="No")),1,0)=1</formula>
    </cfRule>
    <cfRule type="expression" dxfId="5" priority="10">
      <formula>$M$1="Spend Bonus Points"</formula>
    </cfRule>
  </conditionalFormatting>
  <conditionalFormatting sqref="G31:L33 G25:L27 G19:L21">
    <cfRule type="expression" dxfId="4" priority="4">
      <formula>IF($E19+$G19+$I19=$AU$3+$AU$4,1,0)=1</formula>
    </cfRule>
    <cfRule type="expression" dxfId="3" priority="5">
      <formula>IF($E19+$G19+$I19&gt;$AU$3+$AU$4,1,0)=1</formula>
    </cfRule>
  </conditionalFormatting>
  <dataValidations count="8">
    <dataValidation type="list" allowBlank="1" showInputMessage="1" showErrorMessage="1" sqref="BG4:BG46">
      <formula1>Test</formula1>
    </dataValidation>
    <dataValidation type="list" allowBlank="1" showInputMessage="1" showErrorMessage="1" sqref="AW4:BB46">
      <formula1>Purviews</formula1>
    </dataValidation>
    <dataValidation type="list" allowBlank="1" showInputMessage="1" showErrorMessage="1" sqref="E22:H22 E28:H28 E34:H34">
      <formula1>Priority</formula1>
    </dataValidation>
    <dataValidation type="list" allowBlank="1" showInputMessage="1" showErrorMessage="1" sqref="AN6:AS33">
      <formula1>Knack</formula1>
    </dataValidation>
    <dataValidation type="list" allowBlank="1" showInputMessage="1" showErrorMessage="1" sqref="Y24:AB33">
      <formula1>Special</formula1>
    </dataValidation>
    <dataValidation type="list" allowBlank="1" showInputMessage="1" showErrorMessage="1" sqref="S13">
      <formula1>Natures</formula1>
    </dataValidation>
    <dataValidation type="list" allowBlank="1" showInputMessage="1" showErrorMessage="1" sqref="BI21:BL28">
      <formula1>"Creature, Follower, Relic, Guide, Avatar, Sanctum"</formula1>
    </dataValidation>
    <dataValidation type="list" allowBlank="1" showInputMessage="1" showErrorMessage="1" sqref="BI32:BL39">
      <formula1>"Creature, Follower, Relic, Guide"</formula1>
    </dataValidation>
  </dataValidations>
  <pageMargins left="0.7" right="0.7" top="0.75" bottom="0.75" header="0.3" footer="0.3"/>
  <pageSetup orientation="portrait" r:id="rId1"/>
  <colBreaks count="2" manualBreakCount="2">
    <brk id="24" max="1048575" man="1"/>
    <brk id="48"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1"/>
  </sheetPr>
  <dimension ref="A1:BY128"/>
  <sheetViews>
    <sheetView zoomScale="90" zoomScaleNormal="90" workbookViewId="0">
      <selection activeCell="AA32" sqref="AA32"/>
    </sheetView>
  </sheetViews>
  <sheetFormatPr defaultRowHeight="15" x14ac:dyDescent="0.25"/>
  <cols>
    <col min="1" max="11" width="3.7109375" style="313" customWidth="1"/>
    <col min="12" max="12" width="6.7109375" style="313" bestFit="1" customWidth="1"/>
    <col min="13" max="18" width="3.7109375" style="313" customWidth="1"/>
    <col min="19" max="19" width="7.7109375" style="313" bestFit="1" customWidth="1"/>
    <col min="20" max="21" width="3.7109375" style="313" customWidth="1"/>
    <col min="22" max="23" width="4.7109375" style="313" customWidth="1"/>
    <col min="24" max="24" width="6" style="313" bestFit="1" customWidth="1"/>
    <col min="25" max="25" width="5.85546875" style="316" customWidth="1"/>
    <col min="26" max="26" width="18.28515625" style="313" customWidth="1"/>
    <col min="27" max="27" width="12.140625" style="313" customWidth="1"/>
    <col min="28" max="28" width="13" style="313" bestFit="1" customWidth="1"/>
    <col min="29" max="29" width="11" style="313" bestFit="1" customWidth="1"/>
    <col min="30" max="30" width="12" style="313" bestFit="1" customWidth="1"/>
    <col min="31" max="31" width="9.140625" style="313" bestFit="1" customWidth="1"/>
    <col min="32" max="32" width="13.85546875" style="313" bestFit="1" customWidth="1"/>
    <col min="33" max="33" width="9.140625" style="313"/>
    <col min="34" max="34" width="14.85546875" style="313" bestFit="1" customWidth="1"/>
    <col min="35" max="35" width="8.5703125" style="313" bestFit="1" customWidth="1"/>
    <col min="36" max="36" width="6.85546875" style="313" bestFit="1" customWidth="1"/>
    <col min="37" max="37" width="6.85546875" style="316" customWidth="1"/>
    <col min="38" max="38" width="25.7109375" style="313" bestFit="1" customWidth="1"/>
    <col min="39" max="39" width="25.140625" style="313" customWidth="1"/>
    <col min="40" max="40" width="13" style="313" bestFit="1" customWidth="1"/>
    <col min="41" max="41" width="11" style="313" bestFit="1" customWidth="1"/>
    <col min="42" max="42" width="12" style="313" bestFit="1" customWidth="1"/>
    <col min="43" max="43" width="9.140625" style="313" bestFit="1" customWidth="1"/>
    <col min="44" max="44" width="13.85546875" style="313" bestFit="1" customWidth="1"/>
    <col min="45" max="45" width="9.140625" style="313"/>
    <col min="46" max="46" width="14.85546875" style="313" bestFit="1" customWidth="1"/>
    <col min="47" max="47" width="8.5703125" style="313" bestFit="1" customWidth="1"/>
    <col min="48" max="48" width="6.85546875" style="313" bestFit="1" customWidth="1"/>
    <col min="49" max="49" width="9.140625" style="313"/>
    <col min="50" max="50" width="14.5703125" style="313" bestFit="1" customWidth="1"/>
    <col min="51" max="51" width="7.42578125" style="313" bestFit="1" customWidth="1"/>
    <col min="52" max="52" width="13.140625" style="313" bestFit="1" customWidth="1"/>
    <col min="53" max="53" width="14.28515625" style="313" bestFit="1" customWidth="1"/>
    <col min="54" max="54" width="10.85546875" style="313" bestFit="1" customWidth="1"/>
    <col min="55" max="56" width="10.85546875" style="313" customWidth="1"/>
    <col min="57" max="57" width="11.28515625" style="313" bestFit="1" customWidth="1"/>
    <col min="58" max="58" width="10.42578125" style="313" bestFit="1" customWidth="1"/>
    <col min="59" max="59" width="11.42578125" style="313" bestFit="1" customWidth="1"/>
    <col min="60" max="60" width="54.7109375" style="313" customWidth="1"/>
    <col min="61" max="62" width="27.7109375" style="313" customWidth="1"/>
    <col min="63" max="63" width="9.140625" style="313"/>
    <col min="64" max="64" width="24.7109375" style="313" customWidth="1"/>
    <col min="65" max="65" width="14.5703125" style="313" customWidth="1"/>
    <col min="66" max="66" width="7.42578125" style="313" bestFit="1" customWidth="1"/>
    <col min="67" max="67" width="13.140625" style="313" bestFit="1" customWidth="1"/>
    <col min="68" max="68" width="14.28515625" style="313" bestFit="1" customWidth="1"/>
    <col min="69" max="69" width="10.85546875" style="313" bestFit="1" customWidth="1"/>
    <col min="70" max="70" width="8.42578125" style="313" customWidth="1"/>
    <col min="71" max="71" width="10.7109375" style="313" customWidth="1"/>
    <col min="72" max="72" width="7.42578125" style="313" bestFit="1" customWidth="1"/>
    <col min="73" max="73" width="10.42578125" style="313" bestFit="1" customWidth="1"/>
    <col min="74" max="74" width="11.5703125" style="313" bestFit="1" customWidth="1"/>
    <col min="75" max="75" width="54.7109375" style="313" customWidth="1"/>
    <col min="76" max="76" width="27.7109375" style="313" customWidth="1"/>
    <col min="77" max="77" width="42.140625" style="313" customWidth="1"/>
    <col min="78" max="16384" width="9.140625" style="313"/>
  </cols>
  <sheetData>
    <row r="1" spans="1:77" ht="15" customHeight="1" thickBot="1" x14ac:dyDescent="0.3">
      <c r="A1" s="829" t="s">
        <v>694</v>
      </c>
      <c r="B1" s="820"/>
      <c r="C1" s="820"/>
      <c r="D1" s="820"/>
      <c r="E1" s="820"/>
      <c r="F1" s="820"/>
      <c r="G1" s="820"/>
      <c r="H1" s="820"/>
      <c r="I1" s="820"/>
      <c r="J1" s="820"/>
      <c r="K1" s="820"/>
      <c r="L1" s="820"/>
      <c r="M1" s="820"/>
      <c r="N1" s="820"/>
      <c r="O1" s="820"/>
      <c r="P1" s="820"/>
      <c r="Q1" s="820"/>
      <c r="R1" s="820"/>
      <c r="S1" s="820"/>
      <c r="T1" s="820"/>
      <c r="U1" s="820"/>
      <c r="V1" s="820"/>
      <c r="W1" s="820"/>
      <c r="X1" s="821"/>
      <c r="Y1" s="418"/>
      <c r="Z1" s="825" t="s">
        <v>1802</v>
      </c>
      <c r="AA1" s="826"/>
      <c r="AB1" s="826"/>
      <c r="AC1" s="826"/>
      <c r="AD1" s="826"/>
      <c r="AE1" s="826"/>
      <c r="AF1" s="826"/>
      <c r="AG1" s="826"/>
      <c r="AH1" s="835"/>
      <c r="AI1" s="425" t="s">
        <v>1803</v>
      </c>
      <c r="AJ1" s="308" t="s">
        <v>10</v>
      </c>
      <c r="AK1" s="426"/>
      <c r="AL1" s="825" t="s">
        <v>1802</v>
      </c>
      <c r="AM1" s="826"/>
      <c r="AN1" s="826"/>
      <c r="AO1" s="826"/>
      <c r="AP1" s="826"/>
      <c r="AQ1" s="826"/>
      <c r="AR1" s="826"/>
      <c r="AS1" s="826"/>
      <c r="AT1" s="835"/>
      <c r="AU1" s="425" t="s">
        <v>1803</v>
      </c>
      <c r="AV1" s="308" t="s">
        <v>10</v>
      </c>
      <c r="AX1" s="1226" t="s">
        <v>3076</v>
      </c>
      <c r="AY1" s="696"/>
      <c r="AZ1" s="696"/>
      <c r="BA1" s="696"/>
      <c r="BB1" s="696"/>
      <c r="BC1" s="696"/>
      <c r="BD1" s="696"/>
      <c r="BE1" s="696"/>
      <c r="BF1" s="696"/>
      <c r="BG1" s="696"/>
      <c r="BH1" s="696"/>
      <c r="BI1" s="696"/>
      <c r="BJ1" s="738"/>
      <c r="BL1" s="1226" t="s">
        <v>3077</v>
      </c>
      <c r="BM1" s="696"/>
      <c r="BN1" s="696"/>
      <c r="BO1" s="696"/>
      <c r="BP1" s="696"/>
      <c r="BQ1" s="696"/>
      <c r="BR1" s="696"/>
      <c r="BS1" s="696"/>
      <c r="BT1" s="696"/>
      <c r="BU1" s="696"/>
      <c r="BV1" s="696"/>
      <c r="BW1" s="696"/>
      <c r="BX1" s="696"/>
      <c r="BY1" s="738"/>
    </row>
    <row r="2" spans="1:77" ht="15" customHeight="1" thickBot="1" x14ac:dyDescent="0.3">
      <c r="A2" s="890"/>
      <c r="B2" s="823"/>
      <c r="C2" s="823"/>
      <c r="D2" s="823"/>
      <c r="E2" s="823"/>
      <c r="F2" s="823"/>
      <c r="G2" s="823"/>
      <c r="H2" s="823"/>
      <c r="I2" s="823"/>
      <c r="J2" s="823"/>
      <c r="K2" s="823"/>
      <c r="L2" s="823"/>
      <c r="M2" s="823"/>
      <c r="N2" s="823"/>
      <c r="O2" s="823"/>
      <c r="P2" s="823"/>
      <c r="Q2" s="823"/>
      <c r="R2" s="823"/>
      <c r="S2" s="823"/>
      <c r="T2" s="823"/>
      <c r="U2" s="823"/>
      <c r="V2" s="823"/>
      <c r="W2" s="823"/>
      <c r="X2" s="824"/>
      <c r="Y2" s="418"/>
      <c r="Z2" s="427" t="s">
        <v>75</v>
      </c>
      <c r="AA2" s="428" t="s">
        <v>1793</v>
      </c>
      <c r="AB2" s="427" t="s">
        <v>892</v>
      </c>
      <c r="AC2" s="182"/>
      <c r="AD2" s="429" t="s">
        <v>895</v>
      </c>
      <c r="AE2" s="182"/>
      <c r="AF2" s="429" t="s">
        <v>898</v>
      </c>
      <c r="AG2" s="183"/>
      <c r="AH2" s="430" t="s">
        <v>150</v>
      </c>
      <c r="AI2" s="121"/>
      <c r="AJ2" s="145"/>
      <c r="AK2" s="184"/>
      <c r="AL2" s="427" t="s">
        <v>75</v>
      </c>
      <c r="AM2" s="428" t="s">
        <v>1805</v>
      </c>
      <c r="AN2" s="427" t="s">
        <v>892</v>
      </c>
      <c r="AO2" s="182"/>
      <c r="AP2" s="429" t="s">
        <v>895</v>
      </c>
      <c r="AQ2" s="182"/>
      <c r="AR2" s="429" t="s">
        <v>898</v>
      </c>
      <c r="AS2" s="183"/>
      <c r="AT2" s="430" t="s">
        <v>150</v>
      </c>
      <c r="AU2" s="121"/>
      <c r="AV2" s="145"/>
      <c r="AX2" s="1126"/>
      <c r="AY2" s="1127"/>
      <c r="AZ2" s="1127"/>
      <c r="BA2" s="1127"/>
      <c r="BB2" s="1127"/>
      <c r="BC2" s="1127"/>
      <c r="BD2" s="1127"/>
      <c r="BE2" s="1127"/>
      <c r="BF2" s="1127"/>
      <c r="BG2" s="1127"/>
      <c r="BH2" s="1127"/>
      <c r="BI2" s="1127"/>
      <c r="BJ2" s="1227"/>
      <c r="BL2" s="1126"/>
      <c r="BM2" s="1127"/>
      <c r="BN2" s="1127"/>
      <c r="BO2" s="1127"/>
      <c r="BP2" s="1127"/>
      <c r="BQ2" s="1127"/>
      <c r="BR2" s="1127"/>
      <c r="BS2" s="1127"/>
      <c r="BT2" s="1127"/>
      <c r="BU2" s="1127"/>
      <c r="BV2" s="1127"/>
      <c r="BW2" s="1127"/>
      <c r="BX2" s="1127"/>
      <c r="BY2" s="1227"/>
    </row>
    <row r="3" spans="1:77" ht="15.75" thickBot="1" x14ac:dyDescent="0.3">
      <c r="A3" s="1221" t="s">
        <v>693</v>
      </c>
      <c r="B3" s="861"/>
      <c r="C3" s="861"/>
      <c r="D3" s="861" t="s">
        <v>115</v>
      </c>
      <c r="E3" s="861"/>
      <c r="F3" s="861"/>
      <c r="G3" s="861"/>
      <c r="H3" s="861"/>
      <c r="I3" s="861"/>
      <c r="J3" s="861" t="s">
        <v>75</v>
      </c>
      <c r="K3" s="861"/>
      <c r="L3" s="431" t="s">
        <v>821</v>
      </c>
      <c r="M3" s="1222" t="s">
        <v>822</v>
      </c>
      <c r="N3" s="923"/>
      <c r="O3" s="860"/>
      <c r="P3" s="861" t="s">
        <v>699</v>
      </c>
      <c r="Q3" s="861"/>
      <c r="R3" s="861"/>
      <c r="S3" s="431" t="s">
        <v>120</v>
      </c>
      <c r="T3" s="861" t="s">
        <v>116</v>
      </c>
      <c r="U3" s="861"/>
      <c r="V3" s="861" t="s">
        <v>121</v>
      </c>
      <c r="W3" s="861"/>
      <c r="X3" s="432" t="s">
        <v>695</v>
      </c>
      <c r="Y3" s="433"/>
      <c r="Z3" s="351" t="s">
        <v>0</v>
      </c>
      <c r="AA3" s="145"/>
      <c r="AB3" s="351" t="s">
        <v>893</v>
      </c>
      <c r="AC3" s="121"/>
      <c r="AD3" s="434" t="s">
        <v>896</v>
      </c>
      <c r="AE3" s="121"/>
      <c r="AF3" s="434" t="s">
        <v>899</v>
      </c>
      <c r="AG3" s="145"/>
      <c r="AH3" s="435" t="s">
        <v>151</v>
      </c>
      <c r="AI3" s="121"/>
      <c r="AJ3" s="145"/>
      <c r="AK3" s="184"/>
      <c r="AL3" s="351" t="s">
        <v>0</v>
      </c>
      <c r="AM3" s="145"/>
      <c r="AN3" s="351" t="s">
        <v>893</v>
      </c>
      <c r="AO3" s="121"/>
      <c r="AP3" s="434" t="s">
        <v>896</v>
      </c>
      <c r="AQ3" s="121"/>
      <c r="AR3" s="434" t="s">
        <v>899</v>
      </c>
      <c r="AS3" s="145"/>
      <c r="AT3" s="435" t="s">
        <v>151</v>
      </c>
      <c r="AU3" s="121"/>
      <c r="AV3" s="145"/>
      <c r="AX3" s="1126"/>
      <c r="AY3" s="1127"/>
      <c r="AZ3" s="1127"/>
      <c r="BA3" s="1127"/>
      <c r="BB3" s="1127"/>
      <c r="BC3" s="1127"/>
      <c r="BD3" s="1127"/>
      <c r="BE3" s="1127"/>
      <c r="BF3" s="1127"/>
      <c r="BG3" s="1127"/>
      <c r="BH3" s="1127"/>
      <c r="BI3" s="1127"/>
      <c r="BJ3" s="1227"/>
      <c r="BL3" s="1126"/>
      <c r="BM3" s="1127"/>
      <c r="BN3" s="1127"/>
      <c r="BO3" s="1127"/>
      <c r="BP3" s="1127"/>
      <c r="BQ3" s="1127"/>
      <c r="BR3" s="1127"/>
      <c r="BS3" s="1127"/>
      <c r="BT3" s="1127"/>
      <c r="BU3" s="1127"/>
      <c r="BV3" s="1127"/>
      <c r="BW3" s="1127"/>
      <c r="BX3" s="1127"/>
      <c r="BY3" s="1227"/>
    </row>
    <row r="4" spans="1:77" ht="27" customHeight="1" thickBot="1" x14ac:dyDescent="0.3">
      <c r="A4" s="742" t="s">
        <v>823</v>
      </c>
      <c r="B4" s="743"/>
      <c r="C4" s="743"/>
      <c r="D4" s="790"/>
      <c r="E4" s="790"/>
      <c r="F4" s="790"/>
      <c r="G4" s="790"/>
      <c r="H4" s="790"/>
      <c r="I4" s="790"/>
      <c r="J4" s="790"/>
      <c r="K4" s="790"/>
      <c r="L4" s="185"/>
      <c r="M4" s="790"/>
      <c r="N4" s="790"/>
      <c r="O4" s="790"/>
      <c r="P4" s="790"/>
      <c r="Q4" s="790"/>
      <c r="R4" s="790"/>
      <c r="S4" s="185"/>
      <c r="T4" s="790"/>
      <c r="U4" s="790"/>
      <c r="V4" s="1223"/>
      <c r="W4" s="790"/>
      <c r="X4" s="186"/>
      <c r="Y4" s="187"/>
      <c r="Z4" s="436" t="s">
        <v>77</v>
      </c>
      <c r="AA4" s="188"/>
      <c r="AB4" s="436" t="s">
        <v>894</v>
      </c>
      <c r="AC4" s="122"/>
      <c r="AD4" s="437" t="s">
        <v>897</v>
      </c>
      <c r="AE4" s="122"/>
      <c r="AF4" s="437" t="s">
        <v>900</v>
      </c>
      <c r="AG4" s="188"/>
      <c r="AH4" s="435" t="s">
        <v>152</v>
      </c>
      <c r="AI4" s="121"/>
      <c r="AJ4" s="145"/>
      <c r="AK4" s="184"/>
      <c r="AL4" s="436" t="s">
        <v>77</v>
      </c>
      <c r="AM4" s="188"/>
      <c r="AN4" s="436" t="s">
        <v>894</v>
      </c>
      <c r="AO4" s="122"/>
      <c r="AP4" s="437" t="s">
        <v>897</v>
      </c>
      <c r="AQ4" s="122"/>
      <c r="AR4" s="437" t="s">
        <v>900</v>
      </c>
      <c r="AS4" s="188"/>
      <c r="AT4" s="435" t="s">
        <v>152</v>
      </c>
      <c r="AU4" s="121"/>
      <c r="AV4" s="145"/>
      <c r="AX4" s="721" t="s">
        <v>2070</v>
      </c>
      <c r="AY4" s="722"/>
      <c r="AZ4" s="833"/>
      <c r="BA4" s="721" t="s">
        <v>2087</v>
      </c>
      <c r="BB4" s="1208" t="s">
        <v>2084</v>
      </c>
      <c r="BC4" s="1209"/>
      <c r="BD4" s="1209"/>
      <c r="BE4" s="1210"/>
      <c r="BF4" s="721" t="s">
        <v>2083</v>
      </c>
      <c r="BG4" s="722"/>
      <c r="BH4" s="841"/>
      <c r="BI4" s="913"/>
      <c r="BJ4" s="1230"/>
      <c r="BL4" s="898" t="s">
        <v>939</v>
      </c>
      <c r="BM4" s="881" t="s">
        <v>70</v>
      </c>
      <c r="BN4" s="881" t="s">
        <v>71</v>
      </c>
      <c r="BO4" s="881" t="s">
        <v>2085</v>
      </c>
      <c r="BP4" s="881" t="s">
        <v>2086</v>
      </c>
      <c r="BQ4" s="881" t="s">
        <v>3575</v>
      </c>
      <c r="BR4" s="1215" t="s">
        <v>3574</v>
      </c>
      <c r="BS4" s="1212" t="s">
        <v>3576</v>
      </c>
      <c r="BT4" s="881" t="s">
        <v>60</v>
      </c>
      <c r="BU4" s="881" t="s">
        <v>527</v>
      </c>
      <c r="BV4" s="722" t="s">
        <v>3571</v>
      </c>
      <c r="BW4" s="881" t="s">
        <v>33</v>
      </c>
      <c r="BX4" s="1212" t="s">
        <v>3605</v>
      </c>
      <c r="BY4" s="1206" t="s">
        <v>528</v>
      </c>
    </row>
    <row r="5" spans="1:77" ht="15.75" thickBot="1" x14ac:dyDescent="0.3">
      <c r="A5" s="740" t="s">
        <v>824</v>
      </c>
      <c r="B5" s="671"/>
      <c r="C5" s="671"/>
      <c r="D5" s="694"/>
      <c r="E5" s="694"/>
      <c r="F5" s="694"/>
      <c r="G5" s="694"/>
      <c r="H5" s="694"/>
      <c r="I5" s="694"/>
      <c r="J5" s="694"/>
      <c r="K5" s="694"/>
      <c r="L5" s="121"/>
      <c r="M5" s="694"/>
      <c r="N5" s="694"/>
      <c r="O5" s="694"/>
      <c r="P5" s="694"/>
      <c r="Q5" s="694"/>
      <c r="R5" s="694"/>
      <c r="S5" s="121"/>
      <c r="T5" s="694"/>
      <c r="U5" s="694"/>
      <c r="V5" s="694"/>
      <c r="W5" s="694"/>
      <c r="X5" s="145"/>
      <c r="Y5" s="184"/>
      <c r="Z5" s="349" t="s">
        <v>60</v>
      </c>
      <c r="AA5" s="189"/>
      <c r="AB5" s="438" t="s">
        <v>93</v>
      </c>
      <c r="AC5" s="190"/>
      <c r="AD5" s="431" t="s">
        <v>83</v>
      </c>
      <c r="AE5" s="190"/>
      <c r="AF5" s="431" t="s">
        <v>95</v>
      </c>
      <c r="AG5" s="191"/>
      <c r="AH5" s="439" t="s">
        <v>153</v>
      </c>
      <c r="AI5" s="192"/>
      <c r="AJ5" s="193"/>
      <c r="AK5" s="184"/>
      <c r="AL5" s="349" t="s">
        <v>60</v>
      </c>
      <c r="AM5" s="189"/>
      <c r="AN5" s="438" t="s">
        <v>93</v>
      </c>
      <c r="AO5" s="190"/>
      <c r="AP5" s="431" t="s">
        <v>901</v>
      </c>
      <c r="AQ5" s="190"/>
      <c r="AR5" s="431" t="s">
        <v>95</v>
      </c>
      <c r="AS5" s="191"/>
      <c r="AT5" s="439" t="s">
        <v>153</v>
      </c>
      <c r="AU5" s="192"/>
      <c r="AV5" s="193"/>
      <c r="AX5" s="780"/>
      <c r="AY5" s="781"/>
      <c r="AZ5" s="834"/>
      <c r="BA5" s="780"/>
      <c r="BB5" s="1211"/>
      <c r="BC5" s="1084"/>
      <c r="BD5" s="1084"/>
      <c r="BE5" s="1085"/>
      <c r="BF5" s="780"/>
      <c r="BG5" s="781"/>
      <c r="BH5" s="1231"/>
      <c r="BI5" s="1232"/>
      <c r="BJ5" s="1233"/>
      <c r="BL5" s="899"/>
      <c r="BM5" s="900"/>
      <c r="BN5" s="900"/>
      <c r="BO5" s="900"/>
      <c r="BP5" s="900"/>
      <c r="BQ5" s="900"/>
      <c r="BR5" s="1216"/>
      <c r="BS5" s="1214"/>
      <c r="BT5" s="900"/>
      <c r="BU5" s="900"/>
      <c r="BV5" s="803"/>
      <c r="BW5" s="900"/>
      <c r="BX5" s="1213"/>
      <c r="BY5" s="1207"/>
    </row>
    <row r="6" spans="1:77" ht="15.75" thickBot="1" x14ac:dyDescent="0.3">
      <c r="A6" s="740" t="s">
        <v>825</v>
      </c>
      <c r="B6" s="671"/>
      <c r="C6" s="671"/>
      <c r="D6" s="694"/>
      <c r="E6" s="694"/>
      <c r="F6" s="694"/>
      <c r="G6" s="694"/>
      <c r="H6" s="694"/>
      <c r="I6" s="694"/>
      <c r="J6" s="694"/>
      <c r="K6" s="694"/>
      <c r="L6" s="121"/>
      <c r="M6" s="694"/>
      <c r="N6" s="694"/>
      <c r="O6" s="694"/>
      <c r="P6" s="694"/>
      <c r="Q6" s="694"/>
      <c r="R6" s="694"/>
      <c r="S6" s="121"/>
      <c r="T6" s="694"/>
      <c r="U6" s="694"/>
      <c r="V6" s="694"/>
      <c r="W6" s="694"/>
      <c r="X6" s="145"/>
      <c r="Y6" s="184"/>
      <c r="Z6" s="440" t="s">
        <v>902</v>
      </c>
      <c r="AA6" s="193"/>
      <c r="AB6" s="1218" t="s">
        <v>903</v>
      </c>
      <c r="AC6" s="1219"/>
      <c r="AD6" s="294" t="s">
        <v>88</v>
      </c>
      <c r="AE6" s="194"/>
      <c r="AF6" s="294" t="s">
        <v>89</v>
      </c>
      <c r="AG6" s="194"/>
      <c r="AH6" s="294" t="s">
        <v>90</v>
      </c>
      <c r="AI6" s="194"/>
      <c r="AJ6" s="195"/>
      <c r="AK6" s="184"/>
      <c r="AL6" s="440" t="s">
        <v>902</v>
      </c>
      <c r="AM6" s="193"/>
      <c r="AN6" s="1218" t="s">
        <v>903</v>
      </c>
      <c r="AO6" s="1219"/>
      <c r="AP6" s="294" t="s">
        <v>88</v>
      </c>
      <c r="AQ6" s="194"/>
      <c r="AR6" s="294" t="s">
        <v>89</v>
      </c>
      <c r="AS6" s="194"/>
      <c r="AT6" s="294" t="s">
        <v>90</v>
      </c>
      <c r="AU6" s="194"/>
      <c r="AV6" s="195"/>
      <c r="AX6" s="1239" t="s">
        <v>939</v>
      </c>
      <c r="AY6" s="1237" t="s">
        <v>71</v>
      </c>
      <c r="AZ6" s="881" t="s">
        <v>2085</v>
      </c>
      <c r="BA6" s="881" t="s">
        <v>2086</v>
      </c>
      <c r="BB6" s="881" t="s">
        <v>3575</v>
      </c>
      <c r="BC6" s="1215" t="s">
        <v>3574</v>
      </c>
      <c r="BD6" s="1212" t="s">
        <v>3576</v>
      </c>
      <c r="BE6" s="881" t="s">
        <v>60</v>
      </c>
      <c r="BF6" s="881" t="s">
        <v>527</v>
      </c>
      <c r="BG6" s="722" t="s">
        <v>3571</v>
      </c>
      <c r="BH6" s="881" t="s">
        <v>33</v>
      </c>
      <c r="BI6" s="1212" t="s">
        <v>3605</v>
      </c>
      <c r="BJ6" s="1206" t="s">
        <v>528</v>
      </c>
      <c r="BL6" s="461"/>
      <c r="BM6" s="462" t="s">
        <v>59</v>
      </c>
      <c r="BN6" s="182"/>
      <c r="BO6" s="261" t="s">
        <v>494</v>
      </c>
      <c r="BP6" s="185" t="s">
        <v>494</v>
      </c>
      <c r="BQ6" s="185" t="s">
        <v>494</v>
      </c>
      <c r="BR6" s="185" t="s">
        <v>347</v>
      </c>
      <c r="BS6" s="185" t="s">
        <v>347</v>
      </c>
      <c r="BT6" s="185" t="s">
        <v>347</v>
      </c>
      <c r="BU6" s="185" t="s">
        <v>346</v>
      </c>
      <c r="BV6" s="189" t="s">
        <v>346</v>
      </c>
      <c r="BW6" s="182"/>
      <c r="BX6" s="580"/>
      <c r="BY6" s="463"/>
    </row>
    <row r="7" spans="1:77" ht="15" customHeight="1" thickBot="1" x14ac:dyDescent="0.3">
      <c r="A7" s="740" t="s">
        <v>826</v>
      </c>
      <c r="B7" s="671"/>
      <c r="C7" s="671"/>
      <c r="D7" s="694"/>
      <c r="E7" s="694"/>
      <c r="F7" s="694"/>
      <c r="G7" s="694"/>
      <c r="H7" s="694"/>
      <c r="I7" s="694"/>
      <c r="J7" s="694"/>
      <c r="K7" s="694"/>
      <c r="L7" s="121"/>
      <c r="M7" s="694"/>
      <c r="N7" s="694"/>
      <c r="O7" s="694"/>
      <c r="P7" s="694"/>
      <c r="Q7" s="694"/>
      <c r="R7" s="694"/>
      <c r="S7" s="121"/>
      <c r="T7" s="694"/>
      <c r="U7" s="694"/>
      <c r="V7" s="694"/>
      <c r="W7" s="694"/>
      <c r="X7" s="145"/>
      <c r="Y7" s="184"/>
      <c r="Z7" s="349" t="s">
        <v>751</v>
      </c>
      <c r="AA7" s="1217"/>
      <c r="AB7" s="959"/>
      <c r="AC7" s="959"/>
      <c r="AD7" s="959"/>
      <c r="AE7" s="959"/>
      <c r="AF7" s="959"/>
      <c r="AG7" s="959"/>
      <c r="AH7" s="959"/>
      <c r="AI7" s="959"/>
      <c r="AJ7" s="960"/>
      <c r="AK7" s="146"/>
      <c r="AL7" s="349" t="s">
        <v>751</v>
      </c>
      <c r="AM7" s="1217"/>
      <c r="AN7" s="959"/>
      <c r="AO7" s="959"/>
      <c r="AP7" s="959"/>
      <c r="AQ7" s="959"/>
      <c r="AR7" s="959"/>
      <c r="AS7" s="959"/>
      <c r="AT7" s="959"/>
      <c r="AU7" s="959"/>
      <c r="AV7" s="960"/>
      <c r="AX7" s="1240"/>
      <c r="AY7" s="1238"/>
      <c r="AZ7" s="1235"/>
      <c r="BA7" s="1235"/>
      <c r="BB7" s="1235"/>
      <c r="BC7" s="1236"/>
      <c r="BD7" s="1214"/>
      <c r="BE7" s="1235"/>
      <c r="BF7" s="1235"/>
      <c r="BG7" s="781"/>
      <c r="BH7" s="900"/>
      <c r="BI7" s="1213"/>
      <c r="BJ7" s="1207"/>
      <c r="BL7" s="263"/>
      <c r="BM7" s="121" t="s">
        <v>59</v>
      </c>
      <c r="BN7" s="121"/>
      <c r="BO7" s="263" t="s">
        <v>494</v>
      </c>
      <c r="BP7" s="121" t="s">
        <v>494</v>
      </c>
      <c r="BQ7" s="121" t="s">
        <v>494</v>
      </c>
      <c r="BR7" s="121" t="s">
        <v>347</v>
      </c>
      <c r="BS7" s="121" t="s">
        <v>347</v>
      </c>
      <c r="BT7" s="121" t="s">
        <v>347</v>
      </c>
      <c r="BU7" s="121" t="s">
        <v>346</v>
      </c>
      <c r="BV7" s="145" t="s">
        <v>346</v>
      </c>
      <c r="BW7" s="121"/>
      <c r="BX7" s="458"/>
      <c r="BY7" s="264"/>
    </row>
    <row r="8" spans="1:77" ht="15" customHeight="1" x14ac:dyDescent="0.25">
      <c r="A8" s="740" t="s">
        <v>827</v>
      </c>
      <c r="B8" s="671"/>
      <c r="C8" s="671"/>
      <c r="D8" s="694"/>
      <c r="E8" s="694"/>
      <c r="F8" s="694"/>
      <c r="G8" s="694"/>
      <c r="H8" s="694"/>
      <c r="I8" s="694"/>
      <c r="J8" s="694"/>
      <c r="K8" s="694"/>
      <c r="L8" s="121"/>
      <c r="M8" s="694"/>
      <c r="N8" s="694"/>
      <c r="O8" s="694"/>
      <c r="P8" s="694"/>
      <c r="Q8" s="694"/>
      <c r="R8" s="694"/>
      <c r="S8" s="121"/>
      <c r="T8" s="694"/>
      <c r="U8" s="694"/>
      <c r="V8" s="694"/>
      <c r="W8" s="694"/>
      <c r="X8" s="145"/>
      <c r="Y8" s="184"/>
      <c r="Z8" s="351" t="s">
        <v>69</v>
      </c>
      <c r="AA8" s="711"/>
      <c r="AB8" s="669"/>
      <c r="AC8" s="669"/>
      <c r="AD8" s="669"/>
      <c r="AE8" s="669"/>
      <c r="AF8" s="669"/>
      <c r="AG8" s="669"/>
      <c r="AH8" s="669"/>
      <c r="AI8" s="669"/>
      <c r="AJ8" s="863"/>
      <c r="AK8" s="146"/>
      <c r="AL8" s="351" t="s">
        <v>69</v>
      </c>
      <c r="AM8" s="694"/>
      <c r="AN8" s="694"/>
      <c r="AO8" s="694"/>
      <c r="AP8" s="694"/>
      <c r="AQ8" s="694"/>
      <c r="AR8" s="694"/>
      <c r="AS8" s="694"/>
      <c r="AT8" s="694"/>
      <c r="AU8" s="694"/>
      <c r="AV8" s="719"/>
      <c r="AX8" s="261"/>
      <c r="AY8" s="457"/>
      <c r="AZ8" s="261" t="s">
        <v>494</v>
      </c>
      <c r="BA8" s="185" t="s">
        <v>494</v>
      </c>
      <c r="BB8" s="185" t="s">
        <v>494</v>
      </c>
      <c r="BC8" s="185" t="s">
        <v>347</v>
      </c>
      <c r="BD8" s="185" t="s">
        <v>347</v>
      </c>
      <c r="BE8" s="185" t="s">
        <v>347</v>
      </c>
      <c r="BF8" s="185" t="s">
        <v>346</v>
      </c>
      <c r="BG8" s="189" t="s">
        <v>346</v>
      </c>
      <c r="BH8" s="460"/>
      <c r="BI8" s="581"/>
      <c r="BJ8" s="262"/>
      <c r="BL8" s="263"/>
      <c r="BM8" s="121" t="s">
        <v>59</v>
      </c>
      <c r="BN8" s="121"/>
      <c r="BO8" s="263" t="s">
        <v>494</v>
      </c>
      <c r="BP8" s="121" t="s">
        <v>494</v>
      </c>
      <c r="BQ8" s="121" t="s">
        <v>494</v>
      </c>
      <c r="BR8" s="121" t="s">
        <v>347</v>
      </c>
      <c r="BS8" s="121" t="s">
        <v>347</v>
      </c>
      <c r="BT8" s="121" t="s">
        <v>347</v>
      </c>
      <c r="BU8" s="121" t="s">
        <v>346</v>
      </c>
      <c r="BV8" s="145" t="s">
        <v>346</v>
      </c>
      <c r="BW8" s="121"/>
      <c r="BX8" s="458"/>
      <c r="BY8" s="264"/>
    </row>
    <row r="9" spans="1:77" ht="15" customHeight="1" x14ac:dyDescent="0.25">
      <c r="A9" s="740" t="s">
        <v>828</v>
      </c>
      <c r="B9" s="671"/>
      <c r="C9" s="671"/>
      <c r="D9" s="694"/>
      <c r="E9" s="694"/>
      <c r="F9" s="694"/>
      <c r="G9" s="694"/>
      <c r="H9" s="694"/>
      <c r="I9" s="694"/>
      <c r="J9" s="694"/>
      <c r="K9" s="694"/>
      <c r="L9" s="121"/>
      <c r="M9" s="694"/>
      <c r="N9" s="694"/>
      <c r="O9" s="694"/>
      <c r="P9" s="694"/>
      <c r="Q9" s="694"/>
      <c r="R9" s="694"/>
      <c r="S9" s="121"/>
      <c r="T9" s="694"/>
      <c r="U9" s="694"/>
      <c r="V9" s="694"/>
      <c r="W9" s="694"/>
      <c r="X9" s="145"/>
      <c r="Y9" s="184"/>
      <c r="Z9" s="351" t="s">
        <v>1812</v>
      </c>
      <c r="AA9" s="711"/>
      <c r="AB9" s="669"/>
      <c r="AC9" s="669"/>
      <c r="AD9" s="669"/>
      <c r="AE9" s="669"/>
      <c r="AF9" s="669"/>
      <c r="AG9" s="669"/>
      <c r="AH9" s="669"/>
      <c r="AI9" s="669"/>
      <c r="AJ9" s="863"/>
      <c r="AK9" s="146"/>
      <c r="AL9" s="351" t="s">
        <v>906</v>
      </c>
      <c r="AM9" s="694"/>
      <c r="AN9" s="694"/>
      <c r="AO9" s="694"/>
      <c r="AP9" s="694"/>
      <c r="AQ9" s="694"/>
      <c r="AR9" s="694"/>
      <c r="AS9" s="694"/>
      <c r="AT9" s="694"/>
      <c r="AU9" s="694"/>
      <c r="AV9" s="719"/>
      <c r="AX9" s="263"/>
      <c r="AY9" s="458"/>
      <c r="AZ9" s="263" t="s">
        <v>494</v>
      </c>
      <c r="BA9" s="121" t="s">
        <v>494</v>
      </c>
      <c r="BB9" s="121" t="s">
        <v>494</v>
      </c>
      <c r="BC9" s="121" t="s">
        <v>347</v>
      </c>
      <c r="BD9" s="121" t="s">
        <v>347</v>
      </c>
      <c r="BE9" s="121" t="s">
        <v>347</v>
      </c>
      <c r="BF9" s="121" t="s">
        <v>346</v>
      </c>
      <c r="BG9" s="145" t="s">
        <v>346</v>
      </c>
      <c r="BH9" s="300"/>
      <c r="BI9" s="582"/>
      <c r="BJ9" s="264"/>
      <c r="BL9" s="263"/>
      <c r="BM9" s="121" t="s">
        <v>59</v>
      </c>
      <c r="BN9" s="121"/>
      <c r="BO9" s="263" t="s">
        <v>494</v>
      </c>
      <c r="BP9" s="121" t="s">
        <v>494</v>
      </c>
      <c r="BQ9" s="121" t="s">
        <v>494</v>
      </c>
      <c r="BR9" s="121" t="s">
        <v>347</v>
      </c>
      <c r="BS9" s="121" t="s">
        <v>347</v>
      </c>
      <c r="BT9" s="121" t="s">
        <v>347</v>
      </c>
      <c r="BU9" s="121" t="s">
        <v>346</v>
      </c>
      <c r="BV9" s="145" t="s">
        <v>346</v>
      </c>
      <c r="BW9" s="121"/>
      <c r="BX9" s="458"/>
      <c r="BY9" s="264"/>
    </row>
    <row r="10" spans="1:77" ht="15" customHeight="1" thickBot="1" x14ac:dyDescent="0.3">
      <c r="A10" s="740" t="s">
        <v>829</v>
      </c>
      <c r="B10" s="671"/>
      <c r="C10" s="671"/>
      <c r="D10" s="694"/>
      <c r="E10" s="694"/>
      <c r="F10" s="694"/>
      <c r="G10" s="694"/>
      <c r="H10" s="694"/>
      <c r="I10" s="694"/>
      <c r="J10" s="694"/>
      <c r="K10" s="694"/>
      <c r="L10" s="121"/>
      <c r="M10" s="694"/>
      <c r="N10" s="694"/>
      <c r="O10" s="694"/>
      <c r="P10" s="694"/>
      <c r="Q10" s="694"/>
      <c r="R10" s="694"/>
      <c r="S10" s="121"/>
      <c r="T10" s="694"/>
      <c r="U10" s="694"/>
      <c r="V10" s="694"/>
      <c r="W10" s="694"/>
      <c r="X10" s="145"/>
      <c r="Y10" s="184"/>
      <c r="Z10" s="436" t="s">
        <v>907</v>
      </c>
      <c r="AA10" s="847"/>
      <c r="AB10" s="901"/>
      <c r="AC10" s="901"/>
      <c r="AD10" s="901"/>
      <c r="AE10" s="901"/>
      <c r="AF10" s="901"/>
      <c r="AG10" s="901"/>
      <c r="AH10" s="901"/>
      <c r="AI10" s="901"/>
      <c r="AJ10" s="1220"/>
      <c r="AK10" s="146"/>
      <c r="AL10" s="436" t="s">
        <v>907</v>
      </c>
      <c r="AM10" s="792"/>
      <c r="AN10" s="792"/>
      <c r="AO10" s="792"/>
      <c r="AP10" s="792"/>
      <c r="AQ10" s="792"/>
      <c r="AR10" s="792"/>
      <c r="AS10" s="792"/>
      <c r="AT10" s="792"/>
      <c r="AU10" s="792"/>
      <c r="AV10" s="793"/>
      <c r="AX10" s="263"/>
      <c r="AY10" s="458"/>
      <c r="AZ10" s="263" t="s">
        <v>494</v>
      </c>
      <c r="BA10" s="121" t="s">
        <v>494</v>
      </c>
      <c r="BB10" s="121" t="s">
        <v>494</v>
      </c>
      <c r="BC10" s="121" t="s">
        <v>347</v>
      </c>
      <c r="BD10" s="121" t="s">
        <v>347</v>
      </c>
      <c r="BE10" s="121" t="s">
        <v>347</v>
      </c>
      <c r="BF10" s="121" t="s">
        <v>346</v>
      </c>
      <c r="BG10" s="145" t="s">
        <v>346</v>
      </c>
      <c r="BH10" s="300"/>
      <c r="BI10" s="582"/>
      <c r="BJ10" s="264"/>
      <c r="BL10" s="263"/>
      <c r="BM10" s="121" t="s">
        <v>59</v>
      </c>
      <c r="BN10" s="121"/>
      <c r="BO10" s="263" t="s">
        <v>494</v>
      </c>
      <c r="BP10" s="121" t="s">
        <v>494</v>
      </c>
      <c r="BQ10" s="121" t="s">
        <v>494</v>
      </c>
      <c r="BR10" s="121" t="s">
        <v>347</v>
      </c>
      <c r="BS10" s="121" t="s">
        <v>347</v>
      </c>
      <c r="BT10" s="121" t="s">
        <v>347</v>
      </c>
      <c r="BU10" s="121" t="s">
        <v>346</v>
      </c>
      <c r="BV10" s="145" t="s">
        <v>346</v>
      </c>
      <c r="BW10" s="121"/>
      <c r="BX10" s="458"/>
      <c r="BY10" s="264"/>
    </row>
    <row r="11" spans="1:77" ht="15" customHeight="1" x14ac:dyDescent="0.25">
      <c r="A11" s="740" t="s">
        <v>830</v>
      </c>
      <c r="B11" s="671"/>
      <c r="C11" s="671"/>
      <c r="D11" s="694"/>
      <c r="E11" s="694"/>
      <c r="F11" s="694"/>
      <c r="G11" s="694"/>
      <c r="H11" s="694"/>
      <c r="I11" s="694"/>
      <c r="J11" s="694"/>
      <c r="K11" s="694"/>
      <c r="L11" s="121"/>
      <c r="M11" s="694"/>
      <c r="N11" s="694"/>
      <c r="O11" s="694"/>
      <c r="P11" s="694"/>
      <c r="Q11" s="694"/>
      <c r="R11" s="694"/>
      <c r="S11" s="121"/>
      <c r="T11" s="694"/>
      <c r="U11" s="694"/>
      <c r="V11" s="694"/>
      <c r="W11" s="694"/>
      <c r="X11" s="145"/>
      <c r="Y11" s="184"/>
      <c r="Z11" s="441" t="s">
        <v>115</v>
      </c>
      <c r="AA11" s="307" t="s">
        <v>75</v>
      </c>
      <c r="AB11" s="307" t="s">
        <v>117</v>
      </c>
      <c r="AC11" s="307" t="s">
        <v>118</v>
      </c>
      <c r="AD11" s="307" t="s">
        <v>905</v>
      </c>
      <c r="AE11" s="307" t="s">
        <v>124</v>
      </c>
      <c r="AF11" s="308" t="s">
        <v>121</v>
      </c>
      <c r="AG11" s="684"/>
      <c r="AH11" s="685"/>
      <c r="AI11" s="685"/>
      <c r="AJ11" s="688"/>
      <c r="AK11" s="442"/>
      <c r="AL11" s="441" t="s">
        <v>115</v>
      </c>
      <c r="AM11" s="307" t="s">
        <v>75</v>
      </c>
      <c r="AN11" s="307" t="s">
        <v>117</v>
      </c>
      <c r="AO11" s="307" t="s">
        <v>118</v>
      </c>
      <c r="AP11" s="307" t="s">
        <v>905</v>
      </c>
      <c r="AQ11" s="307" t="s">
        <v>124</v>
      </c>
      <c r="AR11" s="308" t="s">
        <v>121</v>
      </c>
      <c r="AS11" s="684"/>
      <c r="AT11" s="685"/>
      <c r="AU11" s="685"/>
      <c r="AV11" s="688"/>
      <c r="AX11" s="263"/>
      <c r="AY11" s="458"/>
      <c r="AZ11" s="263" t="s">
        <v>494</v>
      </c>
      <c r="BA11" s="121" t="s">
        <v>494</v>
      </c>
      <c r="BB11" s="121" t="s">
        <v>494</v>
      </c>
      <c r="BC11" s="121" t="s">
        <v>347</v>
      </c>
      <c r="BD11" s="121" t="s">
        <v>347</v>
      </c>
      <c r="BE11" s="121" t="s">
        <v>347</v>
      </c>
      <c r="BF11" s="121" t="s">
        <v>346</v>
      </c>
      <c r="BG11" s="145" t="s">
        <v>346</v>
      </c>
      <c r="BH11" s="300"/>
      <c r="BI11" s="582"/>
      <c r="BJ11" s="264"/>
      <c r="BL11" s="263"/>
      <c r="BM11" s="121" t="s">
        <v>59</v>
      </c>
      <c r="BN11" s="121"/>
      <c r="BO11" s="263" t="s">
        <v>494</v>
      </c>
      <c r="BP11" s="121" t="s">
        <v>494</v>
      </c>
      <c r="BQ11" s="121" t="s">
        <v>494</v>
      </c>
      <c r="BR11" s="121" t="s">
        <v>347</v>
      </c>
      <c r="BS11" s="121" t="s">
        <v>347</v>
      </c>
      <c r="BT11" s="121" t="s">
        <v>347</v>
      </c>
      <c r="BU11" s="121" t="s">
        <v>346</v>
      </c>
      <c r="BV11" s="145" t="s">
        <v>346</v>
      </c>
      <c r="BW11" s="121"/>
      <c r="BX11" s="458"/>
      <c r="BY11" s="264"/>
    </row>
    <row r="12" spans="1:77" x14ac:dyDescent="0.25">
      <c r="A12" s="740" t="s">
        <v>831</v>
      </c>
      <c r="B12" s="671"/>
      <c r="C12" s="671"/>
      <c r="D12" s="694"/>
      <c r="E12" s="694"/>
      <c r="F12" s="694"/>
      <c r="G12" s="694"/>
      <c r="H12" s="694"/>
      <c r="I12" s="694"/>
      <c r="J12" s="694"/>
      <c r="K12" s="694"/>
      <c r="L12" s="121"/>
      <c r="M12" s="694"/>
      <c r="N12" s="694"/>
      <c r="O12" s="694"/>
      <c r="P12" s="694"/>
      <c r="Q12" s="694"/>
      <c r="R12" s="694"/>
      <c r="S12" s="121"/>
      <c r="T12" s="694"/>
      <c r="U12" s="694"/>
      <c r="V12" s="694"/>
      <c r="W12" s="694"/>
      <c r="X12" s="145"/>
      <c r="Y12" s="184"/>
      <c r="Z12" s="351" t="s">
        <v>1795</v>
      </c>
      <c r="AA12" s="121"/>
      <c r="AB12" s="121"/>
      <c r="AC12" s="121"/>
      <c r="AD12" s="121"/>
      <c r="AE12" s="121"/>
      <c r="AF12" s="145"/>
      <c r="AG12" s="686"/>
      <c r="AH12" s="771"/>
      <c r="AI12" s="771"/>
      <c r="AJ12" s="689"/>
      <c r="AK12" s="442"/>
      <c r="AL12" s="351" t="s">
        <v>1795</v>
      </c>
      <c r="AM12" s="121"/>
      <c r="AN12" s="121"/>
      <c r="AO12" s="121"/>
      <c r="AP12" s="121"/>
      <c r="AQ12" s="121"/>
      <c r="AR12" s="145"/>
      <c r="AS12" s="686"/>
      <c r="AT12" s="771"/>
      <c r="AU12" s="771"/>
      <c r="AV12" s="689"/>
      <c r="AX12" s="263"/>
      <c r="AY12" s="458"/>
      <c r="AZ12" s="263" t="s">
        <v>494</v>
      </c>
      <c r="BA12" s="121" t="s">
        <v>494</v>
      </c>
      <c r="BB12" s="121" t="s">
        <v>494</v>
      </c>
      <c r="BC12" s="121" t="s">
        <v>347</v>
      </c>
      <c r="BD12" s="121" t="s">
        <v>347</v>
      </c>
      <c r="BE12" s="121" t="s">
        <v>347</v>
      </c>
      <c r="BF12" s="121" t="s">
        <v>346</v>
      </c>
      <c r="BG12" s="145" t="s">
        <v>346</v>
      </c>
      <c r="BH12" s="300"/>
      <c r="BI12" s="582"/>
      <c r="BJ12" s="264"/>
      <c r="BL12" s="263"/>
      <c r="BM12" s="121" t="s">
        <v>59</v>
      </c>
      <c r="BN12" s="121"/>
      <c r="BO12" s="263" t="s">
        <v>494</v>
      </c>
      <c r="BP12" s="121" t="s">
        <v>494</v>
      </c>
      <c r="BQ12" s="121" t="s">
        <v>494</v>
      </c>
      <c r="BR12" s="121" t="s">
        <v>347</v>
      </c>
      <c r="BS12" s="121" t="s">
        <v>347</v>
      </c>
      <c r="BT12" s="121" t="s">
        <v>347</v>
      </c>
      <c r="BU12" s="121" t="s">
        <v>346</v>
      </c>
      <c r="BV12" s="145" t="s">
        <v>346</v>
      </c>
      <c r="BW12" s="121"/>
      <c r="BX12" s="458"/>
      <c r="BY12" s="264"/>
    </row>
    <row r="13" spans="1:77" x14ac:dyDescent="0.25">
      <c r="A13" s="740" t="s">
        <v>832</v>
      </c>
      <c r="B13" s="671"/>
      <c r="C13" s="671"/>
      <c r="D13" s="694"/>
      <c r="E13" s="694"/>
      <c r="F13" s="694"/>
      <c r="G13" s="694"/>
      <c r="H13" s="694"/>
      <c r="I13" s="694"/>
      <c r="J13" s="694"/>
      <c r="K13" s="694"/>
      <c r="L13" s="121"/>
      <c r="M13" s="694"/>
      <c r="N13" s="694"/>
      <c r="O13" s="694"/>
      <c r="P13" s="694"/>
      <c r="Q13" s="694"/>
      <c r="R13" s="694"/>
      <c r="S13" s="121"/>
      <c r="T13" s="694"/>
      <c r="U13" s="694"/>
      <c r="V13" s="694"/>
      <c r="W13" s="694"/>
      <c r="X13" s="145"/>
      <c r="Y13" s="184"/>
      <c r="Z13" s="351" t="s">
        <v>1796</v>
      </c>
      <c r="AA13" s="121"/>
      <c r="AB13" s="121"/>
      <c r="AC13" s="121"/>
      <c r="AD13" s="121"/>
      <c r="AE13" s="121"/>
      <c r="AF13" s="145"/>
      <c r="AG13" s="686"/>
      <c r="AH13" s="771"/>
      <c r="AI13" s="771"/>
      <c r="AJ13" s="689"/>
      <c r="AK13" s="442"/>
      <c r="AL13" s="351" t="s">
        <v>1796</v>
      </c>
      <c r="AM13" s="121"/>
      <c r="AN13" s="121"/>
      <c r="AO13" s="121"/>
      <c r="AP13" s="121"/>
      <c r="AQ13" s="121"/>
      <c r="AR13" s="145"/>
      <c r="AS13" s="686"/>
      <c r="AT13" s="771"/>
      <c r="AU13" s="771"/>
      <c r="AV13" s="689"/>
      <c r="AX13" s="263"/>
      <c r="AY13" s="458"/>
      <c r="AZ13" s="263" t="s">
        <v>494</v>
      </c>
      <c r="BA13" s="121" t="s">
        <v>494</v>
      </c>
      <c r="BB13" s="121" t="s">
        <v>494</v>
      </c>
      <c r="BC13" s="121" t="s">
        <v>347</v>
      </c>
      <c r="BD13" s="121" t="s">
        <v>347</v>
      </c>
      <c r="BE13" s="121" t="s">
        <v>347</v>
      </c>
      <c r="BF13" s="121" t="s">
        <v>346</v>
      </c>
      <c r="BG13" s="145" t="s">
        <v>346</v>
      </c>
      <c r="BH13" s="300"/>
      <c r="BI13" s="582"/>
      <c r="BJ13" s="264"/>
      <c r="BL13" s="263"/>
      <c r="BM13" s="121" t="s">
        <v>59</v>
      </c>
      <c r="BN13" s="121"/>
      <c r="BO13" s="263" t="s">
        <v>494</v>
      </c>
      <c r="BP13" s="121" t="s">
        <v>494</v>
      </c>
      <c r="BQ13" s="121" t="s">
        <v>494</v>
      </c>
      <c r="BR13" s="121" t="s">
        <v>347</v>
      </c>
      <c r="BS13" s="121" t="s">
        <v>347</v>
      </c>
      <c r="BT13" s="121" t="s">
        <v>347</v>
      </c>
      <c r="BU13" s="121" t="s">
        <v>346</v>
      </c>
      <c r="BV13" s="145" t="s">
        <v>346</v>
      </c>
      <c r="BW13" s="121"/>
      <c r="BX13" s="458"/>
      <c r="BY13" s="264"/>
    </row>
    <row r="14" spans="1:77" x14ac:dyDescent="0.25">
      <c r="A14" s="740" t="s">
        <v>1777</v>
      </c>
      <c r="B14" s="671"/>
      <c r="C14" s="671"/>
      <c r="D14" s="694"/>
      <c r="E14" s="694"/>
      <c r="F14" s="694"/>
      <c r="G14" s="694"/>
      <c r="H14" s="694"/>
      <c r="I14" s="694"/>
      <c r="J14" s="694"/>
      <c r="K14" s="694"/>
      <c r="L14" s="121"/>
      <c r="M14" s="694"/>
      <c r="N14" s="694"/>
      <c r="O14" s="694"/>
      <c r="P14" s="694"/>
      <c r="Q14" s="694"/>
      <c r="R14" s="694"/>
      <c r="S14" s="121"/>
      <c r="T14" s="694"/>
      <c r="U14" s="694"/>
      <c r="V14" s="694"/>
      <c r="W14" s="694"/>
      <c r="X14" s="145"/>
      <c r="Y14" s="184"/>
      <c r="Z14" s="351" t="s">
        <v>1797</v>
      </c>
      <c r="AA14" s="121"/>
      <c r="AB14" s="121"/>
      <c r="AC14" s="121"/>
      <c r="AD14" s="121"/>
      <c r="AE14" s="121"/>
      <c r="AF14" s="145"/>
      <c r="AG14" s="686"/>
      <c r="AH14" s="771"/>
      <c r="AI14" s="771"/>
      <c r="AJ14" s="689"/>
      <c r="AK14" s="442"/>
      <c r="AL14" s="351" t="s">
        <v>1797</v>
      </c>
      <c r="AM14" s="121"/>
      <c r="AN14" s="121"/>
      <c r="AO14" s="121"/>
      <c r="AP14" s="121"/>
      <c r="AQ14" s="121"/>
      <c r="AR14" s="145"/>
      <c r="AS14" s="686"/>
      <c r="AT14" s="771"/>
      <c r="AU14" s="771"/>
      <c r="AV14" s="689"/>
      <c r="AX14" s="263"/>
      <c r="AY14" s="458"/>
      <c r="AZ14" s="263" t="s">
        <v>494</v>
      </c>
      <c r="BA14" s="121" t="s">
        <v>494</v>
      </c>
      <c r="BB14" s="121" t="s">
        <v>494</v>
      </c>
      <c r="BC14" s="121" t="s">
        <v>347</v>
      </c>
      <c r="BD14" s="121" t="s">
        <v>347</v>
      </c>
      <c r="BE14" s="121" t="s">
        <v>347</v>
      </c>
      <c r="BF14" s="121" t="s">
        <v>346</v>
      </c>
      <c r="BG14" s="145" t="s">
        <v>346</v>
      </c>
      <c r="BH14" s="300"/>
      <c r="BI14" s="582"/>
      <c r="BJ14" s="264"/>
      <c r="BL14" s="263"/>
      <c r="BM14" s="121" t="s">
        <v>59</v>
      </c>
      <c r="BN14" s="121"/>
      <c r="BO14" s="263" t="s">
        <v>494</v>
      </c>
      <c r="BP14" s="121" t="s">
        <v>494</v>
      </c>
      <c r="BQ14" s="121" t="s">
        <v>494</v>
      </c>
      <c r="BR14" s="121" t="s">
        <v>347</v>
      </c>
      <c r="BS14" s="121" t="s">
        <v>347</v>
      </c>
      <c r="BT14" s="121" t="s">
        <v>347</v>
      </c>
      <c r="BU14" s="121" t="s">
        <v>346</v>
      </c>
      <c r="BV14" s="145" t="s">
        <v>346</v>
      </c>
      <c r="BW14" s="121"/>
      <c r="BX14" s="458"/>
      <c r="BY14" s="264"/>
    </row>
    <row r="15" spans="1:77" x14ac:dyDescent="0.25">
      <c r="A15" s="740" t="s">
        <v>1778</v>
      </c>
      <c r="B15" s="671"/>
      <c r="C15" s="671"/>
      <c r="D15" s="694"/>
      <c r="E15" s="694"/>
      <c r="F15" s="694"/>
      <c r="G15" s="694"/>
      <c r="H15" s="694"/>
      <c r="I15" s="694"/>
      <c r="J15" s="694"/>
      <c r="K15" s="694"/>
      <c r="L15" s="121"/>
      <c r="M15" s="694"/>
      <c r="N15" s="694"/>
      <c r="O15" s="694"/>
      <c r="P15" s="694"/>
      <c r="Q15" s="694"/>
      <c r="R15" s="694"/>
      <c r="S15" s="121"/>
      <c r="T15" s="694"/>
      <c r="U15" s="694"/>
      <c r="V15" s="694"/>
      <c r="W15" s="694"/>
      <c r="X15" s="145"/>
      <c r="Y15" s="184"/>
      <c r="Z15" s="351" t="s">
        <v>1798</v>
      </c>
      <c r="AA15" s="121"/>
      <c r="AB15" s="121"/>
      <c r="AC15" s="121"/>
      <c r="AD15" s="121"/>
      <c r="AE15" s="121"/>
      <c r="AF15" s="145"/>
      <c r="AG15" s="686"/>
      <c r="AH15" s="771"/>
      <c r="AI15" s="771"/>
      <c r="AJ15" s="689"/>
      <c r="AK15" s="442"/>
      <c r="AL15" s="351" t="s">
        <v>1798</v>
      </c>
      <c r="AM15" s="121"/>
      <c r="AN15" s="121"/>
      <c r="AO15" s="121"/>
      <c r="AP15" s="121"/>
      <c r="AQ15" s="121"/>
      <c r="AR15" s="145"/>
      <c r="AS15" s="686"/>
      <c r="AT15" s="771"/>
      <c r="AU15" s="771"/>
      <c r="AV15" s="689"/>
      <c r="AX15" s="263"/>
      <c r="AY15" s="458"/>
      <c r="AZ15" s="263" t="s">
        <v>494</v>
      </c>
      <c r="BA15" s="121" t="s">
        <v>494</v>
      </c>
      <c r="BB15" s="121" t="s">
        <v>494</v>
      </c>
      <c r="BC15" s="121" t="s">
        <v>347</v>
      </c>
      <c r="BD15" s="121" t="s">
        <v>347</v>
      </c>
      <c r="BE15" s="121" t="s">
        <v>347</v>
      </c>
      <c r="BF15" s="121" t="s">
        <v>346</v>
      </c>
      <c r="BG15" s="145" t="s">
        <v>346</v>
      </c>
      <c r="BH15" s="300"/>
      <c r="BI15" s="582"/>
      <c r="BJ15" s="264"/>
      <c r="BL15" s="263"/>
      <c r="BM15" s="121" t="s">
        <v>59</v>
      </c>
      <c r="BN15" s="121"/>
      <c r="BO15" s="263" t="s">
        <v>494</v>
      </c>
      <c r="BP15" s="121" t="s">
        <v>494</v>
      </c>
      <c r="BQ15" s="121" t="s">
        <v>494</v>
      </c>
      <c r="BR15" s="121" t="s">
        <v>347</v>
      </c>
      <c r="BS15" s="121" t="s">
        <v>347</v>
      </c>
      <c r="BT15" s="121" t="s">
        <v>347</v>
      </c>
      <c r="BU15" s="121" t="s">
        <v>346</v>
      </c>
      <c r="BV15" s="145" t="s">
        <v>346</v>
      </c>
      <c r="BW15" s="121"/>
      <c r="BX15" s="458"/>
      <c r="BY15" s="264"/>
    </row>
    <row r="16" spans="1:77" x14ac:dyDescent="0.25">
      <c r="A16" s="740" t="s">
        <v>1779</v>
      </c>
      <c r="B16" s="671"/>
      <c r="C16" s="671"/>
      <c r="D16" s="694"/>
      <c r="E16" s="694"/>
      <c r="F16" s="694"/>
      <c r="G16" s="694"/>
      <c r="H16" s="694"/>
      <c r="I16" s="694"/>
      <c r="J16" s="694"/>
      <c r="K16" s="694"/>
      <c r="L16" s="121"/>
      <c r="M16" s="694"/>
      <c r="N16" s="694"/>
      <c r="O16" s="694"/>
      <c r="P16" s="694"/>
      <c r="Q16" s="694"/>
      <c r="R16" s="694"/>
      <c r="S16" s="121"/>
      <c r="T16" s="694"/>
      <c r="U16" s="694"/>
      <c r="V16" s="694"/>
      <c r="W16" s="694"/>
      <c r="X16" s="145"/>
      <c r="Y16" s="184"/>
      <c r="Z16" s="351" t="s">
        <v>1799</v>
      </c>
      <c r="AA16" s="121"/>
      <c r="AB16" s="121"/>
      <c r="AC16" s="121"/>
      <c r="AD16" s="121"/>
      <c r="AE16" s="121"/>
      <c r="AF16" s="145"/>
      <c r="AG16" s="686"/>
      <c r="AH16" s="771"/>
      <c r="AI16" s="771"/>
      <c r="AJ16" s="689"/>
      <c r="AK16" s="442"/>
      <c r="AL16" s="351" t="s">
        <v>1799</v>
      </c>
      <c r="AM16" s="121"/>
      <c r="AN16" s="121"/>
      <c r="AO16" s="121"/>
      <c r="AP16" s="121"/>
      <c r="AQ16" s="121"/>
      <c r="AR16" s="145"/>
      <c r="AS16" s="686"/>
      <c r="AT16" s="771"/>
      <c r="AU16" s="771"/>
      <c r="AV16" s="689"/>
      <c r="AX16" s="263"/>
      <c r="AY16" s="458"/>
      <c r="AZ16" s="263" t="s">
        <v>494</v>
      </c>
      <c r="BA16" s="121" t="s">
        <v>494</v>
      </c>
      <c r="BB16" s="121" t="s">
        <v>494</v>
      </c>
      <c r="BC16" s="121" t="s">
        <v>347</v>
      </c>
      <c r="BD16" s="121" t="s">
        <v>347</v>
      </c>
      <c r="BE16" s="121" t="s">
        <v>347</v>
      </c>
      <c r="BF16" s="121" t="s">
        <v>346</v>
      </c>
      <c r="BG16" s="145" t="s">
        <v>346</v>
      </c>
      <c r="BH16" s="300"/>
      <c r="BI16" s="582"/>
      <c r="BJ16" s="264"/>
      <c r="BL16" s="263"/>
      <c r="BM16" s="121" t="s">
        <v>59</v>
      </c>
      <c r="BN16" s="121"/>
      <c r="BO16" s="263" t="s">
        <v>494</v>
      </c>
      <c r="BP16" s="121" t="s">
        <v>494</v>
      </c>
      <c r="BQ16" s="121" t="s">
        <v>494</v>
      </c>
      <c r="BR16" s="121" t="s">
        <v>347</v>
      </c>
      <c r="BS16" s="121" t="s">
        <v>347</v>
      </c>
      <c r="BT16" s="121" t="s">
        <v>347</v>
      </c>
      <c r="BU16" s="121" t="s">
        <v>346</v>
      </c>
      <c r="BV16" s="145" t="s">
        <v>346</v>
      </c>
      <c r="BW16" s="121"/>
      <c r="BX16" s="458"/>
      <c r="BY16" s="264"/>
    </row>
    <row r="17" spans="1:77" x14ac:dyDescent="0.25">
      <c r="A17" s="740" t="s">
        <v>1780</v>
      </c>
      <c r="B17" s="671"/>
      <c r="C17" s="671"/>
      <c r="D17" s="694"/>
      <c r="E17" s="694"/>
      <c r="F17" s="694"/>
      <c r="G17" s="694"/>
      <c r="H17" s="694"/>
      <c r="I17" s="694"/>
      <c r="J17" s="694"/>
      <c r="K17" s="694"/>
      <c r="L17" s="121"/>
      <c r="M17" s="694"/>
      <c r="N17" s="694"/>
      <c r="O17" s="694"/>
      <c r="P17" s="694"/>
      <c r="Q17" s="694"/>
      <c r="R17" s="694"/>
      <c r="S17" s="121"/>
      <c r="T17" s="694"/>
      <c r="U17" s="694"/>
      <c r="V17" s="694"/>
      <c r="W17" s="694"/>
      <c r="X17" s="145"/>
      <c r="Y17" s="184"/>
      <c r="Z17" s="351" t="s">
        <v>1800</v>
      </c>
      <c r="AA17" s="121"/>
      <c r="AB17" s="121"/>
      <c r="AC17" s="121"/>
      <c r="AD17" s="121"/>
      <c r="AE17" s="121"/>
      <c r="AF17" s="145"/>
      <c r="AG17" s="686"/>
      <c r="AH17" s="771"/>
      <c r="AI17" s="771"/>
      <c r="AJ17" s="689"/>
      <c r="AK17" s="442"/>
      <c r="AL17" s="351" t="s">
        <v>1800</v>
      </c>
      <c r="AM17" s="121"/>
      <c r="AN17" s="121"/>
      <c r="AO17" s="121"/>
      <c r="AP17" s="121"/>
      <c r="AQ17" s="121"/>
      <c r="AR17" s="145"/>
      <c r="AS17" s="686"/>
      <c r="AT17" s="771"/>
      <c r="AU17" s="771"/>
      <c r="AV17" s="689"/>
      <c r="AX17" s="263"/>
      <c r="AY17" s="458"/>
      <c r="AZ17" s="263" t="s">
        <v>494</v>
      </c>
      <c r="BA17" s="121" t="s">
        <v>494</v>
      </c>
      <c r="BB17" s="121" t="s">
        <v>494</v>
      </c>
      <c r="BC17" s="121" t="s">
        <v>347</v>
      </c>
      <c r="BD17" s="121" t="s">
        <v>347</v>
      </c>
      <c r="BE17" s="121" t="s">
        <v>347</v>
      </c>
      <c r="BF17" s="121" t="s">
        <v>346</v>
      </c>
      <c r="BG17" s="145" t="s">
        <v>346</v>
      </c>
      <c r="BH17" s="300"/>
      <c r="BI17" s="582"/>
      <c r="BJ17" s="264"/>
      <c r="BL17" s="263"/>
      <c r="BM17" s="121" t="s">
        <v>59</v>
      </c>
      <c r="BN17" s="121"/>
      <c r="BO17" s="263" t="s">
        <v>494</v>
      </c>
      <c r="BP17" s="121" t="s">
        <v>494</v>
      </c>
      <c r="BQ17" s="121" t="s">
        <v>494</v>
      </c>
      <c r="BR17" s="121" t="s">
        <v>347</v>
      </c>
      <c r="BS17" s="121" t="s">
        <v>347</v>
      </c>
      <c r="BT17" s="121" t="s">
        <v>347</v>
      </c>
      <c r="BU17" s="121" t="s">
        <v>346</v>
      </c>
      <c r="BV17" s="145" t="s">
        <v>346</v>
      </c>
      <c r="BW17" s="121"/>
      <c r="BX17" s="458"/>
      <c r="BY17" s="264"/>
    </row>
    <row r="18" spans="1:77" ht="15.75" thickBot="1" x14ac:dyDescent="0.3">
      <c r="A18" s="735" t="s">
        <v>1781</v>
      </c>
      <c r="B18" s="712"/>
      <c r="C18" s="712"/>
      <c r="D18" s="792"/>
      <c r="E18" s="792"/>
      <c r="F18" s="792"/>
      <c r="G18" s="792"/>
      <c r="H18" s="792"/>
      <c r="I18" s="792"/>
      <c r="J18" s="792"/>
      <c r="K18" s="792"/>
      <c r="L18" s="122"/>
      <c r="M18" s="792"/>
      <c r="N18" s="792"/>
      <c r="O18" s="792"/>
      <c r="P18" s="792"/>
      <c r="Q18" s="792"/>
      <c r="R18" s="792"/>
      <c r="S18" s="122"/>
      <c r="T18" s="792"/>
      <c r="U18" s="792"/>
      <c r="V18" s="792"/>
      <c r="W18" s="792"/>
      <c r="X18" s="188"/>
      <c r="Y18" s="184"/>
      <c r="Z18" s="436" t="s">
        <v>1801</v>
      </c>
      <c r="AA18" s="122"/>
      <c r="AB18" s="122"/>
      <c r="AC18" s="122"/>
      <c r="AD18" s="122"/>
      <c r="AE18" s="122"/>
      <c r="AF18" s="188"/>
      <c r="AG18" s="772"/>
      <c r="AH18" s="682"/>
      <c r="AI18" s="682"/>
      <c r="AJ18" s="683"/>
      <c r="AK18" s="442"/>
      <c r="AL18" s="436" t="s">
        <v>1801</v>
      </c>
      <c r="AM18" s="122"/>
      <c r="AN18" s="122"/>
      <c r="AO18" s="122"/>
      <c r="AP18" s="122"/>
      <c r="AQ18" s="122"/>
      <c r="AR18" s="188"/>
      <c r="AS18" s="772"/>
      <c r="AT18" s="682"/>
      <c r="AU18" s="682"/>
      <c r="AV18" s="683"/>
      <c r="AX18" s="263"/>
      <c r="AY18" s="458"/>
      <c r="AZ18" s="263" t="s">
        <v>494</v>
      </c>
      <c r="BA18" s="121" t="s">
        <v>494</v>
      </c>
      <c r="BB18" s="121" t="s">
        <v>494</v>
      </c>
      <c r="BC18" s="121" t="s">
        <v>347</v>
      </c>
      <c r="BD18" s="121" t="s">
        <v>347</v>
      </c>
      <c r="BE18" s="121" t="s">
        <v>347</v>
      </c>
      <c r="BF18" s="121" t="s">
        <v>346</v>
      </c>
      <c r="BG18" s="145" t="s">
        <v>346</v>
      </c>
      <c r="BH18" s="300"/>
      <c r="BI18" s="582"/>
      <c r="BJ18" s="264"/>
      <c r="BL18" s="263"/>
      <c r="BM18" s="121" t="s">
        <v>59</v>
      </c>
      <c r="BN18" s="121"/>
      <c r="BO18" s="263" t="s">
        <v>494</v>
      </c>
      <c r="BP18" s="121" t="s">
        <v>494</v>
      </c>
      <c r="BQ18" s="121" t="s">
        <v>494</v>
      </c>
      <c r="BR18" s="121" t="s">
        <v>347</v>
      </c>
      <c r="BS18" s="121" t="s">
        <v>347</v>
      </c>
      <c r="BT18" s="121" t="s">
        <v>347</v>
      </c>
      <c r="BU18" s="121" t="s">
        <v>346</v>
      </c>
      <c r="BV18" s="145" t="s">
        <v>346</v>
      </c>
      <c r="BW18" s="121"/>
      <c r="BX18" s="458"/>
      <c r="BY18" s="264"/>
    </row>
    <row r="19" spans="1:77" ht="15.75" customHeight="1" thickBot="1" x14ac:dyDescent="0.3">
      <c r="A19" s="442"/>
      <c r="B19" s="442"/>
      <c r="C19" s="442"/>
      <c r="D19" s="146"/>
      <c r="E19" s="146"/>
      <c r="F19" s="146"/>
      <c r="G19" s="146"/>
      <c r="H19" s="146"/>
      <c r="I19" s="146"/>
      <c r="J19" s="146"/>
      <c r="K19" s="146"/>
      <c r="L19" s="184"/>
      <c r="M19" s="146"/>
      <c r="N19" s="146"/>
      <c r="O19" s="146"/>
      <c r="P19" s="146"/>
      <c r="Q19" s="146"/>
      <c r="R19" s="146"/>
      <c r="S19" s="184"/>
      <c r="T19" s="146"/>
      <c r="U19" s="146"/>
      <c r="V19" s="146"/>
      <c r="W19" s="146"/>
      <c r="X19" s="184"/>
      <c r="Y19" s="426"/>
      <c r="AM19" s="313" t="s">
        <v>1815</v>
      </c>
      <c r="AN19" s="313" t="s">
        <v>1816</v>
      </c>
      <c r="AO19" s="313" t="s">
        <v>1817</v>
      </c>
      <c r="AP19" s="313" t="s">
        <v>1818</v>
      </c>
      <c r="AQ19" s="313" t="s">
        <v>1819</v>
      </c>
      <c r="AR19" s="313" t="s">
        <v>1820</v>
      </c>
      <c r="AS19" s="313" t="s">
        <v>1821</v>
      </c>
      <c r="AT19" s="313" t="s">
        <v>1822</v>
      </c>
      <c r="AU19" s="313" t="s">
        <v>1823</v>
      </c>
      <c r="AV19" s="313" t="s">
        <v>1824</v>
      </c>
      <c r="AX19" s="263"/>
      <c r="AY19" s="458"/>
      <c r="AZ19" s="263" t="s">
        <v>494</v>
      </c>
      <c r="BA19" s="121" t="s">
        <v>494</v>
      </c>
      <c r="BB19" s="121" t="s">
        <v>494</v>
      </c>
      <c r="BC19" s="121" t="s">
        <v>347</v>
      </c>
      <c r="BD19" s="121" t="s">
        <v>347</v>
      </c>
      <c r="BE19" s="121" t="s">
        <v>347</v>
      </c>
      <c r="BF19" s="121" t="s">
        <v>346</v>
      </c>
      <c r="BG19" s="145" t="s">
        <v>346</v>
      </c>
      <c r="BH19" s="300"/>
      <c r="BI19" s="582"/>
      <c r="BJ19" s="264"/>
      <c r="BL19" s="263"/>
      <c r="BM19" s="121" t="s">
        <v>59</v>
      </c>
      <c r="BN19" s="121"/>
      <c r="BO19" s="263" t="s">
        <v>494</v>
      </c>
      <c r="BP19" s="121" t="s">
        <v>494</v>
      </c>
      <c r="BQ19" s="121" t="s">
        <v>494</v>
      </c>
      <c r="BR19" s="121" t="s">
        <v>347</v>
      </c>
      <c r="BS19" s="121" t="s">
        <v>347</v>
      </c>
      <c r="BT19" s="121" t="s">
        <v>347</v>
      </c>
      <c r="BU19" s="121" t="s">
        <v>346</v>
      </c>
      <c r="BV19" s="145" t="s">
        <v>346</v>
      </c>
      <c r="BW19" s="121"/>
      <c r="BX19" s="458"/>
      <c r="BY19" s="264"/>
    </row>
    <row r="20" spans="1:77" ht="15.75" thickBot="1" x14ac:dyDescent="0.3">
      <c r="A20" s="1221" t="s">
        <v>693</v>
      </c>
      <c r="B20" s="861"/>
      <c r="C20" s="861"/>
      <c r="D20" s="861" t="s">
        <v>91</v>
      </c>
      <c r="E20" s="861"/>
      <c r="F20" s="861"/>
      <c r="G20" s="861"/>
      <c r="H20" s="861"/>
      <c r="I20" s="861"/>
      <c r="J20" s="861"/>
      <c r="K20" s="861"/>
      <c r="L20" s="861"/>
      <c r="M20" s="861" t="s">
        <v>88</v>
      </c>
      <c r="N20" s="861"/>
      <c r="O20" s="861"/>
      <c r="P20" s="861" t="s">
        <v>2050</v>
      </c>
      <c r="Q20" s="861"/>
      <c r="R20" s="861" t="s">
        <v>1814</v>
      </c>
      <c r="S20" s="861"/>
      <c r="T20" s="861" t="s">
        <v>92</v>
      </c>
      <c r="U20" s="861"/>
      <c r="V20" s="861"/>
      <c r="W20" s="861" t="s">
        <v>741</v>
      </c>
      <c r="X20" s="862"/>
      <c r="Y20" s="146"/>
      <c r="Z20" s="825" t="s">
        <v>1802</v>
      </c>
      <c r="AA20" s="826"/>
      <c r="AB20" s="826"/>
      <c r="AC20" s="826"/>
      <c r="AD20" s="826"/>
      <c r="AE20" s="826"/>
      <c r="AF20" s="826"/>
      <c r="AG20" s="826"/>
      <c r="AH20" s="835"/>
      <c r="AI20" s="425" t="s">
        <v>1803</v>
      </c>
      <c r="AJ20" s="308" t="s">
        <v>10</v>
      </c>
      <c r="AK20" s="426"/>
      <c r="AL20" s="825" t="s">
        <v>1802</v>
      </c>
      <c r="AM20" s="826"/>
      <c r="AN20" s="826"/>
      <c r="AO20" s="826"/>
      <c r="AP20" s="826"/>
      <c r="AQ20" s="826"/>
      <c r="AR20" s="826"/>
      <c r="AS20" s="826"/>
      <c r="AT20" s="835"/>
      <c r="AU20" s="425" t="s">
        <v>1803</v>
      </c>
      <c r="AV20" s="308" t="s">
        <v>10</v>
      </c>
      <c r="AW20" s="443"/>
      <c r="AX20" s="263"/>
      <c r="AY20" s="458"/>
      <c r="AZ20" s="263" t="s">
        <v>494</v>
      </c>
      <c r="BA20" s="121" t="s">
        <v>494</v>
      </c>
      <c r="BB20" s="121" t="s">
        <v>494</v>
      </c>
      <c r="BC20" s="121" t="s">
        <v>347</v>
      </c>
      <c r="BD20" s="121" t="s">
        <v>347</v>
      </c>
      <c r="BE20" s="121" t="s">
        <v>347</v>
      </c>
      <c r="BF20" s="121" t="s">
        <v>346</v>
      </c>
      <c r="BG20" s="145" t="s">
        <v>346</v>
      </c>
      <c r="BH20" s="300"/>
      <c r="BI20" s="582"/>
      <c r="BJ20" s="264"/>
      <c r="BL20" s="263"/>
      <c r="BM20" s="121" t="s">
        <v>59</v>
      </c>
      <c r="BN20" s="121"/>
      <c r="BO20" s="263" t="s">
        <v>494</v>
      </c>
      <c r="BP20" s="121" t="s">
        <v>494</v>
      </c>
      <c r="BQ20" s="121" t="s">
        <v>494</v>
      </c>
      <c r="BR20" s="121" t="s">
        <v>347</v>
      </c>
      <c r="BS20" s="121" t="s">
        <v>347</v>
      </c>
      <c r="BT20" s="121" t="s">
        <v>347</v>
      </c>
      <c r="BU20" s="121" t="s">
        <v>346</v>
      </c>
      <c r="BV20" s="145" t="s">
        <v>346</v>
      </c>
      <c r="BW20" s="121"/>
      <c r="BX20" s="458"/>
      <c r="BY20" s="264"/>
    </row>
    <row r="21" spans="1:77" x14ac:dyDescent="0.25">
      <c r="A21" s="742" t="s">
        <v>823</v>
      </c>
      <c r="B21" s="743"/>
      <c r="C21" s="743"/>
      <c r="D21" s="790"/>
      <c r="E21" s="790"/>
      <c r="F21" s="790"/>
      <c r="G21" s="790"/>
      <c r="H21" s="790"/>
      <c r="I21" s="790"/>
      <c r="J21" s="790"/>
      <c r="K21" s="790"/>
      <c r="L21" s="790"/>
      <c r="M21" s="790"/>
      <c r="N21" s="790"/>
      <c r="O21" s="790"/>
      <c r="P21" s="1224"/>
      <c r="Q21" s="1224"/>
      <c r="R21" s="790"/>
      <c r="S21" s="790"/>
      <c r="T21" s="790"/>
      <c r="U21" s="790"/>
      <c r="V21" s="790"/>
      <c r="W21" s="790"/>
      <c r="X21" s="791"/>
      <c r="Y21" s="146"/>
      <c r="Z21" s="427" t="s">
        <v>75</v>
      </c>
      <c r="AA21" s="428" t="s">
        <v>1794</v>
      </c>
      <c r="AB21" s="427" t="s">
        <v>892</v>
      </c>
      <c r="AC21" s="182"/>
      <c r="AD21" s="429" t="s">
        <v>895</v>
      </c>
      <c r="AE21" s="182"/>
      <c r="AF21" s="429" t="s">
        <v>898</v>
      </c>
      <c r="AG21" s="183"/>
      <c r="AH21" s="430" t="s">
        <v>150</v>
      </c>
      <c r="AI21" s="121"/>
      <c r="AJ21" s="145"/>
      <c r="AK21" s="184"/>
      <c r="AL21" s="427" t="s">
        <v>75</v>
      </c>
      <c r="AM21" s="428" t="s">
        <v>1807</v>
      </c>
      <c r="AN21" s="427" t="s">
        <v>892</v>
      </c>
      <c r="AO21" s="182"/>
      <c r="AP21" s="429" t="s">
        <v>895</v>
      </c>
      <c r="AQ21" s="182"/>
      <c r="AR21" s="429" t="s">
        <v>898</v>
      </c>
      <c r="AS21" s="183"/>
      <c r="AT21" s="430" t="s">
        <v>150</v>
      </c>
      <c r="AU21" s="121"/>
      <c r="AV21" s="145"/>
      <c r="AW21" s="146"/>
      <c r="AX21" s="263"/>
      <c r="AY21" s="458"/>
      <c r="AZ21" s="263" t="s">
        <v>494</v>
      </c>
      <c r="BA21" s="121" t="s">
        <v>494</v>
      </c>
      <c r="BB21" s="121" t="s">
        <v>494</v>
      </c>
      <c r="BC21" s="121" t="s">
        <v>347</v>
      </c>
      <c r="BD21" s="121" t="s">
        <v>347</v>
      </c>
      <c r="BE21" s="121" t="s">
        <v>347</v>
      </c>
      <c r="BF21" s="121" t="s">
        <v>346</v>
      </c>
      <c r="BG21" s="145" t="s">
        <v>346</v>
      </c>
      <c r="BH21" s="300"/>
      <c r="BI21" s="582"/>
      <c r="BJ21" s="264"/>
      <c r="BL21" s="263"/>
      <c r="BM21" s="121" t="s">
        <v>59</v>
      </c>
      <c r="BN21" s="121"/>
      <c r="BO21" s="263" t="s">
        <v>494</v>
      </c>
      <c r="BP21" s="121" t="s">
        <v>494</v>
      </c>
      <c r="BQ21" s="121" t="s">
        <v>494</v>
      </c>
      <c r="BR21" s="121" t="s">
        <v>347</v>
      </c>
      <c r="BS21" s="121" t="s">
        <v>347</v>
      </c>
      <c r="BT21" s="121" t="s">
        <v>347</v>
      </c>
      <c r="BU21" s="121" t="s">
        <v>346</v>
      </c>
      <c r="BV21" s="145" t="s">
        <v>346</v>
      </c>
      <c r="BW21" s="121"/>
      <c r="BX21" s="458"/>
      <c r="BY21" s="264"/>
    </row>
    <row r="22" spans="1:77" ht="15" customHeight="1" x14ac:dyDescent="0.25">
      <c r="A22" s="740" t="s">
        <v>824</v>
      </c>
      <c r="B22" s="671"/>
      <c r="C22" s="671"/>
      <c r="D22" s="694"/>
      <c r="E22" s="694"/>
      <c r="F22" s="694"/>
      <c r="G22" s="694"/>
      <c r="H22" s="694"/>
      <c r="I22" s="694"/>
      <c r="J22" s="694"/>
      <c r="K22" s="694"/>
      <c r="L22" s="694"/>
      <c r="M22" s="694"/>
      <c r="N22" s="694"/>
      <c r="O22" s="694"/>
      <c r="P22" s="1225"/>
      <c r="Q22" s="1225"/>
      <c r="R22" s="694"/>
      <c r="S22" s="694"/>
      <c r="T22" s="694"/>
      <c r="U22" s="694"/>
      <c r="V22" s="694"/>
      <c r="W22" s="694"/>
      <c r="X22" s="719"/>
      <c r="Y22" s="146"/>
      <c r="Z22" s="351" t="s">
        <v>0</v>
      </c>
      <c r="AA22" s="145"/>
      <c r="AB22" s="351" t="s">
        <v>893</v>
      </c>
      <c r="AC22" s="121"/>
      <c r="AD22" s="434" t="s">
        <v>896</v>
      </c>
      <c r="AE22" s="121"/>
      <c r="AF22" s="434" t="s">
        <v>899</v>
      </c>
      <c r="AG22" s="145"/>
      <c r="AH22" s="435" t="s">
        <v>151</v>
      </c>
      <c r="AI22" s="121"/>
      <c r="AJ22" s="145"/>
      <c r="AK22" s="184"/>
      <c r="AL22" s="351" t="s">
        <v>0</v>
      </c>
      <c r="AM22" s="145"/>
      <c r="AN22" s="351" t="s">
        <v>893</v>
      </c>
      <c r="AO22" s="121"/>
      <c r="AP22" s="434" t="s">
        <v>896</v>
      </c>
      <c r="AQ22" s="121"/>
      <c r="AR22" s="434" t="s">
        <v>899</v>
      </c>
      <c r="AS22" s="145"/>
      <c r="AT22" s="435" t="s">
        <v>151</v>
      </c>
      <c r="AU22" s="121"/>
      <c r="AV22" s="145"/>
      <c r="AW22" s="146"/>
      <c r="AX22" s="263"/>
      <c r="AY22" s="458"/>
      <c r="AZ22" s="263" t="s">
        <v>494</v>
      </c>
      <c r="BA22" s="121" t="s">
        <v>494</v>
      </c>
      <c r="BB22" s="121" t="s">
        <v>494</v>
      </c>
      <c r="BC22" s="121" t="s">
        <v>347</v>
      </c>
      <c r="BD22" s="121" t="s">
        <v>347</v>
      </c>
      <c r="BE22" s="121" t="s">
        <v>347</v>
      </c>
      <c r="BF22" s="121" t="s">
        <v>346</v>
      </c>
      <c r="BG22" s="145" t="s">
        <v>346</v>
      </c>
      <c r="BH22" s="300"/>
      <c r="BI22" s="582"/>
      <c r="BJ22" s="264"/>
      <c r="BL22" s="263"/>
      <c r="BM22" s="121" t="s">
        <v>59</v>
      </c>
      <c r="BN22" s="121"/>
      <c r="BO22" s="263" t="s">
        <v>494</v>
      </c>
      <c r="BP22" s="121" t="s">
        <v>494</v>
      </c>
      <c r="BQ22" s="121" t="s">
        <v>494</v>
      </c>
      <c r="BR22" s="121" t="s">
        <v>347</v>
      </c>
      <c r="BS22" s="121" t="s">
        <v>347</v>
      </c>
      <c r="BT22" s="121" t="s">
        <v>347</v>
      </c>
      <c r="BU22" s="121" t="s">
        <v>346</v>
      </c>
      <c r="BV22" s="145" t="s">
        <v>346</v>
      </c>
      <c r="BW22" s="121"/>
      <c r="BX22" s="458"/>
      <c r="BY22" s="264"/>
    </row>
    <row r="23" spans="1:77" ht="15.75" customHeight="1" thickBot="1" x14ac:dyDescent="0.3">
      <c r="A23" s="740" t="s">
        <v>825</v>
      </c>
      <c r="B23" s="671"/>
      <c r="C23" s="671"/>
      <c r="D23" s="694"/>
      <c r="E23" s="694"/>
      <c r="F23" s="694"/>
      <c r="G23" s="694"/>
      <c r="H23" s="694"/>
      <c r="I23" s="694"/>
      <c r="J23" s="694"/>
      <c r="K23" s="694"/>
      <c r="L23" s="694"/>
      <c r="M23" s="694"/>
      <c r="N23" s="694"/>
      <c r="O23" s="694"/>
      <c r="P23" s="1225"/>
      <c r="Q23" s="1225"/>
      <c r="R23" s="694"/>
      <c r="S23" s="694"/>
      <c r="T23" s="694"/>
      <c r="U23" s="694"/>
      <c r="V23" s="694"/>
      <c r="W23" s="694"/>
      <c r="X23" s="719"/>
      <c r="Y23" s="146"/>
      <c r="Z23" s="436" t="s">
        <v>77</v>
      </c>
      <c r="AA23" s="188"/>
      <c r="AB23" s="436" t="s">
        <v>894</v>
      </c>
      <c r="AC23" s="122"/>
      <c r="AD23" s="437" t="s">
        <v>897</v>
      </c>
      <c r="AE23" s="122"/>
      <c r="AF23" s="437" t="s">
        <v>900</v>
      </c>
      <c r="AG23" s="188"/>
      <c r="AH23" s="435" t="s">
        <v>152</v>
      </c>
      <c r="AI23" s="121"/>
      <c r="AJ23" s="145"/>
      <c r="AK23" s="184"/>
      <c r="AL23" s="436" t="s">
        <v>77</v>
      </c>
      <c r="AM23" s="188"/>
      <c r="AN23" s="436" t="s">
        <v>894</v>
      </c>
      <c r="AO23" s="122"/>
      <c r="AP23" s="437" t="s">
        <v>897</v>
      </c>
      <c r="AQ23" s="122"/>
      <c r="AR23" s="437" t="s">
        <v>900</v>
      </c>
      <c r="AS23" s="188"/>
      <c r="AT23" s="435" t="s">
        <v>152</v>
      </c>
      <c r="AU23" s="121"/>
      <c r="AV23" s="145"/>
      <c r="AW23" s="146"/>
      <c r="AX23" s="263"/>
      <c r="AY23" s="458"/>
      <c r="AZ23" s="263" t="s">
        <v>494</v>
      </c>
      <c r="BA23" s="121" t="s">
        <v>494</v>
      </c>
      <c r="BB23" s="121" t="s">
        <v>494</v>
      </c>
      <c r="BC23" s="121" t="s">
        <v>347</v>
      </c>
      <c r="BD23" s="121" t="s">
        <v>347</v>
      </c>
      <c r="BE23" s="121" t="s">
        <v>347</v>
      </c>
      <c r="BF23" s="121" t="s">
        <v>346</v>
      </c>
      <c r="BG23" s="145" t="s">
        <v>346</v>
      </c>
      <c r="BH23" s="300"/>
      <c r="BI23" s="582"/>
      <c r="BJ23" s="264"/>
      <c r="BL23" s="263"/>
      <c r="BM23" s="121" t="s">
        <v>59</v>
      </c>
      <c r="BN23" s="121"/>
      <c r="BO23" s="263" t="s">
        <v>494</v>
      </c>
      <c r="BP23" s="121" t="s">
        <v>494</v>
      </c>
      <c r="BQ23" s="121" t="s">
        <v>494</v>
      </c>
      <c r="BR23" s="121" t="s">
        <v>347</v>
      </c>
      <c r="BS23" s="121" t="s">
        <v>347</v>
      </c>
      <c r="BT23" s="121" t="s">
        <v>347</v>
      </c>
      <c r="BU23" s="121" t="s">
        <v>346</v>
      </c>
      <c r="BV23" s="145" t="s">
        <v>346</v>
      </c>
      <c r="BW23" s="121"/>
      <c r="BX23" s="458"/>
      <c r="BY23" s="264"/>
    </row>
    <row r="24" spans="1:77" ht="15.75" thickBot="1" x14ac:dyDescent="0.3">
      <c r="A24" s="740" t="s">
        <v>826</v>
      </c>
      <c r="B24" s="671"/>
      <c r="C24" s="671"/>
      <c r="D24" s="694"/>
      <c r="E24" s="694"/>
      <c r="F24" s="694"/>
      <c r="G24" s="694"/>
      <c r="H24" s="694"/>
      <c r="I24" s="694"/>
      <c r="J24" s="694"/>
      <c r="K24" s="694"/>
      <c r="L24" s="694"/>
      <c r="M24" s="694"/>
      <c r="N24" s="694"/>
      <c r="O24" s="694"/>
      <c r="P24" s="1225"/>
      <c r="Q24" s="1225"/>
      <c r="R24" s="694"/>
      <c r="S24" s="694"/>
      <c r="T24" s="694"/>
      <c r="U24" s="694"/>
      <c r="V24" s="694"/>
      <c r="W24" s="694"/>
      <c r="X24" s="719"/>
      <c r="Y24" s="146"/>
      <c r="Z24" s="349" t="s">
        <v>60</v>
      </c>
      <c r="AA24" s="189"/>
      <c r="AB24" s="438" t="s">
        <v>93</v>
      </c>
      <c r="AC24" s="190"/>
      <c r="AD24" s="431" t="s">
        <v>901</v>
      </c>
      <c r="AE24" s="190"/>
      <c r="AF24" s="431" t="s">
        <v>95</v>
      </c>
      <c r="AG24" s="191"/>
      <c r="AH24" s="439" t="s">
        <v>153</v>
      </c>
      <c r="AI24" s="192"/>
      <c r="AJ24" s="193"/>
      <c r="AK24" s="184"/>
      <c r="AL24" s="349" t="s">
        <v>60</v>
      </c>
      <c r="AM24" s="189"/>
      <c r="AN24" s="438" t="s">
        <v>93</v>
      </c>
      <c r="AO24" s="190"/>
      <c r="AP24" s="431" t="s">
        <v>901</v>
      </c>
      <c r="AQ24" s="190"/>
      <c r="AR24" s="431" t="s">
        <v>95</v>
      </c>
      <c r="AS24" s="191"/>
      <c r="AT24" s="439" t="s">
        <v>153</v>
      </c>
      <c r="AU24" s="192"/>
      <c r="AV24" s="193"/>
      <c r="AW24" s="146"/>
      <c r="AX24" s="263"/>
      <c r="AY24" s="458"/>
      <c r="AZ24" s="263" t="s">
        <v>494</v>
      </c>
      <c r="BA24" s="121" t="s">
        <v>494</v>
      </c>
      <c r="BB24" s="121" t="s">
        <v>494</v>
      </c>
      <c r="BC24" s="121" t="s">
        <v>347</v>
      </c>
      <c r="BD24" s="121" t="s">
        <v>347</v>
      </c>
      <c r="BE24" s="121" t="s">
        <v>347</v>
      </c>
      <c r="BF24" s="121" t="s">
        <v>346</v>
      </c>
      <c r="BG24" s="145" t="s">
        <v>346</v>
      </c>
      <c r="BH24" s="300"/>
      <c r="BI24" s="582"/>
      <c r="BJ24" s="264"/>
      <c r="BL24" s="263"/>
      <c r="BM24" s="121" t="s">
        <v>59</v>
      </c>
      <c r="BN24" s="121"/>
      <c r="BO24" s="263" t="s">
        <v>494</v>
      </c>
      <c r="BP24" s="121" t="s">
        <v>494</v>
      </c>
      <c r="BQ24" s="121" t="s">
        <v>494</v>
      </c>
      <c r="BR24" s="121" t="s">
        <v>347</v>
      </c>
      <c r="BS24" s="121" t="s">
        <v>347</v>
      </c>
      <c r="BT24" s="121" t="s">
        <v>347</v>
      </c>
      <c r="BU24" s="121" t="s">
        <v>346</v>
      </c>
      <c r="BV24" s="145" t="s">
        <v>346</v>
      </c>
      <c r="BW24" s="121"/>
      <c r="BX24" s="458"/>
      <c r="BY24" s="264"/>
    </row>
    <row r="25" spans="1:77" ht="15.75" thickBot="1" x14ac:dyDescent="0.3">
      <c r="A25" s="740" t="s">
        <v>827</v>
      </c>
      <c r="B25" s="671"/>
      <c r="C25" s="671"/>
      <c r="D25" s="694"/>
      <c r="E25" s="694"/>
      <c r="F25" s="694"/>
      <c r="G25" s="694"/>
      <c r="H25" s="694"/>
      <c r="I25" s="694"/>
      <c r="J25" s="694"/>
      <c r="K25" s="694"/>
      <c r="L25" s="694"/>
      <c r="M25" s="694"/>
      <c r="N25" s="694"/>
      <c r="O25" s="694"/>
      <c r="P25" s="1225"/>
      <c r="Q25" s="1225"/>
      <c r="R25" s="694"/>
      <c r="S25" s="694"/>
      <c r="T25" s="694"/>
      <c r="U25" s="694"/>
      <c r="V25" s="694"/>
      <c r="W25" s="694"/>
      <c r="X25" s="719"/>
      <c r="Y25" s="146"/>
      <c r="Z25" s="440" t="s">
        <v>902</v>
      </c>
      <c r="AA25" s="193"/>
      <c r="AB25" s="1218" t="s">
        <v>903</v>
      </c>
      <c r="AC25" s="1219"/>
      <c r="AD25" s="294" t="s">
        <v>88</v>
      </c>
      <c r="AE25" s="194"/>
      <c r="AF25" s="294" t="s">
        <v>89</v>
      </c>
      <c r="AG25" s="194"/>
      <c r="AH25" s="294" t="s">
        <v>90</v>
      </c>
      <c r="AI25" s="194"/>
      <c r="AJ25" s="195"/>
      <c r="AK25" s="184"/>
      <c r="AL25" s="440" t="s">
        <v>902</v>
      </c>
      <c r="AM25" s="193"/>
      <c r="AN25" s="1218" t="s">
        <v>903</v>
      </c>
      <c r="AO25" s="1219"/>
      <c r="AP25" s="294" t="s">
        <v>88</v>
      </c>
      <c r="AQ25" s="194"/>
      <c r="AR25" s="294" t="s">
        <v>89</v>
      </c>
      <c r="AS25" s="194"/>
      <c r="AT25" s="294" t="s">
        <v>90</v>
      </c>
      <c r="AU25" s="194"/>
      <c r="AV25" s="195"/>
      <c r="AW25" s="146"/>
      <c r="AX25" s="263"/>
      <c r="AY25" s="458"/>
      <c r="AZ25" s="263" t="s">
        <v>494</v>
      </c>
      <c r="BA25" s="121" t="s">
        <v>494</v>
      </c>
      <c r="BB25" s="121" t="s">
        <v>494</v>
      </c>
      <c r="BC25" s="121" t="s">
        <v>347</v>
      </c>
      <c r="BD25" s="121" t="s">
        <v>347</v>
      </c>
      <c r="BE25" s="121" t="s">
        <v>347</v>
      </c>
      <c r="BF25" s="121" t="s">
        <v>346</v>
      </c>
      <c r="BG25" s="145" t="s">
        <v>346</v>
      </c>
      <c r="BH25" s="300"/>
      <c r="BI25" s="582"/>
      <c r="BJ25" s="264"/>
      <c r="BL25" s="263"/>
      <c r="BM25" s="121" t="s">
        <v>59</v>
      </c>
      <c r="BN25" s="121"/>
      <c r="BO25" s="263" t="s">
        <v>494</v>
      </c>
      <c r="BP25" s="121" t="s">
        <v>494</v>
      </c>
      <c r="BQ25" s="121" t="s">
        <v>494</v>
      </c>
      <c r="BR25" s="121" t="s">
        <v>347</v>
      </c>
      <c r="BS25" s="121" t="s">
        <v>347</v>
      </c>
      <c r="BT25" s="121" t="s">
        <v>347</v>
      </c>
      <c r="BU25" s="121" t="s">
        <v>346</v>
      </c>
      <c r="BV25" s="145" t="s">
        <v>346</v>
      </c>
      <c r="BW25" s="121"/>
      <c r="BX25" s="458"/>
      <c r="BY25" s="264"/>
    </row>
    <row r="26" spans="1:77" x14ac:dyDescent="0.25">
      <c r="A26" s="740" t="s">
        <v>828</v>
      </c>
      <c r="B26" s="671"/>
      <c r="C26" s="671"/>
      <c r="D26" s="694"/>
      <c r="E26" s="694"/>
      <c r="F26" s="694"/>
      <c r="G26" s="694"/>
      <c r="H26" s="694"/>
      <c r="I26" s="694"/>
      <c r="J26" s="694"/>
      <c r="K26" s="694"/>
      <c r="L26" s="694"/>
      <c r="M26" s="694"/>
      <c r="N26" s="694"/>
      <c r="O26" s="694"/>
      <c r="P26" s="1225"/>
      <c r="Q26" s="1225"/>
      <c r="R26" s="694"/>
      <c r="S26" s="694"/>
      <c r="T26" s="694"/>
      <c r="U26" s="694"/>
      <c r="V26" s="694"/>
      <c r="W26" s="694"/>
      <c r="X26" s="719"/>
      <c r="Y26" s="146"/>
      <c r="Z26" s="349" t="s">
        <v>751</v>
      </c>
      <c r="AA26" s="1217"/>
      <c r="AB26" s="959"/>
      <c r="AC26" s="959"/>
      <c r="AD26" s="959"/>
      <c r="AE26" s="959"/>
      <c r="AF26" s="959"/>
      <c r="AG26" s="959"/>
      <c r="AH26" s="959"/>
      <c r="AI26" s="959"/>
      <c r="AJ26" s="960"/>
      <c r="AK26" s="146"/>
      <c r="AL26" s="349" t="s">
        <v>751</v>
      </c>
      <c r="AM26" s="1217"/>
      <c r="AN26" s="959"/>
      <c r="AO26" s="959"/>
      <c r="AP26" s="959"/>
      <c r="AQ26" s="959"/>
      <c r="AR26" s="959"/>
      <c r="AS26" s="959"/>
      <c r="AT26" s="959"/>
      <c r="AU26" s="959"/>
      <c r="AV26" s="960"/>
      <c r="AW26" s="146"/>
      <c r="AX26" s="263"/>
      <c r="AY26" s="458"/>
      <c r="AZ26" s="263" t="s">
        <v>494</v>
      </c>
      <c r="BA26" s="121" t="s">
        <v>494</v>
      </c>
      <c r="BB26" s="121" t="s">
        <v>494</v>
      </c>
      <c r="BC26" s="121" t="s">
        <v>347</v>
      </c>
      <c r="BD26" s="121" t="s">
        <v>347</v>
      </c>
      <c r="BE26" s="121" t="s">
        <v>347</v>
      </c>
      <c r="BF26" s="121" t="s">
        <v>346</v>
      </c>
      <c r="BG26" s="145" t="s">
        <v>346</v>
      </c>
      <c r="BH26" s="300"/>
      <c r="BI26" s="582"/>
      <c r="BJ26" s="264"/>
      <c r="BL26" s="263"/>
      <c r="BM26" s="121" t="s">
        <v>59</v>
      </c>
      <c r="BN26" s="121"/>
      <c r="BO26" s="263" t="s">
        <v>494</v>
      </c>
      <c r="BP26" s="121" t="s">
        <v>494</v>
      </c>
      <c r="BQ26" s="121" t="s">
        <v>494</v>
      </c>
      <c r="BR26" s="121" t="s">
        <v>347</v>
      </c>
      <c r="BS26" s="121" t="s">
        <v>347</v>
      </c>
      <c r="BT26" s="121" t="s">
        <v>347</v>
      </c>
      <c r="BU26" s="121" t="s">
        <v>346</v>
      </c>
      <c r="BV26" s="145" t="s">
        <v>346</v>
      </c>
      <c r="BW26" s="121"/>
      <c r="BX26" s="458"/>
      <c r="BY26" s="264"/>
    </row>
    <row r="27" spans="1:77" x14ac:dyDescent="0.25">
      <c r="A27" s="740" t="s">
        <v>829</v>
      </c>
      <c r="B27" s="671"/>
      <c r="C27" s="671"/>
      <c r="D27" s="694"/>
      <c r="E27" s="694"/>
      <c r="F27" s="694"/>
      <c r="G27" s="694"/>
      <c r="H27" s="694"/>
      <c r="I27" s="694"/>
      <c r="J27" s="694"/>
      <c r="K27" s="694"/>
      <c r="L27" s="694"/>
      <c r="M27" s="694"/>
      <c r="N27" s="694"/>
      <c r="O27" s="694"/>
      <c r="P27" s="1225"/>
      <c r="Q27" s="1225"/>
      <c r="R27" s="694"/>
      <c r="S27" s="694"/>
      <c r="T27" s="694"/>
      <c r="U27" s="694"/>
      <c r="V27" s="694"/>
      <c r="W27" s="694"/>
      <c r="X27" s="719"/>
      <c r="Y27" s="146"/>
      <c r="Z27" s="351" t="s">
        <v>69</v>
      </c>
      <c r="AA27" s="694"/>
      <c r="AB27" s="694"/>
      <c r="AC27" s="694"/>
      <c r="AD27" s="694"/>
      <c r="AE27" s="694"/>
      <c r="AF27" s="694"/>
      <c r="AG27" s="694"/>
      <c r="AH27" s="694"/>
      <c r="AI27" s="694"/>
      <c r="AJ27" s="719"/>
      <c r="AK27" s="146"/>
      <c r="AL27" s="351" t="s">
        <v>69</v>
      </c>
      <c r="AM27" s="694"/>
      <c r="AN27" s="694"/>
      <c r="AO27" s="694"/>
      <c r="AP27" s="694"/>
      <c r="AQ27" s="694"/>
      <c r="AR27" s="694"/>
      <c r="AS27" s="694"/>
      <c r="AT27" s="694"/>
      <c r="AU27" s="694"/>
      <c r="AV27" s="719"/>
      <c r="AW27" s="146"/>
      <c r="AX27" s="263"/>
      <c r="AY27" s="458"/>
      <c r="AZ27" s="263" t="s">
        <v>494</v>
      </c>
      <c r="BA27" s="121" t="s">
        <v>494</v>
      </c>
      <c r="BB27" s="121" t="s">
        <v>494</v>
      </c>
      <c r="BC27" s="121" t="s">
        <v>347</v>
      </c>
      <c r="BD27" s="121" t="s">
        <v>347</v>
      </c>
      <c r="BE27" s="121" t="s">
        <v>347</v>
      </c>
      <c r="BF27" s="121" t="s">
        <v>346</v>
      </c>
      <c r="BG27" s="145" t="s">
        <v>346</v>
      </c>
      <c r="BH27" s="300"/>
      <c r="BI27" s="582"/>
      <c r="BJ27" s="264"/>
      <c r="BL27" s="263"/>
      <c r="BM27" s="121" t="s">
        <v>59</v>
      </c>
      <c r="BN27" s="121"/>
      <c r="BO27" s="263" t="s">
        <v>494</v>
      </c>
      <c r="BP27" s="121" t="s">
        <v>494</v>
      </c>
      <c r="BQ27" s="121" t="s">
        <v>494</v>
      </c>
      <c r="BR27" s="121" t="s">
        <v>347</v>
      </c>
      <c r="BS27" s="121" t="s">
        <v>347</v>
      </c>
      <c r="BT27" s="121" t="s">
        <v>347</v>
      </c>
      <c r="BU27" s="121" t="s">
        <v>346</v>
      </c>
      <c r="BV27" s="145" t="s">
        <v>346</v>
      </c>
      <c r="BW27" s="121"/>
      <c r="BX27" s="458"/>
      <c r="BY27" s="264"/>
    </row>
    <row r="28" spans="1:77" ht="15.75" thickBot="1" x14ac:dyDescent="0.3">
      <c r="A28" s="740" t="s">
        <v>830</v>
      </c>
      <c r="B28" s="671"/>
      <c r="C28" s="671"/>
      <c r="D28" s="694"/>
      <c r="E28" s="694"/>
      <c r="F28" s="694"/>
      <c r="G28" s="694"/>
      <c r="H28" s="694"/>
      <c r="I28" s="694"/>
      <c r="J28" s="694"/>
      <c r="K28" s="694"/>
      <c r="L28" s="694"/>
      <c r="M28" s="694"/>
      <c r="N28" s="694"/>
      <c r="O28" s="694"/>
      <c r="P28" s="1225"/>
      <c r="Q28" s="1225"/>
      <c r="R28" s="694"/>
      <c r="S28" s="694"/>
      <c r="T28" s="694"/>
      <c r="U28" s="694"/>
      <c r="V28" s="694"/>
      <c r="W28" s="694"/>
      <c r="X28" s="719"/>
      <c r="Y28" s="146"/>
      <c r="Z28" s="351" t="s">
        <v>1812</v>
      </c>
      <c r="AA28" s="694"/>
      <c r="AB28" s="694"/>
      <c r="AC28" s="694"/>
      <c r="AD28" s="694"/>
      <c r="AE28" s="694"/>
      <c r="AF28" s="694"/>
      <c r="AG28" s="694"/>
      <c r="AH28" s="694"/>
      <c r="AI28" s="694"/>
      <c r="AJ28" s="719"/>
      <c r="AK28" s="146"/>
      <c r="AL28" s="351" t="s">
        <v>906</v>
      </c>
      <c r="AM28" s="694"/>
      <c r="AN28" s="694"/>
      <c r="AO28" s="694"/>
      <c r="AP28" s="694"/>
      <c r="AQ28" s="694"/>
      <c r="AR28" s="694"/>
      <c r="AS28" s="694"/>
      <c r="AT28" s="694"/>
      <c r="AU28" s="694"/>
      <c r="AV28" s="719"/>
      <c r="AW28" s="146"/>
      <c r="AX28" s="265"/>
      <c r="AY28" s="459"/>
      <c r="AZ28" s="265" t="s">
        <v>494</v>
      </c>
      <c r="BA28" s="122" t="s">
        <v>494</v>
      </c>
      <c r="BB28" s="122" t="s">
        <v>494</v>
      </c>
      <c r="BC28" s="122" t="s">
        <v>347</v>
      </c>
      <c r="BD28" s="122" t="s">
        <v>347</v>
      </c>
      <c r="BE28" s="122" t="s">
        <v>347</v>
      </c>
      <c r="BF28" s="122" t="s">
        <v>346</v>
      </c>
      <c r="BG28" s="188" t="s">
        <v>346</v>
      </c>
      <c r="BH28" s="305"/>
      <c r="BI28" s="583"/>
      <c r="BJ28" s="266"/>
      <c r="BL28" s="263"/>
      <c r="BM28" s="121" t="s">
        <v>59</v>
      </c>
      <c r="BN28" s="121"/>
      <c r="BO28" s="263" t="s">
        <v>494</v>
      </c>
      <c r="BP28" s="121" t="s">
        <v>494</v>
      </c>
      <c r="BQ28" s="121" t="s">
        <v>494</v>
      </c>
      <c r="BR28" s="121" t="s">
        <v>347</v>
      </c>
      <c r="BS28" s="121" t="s">
        <v>347</v>
      </c>
      <c r="BT28" s="121" t="s">
        <v>347</v>
      </c>
      <c r="BU28" s="121" t="s">
        <v>346</v>
      </c>
      <c r="BV28" s="145" t="s">
        <v>346</v>
      </c>
      <c r="BW28" s="121"/>
      <c r="BX28" s="458"/>
      <c r="BY28" s="264"/>
    </row>
    <row r="29" spans="1:77" ht="15.75" thickBot="1" x14ac:dyDescent="0.3">
      <c r="A29" s="740" t="s">
        <v>831</v>
      </c>
      <c r="B29" s="671"/>
      <c r="C29" s="671"/>
      <c r="D29" s="694"/>
      <c r="E29" s="694"/>
      <c r="F29" s="694"/>
      <c r="G29" s="694"/>
      <c r="H29" s="694"/>
      <c r="I29" s="694"/>
      <c r="J29" s="694"/>
      <c r="K29" s="694"/>
      <c r="L29" s="694"/>
      <c r="M29" s="694"/>
      <c r="N29" s="694"/>
      <c r="O29" s="694"/>
      <c r="P29" s="1225"/>
      <c r="Q29" s="1225"/>
      <c r="R29" s="694"/>
      <c r="S29" s="694"/>
      <c r="T29" s="694"/>
      <c r="U29" s="694"/>
      <c r="V29" s="694"/>
      <c r="W29" s="694"/>
      <c r="X29" s="719"/>
      <c r="Y29" s="146"/>
      <c r="Z29" s="436" t="s">
        <v>907</v>
      </c>
      <c r="AA29" s="792"/>
      <c r="AB29" s="792"/>
      <c r="AC29" s="792"/>
      <c r="AD29" s="792"/>
      <c r="AE29" s="792"/>
      <c r="AF29" s="792"/>
      <c r="AG29" s="792"/>
      <c r="AH29" s="792"/>
      <c r="AI29" s="792"/>
      <c r="AJ29" s="793"/>
      <c r="AK29" s="146"/>
      <c r="AL29" s="436" t="s">
        <v>907</v>
      </c>
      <c r="AM29" s="792"/>
      <c r="AN29" s="792"/>
      <c r="AO29" s="792"/>
      <c r="AP29" s="792"/>
      <c r="AQ29" s="792"/>
      <c r="AR29" s="792"/>
      <c r="AS29" s="792"/>
      <c r="AT29" s="792"/>
      <c r="AU29" s="792"/>
      <c r="AV29" s="793"/>
      <c r="AW29" s="146"/>
      <c r="AX29" s="721" t="s">
        <v>3577</v>
      </c>
      <c r="AY29" s="722"/>
      <c r="AZ29" s="833"/>
      <c r="BA29" s="721" t="s">
        <v>2087</v>
      </c>
      <c r="BB29" s="1208" t="s">
        <v>2084</v>
      </c>
      <c r="BC29" s="1209"/>
      <c r="BD29" s="1209"/>
      <c r="BE29" s="1210"/>
      <c r="BF29" s="721" t="s">
        <v>2083</v>
      </c>
      <c r="BG29" s="722"/>
      <c r="BH29" s="1228"/>
      <c r="BI29" s="1229"/>
      <c r="BJ29" s="1230"/>
      <c r="BL29" s="263"/>
      <c r="BM29" s="121" t="s">
        <v>59</v>
      </c>
      <c r="BN29" s="121"/>
      <c r="BO29" s="263" t="s">
        <v>494</v>
      </c>
      <c r="BP29" s="121" t="s">
        <v>494</v>
      </c>
      <c r="BQ29" s="121" t="s">
        <v>494</v>
      </c>
      <c r="BR29" s="121" t="s">
        <v>347</v>
      </c>
      <c r="BS29" s="121" t="s">
        <v>347</v>
      </c>
      <c r="BT29" s="121" t="s">
        <v>347</v>
      </c>
      <c r="BU29" s="121" t="s">
        <v>346</v>
      </c>
      <c r="BV29" s="145" t="s">
        <v>346</v>
      </c>
      <c r="BW29" s="121"/>
      <c r="BX29" s="458"/>
      <c r="BY29" s="264"/>
    </row>
    <row r="30" spans="1:77" ht="15.75" thickBot="1" x14ac:dyDescent="0.3">
      <c r="A30" s="740" t="s">
        <v>832</v>
      </c>
      <c r="B30" s="671"/>
      <c r="C30" s="671"/>
      <c r="D30" s="694"/>
      <c r="E30" s="694"/>
      <c r="F30" s="694"/>
      <c r="G30" s="694"/>
      <c r="H30" s="694"/>
      <c r="I30" s="694"/>
      <c r="J30" s="694"/>
      <c r="K30" s="694"/>
      <c r="L30" s="694"/>
      <c r="M30" s="694"/>
      <c r="N30" s="694"/>
      <c r="O30" s="694"/>
      <c r="P30" s="1225"/>
      <c r="Q30" s="1225"/>
      <c r="R30" s="694"/>
      <c r="S30" s="694"/>
      <c r="T30" s="694"/>
      <c r="U30" s="694"/>
      <c r="V30" s="694"/>
      <c r="W30" s="694"/>
      <c r="X30" s="719"/>
      <c r="Y30" s="146"/>
      <c r="Z30" s="441" t="s">
        <v>115</v>
      </c>
      <c r="AA30" s="307" t="s">
        <v>75</v>
      </c>
      <c r="AB30" s="307" t="s">
        <v>117</v>
      </c>
      <c r="AC30" s="307" t="s">
        <v>118</v>
      </c>
      <c r="AD30" s="307" t="s">
        <v>905</v>
      </c>
      <c r="AE30" s="307" t="s">
        <v>124</v>
      </c>
      <c r="AF30" s="308" t="s">
        <v>121</v>
      </c>
      <c r="AG30" s="684"/>
      <c r="AH30" s="685"/>
      <c r="AI30" s="685"/>
      <c r="AJ30" s="688"/>
      <c r="AK30" s="442"/>
      <c r="AL30" s="441" t="s">
        <v>115</v>
      </c>
      <c r="AM30" s="307" t="s">
        <v>75</v>
      </c>
      <c r="AN30" s="307" t="s">
        <v>117</v>
      </c>
      <c r="AO30" s="307" t="s">
        <v>118</v>
      </c>
      <c r="AP30" s="307" t="s">
        <v>905</v>
      </c>
      <c r="AQ30" s="307" t="s">
        <v>124</v>
      </c>
      <c r="AR30" s="308" t="s">
        <v>121</v>
      </c>
      <c r="AS30" s="684"/>
      <c r="AT30" s="685"/>
      <c r="AU30" s="685"/>
      <c r="AV30" s="688"/>
      <c r="AW30" s="442"/>
      <c r="AX30" s="780"/>
      <c r="AY30" s="781"/>
      <c r="AZ30" s="834"/>
      <c r="BA30" s="780"/>
      <c r="BB30" s="1211"/>
      <c r="BC30" s="1084"/>
      <c r="BD30" s="1084"/>
      <c r="BE30" s="1085"/>
      <c r="BF30" s="780"/>
      <c r="BG30" s="781"/>
      <c r="BH30" s="1231"/>
      <c r="BI30" s="1232"/>
      <c r="BJ30" s="1233"/>
      <c r="BL30" s="263"/>
      <c r="BM30" s="121" t="s">
        <v>59</v>
      </c>
      <c r="BN30" s="121"/>
      <c r="BO30" s="263" t="s">
        <v>494</v>
      </c>
      <c r="BP30" s="121" t="s">
        <v>494</v>
      </c>
      <c r="BQ30" s="121" t="s">
        <v>494</v>
      </c>
      <c r="BR30" s="121" t="s">
        <v>347</v>
      </c>
      <c r="BS30" s="121" t="s">
        <v>347</v>
      </c>
      <c r="BT30" s="121" t="s">
        <v>347</v>
      </c>
      <c r="BU30" s="121" t="s">
        <v>346</v>
      </c>
      <c r="BV30" s="145" t="s">
        <v>346</v>
      </c>
      <c r="BW30" s="121"/>
      <c r="BX30" s="458"/>
      <c r="BY30" s="264"/>
    </row>
    <row r="31" spans="1:77" ht="15" customHeight="1" x14ac:dyDescent="0.25">
      <c r="A31" s="740" t="s">
        <v>1777</v>
      </c>
      <c r="B31" s="671"/>
      <c r="C31" s="671"/>
      <c r="D31" s="694"/>
      <c r="E31" s="694"/>
      <c r="F31" s="694"/>
      <c r="G31" s="694"/>
      <c r="H31" s="694"/>
      <c r="I31" s="694"/>
      <c r="J31" s="694"/>
      <c r="K31" s="694"/>
      <c r="L31" s="694"/>
      <c r="M31" s="694"/>
      <c r="N31" s="694"/>
      <c r="O31" s="694"/>
      <c r="P31" s="1225"/>
      <c r="Q31" s="1225"/>
      <c r="R31" s="694"/>
      <c r="S31" s="694"/>
      <c r="T31" s="694"/>
      <c r="U31" s="694"/>
      <c r="V31" s="694"/>
      <c r="W31" s="694"/>
      <c r="X31" s="719"/>
      <c r="Y31" s="146"/>
      <c r="Z31" s="351" t="s">
        <v>1795</v>
      </c>
      <c r="AA31" s="121"/>
      <c r="AB31" s="121"/>
      <c r="AC31" s="121"/>
      <c r="AD31" s="121"/>
      <c r="AE31" s="121"/>
      <c r="AF31" s="145"/>
      <c r="AG31" s="686"/>
      <c r="AH31" s="771"/>
      <c r="AI31" s="771"/>
      <c r="AJ31" s="689"/>
      <c r="AK31" s="442"/>
      <c r="AL31" s="351" t="s">
        <v>1795</v>
      </c>
      <c r="AM31" s="121"/>
      <c r="AN31" s="121"/>
      <c r="AO31" s="121"/>
      <c r="AP31" s="121"/>
      <c r="AQ31" s="121"/>
      <c r="AR31" s="145"/>
      <c r="AS31" s="686"/>
      <c r="AT31" s="771"/>
      <c r="AU31" s="771"/>
      <c r="AV31" s="689"/>
      <c r="AW31" s="442"/>
      <c r="AX31" s="1239" t="s">
        <v>939</v>
      </c>
      <c r="AY31" s="1237" t="s">
        <v>71</v>
      </c>
      <c r="AZ31" s="881" t="s">
        <v>2085</v>
      </c>
      <c r="BA31" s="881" t="s">
        <v>2086</v>
      </c>
      <c r="BB31" s="881" t="s">
        <v>3575</v>
      </c>
      <c r="BC31" s="1215" t="s">
        <v>3574</v>
      </c>
      <c r="BD31" s="1212" t="s">
        <v>3576</v>
      </c>
      <c r="BE31" s="881" t="s">
        <v>60</v>
      </c>
      <c r="BF31" s="881" t="s">
        <v>527</v>
      </c>
      <c r="BG31" s="722" t="s">
        <v>3571</v>
      </c>
      <c r="BH31" s="881" t="s">
        <v>33</v>
      </c>
      <c r="BI31" s="1212" t="s">
        <v>3605</v>
      </c>
      <c r="BJ31" s="1206" t="s">
        <v>528</v>
      </c>
      <c r="BL31" s="263"/>
      <c r="BM31" s="121" t="s">
        <v>59</v>
      </c>
      <c r="BN31" s="121"/>
      <c r="BO31" s="263" t="s">
        <v>494</v>
      </c>
      <c r="BP31" s="121" t="s">
        <v>494</v>
      </c>
      <c r="BQ31" s="121" t="s">
        <v>494</v>
      </c>
      <c r="BR31" s="121" t="s">
        <v>347</v>
      </c>
      <c r="BS31" s="121" t="s">
        <v>347</v>
      </c>
      <c r="BT31" s="121" t="s">
        <v>347</v>
      </c>
      <c r="BU31" s="121" t="s">
        <v>346</v>
      </c>
      <c r="BV31" s="145" t="s">
        <v>346</v>
      </c>
      <c r="BW31" s="121"/>
      <c r="BX31" s="458"/>
      <c r="BY31" s="264"/>
    </row>
    <row r="32" spans="1:77" ht="15.75" thickBot="1" x14ac:dyDescent="0.3">
      <c r="A32" s="740" t="s">
        <v>1778</v>
      </c>
      <c r="B32" s="671"/>
      <c r="C32" s="671"/>
      <c r="D32" s="694"/>
      <c r="E32" s="694"/>
      <c r="F32" s="694"/>
      <c r="G32" s="694"/>
      <c r="H32" s="694"/>
      <c r="I32" s="694"/>
      <c r="J32" s="694"/>
      <c r="K32" s="694"/>
      <c r="L32" s="694"/>
      <c r="M32" s="694"/>
      <c r="N32" s="694"/>
      <c r="O32" s="694"/>
      <c r="P32" s="1225"/>
      <c r="Q32" s="1225"/>
      <c r="R32" s="694"/>
      <c r="S32" s="694"/>
      <c r="T32" s="694"/>
      <c r="U32" s="694"/>
      <c r="V32" s="694"/>
      <c r="W32" s="694"/>
      <c r="X32" s="719"/>
      <c r="Y32" s="146"/>
      <c r="Z32" s="351" t="s">
        <v>1796</v>
      </c>
      <c r="AA32" s="121"/>
      <c r="AB32" s="121"/>
      <c r="AC32" s="121"/>
      <c r="AD32" s="121"/>
      <c r="AE32" s="121"/>
      <c r="AF32" s="145"/>
      <c r="AG32" s="686"/>
      <c r="AH32" s="771"/>
      <c r="AI32" s="771"/>
      <c r="AJ32" s="689"/>
      <c r="AK32" s="442"/>
      <c r="AL32" s="351" t="s">
        <v>1796</v>
      </c>
      <c r="AM32" s="121"/>
      <c r="AN32" s="121"/>
      <c r="AO32" s="121"/>
      <c r="AP32" s="121"/>
      <c r="AQ32" s="121"/>
      <c r="AR32" s="145"/>
      <c r="AS32" s="686"/>
      <c r="AT32" s="771"/>
      <c r="AU32" s="771"/>
      <c r="AV32" s="689"/>
      <c r="AW32" s="442"/>
      <c r="AX32" s="1240"/>
      <c r="AY32" s="1238"/>
      <c r="AZ32" s="1235"/>
      <c r="BA32" s="1235"/>
      <c r="BB32" s="1235"/>
      <c r="BC32" s="1236"/>
      <c r="BD32" s="1214"/>
      <c r="BE32" s="1235"/>
      <c r="BF32" s="1235"/>
      <c r="BG32" s="781"/>
      <c r="BH32" s="900"/>
      <c r="BI32" s="1213"/>
      <c r="BJ32" s="1207"/>
      <c r="BL32" s="263"/>
      <c r="BM32" s="121" t="s">
        <v>59</v>
      </c>
      <c r="BN32" s="121"/>
      <c r="BO32" s="263" t="s">
        <v>494</v>
      </c>
      <c r="BP32" s="121" t="s">
        <v>494</v>
      </c>
      <c r="BQ32" s="121" t="s">
        <v>494</v>
      </c>
      <c r="BR32" s="121" t="s">
        <v>347</v>
      </c>
      <c r="BS32" s="121" t="s">
        <v>347</v>
      </c>
      <c r="BT32" s="121" t="s">
        <v>347</v>
      </c>
      <c r="BU32" s="121" t="s">
        <v>346</v>
      </c>
      <c r="BV32" s="145" t="s">
        <v>346</v>
      </c>
      <c r="BW32" s="121"/>
      <c r="BX32" s="458"/>
      <c r="BY32" s="264"/>
    </row>
    <row r="33" spans="1:77" x14ac:dyDescent="0.25">
      <c r="A33" s="740" t="s">
        <v>1779</v>
      </c>
      <c r="B33" s="671"/>
      <c r="C33" s="671"/>
      <c r="D33" s="694"/>
      <c r="E33" s="694"/>
      <c r="F33" s="694"/>
      <c r="G33" s="694"/>
      <c r="H33" s="694"/>
      <c r="I33" s="694"/>
      <c r="J33" s="694"/>
      <c r="K33" s="694"/>
      <c r="L33" s="694"/>
      <c r="M33" s="694"/>
      <c r="N33" s="694"/>
      <c r="O33" s="694"/>
      <c r="P33" s="1225"/>
      <c r="Q33" s="1225"/>
      <c r="R33" s="694"/>
      <c r="S33" s="694"/>
      <c r="T33" s="694"/>
      <c r="U33" s="694"/>
      <c r="V33" s="694"/>
      <c r="W33" s="694"/>
      <c r="X33" s="719"/>
      <c r="Y33" s="146"/>
      <c r="Z33" s="351" t="s">
        <v>1797</v>
      </c>
      <c r="AA33" s="121"/>
      <c r="AB33" s="121"/>
      <c r="AC33" s="121"/>
      <c r="AD33" s="121"/>
      <c r="AE33" s="121"/>
      <c r="AF33" s="145"/>
      <c r="AG33" s="686"/>
      <c r="AH33" s="771"/>
      <c r="AI33" s="771"/>
      <c r="AJ33" s="689"/>
      <c r="AK33" s="442"/>
      <c r="AL33" s="351" t="s">
        <v>1797</v>
      </c>
      <c r="AM33" s="121"/>
      <c r="AN33" s="121"/>
      <c r="AO33" s="121"/>
      <c r="AP33" s="121"/>
      <c r="AQ33" s="121"/>
      <c r="AR33" s="145"/>
      <c r="AS33" s="686"/>
      <c r="AT33" s="771"/>
      <c r="AU33" s="771"/>
      <c r="AV33" s="689"/>
      <c r="AW33" s="442"/>
      <c r="AX33" s="261"/>
      <c r="AY33" s="457"/>
      <c r="AZ33" s="261" t="s">
        <v>494</v>
      </c>
      <c r="BA33" s="185" t="s">
        <v>494</v>
      </c>
      <c r="BB33" s="185" t="s">
        <v>494</v>
      </c>
      <c r="BC33" s="185" t="s">
        <v>347</v>
      </c>
      <c r="BD33" s="185" t="s">
        <v>347</v>
      </c>
      <c r="BE33" s="185" t="s">
        <v>347</v>
      </c>
      <c r="BF33" s="185" t="s">
        <v>346</v>
      </c>
      <c r="BG33" s="189" t="s">
        <v>346</v>
      </c>
      <c r="BH33" s="460"/>
      <c r="BI33" s="581"/>
      <c r="BJ33" s="262"/>
      <c r="BL33" s="263"/>
      <c r="BM33" s="121" t="s">
        <v>59</v>
      </c>
      <c r="BN33" s="121"/>
      <c r="BO33" s="263" t="s">
        <v>494</v>
      </c>
      <c r="BP33" s="121" t="s">
        <v>494</v>
      </c>
      <c r="BQ33" s="121" t="s">
        <v>494</v>
      </c>
      <c r="BR33" s="121" t="s">
        <v>347</v>
      </c>
      <c r="BS33" s="121" t="s">
        <v>347</v>
      </c>
      <c r="BT33" s="121" t="s">
        <v>347</v>
      </c>
      <c r="BU33" s="121" t="s">
        <v>346</v>
      </c>
      <c r="BV33" s="145" t="s">
        <v>346</v>
      </c>
      <c r="BW33" s="121"/>
      <c r="BX33" s="458"/>
      <c r="BY33" s="264"/>
    </row>
    <row r="34" spans="1:77" x14ac:dyDescent="0.25">
      <c r="A34" s="740" t="s">
        <v>1780</v>
      </c>
      <c r="B34" s="671"/>
      <c r="C34" s="671"/>
      <c r="D34" s="694"/>
      <c r="E34" s="694"/>
      <c r="F34" s="694"/>
      <c r="G34" s="694"/>
      <c r="H34" s="694"/>
      <c r="I34" s="694"/>
      <c r="J34" s="694"/>
      <c r="K34" s="694"/>
      <c r="L34" s="694"/>
      <c r="M34" s="694"/>
      <c r="N34" s="694"/>
      <c r="O34" s="694"/>
      <c r="P34" s="1225"/>
      <c r="Q34" s="1225"/>
      <c r="R34" s="694"/>
      <c r="S34" s="694"/>
      <c r="T34" s="694"/>
      <c r="U34" s="694"/>
      <c r="V34" s="694"/>
      <c r="W34" s="694"/>
      <c r="X34" s="719"/>
      <c r="Y34" s="146"/>
      <c r="Z34" s="351" t="s">
        <v>1798</v>
      </c>
      <c r="AA34" s="121"/>
      <c r="AB34" s="121"/>
      <c r="AC34" s="121"/>
      <c r="AD34" s="121"/>
      <c r="AE34" s="121"/>
      <c r="AF34" s="145"/>
      <c r="AG34" s="686"/>
      <c r="AH34" s="771"/>
      <c r="AI34" s="771"/>
      <c r="AJ34" s="689"/>
      <c r="AK34" s="442"/>
      <c r="AL34" s="351" t="s">
        <v>1798</v>
      </c>
      <c r="AM34" s="121"/>
      <c r="AN34" s="121"/>
      <c r="AO34" s="121"/>
      <c r="AP34" s="121"/>
      <c r="AQ34" s="121"/>
      <c r="AR34" s="145"/>
      <c r="AS34" s="686"/>
      <c r="AT34" s="771"/>
      <c r="AU34" s="771"/>
      <c r="AV34" s="689"/>
      <c r="AW34" s="442"/>
      <c r="AX34" s="263"/>
      <c r="AY34" s="458"/>
      <c r="AZ34" s="263" t="s">
        <v>494</v>
      </c>
      <c r="BA34" s="121" t="s">
        <v>494</v>
      </c>
      <c r="BB34" s="121" t="s">
        <v>494</v>
      </c>
      <c r="BC34" s="121" t="s">
        <v>347</v>
      </c>
      <c r="BD34" s="121" t="s">
        <v>347</v>
      </c>
      <c r="BE34" s="121" t="s">
        <v>347</v>
      </c>
      <c r="BF34" s="121" t="s">
        <v>346</v>
      </c>
      <c r="BG34" s="145" t="s">
        <v>346</v>
      </c>
      <c r="BH34" s="300"/>
      <c r="BI34" s="582"/>
      <c r="BJ34" s="264"/>
      <c r="BL34" s="263"/>
      <c r="BM34" s="121" t="s">
        <v>59</v>
      </c>
      <c r="BN34" s="121"/>
      <c r="BO34" s="263" t="s">
        <v>494</v>
      </c>
      <c r="BP34" s="121" t="s">
        <v>494</v>
      </c>
      <c r="BQ34" s="121" t="s">
        <v>494</v>
      </c>
      <c r="BR34" s="121" t="s">
        <v>347</v>
      </c>
      <c r="BS34" s="121" t="s">
        <v>347</v>
      </c>
      <c r="BT34" s="121" t="s">
        <v>347</v>
      </c>
      <c r="BU34" s="121" t="s">
        <v>346</v>
      </c>
      <c r="BV34" s="145" t="s">
        <v>346</v>
      </c>
      <c r="BW34" s="121"/>
      <c r="BX34" s="458"/>
      <c r="BY34" s="264"/>
    </row>
    <row r="35" spans="1:77" ht="15.75" thickBot="1" x14ac:dyDescent="0.3">
      <c r="A35" s="735" t="s">
        <v>1781</v>
      </c>
      <c r="B35" s="712"/>
      <c r="C35" s="712"/>
      <c r="D35" s="792"/>
      <c r="E35" s="792"/>
      <c r="F35" s="792"/>
      <c r="G35" s="792"/>
      <c r="H35" s="792"/>
      <c r="I35" s="792"/>
      <c r="J35" s="792"/>
      <c r="K35" s="792"/>
      <c r="L35" s="792"/>
      <c r="M35" s="792"/>
      <c r="N35" s="792"/>
      <c r="O35" s="792"/>
      <c r="P35" s="1234"/>
      <c r="Q35" s="1234"/>
      <c r="R35" s="792"/>
      <c r="S35" s="792"/>
      <c r="T35" s="792"/>
      <c r="U35" s="792"/>
      <c r="V35" s="792"/>
      <c r="W35" s="792"/>
      <c r="X35" s="793"/>
      <c r="Z35" s="351" t="s">
        <v>1799</v>
      </c>
      <c r="AA35" s="121"/>
      <c r="AB35" s="121"/>
      <c r="AC35" s="121"/>
      <c r="AD35" s="121"/>
      <c r="AE35" s="121"/>
      <c r="AF35" s="145"/>
      <c r="AG35" s="686"/>
      <c r="AH35" s="771"/>
      <c r="AI35" s="771"/>
      <c r="AJ35" s="689"/>
      <c r="AK35" s="442"/>
      <c r="AL35" s="351" t="s">
        <v>1799</v>
      </c>
      <c r="AM35" s="121"/>
      <c r="AN35" s="121"/>
      <c r="AO35" s="121"/>
      <c r="AP35" s="121"/>
      <c r="AQ35" s="121"/>
      <c r="AR35" s="145"/>
      <c r="AS35" s="686"/>
      <c r="AT35" s="771"/>
      <c r="AU35" s="771"/>
      <c r="AV35" s="689"/>
      <c r="AW35" s="442"/>
      <c r="AX35" s="263"/>
      <c r="AY35" s="458"/>
      <c r="AZ35" s="263" t="s">
        <v>494</v>
      </c>
      <c r="BA35" s="121" t="s">
        <v>494</v>
      </c>
      <c r="BB35" s="121" t="s">
        <v>494</v>
      </c>
      <c r="BC35" s="121" t="s">
        <v>347</v>
      </c>
      <c r="BD35" s="121" t="s">
        <v>347</v>
      </c>
      <c r="BE35" s="121" t="s">
        <v>347</v>
      </c>
      <c r="BF35" s="121" t="s">
        <v>346</v>
      </c>
      <c r="BG35" s="145" t="s">
        <v>346</v>
      </c>
      <c r="BH35" s="300"/>
      <c r="BI35" s="582"/>
      <c r="BJ35" s="264"/>
      <c r="BL35" s="263"/>
      <c r="BM35" s="121" t="s">
        <v>59</v>
      </c>
      <c r="BN35" s="121"/>
      <c r="BO35" s="263" t="s">
        <v>494</v>
      </c>
      <c r="BP35" s="121" t="s">
        <v>494</v>
      </c>
      <c r="BQ35" s="121" t="s">
        <v>494</v>
      </c>
      <c r="BR35" s="121" t="s">
        <v>347</v>
      </c>
      <c r="BS35" s="121" t="s">
        <v>347</v>
      </c>
      <c r="BT35" s="121" t="s">
        <v>347</v>
      </c>
      <c r="BU35" s="121" t="s">
        <v>346</v>
      </c>
      <c r="BV35" s="145" t="s">
        <v>346</v>
      </c>
      <c r="BW35" s="121"/>
      <c r="BX35" s="458"/>
      <c r="BY35" s="264"/>
    </row>
    <row r="36" spans="1:77" x14ac:dyDescent="0.25">
      <c r="Z36" s="351" t="s">
        <v>1800</v>
      </c>
      <c r="AA36" s="121"/>
      <c r="AB36" s="121"/>
      <c r="AC36" s="121"/>
      <c r="AD36" s="121"/>
      <c r="AE36" s="121"/>
      <c r="AF36" s="145"/>
      <c r="AG36" s="686"/>
      <c r="AH36" s="771"/>
      <c r="AI36" s="771"/>
      <c r="AJ36" s="689"/>
      <c r="AK36" s="442"/>
      <c r="AL36" s="351" t="s">
        <v>1800</v>
      </c>
      <c r="AM36" s="121"/>
      <c r="AN36" s="121"/>
      <c r="AO36" s="121"/>
      <c r="AP36" s="121"/>
      <c r="AQ36" s="121"/>
      <c r="AR36" s="145"/>
      <c r="AS36" s="686"/>
      <c r="AT36" s="771"/>
      <c r="AU36" s="771"/>
      <c r="AV36" s="689"/>
      <c r="AW36" s="442"/>
      <c r="AX36" s="263"/>
      <c r="AY36" s="458"/>
      <c r="AZ36" s="263" t="s">
        <v>494</v>
      </c>
      <c r="BA36" s="121" t="s">
        <v>494</v>
      </c>
      <c r="BB36" s="121" t="s">
        <v>494</v>
      </c>
      <c r="BC36" s="121" t="s">
        <v>347</v>
      </c>
      <c r="BD36" s="121" t="s">
        <v>347</v>
      </c>
      <c r="BE36" s="121" t="s">
        <v>347</v>
      </c>
      <c r="BF36" s="121" t="s">
        <v>346</v>
      </c>
      <c r="BG36" s="145" t="s">
        <v>346</v>
      </c>
      <c r="BH36" s="300"/>
      <c r="BI36" s="582"/>
      <c r="BJ36" s="264"/>
      <c r="BL36" s="263"/>
      <c r="BM36" s="121" t="s">
        <v>59</v>
      </c>
      <c r="BN36" s="121"/>
      <c r="BO36" s="263" t="s">
        <v>494</v>
      </c>
      <c r="BP36" s="121" t="s">
        <v>494</v>
      </c>
      <c r="BQ36" s="121" t="s">
        <v>494</v>
      </c>
      <c r="BR36" s="121" t="s">
        <v>347</v>
      </c>
      <c r="BS36" s="121" t="s">
        <v>347</v>
      </c>
      <c r="BT36" s="121" t="s">
        <v>347</v>
      </c>
      <c r="BU36" s="121" t="s">
        <v>346</v>
      </c>
      <c r="BV36" s="145" t="s">
        <v>346</v>
      </c>
      <c r="BW36" s="121"/>
      <c r="BX36" s="458"/>
      <c r="BY36" s="264"/>
    </row>
    <row r="37" spans="1:77" ht="15.75" thickBot="1" x14ac:dyDescent="0.3">
      <c r="Z37" s="436" t="s">
        <v>1801</v>
      </c>
      <c r="AA37" s="122"/>
      <c r="AB37" s="122"/>
      <c r="AC37" s="122"/>
      <c r="AD37" s="122"/>
      <c r="AE37" s="122"/>
      <c r="AF37" s="188"/>
      <c r="AG37" s="772"/>
      <c r="AH37" s="682"/>
      <c r="AI37" s="682"/>
      <c r="AJ37" s="683"/>
      <c r="AK37" s="442"/>
      <c r="AL37" s="436" t="s">
        <v>1801</v>
      </c>
      <c r="AM37" s="122"/>
      <c r="AN37" s="122"/>
      <c r="AO37" s="122"/>
      <c r="AP37" s="122"/>
      <c r="AQ37" s="122"/>
      <c r="AR37" s="188"/>
      <c r="AS37" s="772"/>
      <c r="AT37" s="682"/>
      <c r="AU37" s="682"/>
      <c r="AV37" s="683"/>
      <c r="AW37" s="442"/>
      <c r="AX37" s="263"/>
      <c r="AY37" s="458"/>
      <c r="AZ37" s="263" t="s">
        <v>494</v>
      </c>
      <c r="BA37" s="121" t="s">
        <v>494</v>
      </c>
      <c r="BB37" s="121" t="s">
        <v>494</v>
      </c>
      <c r="BC37" s="121" t="s">
        <v>347</v>
      </c>
      <c r="BD37" s="121" t="s">
        <v>347</v>
      </c>
      <c r="BE37" s="121" t="s">
        <v>347</v>
      </c>
      <c r="BF37" s="121" t="s">
        <v>346</v>
      </c>
      <c r="BG37" s="145" t="s">
        <v>346</v>
      </c>
      <c r="BH37" s="300"/>
      <c r="BI37" s="582"/>
      <c r="BJ37" s="264"/>
      <c r="BL37" s="263"/>
      <c r="BM37" s="121" t="s">
        <v>59</v>
      </c>
      <c r="BN37" s="121"/>
      <c r="BO37" s="263" t="s">
        <v>494</v>
      </c>
      <c r="BP37" s="121" t="s">
        <v>494</v>
      </c>
      <c r="BQ37" s="121" t="s">
        <v>494</v>
      </c>
      <c r="BR37" s="121" t="s">
        <v>347</v>
      </c>
      <c r="BS37" s="121" t="s">
        <v>347</v>
      </c>
      <c r="BT37" s="121" t="s">
        <v>347</v>
      </c>
      <c r="BU37" s="121" t="s">
        <v>346</v>
      </c>
      <c r="BV37" s="145" t="s">
        <v>346</v>
      </c>
      <c r="BW37" s="121"/>
      <c r="BX37" s="458"/>
      <c r="BY37" s="264"/>
    </row>
    <row r="38" spans="1:77" ht="15.75" thickBot="1" x14ac:dyDescent="0.3">
      <c r="AX38" s="263"/>
      <c r="AY38" s="458"/>
      <c r="AZ38" s="263" t="s">
        <v>494</v>
      </c>
      <c r="BA38" s="121" t="s">
        <v>494</v>
      </c>
      <c r="BB38" s="121" t="s">
        <v>494</v>
      </c>
      <c r="BC38" s="121" t="s">
        <v>347</v>
      </c>
      <c r="BD38" s="121" t="s">
        <v>347</v>
      </c>
      <c r="BE38" s="121" t="s">
        <v>347</v>
      </c>
      <c r="BF38" s="121" t="s">
        <v>346</v>
      </c>
      <c r="BG38" s="145" t="s">
        <v>346</v>
      </c>
      <c r="BH38" s="300"/>
      <c r="BI38" s="582"/>
      <c r="BJ38" s="264"/>
      <c r="BL38" s="263"/>
      <c r="BM38" s="121" t="s">
        <v>59</v>
      </c>
      <c r="BN38" s="121"/>
      <c r="BO38" s="263" t="s">
        <v>494</v>
      </c>
      <c r="BP38" s="121" t="s">
        <v>494</v>
      </c>
      <c r="BQ38" s="121" t="s">
        <v>494</v>
      </c>
      <c r="BR38" s="121" t="s">
        <v>347</v>
      </c>
      <c r="BS38" s="121" t="s">
        <v>347</v>
      </c>
      <c r="BT38" s="121" t="s">
        <v>347</v>
      </c>
      <c r="BU38" s="121" t="s">
        <v>346</v>
      </c>
      <c r="BV38" s="145" t="s">
        <v>346</v>
      </c>
      <c r="BW38" s="121"/>
      <c r="BX38" s="458"/>
      <c r="BY38" s="264"/>
    </row>
    <row r="39" spans="1:77" ht="15.75" thickBot="1" x14ac:dyDescent="0.3">
      <c r="Z39" s="825" t="s">
        <v>1802</v>
      </c>
      <c r="AA39" s="826"/>
      <c r="AB39" s="826"/>
      <c r="AC39" s="826"/>
      <c r="AD39" s="826"/>
      <c r="AE39" s="826"/>
      <c r="AF39" s="826"/>
      <c r="AG39" s="826"/>
      <c r="AH39" s="835"/>
      <c r="AI39" s="425" t="s">
        <v>1803</v>
      </c>
      <c r="AJ39" s="308" t="s">
        <v>10</v>
      </c>
      <c r="AK39" s="426"/>
      <c r="AL39" s="825" t="s">
        <v>1802</v>
      </c>
      <c r="AM39" s="826"/>
      <c r="AN39" s="826"/>
      <c r="AO39" s="826"/>
      <c r="AP39" s="826"/>
      <c r="AQ39" s="826"/>
      <c r="AR39" s="826"/>
      <c r="AS39" s="826"/>
      <c r="AT39" s="835"/>
      <c r="AU39" s="425" t="s">
        <v>1803</v>
      </c>
      <c r="AV39" s="308" t="s">
        <v>10</v>
      </c>
      <c r="AX39" s="263"/>
      <c r="AY39" s="458"/>
      <c r="AZ39" s="263" t="s">
        <v>494</v>
      </c>
      <c r="BA39" s="121" t="s">
        <v>494</v>
      </c>
      <c r="BB39" s="121" t="s">
        <v>494</v>
      </c>
      <c r="BC39" s="121" t="s">
        <v>347</v>
      </c>
      <c r="BD39" s="121" t="s">
        <v>347</v>
      </c>
      <c r="BE39" s="121" t="s">
        <v>347</v>
      </c>
      <c r="BF39" s="121" t="s">
        <v>346</v>
      </c>
      <c r="BG39" s="145" t="s">
        <v>346</v>
      </c>
      <c r="BH39" s="300"/>
      <c r="BI39" s="582"/>
      <c r="BJ39" s="264"/>
      <c r="BL39" s="263"/>
      <c r="BM39" s="121" t="s">
        <v>59</v>
      </c>
      <c r="BN39" s="121"/>
      <c r="BO39" s="263" t="s">
        <v>494</v>
      </c>
      <c r="BP39" s="121" t="s">
        <v>494</v>
      </c>
      <c r="BQ39" s="121" t="s">
        <v>494</v>
      </c>
      <c r="BR39" s="121" t="s">
        <v>347</v>
      </c>
      <c r="BS39" s="121" t="s">
        <v>347</v>
      </c>
      <c r="BT39" s="121" t="s">
        <v>347</v>
      </c>
      <c r="BU39" s="121" t="s">
        <v>346</v>
      </c>
      <c r="BV39" s="145" t="s">
        <v>346</v>
      </c>
      <c r="BW39" s="121"/>
      <c r="BX39" s="458"/>
      <c r="BY39" s="264"/>
    </row>
    <row r="40" spans="1:77" x14ac:dyDescent="0.25">
      <c r="Z40" s="427" t="s">
        <v>75</v>
      </c>
      <c r="AA40" s="428" t="s">
        <v>1804</v>
      </c>
      <c r="AB40" s="427" t="s">
        <v>892</v>
      </c>
      <c r="AC40" s="182"/>
      <c r="AD40" s="429" t="s">
        <v>895</v>
      </c>
      <c r="AE40" s="182"/>
      <c r="AF40" s="429" t="s">
        <v>898</v>
      </c>
      <c r="AG40" s="183"/>
      <c r="AH40" s="430" t="s">
        <v>150</v>
      </c>
      <c r="AI40" s="121"/>
      <c r="AJ40" s="145"/>
      <c r="AK40" s="184"/>
      <c r="AL40" s="427" t="s">
        <v>75</v>
      </c>
      <c r="AM40" s="428" t="s">
        <v>1806</v>
      </c>
      <c r="AN40" s="427" t="s">
        <v>892</v>
      </c>
      <c r="AO40" s="182"/>
      <c r="AP40" s="429" t="s">
        <v>895</v>
      </c>
      <c r="AQ40" s="182"/>
      <c r="AR40" s="429" t="s">
        <v>898</v>
      </c>
      <c r="AS40" s="183"/>
      <c r="AT40" s="430" t="s">
        <v>150</v>
      </c>
      <c r="AU40" s="121"/>
      <c r="AV40" s="145"/>
      <c r="AX40" s="263"/>
      <c r="AY40" s="458"/>
      <c r="AZ40" s="263" t="s">
        <v>494</v>
      </c>
      <c r="BA40" s="121" t="s">
        <v>494</v>
      </c>
      <c r="BB40" s="121" t="s">
        <v>494</v>
      </c>
      <c r="BC40" s="121" t="s">
        <v>347</v>
      </c>
      <c r="BD40" s="121" t="s">
        <v>347</v>
      </c>
      <c r="BE40" s="121" t="s">
        <v>347</v>
      </c>
      <c r="BF40" s="121" t="s">
        <v>346</v>
      </c>
      <c r="BG40" s="145" t="s">
        <v>346</v>
      </c>
      <c r="BH40" s="300"/>
      <c r="BI40" s="582"/>
      <c r="BJ40" s="264"/>
      <c r="BL40" s="263"/>
      <c r="BM40" s="121" t="s">
        <v>59</v>
      </c>
      <c r="BN40" s="121"/>
      <c r="BO40" s="263" t="s">
        <v>494</v>
      </c>
      <c r="BP40" s="121" t="s">
        <v>494</v>
      </c>
      <c r="BQ40" s="121" t="s">
        <v>494</v>
      </c>
      <c r="BR40" s="121" t="s">
        <v>347</v>
      </c>
      <c r="BS40" s="121" t="s">
        <v>347</v>
      </c>
      <c r="BT40" s="121" t="s">
        <v>347</v>
      </c>
      <c r="BU40" s="121" t="s">
        <v>346</v>
      </c>
      <c r="BV40" s="145" t="s">
        <v>346</v>
      </c>
      <c r="BW40" s="121"/>
      <c r="BX40" s="458"/>
      <c r="BY40" s="264"/>
    </row>
    <row r="41" spans="1:77" x14ac:dyDescent="0.25">
      <c r="Z41" s="351" t="s">
        <v>0</v>
      </c>
      <c r="AA41" s="145"/>
      <c r="AB41" s="351" t="s">
        <v>893</v>
      </c>
      <c r="AC41" s="121"/>
      <c r="AD41" s="434" t="s">
        <v>896</v>
      </c>
      <c r="AE41" s="121"/>
      <c r="AF41" s="434" t="s">
        <v>899</v>
      </c>
      <c r="AG41" s="145"/>
      <c r="AH41" s="435" t="s">
        <v>151</v>
      </c>
      <c r="AI41" s="121"/>
      <c r="AJ41" s="145"/>
      <c r="AK41" s="184"/>
      <c r="AL41" s="351" t="s">
        <v>0</v>
      </c>
      <c r="AM41" s="145"/>
      <c r="AN41" s="351" t="s">
        <v>893</v>
      </c>
      <c r="AO41" s="121"/>
      <c r="AP41" s="434" t="s">
        <v>896</v>
      </c>
      <c r="AQ41" s="121"/>
      <c r="AR41" s="434" t="s">
        <v>899</v>
      </c>
      <c r="AS41" s="145"/>
      <c r="AT41" s="435" t="s">
        <v>151</v>
      </c>
      <c r="AU41" s="121"/>
      <c r="AV41" s="145"/>
      <c r="AX41" s="263"/>
      <c r="AY41" s="458"/>
      <c r="AZ41" s="263" t="s">
        <v>494</v>
      </c>
      <c r="BA41" s="121" t="s">
        <v>494</v>
      </c>
      <c r="BB41" s="121" t="s">
        <v>494</v>
      </c>
      <c r="BC41" s="121" t="s">
        <v>347</v>
      </c>
      <c r="BD41" s="121" t="s">
        <v>347</v>
      </c>
      <c r="BE41" s="121" t="s">
        <v>347</v>
      </c>
      <c r="BF41" s="121" t="s">
        <v>346</v>
      </c>
      <c r="BG41" s="145" t="s">
        <v>346</v>
      </c>
      <c r="BH41" s="300"/>
      <c r="BI41" s="582"/>
      <c r="BJ41" s="264"/>
      <c r="BL41" s="263"/>
      <c r="BM41" s="121" t="s">
        <v>59</v>
      </c>
      <c r="BN41" s="121"/>
      <c r="BO41" s="263" t="s">
        <v>494</v>
      </c>
      <c r="BP41" s="121" t="s">
        <v>494</v>
      </c>
      <c r="BQ41" s="121" t="s">
        <v>494</v>
      </c>
      <c r="BR41" s="121" t="s">
        <v>347</v>
      </c>
      <c r="BS41" s="121" t="s">
        <v>347</v>
      </c>
      <c r="BT41" s="121" t="s">
        <v>347</v>
      </c>
      <c r="BU41" s="121" t="s">
        <v>346</v>
      </c>
      <c r="BV41" s="145" t="s">
        <v>346</v>
      </c>
      <c r="BW41" s="121"/>
      <c r="BX41" s="458"/>
      <c r="BY41" s="264"/>
    </row>
    <row r="42" spans="1:77" ht="15.75" thickBot="1" x14ac:dyDescent="0.3">
      <c r="Z42" s="436" t="s">
        <v>77</v>
      </c>
      <c r="AA42" s="188"/>
      <c r="AB42" s="436" t="s">
        <v>894</v>
      </c>
      <c r="AC42" s="122"/>
      <c r="AD42" s="437" t="s">
        <v>897</v>
      </c>
      <c r="AE42" s="122"/>
      <c r="AF42" s="437" t="s">
        <v>900</v>
      </c>
      <c r="AG42" s="188"/>
      <c r="AH42" s="435" t="s">
        <v>152</v>
      </c>
      <c r="AI42" s="121"/>
      <c r="AJ42" s="145"/>
      <c r="AK42" s="184"/>
      <c r="AL42" s="436" t="s">
        <v>77</v>
      </c>
      <c r="AM42" s="188"/>
      <c r="AN42" s="436" t="s">
        <v>894</v>
      </c>
      <c r="AO42" s="122"/>
      <c r="AP42" s="437" t="s">
        <v>897</v>
      </c>
      <c r="AQ42" s="122"/>
      <c r="AR42" s="437" t="s">
        <v>900</v>
      </c>
      <c r="AS42" s="188"/>
      <c r="AT42" s="435" t="s">
        <v>152</v>
      </c>
      <c r="AU42" s="121"/>
      <c r="AV42" s="145"/>
      <c r="AX42" s="263"/>
      <c r="AY42" s="458"/>
      <c r="AZ42" s="263" t="s">
        <v>494</v>
      </c>
      <c r="BA42" s="121" t="s">
        <v>494</v>
      </c>
      <c r="BB42" s="121" t="s">
        <v>494</v>
      </c>
      <c r="BC42" s="121" t="s">
        <v>347</v>
      </c>
      <c r="BD42" s="121" t="s">
        <v>347</v>
      </c>
      <c r="BE42" s="121" t="s">
        <v>347</v>
      </c>
      <c r="BF42" s="121" t="s">
        <v>346</v>
      </c>
      <c r="BG42" s="145" t="s">
        <v>346</v>
      </c>
      <c r="BH42" s="300"/>
      <c r="BI42" s="582"/>
      <c r="BJ42" s="264"/>
      <c r="BL42" s="263"/>
      <c r="BM42" s="121" t="s">
        <v>59</v>
      </c>
      <c r="BN42" s="121"/>
      <c r="BO42" s="263" t="s">
        <v>494</v>
      </c>
      <c r="BP42" s="121" t="s">
        <v>494</v>
      </c>
      <c r="BQ42" s="121" t="s">
        <v>494</v>
      </c>
      <c r="BR42" s="121" t="s">
        <v>347</v>
      </c>
      <c r="BS42" s="121" t="s">
        <v>347</v>
      </c>
      <c r="BT42" s="121" t="s">
        <v>347</v>
      </c>
      <c r="BU42" s="121" t="s">
        <v>346</v>
      </c>
      <c r="BV42" s="145" t="s">
        <v>346</v>
      </c>
      <c r="BW42" s="121"/>
      <c r="BX42" s="458"/>
      <c r="BY42" s="264"/>
    </row>
    <row r="43" spans="1:77" ht="15.75" thickBot="1" x14ac:dyDescent="0.3">
      <c r="Z43" s="349" t="s">
        <v>60</v>
      </c>
      <c r="AA43" s="189"/>
      <c r="AB43" s="438" t="s">
        <v>93</v>
      </c>
      <c r="AC43" s="190"/>
      <c r="AD43" s="431" t="s">
        <v>901</v>
      </c>
      <c r="AE43" s="190"/>
      <c r="AF43" s="431" t="s">
        <v>95</v>
      </c>
      <c r="AG43" s="191"/>
      <c r="AH43" s="439" t="s">
        <v>153</v>
      </c>
      <c r="AI43" s="192"/>
      <c r="AJ43" s="193"/>
      <c r="AK43" s="184"/>
      <c r="AL43" s="349" t="s">
        <v>60</v>
      </c>
      <c r="AM43" s="189"/>
      <c r="AN43" s="438" t="s">
        <v>93</v>
      </c>
      <c r="AO43" s="190"/>
      <c r="AP43" s="431" t="s">
        <v>901</v>
      </c>
      <c r="AQ43" s="190"/>
      <c r="AR43" s="431" t="s">
        <v>95</v>
      </c>
      <c r="AS43" s="191"/>
      <c r="AT43" s="439" t="s">
        <v>153</v>
      </c>
      <c r="AU43" s="192"/>
      <c r="AV43" s="193"/>
      <c r="AX43" s="263"/>
      <c r="AY43" s="458"/>
      <c r="AZ43" s="263" t="s">
        <v>494</v>
      </c>
      <c r="BA43" s="121" t="s">
        <v>494</v>
      </c>
      <c r="BB43" s="121" t="s">
        <v>494</v>
      </c>
      <c r="BC43" s="121" t="s">
        <v>347</v>
      </c>
      <c r="BD43" s="121" t="s">
        <v>347</v>
      </c>
      <c r="BE43" s="121" t="s">
        <v>347</v>
      </c>
      <c r="BF43" s="121" t="s">
        <v>346</v>
      </c>
      <c r="BG43" s="145" t="s">
        <v>346</v>
      </c>
      <c r="BH43" s="300"/>
      <c r="BI43" s="582"/>
      <c r="BJ43" s="264"/>
      <c r="BL43" s="263"/>
      <c r="BM43" s="121" t="s">
        <v>59</v>
      </c>
      <c r="BN43" s="121"/>
      <c r="BO43" s="263" t="s">
        <v>494</v>
      </c>
      <c r="BP43" s="121" t="s">
        <v>494</v>
      </c>
      <c r="BQ43" s="121" t="s">
        <v>494</v>
      </c>
      <c r="BR43" s="121" t="s">
        <v>347</v>
      </c>
      <c r="BS43" s="121" t="s">
        <v>347</v>
      </c>
      <c r="BT43" s="121" t="s">
        <v>347</v>
      </c>
      <c r="BU43" s="121" t="s">
        <v>346</v>
      </c>
      <c r="BV43" s="145" t="s">
        <v>346</v>
      </c>
      <c r="BW43" s="121"/>
      <c r="BX43" s="458"/>
      <c r="BY43" s="264"/>
    </row>
    <row r="44" spans="1:77" ht="15.75" thickBot="1" x14ac:dyDescent="0.3">
      <c r="Z44" s="440" t="s">
        <v>902</v>
      </c>
      <c r="AA44" s="193"/>
      <c r="AB44" s="1218" t="s">
        <v>903</v>
      </c>
      <c r="AC44" s="1219"/>
      <c r="AD44" s="294" t="s">
        <v>88</v>
      </c>
      <c r="AE44" s="194"/>
      <c r="AF44" s="294" t="s">
        <v>89</v>
      </c>
      <c r="AG44" s="194"/>
      <c r="AH44" s="294" t="s">
        <v>90</v>
      </c>
      <c r="AI44" s="194"/>
      <c r="AJ44" s="195"/>
      <c r="AK44" s="184"/>
      <c r="AL44" s="440" t="s">
        <v>902</v>
      </c>
      <c r="AM44" s="193"/>
      <c r="AN44" s="1218" t="s">
        <v>903</v>
      </c>
      <c r="AO44" s="1219"/>
      <c r="AP44" s="294" t="s">
        <v>88</v>
      </c>
      <c r="AQ44" s="194"/>
      <c r="AR44" s="294" t="s">
        <v>89</v>
      </c>
      <c r="AS44" s="194"/>
      <c r="AT44" s="294" t="s">
        <v>90</v>
      </c>
      <c r="AU44" s="194"/>
      <c r="AV44" s="195"/>
      <c r="AX44" s="263"/>
      <c r="AY44" s="458"/>
      <c r="AZ44" s="263" t="s">
        <v>494</v>
      </c>
      <c r="BA44" s="121" t="s">
        <v>494</v>
      </c>
      <c r="BB44" s="121" t="s">
        <v>494</v>
      </c>
      <c r="BC44" s="121" t="s">
        <v>347</v>
      </c>
      <c r="BD44" s="121" t="s">
        <v>347</v>
      </c>
      <c r="BE44" s="121" t="s">
        <v>347</v>
      </c>
      <c r="BF44" s="121" t="s">
        <v>346</v>
      </c>
      <c r="BG44" s="145" t="s">
        <v>346</v>
      </c>
      <c r="BH44" s="300"/>
      <c r="BI44" s="582"/>
      <c r="BJ44" s="264"/>
      <c r="BL44" s="263"/>
      <c r="BM44" s="121" t="s">
        <v>59</v>
      </c>
      <c r="BN44" s="121"/>
      <c r="BO44" s="263" t="s">
        <v>494</v>
      </c>
      <c r="BP44" s="121" t="s">
        <v>494</v>
      </c>
      <c r="BQ44" s="121" t="s">
        <v>494</v>
      </c>
      <c r="BR44" s="121" t="s">
        <v>347</v>
      </c>
      <c r="BS44" s="121" t="s">
        <v>347</v>
      </c>
      <c r="BT44" s="121" t="s">
        <v>347</v>
      </c>
      <c r="BU44" s="121" t="s">
        <v>346</v>
      </c>
      <c r="BV44" s="145" t="s">
        <v>346</v>
      </c>
      <c r="BW44" s="121"/>
      <c r="BX44" s="458"/>
      <c r="BY44" s="264"/>
    </row>
    <row r="45" spans="1:77" x14ac:dyDescent="0.25">
      <c r="Z45" s="349" t="s">
        <v>751</v>
      </c>
      <c r="AA45" s="1217"/>
      <c r="AB45" s="959"/>
      <c r="AC45" s="959"/>
      <c r="AD45" s="959"/>
      <c r="AE45" s="959"/>
      <c r="AF45" s="959"/>
      <c r="AG45" s="959"/>
      <c r="AH45" s="959"/>
      <c r="AI45" s="959"/>
      <c r="AJ45" s="960"/>
      <c r="AK45" s="146"/>
      <c r="AL45" s="349" t="s">
        <v>751</v>
      </c>
      <c r="AM45" s="1217"/>
      <c r="AN45" s="959"/>
      <c r="AO45" s="959"/>
      <c r="AP45" s="959"/>
      <c r="AQ45" s="959"/>
      <c r="AR45" s="959"/>
      <c r="AS45" s="959"/>
      <c r="AT45" s="959"/>
      <c r="AU45" s="959"/>
      <c r="AV45" s="960"/>
      <c r="AX45" s="263"/>
      <c r="AY45" s="458"/>
      <c r="AZ45" s="263" t="s">
        <v>494</v>
      </c>
      <c r="BA45" s="121" t="s">
        <v>494</v>
      </c>
      <c r="BB45" s="121" t="s">
        <v>494</v>
      </c>
      <c r="BC45" s="121" t="s">
        <v>347</v>
      </c>
      <c r="BD45" s="121" t="s">
        <v>347</v>
      </c>
      <c r="BE45" s="121" t="s">
        <v>347</v>
      </c>
      <c r="BF45" s="121" t="s">
        <v>346</v>
      </c>
      <c r="BG45" s="145" t="s">
        <v>346</v>
      </c>
      <c r="BH45" s="300"/>
      <c r="BI45" s="582"/>
      <c r="BJ45" s="264"/>
      <c r="BL45" s="263"/>
      <c r="BM45" s="121" t="s">
        <v>59</v>
      </c>
      <c r="BN45" s="121"/>
      <c r="BO45" s="263" t="s">
        <v>494</v>
      </c>
      <c r="BP45" s="121" t="s">
        <v>494</v>
      </c>
      <c r="BQ45" s="121" t="s">
        <v>494</v>
      </c>
      <c r="BR45" s="121" t="s">
        <v>347</v>
      </c>
      <c r="BS45" s="121" t="s">
        <v>347</v>
      </c>
      <c r="BT45" s="121" t="s">
        <v>347</v>
      </c>
      <c r="BU45" s="121" t="s">
        <v>346</v>
      </c>
      <c r="BV45" s="145" t="s">
        <v>346</v>
      </c>
      <c r="BW45" s="121"/>
      <c r="BX45" s="458"/>
      <c r="BY45" s="264"/>
    </row>
    <row r="46" spans="1:77" x14ac:dyDescent="0.25">
      <c r="Z46" s="351" t="s">
        <v>69</v>
      </c>
      <c r="AA46" s="694"/>
      <c r="AB46" s="694"/>
      <c r="AC46" s="694"/>
      <c r="AD46" s="694"/>
      <c r="AE46" s="694"/>
      <c r="AF46" s="694"/>
      <c r="AG46" s="694"/>
      <c r="AH46" s="694"/>
      <c r="AI46" s="694"/>
      <c r="AJ46" s="719"/>
      <c r="AK46" s="146"/>
      <c r="AL46" s="351" t="s">
        <v>69</v>
      </c>
      <c r="AM46" s="694"/>
      <c r="AN46" s="694"/>
      <c r="AO46" s="694"/>
      <c r="AP46" s="694"/>
      <c r="AQ46" s="694"/>
      <c r="AR46" s="694"/>
      <c r="AS46" s="694"/>
      <c r="AT46" s="694"/>
      <c r="AU46" s="694"/>
      <c r="AV46" s="719"/>
      <c r="AX46" s="263"/>
      <c r="AY46" s="458"/>
      <c r="AZ46" s="263" t="s">
        <v>494</v>
      </c>
      <c r="BA46" s="121" t="s">
        <v>494</v>
      </c>
      <c r="BB46" s="121" t="s">
        <v>494</v>
      </c>
      <c r="BC46" s="121" t="s">
        <v>347</v>
      </c>
      <c r="BD46" s="121" t="s">
        <v>347</v>
      </c>
      <c r="BE46" s="121" t="s">
        <v>347</v>
      </c>
      <c r="BF46" s="121" t="s">
        <v>346</v>
      </c>
      <c r="BG46" s="145" t="s">
        <v>346</v>
      </c>
      <c r="BH46" s="300"/>
      <c r="BI46" s="582"/>
      <c r="BJ46" s="264"/>
      <c r="BL46" s="263"/>
      <c r="BM46" s="121" t="s">
        <v>59</v>
      </c>
      <c r="BN46" s="121"/>
      <c r="BO46" s="263" t="s">
        <v>494</v>
      </c>
      <c r="BP46" s="121" t="s">
        <v>494</v>
      </c>
      <c r="BQ46" s="121" t="s">
        <v>494</v>
      </c>
      <c r="BR46" s="121" t="s">
        <v>347</v>
      </c>
      <c r="BS46" s="121" t="s">
        <v>347</v>
      </c>
      <c r="BT46" s="121" t="s">
        <v>347</v>
      </c>
      <c r="BU46" s="121" t="s">
        <v>346</v>
      </c>
      <c r="BV46" s="145" t="s">
        <v>346</v>
      </c>
      <c r="BW46" s="121"/>
      <c r="BX46" s="458"/>
      <c r="BY46" s="264"/>
    </row>
    <row r="47" spans="1:77" x14ac:dyDescent="0.25">
      <c r="Z47" s="351" t="s">
        <v>1812</v>
      </c>
      <c r="AA47" s="694"/>
      <c r="AB47" s="694"/>
      <c r="AC47" s="694"/>
      <c r="AD47" s="694"/>
      <c r="AE47" s="694"/>
      <c r="AF47" s="694"/>
      <c r="AG47" s="694"/>
      <c r="AH47" s="694"/>
      <c r="AI47" s="694"/>
      <c r="AJ47" s="719"/>
      <c r="AK47" s="146"/>
      <c r="AL47" s="351" t="s">
        <v>906</v>
      </c>
      <c r="AM47" s="694"/>
      <c r="AN47" s="694"/>
      <c r="AO47" s="694"/>
      <c r="AP47" s="694"/>
      <c r="AQ47" s="694"/>
      <c r="AR47" s="694"/>
      <c r="AS47" s="694"/>
      <c r="AT47" s="694"/>
      <c r="AU47" s="694"/>
      <c r="AV47" s="719"/>
      <c r="AX47" s="263"/>
      <c r="AY47" s="458"/>
      <c r="AZ47" s="263" t="s">
        <v>494</v>
      </c>
      <c r="BA47" s="121" t="s">
        <v>494</v>
      </c>
      <c r="BB47" s="121" t="s">
        <v>494</v>
      </c>
      <c r="BC47" s="121" t="s">
        <v>347</v>
      </c>
      <c r="BD47" s="121" t="s">
        <v>347</v>
      </c>
      <c r="BE47" s="121" t="s">
        <v>347</v>
      </c>
      <c r="BF47" s="121" t="s">
        <v>346</v>
      </c>
      <c r="BG47" s="145" t="s">
        <v>346</v>
      </c>
      <c r="BH47" s="300"/>
      <c r="BI47" s="582"/>
      <c r="BJ47" s="264"/>
      <c r="BL47" s="263"/>
      <c r="BM47" s="121" t="s">
        <v>59</v>
      </c>
      <c r="BN47" s="121"/>
      <c r="BO47" s="263" t="s">
        <v>494</v>
      </c>
      <c r="BP47" s="121" t="s">
        <v>494</v>
      </c>
      <c r="BQ47" s="121" t="s">
        <v>494</v>
      </c>
      <c r="BR47" s="121" t="s">
        <v>347</v>
      </c>
      <c r="BS47" s="121" t="s">
        <v>347</v>
      </c>
      <c r="BT47" s="121" t="s">
        <v>347</v>
      </c>
      <c r="BU47" s="121" t="s">
        <v>346</v>
      </c>
      <c r="BV47" s="145" t="s">
        <v>346</v>
      </c>
      <c r="BW47" s="121"/>
      <c r="BX47" s="458"/>
      <c r="BY47" s="264"/>
    </row>
    <row r="48" spans="1:77" ht="15.75" thickBot="1" x14ac:dyDescent="0.3">
      <c r="Z48" s="436" t="s">
        <v>907</v>
      </c>
      <c r="AA48" s="792"/>
      <c r="AB48" s="792"/>
      <c r="AC48" s="792"/>
      <c r="AD48" s="792"/>
      <c r="AE48" s="792"/>
      <c r="AF48" s="792"/>
      <c r="AG48" s="792"/>
      <c r="AH48" s="792"/>
      <c r="AI48" s="792"/>
      <c r="AJ48" s="793"/>
      <c r="AK48" s="146"/>
      <c r="AL48" s="436" t="s">
        <v>907</v>
      </c>
      <c r="AM48" s="792"/>
      <c r="AN48" s="792"/>
      <c r="AO48" s="792"/>
      <c r="AP48" s="792"/>
      <c r="AQ48" s="792"/>
      <c r="AR48" s="792"/>
      <c r="AS48" s="792"/>
      <c r="AT48" s="792"/>
      <c r="AU48" s="792"/>
      <c r="AV48" s="793"/>
      <c r="AX48" s="263"/>
      <c r="AY48" s="458"/>
      <c r="AZ48" s="263" t="s">
        <v>494</v>
      </c>
      <c r="BA48" s="121" t="s">
        <v>494</v>
      </c>
      <c r="BB48" s="121" t="s">
        <v>494</v>
      </c>
      <c r="BC48" s="121" t="s">
        <v>347</v>
      </c>
      <c r="BD48" s="121" t="s">
        <v>347</v>
      </c>
      <c r="BE48" s="121" t="s">
        <v>347</v>
      </c>
      <c r="BF48" s="121" t="s">
        <v>346</v>
      </c>
      <c r="BG48" s="145" t="s">
        <v>346</v>
      </c>
      <c r="BH48" s="300"/>
      <c r="BI48" s="582"/>
      <c r="BJ48" s="264"/>
      <c r="BL48" s="263"/>
      <c r="BM48" s="121" t="s">
        <v>59</v>
      </c>
      <c r="BN48" s="121"/>
      <c r="BO48" s="263" t="s">
        <v>494</v>
      </c>
      <c r="BP48" s="121" t="s">
        <v>494</v>
      </c>
      <c r="BQ48" s="121" t="s">
        <v>494</v>
      </c>
      <c r="BR48" s="121" t="s">
        <v>347</v>
      </c>
      <c r="BS48" s="121" t="s">
        <v>347</v>
      </c>
      <c r="BT48" s="121" t="s">
        <v>347</v>
      </c>
      <c r="BU48" s="121" t="s">
        <v>346</v>
      </c>
      <c r="BV48" s="145" t="s">
        <v>346</v>
      </c>
      <c r="BW48" s="121"/>
      <c r="BX48" s="458"/>
      <c r="BY48" s="264"/>
    </row>
    <row r="49" spans="26:77" x14ac:dyDescent="0.25">
      <c r="Z49" s="441" t="s">
        <v>115</v>
      </c>
      <c r="AA49" s="307" t="s">
        <v>75</v>
      </c>
      <c r="AB49" s="307" t="s">
        <v>117</v>
      </c>
      <c r="AC49" s="307" t="s">
        <v>118</v>
      </c>
      <c r="AD49" s="307" t="s">
        <v>905</v>
      </c>
      <c r="AE49" s="307" t="s">
        <v>124</v>
      </c>
      <c r="AF49" s="308" t="s">
        <v>121</v>
      </c>
      <c r="AG49" s="684"/>
      <c r="AH49" s="685"/>
      <c r="AI49" s="685"/>
      <c r="AJ49" s="688"/>
      <c r="AK49" s="442"/>
      <c r="AL49" s="441" t="s">
        <v>115</v>
      </c>
      <c r="AM49" s="307" t="s">
        <v>75</v>
      </c>
      <c r="AN49" s="307" t="s">
        <v>117</v>
      </c>
      <c r="AO49" s="307" t="s">
        <v>118</v>
      </c>
      <c r="AP49" s="307" t="s">
        <v>905</v>
      </c>
      <c r="AQ49" s="307" t="s">
        <v>124</v>
      </c>
      <c r="AR49" s="308" t="s">
        <v>121</v>
      </c>
      <c r="AS49" s="684"/>
      <c r="AT49" s="685"/>
      <c r="AU49" s="685"/>
      <c r="AV49" s="688"/>
      <c r="AX49" s="263"/>
      <c r="AY49" s="458"/>
      <c r="AZ49" s="263" t="s">
        <v>494</v>
      </c>
      <c r="BA49" s="121" t="s">
        <v>494</v>
      </c>
      <c r="BB49" s="121" t="s">
        <v>494</v>
      </c>
      <c r="BC49" s="121" t="s">
        <v>347</v>
      </c>
      <c r="BD49" s="121" t="s">
        <v>347</v>
      </c>
      <c r="BE49" s="121" t="s">
        <v>347</v>
      </c>
      <c r="BF49" s="121" t="s">
        <v>346</v>
      </c>
      <c r="BG49" s="145" t="s">
        <v>346</v>
      </c>
      <c r="BH49" s="300"/>
      <c r="BI49" s="582"/>
      <c r="BJ49" s="264"/>
      <c r="BL49" s="263"/>
      <c r="BM49" s="121" t="s">
        <v>59</v>
      </c>
      <c r="BN49" s="121"/>
      <c r="BO49" s="263" t="s">
        <v>494</v>
      </c>
      <c r="BP49" s="121" t="s">
        <v>494</v>
      </c>
      <c r="BQ49" s="121" t="s">
        <v>494</v>
      </c>
      <c r="BR49" s="121" t="s">
        <v>347</v>
      </c>
      <c r="BS49" s="121" t="s">
        <v>347</v>
      </c>
      <c r="BT49" s="121" t="s">
        <v>347</v>
      </c>
      <c r="BU49" s="121" t="s">
        <v>346</v>
      </c>
      <c r="BV49" s="145" t="s">
        <v>346</v>
      </c>
      <c r="BW49" s="121"/>
      <c r="BX49" s="458"/>
      <c r="BY49" s="264"/>
    </row>
    <row r="50" spans="26:77" x14ac:dyDescent="0.25">
      <c r="Z50" s="351" t="s">
        <v>1795</v>
      </c>
      <c r="AA50" s="121"/>
      <c r="AB50" s="121"/>
      <c r="AC50" s="121"/>
      <c r="AD50" s="121"/>
      <c r="AE50" s="121"/>
      <c r="AF50" s="145"/>
      <c r="AG50" s="686"/>
      <c r="AH50" s="771"/>
      <c r="AI50" s="771"/>
      <c r="AJ50" s="689"/>
      <c r="AK50" s="442"/>
      <c r="AL50" s="351" t="s">
        <v>1795</v>
      </c>
      <c r="AM50" s="121"/>
      <c r="AN50" s="121"/>
      <c r="AO50" s="121"/>
      <c r="AP50" s="121"/>
      <c r="AQ50" s="121"/>
      <c r="AR50" s="145"/>
      <c r="AS50" s="686"/>
      <c r="AT50" s="771"/>
      <c r="AU50" s="771"/>
      <c r="AV50" s="689"/>
      <c r="AX50" s="263"/>
      <c r="AY50" s="458"/>
      <c r="AZ50" s="263" t="s">
        <v>494</v>
      </c>
      <c r="BA50" s="121" t="s">
        <v>494</v>
      </c>
      <c r="BB50" s="121" t="s">
        <v>494</v>
      </c>
      <c r="BC50" s="121" t="s">
        <v>347</v>
      </c>
      <c r="BD50" s="121" t="s">
        <v>347</v>
      </c>
      <c r="BE50" s="121" t="s">
        <v>347</v>
      </c>
      <c r="BF50" s="121" t="s">
        <v>346</v>
      </c>
      <c r="BG50" s="145" t="s">
        <v>346</v>
      </c>
      <c r="BH50" s="300"/>
      <c r="BI50" s="582"/>
      <c r="BJ50" s="264"/>
      <c r="BL50" s="263"/>
      <c r="BM50" s="121" t="s">
        <v>59</v>
      </c>
      <c r="BN50" s="121"/>
      <c r="BO50" s="263" t="s">
        <v>494</v>
      </c>
      <c r="BP50" s="121" t="s">
        <v>494</v>
      </c>
      <c r="BQ50" s="121" t="s">
        <v>494</v>
      </c>
      <c r="BR50" s="121" t="s">
        <v>347</v>
      </c>
      <c r="BS50" s="121" t="s">
        <v>347</v>
      </c>
      <c r="BT50" s="121" t="s">
        <v>347</v>
      </c>
      <c r="BU50" s="121" t="s">
        <v>346</v>
      </c>
      <c r="BV50" s="145" t="s">
        <v>346</v>
      </c>
      <c r="BW50" s="121"/>
      <c r="BX50" s="458"/>
      <c r="BY50" s="264"/>
    </row>
    <row r="51" spans="26:77" x14ac:dyDescent="0.25">
      <c r="Z51" s="351" t="s">
        <v>1796</v>
      </c>
      <c r="AA51" s="121"/>
      <c r="AB51" s="121"/>
      <c r="AC51" s="121"/>
      <c r="AD51" s="121"/>
      <c r="AE51" s="121"/>
      <c r="AF51" s="145"/>
      <c r="AG51" s="686"/>
      <c r="AH51" s="771"/>
      <c r="AI51" s="771"/>
      <c r="AJ51" s="689"/>
      <c r="AK51" s="442"/>
      <c r="AL51" s="351" t="s">
        <v>1796</v>
      </c>
      <c r="AM51" s="121"/>
      <c r="AN51" s="121"/>
      <c r="AO51" s="121"/>
      <c r="AP51" s="121"/>
      <c r="AQ51" s="121"/>
      <c r="AR51" s="145"/>
      <c r="AS51" s="686"/>
      <c r="AT51" s="771"/>
      <c r="AU51" s="771"/>
      <c r="AV51" s="689"/>
      <c r="AX51" s="263"/>
      <c r="AY51" s="458"/>
      <c r="AZ51" s="263" t="s">
        <v>494</v>
      </c>
      <c r="BA51" s="121" t="s">
        <v>494</v>
      </c>
      <c r="BB51" s="121" t="s">
        <v>494</v>
      </c>
      <c r="BC51" s="121" t="s">
        <v>347</v>
      </c>
      <c r="BD51" s="121" t="s">
        <v>347</v>
      </c>
      <c r="BE51" s="121" t="s">
        <v>347</v>
      </c>
      <c r="BF51" s="121" t="s">
        <v>346</v>
      </c>
      <c r="BG51" s="145" t="s">
        <v>346</v>
      </c>
      <c r="BH51" s="300"/>
      <c r="BI51" s="582"/>
      <c r="BJ51" s="264"/>
      <c r="BL51" s="263"/>
      <c r="BM51" s="121" t="s">
        <v>59</v>
      </c>
      <c r="BN51" s="121"/>
      <c r="BO51" s="263" t="s">
        <v>494</v>
      </c>
      <c r="BP51" s="121" t="s">
        <v>494</v>
      </c>
      <c r="BQ51" s="121" t="s">
        <v>494</v>
      </c>
      <c r="BR51" s="121" t="s">
        <v>347</v>
      </c>
      <c r="BS51" s="121" t="s">
        <v>347</v>
      </c>
      <c r="BT51" s="121" t="s">
        <v>347</v>
      </c>
      <c r="BU51" s="121" t="s">
        <v>346</v>
      </c>
      <c r="BV51" s="145" t="s">
        <v>346</v>
      </c>
      <c r="BW51" s="121"/>
      <c r="BX51" s="458"/>
      <c r="BY51" s="264"/>
    </row>
    <row r="52" spans="26:77" x14ac:dyDescent="0.25">
      <c r="Z52" s="351" t="s">
        <v>1797</v>
      </c>
      <c r="AA52" s="121"/>
      <c r="AB52" s="121"/>
      <c r="AC52" s="121"/>
      <c r="AD52" s="121"/>
      <c r="AE52" s="121"/>
      <c r="AF52" s="145"/>
      <c r="AG52" s="686"/>
      <c r="AH52" s="771"/>
      <c r="AI52" s="771"/>
      <c r="AJ52" s="689"/>
      <c r="AK52" s="442"/>
      <c r="AL52" s="351" t="s">
        <v>1797</v>
      </c>
      <c r="AM52" s="121"/>
      <c r="AN52" s="121"/>
      <c r="AO52" s="121"/>
      <c r="AP52" s="121"/>
      <c r="AQ52" s="121"/>
      <c r="AR52" s="145"/>
      <c r="AS52" s="686"/>
      <c r="AT52" s="771"/>
      <c r="AU52" s="771"/>
      <c r="AV52" s="689"/>
      <c r="AX52" s="263"/>
      <c r="AY52" s="458"/>
      <c r="AZ52" s="263" t="s">
        <v>494</v>
      </c>
      <c r="BA52" s="121" t="s">
        <v>494</v>
      </c>
      <c r="BB52" s="121" t="s">
        <v>494</v>
      </c>
      <c r="BC52" s="121" t="s">
        <v>347</v>
      </c>
      <c r="BD52" s="121" t="s">
        <v>347</v>
      </c>
      <c r="BE52" s="121" t="s">
        <v>347</v>
      </c>
      <c r="BF52" s="121" t="s">
        <v>346</v>
      </c>
      <c r="BG52" s="145" t="s">
        <v>346</v>
      </c>
      <c r="BH52" s="300"/>
      <c r="BI52" s="582"/>
      <c r="BJ52" s="264"/>
      <c r="BL52" s="263"/>
      <c r="BM52" s="121" t="s">
        <v>59</v>
      </c>
      <c r="BN52" s="121"/>
      <c r="BO52" s="263" t="s">
        <v>494</v>
      </c>
      <c r="BP52" s="121" t="s">
        <v>494</v>
      </c>
      <c r="BQ52" s="121" t="s">
        <v>494</v>
      </c>
      <c r="BR52" s="121" t="s">
        <v>347</v>
      </c>
      <c r="BS52" s="121" t="s">
        <v>347</v>
      </c>
      <c r="BT52" s="121" t="s">
        <v>347</v>
      </c>
      <c r="BU52" s="121" t="s">
        <v>346</v>
      </c>
      <c r="BV52" s="145" t="s">
        <v>346</v>
      </c>
      <c r="BW52" s="121"/>
      <c r="BX52" s="458"/>
      <c r="BY52" s="264"/>
    </row>
    <row r="53" spans="26:77" ht="15.75" thickBot="1" x14ac:dyDescent="0.3">
      <c r="Z53" s="351" t="s">
        <v>1798</v>
      </c>
      <c r="AA53" s="121"/>
      <c r="AB53" s="121"/>
      <c r="AC53" s="121"/>
      <c r="AD53" s="121"/>
      <c r="AE53" s="121"/>
      <c r="AF53" s="145"/>
      <c r="AG53" s="686"/>
      <c r="AH53" s="771"/>
      <c r="AI53" s="771"/>
      <c r="AJ53" s="689"/>
      <c r="AK53" s="442"/>
      <c r="AL53" s="351" t="s">
        <v>1798</v>
      </c>
      <c r="AM53" s="121"/>
      <c r="AN53" s="121"/>
      <c r="AO53" s="121"/>
      <c r="AP53" s="121"/>
      <c r="AQ53" s="121"/>
      <c r="AR53" s="145"/>
      <c r="AS53" s="686"/>
      <c r="AT53" s="771"/>
      <c r="AU53" s="771"/>
      <c r="AV53" s="689"/>
      <c r="AX53" s="265"/>
      <c r="AY53" s="459"/>
      <c r="AZ53" s="265" t="s">
        <v>494</v>
      </c>
      <c r="BA53" s="122" t="s">
        <v>494</v>
      </c>
      <c r="BB53" s="122" t="s">
        <v>494</v>
      </c>
      <c r="BC53" s="122" t="s">
        <v>347</v>
      </c>
      <c r="BD53" s="122" t="s">
        <v>347</v>
      </c>
      <c r="BE53" s="122" t="s">
        <v>347</v>
      </c>
      <c r="BF53" s="122" t="s">
        <v>346</v>
      </c>
      <c r="BG53" s="188" t="s">
        <v>346</v>
      </c>
      <c r="BH53" s="305"/>
      <c r="BI53" s="583"/>
      <c r="BJ53" s="266"/>
      <c r="BL53" s="263"/>
      <c r="BM53" s="121" t="s">
        <v>59</v>
      </c>
      <c r="BN53" s="121"/>
      <c r="BO53" s="263" t="s">
        <v>494</v>
      </c>
      <c r="BP53" s="121" t="s">
        <v>494</v>
      </c>
      <c r="BQ53" s="121" t="s">
        <v>494</v>
      </c>
      <c r="BR53" s="121" t="s">
        <v>347</v>
      </c>
      <c r="BS53" s="121" t="s">
        <v>347</v>
      </c>
      <c r="BT53" s="121" t="s">
        <v>347</v>
      </c>
      <c r="BU53" s="121" t="s">
        <v>346</v>
      </c>
      <c r="BV53" s="145" t="s">
        <v>346</v>
      </c>
      <c r="BW53" s="121"/>
      <c r="BX53" s="458"/>
      <c r="BY53" s="264"/>
    </row>
    <row r="54" spans="26:77" x14ac:dyDescent="0.25">
      <c r="Z54" s="351" t="s">
        <v>1799</v>
      </c>
      <c r="AA54" s="121"/>
      <c r="AB54" s="121"/>
      <c r="AC54" s="121"/>
      <c r="AD54" s="121"/>
      <c r="AE54" s="121"/>
      <c r="AF54" s="145"/>
      <c r="AG54" s="686"/>
      <c r="AH54" s="771"/>
      <c r="AI54" s="771"/>
      <c r="AJ54" s="689"/>
      <c r="AK54" s="442"/>
      <c r="AL54" s="351" t="s">
        <v>1799</v>
      </c>
      <c r="AM54" s="121"/>
      <c r="AN54" s="121"/>
      <c r="AO54" s="121"/>
      <c r="AP54" s="121"/>
      <c r="AQ54" s="121"/>
      <c r="AR54" s="145"/>
      <c r="AS54" s="686"/>
      <c r="AT54" s="771"/>
      <c r="AU54" s="771"/>
      <c r="AV54" s="689"/>
      <c r="AX54" s="721" t="s">
        <v>3578</v>
      </c>
      <c r="AY54" s="722"/>
      <c r="AZ54" s="833"/>
      <c r="BA54" s="721" t="s">
        <v>2087</v>
      </c>
      <c r="BB54" s="1208" t="s">
        <v>2084</v>
      </c>
      <c r="BC54" s="1209"/>
      <c r="BD54" s="1209"/>
      <c r="BE54" s="1210"/>
      <c r="BF54" s="721" t="s">
        <v>2083</v>
      </c>
      <c r="BG54" s="722"/>
      <c r="BH54" s="1228"/>
      <c r="BI54" s="1229"/>
      <c r="BJ54" s="1230"/>
      <c r="BL54" s="263"/>
      <c r="BM54" s="121" t="s">
        <v>59</v>
      </c>
      <c r="BN54" s="121"/>
      <c r="BO54" s="263" t="s">
        <v>494</v>
      </c>
      <c r="BP54" s="121" t="s">
        <v>494</v>
      </c>
      <c r="BQ54" s="121" t="s">
        <v>494</v>
      </c>
      <c r="BR54" s="121" t="s">
        <v>347</v>
      </c>
      <c r="BS54" s="121" t="s">
        <v>347</v>
      </c>
      <c r="BT54" s="121" t="s">
        <v>347</v>
      </c>
      <c r="BU54" s="121" t="s">
        <v>346</v>
      </c>
      <c r="BV54" s="145" t="s">
        <v>346</v>
      </c>
      <c r="BW54" s="121"/>
      <c r="BX54" s="458"/>
      <c r="BY54" s="264"/>
    </row>
    <row r="55" spans="26:77" ht="15.75" thickBot="1" x14ac:dyDescent="0.3">
      <c r="Z55" s="351" t="s">
        <v>1800</v>
      </c>
      <c r="AA55" s="121"/>
      <c r="AB55" s="121"/>
      <c r="AC55" s="121"/>
      <c r="AD55" s="121"/>
      <c r="AE55" s="121"/>
      <c r="AF55" s="145"/>
      <c r="AG55" s="686"/>
      <c r="AH55" s="771"/>
      <c r="AI55" s="771"/>
      <c r="AJ55" s="689"/>
      <c r="AK55" s="442"/>
      <c r="AL55" s="351" t="s">
        <v>1800</v>
      </c>
      <c r="AM55" s="121"/>
      <c r="AN55" s="121"/>
      <c r="AO55" s="121"/>
      <c r="AP55" s="121"/>
      <c r="AQ55" s="121"/>
      <c r="AR55" s="145"/>
      <c r="AS55" s="686"/>
      <c r="AT55" s="771"/>
      <c r="AU55" s="771"/>
      <c r="AV55" s="689"/>
      <c r="AX55" s="780"/>
      <c r="AY55" s="781"/>
      <c r="AZ55" s="834"/>
      <c r="BA55" s="780"/>
      <c r="BB55" s="1211"/>
      <c r="BC55" s="1084"/>
      <c r="BD55" s="1084"/>
      <c r="BE55" s="1085"/>
      <c r="BF55" s="780"/>
      <c r="BG55" s="781"/>
      <c r="BH55" s="1231"/>
      <c r="BI55" s="1232"/>
      <c r="BJ55" s="1233"/>
      <c r="BL55" s="265"/>
      <c r="BM55" s="122" t="s">
        <v>59</v>
      </c>
      <c r="BN55" s="122"/>
      <c r="BO55" s="265" t="s">
        <v>494</v>
      </c>
      <c r="BP55" s="122" t="s">
        <v>494</v>
      </c>
      <c r="BQ55" s="122" t="s">
        <v>494</v>
      </c>
      <c r="BR55" s="122" t="s">
        <v>347</v>
      </c>
      <c r="BS55" s="122" t="s">
        <v>347</v>
      </c>
      <c r="BT55" s="122" t="s">
        <v>347</v>
      </c>
      <c r="BU55" s="122" t="s">
        <v>346</v>
      </c>
      <c r="BV55" s="188" t="s">
        <v>346</v>
      </c>
      <c r="BW55" s="122"/>
      <c r="BX55" s="459"/>
      <c r="BY55" s="266"/>
    </row>
    <row r="56" spans="26:77" ht="15.75" customHeight="1" thickBot="1" x14ac:dyDescent="0.3">
      <c r="Z56" s="436" t="s">
        <v>1801</v>
      </c>
      <c r="AA56" s="122"/>
      <c r="AB56" s="122"/>
      <c r="AC56" s="122"/>
      <c r="AD56" s="122"/>
      <c r="AE56" s="122"/>
      <c r="AF56" s="188"/>
      <c r="AG56" s="772"/>
      <c r="AH56" s="682"/>
      <c r="AI56" s="682"/>
      <c r="AJ56" s="683"/>
      <c r="AK56" s="442"/>
      <c r="AL56" s="436" t="s">
        <v>1801</v>
      </c>
      <c r="AM56" s="122"/>
      <c r="AN56" s="122"/>
      <c r="AO56" s="122"/>
      <c r="AP56" s="122"/>
      <c r="AQ56" s="122"/>
      <c r="AR56" s="188"/>
      <c r="AS56" s="772"/>
      <c r="AT56" s="682"/>
      <c r="AU56" s="682"/>
      <c r="AV56" s="683"/>
      <c r="AX56" s="1239" t="s">
        <v>939</v>
      </c>
      <c r="AY56" s="1237" t="s">
        <v>71</v>
      </c>
      <c r="AZ56" s="881" t="s">
        <v>2085</v>
      </c>
      <c r="BA56" s="881" t="s">
        <v>2086</v>
      </c>
      <c r="BB56" s="881" t="s">
        <v>3575</v>
      </c>
      <c r="BC56" s="1215" t="s">
        <v>3574</v>
      </c>
      <c r="BD56" s="1212" t="s">
        <v>3576</v>
      </c>
      <c r="BE56" s="881" t="s">
        <v>60</v>
      </c>
      <c r="BF56" s="881" t="s">
        <v>527</v>
      </c>
      <c r="BG56" s="722" t="s">
        <v>3571</v>
      </c>
      <c r="BH56" s="881" t="s">
        <v>33</v>
      </c>
      <c r="BI56" s="1212" t="s">
        <v>3605</v>
      </c>
      <c r="BJ56" s="1206" t="s">
        <v>528</v>
      </c>
    </row>
    <row r="57" spans="26:77" ht="15.75" thickBot="1" x14ac:dyDescent="0.3">
      <c r="AX57" s="1240"/>
      <c r="AY57" s="1238"/>
      <c r="AZ57" s="1235"/>
      <c r="BA57" s="1235"/>
      <c r="BB57" s="1235"/>
      <c r="BC57" s="1236"/>
      <c r="BD57" s="1214"/>
      <c r="BE57" s="1235"/>
      <c r="BF57" s="1235"/>
      <c r="BG57" s="781"/>
      <c r="BH57" s="900"/>
      <c r="BI57" s="1213"/>
      <c r="BJ57" s="1207"/>
    </row>
    <row r="58" spans="26:77" x14ac:dyDescent="0.25">
      <c r="AX58" s="261"/>
      <c r="AY58" s="457"/>
      <c r="AZ58" s="261" t="s">
        <v>494</v>
      </c>
      <c r="BA58" s="185" t="s">
        <v>494</v>
      </c>
      <c r="BB58" s="185" t="s">
        <v>494</v>
      </c>
      <c r="BC58" s="185" t="s">
        <v>347</v>
      </c>
      <c r="BD58" s="185" t="s">
        <v>347</v>
      </c>
      <c r="BE58" s="185" t="s">
        <v>347</v>
      </c>
      <c r="BF58" s="185" t="s">
        <v>346</v>
      </c>
      <c r="BG58" s="189" t="s">
        <v>346</v>
      </c>
      <c r="BH58" s="460"/>
      <c r="BI58" s="581"/>
      <c r="BJ58" s="262"/>
    </row>
    <row r="59" spans="26:77" x14ac:dyDescent="0.25">
      <c r="AX59" s="263"/>
      <c r="AY59" s="458"/>
      <c r="AZ59" s="263" t="s">
        <v>494</v>
      </c>
      <c r="BA59" s="121" t="s">
        <v>494</v>
      </c>
      <c r="BB59" s="121" t="s">
        <v>494</v>
      </c>
      <c r="BC59" s="121" t="s">
        <v>347</v>
      </c>
      <c r="BD59" s="121" t="s">
        <v>347</v>
      </c>
      <c r="BE59" s="121" t="s">
        <v>347</v>
      </c>
      <c r="BF59" s="121" t="s">
        <v>346</v>
      </c>
      <c r="BG59" s="145" t="s">
        <v>346</v>
      </c>
      <c r="BH59" s="300"/>
      <c r="BI59" s="582"/>
      <c r="BJ59" s="264"/>
    </row>
    <row r="60" spans="26:77" x14ac:dyDescent="0.25">
      <c r="AX60" s="263"/>
      <c r="AY60" s="458"/>
      <c r="AZ60" s="263" t="s">
        <v>494</v>
      </c>
      <c r="BA60" s="121" t="s">
        <v>494</v>
      </c>
      <c r="BB60" s="121" t="s">
        <v>494</v>
      </c>
      <c r="BC60" s="121" t="s">
        <v>347</v>
      </c>
      <c r="BD60" s="121" t="s">
        <v>347</v>
      </c>
      <c r="BE60" s="121" t="s">
        <v>347</v>
      </c>
      <c r="BF60" s="121" t="s">
        <v>346</v>
      </c>
      <c r="BG60" s="145" t="s">
        <v>346</v>
      </c>
      <c r="BH60" s="300"/>
      <c r="BI60" s="582"/>
      <c r="BJ60" s="264"/>
    </row>
    <row r="61" spans="26:77" x14ac:dyDescent="0.25">
      <c r="AX61" s="263"/>
      <c r="AY61" s="458"/>
      <c r="AZ61" s="263" t="s">
        <v>494</v>
      </c>
      <c r="BA61" s="121" t="s">
        <v>494</v>
      </c>
      <c r="BB61" s="121" t="s">
        <v>494</v>
      </c>
      <c r="BC61" s="121" t="s">
        <v>347</v>
      </c>
      <c r="BD61" s="121" t="s">
        <v>347</v>
      </c>
      <c r="BE61" s="121" t="s">
        <v>347</v>
      </c>
      <c r="BF61" s="121" t="s">
        <v>346</v>
      </c>
      <c r="BG61" s="145" t="s">
        <v>346</v>
      </c>
      <c r="BH61" s="300"/>
      <c r="BI61" s="582"/>
      <c r="BJ61" s="264"/>
    </row>
    <row r="62" spans="26:77" x14ac:dyDescent="0.25">
      <c r="AX62" s="263"/>
      <c r="AY62" s="458"/>
      <c r="AZ62" s="263" t="s">
        <v>494</v>
      </c>
      <c r="BA62" s="121" t="s">
        <v>494</v>
      </c>
      <c r="BB62" s="121" t="s">
        <v>494</v>
      </c>
      <c r="BC62" s="121" t="s">
        <v>347</v>
      </c>
      <c r="BD62" s="121" t="s">
        <v>347</v>
      </c>
      <c r="BE62" s="121" t="s">
        <v>347</v>
      </c>
      <c r="BF62" s="121" t="s">
        <v>346</v>
      </c>
      <c r="BG62" s="145" t="s">
        <v>346</v>
      </c>
      <c r="BH62" s="300"/>
      <c r="BI62" s="582"/>
      <c r="BJ62" s="264"/>
    </row>
    <row r="63" spans="26:77" x14ac:dyDescent="0.25">
      <c r="AX63" s="263"/>
      <c r="AY63" s="458"/>
      <c r="AZ63" s="263" t="s">
        <v>494</v>
      </c>
      <c r="BA63" s="121" t="s">
        <v>494</v>
      </c>
      <c r="BB63" s="121" t="s">
        <v>494</v>
      </c>
      <c r="BC63" s="121" t="s">
        <v>347</v>
      </c>
      <c r="BD63" s="121" t="s">
        <v>347</v>
      </c>
      <c r="BE63" s="121" t="s">
        <v>347</v>
      </c>
      <c r="BF63" s="121" t="s">
        <v>346</v>
      </c>
      <c r="BG63" s="145" t="s">
        <v>346</v>
      </c>
      <c r="BH63" s="300"/>
      <c r="BI63" s="582"/>
      <c r="BJ63" s="264"/>
    </row>
    <row r="64" spans="26:77" x14ac:dyDescent="0.25">
      <c r="AX64" s="263"/>
      <c r="AY64" s="458"/>
      <c r="AZ64" s="263" t="s">
        <v>494</v>
      </c>
      <c r="BA64" s="121" t="s">
        <v>494</v>
      </c>
      <c r="BB64" s="121" t="s">
        <v>494</v>
      </c>
      <c r="BC64" s="121" t="s">
        <v>347</v>
      </c>
      <c r="BD64" s="121" t="s">
        <v>347</v>
      </c>
      <c r="BE64" s="121" t="s">
        <v>347</v>
      </c>
      <c r="BF64" s="121" t="s">
        <v>346</v>
      </c>
      <c r="BG64" s="145" t="s">
        <v>346</v>
      </c>
      <c r="BH64" s="300"/>
      <c r="BI64" s="582"/>
      <c r="BJ64" s="264"/>
    </row>
    <row r="65" spans="50:62" x14ac:dyDescent="0.25">
      <c r="AX65" s="263"/>
      <c r="AY65" s="458"/>
      <c r="AZ65" s="263" t="s">
        <v>494</v>
      </c>
      <c r="BA65" s="121" t="s">
        <v>494</v>
      </c>
      <c r="BB65" s="121" t="s">
        <v>494</v>
      </c>
      <c r="BC65" s="121" t="s">
        <v>347</v>
      </c>
      <c r="BD65" s="121" t="s">
        <v>347</v>
      </c>
      <c r="BE65" s="121" t="s">
        <v>347</v>
      </c>
      <c r="BF65" s="121" t="s">
        <v>346</v>
      </c>
      <c r="BG65" s="145" t="s">
        <v>346</v>
      </c>
      <c r="BH65" s="300"/>
      <c r="BI65" s="582"/>
      <c r="BJ65" s="264"/>
    </row>
    <row r="66" spans="50:62" x14ac:dyDescent="0.25">
      <c r="AX66" s="263"/>
      <c r="AY66" s="458"/>
      <c r="AZ66" s="263" t="s">
        <v>494</v>
      </c>
      <c r="BA66" s="121" t="s">
        <v>494</v>
      </c>
      <c r="BB66" s="121" t="s">
        <v>494</v>
      </c>
      <c r="BC66" s="121" t="s">
        <v>347</v>
      </c>
      <c r="BD66" s="121" t="s">
        <v>347</v>
      </c>
      <c r="BE66" s="121" t="s">
        <v>347</v>
      </c>
      <c r="BF66" s="121" t="s">
        <v>346</v>
      </c>
      <c r="BG66" s="145" t="s">
        <v>346</v>
      </c>
      <c r="BH66" s="300"/>
      <c r="BI66" s="582"/>
      <c r="BJ66" s="264"/>
    </row>
    <row r="67" spans="50:62" x14ac:dyDescent="0.25">
      <c r="AX67" s="263"/>
      <c r="AY67" s="458"/>
      <c r="AZ67" s="263" t="s">
        <v>494</v>
      </c>
      <c r="BA67" s="121" t="s">
        <v>494</v>
      </c>
      <c r="BB67" s="121" t="s">
        <v>494</v>
      </c>
      <c r="BC67" s="121" t="s">
        <v>347</v>
      </c>
      <c r="BD67" s="121" t="s">
        <v>347</v>
      </c>
      <c r="BE67" s="121" t="s">
        <v>347</v>
      </c>
      <c r="BF67" s="121" t="s">
        <v>346</v>
      </c>
      <c r="BG67" s="145" t="s">
        <v>346</v>
      </c>
      <c r="BH67" s="300"/>
      <c r="BI67" s="582"/>
      <c r="BJ67" s="264"/>
    </row>
    <row r="68" spans="50:62" x14ac:dyDescent="0.25">
      <c r="AX68" s="263"/>
      <c r="AY68" s="458"/>
      <c r="AZ68" s="263" t="s">
        <v>494</v>
      </c>
      <c r="BA68" s="121" t="s">
        <v>494</v>
      </c>
      <c r="BB68" s="121" t="s">
        <v>494</v>
      </c>
      <c r="BC68" s="121" t="s">
        <v>347</v>
      </c>
      <c r="BD68" s="121" t="s">
        <v>347</v>
      </c>
      <c r="BE68" s="121" t="s">
        <v>347</v>
      </c>
      <c r="BF68" s="121" t="s">
        <v>346</v>
      </c>
      <c r="BG68" s="145" t="s">
        <v>346</v>
      </c>
      <c r="BH68" s="300"/>
      <c r="BI68" s="582"/>
      <c r="BJ68" s="264"/>
    </row>
    <row r="69" spans="50:62" x14ac:dyDescent="0.25">
      <c r="AX69" s="263"/>
      <c r="AY69" s="458"/>
      <c r="AZ69" s="263" t="s">
        <v>494</v>
      </c>
      <c r="BA69" s="121" t="s">
        <v>494</v>
      </c>
      <c r="BB69" s="121" t="s">
        <v>494</v>
      </c>
      <c r="BC69" s="121" t="s">
        <v>347</v>
      </c>
      <c r="BD69" s="121" t="s">
        <v>347</v>
      </c>
      <c r="BE69" s="121" t="s">
        <v>347</v>
      </c>
      <c r="BF69" s="121" t="s">
        <v>346</v>
      </c>
      <c r="BG69" s="145" t="s">
        <v>346</v>
      </c>
      <c r="BH69" s="300"/>
      <c r="BI69" s="582"/>
      <c r="BJ69" s="264"/>
    </row>
    <row r="70" spans="50:62" x14ac:dyDescent="0.25">
      <c r="AX70" s="263"/>
      <c r="AY70" s="458"/>
      <c r="AZ70" s="263" t="s">
        <v>494</v>
      </c>
      <c r="BA70" s="121" t="s">
        <v>494</v>
      </c>
      <c r="BB70" s="121" t="s">
        <v>494</v>
      </c>
      <c r="BC70" s="121" t="s">
        <v>347</v>
      </c>
      <c r="BD70" s="121" t="s">
        <v>347</v>
      </c>
      <c r="BE70" s="121" t="s">
        <v>347</v>
      </c>
      <c r="BF70" s="121" t="s">
        <v>346</v>
      </c>
      <c r="BG70" s="145" t="s">
        <v>346</v>
      </c>
      <c r="BH70" s="300"/>
      <c r="BI70" s="582"/>
      <c r="BJ70" s="264"/>
    </row>
    <row r="71" spans="50:62" x14ac:dyDescent="0.25">
      <c r="AX71" s="263"/>
      <c r="AY71" s="458"/>
      <c r="AZ71" s="263" t="s">
        <v>494</v>
      </c>
      <c r="BA71" s="121" t="s">
        <v>494</v>
      </c>
      <c r="BB71" s="121" t="s">
        <v>494</v>
      </c>
      <c r="BC71" s="121" t="s">
        <v>347</v>
      </c>
      <c r="BD71" s="121" t="s">
        <v>347</v>
      </c>
      <c r="BE71" s="121" t="s">
        <v>347</v>
      </c>
      <c r="BF71" s="121" t="s">
        <v>346</v>
      </c>
      <c r="BG71" s="145" t="s">
        <v>346</v>
      </c>
      <c r="BH71" s="300"/>
      <c r="BI71" s="582"/>
      <c r="BJ71" s="264"/>
    </row>
    <row r="72" spans="50:62" x14ac:dyDescent="0.25">
      <c r="AX72" s="263"/>
      <c r="AY72" s="458"/>
      <c r="AZ72" s="263" t="s">
        <v>494</v>
      </c>
      <c r="BA72" s="121" t="s">
        <v>494</v>
      </c>
      <c r="BB72" s="121" t="s">
        <v>494</v>
      </c>
      <c r="BC72" s="121" t="s">
        <v>347</v>
      </c>
      <c r="BD72" s="121" t="s">
        <v>347</v>
      </c>
      <c r="BE72" s="121" t="s">
        <v>347</v>
      </c>
      <c r="BF72" s="121" t="s">
        <v>346</v>
      </c>
      <c r="BG72" s="145" t="s">
        <v>346</v>
      </c>
      <c r="BH72" s="300"/>
      <c r="BI72" s="582"/>
      <c r="BJ72" s="264"/>
    </row>
    <row r="73" spans="50:62" x14ac:dyDescent="0.25">
      <c r="AX73" s="263"/>
      <c r="AY73" s="458"/>
      <c r="AZ73" s="263" t="s">
        <v>494</v>
      </c>
      <c r="BA73" s="121" t="s">
        <v>494</v>
      </c>
      <c r="BB73" s="121" t="s">
        <v>494</v>
      </c>
      <c r="BC73" s="121" t="s">
        <v>347</v>
      </c>
      <c r="BD73" s="121" t="s">
        <v>347</v>
      </c>
      <c r="BE73" s="121" t="s">
        <v>347</v>
      </c>
      <c r="BF73" s="121" t="s">
        <v>346</v>
      </c>
      <c r="BG73" s="145" t="s">
        <v>346</v>
      </c>
      <c r="BH73" s="300"/>
      <c r="BI73" s="582"/>
      <c r="BJ73" s="264"/>
    </row>
    <row r="74" spans="50:62" x14ac:dyDescent="0.25">
      <c r="AX74" s="263"/>
      <c r="AY74" s="458"/>
      <c r="AZ74" s="263" t="s">
        <v>494</v>
      </c>
      <c r="BA74" s="121" t="s">
        <v>494</v>
      </c>
      <c r="BB74" s="121" t="s">
        <v>494</v>
      </c>
      <c r="BC74" s="121" t="s">
        <v>347</v>
      </c>
      <c r="BD74" s="121" t="s">
        <v>347</v>
      </c>
      <c r="BE74" s="121" t="s">
        <v>347</v>
      </c>
      <c r="BF74" s="121" t="s">
        <v>346</v>
      </c>
      <c r="BG74" s="145" t="s">
        <v>346</v>
      </c>
      <c r="BH74" s="300"/>
      <c r="BI74" s="582"/>
      <c r="BJ74" s="264"/>
    </row>
    <row r="75" spans="50:62" x14ac:dyDescent="0.25">
      <c r="AX75" s="263"/>
      <c r="AY75" s="458"/>
      <c r="AZ75" s="263" t="s">
        <v>494</v>
      </c>
      <c r="BA75" s="121" t="s">
        <v>494</v>
      </c>
      <c r="BB75" s="121" t="s">
        <v>494</v>
      </c>
      <c r="BC75" s="121" t="s">
        <v>347</v>
      </c>
      <c r="BD75" s="121" t="s">
        <v>347</v>
      </c>
      <c r="BE75" s="121" t="s">
        <v>347</v>
      </c>
      <c r="BF75" s="121" t="s">
        <v>346</v>
      </c>
      <c r="BG75" s="145" t="s">
        <v>346</v>
      </c>
      <c r="BH75" s="300"/>
      <c r="BI75" s="582"/>
      <c r="BJ75" s="264"/>
    </row>
    <row r="76" spans="50:62" x14ac:dyDescent="0.25">
      <c r="AX76" s="263"/>
      <c r="AY76" s="458"/>
      <c r="AZ76" s="263" t="s">
        <v>494</v>
      </c>
      <c r="BA76" s="121" t="s">
        <v>494</v>
      </c>
      <c r="BB76" s="121" t="s">
        <v>494</v>
      </c>
      <c r="BC76" s="121" t="s">
        <v>347</v>
      </c>
      <c r="BD76" s="121" t="s">
        <v>347</v>
      </c>
      <c r="BE76" s="121" t="s">
        <v>347</v>
      </c>
      <c r="BF76" s="121" t="s">
        <v>346</v>
      </c>
      <c r="BG76" s="145" t="s">
        <v>346</v>
      </c>
      <c r="BH76" s="300"/>
      <c r="BI76" s="582"/>
      <c r="BJ76" s="264"/>
    </row>
    <row r="77" spans="50:62" x14ac:dyDescent="0.25">
      <c r="AX77" s="263"/>
      <c r="AY77" s="458"/>
      <c r="AZ77" s="263" t="s">
        <v>494</v>
      </c>
      <c r="BA77" s="121" t="s">
        <v>494</v>
      </c>
      <c r="BB77" s="121" t="s">
        <v>494</v>
      </c>
      <c r="BC77" s="121" t="s">
        <v>347</v>
      </c>
      <c r="BD77" s="121" t="s">
        <v>347</v>
      </c>
      <c r="BE77" s="121" t="s">
        <v>347</v>
      </c>
      <c r="BF77" s="121" t="s">
        <v>346</v>
      </c>
      <c r="BG77" s="145" t="s">
        <v>346</v>
      </c>
      <c r="BH77" s="300"/>
      <c r="BI77" s="582"/>
      <c r="BJ77" s="264"/>
    </row>
    <row r="78" spans="50:62" ht="15.75" thickBot="1" x14ac:dyDescent="0.3">
      <c r="AX78" s="265"/>
      <c r="AY78" s="459"/>
      <c r="AZ78" s="265" t="s">
        <v>494</v>
      </c>
      <c r="BA78" s="122" t="s">
        <v>494</v>
      </c>
      <c r="BB78" s="122" t="s">
        <v>494</v>
      </c>
      <c r="BC78" s="122" t="s">
        <v>347</v>
      </c>
      <c r="BD78" s="122" t="s">
        <v>347</v>
      </c>
      <c r="BE78" s="122" t="s">
        <v>347</v>
      </c>
      <c r="BF78" s="122" t="s">
        <v>346</v>
      </c>
      <c r="BG78" s="188" t="s">
        <v>346</v>
      </c>
      <c r="BH78" s="305"/>
      <c r="BI78" s="583"/>
      <c r="BJ78" s="266"/>
    </row>
    <row r="79" spans="50:62" x14ac:dyDescent="0.25">
      <c r="AX79" s="721" t="s">
        <v>3579</v>
      </c>
      <c r="AY79" s="722"/>
      <c r="AZ79" s="833"/>
      <c r="BA79" s="721" t="s">
        <v>2087</v>
      </c>
      <c r="BB79" s="1208" t="s">
        <v>2084</v>
      </c>
      <c r="BC79" s="1209"/>
      <c r="BD79" s="1209"/>
      <c r="BE79" s="1210"/>
      <c r="BF79" s="721" t="s">
        <v>2083</v>
      </c>
      <c r="BG79" s="722"/>
      <c r="BH79" s="1228"/>
      <c r="BI79" s="1229"/>
      <c r="BJ79" s="1230"/>
    </row>
    <row r="80" spans="50:62" ht="15.75" thickBot="1" x14ac:dyDescent="0.3">
      <c r="AX80" s="780"/>
      <c r="AY80" s="781"/>
      <c r="AZ80" s="834"/>
      <c r="BA80" s="780"/>
      <c r="BB80" s="1211"/>
      <c r="BC80" s="1084"/>
      <c r="BD80" s="1084"/>
      <c r="BE80" s="1085"/>
      <c r="BF80" s="780"/>
      <c r="BG80" s="781"/>
      <c r="BH80" s="1231"/>
      <c r="BI80" s="1232"/>
      <c r="BJ80" s="1233"/>
    </row>
    <row r="81" spans="50:62" ht="15" customHeight="1" x14ac:dyDescent="0.25">
      <c r="AX81" s="1239" t="s">
        <v>939</v>
      </c>
      <c r="AY81" s="1237" t="s">
        <v>71</v>
      </c>
      <c r="AZ81" s="881" t="s">
        <v>2085</v>
      </c>
      <c r="BA81" s="881" t="s">
        <v>2086</v>
      </c>
      <c r="BB81" s="881" t="s">
        <v>3575</v>
      </c>
      <c r="BC81" s="1215" t="s">
        <v>3574</v>
      </c>
      <c r="BD81" s="1212" t="s">
        <v>3576</v>
      </c>
      <c r="BE81" s="881" t="s">
        <v>60</v>
      </c>
      <c r="BF81" s="881" t="s">
        <v>527</v>
      </c>
      <c r="BG81" s="722" t="s">
        <v>3571</v>
      </c>
      <c r="BH81" s="881" t="s">
        <v>33</v>
      </c>
      <c r="BI81" s="1212" t="s">
        <v>3605</v>
      </c>
      <c r="BJ81" s="1206" t="s">
        <v>528</v>
      </c>
    </row>
    <row r="82" spans="50:62" ht="15.75" thickBot="1" x14ac:dyDescent="0.3">
      <c r="AX82" s="1240"/>
      <c r="AY82" s="1238"/>
      <c r="AZ82" s="1235"/>
      <c r="BA82" s="1235"/>
      <c r="BB82" s="1235"/>
      <c r="BC82" s="1236"/>
      <c r="BD82" s="1214"/>
      <c r="BE82" s="1235"/>
      <c r="BF82" s="1235"/>
      <c r="BG82" s="781"/>
      <c r="BH82" s="900"/>
      <c r="BI82" s="1213"/>
      <c r="BJ82" s="1207"/>
    </row>
    <row r="83" spans="50:62" x14ac:dyDescent="0.25">
      <c r="AX83" s="261"/>
      <c r="AY83" s="457"/>
      <c r="AZ83" s="261" t="s">
        <v>494</v>
      </c>
      <c r="BA83" s="185" t="s">
        <v>494</v>
      </c>
      <c r="BB83" s="185" t="s">
        <v>494</v>
      </c>
      <c r="BC83" s="185" t="s">
        <v>347</v>
      </c>
      <c r="BD83" s="185" t="s">
        <v>347</v>
      </c>
      <c r="BE83" s="185" t="s">
        <v>347</v>
      </c>
      <c r="BF83" s="185" t="s">
        <v>346</v>
      </c>
      <c r="BG83" s="189" t="s">
        <v>346</v>
      </c>
      <c r="BH83" s="460"/>
      <c r="BI83" s="581"/>
      <c r="BJ83" s="262"/>
    </row>
    <row r="84" spans="50:62" x14ac:dyDescent="0.25">
      <c r="AX84" s="263"/>
      <c r="AY84" s="458"/>
      <c r="AZ84" s="263" t="s">
        <v>494</v>
      </c>
      <c r="BA84" s="121" t="s">
        <v>494</v>
      </c>
      <c r="BB84" s="121" t="s">
        <v>494</v>
      </c>
      <c r="BC84" s="121" t="s">
        <v>347</v>
      </c>
      <c r="BD84" s="121" t="s">
        <v>347</v>
      </c>
      <c r="BE84" s="121" t="s">
        <v>347</v>
      </c>
      <c r="BF84" s="121" t="s">
        <v>346</v>
      </c>
      <c r="BG84" s="145" t="s">
        <v>346</v>
      </c>
      <c r="BH84" s="300"/>
      <c r="BI84" s="582"/>
      <c r="BJ84" s="264"/>
    </row>
    <row r="85" spans="50:62" x14ac:dyDescent="0.25">
      <c r="AX85" s="263"/>
      <c r="AY85" s="458"/>
      <c r="AZ85" s="263" t="s">
        <v>494</v>
      </c>
      <c r="BA85" s="121" t="s">
        <v>494</v>
      </c>
      <c r="BB85" s="121" t="s">
        <v>494</v>
      </c>
      <c r="BC85" s="121" t="s">
        <v>347</v>
      </c>
      <c r="BD85" s="121" t="s">
        <v>347</v>
      </c>
      <c r="BE85" s="121" t="s">
        <v>347</v>
      </c>
      <c r="BF85" s="121" t="s">
        <v>346</v>
      </c>
      <c r="BG85" s="145" t="s">
        <v>346</v>
      </c>
      <c r="BH85" s="300"/>
      <c r="BI85" s="582"/>
      <c r="BJ85" s="264"/>
    </row>
    <row r="86" spans="50:62" x14ac:dyDescent="0.25">
      <c r="AX86" s="263"/>
      <c r="AY86" s="458"/>
      <c r="AZ86" s="263" t="s">
        <v>494</v>
      </c>
      <c r="BA86" s="121" t="s">
        <v>494</v>
      </c>
      <c r="BB86" s="121" t="s">
        <v>494</v>
      </c>
      <c r="BC86" s="121" t="s">
        <v>347</v>
      </c>
      <c r="BD86" s="121" t="s">
        <v>347</v>
      </c>
      <c r="BE86" s="121" t="s">
        <v>347</v>
      </c>
      <c r="BF86" s="121" t="s">
        <v>346</v>
      </c>
      <c r="BG86" s="145" t="s">
        <v>346</v>
      </c>
      <c r="BH86" s="300"/>
      <c r="BI86" s="582"/>
      <c r="BJ86" s="264"/>
    </row>
    <row r="87" spans="50:62" x14ac:dyDescent="0.25">
      <c r="AX87" s="263"/>
      <c r="AY87" s="458"/>
      <c r="AZ87" s="263" t="s">
        <v>494</v>
      </c>
      <c r="BA87" s="121" t="s">
        <v>494</v>
      </c>
      <c r="BB87" s="121" t="s">
        <v>494</v>
      </c>
      <c r="BC87" s="121" t="s">
        <v>347</v>
      </c>
      <c r="BD87" s="121" t="s">
        <v>347</v>
      </c>
      <c r="BE87" s="121" t="s">
        <v>347</v>
      </c>
      <c r="BF87" s="121" t="s">
        <v>346</v>
      </c>
      <c r="BG87" s="145" t="s">
        <v>346</v>
      </c>
      <c r="BH87" s="300"/>
      <c r="BI87" s="582"/>
      <c r="BJ87" s="264"/>
    </row>
    <row r="88" spans="50:62" x14ac:dyDescent="0.25">
      <c r="AX88" s="263"/>
      <c r="AY88" s="458"/>
      <c r="AZ88" s="263" t="s">
        <v>494</v>
      </c>
      <c r="BA88" s="121" t="s">
        <v>494</v>
      </c>
      <c r="BB88" s="121" t="s">
        <v>494</v>
      </c>
      <c r="BC88" s="121" t="s">
        <v>347</v>
      </c>
      <c r="BD88" s="121" t="s">
        <v>347</v>
      </c>
      <c r="BE88" s="121" t="s">
        <v>347</v>
      </c>
      <c r="BF88" s="121" t="s">
        <v>346</v>
      </c>
      <c r="BG88" s="145" t="s">
        <v>346</v>
      </c>
      <c r="BH88" s="300"/>
      <c r="BI88" s="582"/>
      <c r="BJ88" s="264"/>
    </row>
    <row r="89" spans="50:62" x14ac:dyDescent="0.25">
      <c r="AX89" s="263"/>
      <c r="AY89" s="458"/>
      <c r="AZ89" s="263" t="s">
        <v>494</v>
      </c>
      <c r="BA89" s="121" t="s">
        <v>494</v>
      </c>
      <c r="BB89" s="121" t="s">
        <v>494</v>
      </c>
      <c r="BC89" s="121" t="s">
        <v>347</v>
      </c>
      <c r="BD89" s="121" t="s">
        <v>347</v>
      </c>
      <c r="BE89" s="121" t="s">
        <v>347</v>
      </c>
      <c r="BF89" s="121" t="s">
        <v>346</v>
      </c>
      <c r="BG89" s="145" t="s">
        <v>346</v>
      </c>
      <c r="BH89" s="300"/>
      <c r="BI89" s="582"/>
      <c r="BJ89" s="264"/>
    </row>
    <row r="90" spans="50:62" x14ac:dyDescent="0.25">
      <c r="AX90" s="263"/>
      <c r="AY90" s="458"/>
      <c r="AZ90" s="263" t="s">
        <v>494</v>
      </c>
      <c r="BA90" s="121" t="s">
        <v>494</v>
      </c>
      <c r="BB90" s="121" t="s">
        <v>494</v>
      </c>
      <c r="BC90" s="121" t="s">
        <v>347</v>
      </c>
      <c r="BD90" s="121" t="s">
        <v>347</v>
      </c>
      <c r="BE90" s="121" t="s">
        <v>347</v>
      </c>
      <c r="BF90" s="121" t="s">
        <v>346</v>
      </c>
      <c r="BG90" s="145" t="s">
        <v>346</v>
      </c>
      <c r="BH90" s="300"/>
      <c r="BI90" s="582"/>
      <c r="BJ90" s="264"/>
    </row>
    <row r="91" spans="50:62" x14ac:dyDescent="0.25">
      <c r="AX91" s="263"/>
      <c r="AY91" s="458"/>
      <c r="AZ91" s="263" t="s">
        <v>494</v>
      </c>
      <c r="BA91" s="121" t="s">
        <v>494</v>
      </c>
      <c r="BB91" s="121" t="s">
        <v>494</v>
      </c>
      <c r="BC91" s="121" t="s">
        <v>347</v>
      </c>
      <c r="BD91" s="121" t="s">
        <v>347</v>
      </c>
      <c r="BE91" s="121" t="s">
        <v>347</v>
      </c>
      <c r="BF91" s="121" t="s">
        <v>346</v>
      </c>
      <c r="BG91" s="145" t="s">
        <v>346</v>
      </c>
      <c r="BH91" s="300"/>
      <c r="BI91" s="582"/>
      <c r="BJ91" s="264"/>
    </row>
    <row r="92" spans="50:62" x14ac:dyDescent="0.25">
      <c r="AX92" s="263"/>
      <c r="AY92" s="458"/>
      <c r="AZ92" s="263" t="s">
        <v>494</v>
      </c>
      <c r="BA92" s="121" t="s">
        <v>494</v>
      </c>
      <c r="BB92" s="121" t="s">
        <v>494</v>
      </c>
      <c r="BC92" s="121" t="s">
        <v>347</v>
      </c>
      <c r="BD92" s="121" t="s">
        <v>347</v>
      </c>
      <c r="BE92" s="121" t="s">
        <v>347</v>
      </c>
      <c r="BF92" s="121" t="s">
        <v>346</v>
      </c>
      <c r="BG92" s="145" t="s">
        <v>346</v>
      </c>
      <c r="BH92" s="300"/>
      <c r="BI92" s="582"/>
      <c r="BJ92" s="264"/>
    </row>
    <row r="93" spans="50:62" x14ac:dyDescent="0.25">
      <c r="AX93" s="263"/>
      <c r="AY93" s="458"/>
      <c r="AZ93" s="263" t="s">
        <v>494</v>
      </c>
      <c r="BA93" s="121" t="s">
        <v>494</v>
      </c>
      <c r="BB93" s="121" t="s">
        <v>494</v>
      </c>
      <c r="BC93" s="121" t="s">
        <v>347</v>
      </c>
      <c r="BD93" s="121" t="s">
        <v>347</v>
      </c>
      <c r="BE93" s="121" t="s">
        <v>347</v>
      </c>
      <c r="BF93" s="121" t="s">
        <v>346</v>
      </c>
      <c r="BG93" s="145" t="s">
        <v>346</v>
      </c>
      <c r="BH93" s="300"/>
      <c r="BI93" s="582"/>
      <c r="BJ93" s="264"/>
    </row>
    <row r="94" spans="50:62" x14ac:dyDescent="0.25">
      <c r="AX94" s="263"/>
      <c r="AY94" s="458"/>
      <c r="AZ94" s="263" t="s">
        <v>494</v>
      </c>
      <c r="BA94" s="121" t="s">
        <v>494</v>
      </c>
      <c r="BB94" s="121" t="s">
        <v>494</v>
      </c>
      <c r="BC94" s="121" t="s">
        <v>347</v>
      </c>
      <c r="BD94" s="121" t="s">
        <v>347</v>
      </c>
      <c r="BE94" s="121" t="s">
        <v>347</v>
      </c>
      <c r="BF94" s="121" t="s">
        <v>346</v>
      </c>
      <c r="BG94" s="145" t="s">
        <v>346</v>
      </c>
      <c r="BH94" s="300"/>
      <c r="BI94" s="582"/>
      <c r="BJ94" s="264"/>
    </row>
    <row r="95" spans="50:62" x14ac:dyDescent="0.25">
      <c r="AX95" s="263"/>
      <c r="AY95" s="458"/>
      <c r="AZ95" s="263" t="s">
        <v>494</v>
      </c>
      <c r="BA95" s="121" t="s">
        <v>494</v>
      </c>
      <c r="BB95" s="121" t="s">
        <v>494</v>
      </c>
      <c r="BC95" s="121" t="s">
        <v>347</v>
      </c>
      <c r="BD95" s="121" t="s">
        <v>347</v>
      </c>
      <c r="BE95" s="121" t="s">
        <v>347</v>
      </c>
      <c r="BF95" s="121" t="s">
        <v>346</v>
      </c>
      <c r="BG95" s="145" t="s">
        <v>346</v>
      </c>
      <c r="BH95" s="300"/>
      <c r="BI95" s="582"/>
      <c r="BJ95" s="264"/>
    </row>
    <row r="96" spans="50:62" x14ac:dyDescent="0.25">
      <c r="AX96" s="263"/>
      <c r="AY96" s="458"/>
      <c r="AZ96" s="263" t="s">
        <v>494</v>
      </c>
      <c r="BA96" s="121" t="s">
        <v>494</v>
      </c>
      <c r="BB96" s="121" t="s">
        <v>494</v>
      </c>
      <c r="BC96" s="121" t="s">
        <v>347</v>
      </c>
      <c r="BD96" s="121" t="s">
        <v>347</v>
      </c>
      <c r="BE96" s="121" t="s">
        <v>347</v>
      </c>
      <c r="BF96" s="121" t="s">
        <v>346</v>
      </c>
      <c r="BG96" s="145" t="s">
        <v>346</v>
      </c>
      <c r="BH96" s="300"/>
      <c r="BI96" s="582"/>
      <c r="BJ96" s="264"/>
    </row>
    <row r="97" spans="50:62" x14ac:dyDescent="0.25">
      <c r="AX97" s="263"/>
      <c r="AY97" s="458"/>
      <c r="AZ97" s="263" t="s">
        <v>494</v>
      </c>
      <c r="BA97" s="121" t="s">
        <v>494</v>
      </c>
      <c r="BB97" s="121" t="s">
        <v>494</v>
      </c>
      <c r="BC97" s="121" t="s">
        <v>347</v>
      </c>
      <c r="BD97" s="121" t="s">
        <v>347</v>
      </c>
      <c r="BE97" s="121" t="s">
        <v>347</v>
      </c>
      <c r="BF97" s="121" t="s">
        <v>346</v>
      </c>
      <c r="BG97" s="145" t="s">
        <v>346</v>
      </c>
      <c r="BH97" s="300"/>
      <c r="BI97" s="582"/>
      <c r="BJ97" s="264"/>
    </row>
    <row r="98" spans="50:62" x14ac:dyDescent="0.25">
      <c r="AX98" s="263"/>
      <c r="AY98" s="458"/>
      <c r="AZ98" s="263" t="s">
        <v>494</v>
      </c>
      <c r="BA98" s="121" t="s">
        <v>494</v>
      </c>
      <c r="BB98" s="121" t="s">
        <v>494</v>
      </c>
      <c r="BC98" s="121" t="s">
        <v>347</v>
      </c>
      <c r="BD98" s="121" t="s">
        <v>347</v>
      </c>
      <c r="BE98" s="121" t="s">
        <v>347</v>
      </c>
      <c r="BF98" s="121" t="s">
        <v>346</v>
      </c>
      <c r="BG98" s="145" t="s">
        <v>346</v>
      </c>
      <c r="BH98" s="300"/>
      <c r="BI98" s="582"/>
      <c r="BJ98" s="264"/>
    </row>
    <row r="99" spans="50:62" x14ac:dyDescent="0.25">
      <c r="AX99" s="263"/>
      <c r="AY99" s="458"/>
      <c r="AZ99" s="263" t="s">
        <v>494</v>
      </c>
      <c r="BA99" s="121" t="s">
        <v>494</v>
      </c>
      <c r="BB99" s="121" t="s">
        <v>494</v>
      </c>
      <c r="BC99" s="121" t="s">
        <v>347</v>
      </c>
      <c r="BD99" s="121" t="s">
        <v>347</v>
      </c>
      <c r="BE99" s="121" t="s">
        <v>347</v>
      </c>
      <c r="BF99" s="121" t="s">
        <v>346</v>
      </c>
      <c r="BG99" s="145" t="s">
        <v>346</v>
      </c>
      <c r="BH99" s="300"/>
      <c r="BI99" s="582"/>
      <c r="BJ99" s="264"/>
    </row>
    <row r="100" spans="50:62" x14ac:dyDescent="0.25">
      <c r="AX100" s="263"/>
      <c r="AY100" s="458"/>
      <c r="AZ100" s="263" t="s">
        <v>494</v>
      </c>
      <c r="BA100" s="121" t="s">
        <v>494</v>
      </c>
      <c r="BB100" s="121" t="s">
        <v>494</v>
      </c>
      <c r="BC100" s="121" t="s">
        <v>347</v>
      </c>
      <c r="BD100" s="121" t="s">
        <v>347</v>
      </c>
      <c r="BE100" s="121" t="s">
        <v>347</v>
      </c>
      <c r="BF100" s="121" t="s">
        <v>346</v>
      </c>
      <c r="BG100" s="145" t="s">
        <v>346</v>
      </c>
      <c r="BH100" s="300"/>
      <c r="BI100" s="582"/>
      <c r="BJ100" s="264"/>
    </row>
    <row r="101" spans="50:62" x14ac:dyDescent="0.25">
      <c r="AX101" s="263"/>
      <c r="AY101" s="458"/>
      <c r="AZ101" s="263" t="s">
        <v>494</v>
      </c>
      <c r="BA101" s="121" t="s">
        <v>494</v>
      </c>
      <c r="BB101" s="121" t="s">
        <v>494</v>
      </c>
      <c r="BC101" s="121" t="s">
        <v>347</v>
      </c>
      <c r="BD101" s="121" t="s">
        <v>347</v>
      </c>
      <c r="BE101" s="121" t="s">
        <v>347</v>
      </c>
      <c r="BF101" s="121" t="s">
        <v>346</v>
      </c>
      <c r="BG101" s="145" t="s">
        <v>346</v>
      </c>
      <c r="BH101" s="300"/>
      <c r="BI101" s="582"/>
      <c r="BJ101" s="264"/>
    </row>
    <row r="102" spans="50:62" x14ac:dyDescent="0.25">
      <c r="AX102" s="263"/>
      <c r="AY102" s="458"/>
      <c r="AZ102" s="263" t="s">
        <v>494</v>
      </c>
      <c r="BA102" s="121" t="s">
        <v>494</v>
      </c>
      <c r="BB102" s="121" t="s">
        <v>494</v>
      </c>
      <c r="BC102" s="121" t="s">
        <v>347</v>
      </c>
      <c r="BD102" s="121" t="s">
        <v>347</v>
      </c>
      <c r="BE102" s="121" t="s">
        <v>347</v>
      </c>
      <c r="BF102" s="121" t="s">
        <v>346</v>
      </c>
      <c r="BG102" s="145" t="s">
        <v>346</v>
      </c>
      <c r="BH102" s="300"/>
      <c r="BI102" s="582"/>
      <c r="BJ102" s="264"/>
    </row>
    <row r="103" spans="50:62" ht="15.75" thickBot="1" x14ac:dyDescent="0.3">
      <c r="AX103" s="265"/>
      <c r="AY103" s="459"/>
      <c r="AZ103" s="265" t="s">
        <v>494</v>
      </c>
      <c r="BA103" s="122" t="s">
        <v>494</v>
      </c>
      <c r="BB103" s="122" t="s">
        <v>494</v>
      </c>
      <c r="BC103" s="122" t="s">
        <v>347</v>
      </c>
      <c r="BD103" s="122" t="s">
        <v>347</v>
      </c>
      <c r="BE103" s="122" t="s">
        <v>347</v>
      </c>
      <c r="BF103" s="122" t="s">
        <v>346</v>
      </c>
      <c r="BG103" s="188" t="s">
        <v>346</v>
      </c>
      <c r="BH103" s="305"/>
      <c r="BI103" s="583"/>
      <c r="BJ103" s="266"/>
    </row>
    <row r="104" spans="50:62" x14ac:dyDescent="0.25">
      <c r="AX104" s="721" t="s">
        <v>3580</v>
      </c>
      <c r="AY104" s="722"/>
      <c r="AZ104" s="833"/>
      <c r="BA104" s="721" t="s">
        <v>2087</v>
      </c>
      <c r="BB104" s="1208" t="s">
        <v>2084</v>
      </c>
      <c r="BC104" s="1209"/>
      <c r="BD104" s="1209"/>
      <c r="BE104" s="1210"/>
      <c r="BF104" s="721" t="s">
        <v>2083</v>
      </c>
      <c r="BG104" s="722"/>
      <c r="BH104" s="1228"/>
      <c r="BI104" s="1229"/>
      <c r="BJ104" s="1230"/>
    </row>
    <row r="105" spans="50:62" ht="15.75" thickBot="1" x14ac:dyDescent="0.3">
      <c r="AX105" s="780"/>
      <c r="AY105" s="781"/>
      <c r="AZ105" s="834"/>
      <c r="BA105" s="780"/>
      <c r="BB105" s="1211"/>
      <c r="BC105" s="1084"/>
      <c r="BD105" s="1084"/>
      <c r="BE105" s="1085"/>
      <c r="BF105" s="780"/>
      <c r="BG105" s="781"/>
      <c r="BH105" s="1231"/>
      <c r="BI105" s="1232"/>
      <c r="BJ105" s="1233"/>
    </row>
    <row r="106" spans="50:62" ht="15" customHeight="1" x14ac:dyDescent="0.25">
      <c r="AX106" s="1239" t="s">
        <v>939</v>
      </c>
      <c r="AY106" s="1237" t="s">
        <v>71</v>
      </c>
      <c r="AZ106" s="881" t="s">
        <v>2085</v>
      </c>
      <c r="BA106" s="881" t="s">
        <v>2086</v>
      </c>
      <c r="BB106" s="881" t="s">
        <v>3575</v>
      </c>
      <c r="BC106" s="1215" t="s">
        <v>3574</v>
      </c>
      <c r="BD106" s="1212" t="s">
        <v>3576</v>
      </c>
      <c r="BE106" s="881" t="s">
        <v>60</v>
      </c>
      <c r="BF106" s="881" t="s">
        <v>527</v>
      </c>
      <c r="BG106" s="722" t="s">
        <v>3571</v>
      </c>
      <c r="BH106" s="881" t="s">
        <v>33</v>
      </c>
      <c r="BI106" s="1212" t="s">
        <v>3605</v>
      </c>
      <c r="BJ106" s="1206" t="s">
        <v>528</v>
      </c>
    </row>
    <row r="107" spans="50:62" ht="15.75" thickBot="1" x14ac:dyDescent="0.3">
      <c r="AX107" s="1240"/>
      <c r="AY107" s="1238"/>
      <c r="AZ107" s="1235"/>
      <c r="BA107" s="1235"/>
      <c r="BB107" s="1235"/>
      <c r="BC107" s="1236"/>
      <c r="BD107" s="1214"/>
      <c r="BE107" s="1235"/>
      <c r="BF107" s="1235"/>
      <c r="BG107" s="781"/>
      <c r="BH107" s="900"/>
      <c r="BI107" s="1213"/>
      <c r="BJ107" s="1207"/>
    </row>
    <row r="108" spans="50:62" x14ac:dyDescent="0.25">
      <c r="AX108" s="261"/>
      <c r="AY108" s="457"/>
      <c r="AZ108" s="261" t="s">
        <v>494</v>
      </c>
      <c r="BA108" s="185" t="s">
        <v>494</v>
      </c>
      <c r="BB108" s="185" t="s">
        <v>494</v>
      </c>
      <c r="BC108" s="185" t="s">
        <v>347</v>
      </c>
      <c r="BD108" s="185" t="s">
        <v>347</v>
      </c>
      <c r="BE108" s="185" t="s">
        <v>347</v>
      </c>
      <c r="BF108" s="185" t="s">
        <v>346</v>
      </c>
      <c r="BG108" s="189" t="s">
        <v>346</v>
      </c>
      <c r="BH108" s="460"/>
      <c r="BI108" s="581"/>
      <c r="BJ108" s="262"/>
    </row>
    <row r="109" spans="50:62" x14ac:dyDescent="0.25">
      <c r="AX109" s="263"/>
      <c r="AY109" s="458"/>
      <c r="AZ109" s="263" t="s">
        <v>494</v>
      </c>
      <c r="BA109" s="121" t="s">
        <v>494</v>
      </c>
      <c r="BB109" s="121" t="s">
        <v>494</v>
      </c>
      <c r="BC109" s="121" t="s">
        <v>347</v>
      </c>
      <c r="BD109" s="121" t="s">
        <v>347</v>
      </c>
      <c r="BE109" s="121" t="s">
        <v>347</v>
      </c>
      <c r="BF109" s="121" t="s">
        <v>346</v>
      </c>
      <c r="BG109" s="145" t="s">
        <v>346</v>
      </c>
      <c r="BH109" s="300"/>
      <c r="BI109" s="582"/>
      <c r="BJ109" s="264"/>
    </row>
    <row r="110" spans="50:62" x14ac:dyDescent="0.25">
      <c r="AX110" s="263"/>
      <c r="AY110" s="458"/>
      <c r="AZ110" s="263" t="s">
        <v>494</v>
      </c>
      <c r="BA110" s="121" t="s">
        <v>494</v>
      </c>
      <c r="BB110" s="121" t="s">
        <v>494</v>
      </c>
      <c r="BC110" s="121" t="s">
        <v>347</v>
      </c>
      <c r="BD110" s="121" t="s">
        <v>347</v>
      </c>
      <c r="BE110" s="121" t="s">
        <v>347</v>
      </c>
      <c r="BF110" s="121" t="s">
        <v>346</v>
      </c>
      <c r="BG110" s="145" t="s">
        <v>346</v>
      </c>
      <c r="BH110" s="300"/>
      <c r="BI110" s="582"/>
      <c r="BJ110" s="264"/>
    </row>
    <row r="111" spans="50:62" x14ac:dyDescent="0.25">
      <c r="AX111" s="263"/>
      <c r="AY111" s="458"/>
      <c r="AZ111" s="263" t="s">
        <v>494</v>
      </c>
      <c r="BA111" s="121" t="s">
        <v>494</v>
      </c>
      <c r="BB111" s="121" t="s">
        <v>494</v>
      </c>
      <c r="BC111" s="121" t="s">
        <v>347</v>
      </c>
      <c r="BD111" s="121" t="s">
        <v>347</v>
      </c>
      <c r="BE111" s="121" t="s">
        <v>347</v>
      </c>
      <c r="BF111" s="121" t="s">
        <v>346</v>
      </c>
      <c r="BG111" s="145" t="s">
        <v>346</v>
      </c>
      <c r="BH111" s="300"/>
      <c r="BI111" s="582"/>
      <c r="BJ111" s="264"/>
    </row>
    <row r="112" spans="50:62" x14ac:dyDescent="0.25">
      <c r="AX112" s="263"/>
      <c r="AY112" s="458"/>
      <c r="AZ112" s="263" t="s">
        <v>494</v>
      </c>
      <c r="BA112" s="121" t="s">
        <v>494</v>
      </c>
      <c r="BB112" s="121" t="s">
        <v>494</v>
      </c>
      <c r="BC112" s="121" t="s">
        <v>347</v>
      </c>
      <c r="BD112" s="121" t="s">
        <v>347</v>
      </c>
      <c r="BE112" s="121" t="s">
        <v>347</v>
      </c>
      <c r="BF112" s="121" t="s">
        <v>346</v>
      </c>
      <c r="BG112" s="145" t="s">
        <v>346</v>
      </c>
      <c r="BH112" s="300"/>
      <c r="BI112" s="582"/>
      <c r="BJ112" s="264"/>
    </row>
    <row r="113" spans="50:62" x14ac:dyDescent="0.25">
      <c r="AX113" s="263"/>
      <c r="AY113" s="458"/>
      <c r="AZ113" s="263" t="s">
        <v>494</v>
      </c>
      <c r="BA113" s="121" t="s">
        <v>494</v>
      </c>
      <c r="BB113" s="121" t="s">
        <v>494</v>
      </c>
      <c r="BC113" s="121" t="s">
        <v>347</v>
      </c>
      <c r="BD113" s="121" t="s">
        <v>347</v>
      </c>
      <c r="BE113" s="121" t="s">
        <v>347</v>
      </c>
      <c r="BF113" s="121" t="s">
        <v>346</v>
      </c>
      <c r="BG113" s="145" t="s">
        <v>346</v>
      </c>
      <c r="BH113" s="300"/>
      <c r="BI113" s="582"/>
      <c r="BJ113" s="264"/>
    </row>
    <row r="114" spans="50:62" x14ac:dyDescent="0.25">
      <c r="AX114" s="263"/>
      <c r="AY114" s="458"/>
      <c r="AZ114" s="263" t="s">
        <v>494</v>
      </c>
      <c r="BA114" s="121" t="s">
        <v>494</v>
      </c>
      <c r="BB114" s="121" t="s">
        <v>494</v>
      </c>
      <c r="BC114" s="121" t="s">
        <v>347</v>
      </c>
      <c r="BD114" s="121" t="s">
        <v>347</v>
      </c>
      <c r="BE114" s="121" t="s">
        <v>347</v>
      </c>
      <c r="BF114" s="121" t="s">
        <v>346</v>
      </c>
      <c r="BG114" s="145" t="s">
        <v>346</v>
      </c>
      <c r="BH114" s="300"/>
      <c r="BI114" s="582"/>
      <c r="BJ114" s="264"/>
    </row>
    <row r="115" spans="50:62" x14ac:dyDescent="0.25">
      <c r="AX115" s="263"/>
      <c r="AY115" s="458"/>
      <c r="AZ115" s="263" t="s">
        <v>494</v>
      </c>
      <c r="BA115" s="121" t="s">
        <v>494</v>
      </c>
      <c r="BB115" s="121" t="s">
        <v>494</v>
      </c>
      <c r="BC115" s="121" t="s">
        <v>347</v>
      </c>
      <c r="BD115" s="121" t="s">
        <v>347</v>
      </c>
      <c r="BE115" s="121" t="s">
        <v>347</v>
      </c>
      <c r="BF115" s="121" t="s">
        <v>346</v>
      </c>
      <c r="BG115" s="145" t="s">
        <v>346</v>
      </c>
      <c r="BH115" s="300"/>
      <c r="BI115" s="582"/>
      <c r="BJ115" s="264"/>
    </row>
    <row r="116" spans="50:62" x14ac:dyDescent="0.25">
      <c r="AX116" s="263"/>
      <c r="AY116" s="458"/>
      <c r="AZ116" s="263" t="s">
        <v>494</v>
      </c>
      <c r="BA116" s="121" t="s">
        <v>494</v>
      </c>
      <c r="BB116" s="121" t="s">
        <v>494</v>
      </c>
      <c r="BC116" s="121" t="s">
        <v>347</v>
      </c>
      <c r="BD116" s="121" t="s">
        <v>347</v>
      </c>
      <c r="BE116" s="121" t="s">
        <v>347</v>
      </c>
      <c r="BF116" s="121" t="s">
        <v>346</v>
      </c>
      <c r="BG116" s="145" t="s">
        <v>346</v>
      </c>
      <c r="BH116" s="300"/>
      <c r="BI116" s="582"/>
      <c r="BJ116" s="264"/>
    </row>
    <row r="117" spans="50:62" x14ac:dyDescent="0.25">
      <c r="AX117" s="263"/>
      <c r="AY117" s="458"/>
      <c r="AZ117" s="263" t="s">
        <v>494</v>
      </c>
      <c r="BA117" s="121" t="s">
        <v>494</v>
      </c>
      <c r="BB117" s="121" t="s">
        <v>494</v>
      </c>
      <c r="BC117" s="121" t="s">
        <v>347</v>
      </c>
      <c r="BD117" s="121" t="s">
        <v>347</v>
      </c>
      <c r="BE117" s="121" t="s">
        <v>347</v>
      </c>
      <c r="BF117" s="121" t="s">
        <v>346</v>
      </c>
      <c r="BG117" s="145" t="s">
        <v>346</v>
      </c>
      <c r="BH117" s="300"/>
      <c r="BI117" s="582"/>
      <c r="BJ117" s="264"/>
    </row>
    <row r="118" spans="50:62" x14ac:dyDescent="0.25">
      <c r="AX118" s="263"/>
      <c r="AY118" s="458"/>
      <c r="AZ118" s="263" t="s">
        <v>494</v>
      </c>
      <c r="BA118" s="121" t="s">
        <v>494</v>
      </c>
      <c r="BB118" s="121" t="s">
        <v>494</v>
      </c>
      <c r="BC118" s="121" t="s">
        <v>347</v>
      </c>
      <c r="BD118" s="121" t="s">
        <v>347</v>
      </c>
      <c r="BE118" s="121" t="s">
        <v>347</v>
      </c>
      <c r="BF118" s="121" t="s">
        <v>346</v>
      </c>
      <c r="BG118" s="145" t="s">
        <v>346</v>
      </c>
      <c r="BH118" s="300"/>
      <c r="BI118" s="582"/>
      <c r="BJ118" s="264"/>
    </row>
    <row r="119" spans="50:62" x14ac:dyDescent="0.25">
      <c r="AX119" s="263"/>
      <c r="AY119" s="458"/>
      <c r="AZ119" s="263" t="s">
        <v>494</v>
      </c>
      <c r="BA119" s="121" t="s">
        <v>494</v>
      </c>
      <c r="BB119" s="121" t="s">
        <v>494</v>
      </c>
      <c r="BC119" s="121" t="s">
        <v>347</v>
      </c>
      <c r="BD119" s="121" t="s">
        <v>347</v>
      </c>
      <c r="BE119" s="121" t="s">
        <v>347</v>
      </c>
      <c r="BF119" s="121" t="s">
        <v>346</v>
      </c>
      <c r="BG119" s="145" t="s">
        <v>346</v>
      </c>
      <c r="BH119" s="300"/>
      <c r="BI119" s="582"/>
      <c r="BJ119" s="264"/>
    </row>
    <row r="120" spans="50:62" x14ac:dyDescent="0.25">
      <c r="AX120" s="263"/>
      <c r="AY120" s="458"/>
      <c r="AZ120" s="263" t="s">
        <v>494</v>
      </c>
      <c r="BA120" s="121" t="s">
        <v>494</v>
      </c>
      <c r="BB120" s="121" t="s">
        <v>494</v>
      </c>
      <c r="BC120" s="121" t="s">
        <v>347</v>
      </c>
      <c r="BD120" s="121" t="s">
        <v>347</v>
      </c>
      <c r="BE120" s="121" t="s">
        <v>347</v>
      </c>
      <c r="BF120" s="121" t="s">
        <v>346</v>
      </c>
      <c r="BG120" s="145" t="s">
        <v>346</v>
      </c>
      <c r="BH120" s="300"/>
      <c r="BI120" s="582"/>
      <c r="BJ120" s="264"/>
    </row>
    <row r="121" spans="50:62" x14ac:dyDescent="0.25">
      <c r="AX121" s="263"/>
      <c r="AY121" s="458"/>
      <c r="AZ121" s="263" t="s">
        <v>494</v>
      </c>
      <c r="BA121" s="121" t="s">
        <v>494</v>
      </c>
      <c r="BB121" s="121" t="s">
        <v>494</v>
      </c>
      <c r="BC121" s="121" t="s">
        <v>347</v>
      </c>
      <c r="BD121" s="121" t="s">
        <v>347</v>
      </c>
      <c r="BE121" s="121" t="s">
        <v>347</v>
      </c>
      <c r="BF121" s="121" t="s">
        <v>346</v>
      </c>
      <c r="BG121" s="145" t="s">
        <v>346</v>
      </c>
      <c r="BH121" s="300"/>
      <c r="BI121" s="582"/>
      <c r="BJ121" s="264"/>
    </row>
    <row r="122" spans="50:62" x14ac:dyDescent="0.25">
      <c r="AX122" s="263"/>
      <c r="AY122" s="458"/>
      <c r="AZ122" s="263" t="s">
        <v>494</v>
      </c>
      <c r="BA122" s="121" t="s">
        <v>494</v>
      </c>
      <c r="BB122" s="121" t="s">
        <v>494</v>
      </c>
      <c r="BC122" s="121" t="s">
        <v>347</v>
      </c>
      <c r="BD122" s="121" t="s">
        <v>347</v>
      </c>
      <c r="BE122" s="121" t="s">
        <v>347</v>
      </c>
      <c r="BF122" s="121" t="s">
        <v>346</v>
      </c>
      <c r="BG122" s="145" t="s">
        <v>346</v>
      </c>
      <c r="BH122" s="300"/>
      <c r="BI122" s="582"/>
      <c r="BJ122" s="264"/>
    </row>
    <row r="123" spans="50:62" x14ac:dyDescent="0.25">
      <c r="AX123" s="263"/>
      <c r="AY123" s="458"/>
      <c r="AZ123" s="263" t="s">
        <v>494</v>
      </c>
      <c r="BA123" s="121" t="s">
        <v>494</v>
      </c>
      <c r="BB123" s="121" t="s">
        <v>494</v>
      </c>
      <c r="BC123" s="121" t="s">
        <v>347</v>
      </c>
      <c r="BD123" s="121" t="s">
        <v>347</v>
      </c>
      <c r="BE123" s="121" t="s">
        <v>347</v>
      </c>
      <c r="BF123" s="121" t="s">
        <v>346</v>
      </c>
      <c r="BG123" s="145" t="s">
        <v>346</v>
      </c>
      <c r="BH123" s="300"/>
      <c r="BI123" s="582"/>
      <c r="BJ123" s="264"/>
    </row>
    <row r="124" spans="50:62" x14ac:dyDescent="0.25">
      <c r="AX124" s="263"/>
      <c r="AY124" s="458"/>
      <c r="AZ124" s="263" t="s">
        <v>494</v>
      </c>
      <c r="BA124" s="121" t="s">
        <v>494</v>
      </c>
      <c r="BB124" s="121" t="s">
        <v>494</v>
      </c>
      <c r="BC124" s="121" t="s">
        <v>347</v>
      </c>
      <c r="BD124" s="121" t="s">
        <v>347</v>
      </c>
      <c r="BE124" s="121" t="s">
        <v>347</v>
      </c>
      <c r="BF124" s="121" t="s">
        <v>346</v>
      </c>
      <c r="BG124" s="145" t="s">
        <v>346</v>
      </c>
      <c r="BH124" s="300"/>
      <c r="BI124" s="582"/>
      <c r="BJ124" s="264"/>
    </row>
    <row r="125" spans="50:62" x14ac:dyDescent="0.25">
      <c r="AX125" s="263"/>
      <c r="AY125" s="458"/>
      <c r="AZ125" s="263" t="s">
        <v>494</v>
      </c>
      <c r="BA125" s="121" t="s">
        <v>494</v>
      </c>
      <c r="BB125" s="121" t="s">
        <v>494</v>
      </c>
      <c r="BC125" s="121" t="s">
        <v>347</v>
      </c>
      <c r="BD125" s="121" t="s">
        <v>347</v>
      </c>
      <c r="BE125" s="121" t="s">
        <v>347</v>
      </c>
      <c r="BF125" s="121" t="s">
        <v>346</v>
      </c>
      <c r="BG125" s="145" t="s">
        <v>346</v>
      </c>
      <c r="BH125" s="300"/>
      <c r="BI125" s="582"/>
      <c r="BJ125" s="264"/>
    </row>
    <row r="126" spans="50:62" x14ac:dyDescent="0.25">
      <c r="AX126" s="263"/>
      <c r="AY126" s="458"/>
      <c r="AZ126" s="263" t="s">
        <v>494</v>
      </c>
      <c r="BA126" s="121" t="s">
        <v>494</v>
      </c>
      <c r="BB126" s="121" t="s">
        <v>494</v>
      </c>
      <c r="BC126" s="121" t="s">
        <v>347</v>
      </c>
      <c r="BD126" s="121" t="s">
        <v>347</v>
      </c>
      <c r="BE126" s="121" t="s">
        <v>347</v>
      </c>
      <c r="BF126" s="121" t="s">
        <v>346</v>
      </c>
      <c r="BG126" s="145" t="s">
        <v>346</v>
      </c>
      <c r="BH126" s="300"/>
      <c r="BI126" s="582"/>
      <c r="BJ126" s="264"/>
    </row>
    <row r="127" spans="50:62" x14ac:dyDescent="0.25">
      <c r="AX127" s="263"/>
      <c r="AY127" s="458"/>
      <c r="AZ127" s="263" t="s">
        <v>494</v>
      </c>
      <c r="BA127" s="121" t="s">
        <v>494</v>
      </c>
      <c r="BB127" s="121" t="s">
        <v>494</v>
      </c>
      <c r="BC127" s="121" t="s">
        <v>347</v>
      </c>
      <c r="BD127" s="121" t="s">
        <v>347</v>
      </c>
      <c r="BE127" s="121" t="s">
        <v>347</v>
      </c>
      <c r="BF127" s="121" t="s">
        <v>346</v>
      </c>
      <c r="BG127" s="145" t="s">
        <v>346</v>
      </c>
      <c r="BH127" s="300"/>
      <c r="BI127" s="582"/>
      <c r="BJ127" s="264"/>
    </row>
    <row r="128" spans="50:62" ht="15.75" thickBot="1" x14ac:dyDescent="0.3">
      <c r="AX128" s="265"/>
      <c r="AY128" s="459"/>
      <c r="AZ128" s="265" t="s">
        <v>494</v>
      </c>
      <c r="BA128" s="122" t="s">
        <v>494</v>
      </c>
      <c r="BB128" s="122" t="s">
        <v>494</v>
      </c>
      <c r="BC128" s="122" t="s">
        <v>347</v>
      </c>
      <c r="BD128" s="122" t="s">
        <v>347</v>
      </c>
      <c r="BE128" s="122" t="s">
        <v>347</v>
      </c>
      <c r="BF128" s="122" t="s">
        <v>346</v>
      </c>
      <c r="BG128" s="188" t="s">
        <v>346</v>
      </c>
      <c r="BH128" s="305"/>
      <c r="BI128" s="583"/>
      <c r="BJ128" s="266"/>
    </row>
  </sheetData>
  <sheetProtection password="E9C2" sheet="1" objects="1" scenarios="1" selectLockedCells="1"/>
  <mergeCells count="373">
    <mergeCell ref="AX106:AX107"/>
    <mergeCell ref="AY106:AY107"/>
    <mergeCell ref="AZ106:AZ107"/>
    <mergeCell ref="BA106:BA107"/>
    <mergeCell ref="BB106:BB107"/>
    <mergeCell ref="BC106:BC107"/>
    <mergeCell ref="BE106:BE107"/>
    <mergeCell ref="BF106:BF107"/>
    <mergeCell ref="BG106:BG107"/>
    <mergeCell ref="BD106:BD107"/>
    <mergeCell ref="AX31:AX32"/>
    <mergeCell ref="AY31:AY32"/>
    <mergeCell ref="AZ31:AZ32"/>
    <mergeCell ref="BA31:BA32"/>
    <mergeCell ref="BB31:BB32"/>
    <mergeCell ref="BC31:BC32"/>
    <mergeCell ref="BE31:BE32"/>
    <mergeCell ref="BF31:BF32"/>
    <mergeCell ref="BG31:BG32"/>
    <mergeCell ref="BD31:BD32"/>
    <mergeCell ref="AX56:AX57"/>
    <mergeCell ref="AY56:AY57"/>
    <mergeCell ref="AZ56:AZ57"/>
    <mergeCell ref="BA56:BA57"/>
    <mergeCell ref="BB56:BB57"/>
    <mergeCell ref="BC56:BC57"/>
    <mergeCell ref="BE56:BE57"/>
    <mergeCell ref="BF56:BF57"/>
    <mergeCell ref="BG56:BG57"/>
    <mergeCell ref="BD56:BD57"/>
    <mergeCell ref="AX79:AZ80"/>
    <mergeCell ref="BA79:BA80"/>
    <mergeCell ref="BF79:BG80"/>
    <mergeCell ref="BH79:BJ80"/>
    <mergeCell ref="AX104:AZ105"/>
    <mergeCell ref="BA104:BA105"/>
    <mergeCell ref="BF104:BG105"/>
    <mergeCell ref="BH104:BJ105"/>
    <mergeCell ref="BB79:BE80"/>
    <mergeCell ref="AX81:AX82"/>
    <mergeCell ref="AY81:AY82"/>
    <mergeCell ref="AZ81:AZ82"/>
    <mergeCell ref="BA81:BA82"/>
    <mergeCell ref="BB81:BB82"/>
    <mergeCell ref="BC81:BC82"/>
    <mergeCell ref="BE81:BE82"/>
    <mergeCell ref="BF81:BF82"/>
    <mergeCell ref="BG81:BG82"/>
    <mergeCell ref="BH81:BH82"/>
    <mergeCell ref="BJ81:BJ82"/>
    <mergeCell ref="BB104:BE105"/>
    <mergeCell ref="BD81:BD82"/>
    <mergeCell ref="BF29:BG30"/>
    <mergeCell ref="BH29:BJ30"/>
    <mergeCell ref="AX1:BJ3"/>
    <mergeCell ref="AX4:AZ5"/>
    <mergeCell ref="BA4:BA5"/>
    <mergeCell ref="BF4:BG5"/>
    <mergeCell ref="BH4:BJ5"/>
    <mergeCell ref="BB4:BE5"/>
    <mergeCell ref="BJ6:BJ7"/>
    <mergeCell ref="BH6:BH7"/>
    <mergeCell ref="BG6:BG7"/>
    <mergeCell ref="BF6:BF7"/>
    <mergeCell ref="BE6:BE7"/>
    <mergeCell ref="BC6:BC7"/>
    <mergeCell ref="BB6:BB7"/>
    <mergeCell ref="BA6:BA7"/>
    <mergeCell ref="AZ6:AZ7"/>
    <mergeCell ref="AY6:AY7"/>
    <mergeCell ref="AX6:AX7"/>
    <mergeCell ref="BB29:BE30"/>
    <mergeCell ref="BD6:BD7"/>
    <mergeCell ref="BL1:BY3"/>
    <mergeCell ref="AX54:AZ55"/>
    <mergeCell ref="BA54:BA55"/>
    <mergeCell ref="BF54:BG55"/>
    <mergeCell ref="BH54:BJ55"/>
    <mergeCell ref="W34:X34"/>
    <mergeCell ref="R35:S35"/>
    <mergeCell ref="T35:V35"/>
    <mergeCell ref="W35:X35"/>
    <mergeCell ref="R31:S31"/>
    <mergeCell ref="T31:V31"/>
    <mergeCell ref="W31:X31"/>
    <mergeCell ref="R32:S32"/>
    <mergeCell ref="T32:V32"/>
    <mergeCell ref="W32:X32"/>
    <mergeCell ref="R33:S33"/>
    <mergeCell ref="T33:V33"/>
    <mergeCell ref="W33:X33"/>
    <mergeCell ref="P16:R16"/>
    <mergeCell ref="T16:U16"/>
    <mergeCell ref="P33:Q33"/>
    <mergeCell ref="P34:Q34"/>
    <mergeCell ref="P35:Q35"/>
    <mergeCell ref="R30:S30"/>
    <mergeCell ref="M22:O22"/>
    <mergeCell ref="R27:S27"/>
    <mergeCell ref="T27:V27"/>
    <mergeCell ref="R34:S34"/>
    <mergeCell ref="T34:V34"/>
    <mergeCell ref="A31:C31"/>
    <mergeCell ref="R24:S24"/>
    <mergeCell ref="T24:V24"/>
    <mergeCell ref="R25:S25"/>
    <mergeCell ref="T25:V25"/>
    <mergeCell ref="R26:S26"/>
    <mergeCell ref="T26:V26"/>
    <mergeCell ref="R22:S22"/>
    <mergeCell ref="T22:V22"/>
    <mergeCell ref="R23:S23"/>
    <mergeCell ref="T23:V23"/>
    <mergeCell ref="D27:L27"/>
    <mergeCell ref="M27:O27"/>
    <mergeCell ref="A26:C26"/>
    <mergeCell ref="D26:L26"/>
    <mergeCell ref="M26:O26"/>
    <mergeCell ref="A22:C22"/>
    <mergeCell ref="A34:C34"/>
    <mergeCell ref="D34:L34"/>
    <mergeCell ref="M34:O34"/>
    <mergeCell ref="A33:C33"/>
    <mergeCell ref="D33:L33"/>
    <mergeCell ref="M33:O33"/>
    <mergeCell ref="A32:C32"/>
    <mergeCell ref="D32:L32"/>
    <mergeCell ref="M32:O32"/>
    <mergeCell ref="P30:Q30"/>
    <mergeCell ref="P31:Q31"/>
    <mergeCell ref="P32:Q32"/>
    <mergeCell ref="R29:S29"/>
    <mergeCell ref="T29:V29"/>
    <mergeCell ref="W29:X29"/>
    <mergeCell ref="W30:X30"/>
    <mergeCell ref="P29:Q29"/>
    <mergeCell ref="T30:V30"/>
    <mergeCell ref="P23:Q23"/>
    <mergeCell ref="P24:Q24"/>
    <mergeCell ref="P25:Q25"/>
    <mergeCell ref="P26:Q26"/>
    <mergeCell ref="P27:Q27"/>
    <mergeCell ref="P28:Q28"/>
    <mergeCell ref="P21:Q21"/>
    <mergeCell ref="W27:X27"/>
    <mergeCell ref="R28:S28"/>
    <mergeCell ref="T28:V28"/>
    <mergeCell ref="P22:Q22"/>
    <mergeCell ref="W24:X24"/>
    <mergeCell ref="W25:X25"/>
    <mergeCell ref="W26:X26"/>
    <mergeCell ref="W20:X20"/>
    <mergeCell ref="R21:S21"/>
    <mergeCell ref="T21:V21"/>
    <mergeCell ref="W21:X21"/>
    <mergeCell ref="W22:X22"/>
    <mergeCell ref="W23:X23"/>
    <mergeCell ref="T20:V20"/>
    <mergeCell ref="R20:S20"/>
    <mergeCell ref="W28:X28"/>
    <mergeCell ref="M35:O35"/>
    <mergeCell ref="A23:C23"/>
    <mergeCell ref="D23:L23"/>
    <mergeCell ref="M23:O23"/>
    <mergeCell ref="A24:C24"/>
    <mergeCell ref="D35:L35"/>
    <mergeCell ref="A35:C35"/>
    <mergeCell ref="D24:L24"/>
    <mergeCell ref="M24:O24"/>
    <mergeCell ref="A25:C25"/>
    <mergeCell ref="D25:L25"/>
    <mergeCell ref="M25:O25"/>
    <mergeCell ref="A27:C27"/>
    <mergeCell ref="A29:C29"/>
    <mergeCell ref="D29:L29"/>
    <mergeCell ref="M29:O29"/>
    <mergeCell ref="A28:C28"/>
    <mergeCell ref="D28:L28"/>
    <mergeCell ref="M28:O28"/>
    <mergeCell ref="D31:L31"/>
    <mergeCell ref="M31:O31"/>
    <mergeCell ref="A30:C30"/>
    <mergeCell ref="D30:L30"/>
    <mergeCell ref="M30:O30"/>
    <mergeCell ref="D22:L22"/>
    <mergeCell ref="V14:W14"/>
    <mergeCell ref="A15:C15"/>
    <mergeCell ref="D15:I15"/>
    <mergeCell ref="J15:K15"/>
    <mergeCell ref="M15:O15"/>
    <mergeCell ref="P15:R15"/>
    <mergeCell ref="T15:U15"/>
    <mergeCell ref="V15:W15"/>
    <mergeCell ref="V18:W18"/>
    <mergeCell ref="A18:C18"/>
    <mergeCell ref="M21:O21"/>
    <mergeCell ref="A17:C17"/>
    <mergeCell ref="D17:I17"/>
    <mergeCell ref="J17:K17"/>
    <mergeCell ref="M17:O17"/>
    <mergeCell ref="P17:R17"/>
    <mergeCell ref="T17:U17"/>
    <mergeCell ref="V17:W17"/>
    <mergeCell ref="A16:C16"/>
    <mergeCell ref="D16:I16"/>
    <mergeCell ref="J16:K16"/>
    <mergeCell ref="M16:O16"/>
    <mergeCell ref="P20:Q20"/>
    <mergeCell ref="V12:W12"/>
    <mergeCell ref="A21:C21"/>
    <mergeCell ref="D11:I11"/>
    <mergeCell ref="J11:K11"/>
    <mergeCell ref="P14:R14"/>
    <mergeCell ref="T14:U14"/>
    <mergeCell ref="M20:O20"/>
    <mergeCell ref="D20:L20"/>
    <mergeCell ref="D21:L21"/>
    <mergeCell ref="A20:C20"/>
    <mergeCell ref="D13:I13"/>
    <mergeCell ref="J13:K13"/>
    <mergeCell ref="D18:I18"/>
    <mergeCell ref="J18:K18"/>
    <mergeCell ref="M18:O18"/>
    <mergeCell ref="P18:R18"/>
    <mergeCell ref="T18:U18"/>
    <mergeCell ref="V16:W16"/>
    <mergeCell ref="V13:W13"/>
    <mergeCell ref="A14:C14"/>
    <mergeCell ref="D14:I14"/>
    <mergeCell ref="J14:K14"/>
    <mergeCell ref="M14:O14"/>
    <mergeCell ref="V11:W11"/>
    <mergeCell ref="V10:W10"/>
    <mergeCell ref="M9:O9"/>
    <mergeCell ref="P9:R9"/>
    <mergeCell ref="A10:C10"/>
    <mergeCell ref="T9:U9"/>
    <mergeCell ref="V9:W9"/>
    <mergeCell ref="V5:W5"/>
    <mergeCell ref="V6:W6"/>
    <mergeCell ref="J7:K7"/>
    <mergeCell ref="M7:O7"/>
    <mergeCell ref="P7:R7"/>
    <mergeCell ref="T7:U7"/>
    <mergeCell ref="M13:O13"/>
    <mergeCell ref="P13:R13"/>
    <mergeCell ref="T13:U13"/>
    <mergeCell ref="D10:I10"/>
    <mergeCell ref="M11:O11"/>
    <mergeCell ref="P11:R11"/>
    <mergeCell ref="T11:U11"/>
    <mergeCell ref="A9:C9"/>
    <mergeCell ref="M10:O10"/>
    <mergeCell ref="P10:R10"/>
    <mergeCell ref="T10:U10"/>
    <mergeCell ref="J9:K9"/>
    <mergeCell ref="A13:C13"/>
    <mergeCell ref="A12:C12"/>
    <mergeCell ref="D12:I12"/>
    <mergeCell ref="J12:K12"/>
    <mergeCell ref="M12:O12"/>
    <mergeCell ref="A11:C11"/>
    <mergeCell ref="J10:K10"/>
    <mergeCell ref="P12:R12"/>
    <mergeCell ref="T12:U12"/>
    <mergeCell ref="A1:X2"/>
    <mergeCell ref="D3:I3"/>
    <mergeCell ref="D9:I9"/>
    <mergeCell ref="J5:K5"/>
    <mergeCell ref="M5:O5"/>
    <mergeCell ref="V3:W3"/>
    <mergeCell ref="V7:W7"/>
    <mergeCell ref="A6:C6"/>
    <mergeCell ref="A7:C7"/>
    <mergeCell ref="J6:K6"/>
    <mergeCell ref="M6:O6"/>
    <mergeCell ref="V4:W4"/>
    <mergeCell ref="D5:I5"/>
    <mergeCell ref="P6:R6"/>
    <mergeCell ref="P5:R5"/>
    <mergeCell ref="T5:U5"/>
    <mergeCell ref="D8:I8"/>
    <mergeCell ref="A4:C4"/>
    <mergeCell ref="A5:C5"/>
    <mergeCell ref="V8:W8"/>
    <mergeCell ref="AN25:AO25"/>
    <mergeCell ref="AB25:AC25"/>
    <mergeCell ref="AA26:AJ26"/>
    <mergeCell ref="AA27:AJ27"/>
    <mergeCell ref="AA28:AJ28"/>
    <mergeCell ref="AA29:AJ29"/>
    <mergeCell ref="A3:C3"/>
    <mergeCell ref="A8:C8"/>
    <mergeCell ref="J3:K3"/>
    <mergeCell ref="M3:O3"/>
    <mergeCell ref="P3:R3"/>
    <mergeCell ref="T3:U3"/>
    <mergeCell ref="J8:K8"/>
    <mergeCell ref="M8:O8"/>
    <mergeCell ref="P8:R8"/>
    <mergeCell ref="T8:U8"/>
    <mergeCell ref="D4:I4"/>
    <mergeCell ref="J4:K4"/>
    <mergeCell ref="M4:O4"/>
    <mergeCell ref="P4:R4"/>
    <mergeCell ref="T4:U4"/>
    <mergeCell ref="D6:I6"/>
    <mergeCell ref="T6:U6"/>
    <mergeCell ref="D7:I7"/>
    <mergeCell ref="Z1:AH1"/>
    <mergeCell ref="AA10:AJ10"/>
    <mergeCell ref="AA9:AJ9"/>
    <mergeCell ref="AA8:AJ8"/>
    <mergeCell ref="AA7:AJ7"/>
    <mergeCell ref="AB6:AC6"/>
    <mergeCell ref="AG11:AJ18"/>
    <mergeCell ref="Z20:AH20"/>
    <mergeCell ref="AL1:AT1"/>
    <mergeCell ref="AN6:AO6"/>
    <mergeCell ref="AM7:AV7"/>
    <mergeCell ref="AM8:AV8"/>
    <mergeCell ref="AM9:AV9"/>
    <mergeCell ref="AM10:AV10"/>
    <mergeCell ref="AS11:AV18"/>
    <mergeCell ref="AL20:AT20"/>
    <mergeCell ref="BH31:BH32"/>
    <mergeCell ref="BJ31:BJ32"/>
    <mergeCell ref="AG30:AJ37"/>
    <mergeCell ref="AM26:AV26"/>
    <mergeCell ref="AM27:AV27"/>
    <mergeCell ref="AM28:AV28"/>
    <mergeCell ref="AA48:AJ48"/>
    <mergeCell ref="AM48:AV48"/>
    <mergeCell ref="AG49:AJ56"/>
    <mergeCell ref="AS49:AV56"/>
    <mergeCell ref="Z39:AH39"/>
    <mergeCell ref="AL39:AT39"/>
    <mergeCell ref="AB44:AC44"/>
    <mergeCell ref="AN44:AO44"/>
    <mergeCell ref="AA45:AJ45"/>
    <mergeCell ref="AM45:AV45"/>
    <mergeCell ref="AA46:AJ46"/>
    <mergeCell ref="AM46:AV46"/>
    <mergeCell ref="AA47:AJ47"/>
    <mergeCell ref="AM47:AV47"/>
    <mergeCell ref="AM29:AV29"/>
    <mergeCell ref="AS30:AV37"/>
    <mergeCell ref="AX29:AZ30"/>
    <mergeCell ref="BA29:BA30"/>
    <mergeCell ref="BY4:BY5"/>
    <mergeCell ref="BT4:BT5"/>
    <mergeCell ref="BU4:BU5"/>
    <mergeCell ref="BV4:BV5"/>
    <mergeCell ref="BB54:BE55"/>
    <mergeCell ref="BH56:BH57"/>
    <mergeCell ref="BJ56:BJ57"/>
    <mergeCell ref="BH106:BH107"/>
    <mergeCell ref="BJ106:BJ107"/>
    <mergeCell ref="BX4:BX5"/>
    <mergeCell ref="BI6:BI7"/>
    <mergeCell ref="BI31:BI32"/>
    <mergeCell ref="BI56:BI57"/>
    <mergeCell ref="BI81:BI82"/>
    <mergeCell ref="BI106:BI107"/>
    <mergeCell ref="BL4:BL5"/>
    <mergeCell ref="BW4:BW5"/>
    <mergeCell ref="BS4:BS5"/>
    <mergeCell ref="BN4:BN5"/>
    <mergeCell ref="BO4:BO5"/>
    <mergeCell ref="BP4:BP5"/>
    <mergeCell ref="BQ4:BQ5"/>
    <mergeCell ref="BR4:BR5"/>
    <mergeCell ref="BM4:BM5"/>
  </mergeCells>
  <dataValidations count="10">
    <dataValidation type="list" allowBlank="1" showInputMessage="1" showErrorMessage="1" sqref="J4:K4">
      <formula1>weaptype</formula1>
    </dataValidation>
    <dataValidation type="list" allowBlank="1" showInputMessage="1" showErrorMessage="1" sqref="AI2:AI5 AU21:AU24 AI40:AI43 AU2:AU5 AI21:AI24 AU40:AU43">
      <formula1>Virtues</formula1>
    </dataValidation>
    <dataValidation type="list" allowBlank="1" showInputMessage="1" showErrorMessage="1" sqref="BB4:BD4 BB29:BD29 BB54:BD54 BB79:BD79 BB104:BD104">
      <formula1>"All Purpose, Special"</formula1>
    </dataValidation>
    <dataValidation type="list" allowBlank="1" showInputMessage="1" showErrorMessage="1" sqref="BF108:BG128 BC108:BD128 BF8:BG28 BU6:BV55 BC33:BD53 BC8:BD28 BF33:BG53 BF58:BG78 BF83:BG103 BC58:BD78 BC83:BD103 BR6:BS55">
      <formula1>"Yes, No"</formula1>
    </dataValidation>
    <dataValidation type="whole" allowBlank="1" showInputMessage="1" showErrorMessage="1" sqref="BN6:BN55">
      <formula1>1</formula1>
      <formula2>11</formula2>
    </dataValidation>
    <dataValidation type="list" allowBlank="1" showInputMessage="1" showErrorMessage="1" sqref="BM6:BM55">
      <formula1>"Select, Animal, Chaos, Darkness, Death, Earth, Fertility, Fire, Frost, Guardian, Health, Justice, Moon, Psychopomp, Sky, Stars, Sun, War, Water, Illusion, Magic"</formula1>
    </dataValidation>
    <dataValidation type="list" allowBlank="1" showInputMessage="1" showErrorMessage="1" sqref="AZ8:AZ28 AZ33:AZ53 AZ58:AZ78 AZ83:AZ103 AZ108:AZ128 BO6:BO55">
      <formula1>BRList1</formula1>
    </dataValidation>
    <dataValidation type="list" allowBlank="1" showInputMessage="1" showErrorMessage="1" sqref="BA8:BA28 BA33:BA53 BA58:BA78 BA83:BA103 BA108:BA128 BP6:BP55">
      <formula1>BRList2</formula1>
    </dataValidation>
    <dataValidation type="list" allowBlank="1" showInputMessage="1" showErrorMessage="1" sqref="BE8:BE28 BT6:BT55 BE33:BE53 BE58:BE78 BE83:BE103 BE108:BE128">
      <formula1>"No, Roll, Add"</formula1>
    </dataValidation>
    <dataValidation type="list" allowBlank="1" showInputMessage="1" showErrorMessage="1" sqref="BB8:BB28 BQ6:BQ55 BB33:BB53 BB58:BB78 BB83:BB103 BB108:BB128">
      <formula1>BRList4</formula1>
    </dataValidation>
  </dataValidations>
  <pageMargins left="0.7" right="0.7" top="0.75" bottom="0.75" header="0.3" footer="0.3"/>
  <pageSetup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1"/>
  </sheetPr>
  <dimension ref="A1:E17"/>
  <sheetViews>
    <sheetView zoomScaleNormal="100" workbookViewId="0">
      <selection activeCell="B5" sqref="B5"/>
    </sheetView>
  </sheetViews>
  <sheetFormatPr defaultRowHeight="15" x14ac:dyDescent="0.25"/>
  <cols>
    <col min="1" max="1" width="22.85546875" style="114" customWidth="1"/>
    <col min="2" max="2" width="17.28515625" style="227" customWidth="1"/>
    <col min="3" max="3" width="82.42578125" style="113" customWidth="1"/>
    <col min="4" max="4" width="17.5703125" customWidth="1"/>
    <col min="5" max="5" width="22.85546875" customWidth="1"/>
    <col min="6" max="6" width="17.28515625" customWidth="1"/>
  </cols>
  <sheetData>
    <row r="1" spans="1:5" x14ac:dyDescent="0.25">
      <c r="A1" s="275" t="s">
        <v>2353</v>
      </c>
      <c r="B1" s="222" t="s">
        <v>1782</v>
      </c>
      <c r="E1" s="169"/>
    </row>
    <row r="2" spans="1:5" x14ac:dyDescent="0.25">
      <c r="A2" s="276" t="s">
        <v>2354</v>
      </c>
      <c r="B2" s="223" t="s">
        <v>1782</v>
      </c>
      <c r="C2" s="1241" t="s">
        <v>3463</v>
      </c>
      <c r="E2" s="169"/>
    </row>
    <row r="3" spans="1:5" x14ac:dyDescent="0.25">
      <c r="A3" s="276" t="s">
        <v>2355</v>
      </c>
      <c r="B3" s="223" t="s">
        <v>1782</v>
      </c>
      <c r="C3" s="1241"/>
      <c r="E3" s="169"/>
    </row>
    <row r="4" spans="1:5" x14ac:dyDescent="0.25">
      <c r="A4" s="276" t="s">
        <v>2356</v>
      </c>
      <c r="B4" s="223" t="s">
        <v>1782</v>
      </c>
      <c r="C4" s="1241"/>
      <c r="E4" s="169"/>
    </row>
    <row r="5" spans="1:5" ht="15.75" thickBot="1" x14ac:dyDescent="0.3">
      <c r="A5" s="277" t="s">
        <v>2357</v>
      </c>
      <c r="B5" s="224" t="s">
        <v>1782</v>
      </c>
      <c r="E5" s="169"/>
    </row>
    <row r="6" spans="1:5" ht="30" x14ac:dyDescent="0.25">
      <c r="A6" s="275" t="s">
        <v>2359</v>
      </c>
      <c r="B6" s="239" t="s">
        <v>2358</v>
      </c>
      <c r="C6" s="272" t="str">
        <f>IF(B6="Standard","Standard Rules",IF(B6="Open","None of the Pantheon Purviews (except Arete) require that you purchase the boons in order. Boons that require lower ranking Boons to function still have these requirements.","Pantheon Purviews are granted for free. For Arete, you must select the skill on the right which will be granted free. Arete for other skills must be purchased normally."))</f>
        <v>Standard Rules</v>
      </c>
      <c r="D6" s="260" t="s">
        <v>2366</v>
      </c>
    </row>
    <row r="7" spans="1:5" ht="30" customHeight="1" x14ac:dyDescent="0.25">
      <c r="A7" s="276" t="s">
        <v>2351</v>
      </c>
      <c r="B7" s="225" t="s">
        <v>2358</v>
      </c>
      <c r="C7" s="273" t="str">
        <f>IF(B7="Standard","Standard Rules","To purchase a boon from an all-purpose purviews, you must first have a boon one dot lower.")</f>
        <v>Standard Rules</v>
      </c>
    </row>
    <row r="8" spans="1:5" ht="30" x14ac:dyDescent="0.25">
      <c r="A8" s="276" t="s">
        <v>2350</v>
      </c>
      <c r="B8" s="225" t="s">
        <v>2358</v>
      </c>
      <c r="C8" s="273" t="str">
        <f>IF(B8="Standard","Standard Rules","To Purchase a spell, you must first have at least one spell that is a single dot below it.")</f>
        <v>Standard Rules</v>
      </c>
    </row>
    <row r="9" spans="1:5" ht="30" x14ac:dyDescent="0.25">
      <c r="A9" s="276" t="s">
        <v>2352</v>
      </c>
      <c r="B9" s="225" t="s">
        <v>2358</v>
      </c>
      <c r="C9" s="273" t="str">
        <f>IF(B9="Standard","Standard Rules",IF(B9="Single","Only allowed to take one spell of each dot level.",IF(B9="Single Downgrade","Only allowed to take one spell of each dot level. Exception: You can forgoe a higher dot spell for 2 or more lower dot spells that add up to the same. I.E. one extra each of 2 and 3 dot in place of a 5 dot.","Can only take 10 spells plus The Wyrd. Purchasing The Wyrd requires 10 spells instead of 1 spell of each dot level.")))</f>
        <v>Standard Rules</v>
      </c>
    </row>
    <row r="10" spans="1:5" ht="30" x14ac:dyDescent="0.25">
      <c r="A10" s="276" t="s">
        <v>2649</v>
      </c>
      <c r="B10" s="225" t="s">
        <v>2358</v>
      </c>
      <c r="C10" s="273" t="str">
        <f>IF(B10="Standard","Standard Rules","Associated advantages and Favored Skills are not just easier to learn, but you are naturally better at them."&amp;" Associated advantages are limited to your Legend Rating instead of one dot below your Legend Rating. Favored Skills gain a bonus die."&amp;" For dice pools calculated on the sheet, the bonus die is added in. On the character sheet Skill listing, the bonus die is denoted by a * next to the Skill name.")</f>
        <v>Standard Rules</v>
      </c>
    </row>
    <row r="11" spans="1:5" x14ac:dyDescent="0.25">
      <c r="A11" s="276" t="s">
        <v>2053</v>
      </c>
      <c r="B11" s="225" t="s">
        <v>2054</v>
      </c>
      <c r="C11" s="273" t="str">
        <f>IF(B11="On","Mobility effects dice pools","Mobility will not effect dice pools")</f>
        <v>Mobility effects dice pools</v>
      </c>
    </row>
    <row r="12" spans="1:5" ht="30" customHeight="1" x14ac:dyDescent="0.25">
      <c r="A12" s="277" t="s">
        <v>3560</v>
      </c>
      <c r="B12" s="445" t="s">
        <v>3561</v>
      </c>
      <c r="C12" s="446" t="str">
        <f>IF(B12="Off","Arete bonus dice only calculate into the Attack roll and not the Damage Roll.","Arete bonus dice calculate into both the Attack roll and the Damage Roll.")</f>
        <v>Arete bonus dice only calculate into the Attack roll and not the Damage Roll.</v>
      </c>
    </row>
    <row r="13" spans="1:5" ht="30" customHeight="1" thickBot="1" x14ac:dyDescent="0.3">
      <c r="A13" s="278" t="s">
        <v>2382</v>
      </c>
      <c r="B13" s="254" t="s">
        <v>522</v>
      </c>
      <c r="C13" s="274" t="str">
        <f>IF(B13="Boons","The Illusion Purview is an All Purpose Purview using the boons found in Ragnarok","The Illusion Purview is a Special Purview using the rules outlined on Companion p14 and Demigod P270")</f>
        <v>The Illusion Purview is a Special Purview using the rules outlined on Companion p14 and Demigod P270</v>
      </c>
    </row>
    <row r="14" spans="1:5" x14ac:dyDescent="0.25">
      <c r="A14" s="15"/>
      <c r="B14" s="226"/>
      <c r="C14" s="15"/>
    </row>
    <row r="15" spans="1:5" x14ac:dyDescent="0.25">
      <c r="A15" s="15"/>
      <c r="B15" s="226"/>
      <c r="C15" s="15"/>
    </row>
    <row r="16" spans="1:5" x14ac:dyDescent="0.25">
      <c r="A16" s="15"/>
      <c r="B16" s="226"/>
      <c r="C16" s="15"/>
    </row>
    <row r="17" spans="1:3" x14ac:dyDescent="0.25">
      <c r="A17" s="15"/>
      <c r="B17" s="226"/>
      <c r="C17" s="15"/>
    </row>
  </sheetData>
  <sheetProtection password="E9C2" sheet="1" objects="1" scenarios="1" selectLockedCells="1"/>
  <mergeCells count="1">
    <mergeCell ref="C2:C4"/>
  </mergeCells>
  <conditionalFormatting sqref="BO4:BP13">
    <cfRule type="expression" priority="3">
      <formula>IF(OR(AND($B$10="Potent")),1,0)=1</formula>
    </cfRule>
  </conditionalFormatting>
  <conditionalFormatting sqref="D6">
    <cfRule type="expression" dxfId="2" priority="2">
      <formula>IF(OR($B$6="Standard",$B$6="Open"),1,0)=1</formula>
    </cfRule>
  </conditionalFormatting>
  <dataValidations count="8">
    <dataValidation type="list" allowBlank="1" showInputMessage="1" showErrorMessage="1" sqref="B6">
      <formula1>"Standard, Free, Open"</formula1>
    </dataValidation>
    <dataValidation type="list" allowBlank="1" showInputMessage="1" showErrorMessage="1" sqref="B7:B8">
      <formula1>"Standard, Ranked"</formula1>
    </dataValidation>
    <dataValidation type="list" allowBlank="1" showInputMessage="1" showErrorMessage="1" sqref="B9">
      <formula1>"Standard, Single, Ten"</formula1>
    </dataValidation>
    <dataValidation type="list" allowBlank="1" showInputMessage="1" showErrorMessage="1" sqref="B11:B12">
      <formula1>"On, Off"</formula1>
    </dataValidation>
    <dataValidation type="list" allowBlank="1" showInputMessage="1" showErrorMessage="1" sqref="B13">
      <formula1>"Special, Boons"</formula1>
    </dataValidation>
    <dataValidation type="list" allowBlank="1" showInputMessage="1" showErrorMessage="1" sqref="B1:B5">
      <formula1>"Available, Prohibited"</formula1>
    </dataValidation>
    <dataValidation type="list" allowBlank="1" showInputMessage="1" showErrorMessage="1" sqref="D6">
      <formula1>"Arete Skill, Academics, Animal Ken, Art, Athletics, Awareness, Brawl, Command, Control, Craft, Empathy, Fortitude, Integrity, Investigation, Larceny, Marksmanship, Medicine, Melee, Occult, Politics, Presence, Science, Stealth, Survival, Thrown"</formula1>
    </dataValidation>
    <dataValidation type="list" allowBlank="1" showInputMessage="1" showErrorMessage="1" sqref="B10">
      <formula1>"Standard, Potent"</formula1>
    </dataValidation>
  </dataValidations>
  <pageMargins left="0.7" right="0.7" top="0.75" bottom="0.75" header="0.3" footer="0.3"/>
  <pageSetup orientation="portrait" horizontalDpi="0" verticalDpi="0" r:id="rId1"/>
  <legacyDrawing r:id="rId2"/>
  <extLst>
    <ext xmlns:x14="http://schemas.microsoft.com/office/spreadsheetml/2009/9/main" uri="{78C0D931-6437-407d-A8EE-F0AAD7539E65}">
      <x14:conditionalFormattings>
        <x14:conditionalFormatting xmlns:xm="http://schemas.microsoft.com/office/excel/2006/main">
          <x14:cfRule type="expression" priority="1" id="{DD205A2A-5137-469F-8E4E-D8FEC4CBAA0F}">
            <xm:f>IF(CharacterSheet!AS7="Arete",1,0)=0</xm:f>
            <x14:dxf>
              <font>
                <color theme="0"/>
              </font>
            </x14:dxf>
          </x14:cfRule>
          <xm:sqref>D6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sheetPr>
  <dimension ref="A1:D22"/>
  <sheetViews>
    <sheetView topLeftCell="A8" workbookViewId="0">
      <selection activeCell="A13" sqref="A13:D13"/>
    </sheetView>
  </sheetViews>
  <sheetFormatPr defaultRowHeight="15" x14ac:dyDescent="0.25"/>
  <cols>
    <col min="1" max="1" width="50" style="170" customWidth="1"/>
    <col min="2" max="2" width="58.140625" style="151" customWidth="1"/>
    <col min="3" max="3" width="58.7109375" style="151" customWidth="1"/>
    <col min="4" max="4" width="15.7109375" style="151" bestFit="1" customWidth="1"/>
    <col min="5" max="16384" width="9.140625" style="151"/>
  </cols>
  <sheetData>
    <row r="1" spans="1:4" ht="24" thickBot="1" x14ac:dyDescent="0.3">
      <c r="A1" s="1245" t="s">
        <v>2386</v>
      </c>
      <c r="B1" s="1246"/>
      <c r="C1" s="1246"/>
      <c r="D1" s="1247"/>
    </row>
    <row r="2" spans="1:4" ht="45" x14ac:dyDescent="0.25">
      <c r="A2" s="205" t="s">
        <v>2040</v>
      </c>
      <c r="B2" s="206" t="s">
        <v>2249</v>
      </c>
      <c r="C2" s="206"/>
      <c r="D2" s="207" t="s">
        <v>2052</v>
      </c>
    </row>
    <row r="3" spans="1:4" ht="45" x14ac:dyDescent="0.25">
      <c r="A3" s="173" t="s">
        <v>2248</v>
      </c>
      <c r="B3" s="152" t="s">
        <v>2282</v>
      </c>
      <c r="C3" s="199"/>
      <c r="D3" s="176" t="s">
        <v>2052</v>
      </c>
    </row>
    <row r="4" spans="1:4" ht="75" x14ac:dyDescent="0.25">
      <c r="A4" s="173" t="s">
        <v>2284</v>
      </c>
      <c r="B4" s="152" t="s">
        <v>2294</v>
      </c>
      <c r="C4" s="152"/>
      <c r="D4" s="179" t="s">
        <v>2052</v>
      </c>
    </row>
    <row r="5" spans="1:4" ht="60" x14ac:dyDescent="0.25">
      <c r="A5" s="173" t="s">
        <v>2068</v>
      </c>
      <c r="B5" s="152" t="s">
        <v>2306</v>
      </c>
      <c r="C5" s="152"/>
      <c r="D5" s="179" t="s">
        <v>2052</v>
      </c>
    </row>
    <row r="6" spans="1:4" ht="60" x14ac:dyDescent="0.25">
      <c r="A6" s="173" t="s">
        <v>2283</v>
      </c>
      <c r="B6" s="152" t="s">
        <v>2285</v>
      </c>
      <c r="C6" s="152"/>
      <c r="D6" s="179" t="s">
        <v>2052</v>
      </c>
    </row>
    <row r="7" spans="1:4" ht="90.75" thickBot="1" x14ac:dyDescent="0.3">
      <c r="A7" s="173" t="s">
        <v>2292</v>
      </c>
      <c r="B7" s="152" t="s">
        <v>2295</v>
      </c>
      <c r="C7" s="152"/>
      <c r="D7" s="179" t="s">
        <v>2052</v>
      </c>
    </row>
    <row r="8" spans="1:4" ht="30.75" thickBot="1" x14ac:dyDescent="0.3">
      <c r="A8" s="241" t="s">
        <v>2379</v>
      </c>
      <c r="B8" s="242" t="s">
        <v>2282</v>
      </c>
      <c r="C8" s="242"/>
      <c r="D8" s="243" t="s">
        <v>2052</v>
      </c>
    </row>
    <row r="9" spans="1:4" ht="75.75" thickBot="1" x14ac:dyDescent="0.3">
      <c r="A9" s="174" t="s">
        <v>2384</v>
      </c>
      <c r="B9" s="204" t="s">
        <v>2385</v>
      </c>
      <c r="C9" s="175"/>
      <c r="D9" s="178" t="s">
        <v>2052</v>
      </c>
    </row>
    <row r="10" spans="1:4" ht="24" thickBot="1" x14ac:dyDescent="0.3">
      <c r="A10" s="1242" t="s">
        <v>2037</v>
      </c>
      <c r="B10" s="1243"/>
      <c r="C10" s="1243"/>
      <c r="D10" s="1244"/>
    </row>
    <row r="11" spans="1:4" ht="19.5" thickBot="1" x14ac:dyDescent="0.3">
      <c r="A11" s="218" t="s">
        <v>2056</v>
      </c>
      <c r="B11" s="219" t="s">
        <v>2038</v>
      </c>
      <c r="C11" s="219" t="s">
        <v>2051</v>
      </c>
      <c r="D11" s="220" t="s">
        <v>2055</v>
      </c>
    </row>
    <row r="12" spans="1:4" ht="24" thickBot="1" x14ac:dyDescent="0.3">
      <c r="A12" s="1242" t="s">
        <v>2090</v>
      </c>
      <c r="B12" s="1243"/>
      <c r="C12" s="1243"/>
      <c r="D12" s="1244"/>
    </row>
    <row r="13" spans="1:4" ht="66.75" customHeight="1" thickBot="1" x14ac:dyDescent="0.3">
      <c r="A13" s="1248"/>
      <c r="B13" s="1249"/>
      <c r="C13" s="1249"/>
      <c r="D13" s="1250"/>
    </row>
    <row r="14" spans="1:4" ht="24" thickBot="1" x14ac:dyDescent="0.3">
      <c r="A14" s="1242" t="s">
        <v>2039</v>
      </c>
      <c r="B14" s="1244"/>
      <c r="C14" s="172"/>
      <c r="D14" s="171"/>
    </row>
    <row r="15" spans="1:4" ht="19.5" thickBot="1" x14ac:dyDescent="0.3">
      <c r="A15" s="228" t="s">
        <v>2056</v>
      </c>
      <c r="B15" s="229" t="s">
        <v>2378</v>
      </c>
      <c r="C15" s="171"/>
    </row>
    <row r="16" spans="1:4" x14ac:dyDescent="0.25">
      <c r="A16" s="205" t="s">
        <v>2380</v>
      </c>
      <c r="B16" s="240" t="s">
        <v>2363</v>
      </c>
      <c r="C16" s="171"/>
    </row>
    <row r="17" spans="1:3" ht="45" x14ac:dyDescent="0.25">
      <c r="A17" s="567" t="s">
        <v>3602</v>
      </c>
      <c r="B17" s="568" t="s">
        <v>2363</v>
      </c>
      <c r="C17" s="171"/>
    </row>
    <row r="18" spans="1:3" x14ac:dyDescent="0.25">
      <c r="A18" s="173" t="s">
        <v>2377</v>
      </c>
      <c r="B18" s="176" t="s">
        <v>2363</v>
      </c>
      <c r="C18" s="171"/>
    </row>
    <row r="19" spans="1:3" x14ac:dyDescent="0.25">
      <c r="A19" s="173" t="s">
        <v>2057</v>
      </c>
      <c r="B19" s="176" t="s">
        <v>2363</v>
      </c>
      <c r="C19" s="171"/>
    </row>
    <row r="20" spans="1:3" ht="15.75" thickBot="1" x14ac:dyDescent="0.3">
      <c r="A20" s="270" t="s">
        <v>3603</v>
      </c>
      <c r="B20" s="178" t="s">
        <v>2364</v>
      </c>
      <c r="C20" s="171"/>
    </row>
    <row r="21" spans="1:3" ht="120.75" thickBot="1" x14ac:dyDescent="0.3">
      <c r="A21" s="174" t="s">
        <v>3604</v>
      </c>
      <c r="B21" s="178" t="s">
        <v>2364</v>
      </c>
    </row>
    <row r="22" spans="1:3" x14ac:dyDescent="0.25">
      <c r="A22" s="271"/>
    </row>
  </sheetData>
  <sheetProtection password="E9C2" sheet="1" objects="1" scenarios="1" selectLockedCells="1"/>
  <mergeCells count="5">
    <mergeCell ref="A10:D10"/>
    <mergeCell ref="A1:D1"/>
    <mergeCell ref="A14:B14"/>
    <mergeCell ref="A12:D12"/>
    <mergeCell ref="A13:D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1:AB130"/>
  <sheetViews>
    <sheetView view="pageBreakPreview" zoomScale="60" zoomScaleNormal="100" workbookViewId="0">
      <pane ySplit="1" topLeftCell="A2" activePane="bottomLeft" state="frozen"/>
      <selection sqref="A1:E1048576"/>
      <selection pane="bottomLeft" activeCell="AB1" sqref="A1:AB1048576"/>
    </sheetView>
  </sheetViews>
  <sheetFormatPr defaultRowHeight="15" x14ac:dyDescent="0.25"/>
  <cols>
    <col min="1" max="1" width="31.42578125" style="15" hidden="1" customWidth="1"/>
    <col min="2" max="2" width="7.7109375" style="15" hidden="1" customWidth="1"/>
    <col min="3" max="3" width="8.5703125" style="15" hidden="1" customWidth="1"/>
    <col min="4" max="4" width="4.5703125" style="15" hidden="1" customWidth="1"/>
    <col min="5" max="5" width="10.140625" style="15" hidden="1" customWidth="1"/>
    <col min="6" max="6" width="5.5703125" style="15" hidden="1" customWidth="1"/>
    <col min="7" max="7" width="6" style="15" hidden="1" customWidth="1"/>
    <col min="8" max="8" width="8.7109375" style="15" hidden="1" customWidth="1"/>
    <col min="9" max="9" width="8.42578125" style="15" hidden="1" customWidth="1"/>
    <col min="10" max="10" width="6.5703125" style="15" hidden="1" customWidth="1"/>
    <col min="11" max="11" width="6.42578125" style="15" hidden="1" customWidth="1"/>
    <col min="12" max="12" width="4.5703125" style="15" hidden="1" customWidth="1"/>
    <col min="13" max="13" width="26.140625" style="15" hidden="1" customWidth="1"/>
    <col min="14" max="14" width="7.85546875" style="15" hidden="1" customWidth="1"/>
    <col min="15" max="15" width="6.42578125" style="15" hidden="1" customWidth="1"/>
    <col min="16" max="16" width="11" style="15" hidden="1" customWidth="1"/>
    <col min="17" max="17" width="8.5703125" style="15" hidden="1" customWidth="1"/>
    <col min="18" max="18" width="7.5703125" style="15" hidden="1" customWidth="1"/>
    <col min="19" max="19" width="20.42578125" style="15" hidden="1" customWidth="1"/>
    <col min="20" max="20" width="6.5703125" style="15" hidden="1" customWidth="1"/>
    <col min="21" max="21" width="6" style="15" hidden="1" customWidth="1"/>
    <col min="22" max="22" width="15.85546875" style="15" hidden="1" customWidth="1"/>
    <col min="23" max="23" width="12.85546875" style="15" hidden="1" customWidth="1"/>
    <col min="24" max="28" width="9.140625" style="15" hidden="1" customWidth="1"/>
    <col min="29" max="16384" width="9.140625" style="15"/>
  </cols>
  <sheetData>
    <row r="1" spans="1:28" ht="15.75" thickBot="1" x14ac:dyDescent="0.3">
      <c r="A1" s="115" t="s">
        <v>115</v>
      </c>
      <c r="B1" s="116" t="s">
        <v>75</v>
      </c>
      <c r="C1" s="116" t="s">
        <v>696</v>
      </c>
      <c r="D1" s="116" t="s">
        <v>821</v>
      </c>
      <c r="E1" s="116" t="s">
        <v>697</v>
      </c>
      <c r="F1" s="116" t="s">
        <v>822</v>
      </c>
      <c r="G1" s="116" t="s">
        <v>699</v>
      </c>
      <c r="H1" s="116" t="s">
        <v>698</v>
      </c>
      <c r="I1" s="116" t="s">
        <v>120</v>
      </c>
      <c r="J1" s="116" t="s">
        <v>124</v>
      </c>
      <c r="K1" s="116" t="s">
        <v>121</v>
      </c>
      <c r="L1" s="117" t="s">
        <v>695</v>
      </c>
      <c r="M1" s="158" t="s">
        <v>91</v>
      </c>
      <c r="N1" s="157" t="s">
        <v>88</v>
      </c>
      <c r="O1" s="157" t="s">
        <v>89</v>
      </c>
      <c r="P1" s="157" t="s">
        <v>90</v>
      </c>
      <c r="Q1" s="157" t="s">
        <v>92</v>
      </c>
      <c r="R1" s="161" t="s">
        <v>741</v>
      </c>
      <c r="S1" s="201" t="s">
        <v>700</v>
      </c>
      <c r="T1" s="202" t="s">
        <v>91</v>
      </c>
      <c r="U1" s="202" t="s">
        <v>749</v>
      </c>
      <c r="V1" s="202" t="s">
        <v>750</v>
      </c>
      <c r="W1" s="217" t="s">
        <v>751</v>
      </c>
      <c r="Z1" s="15" t="s">
        <v>3562</v>
      </c>
      <c r="AA1" s="15" t="s">
        <v>87</v>
      </c>
      <c r="AB1" s="15" t="s">
        <v>72</v>
      </c>
    </row>
    <row r="2" spans="1:28" x14ac:dyDescent="0.25">
      <c r="A2" s="248" t="s">
        <v>739</v>
      </c>
      <c r="B2" s="249" t="s">
        <v>815</v>
      </c>
      <c r="C2" s="249">
        <v>-1</v>
      </c>
      <c r="D2" s="249">
        <f>C2+VLOOKUP(B2,$Y$2:$AA$5,2,FALSE)+VLOOKUP(B2,$Y$2:$AA$5,3,FALSE)+IF(AND('House Rules'!$B$10="Potent",VLOOKUP(B2,$Y$2:$AB$5,4,FALSE)="Yes"),1,0)+$Z$7</f>
        <v>0</v>
      </c>
      <c r="E2" s="249">
        <v>5</v>
      </c>
      <c r="F2" s="249">
        <f>E2+IF('House Rules'!$B$12="Off",VLOOKUP(B2,$Y$2:$AA$5,2,FALSE),VLOOKUP(B2,$Y$2:$AA$5,2,FALSE)+VLOOKUP(B2,$Y$2:$AA$5,3,FALSE))+IF(OR(B2="Melee",B2="Brawl"),$Z$6,0)+IF(AND(VLOOKUP(B2,$Y$2:$AB$5,4,FALSE)="Yes",'House Rules'!B10="Potent"),1,0)</f>
        <v>5</v>
      </c>
      <c r="G2" s="249" t="s">
        <v>110</v>
      </c>
      <c r="H2" s="118" t="s">
        <v>816</v>
      </c>
      <c r="I2" s="249" t="str">
        <f>IF('House Rules'!$B$11="off",IF(H2="--","--",IF(B2="brawl",(H2+CharacterSheet!$E$55+CharacterSheet!$E$7)/2+CharacterSheet!$G$7,IF(B2="melee",(H2+CharacterSheet!$E$7+CharacterSheet!$M$54)/2+CharacterSheet!$G$7,"--"))),IF(H2="--","--",IF(B2="brawl",(H2+CharacterSheet!$E$55+CharacterSheet!$D$35+IF(CharacterSheet!$D$41="N/A",0,CharacterSheet!$D$41)+CharacterSheet!$E$7)/2+CharacterSheet!$G$7,IF(B2="melee",(H2+CharacterSheet!$E$7+CharacterSheet!$D$35+IF(CharacterSheet!$D$41="N/A",0,CharacterSheet!$D$41)+CharacterSheet!$M$54)/2+CharacterSheet!$G$7,"--"))))</f>
        <v>--</v>
      </c>
      <c r="J2" s="249">
        <v>5</v>
      </c>
      <c r="K2" s="249">
        <v>125</v>
      </c>
      <c r="L2" s="251">
        <v>30</v>
      </c>
      <c r="M2" s="211" t="s">
        <v>875</v>
      </c>
      <c r="N2" s="156">
        <v>9</v>
      </c>
      <c r="O2" s="156">
        <v>6</v>
      </c>
      <c r="P2" s="156">
        <v>2</v>
      </c>
      <c r="Q2" s="156">
        <v>-1</v>
      </c>
      <c r="R2" s="159">
        <v>1</v>
      </c>
      <c r="S2" s="214" t="s">
        <v>752</v>
      </c>
      <c r="T2" s="215">
        <v>12</v>
      </c>
      <c r="U2" s="215">
        <v>4</v>
      </c>
      <c r="V2" s="215">
        <v>-1</v>
      </c>
      <c r="W2" s="216">
        <v>30</v>
      </c>
      <c r="Y2" s="15" t="s">
        <v>39</v>
      </c>
      <c r="Z2" s="15">
        <f>CharacterSheet!E55</f>
        <v>0</v>
      </c>
      <c r="AA2" s="15">
        <f>'Purchased Boons'!AT8</f>
        <v>0</v>
      </c>
      <c r="AB2" s="15" t="str">
        <f>IF(COUNTIF(Creation!Q28:T33,"Brawl*")=1,"Yes","No")</f>
        <v>No</v>
      </c>
    </row>
    <row r="3" spans="1:28" x14ac:dyDescent="0.25">
      <c r="A3" s="246" t="s">
        <v>858</v>
      </c>
      <c r="B3" s="247" t="s">
        <v>48</v>
      </c>
      <c r="C3" s="247">
        <v>5</v>
      </c>
      <c r="D3" s="247">
        <f>C3+VLOOKUP(B3,$Y$2:$AA$5,2,FALSE)+VLOOKUP(B3,$Y$2:$AA$5,3,FALSE)+IF(AND('House Rules'!$B$10="Potent",VLOOKUP(B3,$Y$2:$AB$5,4,FALSE)="Yes"),1,0)+$Z$7</f>
        <v>6</v>
      </c>
      <c r="E3" s="247">
        <v>6</v>
      </c>
      <c r="F3" s="247">
        <f>E3+IF('House Rules'!$B$12="Off",VLOOKUP(B3,$Y$2:$AA$5,2,FALSE),VLOOKUP(B3,$Y$2:$AA$5,2,FALSE)+VLOOKUP(B3,$Y$2:$AA$5,3,FALSE))+IF(OR(B3="Melee",B3="Brawl"),$Z$6,0)+IF(AND(VLOOKUP(B3,$Y$2:$AB$5,4,FALSE)="Yes",'House Rules'!B11="Potent"),1,0)</f>
        <v>7</v>
      </c>
      <c r="G3" s="247" t="s">
        <v>110</v>
      </c>
      <c r="H3" s="247">
        <v>5</v>
      </c>
      <c r="I3" s="247">
        <f>IF('House Rules'!$B$11="off",IF(H3="--","--",IF(B3="brawl",(H3+CharacterSheet!$E$55+CharacterSheet!$E$7)/2+CharacterSheet!$G$7,IF(B3="melee",(H3+CharacterSheet!$E$7+CharacterSheet!$M$54)/2+CharacterSheet!$G$7,"--"))),IF(H3="--","--",IF(B3="brawl",(H3+CharacterSheet!$E$55+CharacterSheet!$D$35+IF(CharacterSheet!$D$41="N/A",0,CharacterSheet!$D$41)+CharacterSheet!$E$7)/2+CharacterSheet!$G$7,IF(B3="melee",(H3+CharacterSheet!$E$7+CharacterSheet!$D$35+IF(CharacterSheet!$D$41="N/A",0,CharacterSheet!$D$41)+CharacterSheet!$M$54)/2+CharacterSheet!$G$7,"--"))))</f>
        <v>3</v>
      </c>
      <c r="J3" s="247">
        <v>4</v>
      </c>
      <c r="K3" s="247" t="s">
        <v>816</v>
      </c>
      <c r="L3" s="252" t="s">
        <v>816</v>
      </c>
      <c r="M3" s="200" t="s">
        <v>882</v>
      </c>
      <c r="N3" s="154">
        <v>8</v>
      </c>
      <c r="O3" s="154">
        <v>6</v>
      </c>
      <c r="P3" s="154">
        <v>4</v>
      </c>
      <c r="Q3" s="154">
        <v>-1</v>
      </c>
      <c r="R3" s="162">
        <v>1</v>
      </c>
      <c r="S3" s="100" t="s">
        <v>774</v>
      </c>
      <c r="T3" s="82">
        <v>4</v>
      </c>
      <c r="U3" s="82">
        <v>1</v>
      </c>
      <c r="V3" s="82">
        <v>3</v>
      </c>
      <c r="W3" s="99">
        <v>10</v>
      </c>
      <c r="Y3" s="15" t="s">
        <v>48</v>
      </c>
      <c r="Z3" s="15">
        <f>CharacterSheet!M54</f>
        <v>0</v>
      </c>
      <c r="AA3" s="15">
        <f>'Purchased Boons'!AT17</f>
        <v>0</v>
      </c>
      <c r="AB3" s="15" t="str">
        <f>IF(COUNTIF(Creation!Q28:T33,"Melee*")=1,"Yes","No")</f>
        <v>No</v>
      </c>
    </row>
    <row r="4" spans="1:28" x14ac:dyDescent="0.25">
      <c r="A4" s="246" t="s">
        <v>796</v>
      </c>
      <c r="B4" s="247" t="s">
        <v>815</v>
      </c>
      <c r="C4" s="247">
        <v>0</v>
      </c>
      <c r="D4" s="247">
        <f>C4+VLOOKUP(B4,$Y$2:$AA$5,2,FALSE)+VLOOKUP(B4,$Y$2:$AA$5,3,FALSE)+IF(AND('House Rules'!$B$10="Potent",VLOOKUP(B4,$Y$2:$AB$5,4,FALSE)="Yes"),1,0)+$Z$7</f>
        <v>1</v>
      </c>
      <c r="E4" s="247">
        <v>40</v>
      </c>
      <c r="F4" s="247">
        <f>E4+IF('House Rules'!$B$12="Off",VLOOKUP(B4,$Y$2:$AA$5,2,FALSE),VLOOKUP(B4,$Y$2:$AA$5,2,FALSE)+VLOOKUP(B4,$Y$2:$AA$5,3,FALSE))+IF(OR(B4="Melee",B4="Brawl"),$Z$6,0)+IF(AND(VLOOKUP(B4,$Y$2:$AB$5,4,FALSE)="Yes",'House Rules'!B12="Potent"),1,0)</f>
        <v>40</v>
      </c>
      <c r="G4" s="247" t="s">
        <v>110</v>
      </c>
      <c r="H4" s="16" t="s">
        <v>816</v>
      </c>
      <c r="I4" s="247" t="str">
        <f>IF('House Rules'!$B$11="off",IF(H4="--","--",IF(B4="brawl",(H4+CharacterSheet!$E$55+CharacterSheet!$E$7)/2+CharacterSheet!$G$7,IF(B4="melee",(H4+CharacterSheet!$E$7+CharacterSheet!$M$54)/2+CharacterSheet!$G$7,"--"))),IF(H4="--","--",IF(B4="brawl",(H4+CharacterSheet!$E$55+CharacterSheet!$D$35+IF(CharacterSheet!$D$41="N/A",0,CharacterSheet!$D$41)+CharacterSheet!$E$7)/2+CharacterSheet!$G$7,IF(B4="melee",(H4+CharacterSheet!$E$7+CharacterSheet!$D$35+IF(CharacterSheet!$D$41="N/A",0,CharacterSheet!$D$41)+CharacterSheet!$M$54)/2+CharacterSheet!$G$7,"--"))))</f>
        <v>--</v>
      </c>
      <c r="J4" s="247">
        <v>8</v>
      </c>
      <c r="K4" s="247">
        <v>8000</v>
      </c>
      <c r="L4" s="252">
        <v>1</v>
      </c>
      <c r="M4" s="200" t="s">
        <v>742</v>
      </c>
      <c r="N4" s="154">
        <v>2</v>
      </c>
      <c r="O4" s="154">
        <v>0</v>
      </c>
      <c r="P4" s="154">
        <v>0</v>
      </c>
      <c r="Q4" s="154">
        <v>-1</v>
      </c>
      <c r="R4" s="162">
        <v>0</v>
      </c>
      <c r="S4" s="100" t="s">
        <v>809</v>
      </c>
      <c r="T4" s="82">
        <v>10</v>
      </c>
      <c r="U4" s="82">
        <v>18</v>
      </c>
      <c r="V4" s="82">
        <v>-4</v>
      </c>
      <c r="W4" s="99">
        <v>40</v>
      </c>
      <c r="Y4" s="15" t="s">
        <v>815</v>
      </c>
      <c r="Z4" s="15">
        <f>CharacterSheet!M52</f>
        <v>0</v>
      </c>
      <c r="AA4" s="15">
        <f>'Purchased Boons'!AT15</f>
        <v>0</v>
      </c>
      <c r="AB4" s="15" t="str">
        <f>IF(COUNTIF(Creation!Q28:T33,"Marksmanship*")=1,"Yes","No")</f>
        <v>No</v>
      </c>
    </row>
    <row r="5" spans="1:28" x14ac:dyDescent="0.25">
      <c r="A5" s="246" t="s">
        <v>795</v>
      </c>
      <c r="B5" s="247" t="s">
        <v>815</v>
      </c>
      <c r="C5" s="247">
        <v>1</v>
      </c>
      <c r="D5" s="247">
        <f>C5+VLOOKUP(B5,$Y$2:$AA$5,2,FALSE)+VLOOKUP(B5,$Y$2:$AA$5,3,FALSE)+IF(AND('House Rules'!$B$10="Potent",VLOOKUP(B5,$Y$2:$AB$5,4,FALSE)="Yes"),1,0)+$Z$7</f>
        <v>2</v>
      </c>
      <c r="E5" s="247">
        <v>15</v>
      </c>
      <c r="F5" s="247">
        <f>E5+IF('House Rules'!$B$12="Off",VLOOKUP(B5,$Y$2:$AA$5,2,FALSE),VLOOKUP(B5,$Y$2:$AA$5,2,FALSE)+VLOOKUP(B5,$Y$2:$AA$5,3,FALSE))+IF(OR(B5="Melee",B5="Brawl"),$Z$6,0)+IF(AND(VLOOKUP(B5,$Y$2:$AB$5,4,FALSE)="Yes",'House Rules'!B13="Potent"),1,0)</f>
        <v>15</v>
      </c>
      <c r="G5" s="247" t="s">
        <v>110</v>
      </c>
      <c r="H5" s="247" t="s">
        <v>816</v>
      </c>
      <c r="I5" s="247" t="str">
        <f>IF('House Rules'!$B$11="off",IF(H5="--","--",IF(B5="brawl",(H5+CharacterSheet!$E$55+CharacterSheet!$E$7)/2+CharacterSheet!$G$7,IF(B5="melee",(H5+CharacterSheet!$E$7+CharacterSheet!$M$54)/2+CharacterSheet!$G$7,"--"))),IF(H5="--","--",IF(B5="brawl",(H5+CharacterSheet!$E$55+CharacterSheet!$D$35+IF(CharacterSheet!$D$41="N/A",0,CharacterSheet!$D$41)+CharacterSheet!$E$7)/2+CharacterSheet!$G$7,IF(B5="melee",(H5+CharacterSheet!$E$7+CharacterSheet!$D$35+IF(CharacterSheet!$D$41="N/A",0,CharacterSheet!$D$41)+CharacterSheet!$M$54)/2+CharacterSheet!$G$7,"--"))))</f>
        <v>--</v>
      </c>
      <c r="J5" s="247">
        <v>8</v>
      </c>
      <c r="K5" s="247">
        <v>2500</v>
      </c>
      <c r="L5" s="252">
        <v>5</v>
      </c>
      <c r="M5" s="200" t="s">
        <v>743</v>
      </c>
      <c r="N5" s="154">
        <v>2</v>
      </c>
      <c r="O5" s="154">
        <v>2</v>
      </c>
      <c r="P5" s="154">
        <v>0</v>
      </c>
      <c r="Q5" s="154">
        <v>0</v>
      </c>
      <c r="R5" s="162">
        <v>1</v>
      </c>
      <c r="S5" s="100" t="s">
        <v>810</v>
      </c>
      <c r="T5" s="82">
        <v>15</v>
      </c>
      <c r="U5" s="82">
        <v>14000</v>
      </c>
      <c r="V5" s="82">
        <v>-10</v>
      </c>
      <c r="W5" s="99">
        <v>25000</v>
      </c>
      <c r="Y5" s="15" t="s">
        <v>54</v>
      </c>
      <c r="Z5" s="15">
        <f>CharacterSheet!M60</f>
        <v>0</v>
      </c>
      <c r="AA5" s="15">
        <f>'Purchased Boons'!AT23</f>
        <v>0</v>
      </c>
      <c r="AB5" s="15" t="str">
        <f>IF(COUNTIF(Creation!Q28:T33,"Thrown*")=1,"Yes","No")</f>
        <v>No</v>
      </c>
    </row>
    <row r="6" spans="1:28" x14ac:dyDescent="0.25">
      <c r="A6" s="246" t="s">
        <v>883</v>
      </c>
      <c r="B6" s="247" t="s">
        <v>48</v>
      </c>
      <c r="C6" s="247">
        <v>1</v>
      </c>
      <c r="D6" s="247">
        <f>C6+VLOOKUP(B6,$Y$2:$AA$5,2,FALSE)+VLOOKUP(B6,$Y$2:$AA$5,3,FALSE)+IF(AND('House Rules'!$B$10="Potent",VLOOKUP(B6,$Y$2:$AB$5,4,FALSE)="Yes"),1,0)+$Z$7</f>
        <v>2</v>
      </c>
      <c r="E6" s="247">
        <v>3</v>
      </c>
      <c r="F6" s="247">
        <f>E6+IF('House Rules'!$B$12="Off",VLOOKUP(B6,$Y$2:$AA$5,2,FALSE),VLOOKUP(B6,$Y$2:$AA$5,2,FALSE)+VLOOKUP(B6,$Y$2:$AA$5,3,FALSE))+IF(OR(B6="Melee",B6="Brawl"),$Z$6,0)+IF(AND(VLOOKUP(B6,$Y$2:$AB$5,4,FALSE)="Yes",'House Rules'!B14="Potent"),1,0)</f>
        <v>4</v>
      </c>
      <c r="G6" s="247" t="s">
        <v>110</v>
      </c>
      <c r="H6" s="247">
        <v>1</v>
      </c>
      <c r="I6" s="247">
        <f>IF('House Rules'!$B$11="off",IF(H6="--","--",IF(B6="brawl",(H6+CharacterSheet!$E$55+CharacterSheet!$E$7)/2+CharacterSheet!$G$7,IF(B6="melee",(H6+CharacterSheet!$E$7+CharacterSheet!$M$54)/2+CharacterSheet!$G$7,"--"))),IF(H6="--","--",IF(B6="brawl",(H6+CharacterSheet!$E$55+CharacterSheet!$D$35+IF(CharacterSheet!$D$41="N/A",0,CharacterSheet!$D$41)+CharacterSheet!$E$7)/2+CharacterSheet!$G$7,IF(B6="melee",(H6+CharacterSheet!$E$7+CharacterSheet!$D$35+IF(CharacterSheet!$D$41="N/A",0,CharacterSheet!$D$41)+CharacterSheet!$M$54)/2+CharacterSheet!$G$7,"--"))))</f>
        <v>1</v>
      </c>
      <c r="J6" s="247">
        <v>4</v>
      </c>
      <c r="K6" s="247" t="s">
        <v>816</v>
      </c>
      <c r="L6" s="252" t="s">
        <v>816</v>
      </c>
      <c r="M6" s="200" t="s">
        <v>770</v>
      </c>
      <c r="N6" s="154">
        <v>1</v>
      </c>
      <c r="O6" s="154">
        <v>0</v>
      </c>
      <c r="P6" s="154">
        <v>0</v>
      </c>
      <c r="Q6" s="154">
        <v>-3</v>
      </c>
      <c r="R6" s="162">
        <v>2</v>
      </c>
      <c r="S6" s="100" t="s">
        <v>775</v>
      </c>
      <c r="T6" s="82">
        <v>1</v>
      </c>
      <c r="U6" s="82">
        <v>0</v>
      </c>
      <c r="V6" s="82">
        <v>0</v>
      </c>
      <c r="W6" s="99">
        <v>3</v>
      </c>
      <c r="Y6" s="15" t="s">
        <v>892</v>
      </c>
      <c r="Z6" s="15">
        <f>CharacterSheet!E6</f>
        <v>1</v>
      </c>
    </row>
    <row r="7" spans="1:28" x14ac:dyDescent="0.25">
      <c r="A7" s="246" t="s">
        <v>797</v>
      </c>
      <c r="B7" s="247" t="s">
        <v>815</v>
      </c>
      <c r="C7" s="247">
        <v>-2</v>
      </c>
      <c r="D7" s="247">
        <f>C7+VLOOKUP(B7,$Y$2:$AA$5,2,FALSE)+VLOOKUP(B7,$Y$2:$AA$5,3,FALSE)+IF(AND('House Rules'!$B$10="Potent",VLOOKUP(B7,$Y$2:$AB$5,4,FALSE)="Yes"),1,0)+$Z$7</f>
        <v>-1</v>
      </c>
      <c r="E7" s="247">
        <v>20</v>
      </c>
      <c r="F7" s="247">
        <f>E7+IF('House Rules'!$B$12="Off",VLOOKUP(B7,$Y$2:$AA$5,2,FALSE),VLOOKUP(B7,$Y$2:$AA$5,2,FALSE)+VLOOKUP(B7,$Y$2:$AA$5,3,FALSE))+IF(OR(B7="Melee",B7="Brawl"),$Z$6,0)+IF(AND(VLOOKUP(B7,$Y$2:$AB$5,4,FALSE)="Yes",'House Rules'!B15="Potent"),1,0)</f>
        <v>20</v>
      </c>
      <c r="G7" s="247" t="s">
        <v>110</v>
      </c>
      <c r="H7" s="247" t="s">
        <v>816</v>
      </c>
      <c r="I7" s="247" t="str">
        <f>IF('House Rules'!$B$11="off",IF(H7="--","--",IF(B7="brawl",(H7+CharacterSheet!$E$55+CharacterSheet!$E$7)/2+CharacterSheet!$G$7,IF(B7="melee",(H7+CharacterSheet!$E$7+CharacterSheet!$M$54)/2+CharacterSheet!$G$7,"--"))),IF(H7="--","--",IF(B7="brawl",(H7+CharacterSheet!$E$55+CharacterSheet!$D$35+IF(CharacterSheet!$D$41="N/A",0,CharacterSheet!$D$41)+CharacterSheet!$E$7)/2+CharacterSheet!$G$7,IF(B7="melee",(H7+CharacterSheet!$E$7+CharacterSheet!$D$35+IF(CharacterSheet!$D$41="N/A",0,CharacterSheet!$D$41)+CharacterSheet!$M$54)/2+CharacterSheet!$G$7,"--"))))</f>
        <v>--</v>
      </c>
      <c r="J7" s="247">
        <v>8</v>
      </c>
      <c r="K7" s="247">
        <v>300</v>
      </c>
      <c r="L7" s="252">
        <v>1</v>
      </c>
      <c r="M7" s="200" t="s">
        <v>744</v>
      </c>
      <c r="N7" s="154">
        <v>1</v>
      </c>
      <c r="O7" s="154">
        <v>0</v>
      </c>
      <c r="P7" s="154">
        <v>0</v>
      </c>
      <c r="Q7" s="154">
        <v>0</v>
      </c>
      <c r="R7" s="162">
        <v>0</v>
      </c>
      <c r="S7" s="100" t="s">
        <v>811</v>
      </c>
      <c r="T7" s="82">
        <v>10</v>
      </c>
      <c r="U7" s="82">
        <v>10</v>
      </c>
      <c r="V7" s="82">
        <v>-4</v>
      </c>
      <c r="W7" s="99">
        <v>20</v>
      </c>
      <c r="Y7" s="15" t="s">
        <v>919</v>
      </c>
      <c r="Z7" s="15">
        <f>CharacterSheet!E7</f>
        <v>1</v>
      </c>
    </row>
    <row r="8" spans="1:28" x14ac:dyDescent="0.25">
      <c r="A8" s="246" t="s">
        <v>731</v>
      </c>
      <c r="B8" s="247" t="s">
        <v>815</v>
      </c>
      <c r="C8" s="247">
        <v>1</v>
      </c>
      <c r="D8" s="247">
        <f>C8+VLOOKUP(B8,$Y$2:$AA$5,2,FALSE)+VLOOKUP(B8,$Y$2:$AA$5,3,FALSE)+IF(AND('House Rules'!$B$10="Potent",VLOOKUP(B8,$Y$2:$AB$5,4,FALSE)="Yes"),1,0)+$Z$7</f>
        <v>2</v>
      </c>
      <c r="E8" s="247">
        <v>3</v>
      </c>
      <c r="F8" s="247">
        <f>E8+IF('House Rules'!$B$12="Off",VLOOKUP(B8,$Y$2:$AA$5,2,FALSE),VLOOKUP(B8,$Y$2:$AA$5,2,FALSE)+VLOOKUP(B8,$Y$2:$AA$5,3,FALSE))+IF(OR(B8="Melee",B8="Brawl"),$Z$6,0)+IF(AND(VLOOKUP(B8,$Y$2:$AB$5,4,FALSE)="Yes",'House Rules'!B16="Potent"),1,0)</f>
        <v>3</v>
      </c>
      <c r="G8" s="247" t="s">
        <v>110</v>
      </c>
      <c r="H8" s="247" t="s">
        <v>816</v>
      </c>
      <c r="I8" s="247" t="str">
        <f>IF('House Rules'!$B$11="off",IF(H8="--","--",IF(B8="brawl",(H8+CharacterSheet!$E$55+CharacterSheet!$E$7)/2+CharacterSheet!$G$7,IF(B8="melee",(H8+CharacterSheet!$E$7+CharacterSheet!$M$54)/2+CharacterSheet!$G$7,"--"))),IF(H8="--","--",IF(B8="brawl",(H8+CharacterSheet!$E$55+CharacterSheet!$D$35+IF(CharacterSheet!$D$41="N/A",0,CharacterSheet!$D$41)+CharacterSheet!$E$7)/2+CharacterSheet!$G$7,IF(B8="melee",(H8+CharacterSheet!$E$7+CharacterSheet!$D$35+IF(CharacterSheet!$D$41="N/A",0,CharacterSheet!$D$41)+CharacterSheet!$M$54)/2+CharacterSheet!$G$7,"--"))))</f>
        <v>--</v>
      </c>
      <c r="J8" s="247">
        <v>4</v>
      </c>
      <c r="K8" s="247">
        <v>20</v>
      </c>
      <c r="L8" s="252">
        <v>15</v>
      </c>
      <c r="M8" s="200" t="s">
        <v>866</v>
      </c>
      <c r="N8" s="154">
        <v>10</v>
      </c>
      <c r="O8" s="154">
        <v>10</v>
      </c>
      <c r="P8" s="154">
        <v>5</v>
      </c>
      <c r="Q8" s="154">
        <v>-1</v>
      </c>
      <c r="R8" s="162">
        <v>1</v>
      </c>
      <c r="S8" s="100" t="s">
        <v>776</v>
      </c>
      <c r="T8" s="82">
        <v>1</v>
      </c>
      <c r="U8" s="82">
        <v>1</v>
      </c>
      <c r="V8" s="82">
        <v>-1</v>
      </c>
      <c r="W8" s="99">
        <v>2</v>
      </c>
    </row>
    <row r="9" spans="1:28" x14ac:dyDescent="0.25">
      <c r="A9" s="246" t="s">
        <v>837</v>
      </c>
      <c r="B9" s="247" t="s">
        <v>54</v>
      </c>
      <c r="C9" s="247">
        <v>2</v>
      </c>
      <c r="D9" s="247">
        <f>C9+VLOOKUP(B9,$Y$2:$AA$5,2,FALSE)+VLOOKUP(B9,$Y$2:$AA$5,3,FALSE)+IF(AND('House Rules'!$B$10="Potent",VLOOKUP(B9,$Y$2:$AB$5,4,FALSE)="Yes"),1,0)+$Z$7</f>
        <v>3</v>
      </c>
      <c r="E9" s="247">
        <v>3</v>
      </c>
      <c r="F9" s="247">
        <f>E9+IF('House Rules'!$B$12="Off",VLOOKUP(B9,$Y$2:$AA$5,2,FALSE),VLOOKUP(B9,$Y$2:$AA$5,2,FALSE)+VLOOKUP(B9,$Y$2:$AA$5,3,FALSE))+IF(OR(B9="Melee",B9="Brawl"),$Z$6,0)+IF(AND(VLOOKUP(B9,$Y$2:$AB$5,4,FALSE)="Yes",'House Rules'!B17="Potent"),1,0)</f>
        <v>3</v>
      </c>
      <c r="G9" s="247" t="s">
        <v>110</v>
      </c>
      <c r="H9" s="16" t="s">
        <v>816</v>
      </c>
      <c r="I9" s="247" t="str">
        <f>IF('House Rules'!$B$11="off",IF(H9="--","--",IF(B9="brawl",(H9+CharacterSheet!$E$55+CharacterSheet!$E$7)/2+CharacterSheet!$G$7,IF(B9="melee",(H9+CharacterSheet!$E$7+CharacterSheet!$M$54)/2+CharacterSheet!$G$7,"--"))),IF(H9="--","--",IF(B9="brawl",(H9+CharacterSheet!$E$55+CharacterSheet!$D$35+IF(CharacterSheet!$D$41="N/A",0,CharacterSheet!$D$41)+CharacterSheet!$E$7)/2+CharacterSheet!$G$7,IF(B9="melee",(H9+CharacterSheet!$E$7+CharacterSheet!$D$35+IF(CharacterSheet!$D$41="N/A",0,CharacterSheet!$D$41)+CharacterSheet!$M$54)/2+CharacterSheet!$G$7,"--"))))</f>
        <v>--</v>
      </c>
      <c r="J9" s="247">
        <v>4</v>
      </c>
      <c r="K9" s="247">
        <f>IF('Purchased Knacks'!$E$13="Yes",20*LOOKUP(CharacterSheet!$F$6,Reference!$H$2:$H$12,Reference!$J$2:$J$12)*2,20*LOOKUP(CharacterSheet!$F$6,Reference!$H$2:$H$12,Reference!$J$2:$J$12))</f>
        <v>20</v>
      </c>
      <c r="L9" s="18" t="s">
        <v>816</v>
      </c>
      <c r="M9" s="200" t="s">
        <v>852</v>
      </c>
      <c r="N9" s="154">
        <v>3</v>
      </c>
      <c r="O9" s="154">
        <v>3</v>
      </c>
      <c r="P9" s="154">
        <v>0</v>
      </c>
      <c r="Q9" s="154">
        <v>0</v>
      </c>
      <c r="R9" s="162">
        <v>0</v>
      </c>
      <c r="S9" s="100" t="s">
        <v>753</v>
      </c>
      <c r="T9" s="82">
        <v>6</v>
      </c>
      <c r="U9" s="82">
        <v>2</v>
      </c>
      <c r="V9" s="82">
        <v>1</v>
      </c>
      <c r="W9" s="99">
        <v>18</v>
      </c>
    </row>
    <row r="10" spans="1:28" x14ac:dyDescent="0.25">
      <c r="A10" s="246" t="s">
        <v>701</v>
      </c>
      <c r="B10" s="247" t="s">
        <v>48</v>
      </c>
      <c r="C10" s="247">
        <v>2</v>
      </c>
      <c r="D10" s="247">
        <f>C10+VLOOKUP(B10,$Y$2:$AA$5,2,FALSE)+VLOOKUP(B10,$Y$2:$AA$5,3,FALSE)+IF(AND('House Rules'!$B$10="Potent",VLOOKUP(B10,$Y$2:$AB$5,4,FALSE)="Yes"),1,0)+$Z$7</f>
        <v>3</v>
      </c>
      <c r="E10" s="247">
        <v>3</v>
      </c>
      <c r="F10" s="247">
        <f>E10+IF('House Rules'!$B$12="Off",VLOOKUP(B10,$Y$2:$AA$5,2,FALSE),VLOOKUP(B10,$Y$2:$AA$5,2,FALSE)+VLOOKUP(B10,$Y$2:$AA$5,3,FALSE))+IF(OR(B10="Melee",B10="Brawl"),$Z$6,0)+IF(AND(VLOOKUP(B10,$Y$2:$AB$5,4,FALSE)="Yes",'House Rules'!B18="Potent"),1,0)</f>
        <v>4</v>
      </c>
      <c r="G10" s="247" t="s">
        <v>109</v>
      </c>
      <c r="H10" s="247">
        <v>2</v>
      </c>
      <c r="I10" s="247">
        <f>IF('House Rules'!$B$11="off",IF(H10="--","--",IF(B10="brawl",(H10+CharacterSheet!$E$55+CharacterSheet!$E$7)/2+CharacterSheet!$G$7,IF(B10="melee",(H10+CharacterSheet!$E$7+CharacterSheet!$M$54)/2+CharacterSheet!$G$7,"--"))),IF(H10="--","--",IF(B10="brawl",(H10+CharacterSheet!$E$55+CharacterSheet!$D$35+IF(CharacterSheet!$D$41="N/A",0,CharacterSheet!$D$41)+CharacterSheet!$E$7)/2+CharacterSheet!$G$7,IF(B10="melee",(H10+CharacterSheet!$E$7+CharacterSheet!$D$35+IF(CharacterSheet!$D$41="N/A",0,CharacterSheet!$D$41)+CharacterSheet!$M$54)/2+CharacterSheet!$G$7,"--"))))</f>
        <v>1.5</v>
      </c>
      <c r="J10" s="247">
        <v>6</v>
      </c>
      <c r="K10" s="247" t="s">
        <v>816</v>
      </c>
      <c r="L10" s="252" t="s">
        <v>816</v>
      </c>
      <c r="M10" s="200" t="s">
        <v>745</v>
      </c>
      <c r="N10" s="154">
        <v>3</v>
      </c>
      <c r="O10" s="154">
        <v>1</v>
      </c>
      <c r="P10" s="154">
        <v>0</v>
      </c>
      <c r="Q10" s="154">
        <v>-1</v>
      </c>
      <c r="R10" s="162">
        <v>1</v>
      </c>
      <c r="S10" s="100" t="s">
        <v>777</v>
      </c>
      <c r="T10" s="82">
        <v>1</v>
      </c>
      <c r="U10" s="82">
        <v>0</v>
      </c>
      <c r="V10" s="82">
        <v>-1</v>
      </c>
      <c r="W10" s="99">
        <v>2</v>
      </c>
    </row>
    <row r="11" spans="1:28" x14ac:dyDescent="0.25">
      <c r="A11" s="246" t="s">
        <v>798</v>
      </c>
      <c r="B11" s="247" t="s">
        <v>815</v>
      </c>
      <c r="C11" s="247">
        <v>-4</v>
      </c>
      <c r="D11" s="247">
        <f>C11+VLOOKUP(B11,$Y$2:$AA$5,2,FALSE)+VLOOKUP(B11,$Y$2:$AA$5,3,FALSE)+IF(AND('House Rules'!$B$10="Potent",VLOOKUP(B11,$Y$2:$AB$5,4,FALSE)="Yes"),1,0)+$Z$7</f>
        <v>-3</v>
      </c>
      <c r="E11" s="247">
        <v>25</v>
      </c>
      <c r="F11" s="247">
        <f>E11+IF('House Rules'!$B$12="Off",VLOOKUP(B11,$Y$2:$AA$5,2,FALSE),VLOOKUP(B11,$Y$2:$AA$5,2,FALSE)+VLOOKUP(B11,$Y$2:$AA$5,3,FALSE))+IF(OR(B11="Melee",B11="Brawl"),$Z$6,0)+IF(AND(VLOOKUP(B11,$Y$2:$AB$5,4,FALSE)="Yes",'House Rules'!B19="Potent"),1,0)</f>
        <v>25</v>
      </c>
      <c r="G11" s="247" t="s">
        <v>110</v>
      </c>
      <c r="H11" s="247" t="s">
        <v>816</v>
      </c>
      <c r="I11" s="247" t="str">
        <f>IF('House Rules'!$B$11="off",IF(H11="--","--",IF(B11="brawl",(H11+CharacterSheet!$E$55+CharacterSheet!$E$7)/2+CharacterSheet!$G$7,IF(B11="melee",(H11+CharacterSheet!$E$7+CharacterSheet!$M$54)/2+CharacterSheet!$G$7,"--"))),IF(H11="--","--",IF(B11="brawl",(H11+CharacterSheet!$E$55+CharacterSheet!$D$35+IF(CharacterSheet!$D$41="N/A",0,CharacterSheet!$D$41)+CharacterSheet!$E$7)/2+CharacterSheet!$G$7,IF(B11="melee",(H11+CharacterSheet!$E$7+CharacterSheet!$D$35+IF(CharacterSheet!$D$41="N/A",0,CharacterSheet!$D$41)+CharacterSheet!$M$54)/2+CharacterSheet!$G$7,"--"))))</f>
        <v>--</v>
      </c>
      <c r="J11" s="247" t="s">
        <v>817</v>
      </c>
      <c r="K11" s="247">
        <v>0</v>
      </c>
      <c r="L11" s="252">
        <v>1</v>
      </c>
      <c r="M11" s="200" t="s">
        <v>862</v>
      </c>
      <c r="N11" s="154">
        <v>5</v>
      </c>
      <c r="O11" s="154">
        <v>3</v>
      </c>
      <c r="P11" s="154">
        <v>2</v>
      </c>
      <c r="Q11" s="154">
        <v>0</v>
      </c>
      <c r="R11" s="162">
        <v>0</v>
      </c>
      <c r="S11" s="100" t="s">
        <v>778</v>
      </c>
      <c r="T11" s="82">
        <v>5</v>
      </c>
      <c r="U11" s="82">
        <v>5</v>
      </c>
      <c r="V11" s="82">
        <v>2</v>
      </c>
      <c r="W11" s="99">
        <v>20</v>
      </c>
    </row>
    <row r="12" spans="1:28" x14ac:dyDescent="0.25">
      <c r="A12" s="246" t="s">
        <v>799</v>
      </c>
      <c r="B12" s="247" t="s">
        <v>815</v>
      </c>
      <c r="C12" s="247">
        <v>-4</v>
      </c>
      <c r="D12" s="247">
        <f>C12+VLOOKUP(B12,$Y$2:$AA$5,2,FALSE)+VLOOKUP(B12,$Y$2:$AA$5,3,FALSE)+IF(AND('House Rules'!$B$10="Potent",VLOOKUP(B12,$Y$2:$AB$5,4,FALSE)="Yes"),1,0)+$Z$7</f>
        <v>-3</v>
      </c>
      <c r="E12" s="247">
        <v>50</v>
      </c>
      <c r="F12" s="247">
        <f>E12+IF('House Rules'!$B$12="Off",VLOOKUP(B12,$Y$2:$AA$5,2,FALSE),VLOOKUP(B12,$Y$2:$AA$5,2,FALSE)+VLOOKUP(B12,$Y$2:$AA$5,3,FALSE))+IF(OR(B12="Melee",B12="Brawl"),$Z$6,0)+IF(AND(VLOOKUP(B12,$Y$2:$AB$5,4,FALSE)="Yes",'House Rules'!B20="Potent"),1,0)</f>
        <v>50</v>
      </c>
      <c r="G12" s="247" t="s">
        <v>110</v>
      </c>
      <c r="H12" s="247" t="s">
        <v>816</v>
      </c>
      <c r="I12" s="247" t="str">
        <f>IF('House Rules'!$B$11="off",IF(H12="--","--",IF(B12="brawl",(H12+CharacterSheet!$E$55+CharacterSheet!$E$7)/2+CharacterSheet!$G$7,IF(B12="melee",(H12+CharacterSheet!$E$7+CharacterSheet!$M$54)/2+CharacterSheet!$G$7,"--"))),IF(H12="--","--",IF(B12="brawl",(H12+CharacterSheet!$E$55+CharacterSheet!$D$35+IF(CharacterSheet!$D$41="N/A",0,CharacterSheet!$D$41)+CharacterSheet!$E$7)/2+CharacterSheet!$G$7,IF(B12="melee",(H12+CharacterSheet!$E$7+CharacterSheet!$D$35+IF(CharacterSheet!$D$41="N/A",0,CharacterSheet!$D$41)+CharacterSheet!$M$54)/2+CharacterSheet!$G$7,"--"))))</f>
        <v>--</v>
      </c>
      <c r="J12" s="247" t="s">
        <v>817</v>
      </c>
      <c r="K12" s="247">
        <v>0</v>
      </c>
      <c r="L12" s="252">
        <v>1</v>
      </c>
      <c r="M12" s="200" t="s">
        <v>747</v>
      </c>
      <c r="N12" s="154">
        <v>4</v>
      </c>
      <c r="O12" s="154">
        <v>2</v>
      </c>
      <c r="P12" s="154">
        <v>0</v>
      </c>
      <c r="Q12" s="154">
        <v>-2</v>
      </c>
      <c r="R12" s="162">
        <v>1</v>
      </c>
      <c r="S12" s="100" t="s">
        <v>779</v>
      </c>
      <c r="T12" s="82">
        <v>15</v>
      </c>
      <c r="U12" s="82">
        <v>15</v>
      </c>
      <c r="V12" s="82">
        <v>-3</v>
      </c>
      <c r="W12" s="99">
        <v>60</v>
      </c>
    </row>
    <row r="13" spans="1:28" x14ac:dyDescent="0.25">
      <c r="A13" s="246" t="s">
        <v>800</v>
      </c>
      <c r="B13" s="247" t="s">
        <v>815</v>
      </c>
      <c r="C13" s="247">
        <v>-4</v>
      </c>
      <c r="D13" s="247">
        <f>C13+VLOOKUP(B13,$Y$2:$AA$5,2,FALSE)+VLOOKUP(B13,$Y$2:$AA$5,3,FALSE)+IF(AND('House Rules'!$B$10="Potent",VLOOKUP(B13,$Y$2:$AB$5,4,FALSE)="Yes"),1,0)+$Z$7</f>
        <v>-3</v>
      </c>
      <c r="E13" s="247">
        <v>100</v>
      </c>
      <c r="F13" s="247">
        <f>E13+IF('House Rules'!$B$12="Off",VLOOKUP(B13,$Y$2:$AA$5,2,FALSE),VLOOKUP(B13,$Y$2:$AA$5,2,FALSE)+VLOOKUP(B13,$Y$2:$AA$5,3,FALSE))+IF(OR(B13="Melee",B13="Brawl"),$Z$6,0)+IF(AND(VLOOKUP(B13,$Y$2:$AB$5,4,FALSE)="Yes",'House Rules'!B21="Potent"),1,0)</f>
        <v>100</v>
      </c>
      <c r="G13" s="247" t="s">
        <v>110</v>
      </c>
      <c r="H13" s="247" t="s">
        <v>816</v>
      </c>
      <c r="I13" s="247" t="str">
        <f>IF('House Rules'!$B$11="off",IF(H13="--","--",IF(B13="brawl",(H13+CharacterSheet!$E$55+CharacterSheet!$E$7)/2+CharacterSheet!$G$7,IF(B13="melee",(H13+CharacterSheet!$E$7+CharacterSheet!$M$54)/2+CharacterSheet!$G$7,"--"))),IF(H13="--","--",IF(B13="brawl",(H13+CharacterSheet!$E$55+CharacterSheet!$D$35+IF(CharacterSheet!$D$41="N/A",0,CharacterSheet!$D$41)+CharacterSheet!$E$7)/2+CharacterSheet!$G$7,IF(B13="melee",(H13+CharacterSheet!$E$7+CharacterSheet!$D$35+IF(CharacterSheet!$D$41="N/A",0,CharacterSheet!$D$41)+CharacterSheet!$M$54)/2+CharacterSheet!$G$7,"--"))))</f>
        <v>--</v>
      </c>
      <c r="J13" s="247" t="s">
        <v>817</v>
      </c>
      <c r="K13" s="247">
        <v>0</v>
      </c>
      <c r="L13" s="252">
        <v>1</v>
      </c>
      <c r="M13" s="200" t="s">
        <v>746</v>
      </c>
      <c r="N13" s="154">
        <v>3</v>
      </c>
      <c r="O13" s="154">
        <v>1</v>
      </c>
      <c r="P13" s="154">
        <v>0</v>
      </c>
      <c r="Q13" s="154">
        <v>-1</v>
      </c>
      <c r="R13" s="162">
        <v>1</v>
      </c>
      <c r="S13" s="100" t="s">
        <v>780</v>
      </c>
      <c r="T13" s="82">
        <v>10</v>
      </c>
      <c r="U13" s="82">
        <v>10</v>
      </c>
      <c r="V13" s="82">
        <v>-1</v>
      </c>
      <c r="W13" s="99">
        <v>25</v>
      </c>
    </row>
    <row r="14" spans="1:28" x14ac:dyDescent="0.25">
      <c r="A14" s="246" t="s">
        <v>765</v>
      </c>
      <c r="B14" s="247" t="s">
        <v>54</v>
      </c>
      <c r="C14" s="247">
        <v>0</v>
      </c>
      <c r="D14" s="247">
        <f>C14+VLOOKUP(B14,$Y$2:$AA$5,2,FALSE)+VLOOKUP(B14,$Y$2:$AA$5,3,FALSE)+IF(AND('House Rules'!$B$10="Potent",VLOOKUP(B14,$Y$2:$AB$5,4,FALSE)="Yes"),1,0)+$Z$7</f>
        <v>1</v>
      </c>
      <c r="E14" s="247">
        <v>1</v>
      </c>
      <c r="F14" s="247">
        <f>E14+IF('House Rules'!$B$12="Off",VLOOKUP(B14,$Y$2:$AA$5,2,FALSE),VLOOKUP(B14,$Y$2:$AA$5,2,FALSE)+VLOOKUP(B14,$Y$2:$AA$5,3,FALSE))+IF(OR(B14="Melee",B14="Brawl"),$Z$6,0)+IF(AND(VLOOKUP(B14,$Y$2:$AB$5,4,FALSE)="Yes",'House Rules'!B22="Potent"),1,0)</f>
        <v>1</v>
      </c>
      <c r="G14" s="247" t="s">
        <v>818</v>
      </c>
      <c r="H14" s="247" t="s">
        <v>816</v>
      </c>
      <c r="I14" s="247" t="str">
        <f>IF('House Rules'!$B$11="off",IF(H14="--","--",IF(B14="brawl",(H14+CharacterSheet!$E$55+CharacterSheet!$E$7)/2+CharacterSheet!$G$7,IF(B14="melee",(H14+CharacterSheet!$E$7+CharacterSheet!$M$54)/2+CharacterSheet!$G$7,"--"))),IF(H14="--","--",IF(B14="brawl",(H14+CharacterSheet!$E$55+CharacterSheet!$D$35+IF(CharacterSheet!$D$41="N/A",0,CharacterSheet!$D$41)+CharacterSheet!$E$7)/2+CharacterSheet!$G$7,IF(B14="melee",(H14+CharacterSheet!$E$7+CharacterSheet!$D$35+IF(CharacterSheet!$D$41="N/A",0,CharacterSheet!$D$41)+CharacterSheet!$M$54)/2+CharacterSheet!$G$7,"--"))))</f>
        <v>--</v>
      </c>
      <c r="J14" s="247">
        <v>6</v>
      </c>
      <c r="K14" s="247">
        <f>IF('Purchased Knacks'!$E$13="Yes",10*LOOKUP(CharacterSheet!$F$6,Reference!$H$2:$H$12,Reference!$J$2:$J$12)*2,10*LOOKUP(CharacterSheet!$F$6,Reference!$H$2:$H$12,Reference!$J$2:$J$12))</f>
        <v>10</v>
      </c>
      <c r="L14" s="252" t="s">
        <v>816</v>
      </c>
      <c r="M14" s="200" t="s">
        <v>771</v>
      </c>
      <c r="N14" s="154">
        <v>1</v>
      </c>
      <c r="O14" s="154">
        <v>0</v>
      </c>
      <c r="P14" s="154">
        <v>0</v>
      </c>
      <c r="Q14" s="154">
        <v>-3</v>
      </c>
      <c r="R14" s="162">
        <v>2</v>
      </c>
      <c r="S14" s="100" t="s">
        <v>754</v>
      </c>
      <c r="T14" s="82">
        <v>4</v>
      </c>
      <c r="U14" s="82">
        <v>1</v>
      </c>
      <c r="V14" s="82">
        <v>2</v>
      </c>
      <c r="W14" s="99">
        <v>10</v>
      </c>
    </row>
    <row r="15" spans="1:28" x14ac:dyDescent="0.25">
      <c r="A15" s="246" t="s">
        <v>760</v>
      </c>
      <c r="B15" s="247" t="s">
        <v>39</v>
      </c>
      <c r="C15" s="247">
        <v>1</v>
      </c>
      <c r="D15" s="247">
        <f>C15+VLOOKUP(B15,$Y$2:$AA$5,2,FALSE)+VLOOKUP(B15,$Y$2:$AA$5,3,FALSE)+IF(AND('House Rules'!$B$10="Potent",VLOOKUP(B15,$Y$2:$AB$5,4,FALSE)="Yes"),1,0)+$Z$7</f>
        <v>2</v>
      </c>
      <c r="E15" s="247">
        <v>2</v>
      </c>
      <c r="F15" s="247">
        <f>E15+IF('House Rules'!$B$12="Off",VLOOKUP(B15,$Y$2:$AA$5,2,FALSE),VLOOKUP(B15,$Y$2:$AA$5,2,FALSE)+VLOOKUP(B15,$Y$2:$AA$5,3,FALSE))+IF(OR(B15="Melee",B15="Brawl"),$Z$6,0)+IF(AND(VLOOKUP(B15,$Y$2:$AB$5,4,FALSE)="Yes",'House Rules'!B23="Potent"),1,0)</f>
        <v>3</v>
      </c>
      <c r="G15" s="247" t="s">
        <v>109</v>
      </c>
      <c r="H15" s="247">
        <v>1</v>
      </c>
      <c r="I15" s="247">
        <f>IF('House Rules'!$B$11="off",IF(H15="--","--",IF(B15="brawl",(H15+CharacterSheet!$E$55+CharacterSheet!$E$7)/2+CharacterSheet!$G$7,IF(B15="melee",(H15+CharacterSheet!$E$7+CharacterSheet!$M$54)/2+CharacterSheet!$G$7,"--"))),IF(H15="--","--",IF(B15="brawl",(H15+CharacterSheet!$E$55+CharacterSheet!$D$35+IF(CharacterSheet!$D$41="N/A",0,CharacterSheet!$D$41)+CharacterSheet!$E$7)/2+CharacterSheet!$G$7,IF(B15="melee",(H15+CharacterSheet!$E$7+CharacterSheet!$D$35+IF(CharacterSheet!$D$41="N/A",0,CharacterSheet!$D$41)+CharacterSheet!$M$54)/2+CharacterSheet!$G$7,"--"))))</f>
        <v>1</v>
      </c>
      <c r="J15" s="247">
        <v>4</v>
      </c>
      <c r="K15" s="247" t="s">
        <v>816</v>
      </c>
      <c r="L15" s="252" t="s">
        <v>816</v>
      </c>
      <c r="M15" s="200" t="s">
        <v>834</v>
      </c>
      <c r="N15" s="154">
        <v>8</v>
      </c>
      <c r="O15" s="154">
        <v>8</v>
      </c>
      <c r="P15" s="154">
        <v>4</v>
      </c>
      <c r="Q15" s="154">
        <v>-1</v>
      </c>
      <c r="R15" s="162">
        <v>1</v>
      </c>
      <c r="S15" s="100" t="s">
        <v>812</v>
      </c>
      <c r="T15" s="82">
        <v>8</v>
      </c>
      <c r="U15" s="82">
        <v>4</v>
      </c>
      <c r="V15" s="82">
        <v>3</v>
      </c>
      <c r="W15" s="99">
        <v>20</v>
      </c>
    </row>
    <row r="16" spans="1:28" x14ac:dyDescent="0.25">
      <c r="A16" s="246" t="s">
        <v>845</v>
      </c>
      <c r="B16" s="247" t="s">
        <v>48</v>
      </c>
      <c r="C16" s="247">
        <v>2</v>
      </c>
      <c r="D16" s="247">
        <f>C16+VLOOKUP(B16,$Y$2:$AA$5,2,FALSE)+VLOOKUP(B16,$Y$2:$AA$5,3,FALSE)+IF(AND('House Rules'!$B$10="Potent",VLOOKUP(B16,$Y$2:$AB$5,4,FALSE)="Yes"),1,0)+$Z$7</f>
        <v>3</v>
      </c>
      <c r="E16" s="247">
        <v>10</v>
      </c>
      <c r="F16" s="247">
        <f>E16+IF('House Rules'!$B$12="Off",VLOOKUP(B16,$Y$2:$AA$5,2,FALSE),VLOOKUP(B16,$Y$2:$AA$5,2,FALSE)+VLOOKUP(B16,$Y$2:$AA$5,3,FALSE))+IF(OR(B16="Melee",B16="Brawl"),$Z$6,0)+IF(AND(VLOOKUP(B16,$Y$2:$AB$5,4,FALSE)="Yes",'House Rules'!B24="Potent"),1,0)</f>
        <v>11</v>
      </c>
      <c r="G16" s="247" t="s">
        <v>110</v>
      </c>
      <c r="H16" s="247">
        <v>-1</v>
      </c>
      <c r="I16" s="247">
        <f>IF('House Rules'!$B$11="off",IF(H16="--","--",IF(B16="brawl",(H16+CharacterSheet!$E$55+CharacterSheet!$E$7)/2+CharacterSheet!$G$7,IF(B16="melee",(H16+CharacterSheet!$E$7+CharacterSheet!$M$54)/2+CharacterSheet!$G$7,"--"))),IF(H16="--","--",IF(B16="brawl",(H16+CharacterSheet!$E$55+CharacterSheet!$D$35+IF(CharacterSheet!$D$41="N/A",0,CharacterSheet!$D$41)+CharacterSheet!$E$7)/2+CharacterSheet!$G$7,IF(B16="melee",(H16+CharacterSheet!$E$7+CharacterSheet!$D$35+IF(CharacterSheet!$D$41="N/A",0,CharacterSheet!$D$41)+CharacterSheet!$M$54)/2+CharacterSheet!$G$7,"--"))))</f>
        <v>0</v>
      </c>
      <c r="J16" s="247">
        <v>6</v>
      </c>
      <c r="K16" s="247" t="s">
        <v>816</v>
      </c>
      <c r="L16" s="252" t="s">
        <v>816</v>
      </c>
      <c r="M16" s="200" t="s">
        <v>874</v>
      </c>
      <c r="N16" s="154">
        <v>10</v>
      </c>
      <c r="O16" s="154">
        <v>10</v>
      </c>
      <c r="P16" s="154">
        <v>5</v>
      </c>
      <c r="Q16" s="154">
        <v>-1</v>
      </c>
      <c r="R16" s="162">
        <v>1</v>
      </c>
      <c r="S16" s="100" t="s">
        <v>755</v>
      </c>
      <c r="T16" s="82">
        <v>6</v>
      </c>
      <c r="U16" s="82">
        <v>3</v>
      </c>
      <c r="V16" s="82">
        <v>0</v>
      </c>
      <c r="W16" s="99">
        <v>20</v>
      </c>
    </row>
    <row r="17" spans="1:23" x14ac:dyDescent="0.25">
      <c r="A17" s="246" t="s">
        <v>879</v>
      </c>
      <c r="B17" s="247" t="s">
        <v>48</v>
      </c>
      <c r="C17" s="247">
        <v>5</v>
      </c>
      <c r="D17" s="247">
        <f>C17+VLOOKUP(B17,$Y$2:$AA$5,2,FALSE)+VLOOKUP(B17,$Y$2:$AA$5,3,FALSE)+IF(AND('House Rules'!$B$10="Potent",VLOOKUP(B17,$Y$2:$AB$5,4,FALSE)="Yes"),1,0)+$Z$7</f>
        <v>6</v>
      </c>
      <c r="E17" s="247">
        <v>10</v>
      </c>
      <c r="F17" s="247">
        <f>E17+IF('House Rules'!$B$12="Off",VLOOKUP(B17,$Y$2:$AA$5,2,FALSE),VLOOKUP(B17,$Y$2:$AA$5,2,FALSE)+VLOOKUP(B17,$Y$2:$AA$5,3,FALSE))+IF(OR(B17="Melee",B17="Brawl"),$Z$6,0)+IF(AND(VLOOKUP(B17,$Y$2:$AB$5,4,FALSE)="Yes",'House Rules'!B25="Potent"),1,0)</f>
        <v>11</v>
      </c>
      <c r="G17" s="247" t="s">
        <v>110</v>
      </c>
      <c r="H17" s="247">
        <v>5</v>
      </c>
      <c r="I17" s="247">
        <f>IF('House Rules'!$B$11="off",IF(H17="--","--",IF(B17="brawl",(H17+CharacterSheet!$E$55+CharacterSheet!$E$7)/2+CharacterSheet!$G$7,IF(B17="melee",(H17+CharacterSheet!$E$7+CharacterSheet!$M$54)/2+CharacterSheet!$G$7,"--"))),IF(H17="--","--",IF(B17="brawl",(H17+CharacterSheet!$E$55+CharacterSheet!$D$35+IF(CharacterSheet!$D$41="N/A",0,CharacterSheet!$D$41)+CharacterSheet!$E$7)/2+CharacterSheet!$G$7,IF(B17="melee",(H17+CharacterSheet!$E$7+CharacterSheet!$D$35+IF(CharacterSheet!$D$41="N/A",0,CharacterSheet!$D$41)+CharacterSheet!$M$54)/2+CharacterSheet!$G$7,"--"))))</f>
        <v>3</v>
      </c>
      <c r="J17" s="247">
        <v>4</v>
      </c>
      <c r="K17" s="247" t="s">
        <v>816</v>
      </c>
      <c r="L17" s="252" t="s">
        <v>816</v>
      </c>
      <c r="M17" s="200" t="s">
        <v>748</v>
      </c>
      <c r="N17" s="154">
        <v>8</v>
      </c>
      <c r="O17" s="154">
        <v>5</v>
      </c>
      <c r="P17" s="154">
        <v>0</v>
      </c>
      <c r="Q17" s="154">
        <v>-2</v>
      </c>
      <c r="R17" s="162">
        <v>2</v>
      </c>
      <c r="S17" s="100" t="s">
        <v>781</v>
      </c>
      <c r="T17" s="82">
        <v>5</v>
      </c>
      <c r="U17" s="82">
        <v>5</v>
      </c>
      <c r="V17" s="82">
        <v>1</v>
      </c>
      <c r="W17" s="99">
        <v>20</v>
      </c>
    </row>
    <row r="18" spans="1:23" x14ac:dyDescent="0.25">
      <c r="A18" s="246" t="s">
        <v>803</v>
      </c>
      <c r="B18" s="247" t="s">
        <v>815</v>
      </c>
      <c r="C18" s="247">
        <v>0</v>
      </c>
      <c r="D18" s="247">
        <f>C18+VLOOKUP(B18,$Y$2:$AA$5,2,FALSE)+VLOOKUP(B18,$Y$2:$AA$5,3,FALSE)+IF(AND('House Rules'!$B$10="Potent",VLOOKUP(B18,$Y$2:$AB$5,4,FALSE)="Yes"),1,0)+$Z$7</f>
        <v>1</v>
      </c>
      <c r="E18" s="247">
        <v>30</v>
      </c>
      <c r="F18" s="247">
        <f>E18+IF('House Rules'!$B$12="Off",VLOOKUP(B18,$Y$2:$AA$5,2,FALSE),VLOOKUP(B18,$Y$2:$AA$5,2,FALSE)+VLOOKUP(B18,$Y$2:$AA$5,3,FALSE))+IF(OR(B18="Melee",B18="Brawl"),$Z$6,0)+IF(AND(VLOOKUP(B18,$Y$2:$AB$5,4,FALSE)="Yes",'House Rules'!B26="Potent"),1,0)</f>
        <v>30</v>
      </c>
      <c r="G18" s="247" t="s">
        <v>110</v>
      </c>
      <c r="H18" s="247" t="s">
        <v>816</v>
      </c>
      <c r="I18" s="247" t="str">
        <f>IF('House Rules'!$B$11="off",IF(H18="--","--",IF(B18="brawl",(H18+CharacterSheet!$E$55+CharacterSheet!$E$7)/2+CharacterSheet!$G$7,IF(B18="melee",(H18+CharacterSheet!$E$7+CharacterSheet!$M$54)/2+CharacterSheet!$G$7,"--"))),IF(H18="--","--",IF(B18="brawl",(H18+CharacterSheet!$E$55+CharacterSheet!$D$35+IF(CharacterSheet!$D$41="N/A",0,CharacterSheet!$D$41)+CharacterSheet!$E$7)/2+CharacterSheet!$G$7,IF(B18="melee",(H18+CharacterSheet!$E$7+CharacterSheet!$D$35+IF(CharacterSheet!$D$41="N/A",0,CharacterSheet!$D$41)+CharacterSheet!$M$54)/2+CharacterSheet!$G$7,"--"))))</f>
        <v>--</v>
      </c>
      <c r="J18" s="247">
        <v>6</v>
      </c>
      <c r="K18" s="247">
        <v>2000</v>
      </c>
      <c r="L18" s="252">
        <v>1</v>
      </c>
      <c r="M18" s="200" t="s">
        <v>854</v>
      </c>
      <c r="N18" s="154">
        <v>5</v>
      </c>
      <c r="O18" s="154">
        <v>5</v>
      </c>
      <c r="P18" s="154">
        <v>2</v>
      </c>
      <c r="Q18" s="154">
        <v>0</v>
      </c>
      <c r="R18" s="162">
        <v>0</v>
      </c>
      <c r="S18" s="100" t="s">
        <v>757</v>
      </c>
      <c r="T18" s="82">
        <v>8</v>
      </c>
      <c r="U18" s="82">
        <v>2</v>
      </c>
      <c r="V18" s="82">
        <v>2</v>
      </c>
      <c r="W18" s="99">
        <v>20</v>
      </c>
    </row>
    <row r="19" spans="1:23" x14ac:dyDescent="0.25">
      <c r="A19" s="246" t="s">
        <v>802</v>
      </c>
      <c r="B19" s="247" t="s">
        <v>815</v>
      </c>
      <c r="C19" s="247">
        <v>0</v>
      </c>
      <c r="D19" s="247">
        <f>C19+VLOOKUP(B19,$Y$2:$AA$5,2,FALSE)+VLOOKUP(B19,$Y$2:$AA$5,3,FALSE)+IF(AND('House Rules'!$B$10="Potent",VLOOKUP(B19,$Y$2:$AB$5,4,FALSE)="Yes"),1,0)+$Z$7</f>
        <v>1</v>
      </c>
      <c r="E19" s="247">
        <v>25</v>
      </c>
      <c r="F19" s="247">
        <f>E19+IF('House Rules'!$B$12="Off",VLOOKUP(B19,$Y$2:$AA$5,2,FALSE),VLOOKUP(B19,$Y$2:$AA$5,2,FALSE)+VLOOKUP(B19,$Y$2:$AA$5,3,FALSE))+IF(OR(B19="Melee",B19="Brawl"),$Z$6,0)+IF(AND(VLOOKUP(B19,$Y$2:$AB$5,4,FALSE)="Yes",'House Rules'!B27="Potent"),1,0)</f>
        <v>25</v>
      </c>
      <c r="G19" s="247" t="s">
        <v>110</v>
      </c>
      <c r="H19" s="247" t="s">
        <v>816</v>
      </c>
      <c r="I19" s="247" t="str">
        <f>IF('House Rules'!$B$11="off",IF(H19="--","--",IF(B19="brawl",(H19+CharacterSheet!$E$55+CharacterSheet!$E$7)/2+CharacterSheet!$G$7,IF(B19="melee",(H19+CharacterSheet!$E$7+CharacterSheet!$M$54)/2+CharacterSheet!$G$7,"--"))),IF(H19="--","--",IF(B19="brawl",(H19+CharacterSheet!$E$55+CharacterSheet!$D$35+IF(CharacterSheet!$D$41="N/A",0,CharacterSheet!$D$41)+CharacterSheet!$E$7)/2+CharacterSheet!$G$7,IF(B19="melee",(H19+CharacterSheet!$E$7+CharacterSheet!$D$35+IF(CharacterSheet!$D$41="N/A",0,CharacterSheet!$D$41)+CharacterSheet!$M$54)/2+CharacterSheet!$G$7,"--"))))</f>
        <v>--</v>
      </c>
      <c r="J19" s="247">
        <v>6</v>
      </c>
      <c r="K19" s="247">
        <v>1000</v>
      </c>
      <c r="L19" s="252">
        <v>1</v>
      </c>
      <c r="M19" s="200" t="s">
        <v>860</v>
      </c>
      <c r="N19" s="154">
        <v>10</v>
      </c>
      <c r="O19" s="154">
        <v>7</v>
      </c>
      <c r="P19" s="154">
        <v>5</v>
      </c>
      <c r="Q19" s="154">
        <v>-2</v>
      </c>
      <c r="R19" s="162">
        <v>2</v>
      </c>
      <c r="S19" s="100" t="s">
        <v>782</v>
      </c>
      <c r="T19" s="82">
        <v>5</v>
      </c>
      <c r="U19" s="82">
        <v>2</v>
      </c>
      <c r="V19" s="82">
        <v>1</v>
      </c>
      <c r="W19" s="99">
        <v>15</v>
      </c>
    </row>
    <row r="20" spans="1:23" x14ac:dyDescent="0.25">
      <c r="A20" s="246" t="s">
        <v>801</v>
      </c>
      <c r="B20" s="247" t="s">
        <v>815</v>
      </c>
      <c r="C20" s="247">
        <v>0</v>
      </c>
      <c r="D20" s="247">
        <f>C20+VLOOKUP(B20,$Y$2:$AA$5,2,FALSE)+VLOOKUP(B20,$Y$2:$AA$5,3,FALSE)+IF(AND('House Rules'!$B$10="Potent",VLOOKUP(B20,$Y$2:$AB$5,4,FALSE)="Yes"),1,0)+$Z$7</f>
        <v>1</v>
      </c>
      <c r="E20" s="247">
        <v>15</v>
      </c>
      <c r="F20" s="247">
        <f>E20+IF('House Rules'!$B$12="Off",VLOOKUP(B20,$Y$2:$AA$5,2,FALSE),VLOOKUP(B20,$Y$2:$AA$5,2,FALSE)+VLOOKUP(B20,$Y$2:$AA$5,3,FALSE))+IF(OR(B20="Melee",B20="Brawl"),$Z$6,0)+IF(AND(VLOOKUP(B20,$Y$2:$AB$5,4,FALSE)="Yes",'House Rules'!B28="Potent"),1,0)</f>
        <v>15</v>
      </c>
      <c r="G20" s="247" t="s">
        <v>110</v>
      </c>
      <c r="H20" s="247" t="s">
        <v>816</v>
      </c>
      <c r="I20" s="247" t="str">
        <f>IF('House Rules'!$B$11="off",IF(H20="--","--",IF(B20="brawl",(H20+CharacterSheet!$E$55+CharacterSheet!$E$7)/2+CharacterSheet!$G$7,IF(B20="melee",(H20+CharacterSheet!$E$7+CharacterSheet!$M$54)/2+CharacterSheet!$G$7,"--"))),IF(H20="--","--",IF(B20="brawl",(H20+CharacterSheet!$E$55+CharacterSheet!$D$35+IF(CharacterSheet!$D$41="N/A",0,CharacterSheet!$D$41)+CharacterSheet!$E$7)/2+CharacterSheet!$G$7,IF(B20="melee",(H20+CharacterSheet!$E$7+CharacterSheet!$D$35+IF(CharacterSheet!$D$41="N/A",0,CharacterSheet!$D$41)+CharacterSheet!$M$54)/2+CharacterSheet!$G$7,"--"))))</f>
        <v>--</v>
      </c>
      <c r="J20" s="247">
        <v>6</v>
      </c>
      <c r="K20" s="247">
        <v>500</v>
      </c>
      <c r="L20" s="252">
        <v>1</v>
      </c>
      <c r="M20" s="200" t="s">
        <v>856</v>
      </c>
      <c r="N20" s="154">
        <v>5</v>
      </c>
      <c r="O20" s="154">
        <v>5</v>
      </c>
      <c r="P20" s="154">
        <v>5</v>
      </c>
      <c r="Q20" s="154">
        <v>-1</v>
      </c>
      <c r="R20" s="162">
        <v>1</v>
      </c>
      <c r="S20" s="100" t="s">
        <v>758</v>
      </c>
      <c r="T20" s="82">
        <v>1</v>
      </c>
      <c r="U20" s="82">
        <v>0</v>
      </c>
      <c r="V20" s="82">
        <v>0</v>
      </c>
      <c r="W20" s="99">
        <v>4</v>
      </c>
    </row>
    <row r="21" spans="1:23" x14ac:dyDescent="0.25">
      <c r="A21" s="246" t="s">
        <v>702</v>
      </c>
      <c r="B21" s="247" t="s">
        <v>39</v>
      </c>
      <c r="C21" s="247">
        <v>0</v>
      </c>
      <c r="D21" s="247">
        <f>C21+VLOOKUP(B21,$Y$2:$AA$5,2,FALSE)+VLOOKUP(B21,$Y$2:$AA$5,3,FALSE)+IF(AND('House Rules'!$B$10="Potent",VLOOKUP(B21,$Y$2:$AB$5,4,FALSE)="Yes"),1,0)+$Z$7</f>
        <v>1</v>
      </c>
      <c r="E21" s="247">
        <v>0</v>
      </c>
      <c r="F21" s="247">
        <f>E21+IF('House Rules'!$B$12="Off",VLOOKUP(B21,$Y$2:$AA$5,2,FALSE),VLOOKUP(B21,$Y$2:$AA$5,2,FALSE)+VLOOKUP(B21,$Y$2:$AA$5,3,FALSE))+IF(OR(B21="Melee",B21="Brawl"),$Z$6,0)+IF(AND(VLOOKUP(B21,$Y$2:$AB$5,4,FALSE)="Yes",'House Rules'!B29="Potent"),1,0)</f>
        <v>1</v>
      </c>
      <c r="G21" s="247" t="str">
        <f>IF('Purchased Knacks'!E5="Yes","L","B")</f>
        <v>B</v>
      </c>
      <c r="H21" s="16" t="s">
        <v>816</v>
      </c>
      <c r="I21" s="247" t="str">
        <f>IF('House Rules'!$B$11="off",IF(H21="--","--",IF(B21="brawl",(H21+CharacterSheet!$E$55+CharacterSheet!$E$7)/2+CharacterSheet!$G$7,IF(B21="melee",(H21+CharacterSheet!$E$7+CharacterSheet!$M$54)/2+CharacterSheet!$G$7,"--"))),IF(H21="--","--",IF(B21="brawl",(H21+CharacterSheet!$E$55+CharacterSheet!$D$35+IF(CharacterSheet!$D$41="N/A",0,CharacterSheet!$D$41)+CharacterSheet!$E$7)/2+CharacterSheet!$G$7,IF(B21="melee",(H21+CharacterSheet!$E$7+CharacterSheet!$D$35+IF(CharacterSheet!$D$41="N/A",0,CharacterSheet!$D$41)+CharacterSheet!$M$54)/2+CharacterSheet!$G$7,"--"))))</f>
        <v>--</v>
      </c>
      <c r="J21" s="247">
        <v>6</v>
      </c>
      <c r="K21" s="247" t="s">
        <v>816</v>
      </c>
      <c r="L21" s="252" t="s">
        <v>816</v>
      </c>
      <c r="M21" s="200" t="s">
        <v>855</v>
      </c>
      <c r="N21" s="154">
        <v>6</v>
      </c>
      <c r="O21" s="154">
        <v>6</v>
      </c>
      <c r="P21" s="154">
        <v>4</v>
      </c>
      <c r="Q21" s="154">
        <v>0</v>
      </c>
      <c r="R21" s="162">
        <v>0</v>
      </c>
      <c r="S21" s="100" t="s">
        <v>783</v>
      </c>
      <c r="T21" s="82">
        <v>1</v>
      </c>
      <c r="U21" s="82">
        <v>1</v>
      </c>
      <c r="V21" s="82">
        <v>2</v>
      </c>
      <c r="W21" s="99">
        <v>4</v>
      </c>
    </row>
    <row r="22" spans="1:23" x14ac:dyDescent="0.25">
      <c r="A22" s="246" t="s">
        <v>786</v>
      </c>
      <c r="B22" s="247" t="s">
        <v>815</v>
      </c>
      <c r="C22" s="247">
        <v>2</v>
      </c>
      <c r="D22" s="247">
        <f>C22+VLOOKUP(B22,$Y$2:$AA$5,2,FALSE)+VLOOKUP(B22,$Y$2:$AA$5,3,FALSE)+IF(AND('House Rules'!$B$10="Potent",VLOOKUP(B22,$Y$2:$AB$5,4,FALSE)="Yes"),1,0)+$Z$7</f>
        <v>3</v>
      </c>
      <c r="E22" s="247">
        <v>4</v>
      </c>
      <c r="F22" s="247">
        <f>E22+IF('House Rules'!$B$12="Off",VLOOKUP(B22,$Y$2:$AA$5,2,FALSE),VLOOKUP(B22,$Y$2:$AA$5,2,FALSE)+VLOOKUP(B22,$Y$2:$AA$5,3,FALSE))+IF(OR(B22="Melee",B22="Brawl"),$Z$6,0)+IF(AND(VLOOKUP(B22,$Y$2:$AB$5,4,FALSE)="Yes",'House Rules'!B30="Potent"),1,0)</f>
        <v>4</v>
      </c>
      <c r="G22" s="247" t="s">
        <v>110</v>
      </c>
      <c r="H22" s="247" t="s">
        <v>816</v>
      </c>
      <c r="I22" s="247" t="str">
        <f>IF('House Rules'!$B$11="off",IF(H22="--","--",IF(B22="brawl",(H22+CharacterSheet!$E$55+CharacterSheet!$E$7)/2+CharacterSheet!$G$7,IF(B22="melee",(H22+CharacterSheet!$E$7+CharacterSheet!$M$54)/2+CharacterSheet!$G$7,"--"))),IF(H22="--","--",IF(B22="brawl",(H22+CharacterSheet!$E$55+CharacterSheet!$D$35+IF(CharacterSheet!$D$41="N/A",0,CharacterSheet!$D$41)+CharacterSheet!$E$7)/2+CharacterSheet!$G$7,IF(B22="melee",(H22+CharacterSheet!$E$7+CharacterSheet!$D$35+IF(CharacterSheet!$D$41="N/A",0,CharacterSheet!$D$41)+CharacterSheet!$M$54)/2+CharacterSheet!$G$7,"--"))))</f>
        <v>--</v>
      </c>
      <c r="J22" s="247">
        <v>5</v>
      </c>
      <c r="K22" s="247">
        <v>20</v>
      </c>
      <c r="L22" s="252">
        <v>8</v>
      </c>
      <c r="M22" s="200" t="s">
        <v>772</v>
      </c>
      <c r="N22" s="154">
        <v>10</v>
      </c>
      <c r="O22" s="154">
        <v>7</v>
      </c>
      <c r="P22" s="154">
        <v>0</v>
      </c>
      <c r="Q22" s="154">
        <v>-2</v>
      </c>
      <c r="R22" s="162">
        <v>2</v>
      </c>
      <c r="S22" s="100" t="s">
        <v>759</v>
      </c>
      <c r="T22" s="82">
        <v>10</v>
      </c>
      <c r="U22" s="82">
        <v>6</v>
      </c>
      <c r="V22" s="82">
        <v>-2</v>
      </c>
      <c r="W22" s="99">
        <v>40</v>
      </c>
    </row>
    <row r="23" spans="1:23" x14ac:dyDescent="0.25">
      <c r="A23" s="246" t="s">
        <v>869</v>
      </c>
      <c r="B23" s="247" t="s">
        <v>48</v>
      </c>
      <c r="C23" s="247">
        <v>3</v>
      </c>
      <c r="D23" s="247">
        <f>C23+VLOOKUP(B23,$Y$2:$AA$5,2,FALSE)+VLOOKUP(B23,$Y$2:$AA$5,3,FALSE)+IF(AND('House Rules'!$B$10="Potent",VLOOKUP(B23,$Y$2:$AB$5,4,FALSE)="Yes"),1,0)+$Z$7</f>
        <v>4</v>
      </c>
      <c r="E23" s="247">
        <v>6</v>
      </c>
      <c r="F23" s="247">
        <f>E23+IF('House Rules'!$B$12="Off",VLOOKUP(B23,$Y$2:$AA$5,2,FALSE),VLOOKUP(B23,$Y$2:$AA$5,2,FALSE)+VLOOKUP(B23,$Y$2:$AA$5,3,FALSE))+IF(OR(B23="Melee",B23="Brawl"),$Z$6,0)+IF(AND(VLOOKUP(B23,$Y$2:$AB$5,4,FALSE)="Yes",'House Rules'!B31="Potent"),1,0)</f>
        <v>7</v>
      </c>
      <c r="G23" s="247" t="s">
        <v>110</v>
      </c>
      <c r="H23" s="247">
        <v>4</v>
      </c>
      <c r="I23" s="247">
        <f>IF('House Rules'!$B$11="off",IF(H23="--","--",IF(B23="brawl",(H23+CharacterSheet!$E$55+CharacterSheet!$E$7)/2+CharacterSheet!$G$7,IF(B23="melee",(H23+CharacterSheet!$E$7+CharacterSheet!$M$54)/2+CharacterSheet!$G$7,"--"))),IF(H23="--","--",IF(B23="brawl",(H23+CharacterSheet!$E$55+CharacterSheet!$D$35+IF(CharacterSheet!$D$41="N/A",0,CharacterSheet!$D$41)+CharacterSheet!$E$7)/2+CharacterSheet!$G$7,IF(B23="melee",(H23+CharacterSheet!$E$7+CharacterSheet!$D$35+IF(CharacterSheet!$D$41="N/A",0,CharacterSheet!$D$41)+CharacterSheet!$M$54)/2+CharacterSheet!$G$7,"--"))))</f>
        <v>2.5</v>
      </c>
      <c r="J23" s="247">
        <v>4</v>
      </c>
      <c r="K23" s="247" t="s">
        <v>816</v>
      </c>
      <c r="L23" s="252" t="s">
        <v>816</v>
      </c>
      <c r="M23" s="200" t="s">
        <v>773</v>
      </c>
      <c r="N23" s="154">
        <v>4</v>
      </c>
      <c r="O23" s="154">
        <v>2</v>
      </c>
      <c r="P23" s="154">
        <v>0</v>
      </c>
      <c r="Q23" s="154">
        <v>-1</v>
      </c>
      <c r="R23" s="162">
        <v>1</v>
      </c>
      <c r="S23" s="100" t="s">
        <v>784</v>
      </c>
      <c r="T23" s="82">
        <v>5</v>
      </c>
      <c r="U23" s="82">
        <v>4</v>
      </c>
      <c r="V23" s="82">
        <v>-1</v>
      </c>
      <c r="W23" s="99">
        <v>20</v>
      </c>
    </row>
    <row r="24" spans="1:23" x14ac:dyDescent="0.25">
      <c r="A24" s="246" t="s">
        <v>725</v>
      </c>
      <c r="B24" s="247" t="s">
        <v>815</v>
      </c>
      <c r="C24" s="247">
        <v>1</v>
      </c>
      <c r="D24" s="247">
        <f>C24+VLOOKUP(B24,$Y$2:$AA$5,2,FALSE)+VLOOKUP(B24,$Y$2:$AA$5,3,FALSE)+IF(AND('House Rules'!$B$10="Potent",VLOOKUP(B24,$Y$2:$AB$5,4,FALSE)="Yes"),1,0)+$Z$7</f>
        <v>2</v>
      </c>
      <c r="E24" s="247">
        <v>2</v>
      </c>
      <c r="F24" s="247">
        <f>E24+IF('House Rules'!$B$12="Off",VLOOKUP(B24,$Y$2:$AA$5,2,FALSE),VLOOKUP(B24,$Y$2:$AA$5,2,FALSE)+VLOOKUP(B24,$Y$2:$AA$5,3,FALSE))+IF(OR(B24="Melee",B24="Brawl"),$Z$6,0)+IF(AND(VLOOKUP(B24,$Y$2:$AB$5,4,FALSE)="Yes",'House Rules'!B32="Potent"),1,0)</f>
        <v>2</v>
      </c>
      <c r="G24" s="247" t="s">
        <v>110</v>
      </c>
      <c r="H24" s="247" t="s">
        <v>816</v>
      </c>
      <c r="I24" s="247" t="str">
        <f>IF('House Rules'!$B$11="off",IF(H24="--","--",IF(B24="brawl",(H24+CharacterSheet!$E$55+CharacterSheet!$E$7)/2+CharacterSheet!$G$7,IF(B24="melee",(H24+CharacterSheet!$E$7+CharacterSheet!$M$54)/2+CharacterSheet!$G$7,"--"))),IF(H24="--","--",IF(B24="brawl",(H24+CharacterSheet!$E$55+CharacterSheet!$D$35+IF(CharacterSheet!$D$41="N/A",0,CharacterSheet!$D$41)+CharacterSheet!$E$7)/2+CharacterSheet!$G$7,IF(B24="melee",(H24+CharacterSheet!$E$7+CharacterSheet!$D$35+IF(CharacterSheet!$D$41="N/A",0,CharacterSheet!$D$41)+CharacterSheet!$M$54)/2+CharacterSheet!$G$7,"--"))))</f>
        <v>--</v>
      </c>
      <c r="J24" s="247">
        <v>6</v>
      </c>
      <c r="K24" s="247">
        <v>30</v>
      </c>
      <c r="L24" s="252" t="s">
        <v>816</v>
      </c>
      <c r="M24" s="212" t="str">
        <f>IF(Sandbox!D21="","Custom 1",Sandbox!D21)</f>
        <v>Custom 1</v>
      </c>
      <c r="N24" s="154" t="str">
        <f>IF(Sandbox!M21="","",Sandbox!M21)</f>
        <v/>
      </c>
      <c r="O24" s="154" t="str">
        <f>IF(Sandbox!P21="","",Sandbox!P21)</f>
        <v/>
      </c>
      <c r="P24" s="154" t="str">
        <f>IF(Sandbox!R21="","",Sandbox!R21)</f>
        <v/>
      </c>
      <c r="Q24" s="154" t="str">
        <f>IF(Sandbox!T21="","",Sandbox!T21)</f>
        <v/>
      </c>
      <c r="R24" s="162" t="str">
        <f>IF(Sandbox!W21="","",Sandbox!W21)</f>
        <v/>
      </c>
      <c r="S24" s="100" t="s">
        <v>785</v>
      </c>
      <c r="T24" s="82">
        <v>6</v>
      </c>
      <c r="U24" s="82">
        <v>2</v>
      </c>
      <c r="V24" s="82">
        <v>1</v>
      </c>
      <c r="W24" s="99">
        <v>15</v>
      </c>
    </row>
    <row r="25" spans="1:23" x14ac:dyDescent="0.25">
      <c r="A25" s="246" t="s">
        <v>726</v>
      </c>
      <c r="B25" s="247" t="s">
        <v>815</v>
      </c>
      <c r="C25" s="247">
        <v>0</v>
      </c>
      <c r="D25" s="247">
        <f>C25+VLOOKUP(B25,$Y$2:$AA$5,2,FALSE)+VLOOKUP(B25,$Y$2:$AA$5,3,FALSE)+IF(AND('House Rules'!$B$10="Potent",VLOOKUP(B25,$Y$2:$AB$5,4,FALSE)="Yes"),1,0)+$Z$7</f>
        <v>1</v>
      </c>
      <c r="E25" s="247">
        <v>3</v>
      </c>
      <c r="F25" s="247">
        <f>E25+IF('House Rules'!$B$12="Off",VLOOKUP(B25,$Y$2:$AA$5,2,FALSE),VLOOKUP(B25,$Y$2:$AA$5,2,FALSE)+VLOOKUP(B25,$Y$2:$AA$5,3,FALSE))+IF(OR(B25="Melee",B25="Brawl"),$Z$6,0)+IF(AND(VLOOKUP(B25,$Y$2:$AB$5,4,FALSE)="Yes",'House Rules'!B33="Potent"),1,0)</f>
        <v>3</v>
      </c>
      <c r="G25" s="247" t="s">
        <v>110</v>
      </c>
      <c r="H25" s="247" t="s">
        <v>816</v>
      </c>
      <c r="I25" s="247" t="str">
        <f>IF('House Rules'!$B$11="off",IF(H25="--","--",IF(B25="brawl",(H25+CharacterSheet!$E$55+CharacterSheet!$E$7)/2+CharacterSheet!$G$7,IF(B25="melee",(H25+CharacterSheet!$E$7+CharacterSheet!$M$54)/2+CharacterSheet!$G$7,"--"))),IF(H25="--","--",IF(B25="brawl",(H25+CharacterSheet!$E$55+CharacterSheet!$D$35+IF(CharacterSheet!$D$41="N/A",0,CharacterSheet!$D$41)+CharacterSheet!$E$7)/2+CharacterSheet!$G$7,IF(B25="melee",(H25+CharacterSheet!$E$7+CharacterSheet!$D$35+IF(CharacterSheet!$D$41="N/A",0,CharacterSheet!$D$41)+CharacterSheet!$M$54)/2+CharacterSheet!$G$7,"--"))))</f>
        <v>--</v>
      </c>
      <c r="J25" s="247">
        <v>6</v>
      </c>
      <c r="K25" s="247">
        <v>40</v>
      </c>
      <c r="L25" s="252" t="s">
        <v>816</v>
      </c>
      <c r="M25" s="212" t="str">
        <f>IF(Sandbox!D22="","Custom 2",Sandbox!D22)</f>
        <v>Custom 2</v>
      </c>
      <c r="N25" s="154" t="str">
        <f>IF(Sandbox!M22="","",Sandbox!M22)</f>
        <v/>
      </c>
      <c r="O25" s="154" t="str">
        <f>IF(Sandbox!P22="","",Sandbox!P22)</f>
        <v/>
      </c>
      <c r="P25" s="154" t="str">
        <f>IF(Sandbox!R22="","",Sandbox!R22)</f>
        <v/>
      </c>
      <c r="Q25" s="154" t="str">
        <f>IF(Sandbox!T22="","",Sandbox!T22)</f>
        <v/>
      </c>
      <c r="R25" s="162" t="str">
        <f>IF(Sandbox!W22="","",Sandbox!W22)</f>
        <v/>
      </c>
      <c r="S25" s="100" t="s">
        <v>813</v>
      </c>
      <c r="T25" s="82">
        <v>12</v>
      </c>
      <c r="U25" s="82">
        <v>10</v>
      </c>
      <c r="V25" s="82">
        <v>-4</v>
      </c>
      <c r="W25" s="99">
        <v>30</v>
      </c>
    </row>
    <row r="26" spans="1:23" x14ac:dyDescent="0.25">
      <c r="A26" s="246" t="s">
        <v>727</v>
      </c>
      <c r="B26" s="247" t="s">
        <v>54</v>
      </c>
      <c r="C26" s="247">
        <v>-1</v>
      </c>
      <c r="D26" s="247">
        <f>C26+VLOOKUP(B26,$Y$2:$AA$5,2,FALSE)+VLOOKUP(B26,$Y$2:$AA$5,3,FALSE)+IF(AND('House Rules'!$B$10="Potent",VLOOKUP(B26,$Y$2:$AB$5,4,FALSE)="Yes"),1,0)+$Z$7</f>
        <v>0</v>
      </c>
      <c r="E26" s="247">
        <v>1</v>
      </c>
      <c r="F26" s="247">
        <f>E26+IF('House Rules'!$B$12="Off",VLOOKUP(B26,$Y$2:$AA$5,2,FALSE),VLOOKUP(B26,$Y$2:$AA$5,2,FALSE)+VLOOKUP(B26,$Y$2:$AA$5,3,FALSE))+IF(OR(B26="Melee",B26="Brawl"),$Z$6,0)+IF(AND(VLOOKUP(B26,$Y$2:$AB$5,4,FALSE)="Yes",'House Rules'!B34="Potent"),1,0)</f>
        <v>1</v>
      </c>
      <c r="G26" s="247" t="s">
        <v>110</v>
      </c>
      <c r="H26" s="247" t="s">
        <v>816</v>
      </c>
      <c r="I26" s="247" t="str">
        <f>IF('House Rules'!$B$11="off",IF(H26="--","--",IF(B26="brawl",(H26+CharacterSheet!$E$55+CharacterSheet!$E$7)/2+CharacterSheet!$G$7,IF(B26="melee",(H26+CharacterSheet!$E$7+CharacterSheet!$M$54)/2+CharacterSheet!$G$7,"--"))),IF(H26="--","--",IF(B26="brawl",(H26+CharacterSheet!$E$55+CharacterSheet!$D$35+IF(CharacterSheet!$D$41="N/A",0,CharacterSheet!$D$41)+CharacterSheet!$E$7)/2+CharacterSheet!$G$7,IF(B26="melee",(H26+CharacterSheet!$E$7+CharacterSheet!$D$35+IF(CharacterSheet!$D$41="N/A",0,CharacterSheet!$D$41)+CharacterSheet!$M$54)/2+CharacterSheet!$G$7,"--"))))</f>
        <v>--</v>
      </c>
      <c r="J26" s="247">
        <v>6</v>
      </c>
      <c r="K26" s="247">
        <f>IF('Purchased Knacks'!$E$13="Yes",10*LOOKUP(CharacterSheet!$F$6,Reference!$H$2:$H$12,Reference!$J$2:$J$12)*2,10*LOOKUP(CharacterSheet!$F$6,Reference!$H$2:$H$12,Reference!$J$2:$J$12))</f>
        <v>10</v>
      </c>
      <c r="L26" s="252" t="s">
        <v>816</v>
      </c>
      <c r="M26" s="212" t="str">
        <f>IF(Sandbox!D23="","Custom 3",Sandbox!D23)</f>
        <v>Custom 3</v>
      </c>
      <c r="N26" s="154" t="str">
        <f>IF(Sandbox!M23="","",Sandbox!M23)</f>
        <v/>
      </c>
      <c r="O26" s="154" t="str">
        <f>IF(Sandbox!P23="","",Sandbox!P23)</f>
        <v/>
      </c>
      <c r="P26" s="154" t="str">
        <f>IF(Sandbox!R23="","",Sandbox!R23)</f>
        <v/>
      </c>
      <c r="Q26" s="154" t="str">
        <f>IF(Sandbox!T23="","",Sandbox!T23)</f>
        <v/>
      </c>
      <c r="R26" s="162" t="str">
        <f>IF(Sandbox!W23="","",Sandbox!W23)</f>
        <v/>
      </c>
      <c r="S26" s="100" t="s">
        <v>814</v>
      </c>
      <c r="T26" s="82">
        <v>10</v>
      </c>
      <c r="U26" s="82">
        <v>1000</v>
      </c>
      <c r="V26" s="82">
        <v>-6</v>
      </c>
      <c r="W26" s="99">
        <v>500</v>
      </c>
    </row>
    <row r="27" spans="1:23" ht="15.75" thickBot="1" x14ac:dyDescent="0.3">
      <c r="A27" s="246" t="s">
        <v>733</v>
      </c>
      <c r="B27" s="247" t="s">
        <v>815</v>
      </c>
      <c r="C27" s="247">
        <v>0</v>
      </c>
      <c r="D27" s="247">
        <f>C27+VLOOKUP(B27,$Y$2:$AA$5,2,FALSE)+VLOOKUP(B27,$Y$2:$AA$5,3,FALSE)+IF(AND('House Rules'!$B$10="Potent",VLOOKUP(B27,$Y$2:$AB$5,4,FALSE)="Yes"),1,0)+$Z$7</f>
        <v>1</v>
      </c>
      <c r="E27" s="247">
        <v>5</v>
      </c>
      <c r="F27" s="247">
        <f>E27+IF('House Rules'!$B$12="Off",VLOOKUP(B27,$Y$2:$AA$5,2,FALSE),VLOOKUP(B27,$Y$2:$AA$5,2,FALSE)+VLOOKUP(B27,$Y$2:$AA$5,3,FALSE))+IF(OR(B27="Melee",B27="Brawl"),$Z$6,0)+IF(AND(VLOOKUP(B27,$Y$2:$AB$5,4,FALSE)="Yes",'House Rules'!B35="Potent"),1,0)</f>
        <v>5</v>
      </c>
      <c r="G27" s="247" t="s">
        <v>110</v>
      </c>
      <c r="H27" s="247" t="s">
        <v>816</v>
      </c>
      <c r="I27" s="247" t="str">
        <f>IF('House Rules'!$B$11="off",IF(H27="--","--",IF(B27="brawl",(H27+CharacterSheet!$E$55+CharacterSheet!$E$7)/2+CharacterSheet!$G$7,IF(B27="melee",(H27+CharacterSheet!$E$7+CharacterSheet!$M$54)/2+CharacterSheet!$G$7,"--"))),IF(H27="--","--",IF(B27="brawl",(H27+CharacterSheet!$E$55+CharacterSheet!$D$35+IF(CharacterSheet!$D$41="N/A",0,CharacterSheet!$D$41)+CharacterSheet!$E$7)/2+CharacterSheet!$G$7,IF(B27="melee",(H27+CharacterSheet!$E$7+CharacterSheet!$D$35+IF(CharacterSheet!$D$41="N/A",0,CharacterSheet!$D$41)+CharacterSheet!$M$54)/2+CharacterSheet!$G$7,"--"))))</f>
        <v>--</v>
      </c>
      <c r="J27" s="247">
        <v>5</v>
      </c>
      <c r="K27" s="247">
        <v>50</v>
      </c>
      <c r="L27" s="252">
        <v>7</v>
      </c>
      <c r="M27" s="212" t="str">
        <f>IF(Sandbox!D24="","Custom 4",Sandbox!D24)</f>
        <v>Custom 4</v>
      </c>
      <c r="N27" s="154" t="str">
        <f>IF(Sandbox!M24="","",Sandbox!M24)</f>
        <v/>
      </c>
      <c r="O27" s="154" t="str">
        <f>IF(Sandbox!P24="","",Sandbox!P24)</f>
        <v/>
      </c>
      <c r="P27" s="154" t="str">
        <f>IF(Sandbox!R24="","",Sandbox!R24)</f>
        <v/>
      </c>
      <c r="Q27" s="154" t="str">
        <f>IF(Sandbox!T24="","",Sandbox!T24)</f>
        <v/>
      </c>
      <c r="R27" s="162" t="str">
        <f>IF(Sandbox!W24="","",Sandbox!W24)</f>
        <v/>
      </c>
      <c r="S27" s="104" t="s">
        <v>756</v>
      </c>
      <c r="T27" s="84">
        <v>6</v>
      </c>
      <c r="U27" s="84">
        <v>3</v>
      </c>
      <c r="V27" s="84">
        <v>0</v>
      </c>
      <c r="W27" s="96">
        <v>20</v>
      </c>
    </row>
    <row r="28" spans="1:23" x14ac:dyDescent="0.25">
      <c r="A28" s="246" t="s">
        <v>766</v>
      </c>
      <c r="B28" s="247" t="s">
        <v>54</v>
      </c>
      <c r="C28" s="247">
        <v>0</v>
      </c>
      <c r="D28" s="247">
        <f>C28+VLOOKUP(B28,$Y$2:$AA$5,2,FALSE)+VLOOKUP(B28,$Y$2:$AA$5,3,FALSE)+IF(AND('House Rules'!$B$10="Potent",VLOOKUP(B28,$Y$2:$AB$5,4,FALSE)="Yes"),1,0)+$Z$7</f>
        <v>1</v>
      </c>
      <c r="E28" s="247">
        <v>2</v>
      </c>
      <c r="F28" s="247">
        <f>E28+IF('House Rules'!$B$12="Off",VLOOKUP(B28,$Y$2:$AA$5,2,FALSE),VLOOKUP(B28,$Y$2:$AA$5,2,FALSE)+VLOOKUP(B28,$Y$2:$AA$5,3,FALSE))+IF(OR(B28="Melee",B28="Brawl"),$Z$6,0)+IF(AND(VLOOKUP(B28,$Y$2:$AB$5,4,FALSE)="Yes",'House Rules'!B36="Potent"),1,0)</f>
        <v>2</v>
      </c>
      <c r="G28" s="247" t="s">
        <v>110</v>
      </c>
      <c r="H28" s="247" t="s">
        <v>816</v>
      </c>
      <c r="I28" s="247" t="str">
        <f>IF('House Rules'!$B$11="off",IF(H28="--","--",IF(B28="brawl",(H28+CharacterSheet!$E$55+CharacterSheet!$E$7)/2+CharacterSheet!$G$7,IF(B28="melee",(H28+CharacterSheet!$E$7+CharacterSheet!$M$54)/2+CharacterSheet!$G$7,"--"))),IF(H28="--","--",IF(B28="brawl",(H28+CharacterSheet!$E$55+CharacterSheet!$D$35+IF(CharacterSheet!$D$41="N/A",0,CharacterSheet!$D$41)+CharacterSheet!$E$7)/2+CharacterSheet!$G$7,IF(B28="melee",(H28+CharacterSheet!$E$7+CharacterSheet!$D$35+IF(CharacterSheet!$D$41="N/A",0,CharacterSheet!$D$41)+CharacterSheet!$M$54)/2+CharacterSheet!$G$7,"--"))))</f>
        <v>--</v>
      </c>
      <c r="J28" s="247">
        <v>6</v>
      </c>
      <c r="K28" s="247">
        <f>IF('Purchased Knacks'!$E$13="Yes",30*LOOKUP(CharacterSheet!$F$6,Reference!$H$2:$H$12,Reference!$J$2:$J$12)*2,30*LOOKUP(CharacterSheet!$F$6,Reference!$H$2:$H$12,Reference!$J$2:$J$12))</f>
        <v>30</v>
      </c>
      <c r="L28" s="252" t="s">
        <v>816</v>
      </c>
      <c r="M28" s="212" t="str">
        <f>IF(Sandbox!D25="","Custom 5",Sandbox!D25)</f>
        <v>Custom 5</v>
      </c>
      <c r="N28" s="154" t="str">
        <f>IF(Sandbox!M25="","",Sandbox!M25)</f>
        <v/>
      </c>
      <c r="O28" s="154" t="str">
        <f>IF(Sandbox!P25="","",Sandbox!P25)</f>
        <v/>
      </c>
      <c r="P28" s="154" t="str">
        <f>IF(Sandbox!R25="","",Sandbox!R25)</f>
        <v/>
      </c>
      <c r="Q28" s="154" t="str">
        <f>IF(Sandbox!T25="","",Sandbox!T25)</f>
        <v/>
      </c>
      <c r="R28" s="162" t="str">
        <f>IF(Sandbox!W25="","",Sandbox!W25)</f>
        <v/>
      </c>
    </row>
    <row r="29" spans="1:23" x14ac:dyDescent="0.25">
      <c r="A29" s="246" t="s">
        <v>846</v>
      </c>
      <c r="B29" s="247" t="s">
        <v>48</v>
      </c>
      <c r="C29" s="247">
        <v>3</v>
      </c>
      <c r="D29" s="247">
        <f>C29+VLOOKUP(B29,$Y$2:$AA$5,2,FALSE)+VLOOKUP(B29,$Y$2:$AA$5,3,FALSE)+IF(AND('House Rules'!$B$10="Potent",VLOOKUP(B29,$Y$2:$AB$5,4,FALSE)="Yes"),1,0)+$Z$7</f>
        <v>4</v>
      </c>
      <c r="E29" s="247">
        <v>5</v>
      </c>
      <c r="F29" s="247">
        <f>E29+IF('House Rules'!$B$12="Off",VLOOKUP(B29,$Y$2:$AA$5,2,FALSE),VLOOKUP(B29,$Y$2:$AA$5,2,FALSE)+VLOOKUP(B29,$Y$2:$AA$5,3,FALSE))+IF(OR(B29="Melee",B29="Brawl"),$Z$6,0)+IF(AND(VLOOKUP(B29,$Y$2:$AB$5,4,FALSE)="Yes",'House Rules'!B37="Potent"),1,0)</f>
        <v>6</v>
      </c>
      <c r="G29" s="247" t="s">
        <v>110</v>
      </c>
      <c r="H29" s="247">
        <v>3</v>
      </c>
      <c r="I29" s="247">
        <f>IF('House Rules'!$B$11="off",IF(H29="--","--",IF(B29="brawl",(H29+CharacterSheet!$E$55+CharacterSheet!$E$7)/2+CharacterSheet!$G$7,IF(B29="melee",(H29+CharacterSheet!$E$7+CharacterSheet!$M$54)/2+CharacterSheet!$G$7,"--"))),IF(H29="--","--",IF(B29="brawl",(H29+CharacterSheet!$E$55+CharacterSheet!$D$35+IF(CharacterSheet!$D$41="N/A",0,CharacterSheet!$D$41)+CharacterSheet!$E$7)/2+CharacterSheet!$G$7,IF(B29="melee",(H29+CharacterSheet!$E$7+CharacterSheet!$D$35+IF(CharacterSheet!$D$41="N/A",0,CharacterSheet!$D$41)+CharacterSheet!$M$54)/2+CharacterSheet!$G$7,"--"))))</f>
        <v>2</v>
      </c>
      <c r="J29" s="247">
        <v>4</v>
      </c>
      <c r="K29" s="16" t="s">
        <v>816</v>
      </c>
      <c r="L29" s="18" t="s">
        <v>816</v>
      </c>
      <c r="M29" s="212" t="str">
        <f>IF(Sandbox!D26="","Custom 6",Sandbox!D26)</f>
        <v>Custom 6</v>
      </c>
      <c r="N29" s="154" t="str">
        <f>IF(Sandbox!M26="","",Sandbox!M26)</f>
        <v/>
      </c>
      <c r="O29" s="154" t="str">
        <f>IF(Sandbox!P26="","",Sandbox!P26)</f>
        <v/>
      </c>
      <c r="P29" s="154" t="str">
        <f>IF(Sandbox!R26="","",Sandbox!R26)</f>
        <v/>
      </c>
      <c r="Q29" s="154" t="str">
        <f>IF(Sandbox!T26="","",Sandbox!T26)</f>
        <v/>
      </c>
      <c r="R29" s="162" t="str">
        <f>IF(Sandbox!W26="","",Sandbox!W26)</f>
        <v/>
      </c>
    </row>
    <row r="30" spans="1:23" x14ac:dyDescent="0.25">
      <c r="A30" s="246" t="s">
        <v>847</v>
      </c>
      <c r="B30" s="247" t="s">
        <v>815</v>
      </c>
      <c r="C30" s="247">
        <v>4</v>
      </c>
      <c r="D30" s="247">
        <f>C30+VLOOKUP(B30,$Y$2:$AA$5,2,FALSE)+VLOOKUP(B30,$Y$2:$AA$5,3,FALSE)+IF(AND('House Rules'!$B$10="Potent",VLOOKUP(B30,$Y$2:$AB$5,4,FALSE)="Yes"),1,0)+$Z$7</f>
        <v>5</v>
      </c>
      <c r="E30" s="247">
        <v>5</v>
      </c>
      <c r="F30" s="247">
        <f>E30+IF('House Rules'!$B$12="Off",VLOOKUP(B30,$Y$2:$AA$5,2,FALSE),VLOOKUP(B30,$Y$2:$AA$5,2,FALSE)+VLOOKUP(B30,$Y$2:$AA$5,3,FALSE))+IF(OR(B30="Melee",B30="Brawl"),$Z$6,0)+IF(AND(VLOOKUP(B30,$Y$2:$AB$5,4,FALSE)="Yes",'House Rules'!B38="Potent"),1,0)</f>
        <v>5</v>
      </c>
      <c r="G30" s="247" t="s">
        <v>110</v>
      </c>
      <c r="H30" s="16" t="s">
        <v>816</v>
      </c>
      <c r="I30" s="247" t="str">
        <f>IF('House Rules'!$B$11="off",IF(H30="--","--",IF(B30="brawl",(H30+CharacterSheet!$E$55+CharacterSheet!$E$7)/2+CharacterSheet!$G$7,IF(B30="melee",(H30+CharacterSheet!$E$7+CharacterSheet!$M$54)/2+CharacterSheet!$G$7,"--"))),IF(H30="--","--",IF(B30="brawl",(H30+CharacterSheet!$E$55+CharacterSheet!$D$35+IF(CharacterSheet!$D$41="N/A",0,CharacterSheet!$D$41)+CharacterSheet!$E$7)/2+CharacterSheet!$G$7,IF(B30="melee",(H30+CharacterSheet!$E$7+CharacterSheet!$D$35+IF(CharacterSheet!$D$41="N/A",0,CharacterSheet!$D$41)+CharacterSheet!$M$54)/2+CharacterSheet!$G$7,"--"))))</f>
        <v>--</v>
      </c>
      <c r="J30" s="247">
        <v>4</v>
      </c>
      <c r="K30" s="16">
        <v>30</v>
      </c>
      <c r="L30" s="18" t="s">
        <v>816</v>
      </c>
      <c r="M30" s="212" t="str">
        <f>IF(Sandbox!D27="","Custom 7",Sandbox!D27)</f>
        <v>Custom 7</v>
      </c>
      <c r="N30" s="154" t="str">
        <f>IF(Sandbox!M27="","",Sandbox!M27)</f>
        <v/>
      </c>
      <c r="O30" s="154" t="str">
        <f>IF(Sandbox!P27="","",Sandbox!P27)</f>
        <v/>
      </c>
      <c r="P30" s="154" t="str">
        <f>IF(Sandbox!R27="","",Sandbox!R27)</f>
        <v/>
      </c>
      <c r="Q30" s="154" t="str">
        <f>IF(Sandbox!T27="","",Sandbox!T27)</f>
        <v/>
      </c>
      <c r="R30" s="162" t="str">
        <f>IF(Sandbox!W27="","",Sandbox!W27)</f>
        <v/>
      </c>
    </row>
    <row r="31" spans="1:23" x14ac:dyDescent="0.25">
      <c r="A31" s="246" t="s">
        <v>762</v>
      </c>
      <c r="B31" s="247" t="s">
        <v>48</v>
      </c>
      <c r="C31" s="247">
        <v>1</v>
      </c>
      <c r="D31" s="247">
        <f>C31+VLOOKUP(B31,$Y$2:$AA$5,2,FALSE)+VLOOKUP(B31,$Y$2:$AA$5,3,FALSE)+IF(AND('House Rules'!$B$10="Potent",VLOOKUP(B31,$Y$2:$AB$5,4,FALSE)="Yes"),1,0)+$Z$7</f>
        <v>2</v>
      </c>
      <c r="E31" s="247">
        <v>6</v>
      </c>
      <c r="F31" s="247">
        <f>E31+IF('House Rules'!$B$12="Off",VLOOKUP(B31,$Y$2:$AA$5,2,FALSE),VLOOKUP(B31,$Y$2:$AA$5,2,FALSE)+VLOOKUP(B31,$Y$2:$AA$5,3,FALSE))+IF(OR(B31="Melee",B31="Brawl"),$Z$6,0)+IF(AND(VLOOKUP(B31,$Y$2:$AB$5,4,FALSE)="Yes",'House Rules'!B39="Potent"),1,0)</f>
        <v>7</v>
      </c>
      <c r="G31" s="247" t="s">
        <v>818</v>
      </c>
      <c r="H31" s="247">
        <v>2</v>
      </c>
      <c r="I31" s="247">
        <f>IF('House Rules'!$B$11="off",IF(H31="--","--",IF(B31="brawl",(H31+CharacterSheet!$E$55+CharacterSheet!$E$7)/2+CharacterSheet!$G$7,IF(B31="melee",(H31+CharacterSheet!$E$7+CharacterSheet!$M$54)/2+CharacterSheet!$G$7,"--"))),IF(H31="--","--",IF(B31="brawl",(H31+CharacterSheet!$E$55+CharacterSheet!$D$35+IF(CharacterSheet!$D$41="N/A",0,CharacterSheet!$D$41)+CharacterSheet!$E$7)/2+CharacterSheet!$G$7,IF(B31="melee",(H31+CharacterSheet!$E$7+CharacterSheet!$D$35+IF(CharacterSheet!$D$41="N/A",0,CharacterSheet!$D$41)+CharacterSheet!$M$54)/2+CharacterSheet!$G$7,"--"))))</f>
        <v>1.5</v>
      </c>
      <c r="J31" s="247">
        <v>5</v>
      </c>
      <c r="K31" s="247" t="s">
        <v>816</v>
      </c>
      <c r="L31" s="252" t="s">
        <v>816</v>
      </c>
      <c r="M31" s="212" t="str">
        <f>IF(Sandbox!D28="","Custom 8",Sandbox!D28)</f>
        <v>Custom 8</v>
      </c>
      <c r="N31" s="154" t="str">
        <f>IF(Sandbox!M28="","",Sandbox!M28)</f>
        <v/>
      </c>
      <c r="O31" s="154" t="str">
        <f>IF(Sandbox!P28="","",Sandbox!P28)</f>
        <v/>
      </c>
      <c r="P31" s="154" t="str">
        <f>IF(Sandbox!R28="","",Sandbox!R28)</f>
        <v/>
      </c>
      <c r="Q31" s="154" t="str">
        <f>IF(Sandbox!T28="","",Sandbox!T28)</f>
        <v/>
      </c>
      <c r="R31" s="162" t="str">
        <f>IF(Sandbox!W28="","",Sandbox!W28)</f>
        <v/>
      </c>
    </row>
    <row r="32" spans="1:23" x14ac:dyDescent="0.25">
      <c r="A32" s="246" t="s">
        <v>735</v>
      </c>
      <c r="B32" s="247" t="s">
        <v>815</v>
      </c>
      <c r="C32" s="247">
        <v>1</v>
      </c>
      <c r="D32" s="247">
        <f>C32+VLOOKUP(B32,$Y$2:$AA$5,2,FALSE)+VLOOKUP(B32,$Y$2:$AA$5,3,FALSE)+IF(AND('House Rules'!$B$10="Potent",VLOOKUP(B32,$Y$2:$AB$5,4,FALSE)="Yes"),1,0)+$Z$7</f>
        <v>2</v>
      </c>
      <c r="E32" s="247">
        <v>3</v>
      </c>
      <c r="F32" s="247">
        <f>E32+IF('House Rules'!$B$12="Off",VLOOKUP(B32,$Y$2:$AA$5,2,FALSE),VLOOKUP(B32,$Y$2:$AA$5,2,FALSE)+VLOOKUP(B32,$Y$2:$AA$5,3,FALSE))+IF(OR(B32="Melee",B32="Brawl"),$Z$6,0)+IF(AND(VLOOKUP(B32,$Y$2:$AB$5,4,FALSE)="Yes",'House Rules'!B40="Potent"),1,0)</f>
        <v>3</v>
      </c>
      <c r="G32" s="247" t="s">
        <v>110</v>
      </c>
      <c r="H32" s="247" t="s">
        <v>816</v>
      </c>
      <c r="I32" s="247" t="str">
        <f>IF('House Rules'!$B$11="off",IF(H32="--","--",IF(B32="brawl",(H32+CharacterSheet!$E$55+CharacterSheet!$E$7)/2+CharacterSheet!$G$7,IF(B32="melee",(H32+CharacterSheet!$E$7+CharacterSheet!$M$54)/2+CharacterSheet!$G$7,"--"))),IF(H32="--","--",IF(B32="brawl",(H32+CharacterSheet!$E$55+CharacterSheet!$D$35+IF(CharacterSheet!$D$41="N/A",0,CharacterSheet!$D$41)+CharacterSheet!$E$7)/2+CharacterSheet!$G$7,IF(B32="melee",(H32+CharacterSheet!$E$7+CharacterSheet!$D$35+IF(CharacterSheet!$D$41="N/A",0,CharacterSheet!$D$41)+CharacterSheet!$M$54)/2+CharacterSheet!$G$7,"--"))))</f>
        <v>--</v>
      </c>
      <c r="J32" s="247">
        <v>5</v>
      </c>
      <c r="K32" s="247">
        <v>50</v>
      </c>
      <c r="L32" s="252">
        <v>50</v>
      </c>
      <c r="M32" s="212" t="str">
        <f>IF(Sandbox!D29="","Custom 9",Sandbox!D29)</f>
        <v>Custom 9</v>
      </c>
      <c r="N32" s="154" t="str">
        <f>IF(Sandbox!M29="","",Sandbox!M29)</f>
        <v/>
      </c>
      <c r="O32" s="154" t="str">
        <f>IF(Sandbox!P29="","",Sandbox!P29)</f>
        <v/>
      </c>
      <c r="P32" s="154" t="str">
        <f>IF(Sandbox!R29="","",Sandbox!R29)</f>
        <v/>
      </c>
      <c r="Q32" s="154" t="str">
        <f>IF(Sandbox!T29="","",Sandbox!T29)</f>
        <v/>
      </c>
      <c r="R32" s="162" t="str">
        <f>IF(Sandbox!W29="","",Sandbox!W29)</f>
        <v/>
      </c>
    </row>
    <row r="33" spans="1:18" x14ac:dyDescent="0.25">
      <c r="A33" s="246" t="s">
        <v>884</v>
      </c>
      <c r="B33" s="247" t="s">
        <v>815</v>
      </c>
      <c r="C33" s="247">
        <v>3</v>
      </c>
      <c r="D33" s="247">
        <f>C33+VLOOKUP(B33,$Y$2:$AA$5,2,FALSE)+VLOOKUP(B33,$Y$2:$AA$5,3,FALSE)+IF(AND('House Rules'!$B$10="Potent",VLOOKUP(B33,$Y$2:$AB$5,4,FALSE)="Yes"),1,0)+$Z$7</f>
        <v>4</v>
      </c>
      <c r="E33" s="247">
        <v>3</v>
      </c>
      <c r="F33" s="247">
        <f>E33+IF('House Rules'!$B$12="Off",VLOOKUP(B33,$Y$2:$AA$5,2,FALSE),VLOOKUP(B33,$Y$2:$AA$5,2,FALSE)+VLOOKUP(B33,$Y$2:$AA$5,3,FALSE))+IF(OR(B33="Melee",B33="Brawl"),$Z$6,0)+IF(AND(VLOOKUP(B33,$Y$2:$AB$5,4,FALSE)="Yes",'House Rules'!B41="Potent"),1,0)</f>
        <v>3</v>
      </c>
      <c r="G33" s="247" t="s">
        <v>110</v>
      </c>
      <c r="H33" s="247" t="s">
        <v>816</v>
      </c>
      <c r="I33" s="247" t="str">
        <f>IF('House Rules'!$B$11="off",IF(H33="--","--",IF(B33="brawl",(H33+CharacterSheet!$E$55+CharacterSheet!$E$7)/2+CharacterSheet!$G$7,IF(B33="melee",(H33+CharacterSheet!$E$7+CharacterSheet!$M$54)/2+CharacterSheet!$G$7,"--"))),IF(H33="--","--",IF(B33="brawl",(H33+CharacterSheet!$E$55+CharacterSheet!$D$35+IF(CharacterSheet!$D$41="N/A",0,CharacterSheet!$D$41)+CharacterSheet!$E$7)/2+CharacterSheet!$G$7,IF(B33="melee",(H33+CharacterSheet!$E$7+CharacterSheet!$D$35+IF(CharacterSheet!$D$41="N/A",0,CharacterSheet!$D$41)+CharacterSheet!$M$54)/2+CharacterSheet!$G$7,"--"))))</f>
        <v>--</v>
      </c>
      <c r="J33" s="247">
        <v>5</v>
      </c>
      <c r="K33" s="16">
        <v>40</v>
      </c>
      <c r="L33" s="252" t="s">
        <v>816</v>
      </c>
      <c r="M33" s="212" t="str">
        <f>IF(Sandbox!D30="","Custom 10",Sandbox!D30)</f>
        <v>Custom 10</v>
      </c>
      <c r="N33" s="154" t="str">
        <f>IF(Sandbox!M30="","",Sandbox!M30)</f>
        <v/>
      </c>
      <c r="O33" s="154" t="str">
        <f>IF(Sandbox!P30="","",Sandbox!P30)</f>
        <v/>
      </c>
      <c r="P33" s="154" t="str">
        <f>IF(Sandbox!R30="","",Sandbox!R30)</f>
        <v/>
      </c>
      <c r="Q33" s="154" t="str">
        <f>IF(Sandbox!T30="","",Sandbox!T30)</f>
        <v/>
      </c>
      <c r="R33" s="162" t="str">
        <f>IF(Sandbox!W30="","",Sandbox!W30)</f>
        <v/>
      </c>
    </row>
    <row r="34" spans="1:18" x14ac:dyDescent="0.25">
      <c r="A34" s="246" t="s">
        <v>761</v>
      </c>
      <c r="B34" s="247" t="s">
        <v>48</v>
      </c>
      <c r="C34" s="247">
        <v>0</v>
      </c>
      <c r="D34" s="247">
        <f>C34+VLOOKUP(B34,$Y$2:$AA$5,2,FALSE)+VLOOKUP(B34,$Y$2:$AA$5,3,FALSE)+IF(AND('House Rules'!$B$10="Potent",VLOOKUP(B34,$Y$2:$AB$5,4,FALSE)="Yes"),1,0)+$Z$7</f>
        <v>1</v>
      </c>
      <c r="E34" s="247">
        <v>2</v>
      </c>
      <c r="F34" s="247">
        <f>E34+IF('House Rules'!$B$12="Off",VLOOKUP(B34,$Y$2:$AA$5,2,FALSE),VLOOKUP(B34,$Y$2:$AA$5,2,FALSE)+VLOOKUP(B34,$Y$2:$AA$5,3,FALSE))+IF(OR(B34="Melee",B34="Brawl"),$Z$6,0)+IF(AND(VLOOKUP(B34,$Y$2:$AB$5,4,FALSE)="Yes",'House Rules'!B42="Potent"),1,0)</f>
        <v>3</v>
      </c>
      <c r="G34" s="247" t="s">
        <v>110</v>
      </c>
      <c r="H34" s="247">
        <v>0</v>
      </c>
      <c r="I34" s="247">
        <f>IF('House Rules'!$B$11="off",IF(H34="--","--",IF(B34="brawl",(H34+CharacterSheet!$E$55+CharacterSheet!$E$7)/2+CharacterSheet!$G$7,IF(B34="melee",(H34+CharacterSheet!$E$7+CharacterSheet!$M$54)/2+CharacterSheet!$G$7,"--"))),IF(H34="--","--",IF(B34="brawl",(H34+CharacterSheet!$E$55+CharacterSheet!$D$35+IF(CharacterSheet!$D$41="N/A",0,CharacterSheet!$D$41)+CharacterSheet!$E$7)/2+CharacterSheet!$G$7,IF(B34="melee",(H34+CharacterSheet!$E$7+CharacterSheet!$D$35+IF(CharacterSheet!$D$41="N/A",0,CharacterSheet!$D$41)+CharacterSheet!$M$54)/2+CharacterSheet!$G$7,"--"))))</f>
        <v>0.5</v>
      </c>
      <c r="J34" s="247">
        <v>3</v>
      </c>
      <c r="K34" s="247" t="s">
        <v>816</v>
      </c>
      <c r="L34" s="252" t="s">
        <v>816</v>
      </c>
      <c r="M34" s="212" t="str">
        <f>IF(Sandbox!D31="","Custom 11",Sandbox!D31)</f>
        <v>Custom 11</v>
      </c>
      <c r="N34" s="154" t="str">
        <f>IF(Sandbox!M31="","",Sandbox!M31)</f>
        <v/>
      </c>
      <c r="O34" s="154" t="str">
        <f>IF(Sandbox!P31="","",Sandbox!P31)</f>
        <v/>
      </c>
      <c r="P34" s="154" t="str">
        <f>IF(Sandbox!R31="","",Sandbox!R31)</f>
        <v/>
      </c>
      <c r="Q34" s="154" t="str">
        <f>IF(Sandbox!T31="","",Sandbox!T31)</f>
        <v/>
      </c>
      <c r="R34" s="162" t="str">
        <f>IF(Sandbox!W31="","",Sandbox!W31)</f>
        <v/>
      </c>
    </row>
    <row r="35" spans="1:18" x14ac:dyDescent="0.25">
      <c r="A35" s="246" t="s">
        <v>732</v>
      </c>
      <c r="B35" s="247" t="s">
        <v>815</v>
      </c>
      <c r="C35" s="247">
        <v>1</v>
      </c>
      <c r="D35" s="247">
        <f>C35+VLOOKUP(B35,$Y$2:$AA$5,2,FALSE)+VLOOKUP(B35,$Y$2:$AA$5,3,FALSE)+IF(AND('House Rules'!$B$10="Potent",VLOOKUP(B35,$Y$2:$AB$5,4,FALSE)="Yes"),1,0)+$Z$7</f>
        <v>2</v>
      </c>
      <c r="E35" s="247">
        <v>3</v>
      </c>
      <c r="F35" s="247">
        <f>E35+IF('House Rules'!$B$12="Off",VLOOKUP(B35,$Y$2:$AA$5,2,FALSE),VLOOKUP(B35,$Y$2:$AA$5,2,FALSE)+VLOOKUP(B35,$Y$2:$AA$5,3,FALSE))+IF(OR(B35="Melee",B35="Brawl"),$Z$6,0)+IF(AND(VLOOKUP(B35,$Y$2:$AB$5,4,FALSE)="Yes",'House Rules'!B43="Potent"),1,0)</f>
        <v>3</v>
      </c>
      <c r="G35" s="247" t="s">
        <v>110</v>
      </c>
      <c r="H35" s="247" t="s">
        <v>816</v>
      </c>
      <c r="I35" s="247" t="str">
        <f>IF('House Rules'!$B$11="off",IF(H35="--","--",IF(B35="brawl",(H35+CharacterSheet!$E$55+CharacterSheet!$E$7)/2+CharacterSheet!$G$7,IF(B35="melee",(H35+CharacterSheet!$E$7+CharacterSheet!$M$54)/2+CharacterSheet!$G$7,"--"))),IF(H35="--","--",IF(B35="brawl",(H35+CharacterSheet!$E$55+CharacterSheet!$D$35+IF(CharacterSheet!$D$41="N/A",0,CharacterSheet!$D$41)+CharacterSheet!$E$7)/2+CharacterSheet!$G$7,IF(B35="melee",(H35+CharacterSheet!$E$7+CharacterSheet!$D$35+IF(CharacterSheet!$D$41="N/A",0,CharacterSheet!$D$41)+CharacterSheet!$M$54)/2+CharacterSheet!$G$7,"--"))))</f>
        <v>--</v>
      </c>
      <c r="J35" s="247">
        <v>4</v>
      </c>
      <c r="K35" s="247">
        <v>20</v>
      </c>
      <c r="L35" s="252">
        <v>15</v>
      </c>
      <c r="M35" s="212" t="str">
        <f>IF(Sandbox!D32="","Custom 12",Sandbox!D32)</f>
        <v>Custom 12</v>
      </c>
      <c r="N35" s="154" t="str">
        <f>IF(Sandbox!M32="","",Sandbox!M32)</f>
        <v/>
      </c>
      <c r="O35" s="154" t="str">
        <f>IF(Sandbox!P32="","",Sandbox!P32)</f>
        <v/>
      </c>
      <c r="P35" s="154" t="str">
        <f>IF(Sandbox!R32="","",Sandbox!R32)</f>
        <v/>
      </c>
      <c r="Q35" s="154" t="str">
        <f>IF(Sandbox!T32="","",Sandbox!T32)</f>
        <v/>
      </c>
      <c r="R35" s="162" t="str">
        <f>IF(Sandbox!W32="","",Sandbox!W32)</f>
        <v/>
      </c>
    </row>
    <row r="36" spans="1:18" x14ac:dyDescent="0.25">
      <c r="A36" s="246" t="s">
        <v>736</v>
      </c>
      <c r="B36" s="247" t="s">
        <v>815</v>
      </c>
      <c r="C36" s="247">
        <v>0</v>
      </c>
      <c r="D36" s="247">
        <f>C36+VLOOKUP(B36,$Y$2:$AA$5,2,FALSE)+VLOOKUP(B36,$Y$2:$AA$5,3,FALSE)+IF(AND('House Rules'!$B$10="Potent",VLOOKUP(B36,$Y$2:$AB$5,4,FALSE)="Yes"),1,0)+$Z$7</f>
        <v>1</v>
      </c>
      <c r="E36" s="247">
        <v>3</v>
      </c>
      <c r="F36" s="247">
        <f>E36+IF('House Rules'!$B$12="Off",VLOOKUP(B36,$Y$2:$AA$5,2,FALSE),VLOOKUP(B36,$Y$2:$AA$5,2,FALSE)+VLOOKUP(B36,$Y$2:$AA$5,3,FALSE))+IF(OR(B36="Melee",B36="Brawl"),$Z$6,0)+IF(AND(VLOOKUP(B36,$Y$2:$AB$5,4,FALSE)="Yes",'House Rules'!B44="Potent"),1,0)</f>
        <v>3</v>
      </c>
      <c r="G36" s="247" t="s">
        <v>110</v>
      </c>
      <c r="H36" s="247" t="s">
        <v>816</v>
      </c>
      <c r="I36" s="247" t="str">
        <f>IF('House Rules'!$B$11="off",IF(H36="--","--",IF(B36="brawl",(H36+CharacterSheet!$E$55+CharacterSheet!$E$7)/2+CharacterSheet!$G$7,IF(B36="melee",(H36+CharacterSheet!$E$7+CharacterSheet!$M$54)/2+CharacterSheet!$G$7,"--"))),IF(H36="--","--",IF(B36="brawl",(H36+CharacterSheet!$E$55+CharacterSheet!$D$35+IF(CharacterSheet!$D$41="N/A",0,CharacterSheet!$D$41)+CharacterSheet!$E$7)/2+CharacterSheet!$G$7,IF(B36="melee",(H36+CharacterSheet!$E$7+CharacterSheet!$D$35+IF(CharacterSheet!$D$41="N/A",0,CharacterSheet!$D$41)+CharacterSheet!$M$54)/2+CharacterSheet!$G$7,"--"))))</f>
        <v>--</v>
      </c>
      <c r="J36" s="247">
        <v>5</v>
      </c>
      <c r="K36" s="247">
        <v>30</v>
      </c>
      <c r="L36" s="252">
        <v>30</v>
      </c>
      <c r="M36" s="212" t="str">
        <f>IF(Sandbox!D33="","Custom 13",Sandbox!D33)</f>
        <v>Custom 13</v>
      </c>
      <c r="N36" s="154" t="str">
        <f>IF(Sandbox!M33="","",Sandbox!M33)</f>
        <v/>
      </c>
      <c r="O36" s="154" t="str">
        <f>IF(Sandbox!P33="","",Sandbox!P33)</f>
        <v/>
      </c>
      <c r="P36" s="154" t="str">
        <f>IF(Sandbox!R33="","",Sandbox!R33)</f>
        <v/>
      </c>
      <c r="Q36" s="154" t="str">
        <f>IF(Sandbox!T33="","",Sandbox!T33)</f>
        <v/>
      </c>
      <c r="R36" s="162" t="str">
        <f>IF(Sandbox!W33="","",Sandbox!W33)</f>
        <v/>
      </c>
    </row>
    <row r="37" spans="1:18" x14ac:dyDescent="0.25">
      <c r="A37" s="246" t="s">
        <v>703</v>
      </c>
      <c r="B37" s="247" t="s">
        <v>48</v>
      </c>
      <c r="C37" s="247">
        <v>1</v>
      </c>
      <c r="D37" s="247">
        <f>C37+VLOOKUP(B37,$Y$2:$AA$5,2,FALSE)+VLOOKUP(B37,$Y$2:$AA$5,3,FALSE)+IF(AND('House Rules'!$B$10="Potent",VLOOKUP(B37,$Y$2:$AB$5,4,FALSE)="Yes"),1,0)+$Z$7</f>
        <v>2</v>
      </c>
      <c r="E37" s="247">
        <v>2</v>
      </c>
      <c r="F37" s="247">
        <f>E37+IF('House Rules'!$B$12="Off",VLOOKUP(B37,$Y$2:$AA$5,2,FALSE),VLOOKUP(B37,$Y$2:$AA$5,2,FALSE)+VLOOKUP(B37,$Y$2:$AA$5,3,FALSE))+IF(OR(B37="Melee",B37="Brawl"),$Z$6,0)+IF(AND(VLOOKUP(B37,$Y$2:$AB$5,4,FALSE)="Yes",'House Rules'!B45="Potent"),1,0)</f>
        <v>3</v>
      </c>
      <c r="G37" s="247" t="s">
        <v>110</v>
      </c>
      <c r="H37" s="247">
        <v>0</v>
      </c>
      <c r="I37" s="247">
        <f>IF('House Rules'!$B$11="off",IF(H37="--","--",IF(B37="brawl",(H37+CharacterSheet!$E$55+CharacterSheet!$E$7)/2+CharacterSheet!$G$7,IF(B37="melee",(H37+CharacterSheet!$E$7+CharacterSheet!$M$54)/2+CharacterSheet!$G$7,"--"))),IF(H37="--","--",IF(B37="brawl",(H37+CharacterSheet!$E$55+CharacterSheet!$D$35+IF(CharacterSheet!$D$41="N/A",0,CharacterSheet!$D$41)+CharacterSheet!$E$7)/2+CharacterSheet!$G$7,IF(B37="melee",(H37+CharacterSheet!$E$7+CharacterSheet!$D$35+IF(CharacterSheet!$D$41="N/A",0,CharacterSheet!$D$41)+CharacterSheet!$M$54)/2+CharacterSheet!$G$7,"--"))))</f>
        <v>0.5</v>
      </c>
      <c r="J37" s="247">
        <v>4</v>
      </c>
      <c r="K37" s="247" t="s">
        <v>816</v>
      </c>
      <c r="L37" s="252" t="s">
        <v>816</v>
      </c>
      <c r="M37" s="212" t="str">
        <f>IF(Sandbox!D34="","Custom 14",Sandbox!D34)</f>
        <v>Custom 14</v>
      </c>
      <c r="N37" s="154" t="str">
        <f>IF(Sandbox!M34="","",Sandbox!M34)</f>
        <v/>
      </c>
      <c r="O37" s="154" t="str">
        <f>IF(Sandbox!P34="","",Sandbox!P34)</f>
        <v/>
      </c>
      <c r="P37" s="154" t="str">
        <f>IF(Sandbox!R34="","",Sandbox!R34)</f>
        <v/>
      </c>
      <c r="Q37" s="154" t="str">
        <f>IF(Sandbox!T34="","",Sandbox!T34)</f>
        <v/>
      </c>
      <c r="R37" s="162" t="str">
        <f>IF(Sandbox!W34="","",Sandbox!W34)</f>
        <v/>
      </c>
    </row>
    <row r="38" spans="1:18" x14ac:dyDescent="0.25">
      <c r="A38" s="246" t="s">
        <v>804</v>
      </c>
      <c r="B38" s="247" t="s">
        <v>54</v>
      </c>
      <c r="C38" s="247">
        <v>0</v>
      </c>
      <c r="D38" s="247">
        <f>C38+VLOOKUP(B38,$Y$2:$AA$5,2,FALSE)+VLOOKUP(B38,$Y$2:$AA$5,3,FALSE)+IF(AND('House Rules'!$B$10="Potent",VLOOKUP(B38,$Y$2:$AB$5,4,FALSE)="Yes"),1,0)+$Z$7</f>
        <v>1</v>
      </c>
      <c r="E38" s="247">
        <v>15</v>
      </c>
      <c r="F38" s="247">
        <f>E38+IF('House Rules'!$B$12="Off",VLOOKUP(B38,$Y$2:$AA$5,2,FALSE),VLOOKUP(B38,$Y$2:$AA$5,2,FALSE)+VLOOKUP(B38,$Y$2:$AA$5,3,FALSE))+IF(OR(B38="Melee",B38="Brawl"),$Z$6,0)+IF(AND(VLOOKUP(B38,$Y$2:$AB$5,4,FALSE)="Yes",'House Rules'!B46="Potent"),1,0)</f>
        <v>15</v>
      </c>
      <c r="G38" s="247" t="s">
        <v>110</v>
      </c>
      <c r="H38" s="247" t="s">
        <v>816</v>
      </c>
      <c r="I38" s="247" t="str">
        <f>IF('House Rules'!$B$11="off",IF(H38="--","--",IF(B38="brawl",(H38+CharacterSheet!$E$55+CharacterSheet!$E$7)/2+CharacterSheet!$G$7,IF(B38="melee",(H38+CharacterSheet!$E$7+CharacterSheet!$M$54)/2+CharacterSheet!$G$7,"--"))),IF(H38="--","--",IF(B38="brawl",(H38+CharacterSheet!$E$55+CharacterSheet!$D$35+IF(CharacterSheet!$D$41="N/A",0,CharacterSheet!$D$41)+CharacterSheet!$E$7)/2+CharacterSheet!$G$7,IF(B38="melee",(H38+CharacterSheet!$E$7+CharacterSheet!$D$35+IF(CharacterSheet!$D$41="N/A",0,CharacterSheet!$D$41)+CharacterSheet!$M$54)/2+CharacterSheet!$G$7,"--"))))</f>
        <v>--</v>
      </c>
      <c r="J38" s="247">
        <v>5</v>
      </c>
      <c r="K38" s="247">
        <f>IF('Purchased Knacks'!$E$13="Yes",15*LOOKUP(CharacterSheet!$F$6,Reference!$H$2:$H$12,Reference!$J$2:$J$12)*2,15*LOOKUP(CharacterSheet!$F$6,Reference!$H$2:$H$12,Reference!$J$2:$J$12))</f>
        <v>15</v>
      </c>
      <c r="L38" s="252" t="s">
        <v>816</v>
      </c>
      <c r="M38" s="212" t="str">
        <f>IF(Sandbox!D35="","Custom 15",Sandbox!D35)</f>
        <v>Custom 15</v>
      </c>
      <c r="N38" s="154" t="str">
        <f>IF(Sandbox!M35="","",Sandbox!M35)</f>
        <v/>
      </c>
      <c r="O38" s="154" t="str">
        <f>IF(Sandbox!P35="","",Sandbox!P35)</f>
        <v/>
      </c>
      <c r="P38" s="154" t="str">
        <f>IF(Sandbox!R35="","",Sandbox!R35)</f>
        <v/>
      </c>
      <c r="Q38" s="154" t="str">
        <f>IF(Sandbox!T35="","",Sandbox!T35)</f>
        <v/>
      </c>
      <c r="R38" s="162" t="str">
        <f>IF(Sandbox!W35="","",Sandbox!W35)</f>
        <v/>
      </c>
    </row>
    <row r="39" spans="1:18" ht="15.75" thickBot="1" x14ac:dyDescent="0.3">
      <c r="A39" s="246" t="s">
        <v>728</v>
      </c>
      <c r="B39" s="247" t="s">
        <v>815</v>
      </c>
      <c r="C39" s="247">
        <v>1</v>
      </c>
      <c r="D39" s="247">
        <f>C39+VLOOKUP(B39,$Y$2:$AA$5,2,FALSE)+VLOOKUP(B39,$Y$2:$AA$5,3,FALSE)+IF(AND('House Rules'!$B$10="Potent",VLOOKUP(B39,$Y$2:$AB$5,4,FALSE)="Yes"),1,0)+$Z$7</f>
        <v>2</v>
      </c>
      <c r="E39" s="247">
        <v>2</v>
      </c>
      <c r="F39" s="247">
        <f>E39+IF('House Rules'!$B$12="Off",VLOOKUP(B39,$Y$2:$AA$5,2,FALSE),VLOOKUP(B39,$Y$2:$AA$5,2,FALSE)+VLOOKUP(B39,$Y$2:$AA$5,3,FALSE))+IF(OR(B39="Melee",B39="Brawl"),$Z$6,0)+IF(AND(VLOOKUP(B39,$Y$2:$AB$5,4,FALSE)="Yes",'House Rules'!B47="Potent"),1,0)</f>
        <v>2</v>
      </c>
      <c r="G39" s="247" t="s">
        <v>110</v>
      </c>
      <c r="H39" s="247" t="s">
        <v>816</v>
      </c>
      <c r="I39" s="247" t="str">
        <f>IF('House Rules'!$B$11="off",IF(H39="--","--",IF(B39="brawl",(H39+CharacterSheet!$E$55+CharacterSheet!$E$7)/2+CharacterSheet!$G$7,IF(B39="melee",(H39+CharacterSheet!$E$7+CharacterSheet!$M$54)/2+CharacterSheet!$G$7,"--"))),IF(H39="--","--",IF(B39="brawl",(H39+CharacterSheet!$E$55+CharacterSheet!$D$35+IF(CharacterSheet!$D$41="N/A",0,CharacterSheet!$D$41)+CharacterSheet!$E$7)/2+CharacterSheet!$G$7,IF(B39="melee",(H39+CharacterSheet!$E$7+CharacterSheet!$D$35+IF(CharacterSheet!$D$41="N/A",0,CharacterSheet!$D$41)+CharacterSheet!$M$54)/2+CharacterSheet!$G$7,"--"))))</f>
        <v>--</v>
      </c>
      <c r="J39" s="247">
        <v>5</v>
      </c>
      <c r="K39" s="247">
        <v>30</v>
      </c>
      <c r="L39" s="252"/>
      <c r="M39" s="213"/>
      <c r="N39" s="155"/>
      <c r="O39" s="155"/>
      <c r="P39" s="155"/>
      <c r="Q39" s="155"/>
      <c r="R39" s="160"/>
    </row>
    <row r="40" spans="1:18" x14ac:dyDescent="0.25">
      <c r="A40" s="246" t="s">
        <v>836</v>
      </c>
      <c r="B40" s="247" t="s">
        <v>48</v>
      </c>
      <c r="C40" s="247">
        <v>2</v>
      </c>
      <c r="D40" s="247">
        <f>C40+VLOOKUP(B40,$Y$2:$AA$5,2,FALSE)+VLOOKUP(B40,$Y$2:$AA$5,3,FALSE)+IF(AND('House Rules'!$B$10="Potent",VLOOKUP(B40,$Y$2:$AB$5,4,FALSE)="Yes"),1,0)+$Z$7</f>
        <v>3</v>
      </c>
      <c r="E40" s="247">
        <v>3</v>
      </c>
      <c r="F40" s="247">
        <f>E40+IF('House Rules'!$B$12="Off",VLOOKUP(B40,$Y$2:$AA$5,2,FALSE),VLOOKUP(B40,$Y$2:$AA$5,2,FALSE)+VLOOKUP(B40,$Y$2:$AA$5,3,FALSE))+IF(OR(B40="Melee",B40="Brawl"),$Z$6,0)+IF(AND(VLOOKUP(B40,$Y$2:$AB$5,4,FALSE)="Yes",'House Rules'!B48="Potent"),1,0)</f>
        <v>4</v>
      </c>
      <c r="G40" s="247" t="s">
        <v>110</v>
      </c>
      <c r="H40" s="247">
        <v>0</v>
      </c>
      <c r="I40" s="247">
        <f>IF('House Rules'!$B$11="off",IF(H40="--","--",IF(B40="brawl",(H40+CharacterSheet!$E$55+CharacterSheet!$E$7)/2+CharacterSheet!$G$7,IF(B40="melee",(H40+CharacterSheet!$E$7+CharacterSheet!$M$54)/2+CharacterSheet!$G$7,"--"))),IF(H40="--","--",IF(B40="brawl",(H40+CharacterSheet!$E$55+CharacterSheet!$D$35+IF(CharacterSheet!$D$41="N/A",0,CharacterSheet!$D$41)+CharacterSheet!$E$7)/2+CharacterSheet!$G$7,IF(B40="melee",(H40+CharacterSheet!$E$7+CharacterSheet!$D$35+IF(CharacterSheet!$D$41="N/A",0,CharacterSheet!$D$41)+CharacterSheet!$M$54)/2+CharacterSheet!$G$7,"--"))))</f>
        <v>0.5</v>
      </c>
      <c r="J40" s="247">
        <v>4</v>
      </c>
      <c r="K40" s="247" t="s">
        <v>816</v>
      </c>
      <c r="L40" s="252" t="s">
        <v>816</v>
      </c>
    </row>
    <row r="41" spans="1:18" x14ac:dyDescent="0.25">
      <c r="A41" s="246" t="s">
        <v>835</v>
      </c>
      <c r="B41" s="247" t="s">
        <v>54</v>
      </c>
      <c r="C41" s="247">
        <v>2</v>
      </c>
      <c r="D41" s="247">
        <f>C41+VLOOKUP(B41,$Y$2:$AA$5,2,FALSE)+VLOOKUP(B41,$Y$2:$AA$5,3,FALSE)+IF(AND('House Rules'!$B$10="Potent",VLOOKUP(B41,$Y$2:$AB$5,4,FALSE)="Yes"),1,0)+$Z$7</f>
        <v>3</v>
      </c>
      <c r="E41" s="247">
        <v>3</v>
      </c>
      <c r="F41" s="247">
        <f>E41+IF('House Rules'!$B$12="Off",VLOOKUP(B41,$Y$2:$AA$5,2,FALSE),VLOOKUP(B41,$Y$2:$AA$5,2,FALSE)+VLOOKUP(B41,$Y$2:$AA$5,3,FALSE))+IF(OR(B41="Melee",B41="Brawl"),$Z$6,0)+IF(AND(VLOOKUP(B41,$Y$2:$AB$5,4,FALSE)="Yes",'House Rules'!B49="Potent"),1,0)</f>
        <v>3</v>
      </c>
      <c r="G41" s="247" t="s">
        <v>110</v>
      </c>
      <c r="H41" s="16" t="s">
        <v>816</v>
      </c>
      <c r="I41" s="247" t="str">
        <f>IF('House Rules'!$B$11="off",IF(H41="--","--",IF(B41="brawl",(H41+CharacterSheet!$E$55+CharacterSheet!$E$7)/2+CharacterSheet!$G$7,IF(B41="melee",(H41+CharacterSheet!$E$7+CharacterSheet!$M$54)/2+CharacterSheet!$G$7,"--"))),IF(H41="--","--",IF(B41="brawl",(H41+CharacterSheet!$E$55+CharacterSheet!$D$35+IF(CharacterSheet!$D$41="N/A",0,CharacterSheet!$D$41)+CharacterSheet!$E$7)/2+CharacterSheet!$G$7,IF(B41="melee",(H41+CharacterSheet!$E$7+CharacterSheet!$D$35+IF(CharacterSheet!$D$41="N/A",0,CharacterSheet!$D$41)+CharacterSheet!$M$54)/2+CharacterSheet!$G$7,"--"))))</f>
        <v>--</v>
      </c>
      <c r="J41" s="247">
        <v>4</v>
      </c>
      <c r="K41" s="247">
        <f>IF('Purchased Knacks'!$E$13="Yes",10*LOOKUP(CharacterSheet!$F$6,Reference!$H$2:$H$12,Reference!$J$2:$J$12)*2,10*LOOKUP(CharacterSheet!$F$6,Reference!$H$2:$H$12,Reference!$J$2:$J$12))</f>
        <v>10</v>
      </c>
      <c r="L41" s="252" t="s">
        <v>816</v>
      </c>
    </row>
    <row r="42" spans="1:18" x14ac:dyDescent="0.25">
      <c r="A42" s="246" t="s">
        <v>704</v>
      </c>
      <c r="B42" s="247" t="s">
        <v>48</v>
      </c>
      <c r="C42" s="247">
        <v>1</v>
      </c>
      <c r="D42" s="247">
        <f>C42+VLOOKUP(B42,$Y$2:$AA$5,2,FALSE)+VLOOKUP(B42,$Y$2:$AA$5,3,FALSE)+IF(AND('House Rules'!$B$10="Potent",VLOOKUP(B42,$Y$2:$AB$5,4,FALSE)="Yes"),1,0)+$Z$7</f>
        <v>2</v>
      </c>
      <c r="E42" s="247">
        <v>3</v>
      </c>
      <c r="F42" s="247">
        <f>E42+IF('House Rules'!$B$12="Off",VLOOKUP(B42,$Y$2:$AA$5,2,FALSE),VLOOKUP(B42,$Y$2:$AA$5,2,FALSE)+VLOOKUP(B42,$Y$2:$AA$5,3,FALSE))+IF(OR(B42="Melee",B42="Brawl"),$Z$6,0)+IF(AND(VLOOKUP(B42,$Y$2:$AB$5,4,FALSE)="Yes",'House Rules'!B50="Potent"),1,0)</f>
        <v>4</v>
      </c>
      <c r="G42" s="247" t="s">
        <v>110</v>
      </c>
      <c r="H42" s="247">
        <v>0</v>
      </c>
      <c r="I42" s="247">
        <f>IF('House Rules'!$B$11="off",IF(H42="--","--",IF(B42="brawl",(H42+CharacterSheet!$E$55+CharacterSheet!$E$7)/2+CharacterSheet!$G$7,IF(B42="melee",(H42+CharacterSheet!$E$7+CharacterSheet!$M$54)/2+CharacterSheet!$G$7,"--"))),IF(H42="--","--",IF(B42="brawl",(H42+CharacterSheet!$E$55+CharacterSheet!$D$35+IF(CharacterSheet!$D$41="N/A",0,CharacterSheet!$D$41)+CharacterSheet!$E$7)/2+CharacterSheet!$G$7,IF(B42="melee",(H42+CharacterSheet!$E$7+CharacterSheet!$D$35+IF(CharacterSheet!$D$41="N/A",0,CharacterSheet!$D$41)+CharacterSheet!$M$54)/2+CharacterSheet!$G$7,"--"))))</f>
        <v>0.5</v>
      </c>
      <c r="J42" s="247">
        <v>5</v>
      </c>
      <c r="K42" s="247" t="s">
        <v>816</v>
      </c>
      <c r="L42" s="252" t="s">
        <v>816</v>
      </c>
    </row>
    <row r="43" spans="1:18" x14ac:dyDescent="0.25">
      <c r="A43" s="246" t="s">
        <v>865</v>
      </c>
      <c r="B43" s="247" t="s">
        <v>815</v>
      </c>
      <c r="C43" s="247">
        <v>0</v>
      </c>
      <c r="D43" s="247">
        <f>C43+VLOOKUP(B43,$Y$2:$AA$5,2,FALSE)+VLOOKUP(B43,$Y$2:$AA$5,3,FALSE)+IF(AND('House Rules'!$B$10="Potent",VLOOKUP(B43,$Y$2:$AB$5,4,FALSE)="Yes"),1,0)+$Z$7</f>
        <v>1</v>
      </c>
      <c r="E43" s="247">
        <v>3</v>
      </c>
      <c r="F43" s="247">
        <f>E43+IF('House Rules'!$B$12="Off",VLOOKUP(B43,$Y$2:$AA$5,2,FALSE),VLOOKUP(B43,$Y$2:$AA$5,2,FALSE)+VLOOKUP(B43,$Y$2:$AA$5,3,FALSE))+IF(OR(B43="Melee",B43="Brawl"),$Z$6,0)+IF(AND(VLOOKUP(B43,$Y$2:$AB$5,4,FALSE)="Yes",'House Rules'!B51="Potent"),1,0)</f>
        <v>3</v>
      </c>
      <c r="G43" s="247" t="s">
        <v>111</v>
      </c>
      <c r="H43" s="247" t="s">
        <v>816</v>
      </c>
      <c r="I43" s="247" t="str">
        <f>IF('House Rules'!$B$11="off",IF(H43="--","--",IF(B43="brawl",(H43+CharacterSheet!$E$55+CharacterSheet!$E$7)/2+CharacterSheet!$G$7,IF(B43="melee",(H43+CharacterSheet!$E$7+CharacterSheet!$M$54)/2+CharacterSheet!$G$7,"--"))),IF(H43="--","--",IF(B43="brawl",(H43+CharacterSheet!$E$55+CharacterSheet!$D$35+IF(CharacterSheet!$D$41="N/A",0,CharacterSheet!$D$41)+CharacterSheet!$E$7)/2+CharacterSheet!$G$7,IF(B43="melee",(H43+CharacterSheet!$E$7+CharacterSheet!$D$35+IF(CharacterSheet!$D$41="N/A",0,CharacterSheet!$D$41)+CharacterSheet!$M$54)/2+CharacterSheet!$G$7,"--"))))</f>
        <v>--</v>
      </c>
      <c r="J43" s="247">
        <v>6</v>
      </c>
      <c r="K43" s="247">
        <v>400</v>
      </c>
      <c r="L43" s="252" t="s">
        <v>816</v>
      </c>
    </row>
    <row r="44" spans="1:18" x14ac:dyDescent="0.25">
      <c r="A44" s="246" t="s">
        <v>864</v>
      </c>
      <c r="B44" s="247" t="s">
        <v>48</v>
      </c>
      <c r="C44" s="247">
        <v>3</v>
      </c>
      <c r="D44" s="247">
        <f>C44+VLOOKUP(B44,$Y$2:$AA$5,2,FALSE)+VLOOKUP(B44,$Y$2:$AA$5,3,FALSE)+IF(AND('House Rules'!$B$10="Potent",VLOOKUP(B44,$Y$2:$AB$5,4,FALSE)="Yes"),1,0)+$Z$7</f>
        <v>4</v>
      </c>
      <c r="E44" s="247">
        <v>5</v>
      </c>
      <c r="F44" s="247">
        <f>E44+IF('House Rules'!$B$12="Off",VLOOKUP(B44,$Y$2:$AA$5,2,FALSE),VLOOKUP(B44,$Y$2:$AA$5,2,FALSE)+VLOOKUP(B44,$Y$2:$AA$5,3,FALSE))+IF(OR(B44="Melee",B44="Brawl"),$Z$6,0)+IF(AND(VLOOKUP(B44,$Y$2:$AB$5,4,FALSE)="Yes",'House Rules'!B52="Potent"),1,0)</f>
        <v>6</v>
      </c>
      <c r="G44" s="247" t="s">
        <v>110</v>
      </c>
      <c r="H44" s="247">
        <v>6</v>
      </c>
      <c r="I44" s="247">
        <f>IF('House Rules'!$B$11="off",IF(H44="--","--",IF(B44="brawl",(H44+CharacterSheet!$E$55+CharacterSheet!$E$7)/2+CharacterSheet!$G$7,IF(B44="melee",(H44+CharacterSheet!$E$7+CharacterSheet!$M$54)/2+CharacterSheet!$G$7,"--"))),IF(H44="--","--",IF(B44="brawl",(H44+CharacterSheet!$E$55+CharacterSheet!$D$35+IF(CharacterSheet!$D$41="N/A",0,CharacterSheet!$D$41)+CharacterSheet!$E$7)/2+CharacterSheet!$G$7,IF(B44="melee",(H44+CharacterSheet!$E$7+CharacterSheet!$D$35+IF(CharacterSheet!$D$41="N/A",0,CharacterSheet!$D$41)+CharacterSheet!$M$54)/2+CharacterSheet!$G$7,"--"))))</f>
        <v>3.5</v>
      </c>
      <c r="J44" s="247">
        <v>4</v>
      </c>
      <c r="K44" s="247" t="s">
        <v>816</v>
      </c>
      <c r="L44" s="252" t="s">
        <v>816</v>
      </c>
    </row>
    <row r="45" spans="1:18" x14ac:dyDescent="0.25">
      <c r="A45" s="246" t="s">
        <v>851</v>
      </c>
      <c r="B45" s="247" t="s">
        <v>48</v>
      </c>
      <c r="C45" s="247">
        <v>3</v>
      </c>
      <c r="D45" s="247">
        <f>C45+VLOOKUP(B45,$Y$2:$AA$5,2,FALSE)+VLOOKUP(B45,$Y$2:$AA$5,3,FALSE)+IF(AND('House Rules'!$B$10="Potent",VLOOKUP(B45,$Y$2:$AB$5,4,FALSE)="Yes"),1,0)+$Z$7</f>
        <v>4</v>
      </c>
      <c r="E45" s="247">
        <v>4</v>
      </c>
      <c r="F45" s="247">
        <f>E45+IF('House Rules'!$B$12="Off",VLOOKUP(B45,$Y$2:$AA$5,2,FALSE),VLOOKUP(B45,$Y$2:$AA$5,2,FALSE)+VLOOKUP(B45,$Y$2:$AA$5,3,FALSE))+IF(OR(B45="Melee",B45="Brawl"),$Z$6,0)+IF(AND(VLOOKUP(B45,$Y$2:$AB$5,4,FALSE)="Yes",'House Rules'!B53="Potent"),1,0)</f>
        <v>5</v>
      </c>
      <c r="G45" s="247" t="s">
        <v>110</v>
      </c>
      <c r="H45" s="247">
        <v>3</v>
      </c>
      <c r="I45" s="247">
        <f>IF('House Rules'!$B$11="off",IF(H45="--","--",IF(B45="brawl",(H45+CharacterSheet!$E$55+CharacterSheet!$E$7)/2+CharacterSheet!$G$7,IF(B45="melee",(H45+CharacterSheet!$E$7+CharacterSheet!$M$54)/2+CharacterSheet!$G$7,"--"))),IF(H45="--","--",IF(B45="brawl",(H45+CharacterSheet!$E$55+CharacterSheet!$D$35+IF(CharacterSheet!$D$41="N/A",0,CharacterSheet!$D$41)+CharacterSheet!$E$7)/2+CharacterSheet!$G$7,IF(B45="melee",(H45+CharacterSheet!$E$7+CharacterSheet!$D$35+IF(CharacterSheet!$D$41="N/A",0,CharacterSheet!$D$41)+CharacterSheet!$M$54)/2+CharacterSheet!$G$7,"--"))))</f>
        <v>2</v>
      </c>
      <c r="J45" s="247">
        <v>3</v>
      </c>
      <c r="K45" s="247" t="s">
        <v>816</v>
      </c>
      <c r="L45" s="252" t="s">
        <v>816</v>
      </c>
    </row>
    <row r="46" spans="1:18" x14ac:dyDescent="0.25">
      <c r="A46" s="246" t="s">
        <v>871</v>
      </c>
      <c r="B46" s="247" t="s">
        <v>815</v>
      </c>
      <c r="C46" s="247">
        <v>2</v>
      </c>
      <c r="D46" s="247">
        <f>C46+VLOOKUP(B46,$Y$2:$AA$5,2,FALSE)+VLOOKUP(B46,$Y$2:$AA$5,3,FALSE)+IF(AND('House Rules'!$B$10="Potent",VLOOKUP(B46,$Y$2:$AB$5,4,FALSE)="Yes"),1,0)+$Z$7</f>
        <v>3</v>
      </c>
      <c r="E46" s="247">
        <v>5</v>
      </c>
      <c r="F46" s="247">
        <f>E46+IF('House Rules'!$B$12="Off",VLOOKUP(B46,$Y$2:$AA$5,2,FALSE),VLOOKUP(B46,$Y$2:$AA$5,2,FALSE)+VLOOKUP(B46,$Y$2:$AA$5,3,FALSE))+IF(OR(B46="Melee",B46="Brawl"),$Z$6,0)+IF(AND(VLOOKUP(B46,$Y$2:$AB$5,4,FALSE)="Yes",'House Rules'!B54="Potent"),1,0)</f>
        <v>5</v>
      </c>
      <c r="G46" s="247" t="s">
        <v>110</v>
      </c>
      <c r="H46" s="247" t="s">
        <v>816</v>
      </c>
      <c r="I46" s="247" t="str">
        <f>IF('House Rules'!$B$11="off",IF(H46="--","--",IF(B46="brawl",(H46+CharacterSheet!$E$55+CharacterSheet!$E$7)/2+CharacterSheet!$G$7,IF(B46="melee",(H46+CharacterSheet!$E$7+CharacterSheet!$M$54)/2+CharacterSheet!$G$7,"--"))),IF(H46="--","--",IF(B46="brawl",(H46+CharacterSheet!$E$55+CharacterSheet!$D$35+IF(CharacterSheet!$D$41="N/A",0,CharacterSheet!$D$41)+CharacterSheet!$E$7)/2+CharacterSheet!$G$7,IF(B46="melee",(H46+CharacterSheet!$E$7+CharacterSheet!$D$35+IF(CharacterSheet!$D$41="N/A",0,CharacterSheet!$D$41)+CharacterSheet!$M$54)/2+CharacterSheet!$G$7,"--"))))</f>
        <v>--</v>
      </c>
      <c r="J46" s="247">
        <v>5</v>
      </c>
      <c r="K46" s="16">
        <v>400</v>
      </c>
      <c r="L46" s="252" t="s">
        <v>816</v>
      </c>
    </row>
    <row r="47" spans="1:18" x14ac:dyDescent="0.25">
      <c r="A47" s="246" t="s">
        <v>763</v>
      </c>
      <c r="B47" s="247" t="s">
        <v>48</v>
      </c>
      <c r="C47" s="247">
        <v>1</v>
      </c>
      <c r="D47" s="247">
        <f>C47+VLOOKUP(B47,$Y$2:$AA$5,2,FALSE)+VLOOKUP(B47,$Y$2:$AA$5,3,FALSE)+IF(AND('House Rules'!$B$10="Potent",VLOOKUP(B47,$Y$2:$AB$5,4,FALSE)="Yes"),1,0)+$Z$7</f>
        <v>2</v>
      </c>
      <c r="E47" s="247">
        <v>4</v>
      </c>
      <c r="F47" s="247">
        <f>E47+IF('House Rules'!$B$12="Off",VLOOKUP(B47,$Y$2:$AA$5,2,FALSE),VLOOKUP(B47,$Y$2:$AA$5,2,FALSE)+VLOOKUP(B47,$Y$2:$AA$5,3,FALSE))+IF(OR(B47="Melee",B47="Brawl"),$Z$6,0)+IF(AND(VLOOKUP(B47,$Y$2:$AB$5,4,FALSE)="Yes",'House Rules'!B55="Potent"),1,0)</f>
        <v>5</v>
      </c>
      <c r="G47" s="247" t="s">
        <v>110</v>
      </c>
      <c r="H47" s="247">
        <v>-1</v>
      </c>
      <c r="I47" s="247">
        <f>IF('House Rules'!$B$11="off",IF(H47="--","--",IF(B47="brawl",(H47+CharacterSheet!$E$55+CharacterSheet!$E$7)/2+CharacterSheet!$G$7,IF(B47="melee",(H47+CharacterSheet!$E$7+CharacterSheet!$M$54)/2+CharacterSheet!$G$7,"--"))),IF(H47="--","--",IF(B47="brawl",(H47+CharacterSheet!$E$55+CharacterSheet!$D$35+IF(CharacterSheet!$D$41="N/A",0,CharacterSheet!$D$41)+CharacterSheet!$E$7)/2+CharacterSheet!$G$7,IF(B47="melee",(H47+CharacterSheet!$E$7+CharacterSheet!$D$35+IF(CharacterSheet!$D$41="N/A",0,CharacterSheet!$D$41)+CharacterSheet!$M$54)/2+CharacterSheet!$G$7,"--"))))</f>
        <v>0</v>
      </c>
      <c r="J47" s="247">
        <v>4</v>
      </c>
      <c r="K47" s="247" t="s">
        <v>816</v>
      </c>
      <c r="L47" s="252" t="s">
        <v>816</v>
      </c>
    </row>
    <row r="48" spans="1:18" x14ac:dyDescent="0.25">
      <c r="A48" s="246" t="s">
        <v>863</v>
      </c>
      <c r="B48" s="247" t="s">
        <v>48</v>
      </c>
      <c r="C48" s="247">
        <v>2</v>
      </c>
      <c r="D48" s="247">
        <f>C48+VLOOKUP(B48,$Y$2:$AA$5,2,FALSE)+VLOOKUP(B48,$Y$2:$AA$5,3,FALSE)+IF(AND('House Rules'!$B$10="Potent",VLOOKUP(B48,$Y$2:$AB$5,4,FALSE)="Yes"),1,0)+$Z$7</f>
        <v>3</v>
      </c>
      <c r="E48" s="247">
        <v>2</v>
      </c>
      <c r="F48" s="247">
        <f>E48+IF('House Rules'!$B$12="Off",VLOOKUP(B48,$Y$2:$AA$5,2,FALSE),VLOOKUP(B48,$Y$2:$AA$5,2,FALSE)+VLOOKUP(B48,$Y$2:$AA$5,3,FALSE))+IF(OR(B48="Melee",B48="Brawl"),$Z$6,0)+IF(AND(VLOOKUP(B48,$Y$2:$AB$5,4,FALSE)="Yes",'House Rules'!B56="Potent"),1,0)</f>
        <v>3</v>
      </c>
      <c r="G48" s="247" t="s">
        <v>110</v>
      </c>
      <c r="H48" s="247">
        <v>1</v>
      </c>
      <c r="I48" s="247">
        <f>IF('House Rules'!$B$11="off",IF(H48="--","--",IF(B48="brawl",(H48+CharacterSheet!$E$55+CharacterSheet!$E$7)/2+CharacterSheet!$G$7,IF(B48="melee",(H48+CharacterSheet!$E$7+CharacterSheet!$M$54)/2+CharacterSheet!$G$7,"--"))),IF(H48="--","--",IF(B48="brawl",(H48+CharacterSheet!$E$55+CharacterSheet!$D$35+IF(CharacterSheet!$D$41="N/A",0,CharacterSheet!$D$41)+CharacterSheet!$E$7)/2+CharacterSheet!$G$7,IF(B48="melee",(H48+CharacterSheet!$E$7+CharacterSheet!$D$35+IF(CharacterSheet!$D$41="N/A",0,CharacterSheet!$D$41)+CharacterSheet!$M$54)/2+CharacterSheet!$G$7,"--"))))</f>
        <v>1</v>
      </c>
      <c r="J48" s="247">
        <v>4</v>
      </c>
      <c r="K48" s="247" t="s">
        <v>816</v>
      </c>
      <c r="L48" s="252" t="s">
        <v>816</v>
      </c>
    </row>
    <row r="49" spans="1:13" x14ac:dyDescent="0.25">
      <c r="A49" s="246" t="s">
        <v>861</v>
      </c>
      <c r="B49" s="247" t="s">
        <v>48</v>
      </c>
      <c r="C49" s="247">
        <v>3</v>
      </c>
      <c r="D49" s="247">
        <f>C49+VLOOKUP(B49,$Y$2:$AA$5,2,FALSE)+VLOOKUP(B49,$Y$2:$AA$5,3,FALSE)+IF(AND('House Rules'!$B$10="Potent",VLOOKUP(B49,$Y$2:$AB$5,4,FALSE)="Yes"),1,0)+$Z$7</f>
        <v>4</v>
      </c>
      <c r="E49" s="247">
        <v>4</v>
      </c>
      <c r="F49" s="247">
        <f>E49+IF('House Rules'!$B$12="Off",VLOOKUP(B49,$Y$2:$AA$5,2,FALSE),VLOOKUP(B49,$Y$2:$AA$5,2,FALSE)+VLOOKUP(B49,$Y$2:$AA$5,3,FALSE))+IF(OR(B49="Melee",B49="Brawl"),$Z$6,0)+IF(AND(VLOOKUP(B49,$Y$2:$AB$5,4,FALSE)="Yes",'House Rules'!B57="Potent"),1,0)</f>
        <v>5</v>
      </c>
      <c r="G49" s="247" t="s">
        <v>110</v>
      </c>
      <c r="H49" s="247">
        <v>1</v>
      </c>
      <c r="I49" s="247">
        <f>IF('House Rules'!$B$11="off",IF(H49="--","--",IF(B49="brawl",(H49+CharacterSheet!$E$55+CharacterSheet!$E$7)/2+CharacterSheet!$G$7,IF(B49="melee",(H49+CharacterSheet!$E$7+CharacterSheet!$M$54)/2+CharacterSheet!$G$7,"--"))),IF(H49="--","--",IF(B49="brawl",(H49+CharacterSheet!$E$55+CharacterSheet!$D$35+IF(CharacterSheet!$D$41="N/A",0,CharacterSheet!$D$41)+CharacterSheet!$E$7)/2+CharacterSheet!$G$7,IF(B49="melee",(H49+CharacterSheet!$E$7+CharacterSheet!$D$35+IF(CharacterSheet!$D$41="N/A",0,CharacterSheet!$D$41)+CharacterSheet!$M$54)/2+CharacterSheet!$G$7,"--"))))</f>
        <v>1</v>
      </c>
      <c r="J49" s="247">
        <v>3</v>
      </c>
      <c r="K49" s="247" t="s">
        <v>816</v>
      </c>
      <c r="L49" s="252" t="s">
        <v>816</v>
      </c>
    </row>
    <row r="50" spans="1:13" x14ac:dyDescent="0.25">
      <c r="A50" s="246" t="s">
        <v>705</v>
      </c>
      <c r="B50" s="247" t="s">
        <v>48</v>
      </c>
      <c r="C50" s="247">
        <v>0</v>
      </c>
      <c r="D50" s="247">
        <f>C50+VLOOKUP(B50,$Y$2:$AA$5,2,FALSE)+VLOOKUP(B50,$Y$2:$AA$5,3,FALSE)+IF(AND('House Rules'!$B$10="Potent",VLOOKUP(B50,$Y$2:$AB$5,4,FALSE)="Yes"),1,0)+$Z$7</f>
        <v>1</v>
      </c>
      <c r="E50" s="247">
        <v>2</v>
      </c>
      <c r="F50" s="247">
        <f>E50+IF('House Rules'!$B$12="Off",VLOOKUP(B50,$Y$2:$AA$5,2,FALSE),VLOOKUP(B50,$Y$2:$AA$5,2,FALSE)+VLOOKUP(B50,$Y$2:$AA$5,3,FALSE))+IF(OR(B50="Melee",B50="Brawl"),$Z$6,0)+IF(AND(VLOOKUP(B50,$Y$2:$AB$5,4,FALSE)="Yes",'House Rules'!B58="Potent"),1,0)</f>
        <v>3</v>
      </c>
      <c r="G50" s="247" t="s">
        <v>110</v>
      </c>
      <c r="H50" s="247">
        <v>1</v>
      </c>
      <c r="I50" s="247">
        <f>IF('House Rules'!$B$11="off",IF(H50="--","--",IF(B50="brawl",(H50+CharacterSheet!$E$55+CharacterSheet!$E$7)/2+CharacterSheet!$G$7,IF(B50="melee",(H50+CharacterSheet!$E$7+CharacterSheet!$M$54)/2+CharacterSheet!$G$7,"--"))),IF(H50="--","--",IF(B50="brawl",(H50+CharacterSheet!$E$55+CharacterSheet!$D$35+IF(CharacterSheet!$D$41="N/A",0,CharacterSheet!$D$41)+CharacterSheet!$E$7)/2+CharacterSheet!$G$7,IF(B50="melee",(H50+CharacterSheet!$E$7+CharacterSheet!$D$35+IF(CharacterSheet!$D$41="N/A",0,CharacterSheet!$D$41)+CharacterSheet!$M$54)/2+CharacterSheet!$G$7,"--"))))</f>
        <v>1</v>
      </c>
      <c r="J50" s="247">
        <v>4</v>
      </c>
      <c r="K50" s="247" t="s">
        <v>816</v>
      </c>
      <c r="L50" s="252" t="s">
        <v>816</v>
      </c>
    </row>
    <row r="51" spans="1:13" x14ac:dyDescent="0.25">
      <c r="A51" s="246" t="s">
        <v>706</v>
      </c>
      <c r="B51" s="247" t="s">
        <v>48</v>
      </c>
      <c r="C51" s="247">
        <v>1</v>
      </c>
      <c r="D51" s="247">
        <f>C51+VLOOKUP(B51,$Y$2:$AA$5,2,FALSE)+VLOOKUP(B51,$Y$2:$AA$5,3,FALSE)+IF(AND('House Rules'!$B$10="Potent",VLOOKUP(B51,$Y$2:$AB$5,4,FALSE)="Yes"),1,0)+$Z$7</f>
        <v>2</v>
      </c>
      <c r="E51" s="247">
        <v>5</v>
      </c>
      <c r="F51" s="247">
        <f>E51+IF('House Rules'!$B$12="Off",VLOOKUP(B51,$Y$2:$AA$5,2,FALSE),VLOOKUP(B51,$Y$2:$AA$5,2,FALSE)+VLOOKUP(B51,$Y$2:$AA$5,3,FALSE))+IF(OR(B51="Melee",B51="Brawl"),$Z$6,0)+IF(AND(VLOOKUP(B51,$Y$2:$AB$5,4,FALSE)="Yes",'House Rules'!B59="Potent"),1,0)</f>
        <v>6</v>
      </c>
      <c r="G51" s="247" t="s">
        <v>110</v>
      </c>
      <c r="H51" s="247">
        <v>1</v>
      </c>
      <c r="I51" s="247">
        <f>IF('House Rules'!$B$11="off",IF(H51="--","--",IF(B51="brawl",(H51+CharacterSheet!$E$55+CharacterSheet!$E$7)/2+CharacterSheet!$G$7,IF(B51="melee",(H51+CharacterSheet!$E$7+CharacterSheet!$M$54)/2+CharacterSheet!$G$7,"--"))),IF(H51="--","--",IF(B51="brawl",(H51+CharacterSheet!$E$55+CharacterSheet!$D$35+IF(CharacterSheet!$D$41="N/A",0,CharacterSheet!$D$41)+CharacterSheet!$E$7)/2+CharacterSheet!$G$7,IF(B51="melee",(H51+CharacterSheet!$E$7+CharacterSheet!$D$35+IF(CharacterSheet!$D$41="N/A",0,CharacterSheet!$D$41)+CharacterSheet!$M$54)/2+CharacterSheet!$G$7,"--"))))</f>
        <v>1</v>
      </c>
      <c r="J51" s="247">
        <v>5</v>
      </c>
      <c r="K51" s="247" t="s">
        <v>816</v>
      </c>
      <c r="L51" s="252" t="s">
        <v>816</v>
      </c>
    </row>
    <row r="52" spans="1:13" x14ac:dyDescent="0.25">
      <c r="A52" s="246" t="s">
        <v>707</v>
      </c>
      <c r="B52" s="247" t="s">
        <v>48</v>
      </c>
      <c r="C52" s="247">
        <v>0</v>
      </c>
      <c r="D52" s="247">
        <f>C52+VLOOKUP(B52,$Y$2:$AA$5,2,FALSE)+VLOOKUP(B52,$Y$2:$AA$5,3,FALSE)+IF(AND('House Rules'!$B$10="Potent",VLOOKUP(B52,$Y$2:$AB$5,4,FALSE)="Yes"),1,0)+$Z$7</f>
        <v>1</v>
      </c>
      <c r="E52" s="247">
        <v>4</v>
      </c>
      <c r="F52" s="247">
        <f>E52+IF('House Rules'!$B$12="Off",VLOOKUP(B52,$Y$2:$AA$5,2,FALSE),VLOOKUP(B52,$Y$2:$AA$5,2,FALSE)+VLOOKUP(B52,$Y$2:$AA$5,3,FALSE))+IF(OR(B52="Melee",B52="Brawl"),$Z$6,0)+IF(AND(VLOOKUP(B52,$Y$2:$AB$5,4,FALSE)="Yes",'House Rules'!B60="Potent"),1,0)</f>
        <v>5</v>
      </c>
      <c r="G52" s="247" t="s">
        <v>110</v>
      </c>
      <c r="H52" s="247">
        <v>2</v>
      </c>
      <c r="I52" s="247">
        <f>IF('House Rules'!$B$11="off",IF(H52="--","--",IF(B52="brawl",(H52+CharacterSheet!$E$55+CharacterSheet!$E$7)/2+CharacterSheet!$G$7,IF(B52="melee",(H52+CharacterSheet!$E$7+CharacterSheet!$M$54)/2+CharacterSheet!$G$7,"--"))),IF(H52="--","--",IF(B52="brawl",(H52+CharacterSheet!$E$55+CharacterSheet!$D$35+IF(CharacterSheet!$D$41="N/A",0,CharacterSheet!$D$41)+CharacterSheet!$E$7)/2+CharacterSheet!$G$7,IF(B52="melee",(H52+CharacterSheet!$E$7+CharacterSheet!$D$35+IF(CharacterSheet!$D$41="N/A",0,CharacterSheet!$D$41)+CharacterSheet!$M$54)/2+CharacterSheet!$G$7,"--"))))</f>
        <v>1.5</v>
      </c>
      <c r="J52" s="247">
        <v>5</v>
      </c>
      <c r="K52" s="247" t="s">
        <v>816</v>
      </c>
      <c r="L52" s="252" t="s">
        <v>816</v>
      </c>
    </row>
    <row r="53" spans="1:13" x14ac:dyDescent="0.25">
      <c r="A53" s="246" t="s">
        <v>833</v>
      </c>
      <c r="B53" s="247" t="s">
        <v>48</v>
      </c>
      <c r="C53" s="247">
        <v>5</v>
      </c>
      <c r="D53" s="247">
        <f>C53+VLOOKUP(B53,$Y$2:$AA$5,2,FALSE)+VLOOKUP(B53,$Y$2:$AA$5,3,FALSE)+IF(AND('House Rules'!$B$10="Potent",VLOOKUP(B53,$Y$2:$AB$5,4,FALSE)="Yes"),1,0)+$Z$7</f>
        <v>6</v>
      </c>
      <c r="E53" s="247">
        <v>9</v>
      </c>
      <c r="F53" s="247">
        <f>E53+IF('House Rules'!$B$12="Off",VLOOKUP(B53,$Y$2:$AA$5,2,FALSE),VLOOKUP(B53,$Y$2:$AA$5,2,FALSE)+VLOOKUP(B53,$Y$2:$AA$5,3,FALSE))+IF(OR(B53="Melee",B53="Brawl"),$Z$6,0)+IF(AND(VLOOKUP(B53,$Y$2:$AB$5,4,FALSE)="Yes",'House Rules'!B61="Potent"),1,0)</f>
        <v>10</v>
      </c>
      <c r="G53" s="247" t="s">
        <v>110</v>
      </c>
      <c r="H53" s="247">
        <v>5</v>
      </c>
      <c r="I53" s="247">
        <f>IF('House Rules'!$B$11="off",IF(H53="--","--",IF(B53="brawl",(H53+CharacterSheet!$E$55+CharacterSheet!$E$7)/2+CharacterSheet!$G$7,IF(B53="melee",(H53+CharacterSheet!$E$7+CharacterSheet!$M$54)/2+CharacterSheet!$G$7,"--"))),IF(H53="--","--",IF(B53="brawl",(H53+CharacterSheet!$E$55+CharacterSheet!$D$35+IF(CharacterSheet!$D$41="N/A",0,CharacterSheet!$D$41)+CharacterSheet!$E$7)/2+CharacterSheet!$G$7,IF(B53="melee",(H53+CharacterSheet!$E$7+CharacterSheet!$D$35+IF(CharacterSheet!$D$41="N/A",0,CharacterSheet!$D$41)+CharacterSheet!$M$54)/2+CharacterSheet!$G$7,"--"))))</f>
        <v>3</v>
      </c>
      <c r="J53" s="247">
        <v>5</v>
      </c>
      <c r="K53" s="247" t="s">
        <v>816</v>
      </c>
      <c r="L53" s="252" t="s">
        <v>816</v>
      </c>
    </row>
    <row r="54" spans="1:13" x14ac:dyDescent="0.25">
      <c r="A54" s="246" t="s">
        <v>708</v>
      </c>
      <c r="B54" s="247" t="s">
        <v>48</v>
      </c>
      <c r="C54" s="247">
        <v>-1</v>
      </c>
      <c r="D54" s="247">
        <f>C54+VLOOKUP(B54,$Y$2:$AA$5,2,FALSE)+VLOOKUP(B54,$Y$2:$AA$5,3,FALSE)+IF(AND('House Rules'!$B$10="Potent",VLOOKUP(B54,$Y$2:$AB$5,4,FALSE)="Yes"),1,0)+$Z$7</f>
        <v>0</v>
      </c>
      <c r="E54" s="247">
        <v>5</v>
      </c>
      <c r="F54" s="247">
        <f>E54+IF('House Rules'!$B$12="Off",VLOOKUP(B54,$Y$2:$AA$5,2,FALSE),VLOOKUP(B54,$Y$2:$AA$5,2,FALSE)+VLOOKUP(B54,$Y$2:$AA$5,3,FALSE))+IF(OR(B54="Melee",B54="Brawl"),$Z$6,0)+IF(AND(VLOOKUP(B54,$Y$2:$AB$5,4,FALSE)="Yes",'House Rules'!B62="Potent"),1,0)</f>
        <v>6</v>
      </c>
      <c r="G54" s="247" t="s">
        <v>110</v>
      </c>
      <c r="H54" s="247">
        <v>-2</v>
      </c>
      <c r="I54" s="247">
        <f>IF('House Rules'!$B$11="off",IF(H54="--","--",IF(B54="brawl",(H54+CharacterSheet!$E$55+CharacterSheet!$E$7)/2+CharacterSheet!$G$7,IF(B54="melee",(H54+CharacterSheet!$E$7+CharacterSheet!$M$54)/2+CharacterSheet!$G$7,"--"))),IF(H54="--","--",IF(B54="brawl",(H54+CharacterSheet!$E$55+CharacterSheet!$D$35+IF(CharacterSheet!$D$41="N/A",0,CharacterSheet!$D$41)+CharacterSheet!$E$7)/2+CharacterSheet!$G$7,IF(B54="melee",(H54+CharacterSheet!$E$7+CharacterSheet!$D$35+IF(CharacterSheet!$D$41="N/A",0,CharacterSheet!$D$41)+CharacterSheet!$M$54)/2+CharacterSheet!$G$7,"--"))))</f>
        <v>-0.5</v>
      </c>
      <c r="J54" s="247">
        <v>6</v>
      </c>
      <c r="K54" s="247" t="s">
        <v>816</v>
      </c>
      <c r="L54" s="252" t="s">
        <v>816</v>
      </c>
    </row>
    <row r="55" spans="1:13" x14ac:dyDescent="0.25">
      <c r="A55" s="246" t="s">
        <v>709</v>
      </c>
      <c r="B55" s="247" t="s">
        <v>48</v>
      </c>
      <c r="C55" s="247">
        <v>1</v>
      </c>
      <c r="D55" s="247">
        <f>C55+VLOOKUP(B55,$Y$2:$AA$5,2,FALSE)+VLOOKUP(B55,$Y$2:$AA$5,3,FALSE)+IF(AND('House Rules'!$B$10="Potent",VLOOKUP(B55,$Y$2:$AB$5,4,FALSE)="Yes"),1,0)+$Z$7</f>
        <v>2</v>
      </c>
      <c r="E55" s="247">
        <v>8</v>
      </c>
      <c r="F55" s="247">
        <f>E55+IF('House Rules'!$B$12="Off",VLOOKUP(B55,$Y$2:$AA$5,2,FALSE),VLOOKUP(B55,$Y$2:$AA$5,2,FALSE)+VLOOKUP(B55,$Y$2:$AA$5,3,FALSE))+IF(OR(B55="Melee",B55="Brawl"),$Z$6,0)+IF(AND(VLOOKUP(B55,$Y$2:$AB$5,4,FALSE)="Yes",'House Rules'!B63="Potent"),1,0)</f>
        <v>9</v>
      </c>
      <c r="G55" s="247" t="s">
        <v>110</v>
      </c>
      <c r="H55" s="247">
        <v>0</v>
      </c>
      <c r="I55" s="247">
        <f>IF('House Rules'!$B$11="off",IF(H55="--","--",IF(B55="brawl",(H55+CharacterSheet!$E$55+CharacterSheet!$E$7)/2+CharacterSheet!$G$7,IF(B55="melee",(H55+CharacterSheet!$E$7+CharacterSheet!$M$54)/2+CharacterSheet!$G$7,"--"))),IF(H55="--","--",IF(B55="brawl",(H55+CharacterSheet!$E$55+CharacterSheet!$D$35+IF(CharacterSheet!$D$41="N/A",0,CharacterSheet!$D$41)+CharacterSheet!$E$7)/2+CharacterSheet!$G$7,IF(B55="melee",(H55+CharacterSheet!$E$7+CharacterSheet!$D$35+IF(CharacterSheet!$D$41="N/A",0,CharacterSheet!$D$41)+CharacterSheet!$M$54)/2+CharacterSheet!$G$7,"--"))))</f>
        <v>0.5</v>
      </c>
      <c r="J55" s="247">
        <v>6</v>
      </c>
      <c r="K55" s="247" t="s">
        <v>816</v>
      </c>
      <c r="L55" s="252" t="s">
        <v>816</v>
      </c>
      <c r="M55" s="198"/>
    </row>
    <row r="56" spans="1:13" x14ac:dyDescent="0.25">
      <c r="A56" s="246" t="s">
        <v>788</v>
      </c>
      <c r="B56" s="247" t="s">
        <v>815</v>
      </c>
      <c r="C56" s="247">
        <v>3</v>
      </c>
      <c r="D56" s="247">
        <f>C56+VLOOKUP(B56,$Y$2:$AA$5,2,FALSE)+VLOOKUP(B56,$Y$2:$AA$5,3,FALSE)+IF(AND('House Rules'!$B$10="Potent",VLOOKUP(B56,$Y$2:$AB$5,4,FALSE)="Yes"),1,0)+$Z$7</f>
        <v>4</v>
      </c>
      <c r="E56" s="247">
        <v>7</v>
      </c>
      <c r="F56" s="247">
        <f>E56+IF('House Rules'!$B$12="Off",VLOOKUP(B56,$Y$2:$AA$5,2,FALSE),VLOOKUP(B56,$Y$2:$AA$5,2,FALSE)+VLOOKUP(B56,$Y$2:$AA$5,3,FALSE))+IF(OR(B56="Melee",B56="Brawl"),$Z$6,0)+IF(AND(VLOOKUP(B56,$Y$2:$AB$5,4,FALSE)="Yes",'House Rules'!B64="Potent"),1,0)</f>
        <v>7</v>
      </c>
      <c r="G56" s="247" t="s">
        <v>110</v>
      </c>
      <c r="H56" s="247" t="s">
        <v>816</v>
      </c>
      <c r="I56" s="247" t="str">
        <f>IF('House Rules'!$B$11="off",IF(H56="--","--",IF(B56="brawl",(H56+CharacterSheet!$E$55+CharacterSheet!$E$7)/2+CharacterSheet!$G$7,IF(B56="melee",(H56+CharacterSheet!$E$7+CharacterSheet!$M$54)/2+CharacterSheet!$G$7,"--"))),IF(H56="--","--",IF(B56="brawl",(H56+CharacterSheet!$E$55+CharacterSheet!$D$35+IF(CharacterSheet!$D$41="N/A",0,CharacterSheet!$D$41)+CharacterSheet!$E$7)/2+CharacterSheet!$G$7,IF(B56="melee",(H56+CharacterSheet!$E$7+CharacterSheet!$D$35+IF(CharacterSheet!$D$41="N/A",0,CharacterSheet!$D$41)+CharacterSheet!$M$54)/2+CharacterSheet!$G$7,"--"))))</f>
        <v>--</v>
      </c>
      <c r="J56" s="247">
        <v>6</v>
      </c>
      <c r="K56" s="247">
        <v>200</v>
      </c>
      <c r="L56" s="252">
        <v>10</v>
      </c>
    </row>
    <row r="57" spans="1:13" x14ac:dyDescent="0.25">
      <c r="A57" s="246" t="s">
        <v>853</v>
      </c>
      <c r="B57" s="247" t="s">
        <v>48</v>
      </c>
      <c r="C57" s="247">
        <v>3</v>
      </c>
      <c r="D57" s="247">
        <f>C57+VLOOKUP(B57,$Y$2:$AA$5,2,FALSE)+VLOOKUP(B57,$Y$2:$AA$5,3,FALSE)+IF(AND('House Rules'!$B$10="Potent",VLOOKUP(B57,$Y$2:$AB$5,4,FALSE)="Yes"),1,0)+$Z$7</f>
        <v>4</v>
      </c>
      <c r="E57" s="247">
        <v>4</v>
      </c>
      <c r="F57" s="247">
        <f>E57+IF('House Rules'!$B$12="Off",VLOOKUP(B57,$Y$2:$AA$5,2,FALSE),VLOOKUP(B57,$Y$2:$AA$5,2,FALSE)+VLOOKUP(B57,$Y$2:$AA$5,3,FALSE))+IF(OR(B57="Melee",B57="Brawl"),$Z$6,0)+IF(AND(VLOOKUP(B57,$Y$2:$AB$5,4,FALSE)="Yes",'House Rules'!B65="Potent"),1,0)</f>
        <v>5</v>
      </c>
      <c r="G57" s="247" t="s">
        <v>110</v>
      </c>
      <c r="H57" s="247">
        <v>2</v>
      </c>
      <c r="I57" s="247">
        <f>IF('House Rules'!$B$11="off",IF(H57="--","--",IF(B57="brawl",(H57+CharacterSheet!$E$55+CharacterSheet!$E$7)/2+CharacterSheet!$G$7,IF(B57="melee",(H57+CharacterSheet!$E$7+CharacterSheet!$M$54)/2+CharacterSheet!$G$7,"--"))),IF(H57="--","--",IF(B57="brawl",(H57+CharacterSheet!$E$55+CharacterSheet!$D$35+IF(CharacterSheet!$D$41="N/A",0,CharacterSheet!$D$41)+CharacterSheet!$E$7)/2+CharacterSheet!$G$7,IF(B57="melee",(H57+CharacterSheet!$E$7+CharacterSheet!$D$35+IF(CharacterSheet!$D$41="N/A",0,CharacterSheet!$D$41)+CharacterSheet!$M$54)/2+CharacterSheet!$G$7,"--"))))</f>
        <v>1.5</v>
      </c>
      <c r="J57" s="247">
        <v>3</v>
      </c>
      <c r="K57" s="247" t="s">
        <v>816</v>
      </c>
      <c r="L57" s="252" t="s">
        <v>816</v>
      </c>
    </row>
    <row r="58" spans="1:13" x14ac:dyDescent="0.25">
      <c r="A58" s="246" t="s">
        <v>787</v>
      </c>
      <c r="B58" s="247" t="s">
        <v>815</v>
      </c>
      <c r="C58" s="247">
        <v>3</v>
      </c>
      <c r="D58" s="247">
        <f>C58+VLOOKUP(B58,$Y$2:$AA$5,2,FALSE)+VLOOKUP(B58,$Y$2:$AA$5,3,FALSE)+IF(AND('House Rules'!$B$10="Potent",VLOOKUP(B58,$Y$2:$AB$5,4,FALSE)="Yes"),1,0)+$Z$7</f>
        <v>4</v>
      </c>
      <c r="E58" s="247">
        <v>3</v>
      </c>
      <c r="F58" s="247">
        <f>E58+IF('House Rules'!$B$12="Off",VLOOKUP(B58,$Y$2:$AA$5,2,FALSE),VLOOKUP(B58,$Y$2:$AA$5,2,FALSE)+VLOOKUP(B58,$Y$2:$AA$5,3,FALSE))+IF(OR(B58="Melee",B58="Brawl"),$Z$6,0)+IF(AND(VLOOKUP(B58,$Y$2:$AB$5,4,FALSE)="Yes",'House Rules'!B66="Potent"),1,0)</f>
        <v>3</v>
      </c>
      <c r="G58" s="247" t="s">
        <v>110</v>
      </c>
      <c r="H58" s="247" t="s">
        <v>816</v>
      </c>
      <c r="I58" s="247" t="str">
        <f>IF('House Rules'!$B$11="off",IF(H58="--","--",IF(B58="brawl",(H58+CharacterSheet!$E$55+CharacterSheet!$E$7)/2+CharacterSheet!$G$7,IF(B58="melee",(H58+CharacterSheet!$E$7+CharacterSheet!$M$54)/2+CharacterSheet!$G$7,"--"))),IF(H58="--","--",IF(B58="brawl",(H58+CharacterSheet!$E$55+CharacterSheet!$D$35+IF(CharacterSheet!$D$41="N/A",0,CharacterSheet!$D$41)+CharacterSheet!$E$7)/2+CharacterSheet!$G$7,IF(B58="melee",(H58+CharacterSheet!$E$7+CharacterSheet!$D$35+IF(CharacterSheet!$D$41="N/A",0,CharacterSheet!$D$41)+CharacterSheet!$M$54)/2+CharacterSheet!$G$7,"--"))))</f>
        <v>--</v>
      </c>
      <c r="J58" s="247">
        <v>4</v>
      </c>
      <c r="K58" s="247">
        <v>20</v>
      </c>
      <c r="L58" s="252">
        <v>8</v>
      </c>
    </row>
    <row r="59" spans="1:13" x14ac:dyDescent="0.25">
      <c r="A59" s="246" t="s">
        <v>789</v>
      </c>
      <c r="B59" s="247" t="s">
        <v>815</v>
      </c>
      <c r="C59" s="247">
        <v>3</v>
      </c>
      <c r="D59" s="247">
        <f>C59+VLOOKUP(B59,$Y$2:$AA$5,2,FALSE)+VLOOKUP(B59,$Y$2:$AA$5,3,FALSE)+IF(AND('House Rules'!$B$10="Potent",VLOOKUP(B59,$Y$2:$AB$5,4,FALSE)="Yes"),1,0)+$Z$7</f>
        <v>4</v>
      </c>
      <c r="E59" s="247">
        <v>7</v>
      </c>
      <c r="F59" s="247">
        <f>E59+IF('House Rules'!$B$12="Off",VLOOKUP(B59,$Y$2:$AA$5,2,FALSE),VLOOKUP(B59,$Y$2:$AA$5,2,FALSE)+VLOOKUP(B59,$Y$2:$AA$5,3,FALSE))+IF(OR(B59="Melee",B59="Brawl"),$Z$6,0)+IF(AND(VLOOKUP(B59,$Y$2:$AB$5,4,FALSE)="Yes",'House Rules'!B67="Potent"),1,0)</f>
        <v>7</v>
      </c>
      <c r="G59" s="247" t="s">
        <v>110</v>
      </c>
      <c r="H59" s="247" t="s">
        <v>816</v>
      </c>
      <c r="I59" s="247" t="str">
        <f>IF('House Rules'!$B$11="off",IF(H59="--","--",IF(B59="brawl",(H59+CharacterSheet!$E$55+CharacterSheet!$E$7)/2+CharacterSheet!$G$7,IF(B59="melee",(H59+CharacterSheet!$E$7+CharacterSheet!$M$54)/2+CharacterSheet!$G$7,"--"))),IF(H59="--","--",IF(B59="brawl",(H59+CharacterSheet!$E$55+CharacterSheet!$D$35+IF(CharacterSheet!$D$41="N/A",0,CharacterSheet!$D$41)+CharacterSheet!$E$7)/2+CharacterSheet!$G$7,IF(B59="melee",(H59+CharacterSheet!$E$7+CharacterSheet!$D$35+IF(CharacterSheet!$D$41="N/A",0,CharacterSheet!$D$41)+CharacterSheet!$M$54)/2+CharacterSheet!$G$7,"--"))))</f>
        <v>--</v>
      </c>
      <c r="J59" s="247">
        <v>5</v>
      </c>
      <c r="K59" s="247">
        <v>150</v>
      </c>
      <c r="L59" s="252">
        <v>8</v>
      </c>
    </row>
    <row r="60" spans="1:13" x14ac:dyDescent="0.25">
      <c r="A60" s="246" t="s">
        <v>738</v>
      </c>
      <c r="B60" s="247" t="s">
        <v>815</v>
      </c>
      <c r="C60" s="247">
        <v>0</v>
      </c>
      <c r="D60" s="247">
        <f>C60+VLOOKUP(B60,$Y$2:$AA$5,2,FALSE)+VLOOKUP(B60,$Y$2:$AA$5,3,FALSE)+IF(AND('House Rules'!$B$10="Potent",VLOOKUP(B60,$Y$2:$AB$5,4,FALSE)="Yes"),1,0)+$Z$7</f>
        <v>1</v>
      </c>
      <c r="E60" s="247">
        <v>5</v>
      </c>
      <c r="F60" s="247">
        <f>E60+IF('House Rules'!$B$12="Off",VLOOKUP(B60,$Y$2:$AA$5,2,FALSE),VLOOKUP(B60,$Y$2:$AA$5,2,FALSE)+VLOOKUP(B60,$Y$2:$AA$5,3,FALSE))+IF(OR(B60="Melee",B60="Brawl"),$Z$6,0)+IF(AND(VLOOKUP(B60,$Y$2:$AB$5,4,FALSE)="Yes",'House Rules'!B68="Potent"),1,0)</f>
        <v>5</v>
      </c>
      <c r="G60" s="247" t="s">
        <v>110</v>
      </c>
      <c r="H60" s="247" t="s">
        <v>816</v>
      </c>
      <c r="I60" s="247" t="str">
        <f>IF('House Rules'!$B$11="off",IF(H60="--","--",IF(B60="brawl",(H60+CharacterSheet!$E$55+CharacterSheet!$E$7)/2+CharacterSheet!$G$7,IF(B60="melee",(H60+CharacterSheet!$E$7+CharacterSheet!$M$54)/2+CharacterSheet!$G$7,"--"))),IF(H60="--","--",IF(B60="brawl",(H60+CharacterSheet!$E$55+CharacterSheet!$D$35+IF(CharacterSheet!$D$41="N/A",0,CharacterSheet!$D$41)+CharacterSheet!$E$7)/2+CharacterSheet!$G$7,IF(B60="melee",(H60+CharacterSheet!$E$7+CharacterSheet!$D$35+IF(CharacterSheet!$D$41="N/A",0,CharacterSheet!$D$41)+CharacterSheet!$M$54)/2+CharacterSheet!$G$7,"--"))))</f>
        <v>--</v>
      </c>
      <c r="J60" s="247">
        <v>5</v>
      </c>
      <c r="K60" s="247">
        <v>150</v>
      </c>
      <c r="L60" s="252">
        <v>30</v>
      </c>
    </row>
    <row r="61" spans="1:13" x14ac:dyDescent="0.25">
      <c r="A61" s="246" t="s">
        <v>710</v>
      </c>
      <c r="B61" s="247" t="s">
        <v>48</v>
      </c>
      <c r="C61" s="247">
        <v>1</v>
      </c>
      <c r="D61" s="247">
        <f>C61+VLOOKUP(B61,$Y$2:$AA$5,2,FALSE)+VLOOKUP(B61,$Y$2:$AA$5,3,FALSE)+IF(AND('House Rules'!$B$10="Potent",VLOOKUP(B61,$Y$2:$AB$5,4,FALSE)="Yes"),1,0)+$Z$7</f>
        <v>2</v>
      </c>
      <c r="E61" s="247">
        <v>3</v>
      </c>
      <c r="F61" s="247">
        <f>E61+IF('House Rules'!$B$12="Off",VLOOKUP(B61,$Y$2:$AA$5,2,FALSE),VLOOKUP(B61,$Y$2:$AA$5,2,FALSE)+VLOOKUP(B61,$Y$2:$AA$5,3,FALSE))+IF(OR(B61="Melee",B61="Brawl"),$Z$6,0)+IF(AND(VLOOKUP(B61,$Y$2:$AB$5,4,FALSE)="Yes",'House Rules'!B69="Potent"),1,0)</f>
        <v>4</v>
      </c>
      <c r="G61" s="247" t="s">
        <v>109</v>
      </c>
      <c r="H61" s="247">
        <v>0</v>
      </c>
      <c r="I61" s="247">
        <f>IF('House Rules'!$B$11="off",IF(H61="--","--",IF(B61="brawl",(H61+CharacterSheet!$E$55+CharacterSheet!$E$7)/2+CharacterSheet!$G$7,IF(B61="melee",(H61+CharacterSheet!$E$7+CharacterSheet!$M$54)/2+CharacterSheet!$G$7,"--"))),IF(H61="--","--",IF(B61="brawl",(H61+CharacterSheet!$E$55+CharacterSheet!$D$35+IF(CharacterSheet!$D$41="N/A",0,CharacterSheet!$D$41)+CharacterSheet!$E$7)/2+CharacterSheet!$G$7,IF(B61="melee",(H61+CharacterSheet!$E$7+CharacterSheet!$D$35+IF(CharacterSheet!$D$41="N/A",0,CharacterSheet!$D$41)+CharacterSheet!$M$54)/2+CharacterSheet!$G$7,"--"))))</f>
        <v>0.5</v>
      </c>
      <c r="J61" s="247">
        <v>4</v>
      </c>
      <c r="K61" s="247" t="s">
        <v>816</v>
      </c>
      <c r="L61" s="252" t="s">
        <v>816</v>
      </c>
    </row>
    <row r="62" spans="1:13" x14ac:dyDescent="0.25">
      <c r="A62" s="246" t="s">
        <v>711</v>
      </c>
      <c r="B62" s="247" t="s">
        <v>48</v>
      </c>
      <c r="C62" s="247">
        <v>1</v>
      </c>
      <c r="D62" s="247">
        <f>C62+VLOOKUP(B62,$Y$2:$AA$5,2,FALSE)+VLOOKUP(B62,$Y$2:$AA$5,3,FALSE)+IF(AND('House Rules'!$B$10="Potent",VLOOKUP(B62,$Y$2:$AB$5,4,FALSE)="Yes"),1,0)+$Z$7</f>
        <v>2</v>
      </c>
      <c r="E62" s="247">
        <v>3</v>
      </c>
      <c r="F62" s="247">
        <f>E62+IF('House Rules'!$B$12="Off",VLOOKUP(B62,$Y$2:$AA$5,2,FALSE),VLOOKUP(B62,$Y$2:$AA$5,2,FALSE)+VLOOKUP(B62,$Y$2:$AA$5,3,FALSE))+IF(OR(B62="Melee",B62="Brawl"),$Z$6,0)+IF(AND(VLOOKUP(B62,$Y$2:$AB$5,4,FALSE)="Yes",'House Rules'!B70="Potent"),1,0)</f>
        <v>4</v>
      </c>
      <c r="G62" s="247" t="s">
        <v>110</v>
      </c>
      <c r="H62" s="247">
        <v>-1</v>
      </c>
      <c r="I62" s="247">
        <f>IF('House Rules'!$B$11="off",IF(H62="--","--",IF(B62="brawl",(H62+CharacterSheet!$E$55+CharacterSheet!$E$7)/2+CharacterSheet!$G$7,IF(B62="melee",(H62+CharacterSheet!$E$7+CharacterSheet!$M$54)/2+CharacterSheet!$G$7,"--"))),IF(H62="--","--",IF(B62="brawl",(H62+CharacterSheet!$E$55+CharacterSheet!$D$35+IF(CharacterSheet!$D$41="N/A",0,CharacterSheet!$D$41)+CharacterSheet!$E$7)/2+CharacterSheet!$G$7,IF(B62="melee",(H62+CharacterSheet!$E$7+CharacterSheet!$D$35+IF(CharacterSheet!$D$41="N/A",0,CharacterSheet!$D$41)+CharacterSheet!$M$54)/2+CharacterSheet!$G$7,"--"))))</f>
        <v>0</v>
      </c>
      <c r="J62" s="247">
        <v>4</v>
      </c>
      <c r="K62" s="247" t="s">
        <v>816</v>
      </c>
      <c r="L62" s="252" t="s">
        <v>816</v>
      </c>
    </row>
    <row r="63" spans="1:13" x14ac:dyDescent="0.25">
      <c r="A63" s="246" t="s">
        <v>805</v>
      </c>
      <c r="B63" s="247" t="s">
        <v>815</v>
      </c>
      <c r="C63" s="247">
        <v>1</v>
      </c>
      <c r="D63" s="247">
        <f>C63+VLOOKUP(B63,$Y$2:$AA$5,2,FALSE)+VLOOKUP(B63,$Y$2:$AA$5,3,FALSE)+IF(AND('House Rules'!$B$10="Potent",VLOOKUP(B63,$Y$2:$AB$5,4,FALSE)="Yes"),1,0)+$Z$7</f>
        <v>2</v>
      </c>
      <c r="E63" s="247">
        <v>10</v>
      </c>
      <c r="F63" s="247">
        <f>E63+IF('House Rules'!$B$12="Off",VLOOKUP(B63,$Y$2:$AA$5,2,FALSE),VLOOKUP(B63,$Y$2:$AA$5,2,FALSE)+VLOOKUP(B63,$Y$2:$AA$5,3,FALSE))+IF(OR(B63="Melee",B63="Brawl"),$Z$6,0)+IF(AND(VLOOKUP(B63,$Y$2:$AB$5,4,FALSE)="Yes",'House Rules'!B71="Potent"),1,0)</f>
        <v>10</v>
      </c>
      <c r="G63" s="247" t="s">
        <v>110</v>
      </c>
      <c r="H63" s="247" t="s">
        <v>816</v>
      </c>
      <c r="I63" s="247" t="str">
        <f>IF('House Rules'!$B$11="off",IF(H63="--","--",IF(B63="brawl",(H63+CharacterSheet!$E$55+CharacterSheet!$E$7)/2+CharacterSheet!$G$7,IF(B63="melee",(H63+CharacterSheet!$E$7+CharacterSheet!$M$54)/2+CharacterSheet!$G$7,"--"))),IF(H63="--","--",IF(B63="brawl",(H63+CharacterSheet!$E$55+CharacterSheet!$D$35+IF(CharacterSheet!$D$41="N/A",0,CharacterSheet!$D$41)+CharacterSheet!$E$7)/2+CharacterSheet!$G$7,IF(B63="melee",(H63+CharacterSheet!$E$7+CharacterSheet!$D$35+IF(CharacterSheet!$D$41="N/A",0,CharacterSheet!$D$41)+CharacterSheet!$M$54)/2+CharacterSheet!$G$7,"--"))))</f>
        <v>--</v>
      </c>
      <c r="J63" s="247">
        <v>6</v>
      </c>
      <c r="K63" s="247">
        <v>1800</v>
      </c>
      <c r="L63" s="252" t="s">
        <v>820</v>
      </c>
    </row>
    <row r="64" spans="1:13" x14ac:dyDescent="0.25">
      <c r="A64" s="246" t="s">
        <v>712</v>
      </c>
      <c r="B64" s="247" t="s">
        <v>48</v>
      </c>
      <c r="C64" s="247">
        <v>0</v>
      </c>
      <c r="D64" s="247">
        <f>C64+VLOOKUP(B64,$Y$2:$AA$5,2,FALSE)+VLOOKUP(B64,$Y$2:$AA$5,3,FALSE)+IF(AND('House Rules'!$B$10="Potent",VLOOKUP(B64,$Y$2:$AB$5,4,FALSE)="Yes"),1,0)+$Z$7</f>
        <v>1</v>
      </c>
      <c r="E64" s="247">
        <v>3</v>
      </c>
      <c r="F64" s="247">
        <f>E64+IF('House Rules'!$B$12="Off",VLOOKUP(B64,$Y$2:$AA$5,2,FALSE),VLOOKUP(B64,$Y$2:$AA$5,2,FALSE)+VLOOKUP(B64,$Y$2:$AA$5,3,FALSE))+IF(OR(B64="Melee",B64="Brawl"),$Z$6,0)+IF(AND(VLOOKUP(B64,$Y$2:$AB$5,4,FALSE)="Yes",'House Rules'!B72="Potent"),1,0)</f>
        <v>4</v>
      </c>
      <c r="G64" s="247" t="s">
        <v>818</v>
      </c>
      <c r="H64" s="247">
        <v>0</v>
      </c>
      <c r="I64" s="247">
        <f>IF('House Rules'!$B$11="off",IF(H64="--","--",IF(B64="brawl",(H64+CharacterSheet!$E$55+CharacterSheet!$E$7)/2+CharacterSheet!$G$7,IF(B64="melee",(H64+CharacterSheet!$E$7+CharacterSheet!$M$54)/2+CharacterSheet!$G$7,"--"))),IF(H64="--","--",IF(B64="brawl",(H64+CharacterSheet!$E$55+CharacterSheet!$D$35+IF(CharacterSheet!$D$41="N/A",0,CharacterSheet!$D$41)+CharacterSheet!$E$7)/2+CharacterSheet!$G$7,IF(B64="melee",(H64+CharacterSheet!$E$7+CharacterSheet!$D$35+IF(CharacterSheet!$D$41="N/A",0,CharacterSheet!$D$41)+CharacterSheet!$M$54)/2+CharacterSheet!$G$7,"--"))))</f>
        <v>0.5</v>
      </c>
      <c r="J64" s="247">
        <v>5</v>
      </c>
      <c r="K64" s="247" t="s">
        <v>816</v>
      </c>
      <c r="L64" s="252" t="s">
        <v>816</v>
      </c>
    </row>
    <row r="65" spans="1:12" x14ac:dyDescent="0.25">
      <c r="A65" s="246" t="s">
        <v>872</v>
      </c>
      <c r="B65" s="247" t="s">
        <v>48</v>
      </c>
      <c r="C65" s="247">
        <v>4</v>
      </c>
      <c r="D65" s="247">
        <f>C65+VLOOKUP(B65,$Y$2:$AA$5,2,FALSE)+VLOOKUP(B65,$Y$2:$AA$5,3,FALSE)+IF(AND('House Rules'!$B$10="Potent",VLOOKUP(B65,$Y$2:$AB$5,4,FALSE)="Yes"),1,0)+$Z$7</f>
        <v>5</v>
      </c>
      <c r="E65" s="247">
        <v>5</v>
      </c>
      <c r="F65" s="247">
        <f>E65+IF('House Rules'!$B$12="Off",VLOOKUP(B65,$Y$2:$AA$5,2,FALSE),VLOOKUP(B65,$Y$2:$AA$5,2,FALSE)+VLOOKUP(B65,$Y$2:$AA$5,3,FALSE))+IF(OR(B65="Melee",B65="Brawl"),$Z$6,0)+IF(AND(VLOOKUP(B65,$Y$2:$AB$5,4,FALSE)="Yes",'House Rules'!B73="Potent"),1,0)</f>
        <v>6</v>
      </c>
      <c r="G65" s="247" t="s">
        <v>110</v>
      </c>
      <c r="H65" s="247">
        <v>2</v>
      </c>
      <c r="I65" s="247">
        <f>IF('House Rules'!$B$11="off",IF(H65="--","--",IF(B65="brawl",(H65+CharacterSheet!$E$55+CharacterSheet!$E$7)/2+CharacterSheet!$G$7,IF(B65="melee",(H65+CharacterSheet!$E$7+CharacterSheet!$M$54)/2+CharacterSheet!$G$7,"--"))),IF(H65="--","--",IF(B65="brawl",(H65+CharacterSheet!$E$55+CharacterSheet!$D$35+IF(CharacterSheet!$D$41="N/A",0,CharacterSheet!$D$41)+CharacterSheet!$E$7)/2+CharacterSheet!$G$7,IF(B65="melee",(H65+CharacterSheet!$E$7+CharacterSheet!$D$35+IF(CharacterSheet!$D$41="N/A",0,CharacterSheet!$D$41)+CharacterSheet!$M$54)/2+CharacterSheet!$G$7,"--"))))</f>
        <v>1.5</v>
      </c>
      <c r="J65" s="247">
        <v>4</v>
      </c>
      <c r="K65" s="247" t="s">
        <v>816</v>
      </c>
      <c r="L65" s="252" t="s">
        <v>816</v>
      </c>
    </row>
    <row r="66" spans="1:12" x14ac:dyDescent="0.25">
      <c r="A66" s="246" t="s">
        <v>791</v>
      </c>
      <c r="B66" s="247" t="s">
        <v>815</v>
      </c>
      <c r="C66" s="247">
        <v>3</v>
      </c>
      <c r="D66" s="247">
        <f>C66+VLOOKUP(B66,$Y$2:$AA$5,2,FALSE)+VLOOKUP(B66,$Y$2:$AA$5,3,FALSE)+IF(AND('House Rules'!$B$10="Potent",VLOOKUP(B66,$Y$2:$AB$5,4,FALSE)="Yes"),1,0)+$Z$7</f>
        <v>4</v>
      </c>
      <c r="E66" s="247">
        <v>6</v>
      </c>
      <c r="F66" s="247">
        <f>E66+IF('House Rules'!$B$12="Off",VLOOKUP(B66,$Y$2:$AA$5,2,FALSE),VLOOKUP(B66,$Y$2:$AA$5,2,FALSE)+VLOOKUP(B66,$Y$2:$AA$5,3,FALSE))+IF(OR(B66="Melee",B66="Brawl"),$Z$6,0)+IF(AND(VLOOKUP(B66,$Y$2:$AB$5,4,FALSE)="Yes",'House Rules'!B74="Potent"),1,0)</f>
        <v>6</v>
      </c>
      <c r="G66" s="247" t="s">
        <v>110</v>
      </c>
      <c r="H66" s="247" t="s">
        <v>816</v>
      </c>
      <c r="I66" s="247" t="str">
        <f>IF('House Rules'!$B$11="off",IF(H66="--","--",IF(B66="brawl",(H66+CharacterSheet!$E$55+CharacterSheet!$E$7)/2+CharacterSheet!$G$7,IF(B66="melee",(H66+CharacterSheet!$E$7+CharacterSheet!$M$54)/2+CharacterSheet!$G$7,"--"))),IF(H66="--","--",IF(B66="brawl",(H66+CharacterSheet!$E$55+CharacterSheet!$D$35+IF(CharacterSheet!$D$41="N/A",0,CharacterSheet!$D$41)+CharacterSheet!$E$7)/2+CharacterSheet!$G$7,IF(B66="melee",(H66+CharacterSheet!$E$7+CharacterSheet!$D$35+IF(CharacterSheet!$D$41="N/A",0,CharacterSheet!$D$41)+CharacterSheet!$M$54)/2+CharacterSheet!$G$7,"--"))))</f>
        <v>--</v>
      </c>
      <c r="J66" s="247">
        <v>6</v>
      </c>
      <c r="K66" s="247">
        <v>200</v>
      </c>
      <c r="L66" s="252">
        <v>5</v>
      </c>
    </row>
    <row r="67" spans="1:12" x14ac:dyDescent="0.25">
      <c r="A67" s="246" t="s">
        <v>806</v>
      </c>
      <c r="B67" s="247" t="s">
        <v>815</v>
      </c>
      <c r="C67" s="247">
        <v>2</v>
      </c>
      <c r="D67" s="247">
        <f>C67+VLOOKUP(B67,$Y$2:$AA$5,2,FALSE)+VLOOKUP(B67,$Y$2:$AA$5,3,FALSE)+IF(AND('House Rules'!$B$10="Potent",VLOOKUP(B67,$Y$2:$AB$5,4,FALSE)="Yes"),1,0)+$Z$7</f>
        <v>3</v>
      </c>
      <c r="E67" s="247">
        <v>11</v>
      </c>
      <c r="F67" s="247">
        <f>E67+IF('House Rules'!$B$12="Off",VLOOKUP(B67,$Y$2:$AA$5,2,FALSE),VLOOKUP(B67,$Y$2:$AA$5,2,FALSE)+VLOOKUP(B67,$Y$2:$AA$5,3,FALSE))+IF(OR(B67="Melee",B67="Brawl"),$Z$6,0)+IF(AND(VLOOKUP(B67,$Y$2:$AB$5,4,FALSE)="Yes",'House Rules'!B75="Potent"),1,0)</f>
        <v>11</v>
      </c>
      <c r="G67" s="247" t="s">
        <v>110</v>
      </c>
      <c r="H67" s="247" t="s">
        <v>816</v>
      </c>
      <c r="I67" s="247" t="str">
        <f>IF('House Rules'!$B$11="off",IF(H67="--","--",IF(B67="brawl",(H67+CharacterSheet!$E$55+CharacterSheet!$E$7)/2+CharacterSheet!$G$7,IF(B67="melee",(H67+CharacterSheet!$E$7+CharacterSheet!$M$54)/2+CharacterSheet!$G$7,"--"))),IF(H67="--","--",IF(B67="brawl",(H67+CharacterSheet!$E$55+CharacterSheet!$D$35+IF(CharacterSheet!$D$41="N/A",0,CharacterSheet!$D$41)+CharacterSheet!$E$7)/2+CharacterSheet!$G$7,IF(B67="melee",(H67+CharacterSheet!$E$7+CharacterSheet!$D$35+IF(CharacterSheet!$D$41="N/A",0,CharacterSheet!$D$41)+CharacterSheet!$M$54)/2+CharacterSheet!$G$7,"--"))))</f>
        <v>--</v>
      </c>
      <c r="J67" s="247">
        <v>6</v>
      </c>
      <c r="K67" s="247">
        <v>2400</v>
      </c>
      <c r="L67" s="252" t="s">
        <v>820</v>
      </c>
    </row>
    <row r="68" spans="1:12" x14ac:dyDescent="0.25">
      <c r="A68" s="246" t="s">
        <v>807</v>
      </c>
      <c r="B68" s="247" t="s">
        <v>815</v>
      </c>
      <c r="C68" s="247">
        <v>-1</v>
      </c>
      <c r="D68" s="247">
        <f>C68+VLOOKUP(B68,$Y$2:$AA$5,2,FALSE)+VLOOKUP(B68,$Y$2:$AA$5,3,FALSE)+IF(AND('House Rules'!$B$10="Potent",VLOOKUP(B68,$Y$2:$AB$5,4,FALSE)="Yes"),1,0)+$Z$7</f>
        <v>0</v>
      </c>
      <c r="E68" s="247">
        <v>15</v>
      </c>
      <c r="F68" s="247">
        <f>E68+IF('House Rules'!$B$12="Off",VLOOKUP(B68,$Y$2:$AA$5,2,FALSE),VLOOKUP(B68,$Y$2:$AA$5,2,FALSE)+VLOOKUP(B68,$Y$2:$AA$5,3,FALSE))+IF(OR(B68="Melee",B68="Brawl"),$Z$6,0)+IF(AND(VLOOKUP(B68,$Y$2:$AB$5,4,FALSE)="Yes",'House Rules'!B76="Potent"),1,0)</f>
        <v>15</v>
      </c>
      <c r="G68" s="247" t="s">
        <v>110</v>
      </c>
      <c r="H68" s="247" t="s">
        <v>816</v>
      </c>
      <c r="I68" s="247" t="str">
        <f>IF('House Rules'!$B$11="off",IF(H68="--","--",IF(B68="brawl",(H68+CharacterSheet!$E$55+CharacterSheet!$E$7)/2+CharacterSheet!$G$7,IF(B68="melee",(H68+CharacterSheet!$E$7+CharacterSheet!$M$54)/2+CharacterSheet!$G$7,"--"))),IF(H68="--","--",IF(B68="brawl",(H68+CharacterSheet!$E$55+CharacterSheet!$D$35+IF(CharacterSheet!$D$41="N/A",0,CharacterSheet!$D$41)+CharacterSheet!$E$7)/2+CharacterSheet!$G$7,IF(B68="melee",(H68+CharacterSheet!$E$7+CharacterSheet!$D$35+IF(CharacterSheet!$D$41="N/A",0,CharacterSheet!$D$41)+CharacterSheet!$M$54)/2+CharacterSheet!$G$7,"--"))))</f>
        <v>--</v>
      </c>
      <c r="J68" s="247">
        <v>8</v>
      </c>
      <c r="K68" s="247">
        <v>2000</v>
      </c>
      <c r="L68" s="252">
        <v>1</v>
      </c>
    </row>
    <row r="69" spans="1:12" x14ac:dyDescent="0.25">
      <c r="A69" s="246" t="s">
        <v>740</v>
      </c>
      <c r="B69" s="247" t="s">
        <v>815</v>
      </c>
      <c r="C69" s="247">
        <v>0</v>
      </c>
      <c r="D69" s="247">
        <f>C69+VLOOKUP(B69,$Y$2:$AA$5,2,FALSE)+VLOOKUP(B69,$Y$2:$AA$5,3,FALSE)+IF(AND('House Rules'!$B$10="Potent",VLOOKUP(B69,$Y$2:$AB$5,4,FALSE)="Yes"),1,0)+$Z$7</f>
        <v>1</v>
      </c>
      <c r="E69" s="247">
        <v>6</v>
      </c>
      <c r="F69" s="247">
        <f>E69+IF('House Rules'!$B$12="Off",VLOOKUP(B69,$Y$2:$AA$5,2,FALSE),VLOOKUP(B69,$Y$2:$AA$5,2,FALSE)+VLOOKUP(B69,$Y$2:$AA$5,3,FALSE))+IF(OR(B69="Melee",B69="Brawl"),$Z$6,0)+IF(AND(VLOOKUP(B69,$Y$2:$AB$5,4,FALSE)="Yes",'House Rules'!B77="Potent"),1,0)</f>
        <v>6</v>
      </c>
      <c r="G69" s="247" t="s">
        <v>110</v>
      </c>
      <c r="H69" s="247" t="s">
        <v>816</v>
      </c>
      <c r="I69" s="247" t="str">
        <f>IF('House Rules'!$B$11="off",IF(H69="--","--",IF(B69="brawl",(H69+CharacterSheet!$E$55+CharacterSheet!$E$7)/2+CharacterSheet!$G$7,IF(B69="melee",(H69+CharacterSheet!$E$7+CharacterSheet!$M$54)/2+CharacterSheet!$G$7,"--"))),IF(H69="--","--",IF(B69="brawl",(H69+CharacterSheet!$E$55+CharacterSheet!$D$35+IF(CharacterSheet!$D$41="N/A",0,CharacterSheet!$D$41)+CharacterSheet!$E$7)/2+CharacterSheet!$G$7,IF(B69="melee",(H69+CharacterSheet!$E$7+CharacterSheet!$D$35+IF(CharacterSheet!$D$41="N/A",0,CharacterSheet!$D$41)+CharacterSheet!$M$54)/2+CharacterSheet!$G$7,"--"))))</f>
        <v>--</v>
      </c>
      <c r="J69" s="247">
        <v>5</v>
      </c>
      <c r="K69" s="247">
        <v>20</v>
      </c>
      <c r="L69" s="252">
        <v>8</v>
      </c>
    </row>
    <row r="70" spans="1:12" x14ac:dyDescent="0.25">
      <c r="A70" s="246" t="s">
        <v>790</v>
      </c>
      <c r="B70" s="247" t="s">
        <v>815</v>
      </c>
      <c r="C70" s="247">
        <v>0</v>
      </c>
      <c r="D70" s="247">
        <f>C70+VLOOKUP(B70,$Y$2:$AA$5,2,FALSE)+VLOOKUP(B70,$Y$2:$AA$5,3,FALSE)+IF(AND('House Rules'!$B$10="Potent",VLOOKUP(B70,$Y$2:$AB$5,4,FALSE)="Yes"),1,0)+$Z$7</f>
        <v>1</v>
      </c>
      <c r="E70" s="247">
        <v>3</v>
      </c>
      <c r="F70" s="247">
        <f>E70+IF('House Rules'!$B$12="Off",VLOOKUP(B70,$Y$2:$AA$5,2,FALSE),VLOOKUP(B70,$Y$2:$AA$5,2,FALSE)+VLOOKUP(B70,$Y$2:$AA$5,3,FALSE))+IF(OR(B70="Melee",B70="Brawl"),$Z$6,0)+IF(AND(VLOOKUP(B70,$Y$2:$AB$5,4,FALSE)="Yes",'House Rules'!B78="Potent"),1,0)</f>
        <v>3</v>
      </c>
      <c r="G70" s="247" t="s">
        <v>110</v>
      </c>
      <c r="H70" s="247" t="s">
        <v>816</v>
      </c>
      <c r="I70" s="247" t="str">
        <f>IF('House Rules'!$B$11="off",IF(H70="--","--",IF(B70="brawl",(H70+CharacterSheet!$E$55+CharacterSheet!$E$7)/2+CharacterSheet!$G$7,IF(B70="melee",(H70+CharacterSheet!$E$7+CharacterSheet!$M$54)/2+CharacterSheet!$G$7,"--"))),IF(H70="--","--",IF(B70="brawl",(H70+CharacterSheet!$E$55+CharacterSheet!$D$35+IF(CharacterSheet!$D$41="N/A",0,CharacterSheet!$D$41)+CharacterSheet!$E$7)/2+CharacterSheet!$G$7,IF(B70="melee",(H70+CharacterSheet!$E$7+CharacterSheet!$D$35+IF(CharacterSheet!$D$41="N/A",0,CharacterSheet!$D$41)+CharacterSheet!$M$54)/2+CharacterSheet!$G$7,"--"))))</f>
        <v>--</v>
      </c>
      <c r="J70" s="247">
        <v>5</v>
      </c>
      <c r="K70" s="247">
        <v>30</v>
      </c>
      <c r="L70" s="252">
        <v>30</v>
      </c>
    </row>
    <row r="71" spans="1:12" x14ac:dyDescent="0.25">
      <c r="A71" s="246" t="s">
        <v>713</v>
      </c>
      <c r="B71" s="247" t="s">
        <v>48</v>
      </c>
      <c r="C71" s="247">
        <v>1</v>
      </c>
      <c r="D71" s="247">
        <f>C71+VLOOKUP(B71,$Y$2:$AA$5,2,FALSE)+VLOOKUP(B71,$Y$2:$AA$5,3,FALSE)+IF(AND('House Rules'!$B$10="Potent",VLOOKUP(B71,$Y$2:$AB$5,4,FALSE)="Yes"),1,0)+$Z$7</f>
        <v>2</v>
      </c>
      <c r="E71" s="247">
        <v>4</v>
      </c>
      <c r="F71" s="247">
        <f>E71+IF('House Rules'!$B$12="Off",VLOOKUP(B71,$Y$2:$AA$5,2,FALSE),VLOOKUP(B71,$Y$2:$AA$5,2,FALSE)+VLOOKUP(B71,$Y$2:$AA$5,3,FALSE))+IF(OR(B71="Melee",B71="Brawl"),$Z$6,0)+IF(AND(VLOOKUP(B71,$Y$2:$AB$5,4,FALSE)="Yes",'House Rules'!B79="Potent"),1,0)</f>
        <v>5</v>
      </c>
      <c r="G71" s="247" t="s">
        <v>110</v>
      </c>
      <c r="H71" s="247">
        <v>1</v>
      </c>
      <c r="I71" s="247">
        <f>IF('House Rules'!$B$11="off",IF(H71="--","--",IF(B71="brawl",(H71+CharacterSheet!$E$55+CharacterSheet!$E$7)/2+CharacterSheet!$G$7,IF(B71="melee",(H71+CharacterSheet!$E$7+CharacterSheet!$M$54)/2+CharacterSheet!$G$7,"--"))),IF(H71="--","--",IF(B71="brawl",(H71+CharacterSheet!$E$55+CharacterSheet!$D$35+IF(CharacterSheet!$D$41="N/A",0,CharacterSheet!$D$41)+CharacterSheet!$E$7)/2+CharacterSheet!$G$7,IF(B71="melee",(H71+CharacterSheet!$E$7+CharacterSheet!$D$35+IF(CharacterSheet!$D$41="N/A",0,CharacterSheet!$D$41)+CharacterSheet!$M$54)/2+CharacterSheet!$G$7,"--"))))</f>
        <v>1</v>
      </c>
      <c r="J71" s="247">
        <v>5</v>
      </c>
      <c r="K71" s="247" t="s">
        <v>816</v>
      </c>
      <c r="L71" s="252" t="s">
        <v>816</v>
      </c>
    </row>
    <row r="72" spans="1:12" x14ac:dyDescent="0.25">
      <c r="A72" s="246" t="s">
        <v>808</v>
      </c>
      <c r="B72" s="247" t="s">
        <v>815</v>
      </c>
      <c r="C72" s="247">
        <v>-4</v>
      </c>
      <c r="D72" s="247">
        <f>C72+VLOOKUP(B72,$Y$2:$AA$5,2,FALSE)+VLOOKUP(B72,$Y$2:$AA$5,3,FALSE)+IF(AND('House Rules'!$B$10="Potent",VLOOKUP(B72,$Y$2:$AB$5,4,FALSE)="Yes"),1,0)+$Z$7</f>
        <v>-3</v>
      </c>
      <c r="E72" s="247">
        <v>30</v>
      </c>
      <c r="F72" s="247">
        <f>E72+IF('House Rules'!$B$12="Off",VLOOKUP(B72,$Y$2:$AA$5,2,FALSE),VLOOKUP(B72,$Y$2:$AA$5,2,FALSE)+VLOOKUP(B72,$Y$2:$AA$5,3,FALSE))+IF(OR(B72="Melee",B72="Brawl"),$Z$6,0)+IF(AND(VLOOKUP(B72,$Y$2:$AB$5,4,FALSE)="Yes",'House Rules'!B80="Potent"),1,0)</f>
        <v>30</v>
      </c>
      <c r="G72" s="247" t="s">
        <v>110</v>
      </c>
      <c r="H72" s="247" t="s">
        <v>816</v>
      </c>
      <c r="I72" s="247" t="str">
        <f>IF('House Rules'!$B$11="off",IF(H72="--","--",IF(B72="brawl",(H72+CharacterSheet!$E$55+CharacterSheet!$E$7)/2+CharacterSheet!$G$7,IF(B72="melee",(H72+CharacterSheet!$E$7+CharacterSheet!$M$54)/2+CharacterSheet!$G$7,"--"))),IF(H72="--","--",IF(B72="brawl",(H72+CharacterSheet!$E$55+CharacterSheet!$D$35+IF(CharacterSheet!$D$41="N/A",0,CharacterSheet!$D$41)+CharacterSheet!$E$7)/2+CharacterSheet!$G$7,IF(B72="melee",(H72+CharacterSheet!$E$7+CharacterSheet!$D$35+IF(CharacterSheet!$D$41="N/A",0,CharacterSheet!$D$41)+CharacterSheet!$M$54)/2+CharacterSheet!$G$7,"--"))))</f>
        <v>--</v>
      </c>
      <c r="J72" s="247">
        <v>8</v>
      </c>
      <c r="K72" s="247">
        <v>1500</v>
      </c>
      <c r="L72" s="252">
        <v>6</v>
      </c>
    </row>
    <row r="73" spans="1:12" x14ac:dyDescent="0.25">
      <c r="A73" s="246" t="s">
        <v>867</v>
      </c>
      <c r="B73" s="247" t="s">
        <v>48</v>
      </c>
      <c r="C73" s="247">
        <v>3</v>
      </c>
      <c r="D73" s="247">
        <f>C73+VLOOKUP(B73,$Y$2:$AA$5,2,FALSE)+VLOOKUP(B73,$Y$2:$AA$5,3,FALSE)+IF(AND('House Rules'!$B$10="Potent",VLOOKUP(B73,$Y$2:$AB$5,4,FALSE)="Yes"),1,0)+$Z$7</f>
        <v>4</v>
      </c>
      <c r="E73" s="247">
        <v>4</v>
      </c>
      <c r="F73" s="247">
        <f>E73+IF('House Rules'!$B$12="Off",VLOOKUP(B73,$Y$2:$AA$5,2,FALSE),VLOOKUP(B73,$Y$2:$AA$5,2,FALSE)+VLOOKUP(B73,$Y$2:$AA$5,3,FALSE))+IF(OR(B73="Melee",B73="Brawl"),$Z$6,0)+IF(AND(VLOOKUP(B73,$Y$2:$AB$5,4,FALSE)="Yes",'House Rules'!B81="Potent"),1,0)</f>
        <v>5</v>
      </c>
      <c r="G73" s="247" t="s">
        <v>110</v>
      </c>
      <c r="H73" s="247">
        <v>3</v>
      </c>
      <c r="I73" s="247">
        <f>IF('House Rules'!$B$11="off",IF(H73="--","--",IF(B73="brawl",(H73+CharacterSheet!$E$55+CharacterSheet!$E$7)/2+CharacterSheet!$G$7,IF(B73="melee",(H73+CharacterSheet!$E$7+CharacterSheet!$M$54)/2+CharacterSheet!$G$7,"--"))),IF(H73="--","--",IF(B73="brawl",(H73+CharacterSheet!$E$55+CharacterSheet!$D$35+IF(CharacterSheet!$D$41="N/A",0,CharacterSheet!$D$41)+CharacterSheet!$E$7)/2+CharacterSheet!$G$7,IF(B73="melee",(H73+CharacterSheet!$E$7+CharacterSheet!$D$35+IF(CharacterSheet!$D$41="N/A",0,CharacterSheet!$D$41)+CharacterSheet!$M$54)/2+CharacterSheet!$G$7,"--"))))</f>
        <v>2</v>
      </c>
      <c r="J73" s="247">
        <v>3</v>
      </c>
      <c r="K73" s="247" t="s">
        <v>816</v>
      </c>
      <c r="L73" s="252" t="s">
        <v>816</v>
      </c>
    </row>
    <row r="74" spans="1:12" x14ac:dyDescent="0.25">
      <c r="A74" s="246" t="s">
        <v>734</v>
      </c>
      <c r="B74" s="247" t="s">
        <v>815</v>
      </c>
      <c r="C74" s="247">
        <v>2</v>
      </c>
      <c r="D74" s="247">
        <f>C74+VLOOKUP(B74,$Y$2:$AA$5,2,FALSE)+VLOOKUP(B74,$Y$2:$AA$5,3,FALSE)+IF(AND('House Rules'!$B$10="Potent",VLOOKUP(B74,$Y$2:$AB$5,4,FALSE)="Yes"),1,0)+$Z$7</f>
        <v>3</v>
      </c>
      <c r="E74" s="247">
        <v>4</v>
      </c>
      <c r="F74" s="247">
        <f>E74+IF('House Rules'!$B$12="Off",VLOOKUP(B74,$Y$2:$AA$5,2,FALSE),VLOOKUP(B74,$Y$2:$AA$5,2,FALSE)+VLOOKUP(B74,$Y$2:$AA$5,3,FALSE))+IF(OR(B74="Melee",B74="Brawl"),$Z$6,0)+IF(AND(VLOOKUP(B74,$Y$2:$AB$5,4,FALSE)="Yes",'House Rules'!B82="Potent"),1,0)</f>
        <v>4</v>
      </c>
      <c r="G74" s="247" t="s">
        <v>110</v>
      </c>
      <c r="H74" s="247" t="s">
        <v>816</v>
      </c>
      <c r="I74" s="247" t="str">
        <f>IF('House Rules'!$B$11="off",IF(H74="--","--",IF(B74="brawl",(H74+CharacterSheet!$E$55+CharacterSheet!$E$7)/2+CharacterSheet!$G$7,IF(B74="melee",(H74+CharacterSheet!$E$7+CharacterSheet!$M$54)/2+CharacterSheet!$G$7,"--"))),IF(H74="--","--",IF(B74="brawl",(H74+CharacterSheet!$E$55+CharacterSheet!$D$35+IF(CharacterSheet!$D$41="N/A",0,CharacterSheet!$D$41)+CharacterSheet!$E$7)/2+CharacterSheet!$G$7,IF(B74="melee",(H74+CharacterSheet!$E$7+CharacterSheet!$D$35+IF(CharacterSheet!$D$41="N/A",0,CharacterSheet!$D$41)+CharacterSheet!$M$54)/2+CharacterSheet!$G$7,"--"))))</f>
        <v>--</v>
      </c>
      <c r="J74" s="247">
        <v>5</v>
      </c>
      <c r="K74" s="247">
        <v>20</v>
      </c>
      <c r="L74" s="252">
        <v>6</v>
      </c>
    </row>
    <row r="75" spans="1:12" x14ac:dyDescent="0.25">
      <c r="A75" s="246" t="s">
        <v>767</v>
      </c>
      <c r="B75" s="247" t="s">
        <v>815</v>
      </c>
      <c r="C75" s="247">
        <v>1</v>
      </c>
      <c r="D75" s="247">
        <f>C75+VLOOKUP(B75,$Y$2:$AA$5,2,FALSE)+VLOOKUP(B75,$Y$2:$AA$5,3,FALSE)+IF(AND('House Rules'!$B$10="Potent",VLOOKUP(B75,$Y$2:$AB$5,4,FALSE)="Yes"),1,0)+$Z$7</f>
        <v>2</v>
      </c>
      <c r="E75" s="247">
        <v>1</v>
      </c>
      <c r="F75" s="247">
        <f>E75+IF('House Rules'!$B$12="Off",VLOOKUP(B75,$Y$2:$AA$5,2,FALSE),VLOOKUP(B75,$Y$2:$AA$5,2,FALSE)+VLOOKUP(B75,$Y$2:$AA$5,3,FALSE))+IF(OR(B75="Melee",B75="Brawl"),$Z$6,0)+IF(AND(VLOOKUP(B75,$Y$2:$AB$5,4,FALSE)="Yes",'House Rules'!B83="Potent"),1,0)</f>
        <v>1</v>
      </c>
      <c r="G75" s="247" t="s">
        <v>109</v>
      </c>
      <c r="H75" s="247" t="s">
        <v>816</v>
      </c>
      <c r="I75" s="247" t="str">
        <f>IF('House Rules'!$B$11="off",IF(H75="--","--",IF(B75="brawl",(H75+CharacterSheet!$E$55+CharacterSheet!$E$7)/2+CharacterSheet!$G$7,IF(B75="melee",(H75+CharacterSheet!$E$7+CharacterSheet!$M$54)/2+CharacterSheet!$G$7,"--"))),IF(H75="--","--",IF(B75="brawl",(H75+CharacterSheet!$E$55+CharacterSheet!$D$35+IF(CharacterSheet!$D$41="N/A",0,CharacterSheet!$D$41)+CharacterSheet!$E$7)/2+CharacterSheet!$G$7,IF(B75="melee",(H75+CharacterSheet!$E$7+CharacterSheet!$D$35+IF(CharacterSheet!$D$41="N/A",0,CharacterSheet!$D$41)+CharacterSheet!$M$54)/2+CharacterSheet!$G$7,"--"))))</f>
        <v>--</v>
      </c>
      <c r="J75" s="247" t="s">
        <v>816</v>
      </c>
      <c r="K75" s="247">
        <v>5</v>
      </c>
      <c r="L75" s="252">
        <v>30</v>
      </c>
    </row>
    <row r="76" spans="1:12" x14ac:dyDescent="0.25">
      <c r="A76" s="246" t="s">
        <v>729</v>
      </c>
      <c r="B76" s="247" t="s">
        <v>54</v>
      </c>
      <c r="C76" s="247">
        <v>0</v>
      </c>
      <c r="D76" s="247">
        <f>C76+VLOOKUP(B76,$Y$2:$AA$5,2,FALSE)+VLOOKUP(B76,$Y$2:$AA$5,3,FALSE)+IF(AND('House Rules'!$B$10="Potent",VLOOKUP(B76,$Y$2:$AB$5,4,FALSE)="Yes"),1,0)+$Z$7</f>
        <v>1</v>
      </c>
      <c r="E76" s="247">
        <v>2</v>
      </c>
      <c r="F76" s="247">
        <f>E76+IF('House Rules'!$B$12="Off",VLOOKUP(B76,$Y$2:$AA$5,2,FALSE),VLOOKUP(B76,$Y$2:$AA$5,2,FALSE)+VLOOKUP(B76,$Y$2:$AA$5,3,FALSE))+IF(OR(B76="Melee",B76="Brawl"),$Z$6,0)+IF(AND(VLOOKUP(B76,$Y$2:$AB$5,4,FALSE)="Yes",'House Rules'!B84="Potent"),1,0)</f>
        <v>2</v>
      </c>
      <c r="G76" s="247" t="s">
        <v>110</v>
      </c>
      <c r="H76" s="247" t="s">
        <v>816</v>
      </c>
      <c r="I76" s="247" t="str">
        <f>IF('House Rules'!$B$11="off",IF(H76="--","--",IF(B76="brawl",(H76+CharacterSheet!$E$55+CharacterSheet!$E$7)/2+CharacterSheet!$G$7,IF(B76="melee",(H76+CharacterSheet!$E$7+CharacterSheet!$M$54)/2+CharacterSheet!$G$7,"--"))),IF(H76="--","--",IF(B76="brawl",(H76+CharacterSheet!$E$55+CharacterSheet!$D$35+IF(CharacterSheet!$D$41="N/A",0,CharacterSheet!$D$41)+CharacterSheet!$E$7)/2+CharacterSheet!$G$7,IF(B76="melee",(H76+CharacterSheet!$E$7+CharacterSheet!$D$35+IF(CharacterSheet!$D$41="N/A",0,CharacterSheet!$D$41)+CharacterSheet!$M$54)/2+CharacterSheet!$G$7,"--"))))</f>
        <v>--</v>
      </c>
      <c r="J76" s="247">
        <v>6</v>
      </c>
      <c r="K76" s="247">
        <f>IF('Purchased Knacks'!$E$13="Yes",10*LOOKUP(CharacterSheet!$F$6,Reference!$H$2:$H$12,Reference!$J$2:$J$12)*2,10*LOOKUP(CharacterSheet!$F$6,Reference!$H$2:$H$12,Reference!$J$2:$J$12))</f>
        <v>10</v>
      </c>
      <c r="L76" s="252" t="s">
        <v>816</v>
      </c>
    </row>
    <row r="77" spans="1:12" x14ac:dyDescent="0.25">
      <c r="A77" s="246" t="s">
        <v>792</v>
      </c>
      <c r="B77" s="247" t="s">
        <v>815</v>
      </c>
      <c r="C77" s="247">
        <v>0</v>
      </c>
      <c r="D77" s="247">
        <f>C77+VLOOKUP(B77,$Y$2:$AA$5,2,FALSE)+VLOOKUP(B77,$Y$2:$AA$5,3,FALSE)+IF(AND('House Rules'!$B$10="Potent",VLOOKUP(B77,$Y$2:$AB$5,4,FALSE)="Yes"),1,0)+$Z$7</f>
        <v>1</v>
      </c>
      <c r="E77" s="247">
        <v>3</v>
      </c>
      <c r="F77" s="247">
        <f>E77+IF('House Rules'!$B$12="Off",VLOOKUP(B77,$Y$2:$AA$5,2,FALSE),VLOOKUP(B77,$Y$2:$AA$5,2,FALSE)+VLOOKUP(B77,$Y$2:$AA$5,3,FALSE))+IF(OR(B77="Melee",B77="Brawl"),$Z$6,0)+IF(AND(VLOOKUP(B77,$Y$2:$AB$5,4,FALSE)="Yes",'House Rules'!B85="Potent"),1,0)</f>
        <v>3</v>
      </c>
      <c r="G77" s="247" t="s">
        <v>110</v>
      </c>
      <c r="H77" s="247" t="s">
        <v>816</v>
      </c>
      <c r="I77" s="247" t="str">
        <f>IF('House Rules'!$B$11="off",IF(H77="--","--",IF(B77="brawl",(H77+CharacterSheet!$E$55+CharacterSheet!$E$7)/2+CharacterSheet!$G$7,IF(B77="melee",(H77+CharacterSheet!$E$7+CharacterSheet!$M$54)/2+CharacterSheet!$G$7,"--"))),IF(H77="--","--",IF(B77="brawl",(H77+CharacterSheet!$E$55+CharacterSheet!$D$35+IF(CharacterSheet!$D$41="N/A",0,CharacterSheet!$D$41)+CharacterSheet!$E$7)/2+CharacterSheet!$G$7,IF(B77="melee",(H77+CharacterSheet!$E$7+CharacterSheet!$D$35+IF(CharacterSheet!$D$41="N/A",0,CharacterSheet!$D$41)+CharacterSheet!$M$54)/2+CharacterSheet!$G$7,"--"))))</f>
        <v>--</v>
      </c>
      <c r="J77" s="247">
        <v>5</v>
      </c>
      <c r="K77" s="247">
        <v>30</v>
      </c>
      <c r="L77" s="252">
        <v>70</v>
      </c>
    </row>
    <row r="78" spans="1:12" x14ac:dyDescent="0.25">
      <c r="A78" s="246" t="s">
        <v>722</v>
      </c>
      <c r="B78" s="247" t="s">
        <v>48</v>
      </c>
      <c r="C78" s="247">
        <v>0</v>
      </c>
      <c r="D78" s="247">
        <f>C78+VLOOKUP(B78,$Y$2:$AA$5,2,FALSE)+VLOOKUP(B78,$Y$2:$AA$5,3,FALSE)+IF(AND('House Rules'!$B$10="Potent",VLOOKUP(B78,$Y$2:$AB$5,4,FALSE)="Yes"),1,0)+$Z$7</f>
        <v>1</v>
      </c>
      <c r="E78" s="247">
        <v>7</v>
      </c>
      <c r="F78" s="247">
        <f>E78+IF('House Rules'!$B$12="Off",VLOOKUP(B78,$Y$2:$AA$5,2,FALSE),VLOOKUP(B78,$Y$2:$AA$5,2,FALSE)+VLOOKUP(B78,$Y$2:$AA$5,3,FALSE))+IF(OR(B78="Melee",B78="Brawl"),$Z$6,0)+IF(AND(VLOOKUP(B78,$Y$2:$AB$5,4,FALSE)="Yes",'House Rules'!B86="Potent"),1,0)</f>
        <v>8</v>
      </c>
      <c r="G78" s="247" t="s">
        <v>109</v>
      </c>
      <c r="H78" s="247">
        <v>-1</v>
      </c>
      <c r="I78" s="247">
        <f>IF('House Rules'!$B$11="off",IF(H78="--","--",IF(B78="brawl",(H78+CharacterSheet!$E$55+CharacterSheet!$E$7)/2+CharacterSheet!$G$7,IF(B78="melee",(H78+CharacterSheet!$E$7+CharacterSheet!$M$54)/2+CharacterSheet!$G$7,"--"))),IF(H78="--","--",IF(B78="brawl",(H78+CharacterSheet!$E$55+CharacterSheet!$D$35+IF(CharacterSheet!$D$41="N/A",0,CharacterSheet!$D$41)+CharacterSheet!$E$7)/2+CharacterSheet!$G$7,IF(B78="melee",(H78+CharacterSheet!$E$7+CharacterSheet!$D$35+IF(CharacterSheet!$D$41="N/A",0,CharacterSheet!$D$41)+CharacterSheet!$M$54)/2+CharacterSheet!$G$7,"--"))))</f>
        <v>0</v>
      </c>
      <c r="J78" s="247">
        <v>5</v>
      </c>
      <c r="K78" s="247" t="s">
        <v>816</v>
      </c>
      <c r="L78" s="252" t="s">
        <v>816</v>
      </c>
    </row>
    <row r="79" spans="1:12" x14ac:dyDescent="0.25">
      <c r="A79" s="246" t="s">
        <v>876</v>
      </c>
      <c r="B79" s="247" t="s">
        <v>815</v>
      </c>
      <c r="C79" s="247">
        <v>1</v>
      </c>
      <c r="D79" s="247">
        <f>C79+VLOOKUP(B79,$Y$2:$AA$5,2,FALSE)+VLOOKUP(B79,$Y$2:$AA$5,3,FALSE)+IF(AND('House Rules'!$B$10="Potent",VLOOKUP(B79,$Y$2:$AB$5,4,FALSE)="Yes"),1,0)+$Z$7</f>
        <v>2</v>
      </c>
      <c r="E79" s="247">
        <v>2</v>
      </c>
      <c r="F79" s="247">
        <f>E79+IF('House Rules'!$B$12="Off",VLOOKUP(B79,$Y$2:$AA$5,2,FALSE),VLOOKUP(B79,$Y$2:$AA$5,2,FALSE)+VLOOKUP(B79,$Y$2:$AA$5,3,FALSE))+IF(OR(B79="Melee",B79="Brawl"),$Z$6,0)+IF(AND(VLOOKUP(B79,$Y$2:$AB$5,4,FALSE)="Yes",'House Rules'!B87="Potent"),1,0)</f>
        <v>2</v>
      </c>
      <c r="G79" s="247" t="s">
        <v>111</v>
      </c>
      <c r="H79" s="247" t="s">
        <v>816</v>
      </c>
      <c r="I79" s="247" t="str">
        <f>IF('House Rules'!$B$11="off",IF(H79="--","--",IF(B79="brawl",(H79+CharacterSheet!$E$55+CharacterSheet!$E$7)/2+CharacterSheet!$G$7,IF(B79="melee",(H79+CharacterSheet!$E$7+CharacterSheet!$M$54)/2+CharacterSheet!$G$7,"--"))),IF(H79="--","--",IF(B79="brawl",(H79+CharacterSheet!$E$55+CharacterSheet!$D$35+IF(CharacterSheet!$D$41="N/A",0,CharacterSheet!$D$41)+CharacterSheet!$E$7)/2+CharacterSheet!$G$7,IF(B79="melee",(H79+CharacterSheet!$E$7+CharacterSheet!$D$35+IF(CharacterSheet!$D$41="N/A",0,CharacterSheet!$D$41)+CharacterSheet!$M$54)/2+CharacterSheet!$G$7,"--"))))</f>
        <v>--</v>
      </c>
      <c r="J79" s="247">
        <v>5</v>
      </c>
      <c r="K79" s="247">
        <v>30</v>
      </c>
      <c r="L79" s="252"/>
    </row>
    <row r="80" spans="1:12" x14ac:dyDescent="0.25">
      <c r="A80" s="246" t="s">
        <v>877</v>
      </c>
      <c r="B80" s="247" t="s">
        <v>48</v>
      </c>
      <c r="C80" s="247">
        <v>-1</v>
      </c>
      <c r="D80" s="247">
        <f>C80+VLOOKUP(B80,$Y$2:$AA$5,2,FALSE)+VLOOKUP(B80,$Y$2:$AA$5,3,FALSE)+IF(AND('House Rules'!$B$10="Potent",VLOOKUP(B80,$Y$2:$AB$5,4,FALSE)="Yes"),1,0)+$Z$7</f>
        <v>0</v>
      </c>
      <c r="E80" s="247">
        <v>5</v>
      </c>
      <c r="F80" s="247">
        <f>E80+IF('House Rules'!$B$12="Off",VLOOKUP(B80,$Y$2:$AA$5,2,FALSE),VLOOKUP(B80,$Y$2:$AA$5,2,FALSE)+VLOOKUP(B80,$Y$2:$AA$5,3,FALSE))+IF(OR(B80="Melee",B80="Brawl"),$Z$6,0)+IF(AND(VLOOKUP(B80,$Y$2:$AB$5,4,FALSE)="Yes",'House Rules'!B88="Potent"),1,0)</f>
        <v>6</v>
      </c>
      <c r="G80" s="247" t="s">
        <v>111</v>
      </c>
      <c r="H80" s="247">
        <v>-2</v>
      </c>
      <c r="I80" s="247">
        <f>IF('House Rules'!$B$11="off",IF(H80="--","--",IF(B80="brawl",(H80+CharacterSheet!$E$55+CharacterSheet!$E$7)/2+CharacterSheet!$G$7,IF(B80="melee",(H80+CharacterSheet!$E$7+CharacterSheet!$M$54)/2+CharacterSheet!$G$7,"--"))),IF(H80="--","--",IF(B80="brawl",(H80+CharacterSheet!$E$55+CharacterSheet!$D$35+IF(CharacterSheet!$D$41="N/A",0,CharacterSheet!$D$41)+CharacterSheet!$E$7)/2+CharacterSheet!$G$7,IF(B80="melee",(H80+CharacterSheet!$E$7+CharacterSheet!$D$35+IF(CharacterSheet!$D$41="N/A",0,CharacterSheet!$D$41)+CharacterSheet!$M$54)/2+CharacterSheet!$G$7,"--"))))</f>
        <v>-0.5</v>
      </c>
      <c r="J80" s="247">
        <v>6</v>
      </c>
      <c r="K80" s="247" t="s">
        <v>816</v>
      </c>
      <c r="L80" s="252" t="s">
        <v>816</v>
      </c>
    </row>
    <row r="81" spans="1:12" x14ac:dyDescent="0.25">
      <c r="A81" s="246" t="s">
        <v>737</v>
      </c>
      <c r="B81" s="247" t="s">
        <v>815</v>
      </c>
      <c r="C81" s="247">
        <v>3</v>
      </c>
      <c r="D81" s="247">
        <f>C81+VLOOKUP(B81,$Y$2:$AA$5,2,FALSE)+VLOOKUP(B81,$Y$2:$AA$5,3,FALSE)+IF(AND('House Rules'!$B$10="Potent",VLOOKUP(B81,$Y$2:$AB$5,4,FALSE)="Yes"),1,0)+$Z$7</f>
        <v>4</v>
      </c>
      <c r="E81" s="247">
        <v>7</v>
      </c>
      <c r="F81" s="247">
        <f>E81+IF('House Rules'!$B$12="Off",VLOOKUP(B81,$Y$2:$AA$5,2,FALSE),VLOOKUP(B81,$Y$2:$AA$5,2,FALSE)+VLOOKUP(B81,$Y$2:$AA$5,3,FALSE))+IF(OR(B81="Melee",B81="Brawl"),$Z$6,0)+IF(AND(VLOOKUP(B81,$Y$2:$AB$5,4,FALSE)="Yes",'House Rules'!B89="Potent"),1,0)</f>
        <v>7</v>
      </c>
      <c r="G81" s="247" t="s">
        <v>110</v>
      </c>
      <c r="H81" s="247" t="s">
        <v>816</v>
      </c>
      <c r="I81" s="247" t="str">
        <f>IF('House Rules'!$B$11="off",IF(H81="--","--",IF(B81="brawl",(H81+CharacterSheet!$E$55+CharacterSheet!$E$7)/2+CharacterSheet!$G$7,IF(B81="melee",(H81+CharacterSheet!$E$7+CharacterSheet!$M$54)/2+CharacterSheet!$G$7,"--"))),IF(H81="--","--",IF(B81="brawl",(H81+CharacterSheet!$E$55+CharacterSheet!$D$35+IF(CharacterSheet!$D$41="N/A",0,CharacterSheet!$D$41)+CharacterSheet!$E$7)/2+CharacterSheet!$G$7,IF(B81="melee",(H81+CharacterSheet!$E$7+CharacterSheet!$D$35+IF(CharacterSheet!$D$41="N/A",0,CharacterSheet!$D$41)+CharacterSheet!$M$54)/2+CharacterSheet!$G$7,"--"))))</f>
        <v>--</v>
      </c>
      <c r="J81" s="247">
        <v>6</v>
      </c>
      <c r="K81" s="247">
        <v>200</v>
      </c>
      <c r="L81" s="252">
        <v>4</v>
      </c>
    </row>
    <row r="82" spans="1:12" x14ac:dyDescent="0.25">
      <c r="A82" s="246" t="s">
        <v>881</v>
      </c>
      <c r="B82" s="247" t="s">
        <v>48</v>
      </c>
      <c r="C82" s="247">
        <v>1</v>
      </c>
      <c r="D82" s="247">
        <f>C82+VLOOKUP(B82,$Y$2:$AA$5,2,FALSE)+VLOOKUP(B82,$Y$2:$AA$5,3,FALSE)+IF(AND('House Rules'!$B$10="Potent",VLOOKUP(B82,$Y$2:$AB$5,4,FALSE)="Yes"),1,0)+$Z$7</f>
        <v>2</v>
      </c>
      <c r="E82" s="247">
        <v>9</v>
      </c>
      <c r="F82" s="247">
        <f>E82+IF('House Rules'!$B$12="Off",VLOOKUP(B82,$Y$2:$AA$5,2,FALSE),VLOOKUP(B82,$Y$2:$AA$5,2,FALSE)+VLOOKUP(B82,$Y$2:$AA$5,3,FALSE))+IF(OR(B82="Melee",B82="Brawl"),$Z$6,0)+IF(AND(VLOOKUP(B82,$Y$2:$AB$5,4,FALSE)="Yes",'House Rules'!B90="Potent"),1,0)</f>
        <v>10</v>
      </c>
      <c r="G82" s="247" t="s">
        <v>110</v>
      </c>
      <c r="H82" s="247">
        <v>0</v>
      </c>
      <c r="I82" s="247">
        <f>IF('House Rules'!$B$11="off",IF(H82="--","--",IF(B82="brawl",(H82+CharacterSheet!$E$55+CharacterSheet!$E$7)/2+CharacterSheet!$G$7,IF(B82="melee",(H82+CharacterSheet!$E$7+CharacterSheet!$M$54)/2+CharacterSheet!$G$7,"--"))),IF(H82="--","--",IF(B82="brawl",(H82+CharacterSheet!$E$55+CharacterSheet!$D$35+IF(CharacterSheet!$D$41="N/A",0,CharacterSheet!$D$41)+CharacterSheet!$E$7)/2+CharacterSheet!$G$7,IF(B82="melee",(H82+CharacterSheet!$E$7+CharacterSheet!$D$35+IF(CharacterSheet!$D$41="N/A",0,CharacterSheet!$D$41)+CharacterSheet!$M$54)/2+CharacterSheet!$G$7,"--"))))</f>
        <v>0.5</v>
      </c>
      <c r="J82" s="247">
        <v>5</v>
      </c>
      <c r="K82" s="247" t="s">
        <v>816</v>
      </c>
      <c r="L82" s="252" t="s">
        <v>816</v>
      </c>
    </row>
    <row r="83" spans="1:12" x14ac:dyDescent="0.25">
      <c r="A83" s="246" t="s">
        <v>714</v>
      </c>
      <c r="B83" s="247" t="s">
        <v>48</v>
      </c>
      <c r="C83" s="247">
        <v>-1</v>
      </c>
      <c r="D83" s="247">
        <f>C83+VLOOKUP(B83,$Y$2:$AA$5,2,FALSE)+VLOOKUP(B83,$Y$2:$AA$5,3,FALSE)+IF(AND('House Rules'!$B$10="Potent",VLOOKUP(B83,$Y$2:$AB$5,4,FALSE)="Yes"),1,0)+$Z$7</f>
        <v>0</v>
      </c>
      <c r="E83" s="247">
        <v>2</v>
      </c>
      <c r="F83" s="247">
        <f>E83+IF('House Rules'!$B$12="Off",VLOOKUP(B83,$Y$2:$AA$5,2,FALSE),VLOOKUP(B83,$Y$2:$AA$5,2,FALSE)+VLOOKUP(B83,$Y$2:$AA$5,3,FALSE))+IF(OR(B83="Melee",B83="Brawl"),$Z$6,0)+IF(AND(VLOOKUP(B83,$Y$2:$AB$5,4,FALSE)="Yes",'House Rules'!B91="Potent"),1,0)</f>
        <v>3</v>
      </c>
      <c r="G83" s="247" t="s">
        <v>109</v>
      </c>
      <c r="H83" s="247">
        <v>1</v>
      </c>
      <c r="I83" s="247">
        <f>IF('House Rules'!$B$11="off",IF(H83="--","--",IF(B83="brawl",(H83+CharacterSheet!$E$55+CharacterSheet!$E$7)/2+CharacterSheet!$G$7,IF(B83="melee",(H83+CharacterSheet!$E$7+CharacterSheet!$M$54)/2+CharacterSheet!$G$7,"--"))),IF(H83="--","--",IF(B83="brawl",(H83+CharacterSheet!$E$55+CharacterSheet!$D$35+IF(CharacterSheet!$D$41="N/A",0,CharacterSheet!$D$41)+CharacterSheet!$E$7)/2+CharacterSheet!$G$7,IF(B83="melee",(H83+CharacterSheet!$E$7+CharacterSheet!$D$35+IF(CharacterSheet!$D$41="N/A",0,CharacterSheet!$D$41)+CharacterSheet!$M$54)/2+CharacterSheet!$G$7,"--"))))</f>
        <v>1</v>
      </c>
      <c r="J83" s="247">
        <v>6</v>
      </c>
      <c r="K83" s="247" t="s">
        <v>816</v>
      </c>
      <c r="L83" s="252" t="s">
        <v>816</v>
      </c>
    </row>
    <row r="84" spans="1:12" x14ac:dyDescent="0.25">
      <c r="A84" s="246" t="s">
        <v>850</v>
      </c>
      <c r="B84" s="247" t="s">
        <v>48</v>
      </c>
      <c r="C84" s="247">
        <v>4</v>
      </c>
      <c r="D84" s="247">
        <f>C84+VLOOKUP(B84,$Y$2:$AA$5,2,FALSE)+VLOOKUP(B84,$Y$2:$AA$5,3,FALSE)+IF(AND('House Rules'!$B$10="Potent",VLOOKUP(B84,$Y$2:$AB$5,4,FALSE)="Yes"),1,0)+$Z$7</f>
        <v>5</v>
      </c>
      <c r="E84" s="247">
        <v>5</v>
      </c>
      <c r="F84" s="247">
        <f>E84+IF('House Rules'!$B$12="Off",VLOOKUP(B84,$Y$2:$AA$5,2,FALSE),VLOOKUP(B84,$Y$2:$AA$5,2,FALSE)+VLOOKUP(B84,$Y$2:$AA$5,3,FALSE))+IF(OR(B84="Melee",B84="Brawl"),$Z$6,0)+IF(AND(VLOOKUP(B84,$Y$2:$AB$5,4,FALSE)="Yes",'House Rules'!B92="Potent"),1,0)</f>
        <v>6</v>
      </c>
      <c r="G84" s="247" t="s">
        <v>110</v>
      </c>
      <c r="H84" s="247">
        <v>3</v>
      </c>
      <c r="I84" s="247">
        <f>IF('House Rules'!$B$11="off",IF(H84="--","--",IF(B84="brawl",(H84+CharacterSheet!$E$55+CharacterSheet!$E$7)/2+CharacterSheet!$G$7,IF(B84="melee",(H84+CharacterSheet!$E$7+CharacterSheet!$M$54)/2+CharacterSheet!$G$7,"--"))),IF(H84="--","--",IF(B84="brawl",(H84+CharacterSheet!$E$55+CharacterSheet!$D$35+IF(CharacterSheet!$D$41="N/A",0,CharacterSheet!$D$41)+CharacterSheet!$E$7)/2+CharacterSheet!$G$7,IF(B84="melee",(H84+CharacterSheet!$E$7+CharacterSheet!$D$35+IF(CharacterSheet!$D$41="N/A",0,CharacterSheet!$D$41)+CharacterSheet!$M$54)/2+CharacterSheet!$G$7,"--"))))</f>
        <v>2</v>
      </c>
      <c r="J84" s="247">
        <v>5</v>
      </c>
      <c r="K84" s="247" t="s">
        <v>816</v>
      </c>
      <c r="L84" s="252" t="s">
        <v>816</v>
      </c>
    </row>
    <row r="85" spans="1:12" x14ac:dyDescent="0.25">
      <c r="A85" s="246" t="s">
        <v>768</v>
      </c>
      <c r="B85" s="247" t="s">
        <v>54</v>
      </c>
      <c r="C85" s="247">
        <v>-1</v>
      </c>
      <c r="D85" s="247">
        <f>C85+VLOOKUP(B85,$Y$2:$AA$5,2,FALSE)+VLOOKUP(B85,$Y$2:$AA$5,3,FALSE)+IF(AND('House Rules'!$B$10="Potent",VLOOKUP(B85,$Y$2:$AB$5,4,FALSE)="Yes"),1,0)+$Z$7</f>
        <v>0</v>
      </c>
      <c r="E85" s="247">
        <v>2</v>
      </c>
      <c r="F85" s="247">
        <f>E85+IF('House Rules'!$B$12="Off",VLOOKUP(B85,$Y$2:$AA$5,2,FALSE),VLOOKUP(B85,$Y$2:$AA$5,2,FALSE)+VLOOKUP(B85,$Y$2:$AA$5,3,FALSE))+IF(OR(B85="Melee",B85="Brawl"),$Z$6,0)+IF(AND(VLOOKUP(B85,$Y$2:$AB$5,4,FALSE)="Yes",'House Rules'!B93="Potent"),1,0)</f>
        <v>2</v>
      </c>
      <c r="G85" s="247" t="s">
        <v>110</v>
      </c>
      <c r="H85" s="247" t="s">
        <v>816</v>
      </c>
      <c r="I85" s="247" t="str">
        <f>IF('House Rules'!$B$11="off",IF(H85="--","--",IF(B85="brawl",(H85+CharacterSheet!$E$55+CharacterSheet!$E$7)/2+CharacterSheet!$G$7,IF(B85="melee",(H85+CharacterSheet!$E$7+CharacterSheet!$M$54)/2+CharacterSheet!$G$7,"--"))),IF(H85="--","--",IF(B85="brawl",(H85+CharacterSheet!$E$55+CharacterSheet!$D$35+IF(CharacterSheet!$D$41="N/A",0,CharacterSheet!$D$41)+CharacterSheet!$E$7)/2+CharacterSheet!$G$7,IF(B85="melee",(H85+CharacterSheet!$E$7+CharacterSheet!$D$35+IF(CharacterSheet!$D$41="N/A",0,CharacterSheet!$D$41)+CharacterSheet!$M$54)/2+CharacterSheet!$G$7,"--"))))</f>
        <v>--</v>
      </c>
      <c r="J85" s="247">
        <v>5</v>
      </c>
      <c r="K85" s="247">
        <f>IF('Purchased Knacks'!$E$13="Yes",10*LOOKUP(CharacterSheet!$F$6,Reference!$H$2:$H$12,Reference!$J$2:$J$12)*2,10*LOOKUP(CharacterSheet!$F$6,Reference!$H$2:$H$12,Reference!$J$2:$J$12))</f>
        <v>10</v>
      </c>
      <c r="L85" s="252" t="s">
        <v>816</v>
      </c>
    </row>
    <row r="86" spans="1:12" x14ac:dyDescent="0.25">
      <c r="A86" s="246" t="s">
        <v>878</v>
      </c>
      <c r="B86" s="247" t="s">
        <v>48</v>
      </c>
      <c r="C86" s="247">
        <v>2</v>
      </c>
      <c r="D86" s="247">
        <f>C86+VLOOKUP(B86,$Y$2:$AA$5,2,FALSE)+VLOOKUP(B86,$Y$2:$AA$5,3,FALSE)+IF(AND('House Rules'!$B$10="Potent",VLOOKUP(B86,$Y$2:$AB$5,4,FALSE)="Yes"),1,0)+$Z$7</f>
        <v>3</v>
      </c>
      <c r="E86" s="247">
        <v>4</v>
      </c>
      <c r="F86" s="247">
        <f>E86+IF('House Rules'!$B$12="Off",VLOOKUP(B86,$Y$2:$AA$5,2,FALSE),VLOOKUP(B86,$Y$2:$AA$5,2,FALSE)+VLOOKUP(B86,$Y$2:$AA$5,3,FALSE))+IF(OR(B86="Melee",B86="Brawl"),$Z$6,0)+IF(AND(VLOOKUP(B86,$Y$2:$AB$5,4,FALSE)="Yes",'House Rules'!B94="Potent"),1,0)</f>
        <v>5</v>
      </c>
      <c r="G86" s="247" t="s">
        <v>109</v>
      </c>
      <c r="H86" s="247">
        <v>3</v>
      </c>
      <c r="I86" s="247">
        <f>IF('House Rules'!$B$11="off",IF(H86="--","--",IF(B86="brawl",(H86+CharacterSheet!$E$55+CharacterSheet!$E$7)/2+CharacterSheet!$G$7,IF(B86="melee",(H86+CharacterSheet!$E$7+CharacterSheet!$M$54)/2+CharacterSheet!$G$7,"--"))),IF(H86="--","--",IF(B86="brawl",(H86+CharacterSheet!$E$55+CharacterSheet!$D$35+IF(CharacterSheet!$D$41="N/A",0,CharacterSheet!$D$41)+CharacterSheet!$E$7)/2+CharacterSheet!$G$7,IF(B86="melee",(H86+CharacterSheet!$E$7+CharacterSheet!$D$35+IF(CharacterSheet!$D$41="N/A",0,CharacterSheet!$D$41)+CharacterSheet!$M$54)/2+CharacterSheet!$G$7,"--"))))</f>
        <v>2</v>
      </c>
      <c r="J86" s="247">
        <v>4</v>
      </c>
      <c r="K86" s="247" t="s">
        <v>816</v>
      </c>
      <c r="L86" s="252" t="s">
        <v>816</v>
      </c>
    </row>
    <row r="87" spans="1:12" x14ac:dyDescent="0.25">
      <c r="A87" s="246" t="s">
        <v>715</v>
      </c>
      <c r="B87" s="247" t="s">
        <v>48</v>
      </c>
      <c r="C87" s="247">
        <v>1</v>
      </c>
      <c r="D87" s="247">
        <f>C87+VLOOKUP(B87,$Y$2:$AA$5,2,FALSE)+VLOOKUP(B87,$Y$2:$AA$5,3,FALSE)+IF(AND('House Rules'!$B$10="Potent",VLOOKUP(B87,$Y$2:$AB$5,4,FALSE)="Yes"),1,0)+$Z$7</f>
        <v>2</v>
      </c>
      <c r="E87" s="247">
        <v>6</v>
      </c>
      <c r="F87" s="247">
        <f>E87+IF('House Rules'!$B$12="Off",VLOOKUP(B87,$Y$2:$AA$5,2,FALSE),VLOOKUP(B87,$Y$2:$AA$5,2,FALSE)+VLOOKUP(B87,$Y$2:$AA$5,3,FALSE))+IF(OR(B87="Melee",B87="Brawl"),$Z$6,0)+IF(AND(VLOOKUP(B87,$Y$2:$AB$5,4,FALSE)="Yes",'House Rules'!B95="Potent"),1,0)</f>
        <v>7</v>
      </c>
      <c r="G87" s="247" t="s">
        <v>110</v>
      </c>
      <c r="H87" s="247">
        <v>0</v>
      </c>
      <c r="I87" s="247">
        <f>IF('House Rules'!$B$11="off",IF(H87="--","--",IF(B87="brawl",(H87+CharacterSheet!$E$55+CharacterSheet!$E$7)/2+CharacterSheet!$G$7,IF(B87="melee",(H87+CharacterSheet!$E$7+CharacterSheet!$M$54)/2+CharacterSheet!$G$7,"--"))),IF(H87="--","--",IF(B87="brawl",(H87+CharacterSheet!$E$55+CharacterSheet!$D$35+IF(CharacterSheet!$D$41="N/A",0,CharacterSheet!$D$41)+CharacterSheet!$E$7)/2+CharacterSheet!$G$7,IF(B87="melee",(H87+CharacterSheet!$E$7+CharacterSheet!$D$35+IF(CharacterSheet!$D$41="N/A",0,CharacterSheet!$D$41)+CharacterSheet!$M$54)/2+CharacterSheet!$G$7,"--"))))</f>
        <v>0.5</v>
      </c>
      <c r="J87" s="247">
        <v>5</v>
      </c>
      <c r="K87" s="247" t="s">
        <v>816</v>
      </c>
      <c r="L87" s="252" t="s">
        <v>816</v>
      </c>
    </row>
    <row r="88" spans="1:12" x14ac:dyDescent="0.25">
      <c r="A88" s="246" t="s">
        <v>839</v>
      </c>
      <c r="B88" s="247" t="s">
        <v>815</v>
      </c>
      <c r="C88" s="247">
        <v>4</v>
      </c>
      <c r="D88" s="247">
        <f>C88+VLOOKUP(B88,$Y$2:$AA$5,2,FALSE)+VLOOKUP(B88,$Y$2:$AA$5,3,FALSE)+IF(AND('House Rules'!$B$10="Potent",VLOOKUP(B88,$Y$2:$AB$5,4,FALSE)="Yes"),1,0)+$Z$7</f>
        <v>5</v>
      </c>
      <c r="E88" s="247">
        <v>5</v>
      </c>
      <c r="F88" s="247">
        <f>E88+IF('House Rules'!$B$12="Off",VLOOKUP(B88,$Y$2:$AA$5,2,FALSE),VLOOKUP(B88,$Y$2:$AA$5,2,FALSE)+VLOOKUP(B88,$Y$2:$AA$5,3,FALSE))+IF(OR(B88="Melee",B88="Brawl"),$Z$6,0)+IF(AND(VLOOKUP(B88,$Y$2:$AB$5,4,FALSE)="Yes",'House Rules'!B96="Potent"),1,0)</f>
        <v>5</v>
      </c>
      <c r="G88" s="247" t="s">
        <v>110</v>
      </c>
      <c r="H88" s="16" t="s">
        <v>816</v>
      </c>
      <c r="I88" s="247" t="str">
        <f>IF('House Rules'!$B$11="off",IF(H88="--","--",IF(B88="brawl",(H88+CharacterSheet!$E$55+CharacterSheet!$E$7)/2+CharacterSheet!$G$7,IF(B88="melee",(H88+CharacterSheet!$E$7+CharacterSheet!$M$54)/2+CharacterSheet!$G$7,"--"))),IF(H88="--","--",IF(B88="brawl",(H88+CharacterSheet!$E$55+CharacterSheet!$D$35+IF(CharacterSheet!$D$41="N/A",0,CharacterSheet!$D$41)+CharacterSheet!$E$7)/2+CharacterSheet!$G$7,IF(B88="melee",(H88+CharacterSheet!$E$7+CharacterSheet!$D$35+IF(CharacterSheet!$D$41="N/A",0,CharacterSheet!$D$41)+CharacterSheet!$M$54)/2+CharacterSheet!$G$7,"--"))))</f>
        <v>--</v>
      </c>
      <c r="J88" s="247">
        <v>5</v>
      </c>
      <c r="K88" s="247">
        <v>80</v>
      </c>
      <c r="L88" s="18" t="s">
        <v>816</v>
      </c>
    </row>
    <row r="89" spans="1:12" x14ac:dyDescent="0.25">
      <c r="A89" s="246" t="s">
        <v>840</v>
      </c>
      <c r="B89" s="247" t="s">
        <v>48</v>
      </c>
      <c r="C89" s="247">
        <v>3</v>
      </c>
      <c r="D89" s="247">
        <f>C89+VLOOKUP(B89,$Y$2:$AA$5,2,FALSE)+VLOOKUP(B89,$Y$2:$AA$5,3,FALSE)+IF(AND('House Rules'!$B$10="Potent",VLOOKUP(B89,$Y$2:$AB$5,4,FALSE)="Yes"),1,0)+$Z$7</f>
        <v>4</v>
      </c>
      <c r="E89" s="247">
        <v>6</v>
      </c>
      <c r="F89" s="247">
        <f>E89+IF('House Rules'!$B$12="Off",VLOOKUP(B89,$Y$2:$AA$5,2,FALSE),VLOOKUP(B89,$Y$2:$AA$5,2,FALSE)+VLOOKUP(B89,$Y$2:$AA$5,3,FALSE))+IF(OR(B89="Melee",B89="Brawl"),$Z$6,0)+IF(AND(VLOOKUP(B89,$Y$2:$AB$5,4,FALSE)="Yes",'House Rules'!B97="Potent"),1,0)</f>
        <v>7</v>
      </c>
      <c r="G89" s="247" t="s">
        <v>110</v>
      </c>
      <c r="H89" s="247">
        <v>2</v>
      </c>
      <c r="I89" s="247">
        <f>IF('House Rules'!$B$11="off",IF(H89="--","--",IF(B89="brawl",(H89+CharacterSheet!$E$55+CharacterSheet!$E$7)/2+CharacterSheet!$G$7,IF(B89="melee",(H89+CharacterSheet!$E$7+CharacterSheet!$M$54)/2+CharacterSheet!$G$7,"--"))),IF(H89="--","--",IF(B89="brawl",(H89+CharacterSheet!$E$55+CharacterSheet!$D$35+IF(CharacterSheet!$D$41="N/A",0,CharacterSheet!$D$41)+CharacterSheet!$E$7)/2+CharacterSheet!$G$7,IF(B89="melee",(H89+CharacterSheet!$E$7+CharacterSheet!$D$35+IF(CharacterSheet!$D$41="N/A",0,CharacterSheet!$D$41)+CharacterSheet!$M$54)/2+CharacterSheet!$G$7,"--"))))</f>
        <v>1.5</v>
      </c>
      <c r="J89" s="247">
        <v>4</v>
      </c>
      <c r="K89" s="16" t="s">
        <v>816</v>
      </c>
      <c r="L89" s="18" t="s">
        <v>816</v>
      </c>
    </row>
    <row r="90" spans="1:12" x14ac:dyDescent="0.25">
      <c r="A90" s="246" t="s">
        <v>841</v>
      </c>
      <c r="B90" s="247" t="s">
        <v>48</v>
      </c>
      <c r="C90" s="247">
        <v>3</v>
      </c>
      <c r="D90" s="247">
        <f>C90+VLOOKUP(B90,$Y$2:$AA$5,2,FALSE)+VLOOKUP(B90,$Y$2:$AA$5,3,FALSE)+IF(AND('House Rules'!$B$10="Potent",VLOOKUP(B90,$Y$2:$AB$5,4,FALSE)="Yes"),1,0)+$Z$7</f>
        <v>4</v>
      </c>
      <c r="E90" s="247">
        <v>3</v>
      </c>
      <c r="F90" s="247">
        <f>E90+IF('House Rules'!$B$12="Off",VLOOKUP(B90,$Y$2:$AA$5,2,FALSE),VLOOKUP(B90,$Y$2:$AA$5,2,FALSE)+VLOOKUP(B90,$Y$2:$AA$5,3,FALSE))+IF(OR(B90="Melee",B90="Brawl"),$Z$6,0)+IF(AND(VLOOKUP(B90,$Y$2:$AB$5,4,FALSE)="Yes",'House Rules'!B98="Potent"),1,0)</f>
        <v>4</v>
      </c>
      <c r="G90" s="247" t="s">
        <v>110</v>
      </c>
      <c r="H90" s="247">
        <v>2</v>
      </c>
      <c r="I90" s="247">
        <f>IF('House Rules'!$B$11="off",IF(H90="--","--",IF(B90="brawl",(H90+CharacterSheet!$E$55+CharacterSheet!$E$7)/2+CharacterSheet!$G$7,IF(B90="melee",(H90+CharacterSheet!$E$7+CharacterSheet!$M$54)/2+CharacterSheet!$G$7,"--"))),IF(H90="--","--",IF(B90="brawl",(H90+CharacterSheet!$E$55+CharacterSheet!$D$35+IF(CharacterSheet!$D$41="N/A",0,CharacterSheet!$D$41)+CharacterSheet!$E$7)/2+CharacterSheet!$G$7,IF(B90="melee",(H90+CharacterSheet!$E$7+CharacterSheet!$D$35+IF(CharacterSheet!$D$41="N/A",0,CharacterSheet!$D$41)+CharacterSheet!$M$54)/2+CharacterSheet!$G$7,"--"))))</f>
        <v>1.5</v>
      </c>
      <c r="J90" s="247">
        <v>4</v>
      </c>
      <c r="K90" s="16" t="s">
        <v>816</v>
      </c>
      <c r="L90" s="18" t="s">
        <v>816</v>
      </c>
    </row>
    <row r="91" spans="1:12" x14ac:dyDescent="0.25">
      <c r="A91" s="246" t="s">
        <v>716</v>
      </c>
      <c r="B91" s="247" t="s">
        <v>48</v>
      </c>
      <c r="C91" s="247">
        <v>1</v>
      </c>
      <c r="D91" s="247">
        <f>C91+VLOOKUP(B91,$Y$2:$AA$5,2,FALSE)+VLOOKUP(B91,$Y$2:$AA$5,3,FALSE)+IF(AND('House Rules'!$B$10="Potent",VLOOKUP(B91,$Y$2:$AB$5,4,FALSE)="Yes"),1,0)+$Z$7</f>
        <v>2</v>
      </c>
      <c r="E91" s="247">
        <v>4</v>
      </c>
      <c r="F91" s="247">
        <f>E91+IF('House Rules'!$B$12="Off",VLOOKUP(B91,$Y$2:$AA$5,2,FALSE),VLOOKUP(B91,$Y$2:$AA$5,2,FALSE)+VLOOKUP(B91,$Y$2:$AA$5,3,FALSE))+IF(OR(B91="Melee",B91="Brawl"),$Z$6,0)+IF(AND(VLOOKUP(B91,$Y$2:$AB$5,4,FALSE)="Yes",'House Rules'!B99="Potent"),1,0)</f>
        <v>5</v>
      </c>
      <c r="G91" s="247" t="s">
        <v>110</v>
      </c>
      <c r="H91" s="247">
        <v>1</v>
      </c>
      <c r="I91" s="247">
        <f>IF('House Rules'!$B$11="off",IF(H91="--","--",IF(B91="brawl",(H91+CharacterSheet!$E$55+CharacterSheet!$E$7)/2+CharacterSheet!$G$7,IF(B91="melee",(H91+CharacterSheet!$E$7+CharacterSheet!$M$54)/2+CharacterSheet!$G$7,"--"))),IF(H91="--","--",IF(B91="brawl",(H91+CharacterSheet!$E$55+CharacterSheet!$D$35+IF(CharacterSheet!$D$41="N/A",0,CharacterSheet!$D$41)+CharacterSheet!$E$7)/2+CharacterSheet!$G$7,IF(B91="melee",(H91+CharacterSheet!$E$7+CharacterSheet!$D$35+IF(CharacterSheet!$D$41="N/A",0,CharacterSheet!$D$41)+CharacterSheet!$M$54)/2+CharacterSheet!$G$7,"--"))))</f>
        <v>1</v>
      </c>
      <c r="J91" s="247">
        <v>4</v>
      </c>
      <c r="K91" s="247" t="s">
        <v>816</v>
      </c>
      <c r="L91" s="252" t="s">
        <v>816</v>
      </c>
    </row>
    <row r="92" spans="1:12" x14ac:dyDescent="0.25">
      <c r="A92" s="246" t="s">
        <v>793</v>
      </c>
      <c r="B92" s="247" t="s">
        <v>815</v>
      </c>
      <c r="C92" s="247">
        <v>0</v>
      </c>
      <c r="D92" s="247">
        <f>C92+VLOOKUP(B92,$Y$2:$AA$5,2,FALSE)+VLOOKUP(B92,$Y$2:$AA$5,3,FALSE)+IF(AND('House Rules'!$B$10="Potent",VLOOKUP(B92,$Y$2:$AB$5,4,FALSE)="Yes"),1,0)+$Z$7</f>
        <v>1</v>
      </c>
      <c r="E92" s="247">
        <v>5</v>
      </c>
      <c r="F92" s="247">
        <f>E92+IF('House Rules'!$B$12="Off",VLOOKUP(B92,$Y$2:$AA$5,2,FALSE),VLOOKUP(B92,$Y$2:$AA$5,2,FALSE)+VLOOKUP(B92,$Y$2:$AA$5,3,FALSE))+IF(OR(B92="Melee",B92="Brawl"),$Z$6,0)+IF(AND(VLOOKUP(B92,$Y$2:$AB$5,4,FALSE)="Yes",'House Rules'!B100="Potent"),1,0)</f>
        <v>5</v>
      </c>
      <c r="G92" s="247" t="s">
        <v>110</v>
      </c>
      <c r="H92" s="247" t="s">
        <v>816</v>
      </c>
      <c r="I92" s="247" t="str">
        <f>IF('House Rules'!$B$11="off",IF(H92="--","--",IF(B92="brawl",(H92+CharacterSheet!$E$55+CharacterSheet!$E$7)/2+CharacterSheet!$G$7,IF(B92="melee",(H92+CharacterSheet!$E$7+CharacterSheet!$M$54)/2+CharacterSheet!$G$7,"--"))),IF(H92="--","--",IF(B92="brawl",(H92+CharacterSheet!$E$55+CharacterSheet!$D$35+IF(CharacterSheet!$D$41="N/A",0,CharacterSheet!$D$41)+CharacterSheet!$E$7)/2+CharacterSheet!$G$7,IF(B92="melee",(H92+CharacterSheet!$E$7+CharacterSheet!$D$35+IF(CharacterSheet!$D$41="N/A",0,CharacterSheet!$D$41)+CharacterSheet!$M$54)/2+CharacterSheet!$G$7,"--"))))</f>
        <v>--</v>
      </c>
      <c r="J92" s="247">
        <v>5</v>
      </c>
      <c r="K92" s="247">
        <v>100</v>
      </c>
      <c r="L92" s="252">
        <v>30</v>
      </c>
    </row>
    <row r="93" spans="1:12" x14ac:dyDescent="0.25">
      <c r="A93" s="246" t="s">
        <v>859</v>
      </c>
      <c r="B93" s="247" t="s">
        <v>48</v>
      </c>
      <c r="C93" s="247">
        <v>4</v>
      </c>
      <c r="D93" s="247">
        <f>C93+VLOOKUP(B93,$Y$2:$AA$5,2,FALSE)+VLOOKUP(B93,$Y$2:$AA$5,3,FALSE)+IF(AND('House Rules'!$B$10="Potent",VLOOKUP(B93,$Y$2:$AB$5,4,FALSE)="Yes"),1,0)+$Z$7</f>
        <v>5</v>
      </c>
      <c r="E93" s="247">
        <v>7</v>
      </c>
      <c r="F93" s="247">
        <f>E93+IF('House Rules'!$B$12="Off",VLOOKUP(B93,$Y$2:$AA$5,2,FALSE),VLOOKUP(B93,$Y$2:$AA$5,2,FALSE)+VLOOKUP(B93,$Y$2:$AA$5,3,FALSE))+IF(OR(B93="Melee",B93="Brawl"),$Z$6,0)+IF(AND(VLOOKUP(B93,$Y$2:$AB$5,4,FALSE)="Yes",'House Rules'!B101="Potent"),1,0)</f>
        <v>8</v>
      </c>
      <c r="G93" s="247" t="s">
        <v>110</v>
      </c>
      <c r="H93" s="247">
        <v>5</v>
      </c>
      <c r="I93" s="247">
        <f>IF('House Rules'!$B$11="off",IF(H93="--","--",IF(B93="brawl",(H93+CharacterSheet!$E$55+CharacterSheet!$E$7)/2+CharacterSheet!$G$7,IF(B93="melee",(H93+CharacterSheet!$E$7+CharacterSheet!$M$54)/2+CharacterSheet!$G$7,"--"))),IF(H93="--","--",IF(B93="brawl",(H93+CharacterSheet!$E$55+CharacterSheet!$D$35+IF(CharacterSheet!$D$41="N/A",0,CharacterSheet!$D$41)+CharacterSheet!$E$7)/2+CharacterSheet!$G$7,IF(B93="melee",(H93+CharacterSheet!$E$7+CharacterSheet!$D$35+IF(CharacterSheet!$D$41="N/A",0,CharacterSheet!$D$41)+CharacterSheet!$M$54)/2+CharacterSheet!$G$7,"--"))))</f>
        <v>3</v>
      </c>
      <c r="J93" s="247">
        <v>3</v>
      </c>
      <c r="K93" s="247" t="s">
        <v>816</v>
      </c>
      <c r="L93" s="252" t="s">
        <v>816</v>
      </c>
    </row>
    <row r="94" spans="1:12" x14ac:dyDescent="0.25">
      <c r="A94" s="246" t="s">
        <v>842</v>
      </c>
      <c r="B94" s="247" t="s">
        <v>815</v>
      </c>
      <c r="C94" s="247">
        <v>3</v>
      </c>
      <c r="D94" s="247">
        <f>C94+VLOOKUP(B94,$Y$2:$AA$5,2,FALSE)+VLOOKUP(B94,$Y$2:$AA$5,3,FALSE)+IF(AND('House Rules'!$B$10="Potent",VLOOKUP(B94,$Y$2:$AB$5,4,FALSE)="Yes"),1,0)+$Z$7</f>
        <v>4</v>
      </c>
      <c r="E94" s="247">
        <v>3</v>
      </c>
      <c r="F94" s="247">
        <f>E94+IF('House Rules'!$B$12="Off",VLOOKUP(B94,$Y$2:$AA$5,2,FALSE),VLOOKUP(B94,$Y$2:$AA$5,2,FALSE)+VLOOKUP(B94,$Y$2:$AA$5,3,FALSE))+IF(OR(B94="Melee",B94="Brawl"),$Z$6,0)+IF(AND(VLOOKUP(B94,$Y$2:$AB$5,4,FALSE)="Yes",'House Rules'!B102="Potent"),1,0)</f>
        <v>3</v>
      </c>
      <c r="G94" s="247" t="s">
        <v>110</v>
      </c>
      <c r="H94" s="16" t="s">
        <v>816</v>
      </c>
      <c r="I94" s="247" t="str">
        <f>IF('House Rules'!$B$11="off",IF(H94="--","--",IF(B94="brawl",(H94+CharacterSheet!$E$55+CharacterSheet!$E$7)/2+CharacterSheet!$G$7,IF(B94="melee",(H94+CharacterSheet!$E$7+CharacterSheet!$M$54)/2+CharacterSheet!$G$7,"--"))),IF(H94="--","--",IF(B94="brawl",(H94+CharacterSheet!$E$55+CharacterSheet!$D$35+IF(CharacterSheet!$D$41="N/A",0,CharacterSheet!$D$41)+CharacterSheet!$E$7)/2+CharacterSheet!$G$7,IF(B94="melee",(H94+CharacterSheet!$E$7+CharacterSheet!$D$35+IF(CharacterSheet!$D$41="N/A",0,CharacterSheet!$D$41)+CharacterSheet!$M$54)/2+CharacterSheet!$G$7,"--"))))</f>
        <v>--</v>
      </c>
      <c r="J94" s="247">
        <v>5</v>
      </c>
      <c r="K94" s="247">
        <v>80</v>
      </c>
      <c r="L94" s="18" t="s">
        <v>816</v>
      </c>
    </row>
    <row r="95" spans="1:12" x14ac:dyDescent="0.25">
      <c r="A95" s="246" t="s">
        <v>843</v>
      </c>
      <c r="B95" s="247" t="s">
        <v>48</v>
      </c>
      <c r="C95" s="247">
        <v>3</v>
      </c>
      <c r="D95" s="247">
        <f>C95+VLOOKUP(B95,$Y$2:$AA$5,2,FALSE)+VLOOKUP(B95,$Y$2:$AA$5,3,FALSE)+IF(AND('House Rules'!$B$10="Potent",VLOOKUP(B95,$Y$2:$AB$5,4,FALSE)="Yes"),1,0)+$Z$7</f>
        <v>4</v>
      </c>
      <c r="E95" s="247">
        <v>2</v>
      </c>
      <c r="F95" s="247">
        <f>E95+IF('House Rules'!$B$12="Off",VLOOKUP(B95,$Y$2:$AA$5,2,FALSE),VLOOKUP(B95,$Y$2:$AA$5,2,FALSE)+VLOOKUP(B95,$Y$2:$AA$5,3,FALSE))+IF(OR(B95="Melee",B95="Brawl"),$Z$6,0)+IF(AND(VLOOKUP(B95,$Y$2:$AB$5,4,FALSE)="Yes",'House Rules'!B103="Potent"),1,0)</f>
        <v>3</v>
      </c>
      <c r="G95" s="247" t="s">
        <v>110</v>
      </c>
      <c r="H95" s="247">
        <v>2</v>
      </c>
      <c r="I95" s="247">
        <f>IF('House Rules'!$B$11="off",IF(H95="--","--",IF(B95="brawl",(H95+CharacterSheet!$E$55+CharacterSheet!$E$7)/2+CharacterSheet!$G$7,IF(B95="melee",(H95+CharacterSheet!$E$7+CharacterSheet!$M$54)/2+CharacterSheet!$G$7,"--"))),IF(H95="--","--",IF(B95="brawl",(H95+CharacterSheet!$E$55+CharacterSheet!$D$35+IF(CharacterSheet!$D$41="N/A",0,CharacterSheet!$D$41)+CharacterSheet!$E$7)/2+CharacterSheet!$G$7,IF(B95="melee",(H95+CharacterSheet!$E$7+CharacterSheet!$D$35+IF(CharacterSheet!$D$41="N/A",0,CharacterSheet!$D$41)+CharacterSheet!$M$54)/2+CharacterSheet!$G$7,"--"))))</f>
        <v>1.5</v>
      </c>
      <c r="J95" s="247">
        <v>4</v>
      </c>
      <c r="K95" s="16" t="s">
        <v>816</v>
      </c>
      <c r="L95" s="18" t="s">
        <v>816</v>
      </c>
    </row>
    <row r="96" spans="1:12" x14ac:dyDescent="0.25">
      <c r="A96" s="246" t="s">
        <v>844</v>
      </c>
      <c r="B96" s="247" t="s">
        <v>48</v>
      </c>
      <c r="C96" s="247">
        <v>3</v>
      </c>
      <c r="D96" s="247">
        <f>C96+VLOOKUP(B96,$Y$2:$AA$5,2,FALSE)+VLOOKUP(B96,$Y$2:$AA$5,3,FALSE)+IF(AND('House Rules'!$B$10="Potent",VLOOKUP(B96,$Y$2:$AB$5,4,FALSE)="Yes"),1,0)+$Z$7</f>
        <v>4</v>
      </c>
      <c r="E96" s="247">
        <v>2</v>
      </c>
      <c r="F96" s="247">
        <f>E96+IF('House Rules'!$B$12="Off",VLOOKUP(B96,$Y$2:$AA$5,2,FALSE),VLOOKUP(B96,$Y$2:$AA$5,2,FALSE)+VLOOKUP(B96,$Y$2:$AA$5,3,FALSE))+IF(OR(B96="Melee",B96="Brawl"),$Z$6,0)+IF(AND(VLOOKUP(B96,$Y$2:$AB$5,4,FALSE)="Yes",'House Rules'!B104="Potent"),1,0)</f>
        <v>3</v>
      </c>
      <c r="G96" s="247" t="s">
        <v>110</v>
      </c>
      <c r="H96" s="247">
        <v>2</v>
      </c>
      <c r="I96" s="247">
        <f>IF('House Rules'!$B$11="off",IF(H96="--","--",IF(B96="brawl",(H96+CharacterSheet!$E$55+CharacterSheet!$E$7)/2+CharacterSheet!$G$7,IF(B96="melee",(H96+CharacterSheet!$E$7+CharacterSheet!$M$54)/2+CharacterSheet!$G$7,"--"))),IF(H96="--","--",IF(B96="brawl",(H96+CharacterSheet!$E$55+CharacterSheet!$D$35+IF(CharacterSheet!$D$41="N/A",0,CharacterSheet!$D$41)+CharacterSheet!$E$7)/2+CharacterSheet!$G$7,IF(B96="melee",(H96+CharacterSheet!$E$7+CharacterSheet!$D$35+IF(CharacterSheet!$D$41="N/A",0,CharacterSheet!$D$41)+CharacterSheet!$M$54)/2+CharacterSheet!$G$7,"--"))))</f>
        <v>1.5</v>
      </c>
      <c r="J96" s="247">
        <v>4</v>
      </c>
      <c r="K96" s="16" t="s">
        <v>816</v>
      </c>
      <c r="L96" s="18" t="s">
        <v>816</v>
      </c>
    </row>
    <row r="97" spans="1:12" x14ac:dyDescent="0.25">
      <c r="A97" s="246" t="s">
        <v>769</v>
      </c>
      <c r="B97" s="247" t="s">
        <v>815</v>
      </c>
      <c r="C97" s="247">
        <v>-1</v>
      </c>
      <c r="D97" s="247">
        <f>C97+VLOOKUP(B97,$Y$2:$AA$5,2,FALSE)+VLOOKUP(B97,$Y$2:$AA$5,3,FALSE)+IF(AND('House Rules'!$B$10="Potent",VLOOKUP(B97,$Y$2:$AB$5,4,FALSE)="Yes"),1,0)+$Z$7</f>
        <v>0</v>
      </c>
      <c r="E97" s="247">
        <v>3</v>
      </c>
      <c r="F97" s="247">
        <f>E97+IF('House Rules'!$B$12="Off",VLOOKUP(B97,$Y$2:$AA$5,2,FALSE),VLOOKUP(B97,$Y$2:$AA$5,2,FALSE)+VLOOKUP(B97,$Y$2:$AA$5,3,FALSE))+IF(OR(B97="Melee",B97="Brawl"),$Z$6,0)+IF(AND(VLOOKUP(B97,$Y$2:$AB$5,4,FALSE)="Yes",'House Rules'!B105="Potent"),1,0)</f>
        <v>3</v>
      </c>
      <c r="G97" s="247" t="s">
        <v>109</v>
      </c>
      <c r="H97" s="247" t="s">
        <v>816</v>
      </c>
      <c r="I97" s="247" t="str">
        <f>IF('House Rules'!$B$11="off",IF(H97="--","--",IF(B97="brawl",(H97+CharacterSheet!$E$55+CharacterSheet!$E$7)/2+CharacterSheet!$G$7,IF(B97="melee",(H97+CharacterSheet!$E$7+CharacterSheet!$M$54)/2+CharacterSheet!$G$7,"--"))),IF(H97="--","--",IF(B97="brawl",(H97+CharacterSheet!$E$55+CharacterSheet!$D$35+IF(CharacterSheet!$D$41="N/A",0,CharacterSheet!$D$41)+CharacterSheet!$E$7)/2+CharacterSheet!$G$7,IF(B97="melee",(H97+CharacterSheet!$E$7+CharacterSheet!$D$35+IF(CharacterSheet!$D$41="N/A",0,CharacterSheet!$D$41)+CharacterSheet!$M$54)/2+CharacterSheet!$G$7,"--"))))</f>
        <v>--</v>
      </c>
      <c r="J97" s="247">
        <v>6</v>
      </c>
      <c r="K97" s="247">
        <v>20</v>
      </c>
      <c r="L97" s="252">
        <v>1</v>
      </c>
    </row>
    <row r="98" spans="1:12" x14ac:dyDescent="0.25">
      <c r="A98" s="246" t="s">
        <v>838</v>
      </c>
      <c r="B98" s="247" t="s">
        <v>48</v>
      </c>
      <c r="C98" s="247">
        <v>3</v>
      </c>
      <c r="D98" s="247">
        <f>C98+VLOOKUP(B98,$Y$2:$AA$5,2,FALSE)+VLOOKUP(B98,$Y$2:$AA$5,3,FALSE)+IF(AND('House Rules'!$B$10="Potent",VLOOKUP(B98,$Y$2:$AB$5,4,FALSE)="Yes"),1,0)+$Z$7</f>
        <v>4</v>
      </c>
      <c r="E98" s="247">
        <v>4</v>
      </c>
      <c r="F98" s="247">
        <f>E98+IF('House Rules'!$B$12="Off",VLOOKUP(B98,$Y$2:$AA$5,2,FALSE),VLOOKUP(B98,$Y$2:$AA$5,2,FALSE)+VLOOKUP(B98,$Y$2:$AA$5,3,FALSE))+IF(OR(B98="Melee",B98="Brawl"),$Z$6,0)+IF(AND(VLOOKUP(B98,$Y$2:$AB$5,4,FALSE)="Yes",'House Rules'!B106="Potent"),1,0)</f>
        <v>5</v>
      </c>
      <c r="G98" s="247" t="s">
        <v>110</v>
      </c>
      <c r="H98" s="247">
        <v>2</v>
      </c>
      <c r="I98" s="247">
        <f>IF('House Rules'!$B$11="off",IF(H98="--","--",IF(B98="brawl",(H98+CharacterSheet!$E$55+CharacterSheet!$E$7)/2+CharacterSheet!$G$7,IF(B98="melee",(H98+CharacterSheet!$E$7+CharacterSheet!$M$54)/2+CharacterSheet!$G$7,"--"))),IF(H98="--","--",IF(B98="brawl",(H98+CharacterSheet!$E$55+CharacterSheet!$D$35+IF(CharacterSheet!$D$41="N/A",0,CharacterSheet!$D$41)+CharacterSheet!$E$7)/2+CharacterSheet!$G$7,IF(B98="melee",(H98+CharacterSheet!$E$7+CharacterSheet!$D$35+IF(CharacterSheet!$D$41="N/A",0,CharacterSheet!$D$41)+CharacterSheet!$M$54)/2+CharacterSheet!$G$7,"--"))))</f>
        <v>1.5</v>
      </c>
      <c r="J98" s="247">
        <v>5</v>
      </c>
      <c r="K98" s="16" t="s">
        <v>816</v>
      </c>
      <c r="L98" s="18" t="s">
        <v>816</v>
      </c>
    </row>
    <row r="99" spans="1:12" x14ac:dyDescent="0.25">
      <c r="A99" s="246" t="s">
        <v>717</v>
      </c>
      <c r="B99" s="247" t="s">
        <v>48</v>
      </c>
      <c r="C99" s="247">
        <v>0</v>
      </c>
      <c r="D99" s="247">
        <f>C99+VLOOKUP(B99,$Y$2:$AA$5,2,FALSE)+VLOOKUP(B99,$Y$2:$AA$5,3,FALSE)+IF(AND('House Rules'!$B$10="Potent",VLOOKUP(B99,$Y$2:$AB$5,4,FALSE)="Yes"),1,0)+$Z$7</f>
        <v>1</v>
      </c>
      <c r="E99" s="247">
        <v>4</v>
      </c>
      <c r="F99" s="247">
        <f>E99+IF('House Rules'!$B$12="Off",VLOOKUP(B99,$Y$2:$AA$5,2,FALSE),VLOOKUP(B99,$Y$2:$AA$5,2,FALSE)+VLOOKUP(B99,$Y$2:$AA$5,3,FALSE))+IF(OR(B99="Melee",B99="Brawl"),$Z$6,0)+IF(AND(VLOOKUP(B99,$Y$2:$AB$5,4,FALSE)="Yes",'House Rules'!B107="Potent"),1,0)</f>
        <v>5</v>
      </c>
      <c r="G99" s="247" t="s">
        <v>110</v>
      </c>
      <c r="H99" s="247">
        <v>2</v>
      </c>
      <c r="I99" s="247">
        <f>IF('House Rules'!$B$11="off",IF(H99="--","--",IF(B99="brawl",(H99+CharacterSheet!$E$55+CharacterSheet!$E$7)/2+CharacterSheet!$G$7,IF(B99="melee",(H99+CharacterSheet!$E$7+CharacterSheet!$M$54)/2+CharacterSheet!$G$7,"--"))),IF(H99="--","--",IF(B99="brawl",(H99+CharacterSheet!$E$55+CharacterSheet!$D$35+IF(CharacterSheet!$D$41="N/A",0,CharacterSheet!$D$41)+CharacterSheet!$E$7)/2+CharacterSheet!$G$7,IF(B99="melee",(H99+CharacterSheet!$E$7+CharacterSheet!$D$35+IF(CharacterSheet!$D$41="N/A",0,CharacterSheet!$D$41)+CharacterSheet!$M$54)/2+CharacterSheet!$G$7,"--"))))</f>
        <v>1.5</v>
      </c>
      <c r="J99" s="247">
        <v>5</v>
      </c>
      <c r="K99" s="247" t="s">
        <v>816</v>
      </c>
      <c r="L99" s="252" t="s">
        <v>816</v>
      </c>
    </row>
    <row r="100" spans="1:12" x14ac:dyDescent="0.25">
      <c r="A100" s="246" t="s">
        <v>857</v>
      </c>
      <c r="B100" s="247" t="s">
        <v>48</v>
      </c>
      <c r="C100" s="247">
        <v>4</v>
      </c>
      <c r="D100" s="247">
        <f>C100+VLOOKUP(B100,$Y$2:$AA$5,2,FALSE)+VLOOKUP(B100,$Y$2:$AA$5,3,FALSE)+IF(AND('House Rules'!$B$10="Potent",VLOOKUP(B100,$Y$2:$AB$5,4,FALSE)="Yes"),1,0)+$Z$7</f>
        <v>5</v>
      </c>
      <c r="E100" s="247">
        <v>5</v>
      </c>
      <c r="F100" s="247">
        <f>E100+IF('House Rules'!$B$12="Off",VLOOKUP(B100,$Y$2:$AA$5,2,FALSE),VLOOKUP(B100,$Y$2:$AA$5,2,FALSE)+VLOOKUP(B100,$Y$2:$AA$5,3,FALSE))+IF(OR(B100="Melee",B100="Brawl"),$Z$6,0)+IF(AND(VLOOKUP(B100,$Y$2:$AB$5,4,FALSE)="Yes",'House Rules'!B108="Potent"),1,0)</f>
        <v>6</v>
      </c>
      <c r="G100" s="247" t="s">
        <v>818</v>
      </c>
      <c r="H100" s="247">
        <v>4</v>
      </c>
      <c r="I100" s="247">
        <f>IF('House Rules'!$B$11="off",IF(H100="--","--",IF(B100="brawl",(H100+CharacterSheet!$E$55+CharacterSheet!$E$7)/2+CharacterSheet!$G$7,IF(B100="melee",(H100+CharacterSheet!$E$7+CharacterSheet!$M$54)/2+CharacterSheet!$G$7,"--"))),IF(H100="--","--",IF(B100="brawl",(H100+CharacterSheet!$E$55+CharacterSheet!$D$35+IF(CharacterSheet!$D$41="N/A",0,CharacterSheet!$D$41)+CharacterSheet!$E$7)/2+CharacterSheet!$G$7,IF(B100="melee",(H100+CharacterSheet!$E$7+CharacterSheet!$D$35+IF(CharacterSheet!$D$41="N/A",0,CharacterSheet!$D$41)+CharacterSheet!$M$54)/2+CharacterSheet!$G$7,"--"))))</f>
        <v>2.5</v>
      </c>
      <c r="J100" s="247">
        <v>4</v>
      </c>
      <c r="K100" s="247" t="s">
        <v>816</v>
      </c>
      <c r="L100" s="252" t="s">
        <v>816</v>
      </c>
    </row>
    <row r="101" spans="1:12" x14ac:dyDescent="0.25">
      <c r="A101" s="246" t="s">
        <v>880</v>
      </c>
      <c r="B101" s="247" t="s">
        <v>48</v>
      </c>
      <c r="C101" s="247">
        <v>3</v>
      </c>
      <c r="D101" s="247">
        <f>C101+VLOOKUP(B101,$Y$2:$AA$5,2,FALSE)+VLOOKUP(B101,$Y$2:$AA$5,3,FALSE)+IF(AND('House Rules'!$B$10="Potent",VLOOKUP(B101,$Y$2:$AB$5,4,FALSE)="Yes"),1,0)+$Z$7</f>
        <v>4</v>
      </c>
      <c r="E101" s="247">
        <v>7</v>
      </c>
      <c r="F101" s="247">
        <f>E101+IF('House Rules'!$B$12="Off",VLOOKUP(B101,$Y$2:$AA$5,2,FALSE),VLOOKUP(B101,$Y$2:$AA$5,2,FALSE)+VLOOKUP(B101,$Y$2:$AA$5,3,FALSE))+IF(OR(B101="Melee",B101="Brawl"),$Z$6,0)+IF(AND(VLOOKUP(B101,$Y$2:$AB$5,4,FALSE)="Yes",'House Rules'!B109="Potent"),1,0)</f>
        <v>8</v>
      </c>
      <c r="G101" s="247" t="s">
        <v>110</v>
      </c>
      <c r="H101" s="247">
        <v>4</v>
      </c>
      <c r="I101" s="247">
        <f>IF('House Rules'!$B$11="off",IF(H101="--","--",IF(B101="brawl",(H101+CharacterSheet!$E$55+CharacterSheet!$E$7)/2+CharacterSheet!$G$7,IF(B101="melee",(H101+CharacterSheet!$E$7+CharacterSheet!$M$54)/2+CharacterSheet!$G$7,"--"))),IF(H101="--","--",IF(B101="brawl",(H101+CharacterSheet!$E$55+CharacterSheet!$D$35+IF(CharacterSheet!$D$41="N/A",0,CharacterSheet!$D$41)+CharacterSheet!$E$7)/2+CharacterSheet!$G$7,IF(B101="melee",(H101+CharacterSheet!$E$7+CharacterSheet!$D$35+IF(CharacterSheet!$D$41="N/A",0,CharacterSheet!$D$41)+CharacterSheet!$M$54)/2+CharacterSheet!$G$7,"--"))))</f>
        <v>2.5</v>
      </c>
      <c r="J101" s="247">
        <v>4</v>
      </c>
      <c r="K101" s="247" t="s">
        <v>816</v>
      </c>
      <c r="L101" s="252" t="s">
        <v>816</v>
      </c>
    </row>
    <row r="102" spans="1:12" x14ac:dyDescent="0.25">
      <c r="A102" s="246" t="s">
        <v>873</v>
      </c>
      <c r="B102" s="247" t="s">
        <v>48</v>
      </c>
      <c r="C102" s="247">
        <v>2</v>
      </c>
      <c r="D102" s="247">
        <f>C102+VLOOKUP(B102,$Y$2:$AA$5,2,FALSE)+VLOOKUP(B102,$Y$2:$AA$5,3,FALSE)+IF(AND('House Rules'!$B$10="Potent",VLOOKUP(B102,$Y$2:$AB$5,4,FALSE)="Yes"),1,0)+$Z$7</f>
        <v>3</v>
      </c>
      <c r="E102" s="247">
        <v>4</v>
      </c>
      <c r="F102" s="247">
        <f>E102+IF('House Rules'!$B$12="Off",VLOOKUP(B102,$Y$2:$AA$5,2,FALSE),VLOOKUP(B102,$Y$2:$AA$5,2,FALSE)+VLOOKUP(B102,$Y$2:$AA$5,3,FALSE))+IF(OR(B102="Melee",B102="Brawl"),$Z$6,0)+IF(AND(VLOOKUP(B102,$Y$2:$AB$5,4,FALSE)="Yes",'House Rules'!B110="Potent"),1,0)</f>
        <v>5</v>
      </c>
      <c r="G102" s="247" t="s">
        <v>110</v>
      </c>
      <c r="H102" s="247">
        <v>3</v>
      </c>
      <c r="I102" s="247">
        <f>IF('House Rules'!$B$11="off",IF(H102="--","--",IF(B102="brawl",(H102+CharacterSheet!$E$55+CharacterSheet!$E$7)/2+CharacterSheet!$G$7,IF(B102="melee",(H102+CharacterSheet!$E$7+CharacterSheet!$M$54)/2+CharacterSheet!$G$7,"--"))),IF(H102="--","--",IF(B102="brawl",(H102+CharacterSheet!$E$55+CharacterSheet!$D$35+IF(CharacterSheet!$D$41="N/A",0,CharacterSheet!$D$41)+CharacterSheet!$E$7)/2+CharacterSheet!$G$7,IF(B102="melee",(H102+CharacterSheet!$E$7+CharacterSheet!$D$35+IF(CharacterSheet!$D$41="N/A",0,CharacterSheet!$D$41)+CharacterSheet!$M$54)/2+CharacterSheet!$G$7,"--"))))</f>
        <v>2</v>
      </c>
      <c r="J102" s="247">
        <v>5</v>
      </c>
      <c r="K102" s="247" t="s">
        <v>816</v>
      </c>
      <c r="L102" s="252" t="s">
        <v>816</v>
      </c>
    </row>
    <row r="103" spans="1:12" x14ac:dyDescent="0.25">
      <c r="A103" s="246" t="s">
        <v>870</v>
      </c>
      <c r="B103" s="247" t="s">
        <v>48</v>
      </c>
      <c r="C103" s="247">
        <v>3</v>
      </c>
      <c r="D103" s="247">
        <f>C103+VLOOKUP(B103,$Y$2:$AA$5,2,FALSE)+VLOOKUP(B103,$Y$2:$AA$5,3,FALSE)+IF(AND('House Rules'!$B$10="Potent",VLOOKUP(B103,$Y$2:$AB$5,4,FALSE)="Yes"),1,0)+$Z$7</f>
        <v>4</v>
      </c>
      <c r="E103" s="247">
        <v>5</v>
      </c>
      <c r="F103" s="247">
        <f>E103+IF('House Rules'!$B$12="Off",VLOOKUP(B103,$Y$2:$AA$5,2,FALSE),VLOOKUP(B103,$Y$2:$AA$5,2,FALSE)+VLOOKUP(B103,$Y$2:$AA$5,3,FALSE))+IF(OR(B103="Melee",B103="Brawl"),$Z$6,0)+IF(AND(VLOOKUP(B103,$Y$2:$AB$5,4,FALSE)="Yes",'House Rules'!B111="Potent"),1,0)</f>
        <v>6</v>
      </c>
      <c r="G103" s="247" t="s">
        <v>110</v>
      </c>
      <c r="H103" s="247">
        <v>3</v>
      </c>
      <c r="I103" s="247">
        <f>IF('House Rules'!$B$11="off",IF(H103="--","--",IF(B103="brawl",(H103+CharacterSheet!$E$55+CharacterSheet!$E$7)/2+CharacterSheet!$G$7,IF(B103="melee",(H103+CharacterSheet!$E$7+CharacterSheet!$M$54)/2+CharacterSheet!$G$7,"--"))),IF(H103="--","--",IF(B103="brawl",(H103+CharacterSheet!$E$55+CharacterSheet!$D$35+IF(CharacterSheet!$D$41="N/A",0,CharacterSheet!$D$41)+CharacterSheet!$E$7)/2+CharacterSheet!$G$7,IF(B103="melee",(H103+CharacterSheet!$E$7+CharacterSheet!$D$35+IF(CharacterSheet!$D$41="N/A",0,CharacterSheet!$D$41)+CharacterSheet!$M$54)/2+CharacterSheet!$G$7,"--"))))</f>
        <v>2</v>
      </c>
      <c r="J103" s="247">
        <v>4</v>
      </c>
      <c r="K103" s="247" t="s">
        <v>816</v>
      </c>
      <c r="L103" s="252" t="s">
        <v>816</v>
      </c>
    </row>
    <row r="104" spans="1:12" x14ac:dyDescent="0.25">
      <c r="A104" s="246" t="s">
        <v>794</v>
      </c>
      <c r="B104" s="247" t="s">
        <v>815</v>
      </c>
      <c r="C104" s="247">
        <v>0</v>
      </c>
      <c r="D104" s="247">
        <f>C104+VLOOKUP(B104,$Y$2:$AA$5,2,FALSE)+VLOOKUP(B104,$Y$2:$AA$5,3,FALSE)+IF(AND('House Rules'!$B$10="Potent",VLOOKUP(B104,$Y$2:$AB$5,4,FALSE)="Yes"),1,0)+$Z$7</f>
        <v>1</v>
      </c>
      <c r="E104" s="247">
        <v>4</v>
      </c>
      <c r="F104" s="247">
        <f>E104+IF('House Rules'!$B$12="Off",VLOOKUP(B104,$Y$2:$AA$5,2,FALSE),VLOOKUP(B104,$Y$2:$AA$5,2,FALSE)+VLOOKUP(B104,$Y$2:$AA$5,3,FALSE))+IF(OR(B104="Melee",B104="Brawl"),$Z$6,0)+IF(AND(VLOOKUP(B104,$Y$2:$AB$5,4,FALSE)="Yes",'House Rules'!B112="Potent"),1,0)</f>
        <v>4</v>
      </c>
      <c r="G104" s="247" t="s">
        <v>110</v>
      </c>
      <c r="H104" s="247" t="s">
        <v>816</v>
      </c>
      <c r="I104" s="247" t="str">
        <f>IF('House Rules'!$B$11="off",IF(H104="--","--",IF(B104="brawl",(H104+CharacterSheet!$E$55+CharacterSheet!$E$7)/2+CharacterSheet!$G$7,IF(B104="melee",(H104+CharacterSheet!$E$7+CharacterSheet!$M$54)/2+CharacterSheet!$G$7,"--"))),IF(H104="--","--",IF(B104="brawl",(H104+CharacterSheet!$E$55+CharacterSheet!$D$35+IF(CharacterSheet!$D$41="N/A",0,CharacterSheet!$D$41)+CharacterSheet!$E$7)/2+CharacterSheet!$G$7,IF(B104="melee",(H104+CharacterSheet!$E$7+CharacterSheet!$D$35+IF(CharacterSheet!$D$41="N/A",0,CharacterSheet!$D$41)+CharacterSheet!$M$54)/2+CharacterSheet!$G$7,"--"))))</f>
        <v>--</v>
      </c>
      <c r="J104" s="247">
        <v>5</v>
      </c>
      <c r="K104" s="247">
        <v>30</v>
      </c>
      <c r="L104" s="252">
        <v>20</v>
      </c>
    </row>
    <row r="105" spans="1:12" x14ac:dyDescent="0.25">
      <c r="A105" s="246" t="s">
        <v>718</v>
      </c>
      <c r="B105" s="247" t="s">
        <v>48</v>
      </c>
      <c r="C105" s="247">
        <v>1</v>
      </c>
      <c r="D105" s="247">
        <f>C105+VLOOKUP(B105,$Y$2:$AA$5,2,FALSE)+VLOOKUP(B105,$Y$2:$AA$5,3,FALSE)+IF(AND('House Rules'!$B$10="Potent",VLOOKUP(B105,$Y$2:$AB$5,4,FALSE)="Yes"),1,0)+$Z$7</f>
        <v>2</v>
      </c>
      <c r="E105" s="247">
        <v>1</v>
      </c>
      <c r="F105" s="247">
        <f>E105+IF('House Rules'!$B$12="Off",VLOOKUP(B105,$Y$2:$AA$5,2,FALSE),VLOOKUP(B105,$Y$2:$AA$5,2,FALSE)+VLOOKUP(B105,$Y$2:$AA$5,3,FALSE))+IF(OR(B105="Melee",B105="Brawl"),$Z$6,0)+IF(AND(VLOOKUP(B105,$Y$2:$AB$5,4,FALSE)="Yes",'House Rules'!B113="Potent"),1,0)</f>
        <v>2</v>
      </c>
      <c r="G105" s="247" t="s">
        <v>109</v>
      </c>
      <c r="H105" s="247">
        <v>1</v>
      </c>
      <c r="I105" s="247">
        <f>IF('House Rules'!$B$11="off",IF(H105="--","--",IF(B105="brawl",(H105+CharacterSheet!$E$55+CharacterSheet!$E$7)/2+CharacterSheet!$G$7,IF(B105="melee",(H105+CharacterSheet!$E$7+CharacterSheet!$M$54)/2+CharacterSheet!$G$7,"--"))),IF(H105="--","--",IF(B105="brawl",(H105+CharacterSheet!$E$55+CharacterSheet!$D$35+IF(CharacterSheet!$D$41="N/A",0,CharacterSheet!$D$41)+CharacterSheet!$E$7)/2+CharacterSheet!$G$7,IF(B105="melee",(H105+CharacterSheet!$E$7+CharacterSheet!$D$35+IF(CharacterSheet!$D$41="N/A",0,CharacterSheet!$D$41)+CharacterSheet!$M$54)/2+CharacterSheet!$G$7,"--"))))</f>
        <v>1</v>
      </c>
      <c r="J105" s="247">
        <v>4</v>
      </c>
      <c r="K105" s="247" t="s">
        <v>816</v>
      </c>
      <c r="L105" s="252" t="s">
        <v>816</v>
      </c>
    </row>
    <row r="106" spans="1:12" x14ac:dyDescent="0.25">
      <c r="A106" s="246" t="s">
        <v>719</v>
      </c>
      <c r="B106" s="247" t="s">
        <v>48</v>
      </c>
      <c r="C106" s="247">
        <v>0</v>
      </c>
      <c r="D106" s="247">
        <f>C106+VLOOKUP(B106,$Y$2:$AA$5,2,FALSE)+VLOOKUP(B106,$Y$2:$AA$5,3,FALSE)+IF(AND('House Rules'!$B$10="Potent",VLOOKUP(B106,$Y$2:$AB$5,4,FALSE)="Yes"),1,0)+$Z$7</f>
        <v>1</v>
      </c>
      <c r="E106" s="247">
        <v>3</v>
      </c>
      <c r="F106" s="247">
        <f>E106+IF('House Rules'!$B$12="Off",VLOOKUP(B106,$Y$2:$AA$5,2,FALSE),VLOOKUP(B106,$Y$2:$AA$5,2,FALSE)+VLOOKUP(B106,$Y$2:$AA$5,3,FALSE))+IF(OR(B106="Melee",B106="Brawl"),$Z$6,0)+IF(AND(VLOOKUP(B106,$Y$2:$AB$5,4,FALSE)="Yes",'House Rules'!B114="Potent"),1,0)</f>
        <v>4</v>
      </c>
      <c r="G106" s="247" t="s">
        <v>110</v>
      </c>
      <c r="H106" s="247">
        <v>2</v>
      </c>
      <c r="I106" s="247">
        <f>IF('House Rules'!$B$11="off",IF(H106="--","--",IF(B106="brawl",(H106+CharacterSheet!$E$55+CharacterSheet!$E$7)/2+CharacterSheet!$G$7,IF(B106="melee",(H106+CharacterSheet!$E$7+CharacterSheet!$M$54)/2+CharacterSheet!$G$7,"--"))),IF(H106="--","--",IF(B106="brawl",(H106+CharacterSheet!$E$55+CharacterSheet!$D$35+IF(CharacterSheet!$D$41="N/A",0,CharacterSheet!$D$41)+CharacterSheet!$E$7)/2+CharacterSheet!$G$7,IF(B106="melee",(H106+CharacterSheet!$E$7+CharacterSheet!$D$35+IF(CharacterSheet!$D$41="N/A",0,CharacterSheet!$D$41)+CharacterSheet!$M$54)/2+CharacterSheet!$G$7,"--"))))</f>
        <v>1.5</v>
      </c>
      <c r="J106" s="247">
        <v>5</v>
      </c>
      <c r="K106" s="247" t="s">
        <v>816</v>
      </c>
      <c r="L106" s="252" t="s">
        <v>816</v>
      </c>
    </row>
    <row r="107" spans="1:12" x14ac:dyDescent="0.25">
      <c r="A107" s="246" t="s">
        <v>720</v>
      </c>
      <c r="B107" s="247" t="s">
        <v>39</v>
      </c>
      <c r="C107" s="247">
        <v>-1</v>
      </c>
      <c r="D107" s="247">
        <f>C107+VLOOKUP(B107,$Y$2:$AA$5,2,FALSE)+VLOOKUP(B107,$Y$2:$AA$5,3,FALSE)+IF(AND('House Rules'!$B$10="Potent",VLOOKUP(B107,$Y$2:$AB$5,4,FALSE)="Yes"),1,0)+$Z$7</f>
        <v>0</v>
      </c>
      <c r="E107" s="247">
        <v>3</v>
      </c>
      <c r="F107" s="247">
        <f>E107+IF('House Rules'!$B$12="Off",VLOOKUP(B107,$Y$2:$AA$5,2,FALSE),VLOOKUP(B107,$Y$2:$AA$5,2,FALSE)+VLOOKUP(B107,$Y$2:$AA$5,3,FALSE))+IF(OR(B107="Melee",B107="Brawl"),$Z$6,0)+IF(AND(VLOOKUP(B107,$Y$2:$AB$5,4,FALSE)="Yes",'House Rules'!B115="Potent"),1,0)</f>
        <v>4</v>
      </c>
      <c r="G107" s="247" t="str">
        <f>IF('Purchased Knacks'!E9="Yes","L","B")</f>
        <v>B</v>
      </c>
      <c r="H107" s="247">
        <v>-2</v>
      </c>
      <c r="I107" s="247">
        <f>IF('House Rules'!$B$11="off",IF(H107="--","--",IF(B107="brawl",(H107+CharacterSheet!$E$55+CharacterSheet!$E$7)/2+CharacterSheet!$G$7,IF(B107="melee",(H107+CharacterSheet!$E$7+CharacterSheet!$M$54)/2+CharacterSheet!$G$7,"--"))),IF(H107="--","--",IF(B107="brawl",(H107+CharacterSheet!$E$55+CharacterSheet!$D$35+IF(CharacterSheet!$D$41="N/A",0,CharacterSheet!$D$41)+CharacterSheet!$E$7)/2+CharacterSheet!$G$7,IF(B107="melee",(H107+CharacterSheet!$E$7+CharacterSheet!$D$35+IF(CharacterSheet!$D$41="N/A",0,CharacterSheet!$D$41)+CharacterSheet!$M$54)/2+CharacterSheet!$G$7,"--"))))</f>
        <v>-0.5</v>
      </c>
      <c r="J107" s="247">
        <v>5</v>
      </c>
      <c r="K107" s="247" t="s">
        <v>816</v>
      </c>
      <c r="L107" s="252" t="s">
        <v>816</v>
      </c>
    </row>
    <row r="108" spans="1:12" x14ac:dyDescent="0.25">
      <c r="A108" s="246" t="s">
        <v>721</v>
      </c>
      <c r="B108" s="247" t="s">
        <v>39</v>
      </c>
      <c r="C108" s="247">
        <v>1</v>
      </c>
      <c r="D108" s="247">
        <f>C108+VLOOKUP(B108,$Y$2:$AA$5,2,FALSE)+VLOOKUP(B108,$Y$2:$AA$5,3,FALSE)+IF(AND('House Rules'!$B$10="Potent",VLOOKUP(B108,$Y$2:$AB$5,4,FALSE)="Yes"),1,0)+$Z$7</f>
        <v>2</v>
      </c>
      <c r="E108" s="247">
        <v>0</v>
      </c>
      <c r="F108" s="247">
        <f>E108+IF('House Rules'!$B$12="Off",VLOOKUP(B108,$Y$2:$AA$5,2,FALSE),VLOOKUP(B108,$Y$2:$AA$5,2,FALSE)+VLOOKUP(B108,$Y$2:$AA$5,3,FALSE))+IF(OR(B108="Melee",B108="Brawl"),$Z$6,0)+IF(AND(VLOOKUP(B108,$Y$2:$AB$5,4,FALSE)="Yes",'House Rules'!B116="Potent"),1,0)</f>
        <v>1</v>
      </c>
      <c r="G108" s="247" t="str">
        <f>IF('Purchased Knacks'!E9="Yes","L","B")</f>
        <v>B</v>
      </c>
      <c r="H108" s="247">
        <v>1</v>
      </c>
      <c r="I108" s="247">
        <f>IF('House Rules'!$B$11="off",IF(H108="--","--",IF(B108="brawl",(H108+CharacterSheet!$E$55+CharacterSheet!$E$7)/2+CharacterSheet!$G$7,IF(B108="melee",(H108+CharacterSheet!$E$7+CharacterSheet!$M$54)/2+CharacterSheet!$G$7,"--"))),IF(H108="--","--",IF(B108="brawl",(H108+CharacterSheet!$E$55+CharacterSheet!$D$35+IF(CharacterSheet!$D$41="N/A",0,CharacterSheet!$D$41)+CharacterSheet!$E$7)/2+CharacterSheet!$G$7,IF(B108="melee",(H108+CharacterSheet!$E$7+CharacterSheet!$D$35+IF(CharacterSheet!$D$41="N/A",0,CharacterSheet!$D$41)+CharacterSheet!$M$54)/2+CharacterSheet!$G$7,"--"))))</f>
        <v>1</v>
      </c>
      <c r="J108" s="247">
        <v>4</v>
      </c>
      <c r="K108" s="247" t="s">
        <v>816</v>
      </c>
      <c r="L108" s="252" t="s">
        <v>816</v>
      </c>
    </row>
    <row r="109" spans="1:12" x14ac:dyDescent="0.25">
      <c r="A109" s="246" t="s">
        <v>723</v>
      </c>
      <c r="B109" s="247" t="s">
        <v>48</v>
      </c>
      <c r="C109" s="247">
        <v>1</v>
      </c>
      <c r="D109" s="247">
        <f>C109+VLOOKUP(B109,$Y$2:$AA$5,2,FALSE)+VLOOKUP(B109,$Y$2:$AA$5,3,FALSE)+IF(AND('House Rules'!$B$10="Potent",VLOOKUP(B109,$Y$2:$AB$5,4,FALSE)="Yes"),1,0)+$Z$7</f>
        <v>2</v>
      </c>
      <c r="E109" s="247">
        <v>2</v>
      </c>
      <c r="F109" s="247">
        <f>E109+IF('House Rules'!$B$12="Off",VLOOKUP(B109,$Y$2:$AA$5,2,FALSE),VLOOKUP(B109,$Y$2:$AA$5,2,FALSE)+VLOOKUP(B109,$Y$2:$AA$5,3,FALSE))+IF(OR(B109="Melee",B109="Brawl"),$Z$6,0)+IF(AND(VLOOKUP(B109,$Y$2:$AB$5,4,FALSE)="Yes",'House Rules'!B117="Potent"),1,0)</f>
        <v>3</v>
      </c>
      <c r="G109" s="247" t="s">
        <v>110</v>
      </c>
      <c r="H109" s="247">
        <v>1</v>
      </c>
      <c r="I109" s="247">
        <f>IF('House Rules'!$B$11="off",IF(H109="--","--",IF(B109="brawl",(H109+CharacterSheet!$E$55+CharacterSheet!$E$7)/2+CharacterSheet!$G$7,IF(B109="melee",(H109+CharacterSheet!$E$7+CharacterSheet!$M$54)/2+CharacterSheet!$G$7,"--"))),IF(H109="--","--",IF(B109="brawl",(H109+CharacterSheet!$E$55+CharacterSheet!$D$35+IF(CharacterSheet!$D$41="N/A",0,CharacterSheet!$D$41)+CharacterSheet!$E$7)/2+CharacterSheet!$G$7,IF(B109="melee",(H109+CharacterSheet!$E$7+CharacterSheet!$D$35+IF(CharacterSheet!$D$41="N/A",0,CharacterSheet!$D$41)+CharacterSheet!$M$54)/2+CharacterSheet!$G$7,"--"))))</f>
        <v>1</v>
      </c>
      <c r="J109" s="247">
        <v>4</v>
      </c>
      <c r="K109" s="247" t="s">
        <v>816</v>
      </c>
      <c r="L109" s="252" t="s">
        <v>816</v>
      </c>
    </row>
    <row r="110" spans="1:12" x14ac:dyDescent="0.25">
      <c r="A110" s="246" t="s">
        <v>868</v>
      </c>
      <c r="B110" s="247" t="s">
        <v>815</v>
      </c>
      <c r="C110" s="247">
        <v>4</v>
      </c>
      <c r="D110" s="247">
        <f>C110+VLOOKUP(B110,$Y$2:$AA$5,2,FALSE)+VLOOKUP(B110,$Y$2:$AA$5,3,FALSE)+IF(AND('House Rules'!$B$10="Potent",VLOOKUP(B110,$Y$2:$AB$5,4,FALSE)="Yes"),1,0)+$Z$7</f>
        <v>5</v>
      </c>
      <c r="E110" s="247">
        <v>5</v>
      </c>
      <c r="F110" s="247">
        <f>E110+IF('House Rules'!$B$12="Off",VLOOKUP(B110,$Y$2:$AA$5,2,FALSE),VLOOKUP(B110,$Y$2:$AA$5,2,FALSE)+VLOOKUP(B110,$Y$2:$AA$5,3,FALSE))+IF(OR(B110="Melee",B110="Brawl"),$Z$6,0)+IF(AND(VLOOKUP(B110,$Y$2:$AB$5,4,FALSE)="Yes",'House Rules'!B118="Potent"),1,0)</f>
        <v>5</v>
      </c>
      <c r="G110" s="247" t="s">
        <v>110</v>
      </c>
      <c r="H110" s="247" t="s">
        <v>816</v>
      </c>
      <c r="I110" s="247" t="str">
        <f>IF('House Rules'!$B$11="off",IF(H110="--","--",IF(B110="brawl",(H110+CharacterSheet!$E$55+CharacterSheet!$E$7)/2+CharacterSheet!$G$7,IF(B110="melee",(H110+CharacterSheet!$E$7+CharacterSheet!$M$54)/2+CharacterSheet!$G$7,"--"))),IF(H110="--","--",IF(B110="brawl",(H110+CharacterSheet!$E$55+CharacterSheet!$D$35+IF(CharacterSheet!$D$41="N/A",0,CharacterSheet!$D$41)+CharacterSheet!$E$7)/2+CharacterSheet!$G$7,IF(B110="melee",(H110+CharacterSheet!$E$7+CharacterSheet!$D$35+IF(CharacterSheet!$D$41="N/A",0,CharacterSheet!$D$41)+CharacterSheet!$M$54)/2+CharacterSheet!$G$7,"--"))))</f>
        <v>--</v>
      </c>
      <c r="J110" s="247">
        <v>4</v>
      </c>
      <c r="K110" s="16">
        <v>40</v>
      </c>
      <c r="L110" s="252" t="s">
        <v>816</v>
      </c>
    </row>
    <row r="111" spans="1:12" x14ac:dyDescent="0.25">
      <c r="A111" s="246" t="s">
        <v>764</v>
      </c>
      <c r="B111" s="247" t="s">
        <v>48</v>
      </c>
      <c r="C111" s="247">
        <v>1</v>
      </c>
      <c r="D111" s="247">
        <f>C111+VLOOKUP(B111,$Y$2:$AA$5,2,FALSE)+VLOOKUP(B111,$Y$2:$AA$5,3,FALSE)+IF(AND('House Rules'!$B$10="Potent",VLOOKUP(B111,$Y$2:$AB$5,4,FALSE)="Yes"),1,0)+$Z$7</f>
        <v>2</v>
      </c>
      <c r="E111" s="247">
        <v>4</v>
      </c>
      <c r="F111" s="247">
        <f>E111+IF('House Rules'!$B$12="Off",VLOOKUP(B111,$Y$2:$AA$5,2,FALSE),VLOOKUP(B111,$Y$2:$AA$5,2,FALSE)+VLOOKUP(B111,$Y$2:$AA$5,3,FALSE))+IF(OR(B111="Melee",B111="Brawl"),$Z$6,0)+IF(AND(VLOOKUP(B111,$Y$2:$AB$5,4,FALSE)="Yes",'House Rules'!B119="Potent"),1,0)</f>
        <v>5</v>
      </c>
      <c r="G111" s="247" t="s">
        <v>818</v>
      </c>
      <c r="H111" s="247">
        <v>1</v>
      </c>
      <c r="I111" s="247">
        <f>IF('House Rules'!$B$11="off",IF(H111="--","--",IF(B111="brawl",(H111+CharacterSheet!$E$55+CharacterSheet!$E$7)/2+CharacterSheet!$G$7,IF(B111="melee",(H111+CharacterSheet!$E$7+CharacterSheet!$M$54)/2+CharacterSheet!$G$7,"--"))),IF(H111="--","--",IF(B111="brawl",(H111+CharacterSheet!$E$55+CharacterSheet!$D$35+IF(CharacterSheet!$D$41="N/A",0,CharacterSheet!$D$41)+CharacterSheet!$E$7)/2+CharacterSheet!$G$7,IF(B111="melee",(H111+CharacterSheet!$E$7+CharacterSheet!$D$35+IF(CharacterSheet!$D$41="N/A",0,CharacterSheet!$D$41)+CharacterSheet!$M$54)/2+CharacterSheet!$G$7,"--"))))</f>
        <v>1</v>
      </c>
      <c r="J111" s="247">
        <v>4</v>
      </c>
      <c r="K111" s="247" t="s">
        <v>816</v>
      </c>
      <c r="L111" s="252" t="s">
        <v>816</v>
      </c>
    </row>
    <row r="112" spans="1:12" x14ac:dyDescent="0.25">
      <c r="A112" s="246" t="s">
        <v>848</v>
      </c>
      <c r="B112" s="247" t="s">
        <v>815</v>
      </c>
      <c r="C112" s="247">
        <v>5</v>
      </c>
      <c r="D112" s="247">
        <f>C112+VLOOKUP(B112,$Y$2:$AA$5,2,FALSE)+VLOOKUP(B112,$Y$2:$AA$5,3,FALSE)+IF(AND('House Rules'!$B$10="Potent",VLOOKUP(B112,$Y$2:$AB$5,4,FALSE)="Yes"),1,0)+$Z$7</f>
        <v>6</v>
      </c>
      <c r="E112" s="247">
        <v>4</v>
      </c>
      <c r="F112" s="247">
        <f>E112+IF('House Rules'!$B$12="Off",VLOOKUP(B112,$Y$2:$AA$5,2,FALSE),VLOOKUP(B112,$Y$2:$AA$5,2,FALSE)+VLOOKUP(B112,$Y$2:$AA$5,3,FALSE))+IF(OR(B112="Melee",B112="Brawl"),$Z$6,0)+IF(AND(VLOOKUP(B112,$Y$2:$AB$5,4,FALSE)="Yes",'House Rules'!B120="Potent"),1,0)</f>
        <v>4</v>
      </c>
      <c r="G112" s="247" t="s">
        <v>110</v>
      </c>
      <c r="H112" s="247" t="s">
        <v>816</v>
      </c>
      <c r="I112" s="247" t="str">
        <f>IF('House Rules'!$B$11="off",IF(H112="--","--",IF(B112="brawl",(H112+CharacterSheet!$E$55+CharacterSheet!$E$7)/2+CharacterSheet!$G$7,IF(B112="melee",(H112+CharacterSheet!$E$7+CharacterSheet!$M$54)/2+CharacterSheet!$G$7,"--"))),IF(H112="--","--",IF(B112="brawl",(H112+CharacterSheet!$E$55+CharacterSheet!$D$35+IF(CharacterSheet!$D$41="N/A",0,CharacterSheet!$D$41)+CharacterSheet!$E$7)/2+CharacterSheet!$G$7,IF(B112="melee",(H112+CharacterSheet!$E$7+CharacterSheet!$D$35+IF(CharacterSheet!$D$41="N/A",0,CharacterSheet!$D$41)+CharacterSheet!$M$54)/2+CharacterSheet!$G$7,"--"))))</f>
        <v>--</v>
      </c>
      <c r="J112" s="247">
        <v>5</v>
      </c>
      <c r="K112" s="247">
        <v>20</v>
      </c>
      <c r="L112" s="252">
        <v>8</v>
      </c>
    </row>
    <row r="113" spans="1:12" x14ac:dyDescent="0.25">
      <c r="A113" s="246" t="s">
        <v>849</v>
      </c>
      <c r="B113" s="247" t="s">
        <v>48</v>
      </c>
      <c r="C113" s="247">
        <v>2</v>
      </c>
      <c r="D113" s="247">
        <f>C113+VLOOKUP(B113,$Y$2:$AA$5,2,FALSE)+VLOOKUP(B113,$Y$2:$AA$5,3,FALSE)+IF(AND('House Rules'!$B$10="Potent",VLOOKUP(B113,$Y$2:$AB$5,4,FALSE)="Yes"),1,0)+$Z$7</f>
        <v>3</v>
      </c>
      <c r="E113" s="247">
        <v>5</v>
      </c>
      <c r="F113" s="247">
        <f>E113+IF('House Rules'!$B$12="Off",VLOOKUP(B113,$Y$2:$AA$5,2,FALSE),VLOOKUP(B113,$Y$2:$AA$5,2,FALSE)+VLOOKUP(B113,$Y$2:$AA$5,3,FALSE))+IF(OR(B113="Melee",B113="Brawl"),$Z$6,0)+IF(AND(VLOOKUP(B113,$Y$2:$AB$5,4,FALSE)="Yes",'House Rules'!B121="Potent"),1,0)</f>
        <v>6</v>
      </c>
      <c r="G113" s="247" t="s">
        <v>110</v>
      </c>
      <c r="H113" s="247">
        <v>2</v>
      </c>
      <c r="I113" s="247">
        <f>IF('House Rules'!$B$11="off",IF(H113="--","--",IF(B113="brawl",(H113+CharacterSheet!$E$55+CharacterSheet!$E$7)/2+CharacterSheet!$G$7,IF(B113="melee",(H113+CharacterSheet!$E$7+CharacterSheet!$M$54)/2+CharacterSheet!$G$7,"--"))),IF(H113="--","--",IF(B113="brawl",(H113+CharacterSheet!$E$55+CharacterSheet!$D$35+IF(CharacterSheet!$D$41="N/A",0,CharacterSheet!$D$41)+CharacterSheet!$E$7)/2+CharacterSheet!$G$7,IF(B113="melee",(H113+CharacterSheet!$E$7+CharacterSheet!$D$35+IF(CharacterSheet!$D$41="N/A",0,CharacterSheet!$D$41)+CharacterSheet!$M$54)/2+CharacterSheet!$G$7,"--"))))</f>
        <v>1.5</v>
      </c>
      <c r="J113" s="247">
        <v>4</v>
      </c>
      <c r="K113" s="16" t="s">
        <v>816</v>
      </c>
      <c r="L113" s="18" t="s">
        <v>816</v>
      </c>
    </row>
    <row r="114" spans="1:12" x14ac:dyDescent="0.25">
      <c r="A114" s="246" t="s">
        <v>724</v>
      </c>
      <c r="B114" s="247" t="s">
        <v>48</v>
      </c>
      <c r="C114" s="247">
        <v>1</v>
      </c>
      <c r="D114" s="247">
        <f>C114+VLOOKUP(B114,$Y$2:$AA$5,2,FALSE)+VLOOKUP(B114,$Y$2:$AA$5,3,FALSE)+IF(AND('House Rules'!$B$10="Potent",VLOOKUP(B114,$Y$2:$AB$5,4,FALSE)="Yes"),1,0)+$Z$7</f>
        <v>2</v>
      </c>
      <c r="E114" s="247">
        <v>3</v>
      </c>
      <c r="F114" s="247">
        <f>E114+IF('House Rules'!$B$12="Off",VLOOKUP(B114,$Y$2:$AA$5,2,FALSE),VLOOKUP(B114,$Y$2:$AA$5,2,FALSE)+VLOOKUP(B114,$Y$2:$AA$5,3,FALSE))+IF(OR(B114="Melee",B114="Brawl"),$Z$6,0)+IF(AND(VLOOKUP(B114,$Y$2:$AB$5,4,FALSE)="Yes",'House Rules'!B122="Potent"),1,0)</f>
        <v>4</v>
      </c>
      <c r="G114" s="247" t="s">
        <v>110</v>
      </c>
      <c r="H114" s="247">
        <v>1</v>
      </c>
      <c r="I114" s="247">
        <f>IF('House Rules'!$B$11="off",IF(H114="--","--",IF(B114="brawl",(H114+CharacterSheet!$E$55+CharacterSheet!$E$7)/2+CharacterSheet!$G$7,IF(B114="melee",(H114+CharacterSheet!$E$7+CharacterSheet!$M$54)/2+CharacterSheet!$G$7,"--"))),IF(H114="--","--",IF(B114="brawl",(H114+CharacterSheet!$E$55+CharacterSheet!$D$35+IF(CharacterSheet!$D$41="N/A",0,CharacterSheet!$D$41)+CharacterSheet!$E$7)/2+CharacterSheet!$G$7,IF(B114="melee",(H114+CharacterSheet!$E$7+CharacterSheet!$D$35+IF(CharacterSheet!$D$41="N/A",0,CharacterSheet!$D$41)+CharacterSheet!$M$54)/2+CharacterSheet!$G$7,"--"))))</f>
        <v>1</v>
      </c>
      <c r="J114" s="247">
        <v>4</v>
      </c>
      <c r="K114" s="247" t="s">
        <v>816</v>
      </c>
      <c r="L114" s="252" t="s">
        <v>816</v>
      </c>
    </row>
    <row r="115" spans="1:12" x14ac:dyDescent="0.25">
      <c r="A115" s="246" t="s">
        <v>730</v>
      </c>
      <c r="B115" s="247" t="s">
        <v>54</v>
      </c>
      <c r="C115" s="247">
        <v>1</v>
      </c>
      <c r="D115" s="247">
        <f>C115+VLOOKUP(B115,$Y$2:$AA$5,2,FALSE)+VLOOKUP(B115,$Y$2:$AA$5,3,FALSE)+IF(AND('House Rules'!$B$10="Potent",VLOOKUP(B115,$Y$2:$AB$5,4,FALSE)="Yes"),1,0)+$Z$7</f>
        <v>2</v>
      </c>
      <c r="E115" s="247">
        <v>2</v>
      </c>
      <c r="F115" s="247">
        <f>E115+IF('House Rules'!$B$12="Off",VLOOKUP(B115,$Y$2:$AA$5,2,FALSE),VLOOKUP(B115,$Y$2:$AA$5,2,FALSE)+VLOOKUP(B115,$Y$2:$AA$5,3,FALSE))+IF(OR(B115="Melee",B115="Brawl"),$Z$6,0)+IF(AND(VLOOKUP(B115,$Y$2:$AB$5,4,FALSE)="Yes",'House Rules'!B123="Potent"),1,0)</f>
        <v>2</v>
      </c>
      <c r="G115" s="247" t="s">
        <v>110</v>
      </c>
      <c r="H115" s="247" t="s">
        <v>816</v>
      </c>
      <c r="I115" s="247" t="str">
        <f>IF('House Rules'!$B$11="off",IF(H115="--","--",IF(B115="brawl",(H115+CharacterSheet!$E$55+CharacterSheet!$E$7)/2+CharacterSheet!$G$7,IF(B115="melee",(H115+CharacterSheet!$E$7+CharacterSheet!$M$54)/2+CharacterSheet!$G$7,"--"))),IF(H115="--","--",IF(B115="brawl",(H115+CharacterSheet!$E$55+CharacterSheet!$D$35+IF(CharacterSheet!$D$41="N/A",0,CharacterSheet!$D$41)+CharacterSheet!$E$7)/2+CharacterSheet!$G$7,IF(B115="melee",(H115+CharacterSheet!$E$7+CharacterSheet!$D$35+IF(CharacterSheet!$D$41="N/A",0,CharacterSheet!$D$41)+CharacterSheet!$M$54)/2+CharacterSheet!$G$7,"--"))))</f>
        <v>--</v>
      </c>
      <c r="J115" s="247">
        <v>6</v>
      </c>
      <c r="K115" s="247">
        <f>IF('Purchased Knacks'!$E$13="Yes",15*LOOKUP(CharacterSheet!$F$6,Reference!$H$2:$H$12,Reference!$J$2:$J$12)*2,15*LOOKUP(CharacterSheet!$F$6,Reference!$H$2:$H$12,Reference!$J$2:$J$12))</f>
        <v>15</v>
      </c>
      <c r="L115" s="252" t="s">
        <v>816</v>
      </c>
    </row>
    <row r="116" spans="1:12" x14ac:dyDescent="0.25">
      <c r="A116" s="164" t="str">
        <f>IF(Sandbox!D4="","Custom 1",Sandbox!D4)</f>
        <v>Custom 1</v>
      </c>
      <c r="B116" s="163" t="str">
        <f>IF(Sandbox!J4="","",Sandbox!J4)</f>
        <v/>
      </c>
      <c r="C116" s="163" t="str">
        <f>IF(Sandbox!L4="","",Sandbox!L4)</f>
        <v/>
      </c>
      <c r="D116" s="247" t="str">
        <f>IF(C116="","",C116+VLOOKUP(B116,$Y$2:$AA$5,2,FALSE)+VLOOKUP(B116,$Y$2:$AA$5,3,FALSE)+IF(AND('House Rules'!$B$10="Potent",VLOOKUP(B116,$Y$2:$AB$5,4,FALSE)="Yes"),1,0)+$Z$7)</f>
        <v/>
      </c>
      <c r="E116" s="163" t="str">
        <f>IF(Sandbox!M4="","",Sandbox!M4)</f>
        <v/>
      </c>
      <c r="F116" s="247" t="str">
        <f>IF(E116="","",E116+IF('House Rules'!$B$12="Off",VLOOKUP(B116,$Y$2:$AA$5,2,FALSE),VLOOKUP(B116,$Y$2:$AA$5,2,FALSE)+VLOOKUP(B116,$Y$2:$AA$5,3,FALSE))+IF(OR(B116="Melee",B116="Brawl"),$Z$6,0)+IF(AND(VLOOKUP(B116,$Y$2:$AB$5,4,FALSE)="Yes",'House Rules'!B124="Potent"),1,0))</f>
        <v/>
      </c>
      <c r="G116" s="163" t="str">
        <f>IF(Sandbox!P4="","",Sandbox!P4)</f>
        <v/>
      </c>
      <c r="H116" s="163" t="str">
        <f>IF(Sandbox!S4="","",Sandbox!S4)</f>
        <v/>
      </c>
      <c r="I116" s="247" t="str">
        <f>IF('House Rules'!$B$11="off",IF(H116="--","--",IF(B116="brawl",(H116+CharacterSheet!$E$55+CharacterSheet!$E$7)/2+CharacterSheet!$G$7,IF(B116="melee",(H116+CharacterSheet!$E$7+CharacterSheet!$M$54)/2+CharacterSheet!$G$7,"--"))),IF(H116="--","--",IF(B116="brawl",(H116+CharacterSheet!$E$55+CharacterSheet!$D$35+IF(CharacterSheet!$D$41="N/A",0,CharacterSheet!$D$41)+CharacterSheet!$E$7)/2+CharacterSheet!$G$7,IF(B116="melee",(H116+CharacterSheet!$E$7+CharacterSheet!$D$35+IF(CharacterSheet!$D$41="N/A",0,CharacterSheet!$D$41)+CharacterSheet!$M$54)/2+CharacterSheet!$G$7,"--"))))</f>
        <v>--</v>
      </c>
      <c r="J116" s="163" t="str">
        <f>IF(Sandbox!T4="","",Sandbox!T4)</f>
        <v/>
      </c>
      <c r="K116" s="163" t="str">
        <f>IF(Sandbox!V4="","",Sandbox!V4)</f>
        <v/>
      </c>
      <c r="L116" s="166" t="str">
        <f>IF(Sandbox!X4="","",Sandbox!X4)</f>
        <v/>
      </c>
    </row>
    <row r="117" spans="1:12" x14ac:dyDescent="0.25">
      <c r="A117" s="164" t="str">
        <f>IF(Sandbox!D5="","Custom 2",Sandbox!D5)</f>
        <v>Custom 2</v>
      </c>
      <c r="B117" s="163" t="str">
        <f>IF(Sandbox!J5="","",Sandbox!J5)</f>
        <v/>
      </c>
      <c r="C117" s="163" t="str">
        <f>IF(Sandbox!L5="","",Sandbox!L5)</f>
        <v/>
      </c>
      <c r="D117" s="247" t="str">
        <f>IF(C117="","",C117+VLOOKUP(B117,$Y$2:$AA$5,2,FALSE)+VLOOKUP(B117,$Y$2:$AA$5,3,FALSE)+IF(AND('House Rules'!$B$10="Potent",VLOOKUP(B117,$Y$2:$AB$5,4,FALSE)="Yes"),1,0)+$Z$7)</f>
        <v/>
      </c>
      <c r="E117" s="163" t="str">
        <f>IF(Sandbox!M5="","",Sandbox!M5)</f>
        <v/>
      </c>
      <c r="F117" s="247" t="str">
        <f>IF(E117="","",E117+IF('House Rules'!$B$12="Off",VLOOKUP(B117,$Y$2:$AA$5,2,FALSE),VLOOKUP(B117,$Y$2:$AA$5,2,FALSE)+VLOOKUP(B117,$Y$2:$AA$5,3,FALSE))+IF(OR(B117="Melee",B117="Brawl"),$Z$6,0)+IF(AND(VLOOKUP(B117,$Y$2:$AB$5,4,FALSE)="Yes",'House Rules'!B125="Potent"),1,0))</f>
        <v/>
      </c>
      <c r="G117" s="163" t="str">
        <f>IF(Sandbox!P5="","",Sandbox!P5)</f>
        <v/>
      </c>
      <c r="H117" s="163" t="str">
        <f>IF(Sandbox!S5="","",Sandbox!S5)</f>
        <v/>
      </c>
      <c r="I117" s="247" t="str">
        <f>IF('House Rules'!$B$11="off",IF(H117="--","--",IF(B117="brawl",(H117+CharacterSheet!$E$55+CharacterSheet!$E$7)/2+CharacterSheet!$G$7,IF(B117="melee",(H117+CharacterSheet!$E$7+CharacterSheet!$M$54)/2+CharacterSheet!$G$7,"--"))),IF(H117="--","--",IF(B117="brawl",(H117+CharacterSheet!$E$55+CharacterSheet!$D$35+IF(CharacterSheet!$D$41="N/A",0,CharacterSheet!$D$41)+CharacterSheet!$E$7)/2+CharacterSheet!$G$7,IF(B117="melee",(H117+CharacterSheet!$E$7+CharacterSheet!$D$35+IF(CharacterSheet!$D$41="N/A",0,CharacterSheet!$D$41)+CharacterSheet!$M$54)/2+CharacterSheet!$G$7,"--"))))</f>
        <v>--</v>
      </c>
      <c r="J117" s="163" t="str">
        <f>IF(Sandbox!T5="","",Sandbox!T5)</f>
        <v/>
      </c>
      <c r="K117" s="163" t="str">
        <f>IF(Sandbox!V5="","",Sandbox!V5)</f>
        <v/>
      </c>
      <c r="L117" s="166" t="str">
        <f>IF(Sandbox!X5="","",Sandbox!X5)</f>
        <v/>
      </c>
    </row>
    <row r="118" spans="1:12" x14ac:dyDescent="0.25">
      <c r="A118" s="164" t="str">
        <f>IF(Sandbox!D6="","Custom 3",Sandbox!D6)</f>
        <v>Custom 3</v>
      </c>
      <c r="B118" s="163" t="str">
        <f>IF(Sandbox!J6="","",Sandbox!J6)</f>
        <v/>
      </c>
      <c r="C118" s="163" t="str">
        <f>IF(Sandbox!L6="","",Sandbox!L6)</f>
        <v/>
      </c>
      <c r="D118" s="247" t="str">
        <f>IF(C118="","",C118+VLOOKUP(B118,$Y$2:$AA$5,2,FALSE)+VLOOKUP(B118,$Y$2:$AA$5,3,FALSE)+IF(AND('House Rules'!$B$10="Potent",VLOOKUP(B118,$Y$2:$AB$5,4,FALSE)="Yes"),1,0)+$Z$7)</f>
        <v/>
      </c>
      <c r="E118" s="163" t="str">
        <f>IF(Sandbox!M6="","",Sandbox!M6)</f>
        <v/>
      </c>
      <c r="F118" s="247" t="str">
        <f>IF(E118="","",E118+IF('House Rules'!$B$12="Off",VLOOKUP(B118,$Y$2:$AA$5,2,FALSE),VLOOKUP(B118,$Y$2:$AA$5,2,FALSE)+VLOOKUP(B118,$Y$2:$AA$5,3,FALSE))+IF(OR(B118="Melee",B118="Brawl"),$Z$6,0)+IF(AND(VLOOKUP(B118,$Y$2:$AB$5,4,FALSE)="Yes",'House Rules'!B126="Potent"),1,0))</f>
        <v/>
      </c>
      <c r="G118" s="163" t="str">
        <f>IF(Sandbox!P6="","",Sandbox!P6)</f>
        <v/>
      </c>
      <c r="H118" s="163" t="str">
        <f>IF(Sandbox!S6="","",Sandbox!S6)</f>
        <v/>
      </c>
      <c r="I118" s="247" t="str">
        <f>IF('House Rules'!$B$11="off",IF(H118="--","--",IF(B118="brawl",(H118+CharacterSheet!$E$55+CharacterSheet!$E$7)/2+CharacterSheet!$G$7,IF(B118="melee",(H118+CharacterSheet!$E$7+CharacterSheet!$M$54)/2+CharacterSheet!$G$7,"--"))),IF(H118="--","--",IF(B118="brawl",(H118+CharacterSheet!$E$55+CharacterSheet!$D$35+IF(CharacterSheet!$D$41="N/A",0,CharacterSheet!$D$41)+CharacterSheet!$E$7)/2+CharacterSheet!$G$7,IF(B118="melee",(H118+CharacterSheet!$E$7+CharacterSheet!$D$35+IF(CharacterSheet!$D$41="N/A",0,CharacterSheet!$D$41)+CharacterSheet!$M$54)/2+CharacterSheet!$G$7,"--"))))</f>
        <v>--</v>
      </c>
      <c r="J118" s="163" t="str">
        <f>IF(Sandbox!T6="","",Sandbox!T6)</f>
        <v/>
      </c>
      <c r="K118" s="163" t="str">
        <f>IF(Sandbox!V6="","",Sandbox!V6)</f>
        <v/>
      </c>
      <c r="L118" s="166" t="str">
        <f>IF(Sandbox!X6="","",Sandbox!X6)</f>
        <v/>
      </c>
    </row>
    <row r="119" spans="1:12" x14ac:dyDescent="0.25">
      <c r="A119" s="164" t="str">
        <f>IF(Sandbox!D7="","Custom 4",Sandbox!D7)</f>
        <v>Custom 4</v>
      </c>
      <c r="B119" s="163" t="str">
        <f>IF(Sandbox!J7="","",Sandbox!J7)</f>
        <v/>
      </c>
      <c r="C119" s="163" t="str">
        <f>IF(Sandbox!L7="","",Sandbox!L7)</f>
        <v/>
      </c>
      <c r="D119" s="247" t="str">
        <f>IF(C119="","",C119+VLOOKUP(B119,$Y$2:$AA$5,2,FALSE)+VLOOKUP(B119,$Y$2:$AA$5,3,FALSE)+IF(AND('House Rules'!$B$10="Potent",VLOOKUP(B119,$Y$2:$AB$5,4,FALSE)="Yes"),1,0)+$Z$7)</f>
        <v/>
      </c>
      <c r="E119" s="163" t="str">
        <f>IF(Sandbox!M7="","",Sandbox!M7)</f>
        <v/>
      </c>
      <c r="F119" s="247" t="str">
        <f>IF(E119="","",E119+IF('House Rules'!$B$12="Off",VLOOKUP(B119,$Y$2:$AA$5,2,FALSE),VLOOKUP(B119,$Y$2:$AA$5,2,FALSE)+VLOOKUP(B119,$Y$2:$AA$5,3,FALSE))+IF(OR(B119="Melee",B119="Brawl"),$Z$6,0)+IF(AND(VLOOKUP(B119,$Y$2:$AB$5,4,FALSE)="Yes",'House Rules'!B127="Potent"),1,0))</f>
        <v/>
      </c>
      <c r="G119" s="163" t="str">
        <f>IF(Sandbox!P7="","",Sandbox!P7)</f>
        <v/>
      </c>
      <c r="H119" s="163" t="str">
        <f>IF(Sandbox!S7="","",Sandbox!S7)</f>
        <v/>
      </c>
      <c r="I119" s="247" t="str">
        <f>IF('House Rules'!$B$11="off",IF(H119="--","--",IF(B119="brawl",(H119+CharacterSheet!$E$55+CharacterSheet!$E$7)/2+CharacterSheet!$G$7,IF(B119="melee",(H119+CharacterSheet!$E$7+CharacterSheet!$M$54)/2+CharacterSheet!$G$7,"--"))),IF(H119="--","--",IF(B119="brawl",(H119+CharacterSheet!$E$55+CharacterSheet!$D$35+IF(CharacterSheet!$D$41="N/A",0,CharacterSheet!$D$41)+CharacterSheet!$E$7)/2+CharacterSheet!$G$7,IF(B119="melee",(H119+CharacterSheet!$E$7+CharacterSheet!$D$35+IF(CharacterSheet!$D$41="N/A",0,CharacterSheet!$D$41)+CharacterSheet!$M$54)/2+CharacterSheet!$G$7,"--"))))</f>
        <v>--</v>
      </c>
      <c r="J119" s="163" t="str">
        <f>IF(Sandbox!T7="","",Sandbox!T7)</f>
        <v/>
      </c>
      <c r="K119" s="163" t="str">
        <f>IF(Sandbox!V7="","",Sandbox!V7)</f>
        <v/>
      </c>
      <c r="L119" s="166" t="str">
        <f>IF(Sandbox!X7="","",Sandbox!X7)</f>
        <v/>
      </c>
    </row>
    <row r="120" spans="1:12" x14ac:dyDescent="0.25">
      <c r="A120" s="164" t="str">
        <f>IF(Sandbox!D8="","Custom 5",Sandbox!D8)</f>
        <v>Custom 5</v>
      </c>
      <c r="B120" s="163" t="str">
        <f>IF(Sandbox!J8="","",Sandbox!J8)</f>
        <v/>
      </c>
      <c r="C120" s="163" t="str">
        <f>IF(Sandbox!L8="","",Sandbox!L8)</f>
        <v/>
      </c>
      <c r="D120" s="247" t="str">
        <f>IF(C120="","",C120+VLOOKUP(B120,$Y$2:$AA$5,2,FALSE)+VLOOKUP(B120,$Y$2:$AA$5,3,FALSE)+IF(AND('House Rules'!$B$10="Potent",VLOOKUP(B120,$Y$2:$AB$5,4,FALSE)="Yes"),1,0)+$Z$7)</f>
        <v/>
      </c>
      <c r="E120" s="163" t="str">
        <f>IF(Sandbox!M8="","",Sandbox!M8)</f>
        <v/>
      </c>
      <c r="F120" s="247" t="str">
        <f>IF(E120="","",E120+IF('House Rules'!$B$12="Off",VLOOKUP(B120,$Y$2:$AA$5,2,FALSE),VLOOKUP(B120,$Y$2:$AA$5,2,FALSE)+VLOOKUP(B120,$Y$2:$AA$5,3,FALSE))+IF(OR(B120="Melee",B120="Brawl"),$Z$6,0)+IF(AND(VLOOKUP(B120,$Y$2:$AB$5,4,FALSE)="Yes",'House Rules'!B128="Potent"),1,0))</f>
        <v/>
      </c>
      <c r="G120" s="163" t="str">
        <f>IF(Sandbox!P8="","",Sandbox!P8)</f>
        <v/>
      </c>
      <c r="H120" s="163" t="str">
        <f>IF(Sandbox!S8="","",Sandbox!S8)</f>
        <v/>
      </c>
      <c r="I120" s="247" t="str">
        <f>IF('House Rules'!$B$11="off",IF(H120="--","--",IF(B120="brawl",(H120+CharacterSheet!$E$55+CharacterSheet!$E$7)/2+CharacterSheet!$G$7,IF(B120="melee",(H120+CharacterSheet!$E$7+CharacterSheet!$M$54)/2+CharacterSheet!$G$7,"--"))),IF(H120="--","--",IF(B120="brawl",(H120+CharacterSheet!$E$55+CharacterSheet!$D$35+IF(CharacterSheet!$D$41="N/A",0,CharacterSheet!$D$41)+CharacterSheet!$E$7)/2+CharacterSheet!$G$7,IF(B120="melee",(H120+CharacterSheet!$E$7+CharacterSheet!$D$35+IF(CharacterSheet!$D$41="N/A",0,CharacterSheet!$D$41)+CharacterSheet!$M$54)/2+CharacterSheet!$G$7,"--"))))</f>
        <v>--</v>
      </c>
      <c r="J120" s="163" t="str">
        <f>IF(Sandbox!T8="","",Sandbox!T8)</f>
        <v/>
      </c>
      <c r="K120" s="163" t="str">
        <f>IF(Sandbox!V8="","",Sandbox!V8)</f>
        <v/>
      </c>
      <c r="L120" s="166" t="str">
        <f>IF(Sandbox!X8="","",Sandbox!X8)</f>
        <v/>
      </c>
    </row>
    <row r="121" spans="1:12" x14ac:dyDescent="0.25">
      <c r="A121" s="164" t="str">
        <f>IF(Sandbox!D9="","Custom 6",Sandbox!D9)</f>
        <v>Custom 6</v>
      </c>
      <c r="B121" s="163" t="str">
        <f>IF(Sandbox!J9="","",Sandbox!J9)</f>
        <v/>
      </c>
      <c r="C121" s="163" t="str">
        <f>IF(Sandbox!L9="","",Sandbox!L9)</f>
        <v/>
      </c>
      <c r="D121" s="247" t="str">
        <f>IF(C121="","",C121+VLOOKUP(B121,$Y$2:$AA$5,2,FALSE)+VLOOKUP(B121,$Y$2:$AA$5,3,FALSE)+IF(AND('House Rules'!$B$10="Potent",VLOOKUP(B121,$Y$2:$AB$5,4,FALSE)="Yes"),1,0)+$Z$7)</f>
        <v/>
      </c>
      <c r="E121" s="163" t="str">
        <f>IF(Sandbox!M9="","",Sandbox!M9)</f>
        <v/>
      </c>
      <c r="F121" s="247" t="str">
        <f>IF(E121="","",E121+IF('House Rules'!$B$12="Off",VLOOKUP(B121,$Y$2:$AA$5,2,FALSE),VLOOKUP(B121,$Y$2:$AA$5,2,FALSE)+VLOOKUP(B121,$Y$2:$AA$5,3,FALSE))+IF(OR(B121="Melee",B121="Brawl"),$Z$6,0)+IF(AND(VLOOKUP(B121,$Y$2:$AB$5,4,FALSE)="Yes",'House Rules'!B129="Potent"),1,0))</f>
        <v/>
      </c>
      <c r="G121" s="163" t="str">
        <f>IF(Sandbox!P9="","",Sandbox!P9)</f>
        <v/>
      </c>
      <c r="H121" s="163" t="str">
        <f>IF(Sandbox!S9="","",Sandbox!S9)</f>
        <v/>
      </c>
      <c r="I121" s="247" t="str">
        <f>IF('House Rules'!$B$11="off",IF(H121="--","--",IF(B121="brawl",(H121+CharacterSheet!$E$55+CharacterSheet!$E$7)/2+CharacterSheet!$G$7,IF(B121="melee",(H121+CharacterSheet!$E$7+CharacterSheet!$M$54)/2+CharacterSheet!$G$7,"--"))),IF(H121="--","--",IF(B121="brawl",(H121+CharacterSheet!$E$55+CharacterSheet!$D$35+IF(CharacterSheet!$D$41="N/A",0,CharacterSheet!$D$41)+CharacterSheet!$E$7)/2+CharacterSheet!$G$7,IF(B121="melee",(H121+CharacterSheet!$E$7+CharacterSheet!$D$35+IF(CharacterSheet!$D$41="N/A",0,CharacterSheet!$D$41)+CharacterSheet!$M$54)/2+CharacterSheet!$G$7,"--"))))</f>
        <v>--</v>
      </c>
      <c r="J121" s="163" t="str">
        <f>IF(Sandbox!T9="","",Sandbox!T9)</f>
        <v/>
      </c>
      <c r="K121" s="163" t="str">
        <f>IF(Sandbox!V9="","",Sandbox!V9)</f>
        <v/>
      </c>
      <c r="L121" s="166" t="str">
        <f>IF(Sandbox!X9="","",Sandbox!X9)</f>
        <v/>
      </c>
    </row>
    <row r="122" spans="1:12" x14ac:dyDescent="0.25">
      <c r="A122" s="164" t="str">
        <f>IF(Sandbox!D10="","Custom 7",Sandbox!D10)</f>
        <v>Custom 7</v>
      </c>
      <c r="B122" s="163" t="str">
        <f>IF(Sandbox!J10="","",Sandbox!J10)</f>
        <v/>
      </c>
      <c r="C122" s="163" t="str">
        <f>IF(Sandbox!L10="","",Sandbox!L10)</f>
        <v/>
      </c>
      <c r="D122" s="247" t="str">
        <f>IF(C122="","",C122+VLOOKUP(B122,$Y$2:$AA$5,2,FALSE)+VLOOKUP(B122,$Y$2:$AA$5,3,FALSE)+IF(AND('House Rules'!$B$10="Potent",VLOOKUP(B122,$Y$2:$AB$5,4,FALSE)="Yes"),1,0)+$Z$7)</f>
        <v/>
      </c>
      <c r="E122" s="163" t="str">
        <f>IF(Sandbox!M10="","",Sandbox!M10)</f>
        <v/>
      </c>
      <c r="F122" s="247" t="str">
        <f>IF(E122="","",E122+IF('House Rules'!$B$12="Off",VLOOKUP(B122,$Y$2:$AA$5,2,FALSE),VLOOKUP(B122,$Y$2:$AA$5,2,FALSE)+VLOOKUP(B122,$Y$2:$AA$5,3,FALSE))+IF(OR(B122="Melee",B122="Brawl"),$Z$6,0)+IF(AND(VLOOKUP(B122,$Y$2:$AB$5,4,FALSE)="Yes",'House Rules'!B130="Potent"),1,0))</f>
        <v/>
      </c>
      <c r="G122" s="163" t="str">
        <f>IF(Sandbox!P10="","",Sandbox!P10)</f>
        <v/>
      </c>
      <c r="H122" s="163" t="str">
        <f>IF(Sandbox!S10="","",Sandbox!S10)</f>
        <v/>
      </c>
      <c r="I122" s="247" t="str">
        <f>IF('House Rules'!$B$11="off",IF(H122="--","--",IF(B122="brawl",(H122+CharacterSheet!$E$55+CharacterSheet!$E$7)/2+CharacterSheet!$G$7,IF(B122="melee",(H122+CharacterSheet!$E$7+CharacterSheet!$M$54)/2+CharacterSheet!$G$7,"--"))),IF(H122="--","--",IF(B122="brawl",(H122+CharacterSheet!$E$55+CharacterSheet!$D$35+IF(CharacterSheet!$D$41="N/A",0,CharacterSheet!$D$41)+CharacterSheet!$E$7)/2+CharacterSheet!$G$7,IF(B122="melee",(H122+CharacterSheet!$E$7+CharacterSheet!$D$35+IF(CharacterSheet!$D$41="N/A",0,CharacterSheet!$D$41)+CharacterSheet!$M$54)/2+CharacterSheet!$G$7,"--"))))</f>
        <v>--</v>
      </c>
      <c r="J122" s="163" t="str">
        <f>IF(Sandbox!T10="","",Sandbox!T10)</f>
        <v/>
      </c>
      <c r="K122" s="163" t="str">
        <f>IF(Sandbox!V10="","",Sandbox!V10)</f>
        <v/>
      </c>
      <c r="L122" s="166" t="str">
        <f>IF(Sandbox!X10="","",Sandbox!X10)</f>
        <v/>
      </c>
    </row>
    <row r="123" spans="1:12" x14ac:dyDescent="0.25">
      <c r="A123" s="164" t="str">
        <f>IF(Sandbox!D11="","Custom 8",Sandbox!D11)</f>
        <v>Custom 8</v>
      </c>
      <c r="B123" s="163" t="str">
        <f>IF(Sandbox!J11="","",Sandbox!J11)</f>
        <v/>
      </c>
      <c r="C123" s="163" t="str">
        <f>IF(Sandbox!L11="","",Sandbox!L11)</f>
        <v/>
      </c>
      <c r="D123" s="247" t="str">
        <f>IF(C123="","",C123+VLOOKUP(B123,$Y$2:$AA$5,2,FALSE)+VLOOKUP(B123,$Y$2:$AA$5,3,FALSE)+IF(AND('House Rules'!$B$10="Potent",VLOOKUP(B123,$Y$2:$AB$5,4,FALSE)="Yes"),1,0)+$Z$7)</f>
        <v/>
      </c>
      <c r="E123" s="163" t="str">
        <f>IF(Sandbox!M11="","",Sandbox!M11)</f>
        <v/>
      </c>
      <c r="F123" s="247" t="str">
        <f>IF(E123="","",E123+IF('House Rules'!$B$12="Off",VLOOKUP(B123,$Y$2:$AA$5,2,FALSE),VLOOKUP(B123,$Y$2:$AA$5,2,FALSE)+VLOOKUP(B123,$Y$2:$AA$5,3,FALSE))+IF(OR(B123="Melee",B123="Brawl"),$Z$6,0)+IF(AND(VLOOKUP(B123,$Y$2:$AB$5,4,FALSE)="Yes",'House Rules'!B131="Potent"),1,0))</f>
        <v/>
      </c>
      <c r="G123" s="163" t="str">
        <f>IF(Sandbox!P11="","",Sandbox!P11)</f>
        <v/>
      </c>
      <c r="H123" s="163" t="str">
        <f>IF(Sandbox!S11="","",Sandbox!S11)</f>
        <v/>
      </c>
      <c r="I123" s="247" t="str">
        <f>IF('House Rules'!$B$11="off",IF(H123="--","--",IF(B123="brawl",(H123+CharacterSheet!$E$55+CharacterSheet!$E$7)/2+CharacterSheet!$G$7,IF(B123="melee",(H123+CharacterSheet!$E$7+CharacterSheet!$M$54)/2+CharacterSheet!$G$7,"--"))),IF(H123="--","--",IF(B123="brawl",(H123+CharacterSheet!$E$55+CharacterSheet!$D$35+IF(CharacterSheet!$D$41="N/A",0,CharacterSheet!$D$41)+CharacterSheet!$E$7)/2+CharacterSheet!$G$7,IF(B123="melee",(H123+CharacterSheet!$E$7+CharacterSheet!$D$35+IF(CharacterSheet!$D$41="N/A",0,CharacterSheet!$D$41)+CharacterSheet!$M$54)/2+CharacterSheet!$G$7,"--"))))</f>
        <v>--</v>
      </c>
      <c r="J123" s="163" t="str">
        <f>IF(Sandbox!T11="","",Sandbox!T11)</f>
        <v/>
      </c>
      <c r="K123" s="163" t="str">
        <f>IF(Sandbox!V11="","",Sandbox!V11)</f>
        <v/>
      </c>
      <c r="L123" s="166" t="str">
        <f>IF(Sandbox!X11="","",Sandbox!X11)</f>
        <v/>
      </c>
    </row>
    <row r="124" spans="1:12" x14ac:dyDescent="0.25">
      <c r="A124" s="164" t="str">
        <f>IF(Sandbox!D12="","Custom 9",Sandbox!D12)</f>
        <v>Custom 9</v>
      </c>
      <c r="B124" s="163" t="str">
        <f>IF(Sandbox!J12="","",Sandbox!J12)</f>
        <v/>
      </c>
      <c r="C124" s="163" t="str">
        <f>IF(Sandbox!L12="","",Sandbox!L12)</f>
        <v/>
      </c>
      <c r="D124" s="247" t="str">
        <f>IF(C124="","",C124+VLOOKUP(B124,$Y$2:$AA$5,2,FALSE)+VLOOKUP(B124,$Y$2:$AA$5,3,FALSE)+IF(AND('House Rules'!$B$10="Potent",VLOOKUP(B124,$Y$2:$AB$5,4,FALSE)="Yes"),1,0)+$Z$7)</f>
        <v/>
      </c>
      <c r="E124" s="163" t="str">
        <f>IF(Sandbox!M12="","",Sandbox!M12)</f>
        <v/>
      </c>
      <c r="F124" s="247" t="str">
        <f>IF(E124="","",E124+IF('House Rules'!$B$12="Off",VLOOKUP(B124,$Y$2:$AA$5,2,FALSE),VLOOKUP(B124,$Y$2:$AA$5,2,FALSE)+VLOOKUP(B124,$Y$2:$AA$5,3,FALSE))+IF(OR(B124="Melee",B124="Brawl"),$Z$6,0)+IF(AND(VLOOKUP(B124,$Y$2:$AB$5,4,FALSE)="Yes",'House Rules'!B132="Potent"),1,0))</f>
        <v/>
      </c>
      <c r="G124" s="163" t="str">
        <f>IF(Sandbox!P12="","",Sandbox!P12)</f>
        <v/>
      </c>
      <c r="H124" s="163" t="str">
        <f>IF(Sandbox!S12="","",Sandbox!S12)</f>
        <v/>
      </c>
      <c r="I124" s="247" t="str">
        <f>IF('House Rules'!$B$11="off",IF(H124="--","--",IF(B124="brawl",(H124+CharacterSheet!$E$55+CharacterSheet!$E$7)/2+CharacterSheet!$G$7,IF(B124="melee",(H124+CharacterSheet!$E$7+CharacterSheet!$M$54)/2+CharacterSheet!$G$7,"--"))),IF(H124="--","--",IF(B124="brawl",(H124+CharacterSheet!$E$55+CharacterSheet!$D$35+IF(CharacterSheet!$D$41="N/A",0,CharacterSheet!$D$41)+CharacterSheet!$E$7)/2+CharacterSheet!$G$7,IF(B124="melee",(H124+CharacterSheet!$E$7+CharacterSheet!$D$35+IF(CharacterSheet!$D$41="N/A",0,CharacterSheet!$D$41)+CharacterSheet!$M$54)/2+CharacterSheet!$G$7,"--"))))</f>
        <v>--</v>
      </c>
      <c r="J124" s="163" t="str">
        <f>IF(Sandbox!T12="","",Sandbox!T12)</f>
        <v/>
      </c>
      <c r="K124" s="163" t="str">
        <f>IF(Sandbox!V12="","",Sandbox!V12)</f>
        <v/>
      </c>
      <c r="L124" s="166" t="str">
        <f>IF(Sandbox!X12="","",Sandbox!X12)</f>
        <v/>
      </c>
    </row>
    <row r="125" spans="1:12" x14ac:dyDescent="0.25">
      <c r="A125" s="164" t="str">
        <f>IF(Sandbox!D13="","Custom 10",Sandbox!D13)</f>
        <v>Custom 10</v>
      </c>
      <c r="B125" s="163" t="str">
        <f>IF(Sandbox!J13="","",Sandbox!J13)</f>
        <v/>
      </c>
      <c r="C125" s="163" t="str">
        <f>IF(Sandbox!L13="","",Sandbox!L13)</f>
        <v/>
      </c>
      <c r="D125" s="247" t="str">
        <f>IF(C125="","",C125+VLOOKUP(B125,$Y$2:$AA$5,2,FALSE)+VLOOKUP(B125,$Y$2:$AA$5,3,FALSE)+IF(AND('House Rules'!$B$10="Potent",VLOOKUP(B125,$Y$2:$AB$5,4,FALSE)="Yes"),1,0)+$Z$7)</f>
        <v/>
      </c>
      <c r="E125" s="163" t="str">
        <f>IF(Sandbox!M13="","",Sandbox!M13)</f>
        <v/>
      </c>
      <c r="F125" s="247" t="str">
        <f>IF(E125="","",E125+IF('House Rules'!$B$12="Off",VLOOKUP(B125,$Y$2:$AA$5,2,FALSE),VLOOKUP(B125,$Y$2:$AA$5,2,FALSE)+VLOOKUP(B125,$Y$2:$AA$5,3,FALSE))+IF(OR(B125="Melee",B125="Brawl"),$Z$6,0)+IF(AND(VLOOKUP(B125,$Y$2:$AB$5,4,FALSE)="Yes",'House Rules'!B133="Potent"),1,0))</f>
        <v/>
      </c>
      <c r="G125" s="163" t="str">
        <f>IF(Sandbox!P13="","",Sandbox!P13)</f>
        <v/>
      </c>
      <c r="H125" s="163" t="str">
        <f>IF(Sandbox!S13="","",Sandbox!S13)</f>
        <v/>
      </c>
      <c r="I125" s="247" t="str">
        <f>IF('House Rules'!$B$11="off",IF(H125="--","--",IF(B125="brawl",(H125+CharacterSheet!$E$55+CharacterSheet!$E$7)/2+CharacterSheet!$G$7,IF(B125="melee",(H125+CharacterSheet!$E$7+CharacterSheet!$M$54)/2+CharacterSheet!$G$7,"--"))),IF(H125="--","--",IF(B125="brawl",(H125+CharacterSheet!$E$55+CharacterSheet!$D$35+IF(CharacterSheet!$D$41="N/A",0,CharacterSheet!$D$41)+CharacterSheet!$E$7)/2+CharacterSheet!$G$7,IF(B125="melee",(H125+CharacterSheet!$E$7+CharacterSheet!$D$35+IF(CharacterSheet!$D$41="N/A",0,CharacterSheet!$D$41)+CharacterSheet!$M$54)/2+CharacterSheet!$G$7,"--"))))</f>
        <v>--</v>
      </c>
      <c r="J125" s="163" t="str">
        <f>IF(Sandbox!T13="","",Sandbox!T13)</f>
        <v/>
      </c>
      <c r="K125" s="163" t="str">
        <f>IF(Sandbox!V13="","",Sandbox!V13)</f>
        <v/>
      </c>
      <c r="L125" s="166" t="str">
        <f>IF(Sandbox!X13="","",Sandbox!X13)</f>
        <v/>
      </c>
    </row>
    <row r="126" spans="1:12" x14ac:dyDescent="0.25">
      <c r="A126" s="164" t="str">
        <f>IF(Sandbox!D14="","Custom 11",Sandbox!D14)</f>
        <v>Custom 11</v>
      </c>
      <c r="B126" s="163" t="str">
        <f>IF(Sandbox!J14="","",Sandbox!J14)</f>
        <v/>
      </c>
      <c r="C126" s="163" t="str">
        <f>IF(Sandbox!L14="","",Sandbox!L14)</f>
        <v/>
      </c>
      <c r="D126" s="247" t="str">
        <f>IF(C126="","",C126+VLOOKUP(B126,$Y$2:$AA$5,2,FALSE)+VLOOKUP(B126,$Y$2:$AA$5,3,FALSE)+IF(AND('House Rules'!$B$10="Potent",VLOOKUP(B126,$Y$2:$AB$5,4,FALSE)="Yes"),1,0)+$Z$7)</f>
        <v/>
      </c>
      <c r="E126" s="163" t="str">
        <f>IF(Sandbox!M14="","",Sandbox!M14)</f>
        <v/>
      </c>
      <c r="F126" s="247" t="str">
        <f>IF(E126="","",E126+IF('House Rules'!$B$12="Off",VLOOKUP(B126,$Y$2:$AA$5,2,FALSE),VLOOKUP(B126,$Y$2:$AA$5,2,FALSE)+VLOOKUP(B126,$Y$2:$AA$5,3,FALSE))+IF(OR(B126="Melee",B126="Brawl"),$Z$6,0)+IF(AND(VLOOKUP(B126,$Y$2:$AB$5,4,FALSE)="Yes",'House Rules'!B134="Potent"),1,0))</f>
        <v/>
      </c>
      <c r="G126" s="163" t="str">
        <f>IF(Sandbox!P14="","",Sandbox!P14)</f>
        <v/>
      </c>
      <c r="H126" s="163" t="str">
        <f>IF(Sandbox!S14="","",Sandbox!S14)</f>
        <v/>
      </c>
      <c r="I126" s="247" t="str">
        <f>IF('House Rules'!$B$11="off",IF(H126="--","--",IF(B126="brawl",(H126+CharacterSheet!$E$55+CharacterSheet!$E$7)/2+CharacterSheet!$G$7,IF(B126="melee",(H126+CharacterSheet!$E$7+CharacterSheet!$M$54)/2+CharacterSheet!$G$7,"--"))),IF(H126="--","--",IF(B126="brawl",(H126+CharacterSheet!$E$55+CharacterSheet!$D$35+IF(CharacterSheet!$D$41="N/A",0,CharacterSheet!$D$41)+CharacterSheet!$E$7)/2+CharacterSheet!$G$7,IF(B126="melee",(H126+CharacterSheet!$E$7+CharacterSheet!$D$35+IF(CharacterSheet!$D$41="N/A",0,CharacterSheet!$D$41)+CharacterSheet!$M$54)/2+CharacterSheet!$G$7,"--"))))</f>
        <v>--</v>
      </c>
      <c r="J126" s="163" t="str">
        <f>IF(Sandbox!T14="","",Sandbox!T14)</f>
        <v/>
      </c>
      <c r="K126" s="163" t="str">
        <f>IF(Sandbox!V14="","",Sandbox!V14)</f>
        <v/>
      </c>
      <c r="L126" s="166" t="str">
        <f>IF(Sandbox!X14="","",Sandbox!X14)</f>
        <v/>
      </c>
    </row>
    <row r="127" spans="1:12" x14ac:dyDescent="0.25">
      <c r="A127" s="164" t="str">
        <f>IF(Sandbox!D15="","Custom 12",Sandbox!D15)</f>
        <v>Custom 12</v>
      </c>
      <c r="B127" s="163" t="str">
        <f>IF(Sandbox!J15="","",Sandbox!J15)</f>
        <v/>
      </c>
      <c r="C127" s="163" t="str">
        <f>IF(Sandbox!L15="","",Sandbox!L15)</f>
        <v/>
      </c>
      <c r="D127" s="247" t="str">
        <f>IF(C127="","",C127+VLOOKUP(B127,$Y$2:$AA$5,2,FALSE)+VLOOKUP(B127,$Y$2:$AA$5,3,FALSE)+IF(AND('House Rules'!$B$10="Potent",VLOOKUP(B127,$Y$2:$AB$5,4,FALSE)="Yes"),1,0)+$Z$7)</f>
        <v/>
      </c>
      <c r="E127" s="163" t="str">
        <f>IF(Sandbox!M15="","",Sandbox!M15)</f>
        <v/>
      </c>
      <c r="F127" s="247" t="str">
        <f>IF(E127="","",E127+IF('House Rules'!$B$12="Off",VLOOKUP(B127,$Y$2:$AA$5,2,FALSE),VLOOKUP(B127,$Y$2:$AA$5,2,FALSE)+VLOOKUP(B127,$Y$2:$AA$5,3,FALSE))+IF(OR(B127="Melee",B127="Brawl"),$Z$6,0)+IF(AND(VLOOKUP(B127,$Y$2:$AB$5,4,FALSE)="Yes",'House Rules'!B135="Potent"),1,0))</f>
        <v/>
      </c>
      <c r="G127" s="163" t="str">
        <f>IF(Sandbox!P15="","",Sandbox!P15)</f>
        <v/>
      </c>
      <c r="H127" s="163" t="str">
        <f>IF(Sandbox!S15="","",Sandbox!S15)</f>
        <v/>
      </c>
      <c r="I127" s="247" t="str">
        <f>IF('House Rules'!$B$11="off",IF(H127="--","--",IF(B127="brawl",(H127+CharacterSheet!$E$55+CharacterSheet!$E$7)/2+CharacterSheet!$G$7,IF(B127="melee",(H127+CharacterSheet!$E$7+CharacterSheet!$M$54)/2+CharacterSheet!$G$7,"--"))),IF(H127="--","--",IF(B127="brawl",(H127+CharacterSheet!$E$55+CharacterSheet!$D$35+IF(CharacterSheet!$D$41="N/A",0,CharacterSheet!$D$41)+CharacterSheet!$E$7)/2+CharacterSheet!$G$7,IF(B127="melee",(H127+CharacterSheet!$E$7+CharacterSheet!$D$35+IF(CharacterSheet!$D$41="N/A",0,CharacterSheet!$D$41)+CharacterSheet!$M$54)/2+CharacterSheet!$G$7,"--"))))</f>
        <v>--</v>
      </c>
      <c r="J127" s="163" t="str">
        <f>IF(Sandbox!T15="","",Sandbox!T15)</f>
        <v/>
      </c>
      <c r="K127" s="163" t="str">
        <f>IF(Sandbox!V15="","",Sandbox!V15)</f>
        <v/>
      </c>
      <c r="L127" s="166" t="str">
        <f>IF(Sandbox!X15="","",Sandbox!X15)</f>
        <v/>
      </c>
    </row>
    <row r="128" spans="1:12" x14ac:dyDescent="0.25">
      <c r="A128" s="164" t="str">
        <f>IF(Sandbox!D16="","Custom 13",Sandbox!D16)</f>
        <v>Custom 13</v>
      </c>
      <c r="B128" s="163" t="str">
        <f>IF(Sandbox!J16="","",Sandbox!J16)</f>
        <v/>
      </c>
      <c r="C128" s="163" t="str">
        <f>IF(Sandbox!L16="","",Sandbox!L16)</f>
        <v/>
      </c>
      <c r="D128" s="247" t="str">
        <f>IF(C128="","",C128+VLOOKUP(B128,$Y$2:$AA$5,2,FALSE)+VLOOKUP(B128,$Y$2:$AA$5,3,FALSE)+IF(AND('House Rules'!$B$10="Potent",VLOOKUP(B128,$Y$2:$AB$5,4,FALSE)="Yes"),1,0)+$Z$7)</f>
        <v/>
      </c>
      <c r="E128" s="163" t="str">
        <f>IF(Sandbox!M16="","",Sandbox!M16)</f>
        <v/>
      </c>
      <c r="F128" s="247" t="str">
        <f>IF(E128="","",E128+IF('House Rules'!$B$12="Off",VLOOKUP(B128,$Y$2:$AA$5,2,FALSE),VLOOKUP(B128,$Y$2:$AA$5,2,FALSE)+VLOOKUP(B128,$Y$2:$AA$5,3,FALSE))+IF(OR(B128="Melee",B128="Brawl"),$Z$6,0)+IF(AND(VLOOKUP(B128,$Y$2:$AB$5,4,FALSE)="Yes",'House Rules'!B136="Potent"),1,0))</f>
        <v/>
      </c>
      <c r="G128" s="163" t="str">
        <f>IF(Sandbox!P16="","",Sandbox!P16)</f>
        <v/>
      </c>
      <c r="H128" s="163" t="str">
        <f>IF(Sandbox!S16="","",Sandbox!S16)</f>
        <v/>
      </c>
      <c r="I128" s="247" t="str">
        <f>IF('House Rules'!$B$11="off",IF(H128="--","--",IF(B128="brawl",(H128+CharacterSheet!$E$55+CharacterSheet!$E$7)/2+CharacterSheet!$G$7,IF(B128="melee",(H128+CharacterSheet!$E$7+CharacterSheet!$M$54)/2+CharacterSheet!$G$7,"--"))),IF(H128="--","--",IF(B128="brawl",(H128+CharacterSheet!$E$55+CharacterSheet!$D$35+IF(CharacterSheet!$D$41="N/A",0,CharacterSheet!$D$41)+CharacterSheet!$E$7)/2+CharacterSheet!$G$7,IF(B128="melee",(H128+CharacterSheet!$E$7+CharacterSheet!$D$35+IF(CharacterSheet!$D$41="N/A",0,CharacterSheet!$D$41)+CharacterSheet!$M$54)/2+CharacterSheet!$G$7,"--"))))</f>
        <v>--</v>
      </c>
      <c r="J128" s="163" t="str">
        <f>IF(Sandbox!T16="","",Sandbox!T16)</f>
        <v/>
      </c>
      <c r="K128" s="163" t="str">
        <f>IF(Sandbox!V16="","",Sandbox!V16)</f>
        <v/>
      </c>
      <c r="L128" s="166" t="str">
        <f>IF(Sandbox!X16="","",Sandbox!X16)</f>
        <v/>
      </c>
    </row>
    <row r="129" spans="1:12" x14ac:dyDescent="0.25">
      <c r="A129" s="164" t="str">
        <f>IF(Sandbox!D17="","Custom 14",Sandbox!D17)</f>
        <v>Custom 14</v>
      </c>
      <c r="B129" s="163" t="str">
        <f>IF(Sandbox!J17="","",Sandbox!J17)</f>
        <v/>
      </c>
      <c r="C129" s="163" t="str">
        <f>IF(Sandbox!L17="","",Sandbox!L17)</f>
        <v/>
      </c>
      <c r="D129" s="247" t="str">
        <f>IF(C129="","",C129+VLOOKUP(B129,$Y$2:$AA$5,2,FALSE)+VLOOKUP(B129,$Y$2:$AA$5,3,FALSE)+IF(AND('House Rules'!$B$10="Potent",VLOOKUP(B129,$Y$2:$AB$5,4,FALSE)="Yes"),1,0)+$Z$7)</f>
        <v/>
      </c>
      <c r="E129" s="163" t="str">
        <f>IF(Sandbox!M17="","",Sandbox!M17)</f>
        <v/>
      </c>
      <c r="F129" s="247" t="str">
        <f>IF(E129="","",E129+IF('House Rules'!$B$12="Off",VLOOKUP(B129,$Y$2:$AA$5,2,FALSE),VLOOKUP(B129,$Y$2:$AA$5,2,FALSE)+VLOOKUP(B129,$Y$2:$AA$5,3,FALSE))+IF(OR(B129="Melee",B129="Brawl"),$Z$6,0)+IF(AND(VLOOKUP(B129,$Y$2:$AB$5,4,FALSE)="Yes",'House Rules'!B137="Potent"),1,0))</f>
        <v/>
      </c>
      <c r="G129" s="163" t="str">
        <f>IF(Sandbox!P17="","",Sandbox!P17)</f>
        <v/>
      </c>
      <c r="H129" s="163" t="str">
        <f>IF(Sandbox!S17="","",Sandbox!S17)</f>
        <v/>
      </c>
      <c r="I129" s="247" t="str">
        <f>IF('House Rules'!$B$11="off",IF(H129="--","--",IF(B129="brawl",(H129+CharacterSheet!$E$55+CharacterSheet!$E$7)/2+CharacterSheet!$G$7,IF(B129="melee",(H129+CharacterSheet!$E$7+CharacterSheet!$M$54)/2+CharacterSheet!$G$7,"--"))),IF(H129="--","--",IF(B129="brawl",(H129+CharacterSheet!$E$55+CharacterSheet!$D$35+IF(CharacterSheet!$D$41="N/A",0,CharacterSheet!$D$41)+CharacterSheet!$E$7)/2+CharacterSheet!$G$7,IF(B129="melee",(H129+CharacterSheet!$E$7+CharacterSheet!$D$35+IF(CharacterSheet!$D$41="N/A",0,CharacterSheet!$D$41)+CharacterSheet!$M$54)/2+CharacterSheet!$G$7,"--"))))</f>
        <v>--</v>
      </c>
      <c r="J129" s="163" t="str">
        <f>IF(Sandbox!T17="","",Sandbox!T17)</f>
        <v/>
      </c>
      <c r="K129" s="163" t="str">
        <f>IF(Sandbox!V17="","",Sandbox!V17)</f>
        <v/>
      </c>
      <c r="L129" s="166" t="str">
        <f>IF(Sandbox!X17="","",Sandbox!X17)</f>
        <v/>
      </c>
    </row>
    <row r="130" spans="1:12" ht="15.75" thickBot="1" x14ac:dyDescent="0.3">
      <c r="A130" s="165" t="str">
        <f>IF(Sandbox!D18="","Custom 15",Sandbox!D18)</f>
        <v>Custom 15</v>
      </c>
      <c r="B130" s="167" t="str">
        <f>IF(Sandbox!J18="","",Sandbox!J18)</f>
        <v/>
      </c>
      <c r="C130" s="167" t="str">
        <f>IF(Sandbox!L18="","",Sandbox!L18)</f>
        <v/>
      </c>
      <c r="D130" s="247" t="str">
        <f>IF(C130="","",C130+VLOOKUP(B130,$Y$2:$AA$5,2,FALSE)+VLOOKUP(B130,$Y$2:$AA$5,3,FALSE)+IF(AND('House Rules'!$B$10="Potent",VLOOKUP(B130,$Y$2:$AB$5,4,FALSE)="Yes"),1,0)+$Z$7)</f>
        <v/>
      </c>
      <c r="E130" s="167" t="str">
        <f>IF(Sandbox!M18="","",Sandbox!M18)</f>
        <v/>
      </c>
      <c r="F130" s="250" t="str">
        <f>IF(E130="","",E130+IF('House Rules'!$B$12="Off",VLOOKUP(B130,$Y$2:$AA$5,2,FALSE),VLOOKUP(B130,$Y$2:$AA$5,2,FALSE)+VLOOKUP(B130,$Y$2:$AA$5,3,FALSE))+IF(OR(B130="Melee",B130="Brawl"),$Z$6,0)+IF(AND(VLOOKUP(B130,$Y$2:$AB$5,4,FALSE)="Yes",'House Rules'!B138="Potent"),1,0))</f>
        <v/>
      </c>
      <c r="G130" s="167" t="str">
        <f>IF(Sandbox!P18="","",Sandbox!P18)</f>
        <v/>
      </c>
      <c r="H130" s="167" t="str">
        <f>IF(Sandbox!S18="","",Sandbox!S18)</f>
        <v/>
      </c>
      <c r="I130" s="250" t="str">
        <f>IF('House Rules'!$B$11="off",IF(H130="--","--",IF(B130="brawl",(H130+CharacterSheet!$E$55+CharacterSheet!$E$7)/2+CharacterSheet!$G$7,IF(B130="melee",(H130+CharacterSheet!$E$7+CharacterSheet!$M$54)/2+CharacterSheet!$G$7,"--"))),IF(H130="--","--",IF(B130="brawl",(H130+CharacterSheet!$E$55+CharacterSheet!$D$35+IF(CharacterSheet!$D$41="N/A",0,CharacterSheet!$D$41)+CharacterSheet!$E$7)/2+CharacterSheet!$G$7,IF(B130="melee",(H130+CharacterSheet!$E$7+CharacterSheet!$D$35+IF(CharacterSheet!$D$41="N/A",0,CharacterSheet!$D$41)+CharacterSheet!$M$54)/2+CharacterSheet!$G$7,"--"))))</f>
        <v>--</v>
      </c>
      <c r="J130" s="167" t="str">
        <f>IF(Sandbox!T18="","",Sandbox!T18)</f>
        <v/>
      </c>
      <c r="K130" s="167" t="str">
        <f>IF(Sandbox!V18="","",Sandbox!V18)</f>
        <v/>
      </c>
      <c r="L130" s="168" t="str">
        <f>IF(Sandbox!X18="","",Sandbox!X18)</f>
        <v/>
      </c>
    </row>
  </sheetData>
  <sheetProtection password="E9C2" sheet="1" objects="1" scenarios="1" selectLockedCells="1" selectUnlockedCells="1"/>
  <sortState ref="U12:U30">
    <sortCondition ref="U12:U30"/>
  </sortState>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BZ130"/>
  <sheetViews>
    <sheetView view="pageBreakPreview" zoomScale="60" zoomScaleNormal="100" workbookViewId="0">
      <pane ySplit="1" topLeftCell="A2" activePane="bottomLeft" state="frozen"/>
      <selection sqref="A1:E1048576"/>
      <selection pane="bottomLeft" sqref="A1:E1048576"/>
    </sheetView>
  </sheetViews>
  <sheetFormatPr defaultRowHeight="15" x14ac:dyDescent="0.25"/>
  <cols>
    <col min="1" max="1" width="18.28515625" style="2" hidden="1" customWidth="1"/>
    <col min="2" max="2" width="8.5703125" style="2" hidden="1" customWidth="1"/>
    <col min="3" max="3" width="9.28515625" style="2" hidden="1" customWidth="1"/>
    <col min="4" max="4" width="8.140625" style="2" hidden="1" customWidth="1"/>
    <col min="5" max="5" width="9.140625" style="2" hidden="1" customWidth="1"/>
    <col min="6" max="6" width="13.140625" style="2" hidden="1" customWidth="1"/>
    <col min="7" max="7" width="11.5703125" style="2" hidden="1" customWidth="1"/>
    <col min="8" max="8" width="10.7109375" style="2" hidden="1" customWidth="1"/>
    <col min="9" max="9" width="11.5703125" style="2" hidden="1" customWidth="1"/>
    <col min="10" max="10" width="5.140625" style="2" hidden="1" customWidth="1"/>
    <col min="11" max="11" width="18.28515625" style="2" hidden="1" customWidth="1"/>
    <col min="12" max="12" width="11.140625" style="28" hidden="1" customWidth="1"/>
    <col min="13" max="13" width="12.5703125" style="28" hidden="1" customWidth="1"/>
    <col min="14" max="16" width="14" style="28" hidden="1" customWidth="1"/>
    <col min="17" max="17" width="9.140625" style="28" hidden="1" customWidth="1"/>
    <col min="18" max="18" width="10.42578125" style="28" hidden="1" customWidth="1"/>
    <col min="19" max="19" width="11.140625" style="28" hidden="1" customWidth="1"/>
    <col min="20" max="20" width="4" style="28" hidden="1" customWidth="1"/>
    <col min="21" max="21" width="8.85546875" style="28" hidden="1" customWidth="1"/>
    <col min="22" max="22" width="10.7109375" style="28" hidden="1" customWidth="1"/>
    <col min="23" max="23" width="6" style="28" hidden="1" customWidth="1"/>
    <col min="24" max="24" width="10" style="28" hidden="1" customWidth="1"/>
    <col min="25" max="25" width="7.5703125" style="28" hidden="1" customWidth="1"/>
    <col min="26" max="26" width="5.28515625" style="28" hidden="1" customWidth="1"/>
    <col min="27" max="27" width="8.7109375" style="28" hidden="1" customWidth="1"/>
    <col min="28" max="28" width="9.28515625" style="28" hidden="1" customWidth="1"/>
    <col min="29" max="29" width="8.5703125" style="28" hidden="1" customWidth="1"/>
    <col min="30" max="30" width="12.5703125" style="28" hidden="1" customWidth="1"/>
    <col min="31" max="31" width="7.7109375" style="28" hidden="1" customWidth="1"/>
    <col min="32" max="32" width="14" style="28" hidden="1" customWidth="1"/>
    <col min="33" max="33" width="9.28515625" style="28" hidden="1" customWidth="1"/>
    <col min="34" max="34" width="6.7109375" style="28" hidden="1" customWidth="1"/>
    <col min="35" max="35" width="6.5703125" style="28" hidden="1" customWidth="1"/>
    <col min="36" max="36" width="7.42578125" style="28" hidden="1" customWidth="1"/>
    <col min="37" max="37" width="9.140625" style="28" hidden="1" customWidth="1"/>
    <col min="38" max="38" width="7.7109375" style="28" hidden="1" customWidth="1"/>
    <col min="39" max="39" width="7.28515625" style="28" hidden="1" customWidth="1"/>
    <col min="40" max="40" width="8" style="28" hidden="1" customWidth="1"/>
    <col min="41" max="41" width="7.7109375" style="28" hidden="1" customWidth="1"/>
    <col min="42" max="43" width="18.28515625" style="2" hidden="1" customWidth="1"/>
    <col min="44" max="44" width="7.42578125" style="29" hidden="1" customWidth="1"/>
    <col min="45" max="45" width="6" style="29" hidden="1" customWidth="1"/>
    <col min="46" max="46" width="5.5703125" style="29" hidden="1" customWidth="1"/>
    <col min="47" max="47" width="6.7109375" style="29" hidden="1" customWidth="1"/>
    <col min="48" max="49" width="7.28515625" style="29" hidden="1" customWidth="1"/>
    <col min="50" max="50" width="9.5703125" style="29" hidden="1" customWidth="1"/>
    <col min="51" max="51" width="6.5703125" style="29" hidden="1" customWidth="1"/>
    <col min="52" max="52" width="5.85546875" style="29" hidden="1" customWidth="1"/>
    <col min="53" max="53" width="6.5703125" style="29" hidden="1" customWidth="1"/>
    <col min="54" max="54" width="8" style="29" hidden="1" customWidth="1"/>
    <col min="55" max="55" width="4.42578125" style="29" hidden="1" customWidth="1"/>
    <col min="56" max="56" width="5.5703125" style="29" hidden="1" customWidth="1"/>
    <col min="57" max="57" width="9.42578125" style="29" hidden="1" customWidth="1"/>
    <col min="58" max="58" width="7.140625" style="29" hidden="1" customWidth="1"/>
    <col min="59" max="59" width="5.7109375" style="29" hidden="1" customWidth="1"/>
    <col min="60" max="60" width="7.7109375" style="29" hidden="1" customWidth="1"/>
    <col min="61" max="61" width="8.42578125" style="29" hidden="1" customWidth="1"/>
    <col min="62" max="62" width="5" style="29" hidden="1" customWidth="1"/>
    <col min="63" max="63" width="9.42578125" style="29" hidden="1" customWidth="1"/>
    <col min="64" max="64" width="7.28515625" style="29" hidden="1" customWidth="1"/>
    <col min="65" max="65" width="6.7109375" style="29" hidden="1" customWidth="1"/>
    <col min="66" max="66" width="6.28515625" style="29" hidden="1" customWidth="1"/>
    <col min="67" max="67" width="8.42578125" style="29" hidden="1" customWidth="1"/>
    <col min="68" max="68" width="9.42578125" style="29" hidden="1" customWidth="1"/>
    <col min="69" max="69" width="12.5703125" style="29" hidden="1" customWidth="1"/>
    <col min="70" max="71" width="8.85546875" style="29" hidden="1" customWidth="1"/>
    <col min="72" max="72" width="4" style="29" hidden="1" customWidth="1"/>
    <col min="73" max="73" width="5.5703125" style="29" hidden="1" customWidth="1"/>
    <col min="74" max="74" width="4.28515625" style="29" hidden="1" customWidth="1"/>
    <col min="75" max="75" width="5.42578125" style="29" hidden="1" customWidth="1"/>
    <col min="76" max="76" width="14.28515625" style="29" hidden="1" customWidth="1"/>
    <col min="77" max="77" width="4.85546875" style="29" hidden="1" customWidth="1"/>
    <col min="78" max="78" width="6.7109375" style="29" hidden="1" customWidth="1"/>
    <col min="79" max="16384" width="9.140625" style="15"/>
  </cols>
  <sheetData>
    <row r="1" spans="1:78" s="27" customFormat="1" ht="15.75" x14ac:dyDescent="0.25">
      <c r="A1" s="85" t="s">
        <v>5</v>
      </c>
      <c r="B1" s="86" t="s">
        <v>30</v>
      </c>
      <c r="C1" s="86" t="s">
        <v>13</v>
      </c>
      <c r="D1" s="86" t="s">
        <v>14</v>
      </c>
      <c r="E1" s="86" t="s">
        <v>16</v>
      </c>
      <c r="F1" s="86" t="s">
        <v>17</v>
      </c>
      <c r="G1" s="86" t="s">
        <v>18</v>
      </c>
      <c r="H1" s="86" t="s">
        <v>19</v>
      </c>
      <c r="I1" s="86" t="s">
        <v>20</v>
      </c>
      <c r="J1" s="90" t="s">
        <v>21</v>
      </c>
      <c r="K1" s="85" t="s">
        <v>5</v>
      </c>
      <c r="L1" s="86"/>
      <c r="M1" s="86"/>
      <c r="N1" s="86"/>
      <c r="O1" s="86"/>
      <c r="P1" s="86"/>
      <c r="Q1" s="86"/>
      <c r="R1" s="86" t="s">
        <v>35</v>
      </c>
      <c r="S1" s="86" t="s">
        <v>36</v>
      </c>
      <c r="T1" s="97" t="s">
        <v>55</v>
      </c>
      <c r="U1" s="86" t="s">
        <v>37</v>
      </c>
      <c r="V1" s="86" t="s">
        <v>38</v>
      </c>
      <c r="W1" s="86" t="s">
        <v>39</v>
      </c>
      <c r="X1" s="86" t="s">
        <v>40</v>
      </c>
      <c r="Y1" s="97" t="s">
        <v>56</v>
      </c>
      <c r="Z1" s="97" t="s">
        <v>57</v>
      </c>
      <c r="AA1" s="86" t="s">
        <v>41</v>
      </c>
      <c r="AB1" s="86" t="s">
        <v>42</v>
      </c>
      <c r="AC1" s="86" t="s">
        <v>43</v>
      </c>
      <c r="AD1" s="86" t="s">
        <v>44</v>
      </c>
      <c r="AE1" s="86" t="s">
        <v>45</v>
      </c>
      <c r="AF1" s="86" t="s">
        <v>46</v>
      </c>
      <c r="AG1" s="86" t="s">
        <v>47</v>
      </c>
      <c r="AH1" s="86" t="s">
        <v>48</v>
      </c>
      <c r="AI1" s="86" t="s">
        <v>49</v>
      </c>
      <c r="AJ1" s="86" t="s">
        <v>50</v>
      </c>
      <c r="AK1" s="86" t="s">
        <v>51</v>
      </c>
      <c r="AL1" s="97" t="s">
        <v>58</v>
      </c>
      <c r="AM1" s="86" t="s">
        <v>52</v>
      </c>
      <c r="AN1" s="86" t="s">
        <v>53</v>
      </c>
      <c r="AO1" s="90" t="s">
        <v>54</v>
      </c>
      <c r="AP1" s="85" t="s">
        <v>5</v>
      </c>
      <c r="AQ1" s="86">
        <v>1</v>
      </c>
      <c r="AR1" s="31" t="s">
        <v>352</v>
      </c>
      <c r="AS1" s="31" t="s">
        <v>87</v>
      </c>
      <c r="AT1" s="31" t="s">
        <v>180</v>
      </c>
      <c r="AU1" s="31" t="s">
        <v>353</v>
      </c>
      <c r="AV1" s="31" t="s">
        <v>175</v>
      </c>
      <c r="AW1" s="31" t="s">
        <v>182</v>
      </c>
      <c r="AX1" s="31" t="s">
        <v>354</v>
      </c>
      <c r="AY1" s="31" t="s">
        <v>355</v>
      </c>
      <c r="AZ1" s="31" t="s">
        <v>356</v>
      </c>
      <c r="BA1" s="31" t="s">
        <v>179</v>
      </c>
      <c r="BB1" s="31" t="s">
        <v>357</v>
      </c>
      <c r="BC1" s="31" t="s">
        <v>358</v>
      </c>
      <c r="BD1" s="31" t="s">
        <v>690</v>
      </c>
      <c r="BE1" s="31" t="s">
        <v>359</v>
      </c>
      <c r="BF1" s="31" t="s">
        <v>108</v>
      </c>
      <c r="BG1" s="31" t="s">
        <v>178</v>
      </c>
      <c r="BH1" s="31" t="s">
        <v>689</v>
      </c>
      <c r="BI1" s="31" t="s">
        <v>181</v>
      </c>
      <c r="BJ1" s="31" t="s">
        <v>166</v>
      </c>
      <c r="BK1" s="31" t="s">
        <v>155</v>
      </c>
      <c r="BL1" s="31" t="s">
        <v>360</v>
      </c>
      <c r="BM1" s="31" t="s">
        <v>371</v>
      </c>
      <c r="BN1" s="31" t="s">
        <v>361</v>
      </c>
      <c r="BO1" s="31" t="s">
        <v>369</v>
      </c>
      <c r="BP1" s="31" t="s">
        <v>370</v>
      </c>
      <c r="BQ1" s="31" t="s">
        <v>362</v>
      </c>
      <c r="BR1" s="31" t="s">
        <v>170</v>
      </c>
      <c r="BS1" s="31" t="s">
        <v>1343</v>
      </c>
      <c r="BT1" s="31" t="s">
        <v>363</v>
      </c>
      <c r="BU1" s="31" t="s">
        <v>364</v>
      </c>
      <c r="BV1" s="31" t="s">
        <v>365</v>
      </c>
      <c r="BW1" s="31" t="s">
        <v>168</v>
      </c>
      <c r="BX1" s="31" t="s">
        <v>691</v>
      </c>
      <c r="BY1" s="31" t="s">
        <v>366</v>
      </c>
      <c r="BZ1" s="32" t="s">
        <v>367</v>
      </c>
    </row>
    <row r="2" spans="1:78" s="2" customFormat="1" x14ac:dyDescent="0.25">
      <c r="A2" s="109" t="s">
        <v>281</v>
      </c>
      <c r="B2" s="88" t="s">
        <v>347</v>
      </c>
      <c r="C2" s="88" t="s">
        <v>347</v>
      </c>
      <c r="D2" s="88" t="s">
        <v>347</v>
      </c>
      <c r="E2" s="88" t="s">
        <v>346</v>
      </c>
      <c r="F2" s="88" t="s">
        <v>346</v>
      </c>
      <c r="G2" s="88" t="s">
        <v>346</v>
      </c>
      <c r="H2" s="88" t="s">
        <v>347</v>
      </c>
      <c r="I2" s="88" t="s">
        <v>347</v>
      </c>
      <c r="J2" s="91" t="s">
        <v>347</v>
      </c>
      <c r="K2" s="109" t="s">
        <v>281</v>
      </c>
      <c r="L2" s="88" t="str">
        <f>LOOKUP($K2,PantheonList!$A$18:$A$139,PantheonList!$B$18:$B$139)</f>
        <v>Animal Ken</v>
      </c>
      <c r="M2" s="88" t="str">
        <f>LOOKUP($K2,PantheonList!$A$18:$A$139,PantheonList!$C$18:$C$139)</f>
        <v>Art</v>
      </c>
      <c r="N2" s="88" t="str">
        <f>LOOKUP($K2,PantheonList!$A$18:$A$139,PantheonList!$D$18:$D$139)</f>
        <v>Empathy</v>
      </c>
      <c r="O2" s="88" t="str">
        <f>LOOKUP($K2,PantheonList!$A$18:$A$139,PantheonList!$E$18:$E$139)</f>
        <v>Medicine</v>
      </c>
      <c r="P2" s="88" t="str">
        <f>LOOKUP($K2,PantheonList!$A$18:$A$139,PantheonList!$F$18:$F$139)</f>
        <v>Occult</v>
      </c>
      <c r="Q2" s="88" t="str">
        <f>LOOKUP($K2,PantheonList!$A$18:$A$139,PantheonList!$G$18:$G$139)</f>
        <v>Presence</v>
      </c>
      <c r="R2" s="88" t="str">
        <f t="shared" ref="R2:AA11" si="0">IF(OR($Q2=R$1,$P2=R$1,$O2=R$1,$N2=R$1,$M2=R$1,$L2=R$1),"Yes","No")</f>
        <v>No</v>
      </c>
      <c r="S2" s="88" t="str">
        <f t="shared" si="0"/>
        <v>Yes</v>
      </c>
      <c r="T2" s="88" t="str">
        <f t="shared" si="0"/>
        <v>Yes</v>
      </c>
      <c r="U2" s="88" t="str">
        <f t="shared" si="0"/>
        <v>No</v>
      </c>
      <c r="V2" s="88" t="str">
        <f t="shared" si="0"/>
        <v>No</v>
      </c>
      <c r="W2" s="88" t="str">
        <f t="shared" si="0"/>
        <v>No</v>
      </c>
      <c r="X2" s="88" t="str">
        <f t="shared" si="0"/>
        <v>No</v>
      </c>
      <c r="Y2" s="88" t="str">
        <f t="shared" si="0"/>
        <v>No</v>
      </c>
      <c r="Z2" s="88" t="str">
        <f t="shared" si="0"/>
        <v>No</v>
      </c>
      <c r="AA2" s="88" t="str">
        <f t="shared" si="0"/>
        <v>Yes</v>
      </c>
      <c r="AB2" s="88" t="str">
        <f t="shared" ref="AB2:AO11" si="1">IF(OR($Q2=AB$1,$P2=AB$1,$O2=AB$1,$N2=AB$1,$M2=AB$1,$L2=AB$1),"Yes","No")</f>
        <v>No</v>
      </c>
      <c r="AC2" s="88" t="str">
        <f t="shared" si="1"/>
        <v>No</v>
      </c>
      <c r="AD2" s="88" t="str">
        <f t="shared" si="1"/>
        <v>No</v>
      </c>
      <c r="AE2" s="88" t="str">
        <f t="shared" si="1"/>
        <v>No</v>
      </c>
      <c r="AF2" s="88" t="str">
        <f t="shared" si="1"/>
        <v>No</v>
      </c>
      <c r="AG2" s="88" t="str">
        <f t="shared" si="1"/>
        <v>Yes</v>
      </c>
      <c r="AH2" s="88" t="str">
        <f t="shared" si="1"/>
        <v>No</v>
      </c>
      <c r="AI2" s="88" t="str">
        <f t="shared" si="1"/>
        <v>Yes</v>
      </c>
      <c r="AJ2" s="88" t="str">
        <f t="shared" si="1"/>
        <v>No</v>
      </c>
      <c r="AK2" s="88" t="str">
        <f t="shared" si="1"/>
        <v>Yes</v>
      </c>
      <c r="AL2" s="88" t="str">
        <f t="shared" si="1"/>
        <v>No</v>
      </c>
      <c r="AM2" s="88" t="str">
        <f t="shared" si="1"/>
        <v>No</v>
      </c>
      <c r="AN2" s="88" t="str">
        <f t="shared" si="1"/>
        <v>No</v>
      </c>
      <c r="AO2" s="91" t="str">
        <f t="shared" si="1"/>
        <v>No</v>
      </c>
      <c r="AP2" s="109" t="s">
        <v>281</v>
      </c>
      <c r="AQ2" s="88">
        <v>2</v>
      </c>
      <c r="AR2" s="88" t="s">
        <v>346</v>
      </c>
      <c r="AS2" s="88" t="s">
        <v>347</v>
      </c>
      <c r="AT2" s="88" t="s">
        <v>347</v>
      </c>
      <c r="AU2" s="88" t="s">
        <v>347</v>
      </c>
      <c r="AV2" s="88" t="s">
        <v>347</v>
      </c>
      <c r="AW2" s="88" t="s">
        <v>347</v>
      </c>
      <c r="AX2" s="88" t="s">
        <v>347</v>
      </c>
      <c r="AY2" s="88" t="s">
        <v>347</v>
      </c>
      <c r="AZ2" s="88" t="s">
        <v>347</v>
      </c>
      <c r="BA2" s="88" t="s">
        <v>346</v>
      </c>
      <c r="BB2" s="88" t="s">
        <v>347</v>
      </c>
      <c r="BC2" s="88" t="s">
        <v>347</v>
      </c>
      <c r="BD2" s="88" t="s">
        <v>347</v>
      </c>
      <c r="BE2" s="88" t="s">
        <v>347</v>
      </c>
      <c r="BF2" s="88" t="s">
        <v>346</v>
      </c>
      <c r="BG2" s="88" t="s">
        <v>347</v>
      </c>
      <c r="BH2" s="88" t="s">
        <v>347</v>
      </c>
      <c r="BI2" s="88" t="s">
        <v>347</v>
      </c>
      <c r="BJ2" s="88" t="s">
        <v>347</v>
      </c>
      <c r="BK2" s="88" t="s">
        <v>347</v>
      </c>
      <c r="BL2" s="88" t="s">
        <v>347</v>
      </c>
      <c r="BM2" s="88" t="s">
        <v>347</v>
      </c>
      <c r="BN2" s="88" t="s">
        <v>347</v>
      </c>
      <c r="BO2" s="88" t="s">
        <v>347</v>
      </c>
      <c r="BP2" s="88" t="s">
        <v>347</v>
      </c>
      <c r="BQ2" s="88" t="s">
        <v>347</v>
      </c>
      <c r="BR2" s="88" t="s">
        <v>347</v>
      </c>
      <c r="BS2" s="88" t="s">
        <v>347</v>
      </c>
      <c r="BT2" s="88" t="s">
        <v>347</v>
      </c>
      <c r="BU2" s="88" t="s">
        <v>347</v>
      </c>
      <c r="BV2" s="88" t="s">
        <v>347</v>
      </c>
      <c r="BW2" s="88" t="s">
        <v>347</v>
      </c>
      <c r="BX2" s="88" t="s">
        <v>347</v>
      </c>
      <c r="BY2" s="88" t="s">
        <v>347</v>
      </c>
      <c r="BZ2" s="91" t="s">
        <v>347</v>
      </c>
    </row>
    <row r="3" spans="1:78" s="2" customFormat="1" x14ac:dyDescent="0.25">
      <c r="A3" s="109" t="s">
        <v>235</v>
      </c>
      <c r="B3" s="88" t="s">
        <v>347</v>
      </c>
      <c r="C3" s="88" t="s">
        <v>346</v>
      </c>
      <c r="D3" s="88" t="s">
        <v>347</v>
      </c>
      <c r="E3" s="88" t="s">
        <v>347</v>
      </c>
      <c r="F3" s="88" t="s">
        <v>346</v>
      </c>
      <c r="G3" s="88" t="s">
        <v>347</v>
      </c>
      <c r="H3" s="88" t="s">
        <v>347</v>
      </c>
      <c r="I3" s="88" t="s">
        <v>347</v>
      </c>
      <c r="J3" s="91" t="s">
        <v>346</v>
      </c>
      <c r="K3" s="109" t="s">
        <v>235</v>
      </c>
      <c r="L3" s="88" t="str">
        <f>LOOKUP($K3,PantheonList!$A$18:$A$139,PantheonList!$B$18:$B$139)</f>
        <v>Awareness</v>
      </c>
      <c r="M3" s="88" t="str">
        <f>LOOKUP($K3,PantheonList!$A$18:$A$139,PantheonList!$C$18:$C$139)</f>
        <v>Command</v>
      </c>
      <c r="N3" s="88" t="str">
        <f>LOOKUP($K3,PantheonList!$A$18:$A$139,PantheonList!$D$18:$D$139)</f>
        <v>Control</v>
      </c>
      <c r="O3" s="88" t="str">
        <f>LOOKUP($K3,PantheonList!$A$18:$A$139,PantheonList!$E$18:$E$139)</f>
        <v>Empathy</v>
      </c>
      <c r="P3" s="88" t="str">
        <f>LOOKUP($K3,PantheonList!$A$18:$A$139,PantheonList!$F$18:$F$139)</f>
        <v>Presence</v>
      </c>
      <c r="Q3" s="88" t="str">
        <f>LOOKUP($K3,PantheonList!$A$18:$A$139,PantheonList!$G$18:$G$139)</f>
        <v>Stealth</v>
      </c>
      <c r="R3" s="88" t="str">
        <f t="shared" si="0"/>
        <v>No</v>
      </c>
      <c r="S3" s="88" t="str">
        <f t="shared" si="0"/>
        <v>No</v>
      </c>
      <c r="T3" s="88" t="str">
        <f t="shared" si="0"/>
        <v>No</v>
      </c>
      <c r="U3" s="88" t="str">
        <f t="shared" si="0"/>
        <v>No</v>
      </c>
      <c r="V3" s="88" t="str">
        <f t="shared" si="0"/>
        <v>Yes</v>
      </c>
      <c r="W3" s="88" t="str">
        <f t="shared" si="0"/>
        <v>No</v>
      </c>
      <c r="X3" s="88" t="str">
        <f t="shared" si="0"/>
        <v>Yes</v>
      </c>
      <c r="Y3" s="88" t="str">
        <f t="shared" si="0"/>
        <v>Yes</v>
      </c>
      <c r="Z3" s="88" t="str">
        <f t="shared" si="0"/>
        <v>No</v>
      </c>
      <c r="AA3" s="88" t="str">
        <f t="shared" si="0"/>
        <v>Yes</v>
      </c>
      <c r="AB3" s="88" t="str">
        <f t="shared" si="1"/>
        <v>No</v>
      </c>
      <c r="AC3" s="88" t="str">
        <f t="shared" si="1"/>
        <v>No</v>
      </c>
      <c r="AD3" s="88" t="str">
        <f t="shared" si="1"/>
        <v>No</v>
      </c>
      <c r="AE3" s="88" t="str">
        <f t="shared" si="1"/>
        <v>No</v>
      </c>
      <c r="AF3" s="88" t="str">
        <f t="shared" si="1"/>
        <v>No</v>
      </c>
      <c r="AG3" s="88" t="str">
        <f t="shared" si="1"/>
        <v>No</v>
      </c>
      <c r="AH3" s="88" t="str">
        <f t="shared" si="1"/>
        <v>No</v>
      </c>
      <c r="AI3" s="88" t="str">
        <f t="shared" si="1"/>
        <v>No</v>
      </c>
      <c r="AJ3" s="88" t="str">
        <f t="shared" si="1"/>
        <v>No</v>
      </c>
      <c r="AK3" s="88" t="str">
        <f t="shared" si="1"/>
        <v>Yes</v>
      </c>
      <c r="AL3" s="88" t="str">
        <f t="shared" si="1"/>
        <v>No</v>
      </c>
      <c r="AM3" s="88" t="str">
        <f t="shared" si="1"/>
        <v>Yes</v>
      </c>
      <c r="AN3" s="88" t="str">
        <f t="shared" si="1"/>
        <v>No</v>
      </c>
      <c r="AO3" s="91" t="str">
        <f t="shared" si="1"/>
        <v>No</v>
      </c>
      <c r="AP3" s="109" t="s">
        <v>235</v>
      </c>
      <c r="AQ3" s="88">
        <v>3</v>
      </c>
      <c r="AR3" s="88" t="s">
        <v>347</v>
      </c>
      <c r="AS3" s="88" t="s">
        <v>347</v>
      </c>
      <c r="AT3" s="88" t="s">
        <v>347</v>
      </c>
      <c r="AU3" s="88" t="s">
        <v>347</v>
      </c>
      <c r="AV3" s="88" t="s">
        <v>347</v>
      </c>
      <c r="AW3" s="88" t="s">
        <v>347</v>
      </c>
      <c r="AX3" s="88" t="s">
        <v>347</v>
      </c>
      <c r="AY3" s="88" t="s">
        <v>347</v>
      </c>
      <c r="AZ3" s="88" t="s">
        <v>347</v>
      </c>
      <c r="BA3" s="88" t="s">
        <v>347</v>
      </c>
      <c r="BB3" s="88" t="s">
        <v>347</v>
      </c>
      <c r="BC3" s="88" t="s">
        <v>346</v>
      </c>
      <c r="BD3" s="88" t="s">
        <v>347</v>
      </c>
      <c r="BE3" s="88" t="s">
        <v>347</v>
      </c>
      <c r="BF3" s="88" t="s">
        <v>347</v>
      </c>
      <c r="BG3" s="88" t="s">
        <v>347</v>
      </c>
      <c r="BH3" s="88" t="s">
        <v>347</v>
      </c>
      <c r="BI3" s="88" t="s">
        <v>347</v>
      </c>
      <c r="BJ3" s="88" t="s">
        <v>347</v>
      </c>
      <c r="BK3" s="88" t="s">
        <v>347</v>
      </c>
      <c r="BL3" s="88" t="s">
        <v>347</v>
      </c>
      <c r="BM3" s="88" t="s">
        <v>347</v>
      </c>
      <c r="BN3" s="88" t="s">
        <v>347</v>
      </c>
      <c r="BO3" s="88" t="s">
        <v>347</v>
      </c>
      <c r="BP3" s="88" t="s">
        <v>347</v>
      </c>
      <c r="BQ3" s="88" t="s">
        <v>346</v>
      </c>
      <c r="BR3" s="88" t="s">
        <v>346</v>
      </c>
      <c r="BS3" s="88" t="s">
        <v>347</v>
      </c>
      <c r="BT3" s="88" t="s">
        <v>346</v>
      </c>
      <c r="BU3" s="88" t="s">
        <v>347</v>
      </c>
      <c r="BV3" s="88" t="s">
        <v>347</v>
      </c>
      <c r="BW3" s="88" t="s">
        <v>347</v>
      </c>
      <c r="BX3" s="88" t="s">
        <v>347</v>
      </c>
      <c r="BY3" s="88" t="s">
        <v>347</v>
      </c>
      <c r="BZ3" s="91" t="s">
        <v>347</v>
      </c>
    </row>
    <row r="4" spans="1:78" s="2" customFormat="1" x14ac:dyDescent="0.25">
      <c r="A4" s="109" t="s">
        <v>205</v>
      </c>
      <c r="B4" s="88" t="s">
        <v>346</v>
      </c>
      <c r="C4" s="88" t="s">
        <v>347</v>
      </c>
      <c r="D4" s="88" t="s">
        <v>347</v>
      </c>
      <c r="E4" s="88" t="s">
        <v>346</v>
      </c>
      <c r="F4" s="88" t="s">
        <v>347</v>
      </c>
      <c r="G4" s="88" t="s">
        <v>346</v>
      </c>
      <c r="H4" s="88" t="s">
        <v>347</v>
      </c>
      <c r="I4" s="88" t="s">
        <v>347</v>
      </c>
      <c r="J4" s="91" t="s">
        <v>347</v>
      </c>
      <c r="K4" s="109" t="s">
        <v>205</v>
      </c>
      <c r="L4" s="88" t="str">
        <f>LOOKUP($K4,PantheonList!$A$18:$A$139,PantheonList!$B$18:$B$139)</f>
        <v>Art</v>
      </c>
      <c r="M4" s="88" t="str">
        <f>LOOKUP($K4,PantheonList!$A$18:$A$139,PantheonList!$C$18:$C$139)</f>
        <v>Awareness</v>
      </c>
      <c r="N4" s="88" t="str">
        <f>LOOKUP($K4,PantheonList!$A$18:$A$139,PantheonList!$D$18:$D$139)</f>
        <v>Craft</v>
      </c>
      <c r="O4" s="88" t="str">
        <f>LOOKUP($K4,PantheonList!$A$18:$A$139,PantheonList!$E$18:$E$139)</f>
        <v>Empathy</v>
      </c>
      <c r="P4" s="88" t="str">
        <f>LOOKUP($K4,PantheonList!$A$18:$A$139,PantheonList!$F$18:$F$139)</f>
        <v>Integrity</v>
      </c>
      <c r="Q4" s="88" t="str">
        <f>LOOKUP($K4,PantheonList!$A$18:$A$139,PantheonList!$G$18:$G$139)</f>
        <v>Presence</v>
      </c>
      <c r="R4" s="88" t="str">
        <f t="shared" si="0"/>
        <v>No</v>
      </c>
      <c r="S4" s="88" t="str">
        <f t="shared" si="0"/>
        <v>No</v>
      </c>
      <c r="T4" s="88" t="str">
        <f t="shared" si="0"/>
        <v>Yes</v>
      </c>
      <c r="U4" s="88" t="str">
        <f t="shared" si="0"/>
        <v>No</v>
      </c>
      <c r="V4" s="88" t="str">
        <f t="shared" si="0"/>
        <v>Yes</v>
      </c>
      <c r="W4" s="88" t="str">
        <f t="shared" si="0"/>
        <v>No</v>
      </c>
      <c r="X4" s="88" t="str">
        <f t="shared" si="0"/>
        <v>No</v>
      </c>
      <c r="Y4" s="88" t="str">
        <f t="shared" si="0"/>
        <v>No</v>
      </c>
      <c r="Z4" s="88" t="str">
        <f t="shared" si="0"/>
        <v>Yes</v>
      </c>
      <c r="AA4" s="88" t="str">
        <f t="shared" si="0"/>
        <v>Yes</v>
      </c>
      <c r="AB4" s="88" t="str">
        <f t="shared" si="1"/>
        <v>No</v>
      </c>
      <c r="AC4" s="88" t="str">
        <f t="shared" si="1"/>
        <v>Yes</v>
      </c>
      <c r="AD4" s="88" t="str">
        <f t="shared" si="1"/>
        <v>No</v>
      </c>
      <c r="AE4" s="88" t="str">
        <f t="shared" si="1"/>
        <v>No</v>
      </c>
      <c r="AF4" s="88" t="str">
        <f t="shared" si="1"/>
        <v>No</v>
      </c>
      <c r="AG4" s="88" t="str">
        <f t="shared" si="1"/>
        <v>No</v>
      </c>
      <c r="AH4" s="88" t="str">
        <f t="shared" si="1"/>
        <v>No</v>
      </c>
      <c r="AI4" s="88" t="str">
        <f t="shared" si="1"/>
        <v>No</v>
      </c>
      <c r="AJ4" s="88" t="str">
        <f t="shared" si="1"/>
        <v>No</v>
      </c>
      <c r="AK4" s="88" t="str">
        <f t="shared" si="1"/>
        <v>Yes</v>
      </c>
      <c r="AL4" s="88" t="str">
        <f t="shared" si="1"/>
        <v>No</v>
      </c>
      <c r="AM4" s="88" t="str">
        <f t="shared" si="1"/>
        <v>No</v>
      </c>
      <c r="AN4" s="88" t="str">
        <f t="shared" si="1"/>
        <v>No</v>
      </c>
      <c r="AO4" s="91" t="str">
        <f t="shared" si="1"/>
        <v>No</v>
      </c>
      <c r="AP4" s="109" t="s">
        <v>205</v>
      </c>
      <c r="AQ4" s="88">
        <v>4</v>
      </c>
      <c r="AR4" s="88" t="s">
        <v>347</v>
      </c>
      <c r="AS4" s="88" t="s">
        <v>347</v>
      </c>
      <c r="AT4" s="88" t="s">
        <v>347</v>
      </c>
      <c r="AU4" s="88" t="s">
        <v>347</v>
      </c>
      <c r="AV4" s="88" t="s">
        <v>347</v>
      </c>
      <c r="AW4" s="88" t="s">
        <v>347</v>
      </c>
      <c r="AX4" s="88" t="s">
        <v>347</v>
      </c>
      <c r="AY4" s="88" t="s">
        <v>347</v>
      </c>
      <c r="AZ4" s="88" t="s">
        <v>347</v>
      </c>
      <c r="BA4" s="88" t="s">
        <v>347</v>
      </c>
      <c r="BB4" s="88" t="s">
        <v>346</v>
      </c>
      <c r="BC4" s="88" t="s">
        <v>347</v>
      </c>
      <c r="BD4" s="88" t="s">
        <v>347</v>
      </c>
      <c r="BE4" s="88" t="s">
        <v>347</v>
      </c>
      <c r="BF4" s="88" t="s">
        <v>347</v>
      </c>
      <c r="BG4" s="88" t="s">
        <v>347</v>
      </c>
      <c r="BH4" s="88" t="s">
        <v>347</v>
      </c>
      <c r="BI4" s="88" t="s">
        <v>347</v>
      </c>
      <c r="BJ4" s="88" t="s">
        <v>347</v>
      </c>
      <c r="BK4" s="88" t="s">
        <v>347</v>
      </c>
      <c r="BL4" s="88" t="s">
        <v>347</v>
      </c>
      <c r="BM4" s="88" t="s">
        <v>347</v>
      </c>
      <c r="BN4" s="88" t="s">
        <v>347</v>
      </c>
      <c r="BO4" s="88" t="s">
        <v>347</v>
      </c>
      <c r="BP4" s="88" t="s">
        <v>347</v>
      </c>
      <c r="BQ4" s="88" t="s">
        <v>347</v>
      </c>
      <c r="BR4" s="88" t="s">
        <v>347</v>
      </c>
      <c r="BS4" s="88" t="s">
        <v>347</v>
      </c>
      <c r="BT4" s="88" t="s">
        <v>347</v>
      </c>
      <c r="BU4" s="88" t="s">
        <v>347</v>
      </c>
      <c r="BV4" s="88" t="s">
        <v>346</v>
      </c>
      <c r="BW4" s="88" t="s">
        <v>347</v>
      </c>
      <c r="BX4" s="88" t="s">
        <v>346</v>
      </c>
      <c r="BY4" s="88" t="s">
        <v>347</v>
      </c>
      <c r="BZ4" s="91" t="s">
        <v>347</v>
      </c>
    </row>
    <row r="5" spans="1:78" s="2" customFormat="1" x14ac:dyDescent="0.25">
      <c r="A5" s="109" t="s">
        <v>290</v>
      </c>
      <c r="B5" s="88" t="s">
        <v>347</v>
      </c>
      <c r="C5" s="88" t="s">
        <v>347</v>
      </c>
      <c r="D5" s="88" t="s">
        <v>347</v>
      </c>
      <c r="E5" s="88" t="s">
        <v>346</v>
      </c>
      <c r="F5" s="88" t="s">
        <v>347</v>
      </c>
      <c r="G5" s="88" t="s">
        <v>346</v>
      </c>
      <c r="H5" s="88" t="s">
        <v>347</v>
      </c>
      <c r="I5" s="88" t="s">
        <v>346</v>
      </c>
      <c r="J5" s="91" t="s">
        <v>347</v>
      </c>
      <c r="K5" s="109" t="s">
        <v>290</v>
      </c>
      <c r="L5" s="88" t="str">
        <f>LOOKUP($K5,PantheonList!$A$18:$A$139,PantheonList!$B$18:$B$139)</f>
        <v>Academics</v>
      </c>
      <c r="M5" s="88" t="str">
        <f>LOOKUP($K5,PantheonList!$A$18:$A$139,PantheonList!$C$18:$C$139)</f>
        <v>Brawl</v>
      </c>
      <c r="N5" s="88" t="str">
        <f>LOOKUP($K5,PantheonList!$A$18:$A$139,PantheonList!$D$18:$D$139)</f>
        <v>Empathy</v>
      </c>
      <c r="O5" s="88" t="str">
        <f>LOOKUP($K5,PantheonList!$A$18:$A$139,PantheonList!$E$18:$E$139)</f>
        <v>Fortitude</v>
      </c>
      <c r="P5" s="88" t="str">
        <f>LOOKUP($K5,PantheonList!$A$18:$A$139,PantheonList!$F$18:$F$139)</f>
        <v>Medicine</v>
      </c>
      <c r="Q5" s="88" t="str">
        <f>LOOKUP($K5,PantheonList!$A$18:$A$139,PantheonList!$G$18:$G$139)</f>
        <v>Politics</v>
      </c>
      <c r="R5" s="88" t="str">
        <f t="shared" si="0"/>
        <v>Yes</v>
      </c>
      <c r="S5" s="88" t="str">
        <f t="shared" si="0"/>
        <v>No</v>
      </c>
      <c r="T5" s="88" t="str">
        <f t="shared" si="0"/>
        <v>No</v>
      </c>
      <c r="U5" s="88" t="str">
        <f t="shared" si="0"/>
        <v>No</v>
      </c>
      <c r="V5" s="88" t="str">
        <f t="shared" si="0"/>
        <v>No</v>
      </c>
      <c r="W5" s="88" t="str">
        <f t="shared" si="0"/>
        <v>Yes</v>
      </c>
      <c r="X5" s="88" t="str">
        <f t="shared" si="0"/>
        <v>No</v>
      </c>
      <c r="Y5" s="88" t="str">
        <f t="shared" si="0"/>
        <v>No</v>
      </c>
      <c r="Z5" s="88" t="str">
        <f t="shared" si="0"/>
        <v>No</v>
      </c>
      <c r="AA5" s="88" t="str">
        <f t="shared" si="0"/>
        <v>Yes</v>
      </c>
      <c r="AB5" s="88" t="str">
        <f t="shared" si="1"/>
        <v>Yes</v>
      </c>
      <c r="AC5" s="88" t="str">
        <f t="shared" si="1"/>
        <v>No</v>
      </c>
      <c r="AD5" s="88" t="str">
        <f t="shared" si="1"/>
        <v>No</v>
      </c>
      <c r="AE5" s="88" t="str">
        <f t="shared" si="1"/>
        <v>No</v>
      </c>
      <c r="AF5" s="88" t="str">
        <f t="shared" si="1"/>
        <v>No</v>
      </c>
      <c r="AG5" s="88" t="str">
        <f t="shared" si="1"/>
        <v>Yes</v>
      </c>
      <c r="AH5" s="88" t="str">
        <f t="shared" si="1"/>
        <v>No</v>
      </c>
      <c r="AI5" s="88" t="str">
        <f t="shared" si="1"/>
        <v>No</v>
      </c>
      <c r="AJ5" s="88" t="str">
        <f t="shared" si="1"/>
        <v>Yes</v>
      </c>
      <c r="AK5" s="88" t="str">
        <f t="shared" si="1"/>
        <v>No</v>
      </c>
      <c r="AL5" s="88" t="str">
        <f t="shared" si="1"/>
        <v>No</v>
      </c>
      <c r="AM5" s="88" t="str">
        <f t="shared" si="1"/>
        <v>No</v>
      </c>
      <c r="AN5" s="88" t="str">
        <f t="shared" si="1"/>
        <v>No</v>
      </c>
      <c r="AO5" s="91" t="str">
        <f t="shared" si="1"/>
        <v>No</v>
      </c>
      <c r="AP5" s="109" t="s">
        <v>290</v>
      </c>
      <c r="AQ5" s="88">
        <v>5</v>
      </c>
      <c r="AR5" s="88" t="s">
        <v>347</v>
      </c>
      <c r="AS5" s="88" t="s">
        <v>347</v>
      </c>
      <c r="AT5" s="88" t="s">
        <v>346</v>
      </c>
      <c r="AU5" s="88" t="s">
        <v>347</v>
      </c>
      <c r="AV5" s="88" t="s">
        <v>347</v>
      </c>
      <c r="AW5" s="88" t="s">
        <v>347</v>
      </c>
      <c r="AX5" s="88" t="s">
        <v>347</v>
      </c>
      <c r="AY5" s="88" t="s">
        <v>347</v>
      </c>
      <c r="AZ5" s="88" t="s">
        <v>347</v>
      </c>
      <c r="BA5" s="88" t="s">
        <v>347</v>
      </c>
      <c r="BB5" s="88" t="s">
        <v>347</v>
      </c>
      <c r="BC5" s="88" t="s">
        <v>347</v>
      </c>
      <c r="BD5" s="88" t="s">
        <v>347</v>
      </c>
      <c r="BE5" s="88" t="s">
        <v>347</v>
      </c>
      <c r="BF5" s="88" t="s">
        <v>346</v>
      </c>
      <c r="BG5" s="88" t="s">
        <v>347</v>
      </c>
      <c r="BH5" s="88" t="s">
        <v>347</v>
      </c>
      <c r="BI5" s="88" t="s">
        <v>347</v>
      </c>
      <c r="BJ5" s="88" t="s">
        <v>347</v>
      </c>
      <c r="BK5" s="88" t="s">
        <v>347</v>
      </c>
      <c r="BL5" s="88" t="s">
        <v>347</v>
      </c>
      <c r="BM5" s="88" t="s">
        <v>347</v>
      </c>
      <c r="BN5" s="88" t="s">
        <v>347</v>
      </c>
      <c r="BO5" s="88" t="s">
        <v>347</v>
      </c>
      <c r="BP5" s="88" t="s">
        <v>347</v>
      </c>
      <c r="BQ5" s="88" t="s">
        <v>347</v>
      </c>
      <c r="BR5" s="88" t="s">
        <v>347</v>
      </c>
      <c r="BS5" s="88" t="s">
        <v>347</v>
      </c>
      <c r="BT5" s="88" t="s">
        <v>347</v>
      </c>
      <c r="BU5" s="88" t="s">
        <v>347</v>
      </c>
      <c r="BV5" s="88" t="s">
        <v>347</v>
      </c>
      <c r="BW5" s="88" t="s">
        <v>347</v>
      </c>
      <c r="BX5" s="88" t="s">
        <v>347</v>
      </c>
      <c r="BY5" s="88" t="s">
        <v>346</v>
      </c>
      <c r="BZ5" s="91" t="s">
        <v>346</v>
      </c>
    </row>
    <row r="6" spans="1:78" s="2" customFormat="1" x14ac:dyDescent="0.25">
      <c r="A6" s="109" t="s">
        <v>270</v>
      </c>
      <c r="B6" s="88" t="s">
        <v>347</v>
      </c>
      <c r="C6" s="88" t="s">
        <v>347</v>
      </c>
      <c r="D6" s="88" t="s">
        <v>347</v>
      </c>
      <c r="E6" s="88" t="s">
        <v>347</v>
      </c>
      <c r="F6" s="88" t="s">
        <v>347</v>
      </c>
      <c r="G6" s="88" t="s">
        <v>347</v>
      </c>
      <c r="H6" s="88" t="s">
        <v>346</v>
      </c>
      <c r="I6" s="88" t="s">
        <v>347</v>
      </c>
      <c r="J6" s="91" t="s">
        <v>347</v>
      </c>
      <c r="K6" s="109" t="s">
        <v>270</v>
      </c>
      <c r="L6" s="88" t="str">
        <f>LOOKUP($K6,PantheonList!$A$18:$A$139,PantheonList!$B$18:$B$139)</f>
        <v>Animal Ken</v>
      </c>
      <c r="M6" s="88" t="str">
        <f>LOOKUP($K6,PantheonList!$A$18:$A$139,PantheonList!$C$18:$C$139)</f>
        <v>Empathy</v>
      </c>
      <c r="N6" s="88" t="str">
        <f>LOOKUP($K6,PantheonList!$A$18:$A$139,PantheonList!$D$18:$D$139)</f>
        <v>Integrity</v>
      </c>
      <c r="O6" s="88" t="str">
        <f>LOOKUP($K6,PantheonList!$A$18:$A$139,PantheonList!$E$18:$E$139)</f>
        <v>Medicine</v>
      </c>
      <c r="P6" s="88" t="str">
        <f>LOOKUP($K6,PantheonList!$A$18:$A$139,PantheonList!$F$18:$F$139)</f>
        <v>Melee</v>
      </c>
      <c r="Q6" s="88" t="str">
        <f>LOOKUP($K6,PantheonList!$A$18:$A$139,PantheonList!$G$18:$G$139)</f>
        <v>Occult</v>
      </c>
      <c r="R6" s="88" t="str">
        <f t="shared" si="0"/>
        <v>No</v>
      </c>
      <c r="S6" s="88" t="str">
        <f t="shared" si="0"/>
        <v>Yes</v>
      </c>
      <c r="T6" s="88" t="str">
        <f t="shared" si="0"/>
        <v>No</v>
      </c>
      <c r="U6" s="88" t="str">
        <f t="shared" si="0"/>
        <v>No</v>
      </c>
      <c r="V6" s="88" t="str">
        <f t="shared" si="0"/>
        <v>No</v>
      </c>
      <c r="W6" s="88" t="str">
        <f t="shared" si="0"/>
        <v>No</v>
      </c>
      <c r="X6" s="88" t="str">
        <f t="shared" si="0"/>
        <v>No</v>
      </c>
      <c r="Y6" s="88" t="str">
        <f t="shared" si="0"/>
        <v>No</v>
      </c>
      <c r="Z6" s="88" t="str">
        <f t="shared" si="0"/>
        <v>No</v>
      </c>
      <c r="AA6" s="88" t="str">
        <f t="shared" si="0"/>
        <v>Yes</v>
      </c>
      <c r="AB6" s="88" t="str">
        <f t="shared" si="1"/>
        <v>No</v>
      </c>
      <c r="AC6" s="88" t="str">
        <f t="shared" si="1"/>
        <v>Yes</v>
      </c>
      <c r="AD6" s="88" t="str">
        <f t="shared" si="1"/>
        <v>No</v>
      </c>
      <c r="AE6" s="88" t="str">
        <f t="shared" si="1"/>
        <v>No</v>
      </c>
      <c r="AF6" s="88" t="str">
        <f t="shared" si="1"/>
        <v>No</v>
      </c>
      <c r="AG6" s="88" t="str">
        <f t="shared" si="1"/>
        <v>Yes</v>
      </c>
      <c r="AH6" s="88" t="str">
        <f t="shared" si="1"/>
        <v>Yes</v>
      </c>
      <c r="AI6" s="88" t="str">
        <f t="shared" si="1"/>
        <v>Yes</v>
      </c>
      <c r="AJ6" s="88" t="str">
        <f t="shared" si="1"/>
        <v>No</v>
      </c>
      <c r="AK6" s="88" t="str">
        <f t="shared" si="1"/>
        <v>No</v>
      </c>
      <c r="AL6" s="88" t="str">
        <f t="shared" si="1"/>
        <v>No</v>
      </c>
      <c r="AM6" s="88" t="str">
        <f t="shared" si="1"/>
        <v>No</v>
      </c>
      <c r="AN6" s="88" t="str">
        <f t="shared" si="1"/>
        <v>No</v>
      </c>
      <c r="AO6" s="91" t="str">
        <f t="shared" si="1"/>
        <v>No</v>
      </c>
      <c r="AP6" s="109" t="s">
        <v>270</v>
      </c>
      <c r="AQ6" s="88">
        <v>6</v>
      </c>
      <c r="AR6" s="88" t="s">
        <v>346</v>
      </c>
      <c r="AS6" s="88" t="s">
        <v>347</v>
      </c>
      <c r="AT6" s="88" t="s">
        <v>347</v>
      </c>
      <c r="AU6" s="88" t="s">
        <v>347</v>
      </c>
      <c r="AV6" s="88" t="s">
        <v>347</v>
      </c>
      <c r="AW6" s="88" t="s">
        <v>347</v>
      </c>
      <c r="AX6" s="88" t="s">
        <v>347</v>
      </c>
      <c r="AY6" s="88" t="s">
        <v>346</v>
      </c>
      <c r="AZ6" s="88" t="s">
        <v>347</v>
      </c>
      <c r="BA6" s="88" t="s">
        <v>347</v>
      </c>
      <c r="BB6" s="88" t="s">
        <v>347</v>
      </c>
      <c r="BC6" s="88" t="s">
        <v>347</v>
      </c>
      <c r="BD6" s="88" t="s">
        <v>347</v>
      </c>
      <c r="BE6" s="88" t="s">
        <v>346</v>
      </c>
      <c r="BF6" s="88" t="s">
        <v>347</v>
      </c>
      <c r="BG6" s="88" t="s">
        <v>346</v>
      </c>
      <c r="BH6" s="88" t="s">
        <v>347</v>
      </c>
      <c r="BI6" s="88" t="s">
        <v>347</v>
      </c>
      <c r="BJ6" s="88" t="s">
        <v>347</v>
      </c>
      <c r="BK6" s="88" t="s">
        <v>347</v>
      </c>
      <c r="BL6" s="88" t="s">
        <v>346</v>
      </c>
      <c r="BM6" s="88" t="s">
        <v>347</v>
      </c>
      <c r="BN6" s="88" t="s">
        <v>347</v>
      </c>
      <c r="BO6" s="88" t="s">
        <v>347</v>
      </c>
      <c r="BP6" s="88" t="s">
        <v>347</v>
      </c>
      <c r="BQ6" s="88" t="s">
        <v>347</v>
      </c>
      <c r="BR6" s="88" t="s">
        <v>347</v>
      </c>
      <c r="BS6" s="88" t="s">
        <v>347</v>
      </c>
      <c r="BT6" s="88" t="s">
        <v>347</v>
      </c>
      <c r="BU6" s="88" t="s">
        <v>347</v>
      </c>
      <c r="BV6" s="88" t="s">
        <v>347</v>
      </c>
      <c r="BW6" s="88" t="s">
        <v>347</v>
      </c>
      <c r="BX6" s="88" t="s">
        <v>347</v>
      </c>
      <c r="BY6" s="88" t="s">
        <v>347</v>
      </c>
      <c r="BZ6" s="91" t="s">
        <v>347</v>
      </c>
    </row>
    <row r="7" spans="1:78" s="2" customFormat="1" x14ac:dyDescent="0.25">
      <c r="A7" s="109" t="s">
        <v>247</v>
      </c>
      <c r="B7" s="88" t="s">
        <v>347</v>
      </c>
      <c r="C7" s="88" t="s">
        <v>347</v>
      </c>
      <c r="D7" s="88" t="s">
        <v>347</v>
      </c>
      <c r="E7" s="88" t="s">
        <v>346</v>
      </c>
      <c r="F7" s="88" t="s">
        <v>346</v>
      </c>
      <c r="G7" s="88" t="s">
        <v>346</v>
      </c>
      <c r="H7" s="88" t="s">
        <v>347</v>
      </c>
      <c r="I7" s="88" t="s">
        <v>347</v>
      </c>
      <c r="J7" s="91" t="s">
        <v>347</v>
      </c>
      <c r="K7" s="109" t="s">
        <v>247</v>
      </c>
      <c r="L7" s="88" t="str">
        <f>LOOKUP($K7,PantheonList!$A$18:$A$139,PantheonList!$B$18:$B$139)</f>
        <v>Animal Ken</v>
      </c>
      <c r="M7" s="88" t="str">
        <f>LOOKUP($K7,PantheonList!$A$18:$A$139,PantheonList!$C$18:$C$139)</f>
        <v>Art</v>
      </c>
      <c r="N7" s="88" t="str">
        <f>LOOKUP($K7,PantheonList!$A$18:$A$139,PantheonList!$D$18:$D$139)</f>
        <v>Empathy</v>
      </c>
      <c r="O7" s="88" t="str">
        <f>LOOKUP($K7,PantheonList!$A$18:$A$139,PantheonList!$E$18:$E$139)</f>
        <v>Integrity</v>
      </c>
      <c r="P7" s="88" t="str">
        <f>LOOKUP($K7,PantheonList!$A$18:$A$139,PantheonList!$F$18:$F$139)</f>
        <v>Larceny</v>
      </c>
      <c r="Q7" s="88" t="str">
        <f>LOOKUP($K7,PantheonList!$A$18:$A$139,PantheonList!$G$18:$G$139)</f>
        <v>Presence</v>
      </c>
      <c r="R7" s="88" t="str">
        <f t="shared" si="0"/>
        <v>No</v>
      </c>
      <c r="S7" s="88" t="str">
        <f t="shared" si="0"/>
        <v>Yes</v>
      </c>
      <c r="T7" s="88" t="str">
        <f t="shared" si="0"/>
        <v>Yes</v>
      </c>
      <c r="U7" s="88" t="str">
        <f t="shared" si="0"/>
        <v>No</v>
      </c>
      <c r="V7" s="88" t="str">
        <f t="shared" si="0"/>
        <v>No</v>
      </c>
      <c r="W7" s="88" t="str">
        <f t="shared" si="0"/>
        <v>No</v>
      </c>
      <c r="X7" s="88" t="str">
        <f t="shared" si="0"/>
        <v>No</v>
      </c>
      <c r="Y7" s="88" t="str">
        <f t="shared" si="0"/>
        <v>No</v>
      </c>
      <c r="Z7" s="88" t="str">
        <f t="shared" si="0"/>
        <v>No</v>
      </c>
      <c r="AA7" s="88" t="str">
        <f t="shared" si="0"/>
        <v>Yes</v>
      </c>
      <c r="AB7" s="88" t="str">
        <f t="shared" si="1"/>
        <v>No</v>
      </c>
      <c r="AC7" s="88" t="str">
        <f t="shared" si="1"/>
        <v>Yes</v>
      </c>
      <c r="AD7" s="88" t="str">
        <f t="shared" si="1"/>
        <v>No</v>
      </c>
      <c r="AE7" s="88" t="str">
        <f t="shared" si="1"/>
        <v>Yes</v>
      </c>
      <c r="AF7" s="88" t="str">
        <f t="shared" si="1"/>
        <v>No</v>
      </c>
      <c r="AG7" s="88" t="str">
        <f t="shared" si="1"/>
        <v>No</v>
      </c>
      <c r="AH7" s="88" t="str">
        <f t="shared" si="1"/>
        <v>No</v>
      </c>
      <c r="AI7" s="88" t="str">
        <f t="shared" si="1"/>
        <v>No</v>
      </c>
      <c r="AJ7" s="88" t="str">
        <f t="shared" si="1"/>
        <v>No</v>
      </c>
      <c r="AK7" s="88" t="str">
        <f t="shared" si="1"/>
        <v>Yes</v>
      </c>
      <c r="AL7" s="88" t="str">
        <f t="shared" si="1"/>
        <v>No</v>
      </c>
      <c r="AM7" s="88" t="str">
        <f t="shared" si="1"/>
        <v>No</v>
      </c>
      <c r="AN7" s="88" t="str">
        <f t="shared" si="1"/>
        <v>No</v>
      </c>
      <c r="AO7" s="91" t="str">
        <f t="shared" si="1"/>
        <v>No</v>
      </c>
      <c r="AP7" s="109" t="s">
        <v>247</v>
      </c>
      <c r="AQ7" s="88">
        <v>7</v>
      </c>
      <c r="AR7" s="88" t="s">
        <v>347</v>
      </c>
      <c r="AS7" s="88" t="s">
        <v>346</v>
      </c>
      <c r="AT7" s="88" t="s">
        <v>347</v>
      </c>
      <c r="AU7" s="88" t="s">
        <v>347</v>
      </c>
      <c r="AV7" s="88" t="s">
        <v>347</v>
      </c>
      <c r="AW7" s="88" t="s">
        <v>347</v>
      </c>
      <c r="AX7" s="88" t="s">
        <v>347</v>
      </c>
      <c r="AY7" s="88" t="s">
        <v>347</v>
      </c>
      <c r="AZ7" s="88" t="s">
        <v>347</v>
      </c>
      <c r="BA7" s="88" t="s">
        <v>347</v>
      </c>
      <c r="BB7" s="88" t="s">
        <v>347</v>
      </c>
      <c r="BC7" s="88" t="s">
        <v>347</v>
      </c>
      <c r="BD7" s="88" t="s">
        <v>347</v>
      </c>
      <c r="BE7" s="88" t="s">
        <v>347</v>
      </c>
      <c r="BF7" s="88" t="s">
        <v>347</v>
      </c>
      <c r="BG7" s="88" t="s">
        <v>347</v>
      </c>
      <c r="BH7" s="88" t="s">
        <v>347</v>
      </c>
      <c r="BI7" s="88" t="s">
        <v>347</v>
      </c>
      <c r="BJ7" s="88" t="s">
        <v>347</v>
      </c>
      <c r="BK7" s="88" t="s">
        <v>347</v>
      </c>
      <c r="BL7" s="88" t="s">
        <v>347</v>
      </c>
      <c r="BM7" s="88" t="s">
        <v>347</v>
      </c>
      <c r="BN7" s="88" t="s">
        <v>347</v>
      </c>
      <c r="BO7" s="88" t="s">
        <v>347</v>
      </c>
      <c r="BP7" s="88" t="s">
        <v>347</v>
      </c>
      <c r="BQ7" s="88" t="s">
        <v>347</v>
      </c>
      <c r="BR7" s="88" t="s">
        <v>347</v>
      </c>
      <c r="BS7" s="88" t="s">
        <v>347</v>
      </c>
      <c r="BT7" s="88" t="s">
        <v>347</v>
      </c>
      <c r="BU7" s="88" t="s">
        <v>347</v>
      </c>
      <c r="BV7" s="88" t="s">
        <v>347</v>
      </c>
      <c r="BW7" s="88" t="s">
        <v>347</v>
      </c>
      <c r="BX7" s="88" t="s">
        <v>347</v>
      </c>
      <c r="BY7" s="88" t="s">
        <v>347</v>
      </c>
      <c r="BZ7" s="91" t="s">
        <v>347</v>
      </c>
    </row>
    <row r="8" spans="1:78" s="2" customFormat="1" x14ac:dyDescent="0.25">
      <c r="A8" s="109" t="s">
        <v>248</v>
      </c>
      <c r="B8" s="88" t="s">
        <v>347</v>
      </c>
      <c r="C8" s="88" t="s">
        <v>347</v>
      </c>
      <c r="D8" s="88" t="s">
        <v>347</v>
      </c>
      <c r="E8" s="88" t="s">
        <v>346</v>
      </c>
      <c r="F8" s="88" t="s">
        <v>347</v>
      </c>
      <c r="G8" s="88" t="s">
        <v>346</v>
      </c>
      <c r="H8" s="88" t="s">
        <v>347</v>
      </c>
      <c r="I8" s="88" t="s">
        <v>347</v>
      </c>
      <c r="J8" s="91" t="s">
        <v>347</v>
      </c>
      <c r="K8" s="109" t="s">
        <v>248</v>
      </c>
      <c r="L8" s="88" t="str">
        <f>LOOKUP($K8,PantheonList!$A$18:$A$139,PantheonList!$B$18:$B$139)</f>
        <v>Art</v>
      </c>
      <c r="M8" s="88" t="str">
        <f>LOOKUP($K8,PantheonList!$A$18:$A$139,PantheonList!$C$18:$C$139)</f>
        <v>Athletics</v>
      </c>
      <c r="N8" s="88" t="str">
        <f>LOOKUP($K8,PantheonList!$A$18:$A$139,PantheonList!$D$18:$D$139)</f>
        <v>Medicine</v>
      </c>
      <c r="O8" s="88" t="str">
        <f>LOOKUP($K8,PantheonList!$A$18:$A$139,PantheonList!$E$18:$E$139)</f>
        <v>Marksmanship</v>
      </c>
      <c r="P8" s="88" t="str">
        <f>LOOKUP($K8,PantheonList!$A$18:$A$139,PantheonList!$F$18:$F$139)</f>
        <v>Presence</v>
      </c>
      <c r="Q8" s="88" t="str">
        <f>LOOKUP($K8,PantheonList!$A$18:$A$139,PantheonList!$G$18:$G$139)</f>
        <v>Science</v>
      </c>
      <c r="R8" s="88" t="str">
        <f t="shared" si="0"/>
        <v>No</v>
      </c>
      <c r="S8" s="88" t="str">
        <f t="shared" si="0"/>
        <v>No</v>
      </c>
      <c r="T8" s="88" t="str">
        <f t="shared" si="0"/>
        <v>Yes</v>
      </c>
      <c r="U8" s="88" t="str">
        <f t="shared" si="0"/>
        <v>Yes</v>
      </c>
      <c r="V8" s="88" t="str">
        <f t="shared" si="0"/>
        <v>No</v>
      </c>
      <c r="W8" s="88" t="str">
        <f t="shared" si="0"/>
        <v>No</v>
      </c>
      <c r="X8" s="88" t="str">
        <f t="shared" si="0"/>
        <v>No</v>
      </c>
      <c r="Y8" s="88" t="str">
        <f t="shared" si="0"/>
        <v>No</v>
      </c>
      <c r="Z8" s="88" t="str">
        <f t="shared" si="0"/>
        <v>No</v>
      </c>
      <c r="AA8" s="88" t="str">
        <f t="shared" si="0"/>
        <v>No</v>
      </c>
      <c r="AB8" s="88" t="str">
        <f t="shared" si="1"/>
        <v>No</v>
      </c>
      <c r="AC8" s="88" t="str">
        <f t="shared" si="1"/>
        <v>No</v>
      </c>
      <c r="AD8" s="88" t="str">
        <f t="shared" si="1"/>
        <v>No</v>
      </c>
      <c r="AE8" s="88" t="str">
        <f t="shared" si="1"/>
        <v>No</v>
      </c>
      <c r="AF8" s="88" t="str">
        <f t="shared" si="1"/>
        <v>Yes</v>
      </c>
      <c r="AG8" s="88" t="str">
        <f t="shared" si="1"/>
        <v>Yes</v>
      </c>
      <c r="AH8" s="88" t="str">
        <f t="shared" si="1"/>
        <v>No</v>
      </c>
      <c r="AI8" s="88" t="str">
        <f t="shared" si="1"/>
        <v>No</v>
      </c>
      <c r="AJ8" s="88" t="str">
        <f t="shared" si="1"/>
        <v>No</v>
      </c>
      <c r="AK8" s="88" t="str">
        <f t="shared" si="1"/>
        <v>Yes</v>
      </c>
      <c r="AL8" s="88" t="str">
        <f t="shared" si="1"/>
        <v>Yes</v>
      </c>
      <c r="AM8" s="88" t="str">
        <f t="shared" si="1"/>
        <v>No</v>
      </c>
      <c r="AN8" s="88" t="str">
        <f t="shared" si="1"/>
        <v>No</v>
      </c>
      <c r="AO8" s="91" t="str">
        <f t="shared" si="1"/>
        <v>No</v>
      </c>
      <c r="AP8" s="109" t="s">
        <v>248</v>
      </c>
      <c r="AQ8" s="88">
        <v>8</v>
      </c>
      <c r="AR8" s="88" t="s">
        <v>347</v>
      </c>
      <c r="AS8" s="88" t="s">
        <v>346</v>
      </c>
      <c r="AT8" s="88" t="s">
        <v>347</v>
      </c>
      <c r="AU8" s="88" t="s">
        <v>347</v>
      </c>
      <c r="AV8" s="88" t="s">
        <v>347</v>
      </c>
      <c r="AW8" s="88" t="s">
        <v>347</v>
      </c>
      <c r="AX8" s="88" t="s">
        <v>347</v>
      </c>
      <c r="AY8" s="88" t="s">
        <v>347</v>
      </c>
      <c r="AZ8" s="88" t="s">
        <v>347</v>
      </c>
      <c r="BA8" s="88" t="s">
        <v>347</v>
      </c>
      <c r="BB8" s="88" t="s">
        <v>347</v>
      </c>
      <c r="BC8" s="88" t="s">
        <v>347</v>
      </c>
      <c r="BD8" s="88" t="s">
        <v>347</v>
      </c>
      <c r="BE8" s="88" t="s">
        <v>347</v>
      </c>
      <c r="BF8" s="88" t="s">
        <v>346</v>
      </c>
      <c r="BG8" s="88" t="s">
        <v>347</v>
      </c>
      <c r="BH8" s="88" t="s">
        <v>347</v>
      </c>
      <c r="BI8" s="88" t="s">
        <v>347</v>
      </c>
      <c r="BJ8" s="88" t="s">
        <v>347</v>
      </c>
      <c r="BK8" s="88" t="s">
        <v>347</v>
      </c>
      <c r="BL8" s="88" t="s">
        <v>347</v>
      </c>
      <c r="BM8" s="88" t="s">
        <v>347</v>
      </c>
      <c r="BN8" s="88" t="s">
        <v>347</v>
      </c>
      <c r="BO8" s="88" t="s">
        <v>347</v>
      </c>
      <c r="BP8" s="88" t="s">
        <v>346</v>
      </c>
      <c r="BQ8" s="88" t="s">
        <v>347</v>
      </c>
      <c r="BR8" s="88" t="s">
        <v>347</v>
      </c>
      <c r="BS8" s="88" t="s">
        <v>347</v>
      </c>
      <c r="BT8" s="88" t="s">
        <v>347</v>
      </c>
      <c r="BU8" s="88" t="s">
        <v>347</v>
      </c>
      <c r="BV8" s="88" t="s">
        <v>346</v>
      </c>
      <c r="BW8" s="88" t="s">
        <v>347</v>
      </c>
      <c r="BX8" s="88" t="s">
        <v>347</v>
      </c>
      <c r="BY8" s="88" t="s">
        <v>347</v>
      </c>
      <c r="BZ8" s="91" t="s">
        <v>347</v>
      </c>
    </row>
    <row r="9" spans="1:78" s="2" customFormat="1" x14ac:dyDescent="0.25">
      <c r="A9" s="109" t="s">
        <v>291</v>
      </c>
      <c r="B9" s="88" t="s">
        <v>347</v>
      </c>
      <c r="C9" s="88" t="s">
        <v>346</v>
      </c>
      <c r="D9" s="88" t="s">
        <v>347</v>
      </c>
      <c r="E9" s="88" t="s">
        <v>347</v>
      </c>
      <c r="F9" s="88" t="s">
        <v>347</v>
      </c>
      <c r="G9" s="88" t="s">
        <v>347</v>
      </c>
      <c r="H9" s="88" t="s">
        <v>347</v>
      </c>
      <c r="I9" s="88" t="s">
        <v>347</v>
      </c>
      <c r="J9" s="91" t="s">
        <v>346</v>
      </c>
      <c r="K9" s="109" t="s">
        <v>291</v>
      </c>
      <c r="L9" s="88" t="str">
        <f>LOOKUP($K9,PantheonList!$A$18:$A$139,PantheonList!$B$18:$B$139)</f>
        <v>Academics</v>
      </c>
      <c r="M9" s="88" t="str">
        <f>LOOKUP($K9,PantheonList!$A$18:$A$139,PantheonList!$C$18:$C$139)</f>
        <v>Athletics</v>
      </c>
      <c r="N9" s="88" t="str">
        <f>LOOKUP($K9,PantheonList!$A$18:$A$139,PantheonList!$D$18:$D$139)</f>
        <v>Empathy</v>
      </c>
      <c r="O9" s="88" t="str">
        <f>LOOKUP($K9,PantheonList!$A$18:$A$139,PantheonList!$E$18:$E$139)</f>
        <v>Investigation</v>
      </c>
      <c r="P9" s="88" t="str">
        <f>LOOKUP($K9,PantheonList!$A$18:$A$139,PantheonList!$F$18:$F$139)</f>
        <v>Larceny</v>
      </c>
      <c r="Q9" s="88" t="str">
        <f>LOOKUP($K9,PantheonList!$A$18:$A$139,PantheonList!$G$18:$G$139)</f>
        <v>Stealth</v>
      </c>
      <c r="R9" s="88" t="str">
        <f t="shared" si="0"/>
        <v>Yes</v>
      </c>
      <c r="S9" s="88" t="str">
        <f t="shared" si="0"/>
        <v>No</v>
      </c>
      <c r="T9" s="88" t="str">
        <f t="shared" si="0"/>
        <v>No</v>
      </c>
      <c r="U9" s="88" t="str">
        <f t="shared" si="0"/>
        <v>Yes</v>
      </c>
      <c r="V9" s="88" t="str">
        <f t="shared" si="0"/>
        <v>No</v>
      </c>
      <c r="W9" s="88" t="str">
        <f t="shared" si="0"/>
        <v>No</v>
      </c>
      <c r="X9" s="88" t="str">
        <f t="shared" si="0"/>
        <v>No</v>
      </c>
      <c r="Y9" s="88" t="str">
        <f t="shared" si="0"/>
        <v>No</v>
      </c>
      <c r="Z9" s="88" t="str">
        <f t="shared" si="0"/>
        <v>No</v>
      </c>
      <c r="AA9" s="88" t="str">
        <f t="shared" si="0"/>
        <v>Yes</v>
      </c>
      <c r="AB9" s="88" t="str">
        <f t="shared" si="1"/>
        <v>No</v>
      </c>
      <c r="AC9" s="88" t="str">
        <f t="shared" si="1"/>
        <v>No</v>
      </c>
      <c r="AD9" s="88" t="str">
        <f t="shared" si="1"/>
        <v>Yes</v>
      </c>
      <c r="AE9" s="88" t="str">
        <f t="shared" si="1"/>
        <v>Yes</v>
      </c>
      <c r="AF9" s="88" t="str">
        <f t="shared" si="1"/>
        <v>No</v>
      </c>
      <c r="AG9" s="88" t="str">
        <f t="shared" si="1"/>
        <v>No</v>
      </c>
      <c r="AH9" s="88" t="str">
        <f t="shared" si="1"/>
        <v>No</v>
      </c>
      <c r="AI9" s="88" t="str">
        <f t="shared" si="1"/>
        <v>No</v>
      </c>
      <c r="AJ9" s="88" t="str">
        <f t="shared" si="1"/>
        <v>No</v>
      </c>
      <c r="AK9" s="88" t="str">
        <f t="shared" si="1"/>
        <v>No</v>
      </c>
      <c r="AL9" s="88" t="str">
        <f t="shared" si="1"/>
        <v>No</v>
      </c>
      <c r="AM9" s="88" t="str">
        <f t="shared" si="1"/>
        <v>Yes</v>
      </c>
      <c r="AN9" s="88" t="str">
        <f t="shared" si="1"/>
        <v>No</v>
      </c>
      <c r="AO9" s="91" t="str">
        <f t="shared" si="1"/>
        <v>No</v>
      </c>
      <c r="AP9" s="109" t="s">
        <v>291</v>
      </c>
      <c r="AQ9" s="88">
        <v>9</v>
      </c>
      <c r="AR9" s="88" t="s">
        <v>347</v>
      </c>
      <c r="AS9" s="88" t="s">
        <v>347</v>
      </c>
      <c r="AT9" s="88" t="s">
        <v>346</v>
      </c>
      <c r="AU9" s="88" t="s">
        <v>347</v>
      </c>
      <c r="AV9" s="88" t="s">
        <v>347</v>
      </c>
      <c r="AW9" s="88" t="s">
        <v>347</v>
      </c>
      <c r="AX9" s="88" t="s">
        <v>347</v>
      </c>
      <c r="AY9" s="88" t="s">
        <v>347</v>
      </c>
      <c r="AZ9" s="88" t="s">
        <v>347</v>
      </c>
      <c r="BA9" s="88" t="s">
        <v>347</v>
      </c>
      <c r="BB9" s="88" t="s">
        <v>346</v>
      </c>
      <c r="BC9" s="88" t="s">
        <v>347</v>
      </c>
      <c r="BD9" s="88" t="s">
        <v>347</v>
      </c>
      <c r="BE9" s="88" t="s">
        <v>347</v>
      </c>
      <c r="BF9" s="88" t="s">
        <v>347</v>
      </c>
      <c r="BG9" s="88" t="s">
        <v>347</v>
      </c>
      <c r="BH9" s="88" t="s">
        <v>347</v>
      </c>
      <c r="BI9" s="88" t="s">
        <v>347</v>
      </c>
      <c r="BJ9" s="88" t="s">
        <v>347</v>
      </c>
      <c r="BK9" s="88" t="s">
        <v>347</v>
      </c>
      <c r="BL9" s="88" t="s">
        <v>347</v>
      </c>
      <c r="BM9" s="88" t="s">
        <v>346</v>
      </c>
      <c r="BN9" s="88" t="s">
        <v>347</v>
      </c>
      <c r="BO9" s="88" t="s">
        <v>347</v>
      </c>
      <c r="BP9" s="88" t="s">
        <v>347</v>
      </c>
      <c r="BQ9" s="88" t="s">
        <v>347</v>
      </c>
      <c r="BR9" s="88" t="s">
        <v>347</v>
      </c>
      <c r="BS9" s="88" t="s">
        <v>347</v>
      </c>
      <c r="BT9" s="88" t="s">
        <v>347</v>
      </c>
      <c r="BU9" s="88" t="s">
        <v>347</v>
      </c>
      <c r="BV9" s="88" t="s">
        <v>347</v>
      </c>
      <c r="BW9" s="88" t="s">
        <v>347</v>
      </c>
      <c r="BX9" s="88" t="s">
        <v>347</v>
      </c>
      <c r="BY9" s="88" t="s">
        <v>347</v>
      </c>
      <c r="BZ9" s="91" t="s">
        <v>347</v>
      </c>
    </row>
    <row r="10" spans="1:78" s="2" customFormat="1" x14ac:dyDescent="0.25">
      <c r="A10" s="109" t="s">
        <v>249</v>
      </c>
      <c r="B10" s="88" t="s">
        <v>346</v>
      </c>
      <c r="C10" s="88" t="s">
        <v>347</v>
      </c>
      <c r="D10" s="88" t="s">
        <v>346</v>
      </c>
      <c r="E10" s="88" t="s">
        <v>347</v>
      </c>
      <c r="F10" s="88" t="s">
        <v>347</v>
      </c>
      <c r="G10" s="88" t="s">
        <v>347</v>
      </c>
      <c r="H10" s="88" t="s">
        <v>347</v>
      </c>
      <c r="I10" s="88" t="s">
        <v>347</v>
      </c>
      <c r="J10" s="91" t="s">
        <v>347</v>
      </c>
      <c r="K10" s="109" t="s">
        <v>249</v>
      </c>
      <c r="L10" s="88" t="str">
        <f>LOOKUP($K10,PantheonList!$A$18:$A$139,PantheonList!$B$18:$B$139)</f>
        <v>Brawl</v>
      </c>
      <c r="M10" s="88" t="str">
        <f>LOOKUP($K10,PantheonList!$A$18:$A$139,PantheonList!$C$18:$C$139)</f>
        <v>Command</v>
      </c>
      <c r="N10" s="88" t="str">
        <f>LOOKUP($K10,PantheonList!$A$18:$A$139,PantheonList!$D$18:$D$139)</f>
        <v>Marksmanship</v>
      </c>
      <c r="O10" s="88" t="str">
        <f>LOOKUP($K10,PantheonList!$A$18:$A$139,PantheonList!$E$18:$E$139)</f>
        <v>Melee</v>
      </c>
      <c r="P10" s="88" t="str">
        <f>LOOKUP($K10,PantheonList!$A$18:$A$139,PantheonList!$F$18:$F$139)</f>
        <v>Presence</v>
      </c>
      <c r="Q10" s="88" t="str">
        <f>LOOKUP($K10,PantheonList!$A$18:$A$139,PantheonList!$G$18:$G$139)</f>
        <v>Thrown</v>
      </c>
      <c r="R10" s="88" t="str">
        <f t="shared" si="0"/>
        <v>No</v>
      </c>
      <c r="S10" s="88" t="str">
        <f t="shared" si="0"/>
        <v>No</v>
      </c>
      <c r="T10" s="88" t="str">
        <f t="shared" si="0"/>
        <v>No</v>
      </c>
      <c r="U10" s="88" t="str">
        <f t="shared" si="0"/>
        <v>No</v>
      </c>
      <c r="V10" s="88" t="str">
        <f t="shared" si="0"/>
        <v>No</v>
      </c>
      <c r="W10" s="88" t="str">
        <f t="shared" si="0"/>
        <v>Yes</v>
      </c>
      <c r="X10" s="88" t="str">
        <f t="shared" si="0"/>
        <v>Yes</v>
      </c>
      <c r="Y10" s="88" t="str">
        <f t="shared" si="0"/>
        <v>No</v>
      </c>
      <c r="Z10" s="88" t="str">
        <f t="shared" si="0"/>
        <v>No</v>
      </c>
      <c r="AA10" s="88" t="str">
        <f t="shared" si="0"/>
        <v>No</v>
      </c>
      <c r="AB10" s="88" t="str">
        <f t="shared" si="1"/>
        <v>No</v>
      </c>
      <c r="AC10" s="88" t="str">
        <f t="shared" si="1"/>
        <v>No</v>
      </c>
      <c r="AD10" s="88" t="str">
        <f t="shared" si="1"/>
        <v>No</v>
      </c>
      <c r="AE10" s="88" t="str">
        <f t="shared" si="1"/>
        <v>No</v>
      </c>
      <c r="AF10" s="88" t="str">
        <f t="shared" si="1"/>
        <v>Yes</v>
      </c>
      <c r="AG10" s="88" t="str">
        <f t="shared" si="1"/>
        <v>No</v>
      </c>
      <c r="AH10" s="88" t="str">
        <f t="shared" si="1"/>
        <v>Yes</v>
      </c>
      <c r="AI10" s="88" t="str">
        <f t="shared" si="1"/>
        <v>No</v>
      </c>
      <c r="AJ10" s="88" t="str">
        <f t="shared" si="1"/>
        <v>No</v>
      </c>
      <c r="AK10" s="88" t="str">
        <f t="shared" si="1"/>
        <v>Yes</v>
      </c>
      <c r="AL10" s="88" t="str">
        <f t="shared" si="1"/>
        <v>No</v>
      </c>
      <c r="AM10" s="88" t="str">
        <f t="shared" si="1"/>
        <v>No</v>
      </c>
      <c r="AN10" s="88" t="str">
        <f t="shared" si="1"/>
        <v>No</v>
      </c>
      <c r="AO10" s="91" t="str">
        <f t="shared" si="1"/>
        <v>Yes</v>
      </c>
      <c r="AP10" s="109" t="s">
        <v>249</v>
      </c>
      <c r="AQ10" s="88">
        <v>10</v>
      </c>
      <c r="AR10" s="88" t="s">
        <v>347</v>
      </c>
      <c r="AS10" s="88" t="s">
        <v>346</v>
      </c>
      <c r="AT10" s="88" t="s">
        <v>347</v>
      </c>
      <c r="AU10" s="88" t="s">
        <v>347</v>
      </c>
      <c r="AV10" s="88" t="s">
        <v>347</v>
      </c>
      <c r="AW10" s="88" t="s">
        <v>347</v>
      </c>
      <c r="AX10" s="88" t="s">
        <v>347</v>
      </c>
      <c r="AY10" s="88" t="s">
        <v>347</v>
      </c>
      <c r="AZ10" s="88" t="s">
        <v>347</v>
      </c>
      <c r="BA10" s="88" t="s">
        <v>347</v>
      </c>
      <c r="BB10" s="88" t="s">
        <v>347</v>
      </c>
      <c r="BC10" s="88" t="s">
        <v>347</v>
      </c>
      <c r="BD10" s="88" t="s">
        <v>347</v>
      </c>
      <c r="BE10" s="88" t="s">
        <v>347</v>
      </c>
      <c r="BF10" s="88" t="s">
        <v>347</v>
      </c>
      <c r="BG10" s="88" t="s">
        <v>347</v>
      </c>
      <c r="BH10" s="88" t="s">
        <v>347</v>
      </c>
      <c r="BI10" s="88" t="s">
        <v>347</v>
      </c>
      <c r="BJ10" s="88" t="s">
        <v>347</v>
      </c>
      <c r="BK10" s="88" t="s">
        <v>347</v>
      </c>
      <c r="BL10" s="88" t="s">
        <v>347</v>
      </c>
      <c r="BM10" s="88" t="s">
        <v>347</v>
      </c>
      <c r="BN10" s="88" t="s">
        <v>347</v>
      </c>
      <c r="BO10" s="88" t="s">
        <v>347</v>
      </c>
      <c r="BP10" s="88" t="s">
        <v>347</v>
      </c>
      <c r="BQ10" s="88" t="s">
        <v>347</v>
      </c>
      <c r="BR10" s="88" t="s">
        <v>347</v>
      </c>
      <c r="BS10" s="88" t="s">
        <v>347</v>
      </c>
      <c r="BT10" s="88" t="s">
        <v>347</v>
      </c>
      <c r="BU10" s="88" t="s">
        <v>347</v>
      </c>
      <c r="BV10" s="88" t="s">
        <v>347</v>
      </c>
      <c r="BW10" s="88" t="s">
        <v>347</v>
      </c>
      <c r="BX10" s="88" t="s">
        <v>347</v>
      </c>
      <c r="BY10" s="88" t="s">
        <v>346</v>
      </c>
      <c r="BZ10" s="91" t="s">
        <v>347</v>
      </c>
    </row>
    <row r="11" spans="1:78" s="2" customFormat="1" x14ac:dyDescent="0.25">
      <c r="A11" s="109" t="s">
        <v>250</v>
      </c>
      <c r="B11" s="88" t="s">
        <v>347</v>
      </c>
      <c r="C11" s="88" t="s">
        <v>346</v>
      </c>
      <c r="D11" s="88" t="s">
        <v>347</v>
      </c>
      <c r="E11" s="88" t="s">
        <v>347</v>
      </c>
      <c r="F11" s="88" t="s">
        <v>347</v>
      </c>
      <c r="G11" s="88" t="s">
        <v>347</v>
      </c>
      <c r="H11" s="88" t="s">
        <v>346</v>
      </c>
      <c r="I11" s="88" t="s">
        <v>347</v>
      </c>
      <c r="J11" s="91" t="s">
        <v>347</v>
      </c>
      <c r="K11" s="109" t="s">
        <v>250</v>
      </c>
      <c r="L11" s="88" t="str">
        <f>LOOKUP($K11,PantheonList!$A$18:$A$139,PantheonList!$B$18:$B$139)</f>
        <v>Animal Ken</v>
      </c>
      <c r="M11" s="88" t="str">
        <f>LOOKUP($K11,PantheonList!$A$18:$A$139,PantheonList!$C$18:$C$139)</f>
        <v>Awareness</v>
      </c>
      <c r="N11" s="88" t="str">
        <f>LOOKUP($K11,PantheonList!$A$18:$A$139,PantheonList!$D$18:$D$139)</f>
        <v>Empathy</v>
      </c>
      <c r="O11" s="88" t="str">
        <f>LOOKUP($K11,PantheonList!$A$18:$A$139,PantheonList!$E$18:$E$139)</f>
        <v>Fortitude</v>
      </c>
      <c r="P11" s="88" t="str">
        <f>LOOKUP($K11,PantheonList!$A$18:$A$139,PantheonList!$F$18:$F$139)</f>
        <v>Marksmanship</v>
      </c>
      <c r="Q11" s="88" t="str">
        <f>LOOKUP($K11,PantheonList!$A$18:$A$139,PantheonList!$G$18:$G$139)</f>
        <v>Survival</v>
      </c>
      <c r="R11" s="88" t="str">
        <f t="shared" si="0"/>
        <v>No</v>
      </c>
      <c r="S11" s="88" t="str">
        <f t="shared" si="0"/>
        <v>Yes</v>
      </c>
      <c r="T11" s="88" t="str">
        <f t="shared" si="0"/>
        <v>No</v>
      </c>
      <c r="U11" s="88" t="str">
        <f t="shared" si="0"/>
        <v>No</v>
      </c>
      <c r="V11" s="88" t="str">
        <f t="shared" si="0"/>
        <v>Yes</v>
      </c>
      <c r="W11" s="88" t="str">
        <f t="shared" si="0"/>
        <v>No</v>
      </c>
      <c r="X11" s="88" t="str">
        <f t="shared" si="0"/>
        <v>No</v>
      </c>
      <c r="Y11" s="88" t="str">
        <f t="shared" si="0"/>
        <v>No</v>
      </c>
      <c r="Z11" s="88" t="str">
        <f t="shared" si="0"/>
        <v>No</v>
      </c>
      <c r="AA11" s="88" t="str">
        <f t="shared" si="0"/>
        <v>Yes</v>
      </c>
      <c r="AB11" s="88" t="str">
        <f t="shared" si="1"/>
        <v>Yes</v>
      </c>
      <c r="AC11" s="88" t="str">
        <f t="shared" si="1"/>
        <v>No</v>
      </c>
      <c r="AD11" s="88" t="str">
        <f t="shared" si="1"/>
        <v>No</v>
      </c>
      <c r="AE11" s="88" t="str">
        <f t="shared" si="1"/>
        <v>No</v>
      </c>
      <c r="AF11" s="88" t="str">
        <f t="shared" si="1"/>
        <v>Yes</v>
      </c>
      <c r="AG11" s="88" t="str">
        <f t="shared" si="1"/>
        <v>No</v>
      </c>
      <c r="AH11" s="88" t="str">
        <f t="shared" si="1"/>
        <v>No</v>
      </c>
      <c r="AI11" s="88" t="str">
        <f t="shared" si="1"/>
        <v>No</v>
      </c>
      <c r="AJ11" s="88" t="str">
        <f t="shared" si="1"/>
        <v>No</v>
      </c>
      <c r="AK11" s="88" t="str">
        <f t="shared" si="1"/>
        <v>No</v>
      </c>
      <c r="AL11" s="88" t="str">
        <f t="shared" si="1"/>
        <v>No</v>
      </c>
      <c r="AM11" s="88" t="str">
        <f t="shared" si="1"/>
        <v>No</v>
      </c>
      <c r="AN11" s="88" t="str">
        <f t="shared" si="1"/>
        <v>Yes</v>
      </c>
      <c r="AO11" s="91" t="str">
        <f t="shared" si="1"/>
        <v>No</v>
      </c>
      <c r="AP11" s="109" t="s">
        <v>250</v>
      </c>
      <c r="AQ11" s="88">
        <v>11</v>
      </c>
      <c r="AR11" s="88" t="s">
        <v>347</v>
      </c>
      <c r="AS11" s="88" t="s">
        <v>346</v>
      </c>
      <c r="AT11" s="88" t="s">
        <v>347</v>
      </c>
      <c r="AU11" s="88" t="s">
        <v>347</v>
      </c>
      <c r="AV11" s="88" t="s">
        <v>347</v>
      </c>
      <c r="AW11" s="88" t="s">
        <v>347</v>
      </c>
      <c r="AX11" s="88" t="s">
        <v>347</v>
      </c>
      <c r="AY11" s="88" t="s">
        <v>347</v>
      </c>
      <c r="AZ11" s="88" t="s">
        <v>347</v>
      </c>
      <c r="BA11" s="88" t="s">
        <v>347</v>
      </c>
      <c r="BB11" s="88" t="s">
        <v>347</v>
      </c>
      <c r="BC11" s="88" t="s">
        <v>347</v>
      </c>
      <c r="BD11" s="88" t="s">
        <v>347</v>
      </c>
      <c r="BE11" s="88" t="s">
        <v>347</v>
      </c>
      <c r="BF11" s="88" t="s">
        <v>346</v>
      </c>
      <c r="BG11" s="88" t="s">
        <v>347</v>
      </c>
      <c r="BH11" s="88" t="s">
        <v>347</v>
      </c>
      <c r="BI11" s="88" t="s">
        <v>347</v>
      </c>
      <c r="BJ11" s="88" t="s">
        <v>347</v>
      </c>
      <c r="BK11" s="88" t="s">
        <v>347</v>
      </c>
      <c r="BL11" s="88" t="s">
        <v>347</v>
      </c>
      <c r="BM11" s="88" t="s">
        <v>347</v>
      </c>
      <c r="BN11" s="88" t="s">
        <v>346</v>
      </c>
      <c r="BO11" s="88" t="s">
        <v>347</v>
      </c>
      <c r="BP11" s="88" t="s">
        <v>347</v>
      </c>
      <c r="BQ11" s="88" t="s">
        <v>347</v>
      </c>
      <c r="BR11" s="88" t="s">
        <v>347</v>
      </c>
      <c r="BS11" s="88" t="s">
        <v>347</v>
      </c>
      <c r="BT11" s="88" t="s">
        <v>347</v>
      </c>
      <c r="BU11" s="88" t="s">
        <v>347</v>
      </c>
      <c r="BV11" s="88" t="s">
        <v>347</v>
      </c>
      <c r="BW11" s="88" t="s">
        <v>347</v>
      </c>
      <c r="BX11" s="88" t="s">
        <v>347</v>
      </c>
      <c r="BY11" s="88" t="s">
        <v>347</v>
      </c>
      <c r="BZ11" s="91" t="s">
        <v>347</v>
      </c>
    </row>
    <row r="12" spans="1:78" s="2" customFormat="1" x14ac:dyDescent="0.25">
      <c r="A12" s="109" t="s">
        <v>251</v>
      </c>
      <c r="B12" s="88" t="s">
        <v>347</v>
      </c>
      <c r="C12" s="88" t="s">
        <v>347</v>
      </c>
      <c r="D12" s="88" t="s">
        <v>347</v>
      </c>
      <c r="E12" s="88" t="s">
        <v>347</v>
      </c>
      <c r="F12" s="88" t="s">
        <v>347</v>
      </c>
      <c r="G12" s="88" t="s">
        <v>347</v>
      </c>
      <c r="H12" s="88" t="s">
        <v>347</v>
      </c>
      <c r="I12" s="88" t="s">
        <v>346</v>
      </c>
      <c r="J12" s="91" t="s">
        <v>346</v>
      </c>
      <c r="K12" s="109" t="s">
        <v>251</v>
      </c>
      <c r="L12" s="88" t="str">
        <f>LOOKUP($K12,PantheonList!$A$18:$A$139,PantheonList!$B$18:$B$139)</f>
        <v>Academics</v>
      </c>
      <c r="M12" s="88" t="str">
        <f>LOOKUP($K12,PantheonList!$A$18:$A$139,PantheonList!$C$18:$C$139)</f>
        <v>Command</v>
      </c>
      <c r="N12" s="88" t="str">
        <f>LOOKUP($K12,PantheonList!$A$18:$A$139,PantheonList!$D$18:$D$139)</f>
        <v>Craft</v>
      </c>
      <c r="O12" s="88" t="str">
        <f>LOOKUP($K12,PantheonList!$A$18:$A$139,PantheonList!$E$18:$E$139)</f>
        <v>Melee</v>
      </c>
      <c r="P12" s="88" t="str">
        <f>LOOKUP($K12,PantheonList!$A$18:$A$139,PantheonList!$F$18:$F$139)</f>
        <v>Investigation</v>
      </c>
      <c r="Q12" s="88" t="str">
        <f>LOOKUP($K12,PantheonList!$A$18:$A$139,PantheonList!$G$18:$G$139)</f>
        <v>Science</v>
      </c>
      <c r="R12" s="88" t="str">
        <f t="shared" ref="R12:AA21" si="2">IF(OR($Q12=R$1,$P12=R$1,$O12=R$1,$N12=R$1,$M12=R$1,$L12=R$1),"Yes","No")</f>
        <v>Yes</v>
      </c>
      <c r="S12" s="88" t="str">
        <f t="shared" si="2"/>
        <v>No</v>
      </c>
      <c r="T12" s="88" t="str">
        <f t="shared" si="2"/>
        <v>No</v>
      </c>
      <c r="U12" s="88" t="str">
        <f t="shared" si="2"/>
        <v>No</v>
      </c>
      <c r="V12" s="88" t="str">
        <f t="shared" si="2"/>
        <v>No</v>
      </c>
      <c r="W12" s="88" t="str">
        <f t="shared" si="2"/>
        <v>No</v>
      </c>
      <c r="X12" s="88" t="str">
        <f t="shared" si="2"/>
        <v>Yes</v>
      </c>
      <c r="Y12" s="88" t="str">
        <f t="shared" si="2"/>
        <v>No</v>
      </c>
      <c r="Z12" s="88" t="str">
        <f t="shared" si="2"/>
        <v>Yes</v>
      </c>
      <c r="AA12" s="88" t="str">
        <f t="shared" si="2"/>
        <v>No</v>
      </c>
      <c r="AB12" s="88" t="str">
        <f t="shared" ref="AB12:AO21" si="3">IF(OR($Q12=AB$1,$P12=AB$1,$O12=AB$1,$N12=AB$1,$M12=AB$1,$L12=AB$1),"Yes","No")</f>
        <v>No</v>
      </c>
      <c r="AC12" s="88" t="str">
        <f t="shared" si="3"/>
        <v>No</v>
      </c>
      <c r="AD12" s="88" t="str">
        <f t="shared" si="3"/>
        <v>Yes</v>
      </c>
      <c r="AE12" s="88" t="str">
        <f t="shared" si="3"/>
        <v>No</v>
      </c>
      <c r="AF12" s="88" t="str">
        <f t="shared" si="3"/>
        <v>No</v>
      </c>
      <c r="AG12" s="88" t="str">
        <f t="shared" si="3"/>
        <v>No</v>
      </c>
      <c r="AH12" s="88" t="str">
        <f t="shared" si="3"/>
        <v>Yes</v>
      </c>
      <c r="AI12" s="88" t="str">
        <f t="shared" si="3"/>
        <v>No</v>
      </c>
      <c r="AJ12" s="88" t="str">
        <f t="shared" si="3"/>
        <v>No</v>
      </c>
      <c r="AK12" s="88" t="str">
        <f t="shared" si="3"/>
        <v>No</v>
      </c>
      <c r="AL12" s="88" t="str">
        <f t="shared" si="3"/>
        <v>Yes</v>
      </c>
      <c r="AM12" s="88" t="str">
        <f t="shared" si="3"/>
        <v>No</v>
      </c>
      <c r="AN12" s="88" t="str">
        <f t="shared" si="3"/>
        <v>No</v>
      </c>
      <c r="AO12" s="91" t="str">
        <f t="shared" si="3"/>
        <v>No</v>
      </c>
      <c r="AP12" s="109" t="s">
        <v>251</v>
      </c>
      <c r="AQ12" s="88">
        <v>12</v>
      </c>
      <c r="AR12" s="88" t="s">
        <v>346</v>
      </c>
      <c r="AS12" s="88" t="s">
        <v>346</v>
      </c>
      <c r="AT12" s="88" t="s">
        <v>347</v>
      </c>
      <c r="AU12" s="88" t="s">
        <v>347</v>
      </c>
      <c r="AV12" s="88" t="s">
        <v>347</v>
      </c>
      <c r="AW12" s="88" t="s">
        <v>347</v>
      </c>
      <c r="AX12" s="88" t="s">
        <v>347</v>
      </c>
      <c r="AY12" s="88" t="s">
        <v>347</v>
      </c>
      <c r="AZ12" s="88" t="s">
        <v>347</v>
      </c>
      <c r="BA12" s="88" t="s">
        <v>347</v>
      </c>
      <c r="BB12" s="88" t="s">
        <v>347</v>
      </c>
      <c r="BC12" s="88" t="s">
        <v>347</v>
      </c>
      <c r="BD12" s="88" t="s">
        <v>347</v>
      </c>
      <c r="BE12" s="88" t="s">
        <v>347</v>
      </c>
      <c r="BF12" s="88" t="s">
        <v>346</v>
      </c>
      <c r="BG12" s="88" t="s">
        <v>347</v>
      </c>
      <c r="BH12" s="88" t="s">
        <v>347</v>
      </c>
      <c r="BI12" s="88" t="s">
        <v>347</v>
      </c>
      <c r="BJ12" s="88" t="s">
        <v>347</v>
      </c>
      <c r="BK12" s="88" t="s">
        <v>347</v>
      </c>
      <c r="BL12" s="88" t="s">
        <v>346</v>
      </c>
      <c r="BM12" s="88" t="s">
        <v>347</v>
      </c>
      <c r="BN12" s="88" t="s">
        <v>347</v>
      </c>
      <c r="BO12" s="88" t="s">
        <v>347</v>
      </c>
      <c r="BP12" s="88" t="s">
        <v>347</v>
      </c>
      <c r="BQ12" s="88" t="s">
        <v>347</v>
      </c>
      <c r="BR12" s="88" t="s">
        <v>347</v>
      </c>
      <c r="BS12" s="88" t="s">
        <v>347</v>
      </c>
      <c r="BT12" s="88" t="s">
        <v>347</v>
      </c>
      <c r="BU12" s="88" t="s">
        <v>347</v>
      </c>
      <c r="BV12" s="88" t="s">
        <v>347</v>
      </c>
      <c r="BW12" s="88" t="s">
        <v>347</v>
      </c>
      <c r="BX12" s="88" t="s">
        <v>347</v>
      </c>
      <c r="BY12" s="88" t="s">
        <v>346</v>
      </c>
      <c r="BZ12" s="91" t="s">
        <v>347</v>
      </c>
    </row>
    <row r="13" spans="1:78" s="2" customFormat="1" x14ac:dyDescent="0.25">
      <c r="A13" s="109" t="s">
        <v>271</v>
      </c>
      <c r="B13" s="88" t="s">
        <v>347</v>
      </c>
      <c r="C13" s="88" t="s">
        <v>347</v>
      </c>
      <c r="D13" s="88" t="s">
        <v>347</v>
      </c>
      <c r="E13" s="88" t="s">
        <v>346</v>
      </c>
      <c r="F13" s="88" t="s">
        <v>346</v>
      </c>
      <c r="G13" s="88" t="s">
        <v>347</v>
      </c>
      <c r="H13" s="88" t="s">
        <v>346</v>
      </c>
      <c r="I13" s="88" t="s">
        <v>347</v>
      </c>
      <c r="J13" s="91" t="s">
        <v>347</v>
      </c>
      <c r="K13" s="109" t="s">
        <v>271</v>
      </c>
      <c r="L13" s="88" t="str">
        <f>LOOKUP($K13,PantheonList!$A$18:$A$139,PantheonList!$B$18:$B$139)</f>
        <v>Academics</v>
      </c>
      <c r="M13" s="88" t="str">
        <f>LOOKUP($K13,PantheonList!$A$18:$A$139,PantheonList!$C$18:$C$139)</f>
        <v>Art</v>
      </c>
      <c r="N13" s="88" t="str">
        <f>LOOKUP($K13,PantheonList!$A$18:$A$139,PantheonList!$D$18:$D$139)</f>
        <v>Fortitude</v>
      </c>
      <c r="O13" s="88" t="str">
        <f>LOOKUP($K13,PantheonList!$A$18:$A$139,PantheonList!$E$18:$E$139)</f>
        <v>Investigation</v>
      </c>
      <c r="P13" s="88" t="str">
        <f>LOOKUP($K13,PantheonList!$A$18:$A$139,PantheonList!$F$18:$F$139)</f>
        <v>Politics</v>
      </c>
      <c r="Q13" s="88" t="str">
        <f>LOOKUP($K13,PantheonList!$A$18:$A$139,PantheonList!$G$18:$G$139)</f>
        <v>Presence</v>
      </c>
      <c r="R13" s="88" t="str">
        <f t="shared" si="2"/>
        <v>Yes</v>
      </c>
      <c r="S13" s="88" t="str">
        <f t="shared" si="2"/>
        <v>No</v>
      </c>
      <c r="T13" s="88" t="str">
        <f t="shared" si="2"/>
        <v>Yes</v>
      </c>
      <c r="U13" s="88" t="str">
        <f t="shared" si="2"/>
        <v>No</v>
      </c>
      <c r="V13" s="88" t="str">
        <f t="shared" si="2"/>
        <v>No</v>
      </c>
      <c r="W13" s="88" t="str">
        <f t="shared" si="2"/>
        <v>No</v>
      </c>
      <c r="X13" s="88" t="str">
        <f t="shared" si="2"/>
        <v>No</v>
      </c>
      <c r="Y13" s="88" t="str">
        <f t="shared" si="2"/>
        <v>No</v>
      </c>
      <c r="Z13" s="88" t="str">
        <f t="shared" si="2"/>
        <v>No</v>
      </c>
      <c r="AA13" s="88" t="str">
        <f t="shared" si="2"/>
        <v>No</v>
      </c>
      <c r="AB13" s="88" t="str">
        <f t="shared" si="3"/>
        <v>Yes</v>
      </c>
      <c r="AC13" s="88" t="str">
        <f t="shared" si="3"/>
        <v>No</v>
      </c>
      <c r="AD13" s="88" t="str">
        <f t="shared" si="3"/>
        <v>Yes</v>
      </c>
      <c r="AE13" s="88" t="str">
        <f t="shared" si="3"/>
        <v>No</v>
      </c>
      <c r="AF13" s="88" t="str">
        <f t="shared" si="3"/>
        <v>No</v>
      </c>
      <c r="AG13" s="88" t="str">
        <f t="shared" si="3"/>
        <v>No</v>
      </c>
      <c r="AH13" s="88" t="str">
        <f t="shared" si="3"/>
        <v>No</v>
      </c>
      <c r="AI13" s="88" t="str">
        <f t="shared" si="3"/>
        <v>No</v>
      </c>
      <c r="AJ13" s="88" t="str">
        <f t="shared" si="3"/>
        <v>Yes</v>
      </c>
      <c r="AK13" s="88" t="str">
        <f t="shared" si="3"/>
        <v>Yes</v>
      </c>
      <c r="AL13" s="88" t="str">
        <f t="shared" si="3"/>
        <v>No</v>
      </c>
      <c r="AM13" s="88" t="str">
        <f t="shared" si="3"/>
        <v>No</v>
      </c>
      <c r="AN13" s="88" t="str">
        <f t="shared" si="3"/>
        <v>No</v>
      </c>
      <c r="AO13" s="91" t="str">
        <f t="shared" si="3"/>
        <v>No</v>
      </c>
      <c r="AP13" s="109" t="s">
        <v>271</v>
      </c>
      <c r="AQ13" s="88">
        <v>13</v>
      </c>
      <c r="AR13" s="88" t="s">
        <v>346</v>
      </c>
      <c r="AS13" s="88" t="s">
        <v>347</v>
      </c>
      <c r="AT13" s="88" t="s">
        <v>347</v>
      </c>
      <c r="AU13" s="88" t="s">
        <v>347</v>
      </c>
      <c r="AV13" s="88" t="s">
        <v>347</v>
      </c>
      <c r="AW13" s="88" t="s">
        <v>347</v>
      </c>
      <c r="AX13" s="88" t="s">
        <v>347</v>
      </c>
      <c r="AY13" s="88" t="s">
        <v>347</v>
      </c>
      <c r="AZ13" s="88" t="s">
        <v>347</v>
      </c>
      <c r="BA13" s="88" t="s">
        <v>347</v>
      </c>
      <c r="BB13" s="88" t="s">
        <v>347</v>
      </c>
      <c r="BC13" s="88" t="s">
        <v>347</v>
      </c>
      <c r="BD13" s="88" t="s">
        <v>347</v>
      </c>
      <c r="BE13" s="88" t="s">
        <v>347</v>
      </c>
      <c r="BF13" s="88" t="s">
        <v>347</v>
      </c>
      <c r="BG13" s="88" t="s">
        <v>346</v>
      </c>
      <c r="BH13" s="88" t="s">
        <v>347</v>
      </c>
      <c r="BI13" s="88" t="s">
        <v>347</v>
      </c>
      <c r="BJ13" s="88" t="s">
        <v>347</v>
      </c>
      <c r="BK13" s="88" t="s">
        <v>347</v>
      </c>
      <c r="BL13" s="88" t="s">
        <v>347</v>
      </c>
      <c r="BM13" s="88" t="s">
        <v>347</v>
      </c>
      <c r="BN13" s="88" t="s">
        <v>347</v>
      </c>
      <c r="BO13" s="88" t="s">
        <v>347</v>
      </c>
      <c r="BP13" s="88" t="s">
        <v>347</v>
      </c>
      <c r="BQ13" s="88" t="s">
        <v>347</v>
      </c>
      <c r="BR13" s="88" t="s">
        <v>347</v>
      </c>
      <c r="BS13" s="88" t="s">
        <v>347</v>
      </c>
      <c r="BT13" s="88" t="s">
        <v>347</v>
      </c>
      <c r="BU13" s="88" t="s">
        <v>347</v>
      </c>
      <c r="BV13" s="88" t="s">
        <v>346</v>
      </c>
      <c r="BW13" s="88" t="s">
        <v>347</v>
      </c>
      <c r="BX13" s="88" t="s">
        <v>347</v>
      </c>
      <c r="BY13" s="88" t="s">
        <v>347</v>
      </c>
      <c r="BZ13" s="91" t="s">
        <v>347</v>
      </c>
    </row>
    <row r="14" spans="1:78" s="2" customFormat="1" x14ac:dyDescent="0.25">
      <c r="A14" s="109" t="s">
        <v>317</v>
      </c>
      <c r="B14" s="88" t="s">
        <v>347</v>
      </c>
      <c r="C14" s="88" t="s">
        <v>347</v>
      </c>
      <c r="D14" s="88" t="s">
        <v>347</v>
      </c>
      <c r="E14" s="88" t="s">
        <v>347</v>
      </c>
      <c r="F14" s="88" t="s">
        <v>347</v>
      </c>
      <c r="G14" s="88" t="s">
        <v>346</v>
      </c>
      <c r="H14" s="88" t="s">
        <v>347</v>
      </c>
      <c r="I14" s="88" t="s">
        <v>346</v>
      </c>
      <c r="J14" s="91" t="s">
        <v>347</v>
      </c>
      <c r="K14" s="109" t="s">
        <v>317</v>
      </c>
      <c r="L14" s="88" t="str">
        <f>LOOKUP($K14,PantheonList!$A$18:$A$139,PantheonList!$B$18:$B$139)</f>
        <v>Animal Ken</v>
      </c>
      <c r="M14" s="88" t="str">
        <f>LOOKUP($K14,PantheonList!$A$18:$A$139,PantheonList!$C$18:$C$139)</f>
        <v>Awareness</v>
      </c>
      <c r="N14" s="88" t="str">
        <f>LOOKUP($K14,PantheonList!$A$18:$A$139,PantheonList!$D$18:$D$139)</f>
        <v>Craft</v>
      </c>
      <c r="O14" s="88" t="str">
        <f>LOOKUP($K14,PantheonList!$A$18:$A$139,PantheonList!$E$18:$E$139)</f>
        <v>Medicine</v>
      </c>
      <c r="P14" s="88" t="str">
        <f>LOOKUP($K14,PantheonList!$A$18:$A$139,PantheonList!$F$18:$F$139)</f>
        <v>Occult</v>
      </c>
      <c r="Q14" s="88" t="str">
        <f>LOOKUP($K14,PantheonList!$A$18:$A$139,PantheonList!$G$18:$G$139)</f>
        <v>Stealth</v>
      </c>
      <c r="R14" s="88" t="str">
        <f t="shared" si="2"/>
        <v>No</v>
      </c>
      <c r="S14" s="88" t="str">
        <f t="shared" si="2"/>
        <v>Yes</v>
      </c>
      <c r="T14" s="88" t="str">
        <f t="shared" si="2"/>
        <v>No</v>
      </c>
      <c r="U14" s="88" t="str">
        <f t="shared" si="2"/>
        <v>No</v>
      </c>
      <c r="V14" s="88" t="str">
        <f t="shared" si="2"/>
        <v>Yes</v>
      </c>
      <c r="W14" s="88" t="str">
        <f t="shared" si="2"/>
        <v>No</v>
      </c>
      <c r="X14" s="88" t="str">
        <f t="shared" si="2"/>
        <v>No</v>
      </c>
      <c r="Y14" s="88" t="str">
        <f t="shared" si="2"/>
        <v>No</v>
      </c>
      <c r="Z14" s="88" t="str">
        <f t="shared" si="2"/>
        <v>Yes</v>
      </c>
      <c r="AA14" s="88" t="str">
        <f t="shared" si="2"/>
        <v>No</v>
      </c>
      <c r="AB14" s="88" t="str">
        <f t="shared" si="3"/>
        <v>No</v>
      </c>
      <c r="AC14" s="88" t="str">
        <f t="shared" si="3"/>
        <v>No</v>
      </c>
      <c r="AD14" s="88" t="str">
        <f t="shared" si="3"/>
        <v>No</v>
      </c>
      <c r="AE14" s="88" t="str">
        <f t="shared" si="3"/>
        <v>No</v>
      </c>
      <c r="AF14" s="88" t="str">
        <f t="shared" si="3"/>
        <v>No</v>
      </c>
      <c r="AG14" s="88" t="str">
        <f t="shared" si="3"/>
        <v>Yes</v>
      </c>
      <c r="AH14" s="88" t="str">
        <f t="shared" si="3"/>
        <v>No</v>
      </c>
      <c r="AI14" s="88" t="str">
        <f t="shared" si="3"/>
        <v>Yes</v>
      </c>
      <c r="AJ14" s="88" t="str">
        <f t="shared" si="3"/>
        <v>No</v>
      </c>
      <c r="AK14" s="88" t="str">
        <f t="shared" si="3"/>
        <v>No</v>
      </c>
      <c r="AL14" s="88" t="str">
        <f t="shared" si="3"/>
        <v>No</v>
      </c>
      <c r="AM14" s="88" t="str">
        <f t="shared" si="3"/>
        <v>Yes</v>
      </c>
      <c r="AN14" s="88" t="str">
        <f t="shared" si="3"/>
        <v>No</v>
      </c>
      <c r="AO14" s="91" t="str">
        <f t="shared" si="3"/>
        <v>No</v>
      </c>
      <c r="AP14" s="109" t="s">
        <v>317</v>
      </c>
      <c r="AQ14" s="88">
        <v>14</v>
      </c>
      <c r="AR14" s="88" t="s">
        <v>346</v>
      </c>
      <c r="AS14" s="88" t="s">
        <v>347</v>
      </c>
      <c r="AT14" s="88" t="s">
        <v>347</v>
      </c>
      <c r="AU14" s="88" t="s">
        <v>346</v>
      </c>
      <c r="AV14" s="88" t="s">
        <v>347</v>
      </c>
      <c r="AW14" s="88" t="s">
        <v>346</v>
      </c>
      <c r="AX14" s="88" t="s">
        <v>347</v>
      </c>
      <c r="AY14" s="88" t="s">
        <v>347</v>
      </c>
      <c r="AZ14" s="88" t="s">
        <v>347</v>
      </c>
      <c r="BA14" s="88" t="s">
        <v>347</v>
      </c>
      <c r="BB14" s="88" t="s">
        <v>347</v>
      </c>
      <c r="BC14" s="88" t="s">
        <v>347</v>
      </c>
      <c r="BD14" s="88" t="s">
        <v>347</v>
      </c>
      <c r="BE14" s="88" t="s">
        <v>347</v>
      </c>
      <c r="BF14" s="88" t="s">
        <v>346</v>
      </c>
      <c r="BG14" s="88" t="s">
        <v>347</v>
      </c>
      <c r="BH14" s="88" t="s">
        <v>347</v>
      </c>
      <c r="BI14" s="88" t="s">
        <v>347</v>
      </c>
      <c r="BJ14" s="88" t="s">
        <v>347</v>
      </c>
      <c r="BK14" s="88" t="s">
        <v>347</v>
      </c>
      <c r="BL14" s="88" t="s">
        <v>347</v>
      </c>
      <c r="BM14" s="88" t="s">
        <v>346</v>
      </c>
      <c r="BN14" s="88" t="s">
        <v>347</v>
      </c>
      <c r="BO14" s="88" t="s">
        <v>347</v>
      </c>
      <c r="BP14" s="88" t="s">
        <v>347</v>
      </c>
      <c r="BQ14" s="88" t="s">
        <v>347</v>
      </c>
      <c r="BR14" s="88" t="s">
        <v>347</v>
      </c>
      <c r="BS14" s="88" t="s">
        <v>347</v>
      </c>
      <c r="BT14" s="88" t="s">
        <v>346</v>
      </c>
      <c r="BU14" s="88" t="s">
        <v>347</v>
      </c>
      <c r="BV14" s="88" t="s">
        <v>347</v>
      </c>
      <c r="BW14" s="88" t="s">
        <v>347</v>
      </c>
      <c r="BX14" s="88" t="s">
        <v>347</v>
      </c>
      <c r="BY14" s="88" t="s">
        <v>347</v>
      </c>
      <c r="BZ14" s="91" t="s">
        <v>347</v>
      </c>
    </row>
    <row r="15" spans="1:78" s="2" customFormat="1" x14ac:dyDescent="0.25">
      <c r="A15" s="109" t="s">
        <v>190</v>
      </c>
      <c r="B15" s="88" t="s">
        <v>347</v>
      </c>
      <c r="C15" s="88" t="s">
        <v>347</v>
      </c>
      <c r="D15" s="88" t="s">
        <v>347</v>
      </c>
      <c r="E15" s="88" t="s">
        <v>346</v>
      </c>
      <c r="F15" s="88" t="s">
        <v>347</v>
      </c>
      <c r="G15" s="88" t="s">
        <v>346</v>
      </c>
      <c r="H15" s="88" t="s">
        <v>347</v>
      </c>
      <c r="I15" s="88" t="s">
        <v>347</v>
      </c>
      <c r="J15" s="91" t="s">
        <v>347</v>
      </c>
      <c r="K15" s="109" t="s">
        <v>190</v>
      </c>
      <c r="L15" s="88" t="str">
        <f>LOOKUP($K15,PantheonList!$A$18:$A$139,PantheonList!$B$18:$B$139)</f>
        <v>Art</v>
      </c>
      <c r="M15" s="88" t="str">
        <f>LOOKUP($K15,PantheonList!$A$18:$A$139,PantheonList!$C$18:$C$139)</f>
        <v>Athletics</v>
      </c>
      <c r="N15" s="88" t="str">
        <f>LOOKUP($K15,PantheonList!$A$18:$A$139,PantheonList!$D$18:$D$139)</f>
        <v>Brawl</v>
      </c>
      <c r="O15" s="88" t="str">
        <f>LOOKUP($K15,PantheonList!$A$18:$A$139,PantheonList!$E$18:$E$139)</f>
        <v>Melee</v>
      </c>
      <c r="P15" s="88" t="str">
        <f>LOOKUP($K15,PantheonList!$A$18:$A$139,PantheonList!$F$18:$F$139)</f>
        <v>Marksmanship</v>
      </c>
      <c r="Q15" s="88" t="str">
        <f>LOOKUP($K15,PantheonList!$A$18:$A$139,PantheonList!$G$18:$G$139)</f>
        <v>Presence</v>
      </c>
      <c r="R15" s="88" t="str">
        <f t="shared" si="2"/>
        <v>No</v>
      </c>
      <c r="S15" s="88" t="str">
        <f t="shared" si="2"/>
        <v>No</v>
      </c>
      <c r="T15" s="88" t="str">
        <f t="shared" si="2"/>
        <v>Yes</v>
      </c>
      <c r="U15" s="88" t="str">
        <f t="shared" si="2"/>
        <v>Yes</v>
      </c>
      <c r="V15" s="88" t="str">
        <f t="shared" si="2"/>
        <v>No</v>
      </c>
      <c r="W15" s="88" t="str">
        <f t="shared" si="2"/>
        <v>Yes</v>
      </c>
      <c r="X15" s="88" t="str">
        <f t="shared" si="2"/>
        <v>No</v>
      </c>
      <c r="Y15" s="88" t="str">
        <f t="shared" si="2"/>
        <v>No</v>
      </c>
      <c r="Z15" s="88" t="str">
        <f t="shared" si="2"/>
        <v>No</v>
      </c>
      <c r="AA15" s="88" t="str">
        <f t="shared" si="2"/>
        <v>No</v>
      </c>
      <c r="AB15" s="88" t="str">
        <f t="shared" si="3"/>
        <v>No</v>
      </c>
      <c r="AC15" s="88" t="str">
        <f t="shared" si="3"/>
        <v>No</v>
      </c>
      <c r="AD15" s="88" t="str">
        <f t="shared" si="3"/>
        <v>No</v>
      </c>
      <c r="AE15" s="88" t="str">
        <f t="shared" si="3"/>
        <v>No</v>
      </c>
      <c r="AF15" s="88" t="str">
        <f t="shared" si="3"/>
        <v>Yes</v>
      </c>
      <c r="AG15" s="88" t="str">
        <f t="shared" si="3"/>
        <v>No</v>
      </c>
      <c r="AH15" s="88" t="str">
        <f t="shared" si="3"/>
        <v>Yes</v>
      </c>
      <c r="AI15" s="88" t="str">
        <f t="shared" si="3"/>
        <v>No</v>
      </c>
      <c r="AJ15" s="88" t="str">
        <f t="shared" si="3"/>
        <v>No</v>
      </c>
      <c r="AK15" s="88" t="str">
        <f t="shared" si="3"/>
        <v>Yes</v>
      </c>
      <c r="AL15" s="88" t="str">
        <f t="shared" si="3"/>
        <v>No</v>
      </c>
      <c r="AM15" s="88" t="str">
        <f t="shared" si="3"/>
        <v>No</v>
      </c>
      <c r="AN15" s="88" t="str">
        <f t="shared" si="3"/>
        <v>No</v>
      </c>
      <c r="AO15" s="91" t="str">
        <f t="shared" si="3"/>
        <v>No</v>
      </c>
      <c r="AP15" s="109" t="s">
        <v>190</v>
      </c>
      <c r="AQ15" s="88">
        <v>15</v>
      </c>
      <c r="AR15" s="88" t="s">
        <v>347</v>
      </c>
      <c r="AS15" s="88" t="s">
        <v>347</v>
      </c>
      <c r="AT15" s="88" t="s">
        <v>347</v>
      </c>
      <c r="AU15" s="88" t="s">
        <v>347</v>
      </c>
      <c r="AV15" s="88" t="s">
        <v>347</v>
      </c>
      <c r="AW15" s="88" t="s">
        <v>347</v>
      </c>
      <c r="AX15" s="88" t="s">
        <v>347</v>
      </c>
      <c r="AY15" s="88" t="s">
        <v>347</v>
      </c>
      <c r="AZ15" s="88" t="s">
        <v>347</v>
      </c>
      <c r="BA15" s="88" t="s">
        <v>347</v>
      </c>
      <c r="BB15" s="88" t="s">
        <v>347</v>
      </c>
      <c r="BC15" s="88" t="s">
        <v>347</v>
      </c>
      <c r="BD15" s="88" t="s">
        <v>347</v>
      </c>
      <c r="BE15" s="88" t="s">
        <v>346</v>
      </c>
      <c r="BF15" s="88" t="s">
        <v>347</v>
      </c>
      <c r="BG15" s="88" t="s">
        <v>347</v>
      </c>
      <c r="BH15" s="88" t="s">
        <v>347</v>
      </c>
      <c r="BI15" s="88" t="s">
        <v>347</v>
      </c>
      <c r="BJ15" s="88" t="s">
        <v>347</v>
      </c>
      <c r="BK15" s="88" t="s">
        <v>346</v>
      </c>
      <c r="BL15" s="88" t="s">
        <v>347</v>
      </c>
      <c r="BM15" s="88" t="s">
        <v>347</v>
      </c>
      <c r="BN15" s="88" t="s">
        <v>347</v>
      </c>
      <c r="BO15" s="88" t="s">
        <v>347</v>
      </c>
      <c r="BP15" s="88" t="s">
        <v>347</v>
      </c>
      <c r="BQ15" s="88" t="s">
        <v>347</v>
      </c>
      <c r="BR15" s="88" t="s">
        <v>347</v>
      </c>
      <c r="BS15" s="88" t="s">
        <v>347</v>
      </c>
      <c r="BT15" s="88" t="s">
        <v>347</v>
      </c>
      <c r="BU15" s="88" t="s">
        <v>347</v>
      </c>
      <c r="BV15" s="88" t="s">
        <v>346</v>
      </c>
      <c r="BW15" s="88" t="s">
        <v>347</v>
      </c>
      <c r="BX15" s="88" t="s">
        <v>347</v>
      </c>
      <c r="BY15" s="88" t="s">
        <v>347</v>
      </c>
      <c r="BZ15" s="91" t="s">
        <v>347</v>
      </c>
    </row>
    <row r="16" spans="1:78" s="2" customFormat="1" x14ac:dyDescent="0.25">
      <c r="A16" s="109" t="s">
        <v>262</v>
      </c>
      <c r="B16" s="88" t="s">
        <v>347</v>
      </c>
      <c r="C16" s="88" t="s">
        <v>347</v>
      </c>
      <c r="D16" s="88" t="s">
        <v>347</v>
      </c>
      <c r="E16" s="88" t="s">
        <v>346</v>
      </c>
      <c r="F16" s="88" t="s">
        <v>347</v>
      </c>
      <c r="G16" s="88" t="s">
        <v>347</v>
      </c>
      <c r="H16" s="88" t="s">
        <v>347</v>
      </c>
      <c r="I16" s="88" t="s">
        <v>347</v>
      </c>
      <c r="J16" s="91" t="s">
        <v>347</v>
      </c>
      <c r="K16" s="109" t="s">
        <v>262</v>
      </c>
      <c r="L16" s="88" t="str">
        <f>LOOKUP($K16,PantheonList!$A$18:$A$139,PantheonList!$B$18:$B$139)</f>
        <v>Command</v>
      </c>
      <c r="M16" s="88" t="str">
        <f>LOOKUP($K16,PantheonList!$A$18:$A$139,PantheonList!$C$18:$C$139)</f>
        <v>Fortitude</v>
      </c>
      <c r="N16" s="88" t="str">
        <f>LOOKUP($K16,PantheonList!$A$18:$A$139,PantheonList!$D$18:$D$139)</f>
        <v>Integrity</v>
      </c>
      <c r="O16" s="88" t="str">
        <f>LOOKUP($K16,PantheonList!$A$18:$A$139,PantheonList!$E$18:$E$139)</f>
        <v>Occult</v>
      </c>
      <c r="P16" s="88" t="str">
        <f>LOOKUP($K16,PantheonList!$A$18:$A$139,PantheonList!$F$18:$F$139)</f>
        <v>Politics</v>
      </c>
      <c r="Q16" s="88" t="str">
        <f>LOOKUP($K16,PantheonList!$A$18:$A$139,PantheonList!$G$18:$G$139)</f>
        <v>Presence</v>
      </c>
      <c r="R16" s="88" t="str">
        <f t="shared" si="2"/>
        <v>No</v>
      </c>
      <c r="S16" s="88" t="str">
        <f t="shared" si="2"/>
        <v>No</v>
      </c>
      <c r="T16" s="88" t="str">
        <f t="shared" si="2"/>
        <v>No</v>
      </c>
      <c r="U16" s="88" t="str">
        <f t="shared" si="2"/>
        <v>No</v>
      </c>
      <c r="V16" s="88" t="str">
        <f t="shared" si="2"/>
        <v>No</v>
      </c>
      <c r="W16" s="88" t="str">
        <f t="shared" si="2"/>
        <v>No</v>
      </c>
      <c r="X16" s="88" t="str">
        <f t="shared" si="2"/>
        <v>Yes</v>
      </c>
      <c r="Y16" s="88" t="str">
        <f t="shared" si="2"/>
        <v>No</v>
      </c>
      <c r="Z16" s="88" t="str">
        <f t="shared" si="2"/>
        <v>No</v>
      </c>
      <c r="AA16" s="88" t="str">
        <f t="shared" si="2"/>
        <v>No</v>
      </c>
      <c r="AB16" s="88" t="str">
        <f t="shared" si="3"/>
        <v>Yes</v>
      </c>
      <c r="AC16" s="88" t="str">
        <f t="shared" si="3"/>
        <v>Yes</v>
      </c>
      <c r="AD16" s="88" t="str">
        <f t="shared" si="3"/>
        <v>No</v>
      </c>
      <c r="AE16" s="88" t="str">
        <f t="shared" si="3"/>
        <v>No</v>
      </c>
      <c r="AF16" s="88" t="str">
        <f t="shared" si="3"/>
        <v>No</v>
      </c>
      <c r="AG16" s="88" t="str">
        <f t="shared" si="3"/>
        <v>No</v>
      </c>
      <c r="AH16" s="88" t="str">
        <f t="shared" si="3"/>
        <v>No</v>
      </c>
      <c r="AI16" s="88" t="str">
        <f t="shared" si="3"/>
        <v>Yes</v>
      </c>
      <c r="AJ16" s="88" t="str">
        <f t="shared" si="3"/>
        <v>Yes</v>
      </c>
      <c r="AK16" s="88" t="str">
        <f t="shared" si="3"/>
        <v>Yes</v>
      </c>
      <c r="AL16" s="88" t="str">
        <f t="shared" si="3"/>
        <v>No</v>
      </c>
      <c r="AM16" s="88" t="str">
        <f t="shared" si="3"/>
        <v>No</v>
      </c>
      <c r="AN16" s="88" t="str">
        <f t="shared" si="3"/>
        <v>No</v>
      </c>
      <c r="AO16" s="91" t="str">
        <f t="shared" si="3"/>
        <v>No</v>
      </c>
      <c r="AP16" s="109" t="s">
        <v>262</v>
      </c>
      <c r="AQ16" s="88">
        <v>16</v>
      </c>
      <c r="AR16" s="88" t="s">
        <v>347</v>
      </c>
      <c r="AS16" s="88" t="s">
        <v>347</v>
      </c>
      <c r="AT16" s="88" t="s">
        <v>347</v>
      </c>
      <c r="AU16" s="88" t="s">
        <v>347</v>
      </c>
      <c r="AV16" s="88" t="s">
        <v>346</v>
      </c>
      <c r="AW16" s="88" t="s">
        <v>347</v>
      </c>
      <c r="AX16" s="88" t="s">
        <v>346</v>
      </c>
      <c r="AY16" s="88" t="s">
        <v>346</v>
      </c>
      <c r="AZ16" s="88" t="s">
        <v>346</v>
      </c>
      <c r="BA16" s="88" t="s">
        <v>347</v>
      </c>
      <c r="BB16" s="88" t="s">
        <v>347</v>
      </c>
      <c r="BC16" s="88" t="s">
        <v>347</v>
      </c>
      <c r="BD16" s="88" t="s">
        <v>347</v>
      </c>
      <c r="BE16" s="88" t="s">
        <v>347</v>
      </c>
      <c r="BF16" s="88" t="s">
        <v>346</v>
      </c>
      <c r="BG16" s="88" t="s">
        <v>347</v>
      </c>
      <c r="BH16" s="88" t="s">
        <v>347</v>
      </c>
      <c r="BI16" s="88" t="s">
        <v>347</v>
      </c>
      <c r="BJ16" s="88" t="s">
        <v>347</v>
      </c>
      <c r="BK16" s="88" t="s">
        <v>347</v>
      </c>
      <c r="BL16" s="88" t="s">
        <v>347</v>
      </c>
      <c r="BM16" s="88" t="s">
        <v>347</v>
      </c>
      <c r="BN16" s="88" t="s">
        <v>347</v>
      </c>
      <c r="BO16" s="88" t="s">
        <v>347</v>
      </c>
      <c r="BP16" s="88" t="s">
        <v>347</v>
      </c>
      <c r="BQ16" s="88" t="s">
        <v>346</v>
      </c>
      <c r="BR16" s="88" t="s">
        <v>347</v>
      </c>
      <c r="BS16" s="88" t="s">
        <v>347</v>
      </c>
      <c r="BT16" s="88" t="s">
        <v>347</v>
      </c>
      <c r="BU16" s="88" t="s">
        <v>347</v>
      </c>
      <c r="BV16" s="88" t="s">
        <v>347</v>
      </c>
      <c r="BW16" s="88" t="s">
        <v>347</v>
      </c>
      <c r="BX16" s="88" t="s">
        <v>347</v>
      </c>
      <c r="BY16" s="88" t="s">
        <v>347</v>
      </c>
      <c r="BZ16" s="91" t="s">
        <v>347</v>
      </c>
    </row>
    <row r="17" spans="1:78" s="2" customFormat="1" x14ac:dyDescent="0.25">
      <c r="A17" s="109" t="s">
        <v>272</v>
      </c>
      <c r="B17" s="88" t="s">
        <v>347</v>
      </c>
      <c r="C17" s="88" t="s">
        <v>346</v>
      </c>
      <c r="D17" s="88" t="s">
        <v>347</v>
      </c>
      <c r="E17" s="88" t="s">
        <v>346</v>
      </c>
      <c r="F17" s="88" t="s">
        <v>347</v>
      </c>
      <c r="G17" s="88" t="s">
        <v>347</v>
      </c>
      <c r="H17" s="88" t="s">
        <v>346</v>
      </c>
      <c r="I17" s="88" t="s">
        <v>347</v>
      </c>
      <c r="J17" s="91" t="s">
        <v>346</v>
      </c>
      <c r="K17" s="109" t="s">
        <v>272</v>
      </c>
      <c r="L17" s="88" t="str">
        <f>LOOKUP($K17,PantheonList!$A$18:$A$139,PantheonList!$B$18:$B$139)</f>
        <v>Athletics</v>
      </c>
      <c r="M17" s="88" t="str">
        <f>LOOKUP($K17,PantheonList!$A$18:$A$139,PantheonList!$C$18:$C$139)</f>
        <v>Awareness</v>
      </c>
      <c r="N17" s="88" t="str">
        <f>LOOKUP($K17,PantheonList!$A$18:$A$139,PantheonList!$D$18:$D$139)</f>
        <v>Brawl</v>
      </c>
      <c r="O17" s="88" t="str">
        <f>LOOKUP($K17,PantheonList!$A$18:$A$139,PantheonList!$E$18:$E$139)</f>
        <v>Larceny</v>
      </c>
      <c r="P17" s="88" t="str">
        <f>LOOKUP($K17,PantheonList!$A$18:$A$139,PantheonList!$F$18:$F$139)</f>
        <v>Stealth</v>
      </c>
      <c r="Q17" s="88" t="str">
        <f>LOOKUP($K17,PantheonList!$A$18:$A$139,PantheonList!$G$18:$G$139)</f>
        <v>Survival</v>
      </c>
      <c r="R17" s="88" t="str">
        <f t="shared" si="2"/>
        <v>No</v>
      </c>
      <c r="S17" s="88" t="str">
        <f t="shared" si="2"/>
        <v>No</v>
      </c>
      <c r="T17" s="88" t="str">
        <f t="shared" si="2"/>
        <v>No</v>
      </c>
      <c r="U17" s="88" t="str">
        <f t="shared" si="2"/>
        <v>Yes</v>
      </c>
      <c r="V17" s="88" t="str">
        <f t="shared" si="2"/>
        <v>Yes</v>
      </c>
      <c r="W17" s="88" t="str">
        <f t="shared" si="2"/>
        <v>Yes</v>
      </c>
      <c r="X17" s="88" t="str">
        <f t="shared" si="2"/>
        <v>No</v>
      </c>
      <c r="Y17" s="88" t="str">
        <f t="shared" si="2"/>
        <v>No</v>
      </c>
      <c r="Z17" s="88" t="str">
        <f t="shared" si="2"/>
        <v>No</v>
      </c>
      <c r="AA17" s="88" t="str">
        <f t="shared" si="2"/>
        <v>No</v>
      </c>
      <c r="AB17" s="88" t="str">
        <f t="shared" si="3"/>
        <v>No</v>
      </c>
      <c r="AC17" s="88" t="str">
        <f t="shared" si="3"/>
        <v>No</v>
      </c>
      <c r="AD17" s="88" t="str">
        <f t="shared" si="3"/>
        <v>No</v>
      </c>
      <c r="AE17" s="88" t="str">
        <f t="shared" si="3"/>
        <v>Yes</v>
      </c>
      <c r="AF17" s="88" t="str">
        <f t="shared" si="3"/>
        <v>No</v>
      </c>
      <c r="AG17" s="88" t="str">
        <f t="shared" si="3"/>
        <v>No</v>
      </c>
      <c r="AH17" s="88" t="str">
        <f t="shared" si="3"/>
        <v>No</v>
      </c>
      <c r="AI17" s="88" t="str">
        <f t="shared" si="3"/>
        <v>No</v>
      </c>
      <c r="AJ17" s="88" t="str">
        <f t="shared" si="3"/>
        <v>No</v>
      </c>
      <c r="AK17" s="88" t="str">
        <f t="shared" si="3"/>
        <v>No</v>
      </c>
      <c r="AL17" s="88" t="str">
        <f t="shared" si="3"/>
        <v>No</v>
      </c>
      <c r="AM17" s="88" t="str">
        <f t="shared" si="3"/>
        <v>Yes</v>
      </c>
      <c r="AN17" s="88" t="str">
        <f t="shared" si="3"/>
        <v>Yes</v>
      </c>
      <c r="AO17" s="91" t="str">
        <f t="shared" si="3"/>
        <v>No</v>
      </c>
      <c r="AP17" s="109" t="s">
        <v>272</v>
      </c>
      <c r="AQ17" s="88">
        <v>17</v>
      </c>
      <c r="AR17" s="88" t="s">
        <v>346</v>
      </c>
      <c r="AS17" s="88" t="s">
        <v>347</v>
      </c>
      <c r="AT17" s="88" t="s">
        <v>347</v>
      </c>
      <c r="AU17" s="88" t="s">
        <v>347</v>
      </c>
      <c r="AV17" s="88" t="s">
        <v>347</v>
      </c>
      <c r="AW17" s="88" t="s">
        <v>347</v>
      </c>
      <c r="AX17" s="88" t="s">
        <v>347</v>
      </c>
      <c r="AY17" s="88" t="s">
        <v>347</v>
      </c>
      <c r="AZ17" s="88" t="s">
        <v>347</v>
      </c>
      <c r="BA17" s="88" t="s">
        <v>347</v>
      </c>
      <c r="BB17" s="88" t="s">
        <v>347</v>
      </c>
      <c r="BC17" s="88" t="s">
        <v>347</v>
      </c>
      <c r="BD17" s="88" t="s">
        <v>347</v>
      </c>
      <c r="BE17" s="88" t="s">
        <v>347</v>
      </c>
      <c r="BF17" s="88" t="s">
        <v>347</v>
      </c>
      <c r="BG17" s="88" t="s">
        <v>346</v>
      </c>
      <c r="BH17" s="88" t="s">
        <v>347</v>
      </c>
      <c r="BI17" s="88" t="s">
        <v>347</v>
      </c>
      <c r="BJ17" s="88" t="s">
        <v>347</v>
      </c>
      <c r="BK17" s="88" t="s">
        <v>347</v>
      </c>
      <c r="BL17" s="88" t="s">
        <v>347</v>
      </c>
      <c r="BM17" s="88" t="s">
        <v>347</v>
      </c>
      <c r="BN17" s="88" t="s">
        <v>346</v>
      </c>
      <c r="BO17" s="88" t="s">
        <v>347</v>
      </c>
      <c r="BP17" s="88" t="s">
        <v>346</v>
      </c>
      <c r="BQ17" s="88" t="s">
        <v>347</v>
      </c>
      <c r="BR17" s="88" t="s">
        <v>347</v>
      </c>
      <c r="BS17" s="88" t="s">
        <v>347</v>
      </c>
      <c r="BT17" s="88" t="s">
        <v>347</v>
      </c>
      <c r="BU17" s="88" t="s">
        <v>347</v>
      </c>
      <c r="BV17" s="88" t="s">
        <v>346</v>
      </c>
      <c r="BW17" s="88" t="s">
        <v>347</v>
      </c>
      <c r="BX17" s="88" t="s">
        <v>347</v>
      </c>
      <c r="BY17" s="88" t="s">
        <v>347</v>
      </c>
      <c r="BZ17" s="91" t="s">
        <v>347</v>
      </c>
    </row>
    <row r="18" spans="1:78" s="2" customFormat="1" x14ac:dyDescent="0.25">
      <c r="A18" s="109" t="s">
        <v>301</v>
      </c>
      <c r="B18" s="88" t="s">
        <v>347</v>
      </c>
      <c r="C18" s="88" t="s">
        <v>346</v>
      </c>
      <c r="D18" s="88" t="s">
        <v>347</v>
      </c>
      <c r="E18" s="88" t="s">
        <v>347</v>
      </c>
      <c r="F18" s="88" t="s">
        <v>347</v>
      </c>
      <c r="G18" s="88" t="s">
        <v>347</v>
      </c>
      <c r="H18" s="88" t="s">
        <v>347</v>
      </c>
      <c r="I18" s="88" t="s">
        <v>346</v>
      </c>
      <c r="J18" s="91" t="s">
        <v>347</v>
      </c>
      <c r="K18" s="109" t="s">
        <v>301</v>
      </c>
      <c r="L18" s="88" t="str">
        <f>LOOKUP($K18,PantheonList!$A$18:$A$139,PantheonList!$B$18:$B$139)</f>
        <v>Academics</v>
      </c>
      <c r="M18" s="88" t="str">
        <f>LOOKUP($K18,PantheonList!$A$18:$A$139,PantheonList!$C$18:$C$139)</f>
        <v>Art</v>
      </c>
      <c r="N18" s="88" t="str">
        <f>LOOKUP($K18,PantheonList!$A$18:$A$139,PantheonList!$D$18:$D$139)</f>
        <v>Craft</v>
      </c>
      <c r="O18" s="88" t="str">
        <f>LOOKUP($K18,PantheonList!$A$18:$A$139,PantheonList!$E$18:$E$139)</f>
        <v>Empathy</v>
      </c>
      <c r="P18" s="88" t="str">
        <f>LOOKUP($K18,PantheonList!$A$18:$A$139,PantheonList!$F$18:$F$139)</f>
        <v>Medicine</v>
      </c>
      <c r="Q18" s="88" t="str">
        <f>LOOKUP($K18,PantheonList!$A$18:$A$139,PantheonList!$G$18:$G$139)</f>
        <v>Politics</v>
      </c>
      <c r="R18" s="88" t="str">
        <f t="shared" si="2"/>
        <v>Yes</v>
      </c>
      <c r="S18" s="88" t="str">
        <f t="shared" si="2"/>
        <v>No</v>
      </c>
      <c r="T18" s="88" t="str">
        <f t="shared" si="2"/>
        <v>Yes</v>
      </c>
      <c r="U18" s="88" t="str">
        <f t="shared" si="2"/>
        <v>No</v>
      </c>
      <c r="V18" s="88" t="str">
        <f t="shared" si="2"/>
        <v>No</v>
      </c>
      <c r="W18" s="88" t="str">
        <f t="shared" si="2"/>
        <v>No</v>
      </c>
      <c r="X18" s="88" t="str">
        <f t="shared" si="2"/>
        <v>No</v>
      </c>
      <c r="Y18" s="88" t="str">
        <f t="shared" si="2"/>
        <v>No</v>
      </c>
      <c r="Z18" s="88" t="str">
        <f t="shared" si="2"/>
        <v>Yes</v>
      </c>
      <c r="AA18" s="88" t="str">
        <f t="shared" si="2"/>
        <v>Yes</v>
      </c>
      <c r="AB18" s="88" t="str">
        <f t="shared" si="3"/>
        <v>No</v>
      </c>
      <c r="AC18" s="88" t="str">
        <f t="shared" si="3"/>
        <v>No</v>
      </c>
      <c r="AD18" s="88" t="str">
        <f t="shared" si="3"/>
        <v>No</v>
      </c>
      <c r="AE18" s="88" t="str">
        <f t="shared" si="3"/>
        <v>No</v>
      </c>
      <c r="AF18" s="88" t="str">
        <f t="shared" si="3"/>
        <v>No</v>
      </c>
      <c r="AG18" s="88" t="str">
        <f t="shared" si="3"/>
        <v>Yes</v>
      </c>
      <c r="AH18" s="88" t="str">
        <f t="shared" si="3"/>
        <v>No</v>
      </c>
      <c r="AI18" s="88" t="str">
        <f t="shared" si="3"/>
        <v>No</v>
      </c>
      <c r="AJ18" s="88" t="str">
        <f t="shared" si="3"/>
        <v>Yes</v>
      </c>
      <c r="AK18" s="88" t="str">
        <f t="shared" si="3"/>
        <v>No</v>
      </c>
      <c r="AL18" s="88" t="str">
        <f t="shared" si="3"/>
        <v>No</v>
      </c>
      <c r="AM18" s="88" t="str">
        <f t="shared" si="3"/>
        <v>No</v>
      </c>
      <c r="AN18" s="88" t="str">
        <f t="shared" si="3"/>
        <v>No</v>
      </c>
      <c r="AO18" s="91" t="str">
        <f t="shared" si="3"/>
        <v>No</v>
      </c>
      <c r="AP18" s="109" t="s">
        <v>301</v>
      </c>
      <c r="AQ18" s="88">
        <v>18</v>
      </c>
      <c r="AR18" s="88" t="s">
        <v>347</v>
      </c>
      <c r="AS18" s="88" t="s">
        <v>347</v>
      </c>
      <c r="AT18" s="88" t="s">
        <v>347</v>
      </c>
      <c r="AU18" s="88" t="s">
        <v>347</v>
      </c>
      <c r="AV18" s="88" t="s">
        <v>347</v>
      </c>
      <c r="AW18" s="88" t="s">
        <v>347</v>
      </c>
      <c r="AX18" s="88" t="s">
        <v>347</v>
      </c>
      <c r="AY18" s="88" t="s">
        <v>347</v>
      </c>
      <c r="AZ18" s="88" t="s">
        <v>347</v>
      </c>
      <c r="BA18" s="88" t="s">
        <v>347</v>
      </c>
      <c r="BB18" s="88" t="s">
        <v>347</v>
      </c>
      <c r="BC18" s="88" t="s">
        <v>347</v>
      </c>
      <c r="BD18" s="88" t="s">
        <v>347</v>
      </c>
      <c r="BE18" s="88" t="s">
        <v>347</v>
      </c>
      <c r="BF18" s="88" t="s">
        <v>346</v>
      </c>
      <c r="BG18" s="88" t="s">
        <v>347</v>
      </c>
      <c r="BH18" s="88" t="s">
        <v>347</v>
      </c>
      <c r="BI18" s="88" t="s">
        <v>346</v>
      </c>
      <c r="BJ18" s="88" t="s">
        <v>347</v>
      </c>
      <c r="BK18" s="88" t="s">
        <v>347</v>
      </c>
      <c r="BL18" s="88" t="s">
        <v>347</v>
      </c>
      <c r="BM18" s="88" t="s">
        <v>347</v>
      </c>
      <c r="BN18" s="88" t="s">
        <v>347</v>
      </c>
      <c r="BO18" s="88" t="s">
        <v>347</v>
      </c>
      <c r="BP18" s="88" t="s">
        <v>347</v>
      </c>
      <c r="BQ18" s="88" t="s">
        <v>347</v>
      </c>
      <c r="BR18" s="88" t="s">
        <v>347</v>
      </c>
      <c r="BS18" s="88" t="s">
        <v>347</v>
      </c>
      <c r="BT18" s="88" t="s">
        <v>347</v>
      </c>
      <c r="BU18" s="88" t="s">
        <v>347</v>
      </c>
      <c r="BV18" s="88" t="s">
        <v>347</v>
      </c>
      <c r="BW18" s="88" t="s">
        <v>347</v>
      </c>
      <c r="BX18" s="88" t="s">
        <v>347</v>
      </c>
      <c r="BY18" s="88" t="s">
        <v>347</v>
      </c>
      <c r="BZ18" s="91" t="s">
        <v>347</v>
      </c>
    </row>
    <row r="19" spans="1:78" s="2" customFormat="1" x14ac:dyDescent="0.25">
      <c r="A19" s="109" t="s">
        <v>236</v>
      </c>
      <c r="B19" s="88" t="s">
        <v>347</v>
      </c>
      <c r="C19" s="88" t="s">
        <v>347</v>
      </c>
      <c r="D19" s="88" t="s">
        <v>347</v>
      </c>
      <c r="E19" s="88" t="s">
        <v>347</v>
      </c>
      <c r="F19" s="88" t="s">
        <v>347</v>
      </c>
      <c r="G19" s="88" t="s">
        <v>347</v>
      </c>
      <c r="H19" s="88" t="s">
        <v>346</v>
      </c>
      <c r="I19" s="88" t="s">
        <v>346</v>
      </c>
      <c r="J19" s="91" t="s">
        <v>347</v>
      </c>
      <c r="K19" s="109" t="s">
        <v>236</v>
      </c>
      <c r="L19" s="88" t="str">
        <f>LOOKUP($K19,PantheonList!$A$18:$A$139,PantheonList!$B$18:$B$139)</f>
        <v>Academics</v>
      </c>
      <c r="M19" s="88" t="str">
        <f>LOOKUP($K19,PantheonList!$A$18:$A$139,PantheonList!$C$18:$C$139)</f>
        <v>Art</v>
      </c>
      <c r="N19" s="88" t="str">
        <f>LOOKUP($K19,PantheonList!$A$18:$A$139,PantheonList!$D$18:$D$139)</f>
        <v>Craft</v>
      </c>
      <c r="O19" s="88" t="str">
        <f>LOOKUP($K19,PantheonList!$A$18:$A$139,PantheonList!$E$18:$E$139)</f>
        <v>Empathy</v>
      </c>
      <c r="P19" s="88" t="str">
        <f>LOOKUP($K19,PantheonList!$A$18:$A$139,PantheonList!$F$18:$F$139)</f>
        <v>Integrity</v>
      </c>
      <c r="Q19" s="88" t="str">
        <f>LOOKUP($K19,PantheonList!$A$18:$A$139,PantheonList!$G$18:$G$139)</f>
        <v>Science</v>
      </c>
      <c r="R19" s="88" t="str">
        <f t="shared" si="2"/>
        <v>Yes</v>
      </c>
      <c r="S19" s="88" t="str">
        <f t="shared" si="2"/>
        <v>No</v>
      </c>
      <c r="T19" s="88" t="str">
        <f t="shared" si="2"/>
        <v>Yes</v>
      </c>
      <c r="U19" s="88" t="str">
        <f t="shared" si="2"/>
        <v>No</v>
      </c>
      <c r="V19" s="88" t="str">
        <f t="shared" si="2"/>
        <v>No</v>
      </c>
      <c r="W19" s="88" t="str">
        <f t="shared" si="2"/>
        <v>No</v>
      </c>
      <c r="X19" s="88" t="str">
        <f t="shared" si="2"/>
        <v>No</v>
      </c>
      <c r="Y19" s="88" t="str">
        <f t="shared" si="2"/>
        <v>No</v>
      </c>
      <c r="Z19" s="88" t="str">
        <f t="shared" si="2"/>
        <v>Yes</v>
      </c>
      <c r="AA19" s="88" t="str">
        <f t="shared" si="2"/>
        <v>Yes</v>
      </c>
      <c r="AB19" s="88" t="str">
        <f t="shared" si="3"/>
        <v>No</v>
      </c>
      <c r="AC19" s="88" t="str">
        <f t="shared" si="3"/>
        <v>Yes</v>
      </c>
      <c r="AD19" s="88" t="str">
        <f t="shared" si="3"/>
        <v>No</v>
      </c>
      <c r="AE19" s="88" t="str">
        <f t="shared" si="3"/>
        <v>No</v>
      </c>
      <c r="AF19" s="88" t="str">
        <f t="shared" si="3"/>
        <v>No</v>
      </c>
      <c r="AG19" s="88" t="str">
        <f t="shared" si="3"/>
        <v>No</v>
      </c>
      <c r="AH19" s="88" t="str">
        <f t="shared" si="3"/>
        <v>No</v>
      </c>
      <c r="AI19" s="88" t="str">
        <f t="shared" si="3"/>
        <v>No</v>
      </c>
      <c r="AJ19" s="88" t="str">
        <f t="shared" si="3"/>
        <v>No</v>
      </c>
      <c r="AK19" s="88" t="str">
        <f t="shared" si="3"/>
        <v>No</v>
      </c>
      <c r="AL19" s="88" t="str">
        <f t="shared" si="3"/>
        <v>Yes</v>
      </c>
      <c r="AM19" s="88" t="str">
        <f t="shared" si="3"/>
        <v>No</v>
      </c>
      <c r="AN19" s="88" t="str">
        <f t="shared" si="3"/>
        <v>No</v>
      </c>
      <c r="AO19" s="91" t="str">
        <f t="shared" si="3"/>
        <v>No</v>
      </c>
      <c r="AP19" s="109" t="s">
        <v>236</v>
      </c>
      <c r="AQ19" s="88">
        <v>19</v>
      </c>
      <c r="AR19" s="88" t="s">
        <v>347</v>
      </c>
      <c r="AS19" s="88" t="s">
        <v>347</v>
      </c>
      <c r="AT19" s="88" t="s">
        <v>347</v>
      </c>
      <c r="AU19" s="88" t="s">
        <v>347</v>
      </c>
      <c r="AV19" s="88" t="s">
        <v>347</v>
      </c>
      <c r="AW19" s="88" t="s">
        <v>347</v>
      </c>
      <c r="AX19" s="88" t="s">
        <v>347</v>
      </c>
      <c r="AY19" s="88" t="s">
        <v>347</v>
      </c>
      <c r="AZ19" s="88" t="s">
        <v>346</v>
      </c>
      <c r="BA19" s="88" t="s">
        <v>347</v>
      </c>
      <c r="BB19" s="88" t="s">
        <v>346</v>
      </c>
      <c r="BC19" s="88" t="s">
        <v>347</v>
      </c>
      <c r="BD19" s="88" t="s">
        <v>347</v>
      </c>
      <c r="BE19" s="88" t="s">
        <v>347</v>
      </c>
      <c r="BF19" s="88" t="s">
        <v>347</v>
      </c>
      <c r="BG19" s="88" t="s">
        <v>347</v>
      </c>
      <c r="BH19" s="88" t="s">
        <v>347</v>
      </c>
      <c r="BI19" s="88" t="s">
        <v>347</v>
      </c>
      <c r="BJ19" s="88" t="s">
        <v>347</v>
      </c>
      <c r="BK19" s="88" t="s">
        <v>347</v>
      </c>
      <c r="BL19" s="88" t="s">
        <v>347</v>
      </c>
      <c r="BM19" s="88" t="s">
        <v>346</v>
      </c>
      <c r="BN19" s="88" t="s">
        <v>347</v>
      </c>
      <c r="BO19" s="88" t="s">
        <v>346</v>
      </c>
      <c r="BP19" s="88" t="s">
        <v>347</v>
      </c>
      <c r="BQ19" s="88" t="s">
        <v>346</v>
      </c>
      <c r="BR19" s="88" t="s">
        <v>346</v>
      </c>
      <c r="BS19" s="88" t="s">
        <v>347</v>
      </c>
      <c r="BT19" s="88" t="s">
        <v>347</v>
      </c>
      <c r="BU19" s="88" t="s">
        <v>347</v>
      </c>
      <c r="BV19" s="88" t="s">
        <v>346</v>
      </c>
      <c r="BW19" s="88" t="s">
        <v>347</v>
      </c>
      <c r="BX19" s="88" t="s">
        <v>347</v>
      </c>
      <c r="BY19" s="88" t="s">
        <v>347</v>
      </c>
      <c r="BZ19" s="91" t="s">
        <v>347</v>
      </c>
    </row>
    <row r="20" spans="1:78" s="2" customFormat="1" x14ac:dyDescent="0.25">
      <c r="A20" s="109" t="s">
        <v>302</v>
      </c>
      <c r="B20" s="88" t="s">
        <v>347</v>
      </c>
      <c r="C20" s="88" t="s">
        <v>346</v>
      </c>
      <c r="D20" s="88" t="s">
        <v>347</v>
      </c>
      <c r="E20" s="88" t="s">
        <v>347</v>
      </c>
      <c r="F20" s="88" t="s">
        <v>346</v>
      </c>
      <c r="G20" s="88" t="s">
        <v>347</v>
      </c>
      <c r="H20" s="88" t="s">
        <v>347</v>
      </c>
      <c r="I20" s="88" t="s">
        <v>347</v>
      </c>
      <c r="J20" s="91" t="s">
        <v>346</v>
      </c>
      <c r="K20" s="109" t="s">
        <v>302</v>
      </c>
      <c r="L20" s="88" t="str">
        <f>LOOKUP($K20,PantheonList!$A$18:$A$139,PantheonList!$B$18:$B$139)</f>
        <v>Awareness</v>
      </c>
      <c r="M20" s="88" t="str">
        <f>LOOKUP($K20,PantheonList!$A$18:$A$139,PantheonList!$C$18:$C$139)</f>
        <v>Empathy</v>
      </c>
      <c r="N20" s="88" t="str">
        <f>LOOKUP($K20,PantheonList!$A$18:$A$139,PantheonList!$D$18:$D$139)</f>
        <v>Investigation</v>
      </c>
      <c r="O20" s="88" t="str">
        <f>LOOKUP($K20,PantheonList!$A$18:$A$139,PantheonList!$E$18:$E$139)</f>
        <v>Larceny</v>
      </c>
      <c r="P20" s="88" t="str">
        <f>LOOKUP($K20,PantheonList!$A$18:$A$139,PantheonList!$F$18:$F$139)</f>
        <v>Stealth</v>
      </c>
      <c r="Q20" s="88" t="str">
        <f>LOOKUP($K20,PantheonList!$A$18:$A$139,PantheonList!$G$18:$G$139)</f>
        <v>Survival</v>
      </c>
      <c r="R20" s="88" t="str">
        <f t="shared" si="2"/>
        <v>No</v>
      </c>
      <c r="S20" s="88" t="str">
        <f t="shared" si="2"/>
        <v>No</v>
      </c>
      <c r="T20" s="88" t="str">
        <f t="shared" si="2"/>
        <v>No</v>
      </c>
      <c r="U20" s="88" t="str">
        <f t="shared" si="2"/>
        <v>No</v>
      </c>
      <c r="V20" s="88" t="str">
        <f t="shared" si="2"/>
        <v>Yes</v>
      </c>
      <c r="W20" s="88" t="str">
        <f t="shared" si="2"/>
        <v>No</v>
      </c>
      <c r="X20" s="88" t="str">
        <f t="shared" si="2"/>
        <v>No</v>
      </c>
      <c r="Y20" s="88" t="str">
        <f t="shared" si="2"/>
        <v>No</v>
      </c>
      <c r="Z20" s="88" t="str">
        <f t="shared" si="2"/>
        <v>No</v>
      </c>
      <c r="AA20" s="88" t="str">
        <f t="shared" si="2"/>
        <v>Yes</v>
      </c>
      <c r="AB20" s="88" t="str">
        <f t="shared" si="3"/>
        <v>No</v>
      </c>
      <c r="AC20" s="88" t="str">
        <f t="shared" si="3"/>
        <v>No</v>
      </c>
      <c r="AD20" s="88" t="str">
        <f t="shared" si="3"/>
        <v>Yes</v>
      </c>
      <c r="AE20" s="88" t="str">
        <f t="shared" si="3"/>
        <v>Yes</v>
      </c>
      <c r="AF20" s="88" t="str">
        <f t="shared" si="3"/>
        <v>No</v>
      </c>
      <c r="AG20" s="88" t="str">
        <f t="shared" si="3"/>
        <v>No</v>
      </c>
      <c r="AH20" s="88" t="str">
        <f t="shared" si="3"/>
        <v>No</v>
      </c>
      <c r="AI20" s="88" t="str">
        <f t="shared" si="3"/>
        <v>No</v>
      </c>
      <c r="AJ20" s="88" t="str">
        <f t="shared" si="3"/>
        <v>No</v>
      </c>
      <c r="AK20" s="88" t="str">
        <f t="shared" si="3"/>
        <v>No</v>
      </c>
      <c r="AL20" s="88" t="str">
        <f t="shared" si="3"/>
        <v>No</v>
      </c>
      <c r="AM20" s="88" t="str">
        <f t="shared" si="3"/>
        <v>Yes</v>
      </c>
      <c r="AN20" s="88" t="str">
        <f t="shared" si="3"/>
        <v>Yes</v>
      </c>
      <c r="AO20" s="91" t="str">
        <f t="shared" si="3"/>
        <v>No</v>
      </c>
      <c r="AP20" s="109" t="s">
        <v>302</v>
      </c>
      <c r="AQ20" s="88">
        <v>20</v>
      </c>
      <c r="AR20" s="88" t="s">
        <v>346</v>
      </c>
      <c r="AS20" s="88" t="s">
        <v>347</v>
      </c>
      <c r="AT20" s="88" t="s">
        <v>347</v>
      </c>
      <c r="AU20" s="88" t="s">
        <v>346</v>
      </c>
      <c r="AV20" s="88" t="s">
        <v>347</v>
      </c>
      <c r="AW20" s="88" t="s">
        <v>347</v>
      </c>
      <c r="AX20" s="88" t="s">
        <v>347</v>
      </c>
      <c r="AY20" s="88" t="s">
        <v>347</v>
      </c>
      <c r="AZ20" s="88" t="s">
        <v>347</v>
      </c>
      <c r="BA20" s="88" t="s">
        <v>347</v>
      </c>
      <c r="BB20" s="88" t="s">
        <v>347</v>
      </c>
      <c r="BC20" s="88" t="s">
        <v>347</v>
      </c>
      <c r="BD20" s="88" t="s">
        <v>347</v>
      </c>
      <c r="BE20" s="88" t="s">
        <v>347</v>
      </c>
      <c r="BF20" s="88" t="s">
        <v>347</v>
      </c>
      <c r="BG20" s="88" t="s">
        <v>347</v>
      </c>
      <c r="BH20" s="88" t="s">
        <v>347</v>
      </c>
      <c r="BI20" s="88" t="s">
        <v>346</v>
      </c>
      <c r="BJ20" s="88" t="s">
        <v>347</v>
      </c>
      <c r="BK20" s="88" t="s">
        <v>347</v>
      </c>
      <c r="BL20" s="88" t="s">
        <v>347</v>
      </c>
      <c r="BM20" s="88" t="s">
        <v>347</v>
      </c>
      <c r="BN20" s="88" t="s">
        <v>347</v>
      </c>
      <c r="BO20" s="88" t="s">
        <v>347</v>
      </c>
      <c r="BP20" s="88" t="s">
        <v>347</v>
      </c>
      <c r="BQ20" s="88" t="s">
        <v>347</v>
      </c>
      <c r="BR20" s="88" t="s">
        <v>347</v>
      </c>
      <c r="BS20" s="88" t="s">
        <v>347</v>
      </c>
      <c r="BT20" s="88" t="s">
        <v>347</v>
      </c>
      <c r="BU20" s="88" t="s">
        <v>347</v>
      </c>
      <c r="BV20" s="88" t="s">
        <v>347</v>
      </c>
      <c r="BW20" s="88" t="s">
        <v>347</v>
      </c>
      <c r="BX20" s="88" t="s">
        <v>347</v>
      </c>
      <c r="BY20" s="88" t="s">
        <v>347</v>
      </c>
      <c r="BZ20" s="91" t="s">
        <v>347</v>
      </c>
    </row>
    <row r="21" spans="1:78" s="2" customFormat="1" x14ac:dyDescent="0.25">
      <c r="A21" s="109" t="s">
        <v>282</v>
      </c>
      <c r="B21" s="88" t="s">
        <v>346</v>
      </c>
      <c r="C21" s="88" t="s">
        <v>347</v>
      </c>
      <c r="D21" s="88" t="s">
        <v>346</v>
      </c>
      <c r="E21" s="88" t="s">
        <v>347</v>
      </c>
      <c r="F21" s="88" t="s">
        <v>347</v>
      </c>
      <c r="G21" s="88" t="s">
        <v>347</v>
      </c>
      <c r="H21" s="88" t="s">
        <v>347</v>
      </c>
      <c r="I21" s="88" t="s">
        <v>347</v>
      </c>
      <c r="J21" s="91" t="s">
        <v>347</v>
      </c>
      <c r="K21" s="109" t="s">
        <v>282</v>
      </c>
      <c r="L21" s="88" t="str">
        <f>LOOKUP($K21,PantheonList!$A$18:$A$139,PantheonList!$B$18:$B$139)</f>
        <v>Art</v>
      </c>
      <c r="M21" s="88" t="str">
        <f>LOOKUP($K21,PantheonList!$A$18:$A$139,PantheonList!$C$18:$C$139)</f>
        <v>Craft</v>
      </c>
      <c r="N21" s="88" t="str">
        <f>LOOKUP($K21,PantheonList!$A$18:$A$139,PantheonList!$D$18:$D$139)</f>
        <v>Empathy</v>
      </c>
      <c r="O21" s="88" t="str">
        <f>LOOKUP($K21,PantheonList!$A$18:$A$139,PantheonList!$E$18:$E$139)</f>
        <v>Integrity</v>
      </c>
      <c r="P21" s="88" t="str">
        <f>LOOKUP($K21,PantheonList!$A$18:$A$139,PantheonList!$F$18:$F$139)</f>
        <v>Medicine</v>
      </c>
      <c r="Q21" s="88" t="str">
        <f>LOOKUP($K21,PantheonList!$A$18:$A$139,PantheonList!$G$18:$G$139)</f>
        <v>Melee</v>
      </c>
      <c r="R21" s="88" t="str">
        <f t="shared" si="2"/>
        <v>No</v>
      </c>
      <c r="S21" s="88" t="str">
        <f t="shared" si="2"/>
        <v>No</v>
      </c>
      <c r="T21" s="88" t="str">
        <f t="shared" si="2"/>
        <v>Yes</v>
      </c>
      <c r="U21" s="88" t="str">
        <f t="shared" si="2"/>
        <v>No</v>
      </c>
      <c r="V21" s="88" t="str">
        <f t="shared" si="2"/>
        <v>No</v>
      </c>
      <c r="W21" s="88" t="str">
        <f t="shared" si="2"/>
        <v>No</v>
      </c>
      <c r="X21" s="88" t="str">
        <f t="shared" si="2"/>
        <v>No</v>
      </c>
      <c r="Y21" s="88" t="str">
        <f t="shared" si="2"/>
        <v>No</v>
      </c>
      <c r="Z21" s="88" t="str">
        <f t="shared" si="2"/>
        <v>Yes</v>
      </c>
      <c r="AA21" s="88" t="str">
        <f t="shared" si="2"/>
        <v>Yes</v>
      </c>
      <c r="AB21" s="88" t="str">
        <f t="shared" si="3"/>
        <v>No</v>
      </c>
      <c r="AC21" s="88" t="str">
        <f t="shared" si="3"/>
        <v>Yes</v>
      </c>
      <c r="AD21" s="88" t="str">
        <f t="shared" si="3"/>
        <v>No</v>
      </c>
      <c r="AE21" s="88" t="str">
        <f t="shared" si="3"/>
        <v>No</v>
      </c>
      <c r="AF21" s="88" t="str">
        <f t="shared" si="3"/>
        <v>No</v>
      </c>
      <c r="AG21" s="88" t="str">
        <f t="shared" si="3"/>
        <v>Yes</v>
      </c>
      <c r="AH21" s="88" t="str">
        <f t="shared" si="3"/>
        <v>Yes</v>
      </c>
      <c r="AI21" s="88" t="str">
        <f t="shared" si="3"/>
        <v>No</v>
      </c>
      <c r="AJ21" s="88" t="str">
        <f t="shared" si="3"/>
        <v>No</v>
      </c>
      <c r="AK21" s="88" t="str">
        <f t="shared" si="3"/>
        <v>No</v>
      </c>
      <c r="AL21" s="88" t="str">
        <f t="shared" si="3"/>
        <v>No</v>
      </c>
      <c r="AM21" s="88" t="str">
        <f t="shared" si="3"/>
        <v>No</v>
      </c>
      <c r="AN21" s="88" t="str">
        <f t="shared" si="3"/>
        <v>No</v>
      </c>
      <c r="AO21" s="91" t="str">
        <f t="shared" si="3"/>
        <v>No</v>
      </c>
      <c r="AP21" s="109" t="s">
        <v>282</v>
      </c>
      <c r="AQ21" s="88">
        <v>21</v>
      </c>
      <c r="AR21" s="88" t="s">
        <v>346</v>
      </c>
      <c r="AS21" s="88" t="s">
        <v>347</v>
      </c>
      <c r="AT21" s="88" t="s">
        <v>347</v>
      </c>
      <c r="AU21" s="88" t="s">
        <v>347</v>
      </c>
      <c r="AV21" s="88" t="s">
        <v>347</v>
      </c>
      <c r="AW21" s="88" t="s">
        <v>347</v>
      </c>
      <c r="AX21" s="88" t="s">
        <v>347</v>
      </c>
      <c r="AY21" s="88" t="s">
        <v>347</v>
      </c>
      <c r="AZ21" s="88" t="s">
        <v>347</v>
      </c>
      <c r="BA21" s="88" t="s">
        <v>346</v>
      </c>
      <c r="BB21" s="88" t="s">
        <v>347</v>
      </c>
      <c r="BC21" s="88" t="s">
        <v>346</v>
      </c>
      <c r="BD21" s="88" t="s">
        <v>347</v>
      </c>
      <c r="BE21" s="88" t="s">
        <v>347</v>
      </c>
      <c r="BF21" s="88" t="s">
        <v>346</v>
      </c>
      <c r="BG21" s="88" t="s">
        <v>347</v>
      </c>
      <c r="BH21" s="88" t="s">
        <v>347</v>
      </c>
      <c r="BI21" s="88" t="s">
        <v>347</v>
      </c>
      <c r="BJ21" s="88" t="s">
        <v>347</v>
      </c>
      <c r="BK21" s="88" t="s">
        <v>347</v>
      </c>
      <c r="BL21" s="88" t="s">
        <v>347</v>
      </c>
      <c r="BM21" s="88" t="s">
        <v>347</v>
      </c>
      <c r="BN21" s="88" t="s">
        <v>347</v>
      </c>
      <c r="BO21" s="88" t="s">
        <v>347</v>
      </c>
      <c r="BP21" s="88" t="s">
        <v>347</v>
      </c>
      <c r="BQ21" s="88" t="s">
        <v>347</v>
      </c>
      <c r="BR21" s="88" t="s">
        <v>347</v>
      </c>
      <c r="BS21" s="88" t="s">
        <v>347</v>
      </c>
      <c r="BT21" s="88" t="s">
        <v>347</v>
      </c>
      <c r="BU21" s="88" t="s">
        <v>347</v>
      </c>
      <c r="BV21" s="88" t="s">
        <v>347</v>
      </c>
      <c r="BW21" s="88" t="s">
        <v>347</v>
      </c>
      <c r="BX21" s="88" t="s">
        <v>347</v>
      </c>
      <c r="BY21" s="88" t="s">
        <v>347</v>
      </c>
      <c r="BZ21" s="91" t="s">
        <v>346</v>
      </c>
    </row>
    <row r="22" spans="1:78" s="2" customFormat="1" x14ac:dyDescent="0.25">
      <c r="A22" s="109" t="s">
        <v>252</v>
      </c>
      <c r="B22" s="88" t="s">
        <v>347</v>
      </c>
      <c r="C22" s="88" t="s">
        <v>347</v>
      </c>
      <c r="D22" s="88" t="s">
        <v>347</v>
      </c>
      <c r="E22" s="88" t="s">
        <v>347</v>
      </c>
      <c r="F22" s="88" t="s">
        <v>346</v>
      </c>
      <c r="G22" s="88" t="s">
        <v>346</v>
      </c>
      <c r="H22" s="88" t="s">
        <v>347</v>
      </c>
      <c r="I22" s="88" t="s">
        <v>347</v>
      </c>
      <c r="J22" s="91" t="s">
        <v>347</v>
      </c>
      <c r="K22" s="109" t="s">
        <v>252</v>
      </c>
      <c r="L22" s="88" t="str">
        <f>LOOKUP($K22,PantheonList!$A$18:$A$139,PantheonList!$B$18:$B$139)</f>
        <v>Command</v>
      </c>
      <c r="M22" s="88" t="str">
        <f>LOOKUP($K22,PantheonList!$A$18:$A$139,PantheonList!$C$18:$C$139)</f>
        <v>Integrity</v>
      </c>
      <c r="N22" s="88" t="str">
        <f>LOOKUP($K22,PantheonList!$A$18:$A$139,PantheonList!$D$18:$D$139)</f>
        <v>Investigation</v>
      </c>
      <c r="O22" s="88" t="str">
        <f>LOOKUP($K22,PantheonList!$A$18:$A$139,PantheonList!$E$18:$E$139)</f>
        <v>Larceny</v>
      </c>
      <c r="P22" s="88" t="str">
        <f>LOOKUP($K22,PantheonList!$A$18:$A$139,PantheonList!$F$18:$F$139)</f>
        <v>Politics</v>
      </c>
      <c r="Q22" s="88" t="str">
        <f>LOOKUP($K22,PantheonList!$A$18:$A$139,PantheonList!$G$18:$G$139)</f>
        <v>Presence</v>
      </c>
      <c r="R22" s="88" t="str">
        <f t="shared" ref="R22:AA31" si="4">IF(OR($Q22=R$1,$P22=R$1,$O22=R$1,$N22=R$1,$M22=R$1,$L22=R$1),"Yes","No")</f>
        <v>No</v>
      </c>
      <c r="S22" s="88" t="str">
        <f t="shared" si="4"/>
        <v>No</v>
      </c>
      <c r="T22" s="88" t="str">
        <f t="shared" si="4"/>
        <v>No</v>
      </c>
      <c r="U22" s="88" t="str">
        <f t="shared" si="4"/>
        <v>No</v>
      </c>
      <c r="V22" s="88" t="str">
        <f t="shared" si="4"/>
        <v>No</v>
      </c>
      <c r="W22" s="88" t="str">
        <f t="shared" si="4"/>
        <v>No</v>
      </c>
      <c r="X22" s="88" t="str">
        <f t="shared" si="4"/>
        <v>Yes</v>
      </c>
      <c r="Y22" s="88" t="str">
        <f t="shared" si="4"/>
        <v>No</v>
      </c>
      <c r="Z22" s="88" t="str">
        <f t="shared" si="4"/>
        <v>No</v>
      </c>
      <c r="AA22" s="88" t="str">
        <f t="shared" si="4"/>
        <v>No</v>
      </c>
      <c r="AB22" s="88" t="str">
        <f t="shared" ref="AB22:AO31" si="5">IF(OR($Q22=AB$1,$P22=AB$1,$O22=AB$1,$N22=AB$1,$M22=AB$1,$L22=AB$1),"Yes","No")</f>
        <v>No</v>
      </c>
      <c r="AC22" s="88" t="str">
        <f t="shared" si="5"/>
        <v>Yes</v>
      </c>
      <c r="AD22" s="88" t="str">
        <f t="shared" si="5"/>
        <v>Yes</v>
      </c>
      <c r="AE22" s="88" t="str">
        <f t="shared" si="5"/>
        <v>Yes</v>
      </c>
      <c r="AF22" s="88" t="str">
        <f t="shared" si="5"/>
        <v>No</v>
      </c>
      <c r="AG22" s="88" t="str">
        <f t="shared" si="5"/>
        <v>No</v>
      </c>
      <c r="AH22" s="88" t="str">
        <f t="shared" si="5"/>
        <v>No</v>
      </c>
      <c r="AI22" s="88" t="str">
        <f t="shared" si="5"/>
        <v>No</v>
      </c>
      <c r="AJ22" s="88" t="str">
        <f t="shared" si="5"/>
        <v>Yes</v>
      </c>
      <c r="AK22" s="88" t="str">
        <f t="shared" si="5"/>
        <v>Yes</v>
      </c>
      <c r="AL22" s="88" t="str">
        <f t="shared" si="5"/>
        <v>No</v>
      </c>
      <c r="AM22" s="88" t="str">
        <f t="shared" si="5"/>
        <v>No</v>
      </c>
      <c r="AN22" s="88" t="str">
        <f t="shared" si="5"/>
        <v>No</v>
      </c>
      <c r="AO22" s="91" t="str">
        <f t="shared" si="5"/>
        <v>No</v>
      </c>
      <c r="AP22" s="109" t="s">
        <v>252</v>
      </c>
      <c r="AQ22" s="88">
        <v>22</v>
      </c>
      <c r="AR22" s="88" t="s">
        <v>347</v>
      </c>
      <c r="AS22" s="88" t="s">
        <v>346</v>
      </c>
      <c r="AT22" s="88" t="s">
        <v>347</v>
      </c>
      <c r="AU22" s="88" t="s">
        <v>346</v>
      </c>
      <c r="AV22" s="88" t="s">
        <v>347</v>
      </c>
      <c r="AW22" s="88" t="s">
        <v>347</v>
      </c>
      <c r="AX22" s="88" t="s">
        <v>347</v>
      </c>
      <c r="AY22" s="88" t="s">
        <v>347</v>
      </c>
      <c r="AZ22" s="88" t="s">
        <v>347</v>
      </c>
      <c r="BA22" s="88" t="s">
        <v>347</v>
      </c>
      <c r="BB22" s="88" t="s">
        <v>347</v>
      </c>
      <c r="BC22" s="88" t="s">
        <v>347</v>
      </c>
      <c r="BD22" s="88" t="s">
        <v>347</v>
      </c>
      <c r="BE22" s="88" t="s">
        <v>347</v>
      </c>
      <c r="BF22" s="88" t="s">
        <v>347</v>
      </c>
      <c r="BG22" s="88" t="s">
        <v>347</v>
      </c>
      <c r="BH22" s="88" t="s">
        <v>347</v>
      </c>
      <c r="BI22" s="88" t="s">
        <v>347</v>
      </c>
      <c r="BJ22" s="88" t="s">
        <v>347</v>
      </c>
      <c r="BK22" s="88" t="s">
        <v>347</v>
      </c>
      <c r="BL22" s="88" t="s">
        <v>347</v>
      </c>
      <c r="BM22" s="88" t="s">
        <v>346</v>
      </c>
      <c r="BN22" s="88" t="s">
        <v>347</v>
      </c>
      <c r="BO22" s="88" t="s">
        <v>347</v>
      </c>
      <c r="BP22" s="88" t="s">
        <v>347</v>
      </c>
      <c r="BQ22" s="88" t="s">
        <v>347</v>
      </c>
      <c r="BR22" s="88" t="s">
        <v>347</v>
      </c>
      <c r="BS22" s="88" t="s">
        <v>347</v>
      </c>
      <c r="BT22" s="88" t="s">
        <v>347</v>
      </c>
      <c r="BU22" s="88" t="s">
        <v>347</v>
      </c>
      <c r="BV22" s="88" t="s">
        <v>347</v>
      </c>
      <c r="BW22" s="88" t="s">
        <v>347</v>
      </c>
      <c r="BX22" s="88" t="s">
        <v>347</v>
      </c>
      <c r="BY22" s="88" t="s">
        <v>347</v>
      </c>
      <c r="BZ22" s="91" t="s">
        <v>347</v>
      </c>
    </row>
    <row r="23" spans="1:78" s="2" customFormat="1" x14ac:dyDescent="0.25">
      <c r="A23" s="109" t="s">
        <v>222</v>
      </c>
      <c r="B23" s="88" t="s">
        <v>347</v>
      </c>
      <c r="C23" s="88" t="s">
        <v>347</v>
      </c>
      <c r="D23" s="88" t="s">
        <v>347</v>
      </c>
      <c r="E23" s="88" t="s">
        <v>347</v>
      </c>
      <c r="F23" s="88" t="s">
        <v>347</v>
      </c>
      <c r="G23" s="88" t="s">
        <v>346</v>
      </c>
      <c r="H23" s="88" t="s">
        <v>347</v>
      </c>
      <c r="I23" s="88" t="s">
        <v>347</v>
      </c>
      <c r="J23" s="91" t="s">
        <v>346</v>
      </c>
      <c r="K23" s="109" t="s">
        <v>222</v>
      </c>
      <c r="L23" s="88" t="str">
        <f>LOOKUP($K23,PantheonList!$A$18:$A$139,PantheonList!$B$18:$B$139)</f>
        <v>Awareness</v>
      </c>
      <c r="M23" s="88" t="str">
        <f>LOOKUP($K23,PantheonList!$A$18:$A$139,PantheonList!$C$18:$C$139)</f>
        <v>Empathy</v>
      </c>
      <c r="N23" s="88" t="str">
        <f>LOOKUP($K23,PantheonList!$A$18:$A$139,PantheonList!$D$18:$D$139)</f>
        <v>Integrity</v>
      </c>
      <c r="O23" s="88" t="str">
        <f>LOOKUP($K23,PantheonList!$A$18:$A$139,PantheonList!$E$18:$E$139)</f>
        <v>Investigation</v>
      </c>
      <c r="P23" s="88" t="str">
        <f>LOOKUP($K23,PantheonList!$A$18:$A$139,PantheonList!$F$18:$F$139)</f>
        <v>Larceny</v>
      </c>
      <c r="Q23" s="88" t="str">
        <f>LOOKUP($K23,PantheonList!$A$18:$A$139,PantheonList!$G$18:$G$139)</f>
        <v>Presence</v>
      </c>
      <c r="R23" s="88" t="str">
        <f t="shared" si="4"/>
        <v>No</v>
      </c>
      <c r="S23" s="88" t="str">
        <f t="shared" si="4"/>
        <v>No</v>
      </c>
      <c r="T23" s="88" t="str">
        <f t="shared" si="4"/>
        <v>No</v>
      </c>
      <c r="U23" s="88" t="str">
        <f t="shared" si="4"/>
        <v>No</v>
      </c>
      <c r="V23" s="88" t="str">
        <f t="shared" si="4"/>
        <v>Yes</v>
      </c>
      <c r="W23" s="88" t="str">
        <f t="shared" si="4"/>
        <v>No</v>
      </c>
      <c r="X23" s="88" t="str">
        <f t="shared" si="4"/>
        <v>No</v>
      </c>
      <c r="Y23" s="88" t="str">
        <f t="shared" si="4"/>
        <v>No</v>
      </c>
      <c r="Z23" s="88" t="str">
        <f t="shared" si="4"/>
        <v>No</v>
      </c>
      <c r="AA23" s="88" t="str">
        <f t="shared" si="4"/>
        <v>Yes</v>
      </c>
      <c r="AB23" s="88" t="str">
        <f t="shared" si="5"/>
        <v>No</v>
      </c>
      <c r="AC23" s="88" t="str">
        <f t="shared" si="5"/>
        <v>Yes</v>
      </c>
      <c r="AD23" s="88" t="str">
        <f t="shared" si="5"/>
        <v>Yes</v>
      </c>
      <c r="AE23" s="88" t="str">
        <f t="shared" si="5"/>
        <v>Yes</v>
      </c>
      <c r="AF23" s="88" t="str">
        <f t="shared" si="5"/>
        <v>No</v>
      </c>
      <c r="AG23" s="88" t="str">
        <f t="shared" si="5"/>
        <v>No</v>
      </c>
      <c r="AH23" s="88" t="str">
        <f t="shared" si="5"/>
        <v>No</v>
      </c>
      <c r="AI23" s="88" t="str">
        <f t="shared" si="5"/>
        <v>No</v>
      </c>
      <c r="AJ23" s="88" t="str">
        <f t="shared" si="5"/>
        <v>No</v>
      </c>
      <c r="AK23" s="88" t="str">
        <f t="shared" si="5"/>
        <v>Yes</v>
      </c>
      <c r="AL23" s="88" t="str">
        <f t="shared" si="5"/>
        <v>No</v>
      </c>
      <c r="AM23" s="88" t="str">
        <f t="shared" si="5"/>
        <v>No</v>
      </c>
      <c r="AN23" s="88" t="str">
        <f t="shared" si="5"/>
        <v>No</v>
      </c>
      <c r="AO23" s="91" t="str">
        <f t="shared" si="5"/>
        <v>No</v>
      </c>
      <c r="AP23" s="109" t="s">
        <v>222</v>
      </c>
      <c r="AQ23" s="88">
        <v>23</v>
      </c>
      <c r="AR23" s="88" t="s">
        <v>347</v>
      </c>
      <c r="AS23" s="88" t="s">
        <v>347</v>
      </c>
      <c r="AT23" s="88" t="s">
        <v>347</v>
      </c>
      <c r="AU23" s="88" t="s">
        <v>347</v>
      </c>
      <c r="AV23" s="88" t="s">
        <v>347</v>
      </c>
      <c r="AW23" s="88" t="s">
        <v>347</v>
      </c>
      <c r="AX23" s="88" t="s">
        <v>347</v>
      </c>
      <c r="AY23" s="88" t="s">
        <v>347</v>
      </c>
      <c r="AZ23" s="88" t="s">
        <v>347</v>
      </c>
      <c r="BA23" s="88" t="s">
        <v>347</v>
      </c>
      <c r="BB23" s="88" t="s">
        <v>347</v>
      </c>
      <c r="BC23" s="88" t="s">
        <v>347</v>
      </c>
      <c r="BD23" s="88" t="s">
        <v>346</v>
      </c>
      <c r="BE23" s="88" t="s">
        <v>347</v>
      </c>
      <c r="BF23" s="88" t="s">
        <v>347</v>
      </c>
      <c r="BG23" s="88" t="s">
        <v>347</v>
      </c>
      <c r="BH23" s="88" t="s">
        <v>347</v>
      </c>
      <c r="BI23" s="88" t="s">
        <v>347</v>
      </c>
      <c r="BJ23" s="88" t="s">
        <v>347</v>
      </c>
      <c r="BK23" s="88" t="s">
        <v>347</v>
      </c>
      <c r="BL23" s="88" t="s">
        <v>347</v>
      </c>
      <c r="BM23" s="88" t="s">
        <v>347</v>
      </c>
      <c r="BN23" s="88" t="s">
        <v>346</v>
      </c>
      <c r="BO23" s="88" t="s">
        <v>347</v>
      </c>
      <c r="BP23" s="88" t="s">
        <v>347</v>
      </c>
      <c r="BQ23" s="88" t="s">
        <v>347</v>
      </c>
      <c r="BR23" s="88" t="s">
        <v>347</v>
      </c>
      <c r="BS23" s="88" t="s">
        <v>347</v>
      </c>
      <c r="BT23" s="88" t="s">
        <v>347</v>
      </c>
      <c r="BU23" s="88" t="s">
        <v>347</v>
      </c>
      <c r="BV23" s="88" t="s">
        <v>347</v>
      </c>
      <c r="BW23" s="88" t="s">
        <v>346</v>
      </c>
      <c r="BX23" s="88" t="s">
        <v>347</v>
      </c>
      <c r="BY23" s="88" t="s">
        <v>347</v>
      </c>
      <c r="BZ23" s="91" t="s">
        <v>347</v>
      </c>
    </row>
    <row r="24" spans="1:78" s="2" customFormat="1" x14ac:dyDescent="0.25">
      <c r="A24" s="109" t="s">
        <v>303</v>
      </c>
      <c r="B24" s="88" t="s">
        <v>347</v>
      </c>
      <c r="C24" s="88" t="s">
        <v>347</v>
      </c>
      <c r="D24" s="88" t="s">
        <v>347</v>
      </c>
      <c r="E24" s="88" t="s">
        <v>346</v>
      </c>
      <c r="F24" s="88" t="s">
        <v>347</v>
      </c>
      <c r="G24" s="88" t="s">
        <v>347</v>
      </c>
      <c r="H24" s="88" t="s">
        <v>346</v>
      </c>
      <c r="I24" s="88" t="s">
        <v>347</v>
      </c>
      <c r="J24" s="91" t="s">
        <v>347</v>
      </c>
      <c r="K24" s="109" t="s">
        <v>303</v>
      </c>
      <c r="L24" s="88" t="str">
        <f>LOOKUP($K24,PantheonList!$A$18:$A$139,PantheonList!$B$18:$B$139)</f>
        <v>Awareness</v>
      </c>
      <c r="M24" s="88" t="str">
        <f>LOOKUP($K24,PantheonList!$A$18:$A$139,PantheonList!$C$18:$C$139)</f>
        <v>Control</v>
      </c>
      <c r="N24" s="88" t="str">
        <f>LOOKUP($K24,PantheonList!$A$18:$A$139,PantheonList!$D$18:$D$139)</f>
        <v>Fortitude</v>
      </c>
      <c r="O24" s="88" t="str">
        <f>LOOKUP($K24,PantheonList!$A$18:$A$139,PantheonList!$E$18:$E$139)</f>
        <v>Investigation</v>
      </c>
      <c r="P24" s="88" t="str">
        <f>LOOKUP($K24,PantheonList!$A$18:$A$139,PantheonList!$F$18:$F$139)</f>
        <v>Science</v>
      </c>
      <c r="Q24" s="88" t="str">
        <f>LOOKUP($K24,PantheonList!$A$18:$A$139,PantheonList!$G$18:$G$139)</f>
        <v>Survival</v>
      </c>
      <c r="R24" s="88" t="str">
        <f t="shared" si="4"/>
        <v>No</v>
      </c>
      <c r="S24" s="88" t="str">
        <f t="shared" si="4"/>
        <v>No</v>
      </c>
      <c r="T24" s="88" t="str">
        <f t="shared" si="4"/>
        <v>No</v>
      </c>
      <c r="U24" s="88" t="str">
        <f t="shared" si="4"/>
        <v>No</v>
      </c>
      <c r="V24" s="88" t="str">
        <f t="shared" si="4"/>
        <v>Yes</v>
      </c>
      <c r="W24" s="88" t="str">
        <f t="shared" si="4"/>
        <v>No</v>
      </c>
      <c r="X24" s="88" t="str">
        <f t="shared" si="4"/>
        <v>No</v>
      </c>
      <c r="Y24" s="88" t="str">
        <f t="shared" si="4"/>
        <v>Yes</v>
      </c>
      <c r="Z24" s="88" t="str">
        <f t="shared" si="4"/>
        <v>No</v>
      </c>
      <c r="AA24" s="88" t="str">
        <f t="shared" si="4"/>
        <v>No</v>
      </c>
      <c r="AB24" s="88" t="str">
        <f t="shared" si="5"/>
        <v>Yes</v>
      </c>
      <c r="AC24" s="88" t="str">
        <f t="shared" si="5"/>
        <v>No</v>
      </c>
      <c r="AD24" s="88" t="str">
        <f t="shared" si="5"/>
        <v>Yes</v>
      </c>
      <c r="AE24" s="88" t="str">
        <f t="shared" si="5"/>
        <v>No</v>
      </c>
      <c r="AF24" s="88" t="str">
        <f t="shared" si="5"/>
        <v>No</v>
      </c>
      <c r="AG24" s="88" t="str">
        <f t="shared" si="5"/>
        <v>No</v>
      </c>
      <c r="AH24" s="88" t="str">
        <f t="shared" si="5"/>
        <v>No</v>
      </c>
      <c r="AI24" s="88" t="str">
        <f t="shared" si="5"/>
        <v>No</v>
      </c>
      <c r="AJ24" s="88" t="str">
        <f t="shared" si="5"/>
        <v>No</v>
      </c>
      <c r="AK24" s="88" t="str">
        <f t="shared" si="5"/>
        <v>No</v>
      </c>
      <c r="AL24" s="88" t="str">
        <f t="shared" si="5"/>
        <v>Yes</v>
      </c>
      <c r="AM24" s="88" t="str">
        <f t="shared" si="5"/>
        <v>No</v>
      </c>
      <c r="AN24" s="88" t="str">
        <f t="shared" si="5"/>
        <v>Yes</v>
      </c>
      <c r="AO24" s="91" t="str">
        <f t="shared" si="5"/>
        <v>No</v>
      </c>
      <c r="AP24" s="109" t="s">
        <v>303</v>
      </c>
      <c r="AQ24" s="88">
        <v>24</v>
      </c>
      <c r="AR24" s="88" t="s">
        <v>347</v>
      </c>
      <c r="AS24" s="88" t="s">
        <v>347</v>
      </c>
      <c r="AT24" s="88" t="s">
        <v>347</v>
      </c>
      <c r="AU24" s="88" t="s">
        <v>347</v>
      </c>
      <c r="AV24" s="88" t="s">
        <v>347</v>
      </c>
      <c r="AW24" s="88" t="s">
        <v>347</v>
      </c>
      <c r="AX24" s="88" t="s">
        <v>347</v>
      </c>
      <c r="AY24" s="88" t="s">
        <v>347</v>
      </c>
      <c r="AZ24" s="88" t="s">
        <v>347</v>
      </c>
      <c r="BA24" s="88" t="s">
        <v>347</v>
      </c>
      <c r="BB24" s="88" t="s">
        <v>347</v>
      </c>
      <c r="BC24" s="88" t="s">
        <v>347</v>
      </c>
      <c r="BD24" s="88" t="s">
        <v>347</v>
      </c>
      <c r="BE24" s="88" t="s">
        <v>346</v>
      </c>
      <c r="BF24" s="88" t="s">
        <v>347</v>
      </c>
      <c r="BG24" s="88" t="s">
        <v>347</v>
      </c>
      <c r="BH24" s="88" t="s">
        <v>347</v>
      </c>
      <c r="BI24" s="88" t="s">
        <v>346</v>
      </c>
      <c r="BJ24" s="88" t="s">
        <v>347</v>
      </c>
      <c r="BK24" s="88" t="s">
        <v>347</v>
      </c>
      <c r="BL24" s="88" t="s">
        <v>347</v>
      </c>
      <c r="BM24" s="88" t="s">
        <v>347</v>
      </c>
      <c r="BN24" s="88" t="s">
        <v>347</v>
      </c>
      <c r="BO24" s="88" t="s">
        <v>347</v>
      </c>
      <c r="BP24" s="88" t="s">
        <v>347</v>
      </c>
      <c r="BQ24" s="88" t="s">
        <v>346</v>
      </c>
      <c r="BR24" s="88" t="s">
        <v>347</v>
      </c>
      <c r="BS24" s="88" t="s">
        <v>347</v>
      </c>
      <c r="BT24" s="88" t="s">
        <v>347</v>
      </c>
      <c r="BU24" s="88" t="s">
        <v>347</v>
      </c>
      <c r="BV24" s="88" t="s">
        <v>347</v>
      </c>
      <c r="BW24" s="88" t="s">
        <v>347</v>
      </c>
      <c r="BX24" s="88" t="s">
        <v>347</v>
      </c>
      <c r="BY24" s="88" t="s">
        <v>347</v>
      </c>
      <c r="BZ24" s="91" t="s">
        <v>347</v>
      </c>
    </row>
    <row r="25" spans="1:78" s="2" customFormat="1" x14ac:dyDescent="0.25">
      <c r="A25" s="109" t="s">
        <v>688</v>
      </c>
      <c r="B25" s="88" t="s">
        <v>346</v>
      </c>
      <c r="C25" s="88" t="s">
        <v>347</v>
      </c>
      <c r="D25" s="88" t="s">
        <v>346</v>
      </c>
      <c r="E25" s="88" t="s">
        <v>346</v>
      </c>
      <c r="F25" s="88" t="s">
        <v>347</v>
      </c>
      <c r="G25" s="88" t="s">
        <v>347</v>
      </c>
      <c r="H25" s="88" t="s">
        <v>347</v>
      </c>
      <c r="I25" s="88" t="s">
        <v>347</v>
      </c>
      <c r="J25" s="91" t="s">
        <v>347</v>
      </c>
      <c r="K25" s="109" t="s">
        <v>688</v>
      </c>
      <c r="L25" s="88" t="str">
        <f>LOOKUP($K25,PantheonList!$A$18:$A$139,PantheonList!$B$18:$B$139)</f>
        <v>Animal Ken</v>
      </c>
      <c r="M25" s="88" t="str">
        <f>LOOKUP($K25,PantheonList!$A$18:$A$139,PantheonList!$C$18:$C$139)</f>
        <v>Command</v>
      </c>
      <c r="N25" s="88" t="str">
        <f>LOOKUP($K25,PantheonList!$A$18:$A$139,PantheonList!$D$18:$D$139)</f>
        <v>Fortitude</v>
      </c>
      <c r="O25" s="88" t="str">
        <f>LOOKUP($K25,PantheonList!$A$18:$A$139,PantheonList!$E$18:$E$139)</f>
        <v>Melee</v>
      </c>
      <c r="P25" s="88" t="str">
        <f>LOOKUP($K25,PantheonList!$A$18:$A$139,PantheonList!$F$18:$F$139)</f>
        <v>Presence</v>
      </c>
      <c r="Q25" s="88" t="str">
        <f>LOOKUP($K25,PantheonList!$A$18:$A$139,PantheonList!$G$18:$G$139)</f>
        <v>Thrown</v>
      </c>
      <c r="R25" s="88" t="str">
        <f t="shared" si="4"/>
        <v>No</v>
      </c>
      <c r="S25" s="88" t="str">
        <f t="shared" si="4"/>
        <v>Yes</v>
      </c>
      <c r="T25" s="88" t="str">
        <f t="shared" si="4"/>
        <v>No</v>
      </c>
      <c r="U25" s="88" t="str">
        <f t="shared" si="4"/>
        <v>No</v>
      </c>
      <c r="V25" s="88" t="str">
        <f t="shared" si="4"/>
        <v>No</v>
      </c>
      <c r="W25" s="88" t="str">
        <f t="shared" si="4"/>
        <v>No</v>
      </c>
      <c r="X25" s="88" t="str">
        <f t="shared" si="4"/>
        <v>Yes</v>
      </c>
      <c r="Y25" s="88" t="str">
        <f t="shared" si="4"/>
        <v>No</v>
      </c>
      <c r="Z25" s="88" t="str">
        <f t="shared" si="4"/>
        <v>No</v>
      </c>
      <c r="AA25" s="88" t="str">
        <f t="shared" si="4"/>
        <v>No</v>
      </c>
      <c r="AB25" s="88" t="str">
        <f t="shared" si="5"/>
        <v>Yes</v>
      </c>
      <c r="AC25" s="88" t="str">
        <f t="shared" si="5"/>
        <v>No</v>
      </c>
      <c r="AD25" s="88" t="str">
        <f t="shared" si="5"/>
        <v>No</v>
      </c>
      <c r="AE25" s="88" t="str">
        <f t="shared" si="5"/>
        <v>No</v>
      </c>
      <c r="AF25" s="88" t="str">
        <f t="shared" si="5"/>
        <v>No</v>
      </c>
      <c r="AG25" s="88" t="str">
        <f t="shared" si="5"/>
        <v>No</v>
      </c>
      <c r="AH25" s="88" t="str">
        <f t="shared" si="5"/>
        <v>Yes</v>
      </c>
      <c r="AI25" s="88" t="str">
        <f t="shared" si="5"/>
        <v>No</v>
      </c>
      <c r="AJ25" s="88" t="str">
        <f t="shared" si="5"/>
        <v>No</v>
      </c>
      <c r="AK25" s="88" t="str">
        <f t="shared" si="5"/>
        <v>Yes</v>
      </c>
      <c r="AL25" s="88" t="str">
        <f t="shared" si="5"/>
        <v>No</v>
      </c>
      <c r="AM25" s="88" t="str">
        <f t="shared" si="5"/>
        <v>No</v>
      </c>
      <c r="AN25" s="88" t="str">
        <f t="shared" si="5"/>
        <v>No</v>
      </c>
      <c r="AO25" s="91" t="str">
        <f t="shared" si="5"/>
        <v>Yes</v>
      </c>
      <c r="AP25" s="109" t="s">
        <v>688</v>
      </c>
      <c r="AQ25" s="88">
        <v>25</v>
      </c>
      <c r="AR25" s="88" t="s">
        <v>346</v>
      </c>
      <c r="AS25" s="88" t="s">
        <v>347</v>
      </c>
      <c r="AT25" s="88" t="s">
        <v>347</v>
      </c>
      <c r="AU25" s="88" t="s">
        <v>347</v>
      </c>
      <c r="AV25" s="88" t="s">
        <v>347</v>
      </c>
      <c r="AW25" s="88" t="s">
        <v>347</v>
      </c>
      <c r="AX25" s="88" t="s">
        <v>347</v>
      </c>
      <c r="AY25" s="88" t="s">
        <v>347</v>
      </c>
      <c r="AZ25" s="88" t="s">
        <v>347</v>
      </c>
      <c r="BA25" s="88" t="s">
        <v>346</v>
      </c>
      <c r="BB25" s="88" t="s">
        <v>347</v>
      </c>
      <c r="BC25" s="88" t="s">
        <v>347</v>
      </c>
      <c r="BD25" s="88" t="s">
        <v>347</v>
      </c>
      <c r="BE25" s="88" t="s">
        <v>346</v>
      </c>
      <c r="BF25" s="88" t="s">
        <v>347</v>
      </c>
      <c r="BG25" s="88" t="s">
        <v>347</v>
      </c>
      <c r="BH25" s="88" t="s">
        <v>347</v>
      </c>
      <c r="BI25" s="88" t="s">
        <v>347</v>
      </c>
      <c r="BJ25" s="88" t="s">
        <v>347</v>
      </c>
      <c r="BK25" s="88" t="s">
        <v>347</v>
      </c>
      <c r="BL25" s="88" t="s">
        <v>347</v>
      </c>
      <c r="BM25" s="88" t="s">
        <v>347</v>
      </c>
      <c r="BN25" s="88" t="s">
        <v>347</v>
      </c>
      <c r="BO25" s="88" t="s">
        <v>347</v>
      </c>
      <c r="BP25" s="88" t="s">
        <v>347</v>
      </c>
      <c r="BQ25" s="88" t="s">
        <v>347</v>
      </c>
      <c r="BR25" s="88" t="s">
        <v>347</v>
      </c>
      <c r="BS25" s="88" t="s">
        <v>347</v>
      </c>
      <c r="BT25" s="88" t="s">
        <v>347</v>
      </c>
      <c r="BU25" s="88" t="s">
        <v>347</v>
      </c>
      <c r="BV25" s="88" t="s">
        <v>347</v>
      </c>
      <c r="BW25" s="88" t="s">
        <v>347</v>
      </c>
      <c r="BX25" s="88" t="s">
        <v>347</v>
      </c>
      <c r="BY25" s="88" t="s">
        <v>346</v>
      </c>
      <c r="BZ25" s="91" t="s">
        <v>347</v>
      </c>
    </row>
    <row r="26" spans="1:78" s="2" customFormat="1" x14ac:dyDescent="0.25">
      <c r="A26" s="109" t="s">
        <v>263</v>
      </c>
      <c r="B26" s="88" t="s">
        <v>347</v>
      </c>
      <c r="C26" s="88" t="s">
        <v>347</v>
      </c>
      <c r="D26" s="88" t="s">
        <v>347</v>
      </c>
      <c r="E26" s="88" t="s">
        <v>346</v>
      </c>
      <c r="F26" s="88" t="s">
        <v>347</v>
      </c>
      <c r="G26" s="88" t="s">
        <v>347</v>
      </c>
      <c r="H26" s="88" t="s">
        <v>347</v>
      </c>
      <c r="I26" s="88" t="s">
        <v>347</v>
      </c>
      <c r="J26" s="91" t="s">
        <v>347</v>
      </c>
      <c r="K26" s="109" t="s">
        <v>263</v>
      </c>
      <c r="L26" s="88" t="str">
        <f>LOOKUP($K26,PantheonList!$A$18:$A$139,PantheonList!$B$18:$B$139)</f>
        <v>Animal Ken</v>
      </c>
      <c r="M26" s="88" t="str">
        <f>LOOKUP($K26,PantheonList!$A$18:$A$139,PantheonList!$C$18:$C$139)</f>
        <v>Awareness</v>
      </c>
      <c r="N26" s="88" t="str">
        <f>LOOKUP($K26,PantheonList!$A$18:$A$139,PantheonList!$D$18:$D$139)</f>
        <v>Brawl</v>
      </c>
      <c r="O26" s="88" t="str">
        <f>LOOKUP($K26,PantheonList!$A$18:$A$139,PantheonList!$E$18:$E$139)</f>
        <v>Empathy</v>
      </c>
      <c r="P26" s="88" t="str">
        <f>LOOKUP($K26,PantheonList!$A$18:$A$139,PantheonList!$F$18:$F$139)</f>
        <v>Medicine</v>
      </c>
      <c r="Q26" s="88" t="str">
        <f>LOOKUP($K26,PantheonList!$A$18:$A$139,PantheonList!$G$18:$G$139)</f>
        <v>Science</v>
      </c>
      <c r="R26" s="88" t="str">
        <f t="shared" si="4"/>
        <v>No</v>
      </c>
      <c r="S26" s="88" t="str">
        <f t="shared" si="4"/>
        <v>Yes</v>
      </c>
      <c r="T26" s="88" t="str">
        <f t="shared" si="4"/>
        <v>No</v>
      </c>
      <c r="U26" s="88" t="str">
        <f t="shared" si="4"/>
        <v>No</v>
      </c>
      <c r="V26" s="88" t="str">
        <f t="shared" si="4"/>
        <v>Yes</v>
      </c>
      <c r="W26" s="88" t="str">
        <f t="shared" si="4"/>
        <v>Yes</v>
      </c>
      <c r="X26" s="88" t="str">
        <f t="shared" si="4"/>
        <v>No</v>
      </c>
      <c r="Y26" s="88" t="str">
        <f t="shared" si="4"/>
        <v>No</v>
      </c>
      <c r="Z26" s="88" t="str">
        <f t="shared" si="4"/>
        <v>No</v>
      </c>
      <c r="AA26" s="88" t="str">
        <f t="shared" si="4"/>
        <v>Yes</v>
      </c>
      <c r="AB26" s="88" t="str">
        <f t="shared" si="5"/>
        <v>No</v>
      </c>
      <c r="AC26" s="88" t="str">
        <f t="shared" si="5"/>
        <v>No</v>
      </c>
      <c r="AD26" s="88" t="str">
        <f t="shared" si="5"/>
        <v>No</v>
      </c>
      <c r="AE26" s="88" t="str">
        <f t="shared" si="5"/>
        <v>No</v>
      </c>
      <c r="AF26" s="88" t="str">
        <f t="shared" si="5"/>
        <v>No</v>
      </c>
      <c r="AG26" s="88" t="str">
        <f t="shared" si="5"/>
        <v>Yes</v>
      </c>
      <c r="AH26" s="88" t="str">
        <f t="shared" si="5"/>
        <v>No</v>
      </c>
      <c r="AI26" s="88" t="str">
        <f t="shared" si="5"/>
        <v>No</v>
      </c>
      <c r="AJ26" s="88" t="str">
        <f t="shared" si="5"/>
        <v>No</v>
      </c>
      <c r="AK26" s="88" t="str">
        <f t="shared" si="5"/>
        <v>No</v>
      </c>
      <c r="AL26" s="88" t="str">
        <f t="shared" si="5"/>
        <v>Yes</v>
      </c>
      <c r="AM26" s="88" t="str">
        <f t="shared" si="5"/>
        <v>No</v>
      </c>
      <c r="AN26" s="88" t="str">
        <f t="shared" si="5"/>
        <v>No</v>
      </c>
      <c r="AO26" s="91" t="str">
        <f t="shared" si="5"/>
        <v>No</v>
      </c>
      <c r="AP26" s="109" t="s">
        <v>263</v>
      </c>
      <c r="AQ26" s="88">
        <v>26</v>
      </c>
      <c r="AR26" s="88" t="s">
        <v>346</v>
      </c>
      <c r="AS26" s="88" t="s">
        <v>347</v>
      </c>
      <c r="AT26" s="88" t="s">
        <v>347</v>
      </c>
      <c r="AU26" s="88" t="s">
        <v>347</v>
      </c>
      <c r="AV26" s="88" t="s">
        <v>346</v>
      </c>
      <c r="AW26" s="88" t="s">
        <v>347</v>
      </c>
      <c r="AX26" s="88" t="s">
        <v>347</v>
      </c>
      <c r="AY26" s="88" t="s">
        <v>347</v>
      </c>
      <c r="AZ26" s="88" t="s">
        <v>347</v>
      </c>
      <c r="BA26" s="88" t="s">
        <v>347</v>
      </c>
      <c r="BB26" s="88" t="s">
        <v>347</v>
      </c>
      <c r="BC26" s="88" t="s">
        <v>347</v>
      </c>
      <c r="BD26" s="88" t="s">
        <v>347</v>
      </c>
      <c r="BE26" s="88" t="s">
        <v>347</v>
      </c>
      <c r="BF26" s="88" t="s">
        <v>346</v>
      </c>
      <c r="BG26" s="88" t="s">
        <v>347</v>
      </c>
      <c r="BH26" s="88" t="s">
        <v>347</v>
      </c>
      <c r="BI26" s="88" t="s">
        <v>347</v>
      </c>
      <c r="BJ26" s="88" t="s">
        <v>347</v>
      </c>
      <c r="BK26" s="88" t="s">
        <v>347</v>
      </c>
      <c r="BL26" s="88" t="s">
        <v>347</v>
      </c>
      <c r="BM26" s="88" t="s">
        <v>347</v>
      </c>
      <c r="BN26" s="88" t="s">
        <v>347</v>
      </c>
      <c r="BO26" s="88" t="s">
        <v>346</v>
      </c>
      <c r="BP26" s="88" t="s">
        <v>347</v>
      </c>
      <c r="BQ26" s="88" t="s">
        <v>347</v>
      </c>
      <c r="BR26" s="88" t="s">
        <v>347</v>
      </c>
      <c r="BS26" s="88" t="s">
        <v>347</v>
      </c>
      <c r="BT26" s="88" t="s">
        <v>347</v>
      </c>
      <c r="BU26" s="88" t="s">
        <v>347</v>
      </c>
      <c r="BV26" s="88" t="s">
        <v>347</v>
      </c>
      <c r="BW26" s="88" t="s">
        <v>347</v>
      </c>
      <c r="BX26" s="88" t="s">
        <v>347</v>
      </c>
      <c r="BY26" s="88" t="s">
        <v>347</v>
      </c>
      <c r="BZ26" s="91" t="s">
        <v>347</v>
      </c>
    </row>
    <row r="27" spans="1:78" s="2" customFormat="1" x14ac:dyDescent="0.25">
      <c r="A27" s="109" t="s">
        <v>283</v>
      </c>
      <c r="B27" s="88" t="s">
        <v>347</v>
      </c>
      <c r="C27" s="88" t="s">
        <v>347</v>
      </c>
      <c r="D27" s="88" t="s">
        <v>346</v>
      </c>
      <c r="E27" s="88" t="s">
        <v>347</v>
      </c>
      <c r="F27" s="88" t="s">
        <v>347</v>
      </c>
      <c r="G27" s="88" t="s">
        <v>347</v>
      </c>
      <c r="H27" s="88" t="s">
        <v>346</v>
      </c>
      <c r="I27" s="88" t="s">
        <v>347</v>
      </c>
      <c r="J27" s="91" t="s">
        <v>347</v>
      </c>
      <c r="K27" s="109" t="s">
        <v>283</v>
      </c>
      <c r="L27" s="88" t="str">
        <f>LOOKUP($K27,PantheonList!$A$18:$A$139,PantheonList!$B$18:$B$139)</f>
        <v>Animal Ken</v>
      </c>
      <c r="M27" s="88" t="str">
        <f>LOOKUP($K27,PantheonList!$A$18:$A$139,PantheonList!$C$18:$C$139)</f>
        <v>Awareness</v>
      </c>
      <c r="N27" s="88" t="str">
        <f>LOOKUP($K27,PantheonList!$A$18:$A$139,PantheonList!$D$18:$D$139)</f>
        <v>Command</v>
      </c>
      <c r="O27" s="88" t="str">
        <f>LOOKUP($K27,PantheonList!$A$18:$A$139,PantheonList!$E$18:$E$139)</f>
        <v>Empathy</v>
      </c>
      <c r="P27" s="88" t="str">
        <f>LOOKUP($K27,PantheonList!$A$18:$A$139,PantheonList!$F$18:$F$139)</f>
        <v>Fortitude</v>
      </c>
      <c r="Q27" s="88" t="str">
        <f>LOOKUP($K27,PantheonList!$A$18:$A$139,PantheonList!$G$18:$G$139)</f>
        <v>Integrity</v>
      </c>
      <c r="R27" s="88" t="str">
        <f t="shared" si="4"/>
        <v>No</v>
      </c>
      <c r="S27" s="88" t="str">
        <f t="shared" si="4"/>
        <v>Yes</v>
      </c>
      <c r="T27" s="88" t="str">
        <f t="shared" si="4"/>
        <v>No</v>
      </c>
      <c r="U27" s="88" t="str">
        <f t="shared" si="4"/>
        <v>No</v>
      </c>
      <c r="V27" s="88" t="str">
        <f t="shared" si="4"/>
        <v>Yes</v>
      </c>
      <c r="W27" s="88" t="str">
        <f t="shared" si="4"/>
        <v>No</v>
      </c>
      <c r="X27" s="88" t="str">
        <f t="shared" si="4"/>
        <v>Yes</v>
      </c>
      <c r="Y27" s="88" t="str">
        <f t="shared" si="4"/>
        <v>No</v>
      </c>
      <c r="Z27" s="88" t="str">
        <f t="shared" si="4"/>
        <v>No</v>
      </c>
      <c r="AA27" s="88" t="str">
        <f t="shared" si="4"/>
        <v>Yes</v>
      </c>
      <c r="AB27" s="88" t="str">
        <f t="shared" si="5"/>
        <v>Yes</v>
      </c>
      <c r="AC27" s="88" t="str">
        <f t="shared" si="5"/>
        <v>Yes</v>
      </c>
      <c r="AD27" s="88" t="str">
        <f t="shared" si="5"/>
        <v>No</v>
      </c>
      <c r="AE27" s="88" t="str">
        <f t="shared" si="5"/>
        <v>No</v>
      </c>
      <c r="AF27" s="88" t="str">
        <f t="shared" si="5"/>
        <v>No</v>
      </c>
      <c r="AG27" s="88" t="str">
        <f t="shared" si="5"/>
        <v>No</v>
      </c>
      <c r="AH27" s="88" t="str">
        <f t="shared" si="5"/>
        <v>No</v>
      </c>
      <c r="AI27" s="88" t="str">
        <f t="shared" si="5"/>
        <v>No</v>
      </c>
      <c r="AJ27" s="88" t="str">
        <f t="shared" si="5"/>
        <v>No</v>
      </c>
      <c r="AK27" s="88" t="str">
        <f t="shared" si="5"/>
        <v>No</v>
      </c>
      <c r="AL27" s="88" t="str">
        <f t="shared" si="5"/>
        <v>No</v>
      </c>
      <c r="AM27" s="88" t="str">
        <f t="shared" si="5"/>
        <v>No</v>
      </c>
      <c r="AN27" s="88" t="str">
        <f t="shared" si="5"/>
        <v>No</v>
      </c>
      <c r="AO27" s="91" t="str">
        <f t="shared" si="5"/>
        <v>No</v>
      </c>
      <c r="AP27" s="109" t="s">
        <v>283</v>
      </c>
      <c r="AQ27" s="88">
        <v>27</v>
      </c>
      <c r="AR27" s="88" t="s">
        <v>347</v>
      </c>
      <c r="AS27" s="88" t="s">
        <v>347</v>
      </c>
      <c r="AT27" s="88" t="s">
        <v>347</v>
      </c>
      <c r="AU27" s="88" t="s">
        <v>347</v>
      </c>
      <c r="AV27" s="88" t="s">
        <v>347</v>
      </c>
      <c r="AW27" s="88" t="s">
        <v>347</v>
      </c>
      <c r="AX27" s="88" t="s">
        <v>347</v>
      </c>
      <c r="AY27" s="88" t="s">
        <v>347</v>
      </c>
      <c r="AZ27" s="88" t="s">
        <v>346</v>
      </c>
      <c r="BA27" s="88" t="s">
        <v>346</v>
      </c>
      <c r="BB27" s="88" t="s">
        <v>346</v>
      </c>
      <c r="BC27" s="88" t="s">
        <v>347</v>
      </c>
      <c r="BD27" s="88" t="s">
        <v>347</v>
      </c>
      <c r="BE27" s="88" t="s">
        <v>346</v>
      </c>
      <c r="BF27" s="88" t="s">
        <v>347</v>
      </c>
      <c r="BG27" s="88" t="s">
        <v>347</v>
      </c>
      <c r="BH27" s="88" t="s">
        <v>347</v>
      </c>
      <c r="BI27" s="88" t="s">
        <v>347</v>
      </c>
      <c r="BJ27" s="88" t="s">
        <v>347</v>
      </c>
      <c r="BK27" s="88" t="s">
        <v>347</v>
      </c>
      <c r="BL27" s="88" t="s">
        <v>347</v>
      </c>
      <c r="BM27" s="88" t="s">
        <v>347</v>
      </c>
      <c r="BN27" s="88" t="s">
        <v>347</v>
      </c>
      <c r="BO27" s="88" t="s">
        <v>347</v>
      </c>
      <c r="BP27" s="88" t="s">
        <v>347</v>
      </c>
      <c r="BQ27" s="88" t="s">
        <v>347</v>
      </c>
      <c r="BR27" s="88" t="s">
        <v>347</v>
      </c>
      <c r="BS27" s="88" t="s">
        <v>347</v>
      </c>
      <c r="BT27" s="88" t="s">
        <v>347</v>
      </c>
      <c r="BU27" s="88" t="s">
        <v>347</v>
      </c>
      <c r="BV27" s="88" t="s">
        <v>347</v>
      </c>
      <c r="BW27" s="88" t="s">
        <v>347</v>
      </c>
      <c r="BX27" s="88" t="s">
        <v>347</v>
      </c>
      <c r="BY27" s="88" t="s">
        <v>347</v>
      </c>
      <c r="BZ27" s="91" t="s">
        <v>346</v>
      </c>
    </row>
    <row r="28" spans="1:78" s="2" customFormat="1" x14ac:dyDescent="0.25">
      <c r="A28" s="109" t="s">
        <v>314</v>
      </c>
      <c r="B28" s="88" t="s">
        <v>347</v>
      </c>
      <c r="C28" s="88" t="s">
        <v>346</v>
      </c>
      <c r="D28" s="88" t="s">
        <v>347</v>
      </c>
      <c r="E28" s="88" t="s">
        <v>347</v>
      </c>
      <c r="F28" s="88" t="s">
        <v>347</v>
      </c>
      <c r="G28" s="88" t="s">
        <v>347</v>
      </c>
      <c r="H28" s="88" t="s">
        <v>347</v>
      </c>
      <c r="I28" s="88" t="s">
        <v>347</v>
      </c>
      <c r="J28" s="91" t="s">
        <v>346</v>
      </c>
      <c r="K28" s="109" t="s">
        <v>314</v>
      </c>
      <c r="L28" s="88" t="str">
        <f>LOOKUP($K28,PantheonList!$A$18:$A$139,PantheonList!$B$18:$B$139)</f>
        <v>Command</v>
      </c>
      <c r="M28" s="88" t="str">
        <f>LOOKUP($K28,PantheonList!$A$18:$A$139,PantheonList!$C$18:$C$139)</f>
        <v>Control</v>
      </c>
      <c r="N28" s="88" t="str">
        <f>LOOKUP($K28,PantheonList!$A$18:$A$139,PantheonList!$D$18:$D$139)</f>
        <v>Investigation</v>
      </c>
      <c r="O28" s="88" t="str">
        <f>LOOKUP($K28,PantheonList!$A$18:$A$139,PantheonList!$E$18:$E$139)</f>
        <v>Marksmanship</v>
      </c>
      <c r="P28" s="88" t="str">
        <f>LOOKUP($K28,PantheonList!$A$18:$A$139,PantheonList!$F$18:$F$139)</f>
        <v>Melee</v>
      </c>
      <c r="Q28" s="88" t="str">
        <f>LOOKUP($K28,PantheonList!$A$18:$A$139,PantheonList!$G$18:$G$139)</f>
        <v>Presence</v>
      </c>
      <c r="R28" s="88" t="str">
        <f t="shared" si="4"/>
        <v>No</v>
      </c>
      <c r="S28" s="88" t="str">
        <f t="shared" si="4"/>
        <v>No</v>
      </c>
      <c r="T28" s="88" t="str">
        <f t="shared" si="4"/>
        <v>No</v>
      </c>
      <c r="U28" s="88" t="str">
        <f t="shared" si="4"/>
        <v>No</v>
      </c>
      <c r="V28" s="88" t="str">
        <f t="shared" si="4"/>
        <v>No</v>
      </c>
      <c r="W28" s="88" t="str">
        <f t="shared" si="4"/>
        <v>No</v>
      </c>
      <c r="X28" s="88" t="str">
        <f t="shared" si="4"/>
        <v>Yes</v>
      </c>
      <c r="Y28" s="88" t="str">
        <f t="shared" si="4"/>
        <v>Yes</v>
      </c>
      <c r="Z28" s="88" t="str">
        <f t="shared" si="4"/>
        <v>No</v>
      </c>
      <c r="AA28" s="88" t="str">
        <f t="shared" si="4"/>
        <v>No</v>
      </c>
      <c r="AB28" s="88" t="str">
        <f t="shared" si="5"/>
        <v>No</v>
      </c>
      <c r="AC28" s="88" t="str">
        <f t="shared" si="5"/>
        <v>No</v>
      </c>
      <c r="AD28" s="88" t="str">
        <f t="shared" si="5"/>
        <v>Yes</v>
      </c>
      <c r="AE28" s="88" t="str">
        <f t="shared" si="5"/>
        <v>No</v>
      </c>
      <c r="AF28" s="88" t="str">
        <f t="shared" si="5"/>
        <v>Yes</v>
      </c>
      <c r="AG28" s="88" t="str">
        <f t="shared" si="5"/>
        <v>No</v>
      </c>
      <c r="AH28" s="88" t="str">
        <f t="shared" si="5"/>
        <v>Yes</v>
      </c>
      <c r="AI28" s="88" t="str">
        <f t="shared" si="5"/>
        <v>No</v>
      </c>
      <c r="AJ28" s="88" t="str">
        <f t="shared" si="5"/>
        <v>No</v>
      </c>
      <c r="AK28" s="88" t="str">
        <f t="shared" si="5"/>
        <v>Yes</v>
      </c>
      <c r="AL28" s="88" t="str">
        <f t="shared" si="5"/>
        <v>No</v>
      </c>
      <c r="AM28" s="88" t="str">
        <f t="shared" si="5"/>
        <v>No</v>
      </c>
      <c r="AN28" s="88" t="str">
        <f t="shared" si="5"/>
        <v>No</v>
      </c>
      <c r="AO28" s="91" t="str">
        <f t="shared" si="5"/>
        <v>No</v>
      </c>
      <c r="AP28" s="109" t="s">
        <v>314</v>
      </c>
      <c r="AQ28" s="88">
        <v>28</v>
      </c>
      <c r="AR28" s="88" t="s">
        <v>347</v>
      </c>
      <c r="AS28" s="88" t="s">
        <v>347</v>
      </c>
      <c r="AT28" s="88" t="s">
        <v>347</v>
      </c>
      <c r="AU28" s="88" t="s">
        <v>347</v>
      </c>
      <c r="AV28" s="88" t="s">
        <v>347</v>
      </c>
      <c r="AW28" s="88" t="s">
        <v>346</v>
      </c>
      <c r="AX28" s="88" t="s">
        <v>347</v>
      </c>
      <c r="AY28" s="88" t="s">
        <v>347</v>
      </c>
      <c r="AZ28" s="88" t="s">
        <v>347</v>
      </c>
      <c r="BA28" s="88" t="s">
        <v>347</v>
      </c>
      <c r="BB28" s="88" t="s">
        <v>347</v>
      </c>
      <c r="BC28" s="88" t="s">
        <v>347</v>
      </c>
      <c r="BD28" s="88" t="s">
        <v>347</v>
      </c>
      <c r="BE28" s="88" t="s">
        <v>346</v>
      </c>
      <c r="BF28" s="88" t="s">
        <v>347</v>
      </c>
      <c r="BG28" s="88" t="s">
        <v>347</v>
      </c>
      <c r="BH28" s="88" t="s">
        <v>347</v>
      </c>
      <c r="BI28" s="88" t="s">
        <v>347</v>
      </c>
      <c r="BJ28" s="88" t="s">
        <v>347</v>
      </c>
      <c r="BK28" s="88" t="s">
        <v>347</v>
      </c>
      <c r="BL28" s="88" t="s">
        <v>347</v>
      </c>
      <c r="BM28" s="88" t="s">
        <v>347</v>
      </c>
      <c r="BN28" s="88" t="s">
        <v>347</v>
      </c>
      <c r="BO28" s="88" t="s">
        <v>347</v>
      </c>
      <c r="BP28" s="88" t="s">
        <v>347</v>
      </c>
      <c r="BQ28" s="88" t="s">
        <v>347</v>
      </c>
      <c r="BR28" s="88" t="s">
        <v>347</v>
      </c>
      <c r="BS28" s="88" t="s">
        <v>347</v>
      </c>
      <c r="BT28" s="88" t="s">
        <v>347</v>
      </c>
      <c r="BU28" s="88" t="s">
        <v>347</v>
      </c>
      <c r="BV28" s="88" t="s">
        <v>347</v>
      </c>
      <c r="BW28" s="88" t="s">
        <v>347</v>
      </c>
      <c r="BX28" s="88" t="s">
        <v>347</v>
      </c>
      <c r="BY28" s="88" t="s">
        <v>346</v>
      </c>
      <c r="BZ28" s="91" t="s">
        <v>347</v>
      </c>
    </row>
    <row r="29" spans="1:78" s="2" customFormat="1" x14ac:dyDescent="0.25">
      <c r="A29" s="109" t="s">
        <v>284</v>
      </c>
      <c r="B29" s="88" t="s">
        <v>347</v>
      </c>
      <c r="C29" s="88" t="s">
        <v>346</v>
      </c>
      <c r="D29" s="88" t="s">
        <v>347</v>
      </c>
      <c r="E29" s="88" t="s">
        <v>347</v>
      </c>
      <c r="F29" s="88" t="s">
        <v>347</v>
      </c>
      <c r="G29" s="88" t="s">
        <v>347</v>
      </c>
      <c r="H29" s="88" t="s">
        <v>346</v>
      </c>
      <c r="I29" s="88" t="s">
        <v>346</v>
      </c>
      <c r="J29" s="91" t="s">
        <v>347</v>
      </c>
      <c r="K29" s="109" t="s">
        <v>284</v>
      </c>
      <c r="L29" s="88" t="str">
        <f>LOOKUP($K29,PantheonList!$A$18:$A$139,PantheonList!$B$18:$B$139)</f>
        <v>Craft</v>
      </c>
      <c r="M29" s="88" t="str">
        <f>LOOKUP($K29,PantheonList!$A$18:$A$139,PantheonList!$C$18:$C$139)</f>
        <v>Empathy</v>
      </c>
      <c r="N29" s="88" t="str">
        <f>LOOKUP($K29,PantheonList!$A$18:$A$139,PantheonList!$D$18:$D$139)</f>
        <v>Medicine</v>
      </c>
      <c r="O29" s="88" t="str">
        <f>LOOKUP($K29,PantheonList!$A$18:$A$139,PantheonList!$E$18:$E$139)</f>
        <v>Occult</v>
      </c>
      <c r="P29" s="88" t="str">
        <f>LOOKUP($K29,PantheonList!$A$18:$A$139,PantheonList!$F$18:$F$139)</f>
        <v>Presence</v>
      </c>
      <c r="Q29" s="88" t="str">
        <f>LOOKUP($K29,PantheonList!$A$18:$A$139,PantheonList!$G$18:$G$139)</f>
        <v>Survival</v>
      </c>
      <c r="R29" s="88" t="str">
        <f t="shared" si="4"/>
        <v>No</v>
      </c>
      <c r="S29" s="88" t="str">
        <f t="shared" si="4"/>
        <v>No</v>
      </c>
      <c r="T29" s="88" t="str">
        <f t="shared" si="4"/>
        <v>No</v>
      </c>
      <c r="U29" s="88" t="str">
        <f t="shared" si="4"/>
        <v>No</v>
      </c>
      <c r="V29" s="88" t="str">
        <f t="shared" si="4"/>
        <v>No</v>
      </c>
      <c r="W29" s="88" t="str">
        <f t="shared" si="4"/>
        <v>No</v>
      </c>
      <c r="X29" s="88" t="str">
        <f t="shared" si="4"/>
        <v>No</v>
      </c>
      <c r="Y29" s="88" t="str">
        <f t="shared" si="4"/>
        <v>No</v>
      </c>
      <c r="Z29" s="88" t="str">
        <f t="shared" si="4"/>
        <v>Yes</v>
      </c>
      <c r="AA29" s="88" t="str">
        <f t="shared" si="4"/>
        <v>Yes</v>
      </c>
      <c r="AB29" s="88" t="str">
        <f t="shared" si="5"/>
        <v>No</v>
      </c>
      <c r="AC29" s="88" t="str">
        <f t="shared" si="5"/>
        <v>No</v>
      </c>
      <c r="AD29" s="88" t="str">
        <f t="shared" si="5"/>
        <v>No</v>
      </c>
      <c r="AE29" s="88" t="str">
        <f t="shared" si="5"/>
        <v>No</v>
      </c>
      <c r="AF29" s="88" t="str">
        <f t="shared" si="5"/>
        <v>No</v>
      </c>
      <c r="AG29" s="88" t="str">
        <f t="shared" si="5"/>
        <v>Yes</v>
      </c>
      <c r="AH29" s="88" t="str">
        <f t="shared" si="5"/>
        <v>No</v>
      </c>
      <c r="AI29" s="88" t="str">
        <f t="shared" si="5"/>
        <v>Yes</v>
      </c>
      <c r="AJ29" s="88" t="str">
        <f t="shared" si="5"/>
        <v>No</v>
      </c>
      <c r="AK29" s="88" t="str">
        <f t="shared" si="5"/>
        <v>Yes</v>
      </c>
      <c r="AL29" s="88" t="str">
        <f t="shared" si="5"/>
        <v>No</v>
      </c>
      <c r="AM29" s="88" t="str">
        <f t="shared" si="5"/>
        <v>No</v>
      </c>
      <c r="AN29" s="88" t="str">
        <f t="shared" si="5"/>
        <v>Yes</v>
      </c>
      <c r="AO29" s="91" t="str">
        <f t="shared" si="5"/>
        <v>No</v>
      </c>
      <c r="AP29" s="109" t="s">
        <v>284</v>
      </c>
      <c r="AQ29" s="88">
        <v>29</v>
      </c>
      <c r="AR29" s="88" t="s">
        <v>347</v>
      </c>
      <c r="AS29" s="88" t="s">
        <v>347</v>
      </c>
      <c r="AT29" s="88" t="s">
        <v>347</v>
      </c>
      <c r="AU29" s="88" t="s">
        <v>347</v>
      </c>
      <c r="AV29" s="88" t="s">
        <v>347</v>
      </c>
      <c r="AW29" s="88" t="s">
        <v>347</v>
      </c>
      <c r="AX29" s="88" t="s">
        <v>347</v>
      </c>
      <c r="AY29" s="88" t="s">
        <v>347</v>
      </c>
      <c r="AZ29" s="88" t="s">
        <v>347</v>
      </c>
      <c r="BA29" s="88" t="s">
        <v>346</v>
      </c>
      <c r="BB29" s="88" t="s">
        <v>347</v>
      </c>
      <c r="BC29" s="88" t="s">
        <v>347</v>
      </c>
      <c r="BD29" s="88" t="s">
        <v>347</v>
      </c>
      <c r="BE29" s="88" t="s">
        <v>347</v>
      </c>
      <c r="BF29" s="88" t="s">
        <v>346</v>
      </c>
      <c r="BG29" s="88" t="s">
        <v>347</v>
      </c>
      <c r="BH29" s="88" t="s">
        <v>347</v>
      </c>
      <c r="BI29" s="88" t="s">
        <v>347</v>
      </c>
      <c r="BJ29" s="88" t="s">
        <v>347</v>
      </c>
      <c r="BK29" s="88" t="s">
        <v>347</v>
      </c>
      <c r="BL29" s="88" t="s">
        <v>347</v>
      </c>
      <c r="BM29" s="88" t="s">
        <v>346</v>
      </c>
      <c r="BN29" s="88" t="s">
        <v>347</v>
      </c>
      <c r="BO29" s="88" t="s">
        <v>347</v>
      </c>
      <c r="BP29" s="88" t="s">
        <v>347</v>
      </c>
      <c r="BQ29" s="88" t="s">
        <v>347</v>
      </c>
      <c r="BR29" s="88" t="s">
        <v>347</v>
      </c>
      <c r="BS29" s="88" t="s">
        <v>347</v>
      </c>
      <c r="BT29" s="88" t="s">
        <v>347</v>
      </c>
      <c r="BU29" s="88" t="s">
        <v>347</v>
      </c>
      <c r="BV29" s="88" t="s">
        <v>347</v>
      </c>
      <c r="BW29" s="88" t="s">
        <v>347</v>
      </c>
      <c r="BX29" s="88" t="s">
        <v>347</v>
      </c>
      <c r="BY29" s="88" t="s">
        <v>347</v>
      </c>
      <c r="BZ29" s="91" t="s">
        <v>346</v>
      </c>
    </row>
    <row r="30" spans="1:78" s="2" customFormat="1" x14ac:dyDescent="0.25">
      <c r="A30" s="109" t="s">
        <v>253</v>
      </c>
      <c r="B30" s="88" t="s">
        <v>347</v>
      </c>
      <c r="C30" s="88" t="s">
        <v>347</v>
      </c>
      <c r="D30" s="88" t="s">
        <v>346</v>
      </c>
      <c r="E30" s="88" t="s">
        <v>346</v>
      </c>
      <c r="F30" s="88" t="s">
        <v>347</v>
      </c>
      <c r="G30" s="88" t="s">
        <v>347</v>
      </c>
      <c r="H30" s="88" t="s">
        <v>347</v>
      </c>
      <c r="I30" s="88" t="s">
        <v>347</v>
      </c>
      <c r="J30" s="91" t="s">
        <v>347</v>
      </c>
      <c r="K30" s="109" t="s">
        <v>253</v>
      </c>
      <c r="L30" s="88" t="str">
        <f>LOOKUP($K30,PantheonList!$A$18:$A$139,PantheonList!$B$18:$B$139)</f>
        <v>Art</v>
      </c>
      <c r="M30" s="88" t="str">
        <f>LOOKUP($K30,PantheonList!$A$18:$A$139,PantheonList!$C$18:$C$139)</f>
        <v>Empathy</v>
      </c>
      <c r="N30" s="88" t="str">
        <f>LOOKUP($K30,PantheonList!$A$18:$A$139,PantheonList!$D$18:$D$139)</f>
        <v>Integrity</v>
      </c>
      <c r="O30" s="88" t="str">
        <f>LOOKUP($K30,PantheonList!$A$18:$A$139,PantheonList!$E$18:$E$139)</f>
        <v>Fortitude</v>
      </c>
      <c r="P30" s="88" t="str">
        <f>LOOKUP($K30,PantheonList!$A$18:$A$139,PantheonList!$F$18:$F$139)</f>
        <v>Occult</v>
      </c>
      <c r="Q30" s="88" t="str">
        <f>LOOKUP($K30,PantheonList!$A$18:$A$139,PantheonList!$G$18:$G$139)</f>
        <v>Presence</v>
      </c>
      <c r="R30" s="88" t="str">
        <f t="shared" si="4"/>
        <v>No</v>
      </c>
      <c r="S30" s="88" t="str">
        <f t="shared" si="4"/>
        <v>No</v>
      </c>
      <c r="T30" s="88" t="str">
        <f t="shared" si="4"/>
        <v>Yes</v>
      </c>
      <c r="U30" s="88" t="str">
        <f t="shared" si="4"/>
        <v>No</v>
      </c>
      <c r="V30" s="88" t="str">
        <f t="shared" si="4"/>
        <v>No</v>
      </c>
      <c r="W30" s="88" t="str">
        <f t="shared" si="4"/>
        <v>No</v>
      </c>
      <c r="X30" s="88" t="str">
        <f t="shared" si="4"/>
        <v>No</v>
      </c>
      <c r="Y30" s="88" t="str">
        <f t="shared" si="4"/>
        <v>No</v>
      </c>
      <c r="Z30" s="88" t="str">
        <f t="shared" si="4"/>
        <v>No</v>
      </c>
      <c r="AA30" s="88" t="str">
        <f t="shared" si="4"/>
        <v>Yes</v>
      </c>
      <c r="AB30" s="88" t="str">
        <f t="shared" si="5"/>
        <v>Yes</v>
      </c>
      <c r="AC30" s="88" t="str">
        <f t="shared" si="5"/>
        <v>Yes</v>
      </c>
      <c r="AD30" s="88" t="str">
        <f t="shared" si="5"/>
        <v>No</v>
      </c>
      <c r="AE30" s="88" t="str">
        <f t="shared" si="5"/>
        <v>No</v>
      </c>
      <c r="AF30" s="88" t="str">
        <f t="shared" si="5"/>
        <v>No</v>
      </c>
      <c r="AG30" s="88" t="str">
        <f t="shared" si="5"/>
        <v>No</v>
      </c>
      <c r="AH30" s="88" t="str">
        <f t="shared" si="5"/>
        <v>No</v>
      </c>
      <c r="AI30" s="88" t="str">
        <f t="shared" si="5"/>
        <v>Yes</v>
      </c>
      <c r="AJ30" s="88" t="str">
        <f t="shared" si="5"/>
        <v>No</v>
      </c>
      <c r="AK30" s="88" t="str">
        <f t="shared" si="5"/>
        <v>Yes</v>
      </c>
      <c r="AL30" s="88" t="str">
        <f t="shared" si="5"/>
        <v>No</v>
      </c>
      <c r="AM30" s="88" t="str">
        <f t="shared" si="5"/>
        <v>No</v>
      </c>
      <c r="AN30" s="88" t="str">
        <f t="shared" si="5"/>
        <v>No</v>
      </c>
      <c r="AO30" s="91" t="str">
        <f t="shared" si="5"/>
        <v>No</v>
      </c>
      <c r="AP30" s="109" t="s">
        <v>253</v>
      </c>
      <c r="AQ30" s="88">
        <v>30</v>
      </c>
      <c r="AR30" s="88" t="s">
        <v>347</v>
      </c>
      <c r="AS30" s="88" t="s">
        <v>346</v>
      </c>
      <c r="AT30" s="88" t="s">
        <v>347</v>
      </c>
      <c r="AU30" s="88" t="s">
        <v>346</v>
      </c>
      <c r="AV30" s="88" t="s">
        <v>347</v>
      </c>
      <c r="AW30" s="88" t="s">
        <v>347</v>
      </c>
      <c r="AX30" s="88" t="s">
        <v>347</v>
      </c>
      <c r="AY30" s="88" t="s">
        <v>347</v>
      </c>
      <c r="AZ30" s="88" t="s">
        <v>347</v>
      </c>
      <c r="BA30" s="88" t="s">
        <v>347</v>
      </c>
      <c r="BB30" s="88" t="s">
        <v>346</v>
      </c>
      <c r="BC30" s="88" t="s">
        <v>347</v>
      </c>
      <c r="BD30" s="88" t="s">
        <v>347</v>
      </c>
      <c r="BE30" s="88" t="s">
        <v>347</v>
      </c>
      <c r="BF30" s="88" t="s">
        <v>347</v>
      </c>
      <c r="BG30" s="88" t="s">
        <v>347</v>
      </c>
      <c r="BH30" s="88" t="s">
        <v>347</v>
      </c>
      <c r="BI30" s="88" t="s">
        <v>347</v>
      </c>
      <c r="BJ30" s="88" t="s">
        <v>347</v>
      </c>
      <c r="BK30" s="88" t="s">
        <v>347</v>
      </c>
      <c r="BL30" s="88" t="s">
        <v>347</v>
      </c>
      <c r="BM30" s="88" t="s">
        <v>347</v>
      </c>
      <c r="BN30" s="88" t="s">
        <v>347</v>
      </c>
      <c r="BO30" s="88" t="s">
        <v>346</v>
      </c>
      <c r="BP30" s="88" t="s">
        <v>347</v>
      </c>
      <c r="BQ30" s="88" t="s">
        <v>347</v>
      </c>
      <c r="BR30" s="88" t="s">
        <v>347</v>
      </c>
      <c r="BS30" s="88" t="s">
        <v>347</v>
      </c>
      <c r="BT30" s="88" t="s">
        <v>347</v>
      </c>
      <c r="BU30" s="88" t="s">
        <v>347</v>
      </c>
      <c r="BV30" s="88" t="s">
        <v>347</v>
      </c>
      <c r="BW30" s="88" t="s">
        <v>347</v>
      </c>
      <c r="BX30" s="88" t="s">
        <v>347</v>
      </c>
      <c r="BY30" s="88" t="s">
        <v>347</v>
      </c>
      <c r="BZ30" s="91" t="s">
        <v>347</v>
      </c>
    </row>
    <row r="31" spans="1:78" s="2" customFormat="1" x14ac:dyDescent="0.25">
      <c r="A31" s="109" t="s">
        <v>264</v>
      </c>
      <c r="B31" s="88" t="s">
        <v>347</v>
      </c>
      <c r="C31" s="88" t="s">
        <v>347</v>
      </c>
      <c r="D31" s="88" t="s">
        <v>347</v>
      </c>
      <c r="E31" s="88" t="s">
        <v>346</v>
      </c>
      <c r="F31" s="88" t="s">
        <v>347</v>
      </c>
      <c r="G31" s="88" t="s">
        <v>346</v>
      </c>
      <c r="H31" s="88" t="s">
        <v>347</v>
      </c>
      <c r="I31" s="88" t="s">
        <v>347</v>
      </c>
      <c r="J31" s="91" t="s">
        <v>347</v>
      </c>
      <c r="K31" s="109" t="s">
        <v>264</v>
      </c>
      <c r="L31" s="88" t="str">
        <f>LOOKUP($K31,PantheonList!$A$18:$A$139,PantheonList!$B$18:$B$139)</f>
        <v>Art</v>
      </c>
      <c r="M31" s="88" t="str">
        <f>LOOKUP($K31,PantheonList!$A$18:$A$139,PantheonList!$C$18:$C$139)</f>
        <v>Athletics</v>
      </c>
      <c r="N31" s="88" t="str">
        <f>LOOKUP($K31,PantheonList!$A$18:$A$139,PantheonList!$D$18:$D$139)</f>
        <v>Empathy</v>
      </c>
      <c r="O31" s="88" t="str">
        <f>LOOKUP($K31,PantheonList!$A$18:$A$139,PantheonList!$E$18:$E$139)</f>
        <v>Integrity</v>
      </c>
      <c r="P31" s="88" t="str">
        <f>LOOKUP($K31,PantheonList!$A$18:$A$139,PantheonList!$F$18:$F$139)</f>
        <v>Presence</v>
      </c>
      <c r="Q31" s="88" t="str">
        <f>LOOKUP($K31,PantheonList!$A$18:$A$139,PantheonList!$G$18:$G$139)</f>
        <v>Survival</v>
      </c>
      <c r="R31" s="88" t="str">
        <f t="shared" si="4"/>
        <v>No</v>
      </c>
      <c r="S31" s="88" t="str">
        <f t="shared" si="4"/>
        <v>No</v>
      </c>
      <c r="T31" s="88" t="str">
        <f t="shared" si="4"/>
        <v>Yes</v>
      </c>
      <c r="U31" s="88" t="str">
        <f t="shared" si="4"/>
        <v>Yes</v>
      </c>
      <c r="V31" s="88" t="str">
        <f t="shared" si="4"/>
        <v>No</v>
      </c>
      <c r="W31" s="88" t="str">
        <f t="shared" si="4"/>
        <v>No</v>
      </c>
      <c r="X31" s="88" t="str">
        <f t="shared" si="4"/>
        <v>No</v>
      </c>
      <c r="Y31" s="88" t="str">
        <f t="shared" si="4"/>
        <v>No</v>
      </c>
      <c r="Z31" s="88" t="str">
        <f t="shared" si="4"/>
        <v>No</v>
      </c>
      <c r="AA31" s="88" t="str">
        <f t="shared" si="4"/>
        <v>Yes</v>
      </c>
      <c r="AB31" s="88" t="str">
        <f t="shared" si="5"/>
        <v>No</v>
      </c>
      <c r="AC31" s="88" t="str">
        <f t="shared" si="5"/>
        <v>Yes</v>
      </c>
      <c r="AD31" s="88" t="str">
        <f t="shared" si="5"/>
        <v>No</v>
      </c>
      <c r="AE31" s="88" t="str">
        <f t="shared" si="5"/>
        <v>No</v>
      </c>
      <c r="AF31" s="88" t="str">
        <f t="shared" si="5"/>
        <v>No</v>
      </c>
      <c r="AG31" s="88" t="str">
        <f t="shared" si="5"/>
        <v>No</v>
      </c>
      <c r="AH31" s="88" t="str">
        <f t="shared" si="5"/>
        <v>No</v>
      </c>
      <c r="AI31" s="88" t="str">
        <f t="shared" si="5"/>
        <v>No</v>
      </c>
      <c r="AJ31" s="88" t="str">
        <f t="shared" si="5"/>
        <v>No</v>
      </c>
      <c r="AK31" s="88" t="str">
        <f t="shared" si="5"/>
        <v>Yes</v>
      </c>
      <c r="AL31" s="88" t="str">
        <f t="shared" si="5"/>
        <v>No</v>
      </c>
      <c r="AM31" s="88" t="str">
        <f t="shared" si="5"/>
        <v>No</v>
      </c>
      <c r="AN31" s="88" t="str">
        <f t="shared" si="5"/>
        <v>Yes</v>
      </c>
      <c r="AO31" s="91" t="str">
        <f t="shared" si="5"/>
        <v>No</v>
      </c>
      <c r="AP31" s="109" t="s">
        <v>264</v>
      </c>
      <c r="AQ31" s="88">
        <v>31</v>
      </c>
      <c r="AR31" s="88" t="s">
        <v>347</v>
      </c>
      <c r="AS31" s="88" t="s">
        <v>347</v>
      </c>
      <c r="AT31" s="88" t="s">
        <v>347</v>
      </c>
      <c r="AU31" s="88" t="s">
        <v>347</v>
      </c>
      <c r="AV31" s="88" t="s">
        <v>346</v>
      </c>
      <c r="AW31" s="88" t="s">
        <v>347</v>
      </c>
      <c r="AX31" s="88" t="s">
        <v>347</v>
      </c>
      <c r="AY31" s="88" t="s">
        <v>347</v>
      </c>
      <c r="AZ31" s="88" t="s">
        <v>347</v>
      </c>
      <c r="BA31" s="88" t="s">
        <v>347</v>
      </c>
      <c r="BB31" s="88" t="s">
        <v>347</v>
      </c>
      <c r="BC31" s="88" t="s">
        <v>347</v>
      </c>
      <c r="BD31" s="88" t="s">
        <v>347</v>
      </c>
      <c r="BE31" s="88" t="s">
        <v>346</v>
      </c>
      <c r="BF31" s="88" t="s">
        <v>347</v>
      </c>
      <c r="BG31" s="88" t="s">
        <v>347</v>
      </c>
      <c r="BH31" s="88" t="s">
        <v>347</v>
      </c>
      <c r="BI31" s="88" t="s">
        <v>347</v>
      </c>
      <c r="BJ31" s="88" t="s">
        <v>347</v>
      </c>
      <c r="BK31" s="88" t="s">
        <v>347</v>
      </c>
      <c r="BL31" s="88" t="s">
        <v>347</v>
      </c>
      <c r="BM31" s="88" t="s">
        <v>347</v>
      </c>
      <c r="BN31" s="88" t="s">
        <v>347</v>
      </c>
      <c r="BO31" s="88" t="s">
        <v>347</v>
      </c>
      <c r="BP31" s="88" t="s">
        <v>347</v>
      </c>
      <c r="BQ31" s="88" t="s">
        <v>347</v>
      </c>
      <c r="BR31" s="88" t="s">
        <v>347</v>
      </c>
      <c r="BS31" s="88" t="s">
        <v>347</v>
      </c>
      <c r="BT31" s="88" t="s">
        <v>347</v>
      </c>
      <c r="BU31" s="88" t="s">
        <v>347</v>
      </c>
      <c r="BV31" s="88" t="s">
        <v>347</v>
      </c>
      <c r="BW31" s="88" t="s">
        <v>347</v>
      </c>
      <c r="BX31" s="88" t="s">
        <v>347</v>
      </c>
      <c r="BY31" s="88" t="s">
        <v>346</v>
      </c>
      <c r="BZ31" s="91" t="s">
        <v>347</v>
      </c>
    </row>
    <row r="32" spans="1:78" s="2" customFormat="1" x14ac:dyDescent="0.25">
      <c r="A32" s="109" t="s">
        <v>191</v>
      </c>
      <c r="B32" s="88" t="s">
        <v>347</v>
      </c>
      <c r="C32" s="88" t="s">
        <v>347</v>
      </c>
      <c r="D32" s="88" t="s">
        <v>347</v>
      </c>
      <c r="E32" s="88" t="s">
        <v>346</v>
      </c>
      <c r="F32" s="88" t="s">
        <v>347</v>
      </c>
      <c r="G32" s="88" t="s">
        <v>346</v>
      </c>
      <c r="H32" s="88" t="s">
        <v>347</v>
      </c>
      <c r="I32" s="88" t="s">
        <v>347</v>
      </c>
      <c r="J32" s="91" t="s">
        <v>347</v>
      </c>
      <c r="K32" s="109" t="s">
        <v>191</v>
      </c>
      <c r="L32" s="88" t="str">
        <f>LOOKUP($K32,PantheonList!$A$18:$A$139,PantheonList!$B$18:$B$139)</f>
        <v>Art</v>
      </c>
      <c r="M32" s="88" t="str">
        <f>LOOKUP($K32,PantheonList!$A$18:$A$139,PantheonList!$C$18:$C$139)</f>
        <v>Craft</v>
      </c>
      <c r="N32" s="88" t="str">
        <f>LOOKUP($K32,PantheonList!$A$18:$A$139,PantheonList!$D$18:$D$139)</f>
        <v>Empathy</v>
      </c>
      <c r="O32" s="88" t="str">
        <f>LOOKUP($K32,PantheonList!$A$18:$A$139,PantheonList!$E$18:$E$139)</f>
        <v>Integrity</v>
      </c>
      <c r="P32" s="88" t="str">
        <f>LOOKUP($K32,PantheonList!$A$18:$A$139,PantheonList!$F$18:$F$139)</f>
        <v>Melee</v>
      </c>
      <c r="Q32" s="88" t="str">
        <f>LOOKUP($K32,PantheonList!$A$18:$A$139,PantheonList!$G$18:$G$139)</f>
        <v>Presence</v>
      </c>
      <c r="R32" s="88" t="str">
        <f t="shared" ref="R32:AA41" si="6">IF(OR($Q32=R$1,$P32=R$1,$O32=R$1,$N32=R$1,$M32=R$1,$L32=R$1),"Yes","No")</f>
        <v>No</v>
      </c>
      <c r="S32" s="88" t="str">
        <f t="shared" si="6"/>
        <v>No</v>
      </c>
      <c r="T32" s="88" t="str">
        <f t="shared" si="6"/>
        <v>Yes</v>
      </c>
      <c r="U32" s="88" t="str">
        <f t="shared" si="6"/>
        <v>No</v>
      </c>
      <c r="V32" s="88" t="str">
        <f t="shared" si="6"/>
        <v>No</v>
      </c>
      <c r="W32" s="88" t="str">
        <f t="shared" si="6"/>
        <v>No</v>
      </c>
      <c r="X32" s="88" t="str">
        <f t="shared" si="6"/>
        <v>No</v>
      </c>
      <c r="Y32" s="88" t="str">
        <f t="shared" si="6"/>
        <v>No</v>
      </c>
      <c r="Z32" s="88" t="str">
        <f t="shared" si="6"/>
        <v>Yes</v>
      </c>
      <c r="AA32" s="88" t="str">
        <f t="shared" si="6"/>
        <v>Yes</v>
      </c>
      <c r="AB32" s="88" t="str">
        <f t="shared" ref="AB32:AO41" si="7">IF(OR($Q32=AB$1,$P32=AB$1,$O32=AB$1,$N32=AB$1,$M32=AB$1,$L32=AB$1),"Yes","No")</f>
        <v>No</v>
      </c>
      <c r="AC32" s="88" t="str">
        <f t="shared" si="7"/>
        <v>Yes</v>
      </c>
      <c r="AD32" s="88" t="str">
        <f t="shared" si="7"/>
        <v>No</v>
      </c>
      <c r="AE32" s="88" t="str">
        <f t="shared" si="7"/>
        <v>No</v>
      </c>
      <c r="AF32" s="88" t="str">
        <f t="shared" si="7"/>
        <v>No</v>
      </c>
      <c r="AG32" s="88" t="str">
        <f t="shared" si="7"/>
        <v>No</v>
      </c>
      <c r="AH32" s="88" t="str">
        <f t="shared" si="7"/>
        <v>Yes</v>
      </c>
      <c r="AI32" s="88" t="str">
        <f t="shared" si="7"/>
        <v>No</v>
      </c>
      <c r="AJ32" s="88" t="str">
        <f t="shared" si="7"/>
        <v>No</v>
      </c>
      <c r="AK32" s="88" t="str">
        <f t="shared" si="7"/>
        <v>Yes</v>
      </c>
      <c r="AL32" s="88" t="str">
        <f t="shared" si="7"/>
        <v>No</v>
      </c>
      <c r="AM32" s="88" t="str">
        <f t="shared" si="7"/>
        <v>No</v>
      </c>
      <c r="AN32" s="88" t="str">
        <f t="shared" si="7"/>
        <v>No</v>
      </c>
      <c r="AO32" s="91" t="str">
        <f t="shared" si="7"/>
        <v>No</v>
      </c>
      <c r="AP32" s="109" t="s">
        <v>191</v>
      </c>
      <c r="AQ32" s="88">
        <v>32</v>
      </c>
      <c r="AR32" s="88" t="s">
        <v>347</v>
      </c>
      <c r="AS32" s="88" t="s">
        <v>347</v>
      </c>
      <c r="AT32" s="88" t="s">
        <v>347</v>
      </c>
      <c r="AU32" s="88" t="s">
        <v>347</v>
      </c>
      <c r="AV32" s="88" t="s">
        <v>347</v>
      </c>
      <c r="AW32" s="88" t="s">
        <v>347</v>
      </c>
      <c r="AX32" s="88" t="s">
        <v>347</v>
      </c>
      <c r="AY32" s="88" t="s">
        <v>347</v>
      </c>
      <c r="AZ32" s="88" t="s">
        <v>347</v>
      </c>
      <c r="BA32" s="88" t="s">
        <v>347</v>
      </c>
      <c r="BB32" s="88" t="s">
        <v>346</v>
      </c>
      <c r="BC32" s="88" t="s">
        <v>347</v>
      </c>
      <c r="BD32" s="88" t="s">
        <v>347</v>
      </c>
      <c r="BE32" s="88" t="s">
        <v>347</v>
      </c>
      <c r="BF32" s="88" t="s">
        <v>346</v>
      </c>
      <c r="BG32" s="88" t="s">
        <v>347</v>
      </c>
      <c r="BH32" s="88" t="s">
        <v>347</v>
      </c>
      <c r="BI32" s="88" t="s">
        <v>347</v>
      </c>
      <c r="BJ32" s="88" t="s">
        <v>347</v>
      </c>
      <c r="BK32" s="88" t="s">
        <v>346</v>
      </c>
      <c r="BL32" s="88" t="s">
        <v>347</v>
      </c>
      <c r="BM32" s="88" t="s">
        <v>347</v>
      </c>
      <c r="BN32" s="88" t="s">
        <v>347</v>
      </c>
      <c r="BO32" s="88" t="s">
        <v>347</v>
      </c>
      <c r="BP32" s="88" t="s">
        <v>347</v>
      </c>
      <c r="BQ32" s="88" t="s">
        <v>347</v>
      </c>
      <c r="BR32" s="88" t="s">
        <v>347</v>
      </c>
      <c r="BS32" s="88" t="s">
        <v>347</v>
      </c>
      <c r="BT32" s="88" t="s">
        <v>347</v>
      </c>
      <c r="BU32" s="88" t="s">
        <v>347</v>
      </c>
      <c r="BV32" s="88" t="s">
        <v>347</v>
      </c>
      <c r="BW32" s="88" t="s">
        <v>347</v>
      </c>
      <c r="BX32" s="88" t="s">
        <v>347</v>
      </c>
      <c r="BY32" s="88" t="s">
        <v>346</v>
      </c>
      <c r="BZ32" s="91" t="s">
        <v>347</v>
      </c>
    </row>
    <row r="33" spans="1:78" s="2" customFormat="1" x14ac:dyDescent="0.25">
      <c r="A33" s="109" t="s">
        <v>192</v>
      </c>
      <c r="B33" s="88" t="s">
        <v>347</v>
      </c>
      <c r="C33" s="88" t="s">
        <v>347</v>
      </c>
      <c r="D33" s="88" t="s">
        <v>347</v>
      </c>
      <c r="E33" s="88" t="s">
        <v>346</v>
      </c>
      <c r="F33" s="88" t="s">
        <v>347</v>
      </c>
      <c r="G33" s="88" t="s">
        <v>347</v>
      </c>
      <c r="H33" s="88" t="s">
        <v>347</v>
      </c>
      <c r="I33" s="88" t="s">
        <v>347</v>
      </c>
      <c r="J33" s="91" t="s">
        <v>347</v>
      </c>
      <c r="K33" s="109" t="s">
        <v>192</v>
      </c>
      <c r="L33" s="88" t="str">
        <f>LOOKUP($K33,PantheonList!$A$18:$A$139,PantheonList!$B$18:$B$139)</f>
        <v>Animal Ken</v>
      </c>
      <c r="M33" s="88" t="str">
        <f>LOOKUP($K33,PantheonList!$A$18:$A$139,PantheonList!$C$18:$C$139)</f>
        <v>Brawl</v>
      </c>
      <c r="N33" s="88" t="str">
        <f>LOOKUP($K33,PantheonList!$A$18:$A$139,PantheonList!$D$18:$D$139)</f>
        <v>Control</v>
      </c>
      <c r="O33" s="88" t="str">
        <f>LOOKUP($K33,PantheonList!$A$18:$A$139,PantheonList!$E$18:$E$139)</f>
        <v>Fortitude</v>
      </c>
      <c r="P33" s="88" t="str">
        <f>LOOKUP($K33,PantheonList!$A$18:$A$139,PantheonList!$F$18:$F$139)</f>
        <v>Investigation</v>
      </c>
      <c r="Q33" s="88" t="str">
        <f>LOOKUP($K33,PantheonList!$A$18:$A$139,PantheonList!$G$18:$G$139)</f>
        <v>Presence</v>
      </c>
      <c r="R33" s="88" t="str">
        <f t="shared" si="6"/>
        <v>No</v>
      </c>
      <c r="S33" s="88" t="str">
        <f t="shared" si="6"/>
        <v>Yes</v>
      </c>
      <c r="T33" s="88" t="str">
        <f t="shared" si="6"/>
        <v>No</v>
      </c>
      <c r="U33" s="88" t="str">
        <f t="shared" si="6"/>
        <v>No</v>
      </c>
      <c r="V33" s="88" t="str">
        <f t="shared" si="6"/>
        <v>No</v>
      </c>
      <c r="W33" s="88" t="str">
        <f t="shared" si="6"/>
        <v>Yes</v>
      </c>
      <c r="X33" s="88" t="str">
        <f t="shared" si="6"/>
        <v>No</v>
      </c>
      <c r="Y33" s="88" t="str">
        <f t="shared" si="6"/>
        <v>Yes</v>
      </c>
      <c r="Z33" s="88" t="str">
        <f t="shared" si="6"/>
        <v>No</v>
      </c>
      <c r="AA33" s="88" t="str">
        <f t="shared" si="6"/>
        <v>No</v>
      </c>
      <c r="AB33" s="88" t="str">
        <f t="shared" si="7"/>
        <v>Yes</v>
      </c>
      <c r="AC33" s="88" t="str">
        <f t="shared" si="7"/>
        <v>No</v>
      </c>
      <c r="AD33" s="88" t="str">
        <f t="shared" si="7"/>
        <v>Yes</v>
      </c>
      <c r="AE33" s="88" t="str">
        <f t="shared" si="7"/>
        <v>No</v>
      </c>
      <c r="AF33" s="88" t="str">
        <f t="shared" si="7"/>
        <v>No</v>
      </c>
      <c r="AG33" s="88" t="str">
        <f t="shared" si="7"/>
        <v>No</v>
      </c>
      <c r="AH33" s="88" t="str">
        <f t="shared" si="7"/>
        <v>No</v>
      </c>
      <c r="AI33" s="88" t="str">
        <f t="shared" si="7"/>
        <v>No</v>
      </c>
      <c r="AJ33" s="88" t="str">
        <f t="shared" si="7"/>
        <v>No</v>
      </c>
      <c r="AK33" s="88" t="str">
        <f t="shared" si="7"/>
        <v>Yes</v>
      </c>
      <c r="AL33" s="88" t="str">
        <f t="shared" si="7"/>
        <v>No</v>
      </c>
      <c r="AM33" s="88" t="str">
        <f t="shared" si="7"/>
        <v>No</v>
      </c>
      <c r="AN33" s="88" t="str">
        <f t="shared" si="7"/>
        <v>No</v>
      </c>
      <c r="AO33" s="91" t="str">
        <f t="shared" si="7"/>
        <v>No</v>
      </c>
      <c r="AP33" s="109" t="s">
        <v>192</v>
      </c>
      <c r="AQ33" s="88">
        <v>33</v>
      </c>
      <c r="AR33" s="88" t="s">
        <v>347</v>
      </c>
      <c r="AS33" s="88" t="s">
        <v>347</v>
      </c>
      <c r="AT33" s="88" t="s">
        <v>347</v>
      </c>
      <c r="AU33" s="88" t="s">
        <v>347</v>
      </c>
      <c r="AV33" s="88" t="s">
        <v>347</v>
      </c>
      <c r="AW33" s="88" t="s">
        <v>347</v>
      </c>
      <c r="AX33" s="88" t="s">
        <v>347</v>
      </c>
      <c r="AY33" s="88" t="s">
        <v>347</v>
      </c>
      <c r="AZ33" s="88" t="s">
        <v>347</v>
      </c>
      <c r="BA33" s="88" t="s">
        <v>347</v>
      </c>
      <c r="BB33" s="88" t="s">
        <v>346</v>
      </c>
      <c r="BC33" s="88" t="s">
        <v>347</v>
      </c>
      <c r="BD33" s="88" t="s">
        <v>347</v>
      </c>
      <c r="BE33" s="88" t="s">
        <v>347</v>
      </c>
      <c r="BF33" s="88" t="s">
        <v>346</v>
      </c>
      <c r="BG33" s="88" t="s">
        <v>347</v>
      </c>
      <c r="BH33" s="88" t="s">
        <v>347</v>
      </c>
      <c r="BI33" s="88" t="s">
        <v>347</v>
      </c>
      <c r="BJ33" s="88" t="s">
        <v>347</v>
      </c>
      <c r="BK33" s="88" t="s">
        <v>346</v>
      </c>
      <c r="BL33" s="88" t="s">
        <v>347</v>
      </c>
      <c r="BM33" s="88" t="s">
        <v>347</v>
      </c>
      <c r="BN33" s="88" t="s">
        <v>347</v>
      </c>
      <c r="BO33" s="88" t="s">
        <v>347</v>
      </c>
      <c r="BP33" s="88" t="s">
        <v>347</v>
      </c>
      <c r="BQ33" s="88" t="s">
        <v>347</v>
      </c>
      <c r="BR33" s="88" t="s">
        <v>347</v>
      </c>
      <c r="BS33" s="88" t="s">
        <v>347</v>
      </c>
      <c r="BT33" s="88" t="s">
        <v>347</v>
      </c>
      <c r="BU33" s="88" t="s">
        <v>347</v>
      </c>
      <c r="BV33" s="88" t="s">
        <v>346</v>
      </c>
      <c r="BW33" s="88" t="s">
        <v>347</v>
      </c>
      <c r="BX33" s="88" t="s">
        <v>347</v>
      </c>
      <c r="BY33" s="88" t="s">
        <v>346</v>
      </c>
      <c r="BZ33" s="91" t="s">
        <v>347</v>
      </c>
    </row>
    <row r="34" spans="1:78" s="2" customFormat="1" x14ac:dyDescent="0.25">
      <c r="A34" s="109" t="s">
        <v>193</v>
      </c>
      <c r="B34" s="88" t="s">
        <v>347</v>
      </c>
      <c r="C34" s="88" t="s">
        <v>347</v>
      </c>
      <c r="D34" s="88" t="s">
        <v>347</v>
      </c>
      <c r="E34" s="88" t="s">
        <v>346</v>
      </c>
      <c r="F34" s="88" t="s">
        <v>347</v>
      </c>
      <c r="G34" s="88" t="s">
        <v>347</v>
      </c>
      <c r="H34" s="88" t="s">
        <v>347</v>
      </c>
      <c r="I34" s="88" t="s">
        <v>346</v>
      </c>
      <c r="J34" s="91" t="s">
        <v>347</v>
      </c>
      <c r="K34" s="109" t="s">
        <v>193</v>
      </c>
      <c r="L34" s="88" t="str">
        <f>LOOKUP($K34,PantheonList!$A$18:$A$139,PantheonList!$B$18:$B$139)</f>
        <v>Academics</v>
      </c>
      <c r="M34" s="88" t="str">
        <f>LOOKUP($K34,PantheonList!$A$18:$A$139,PantheonList!$C$18:$C$139)</f>
        <v>Command</v>
      </c>
      <c r="N34" s="88" t="str">
        <f>LOOKUP($K34,PantheonList!$A$18:$A$139,PantheonList!$D$18:$D$139)</f>
        <v>Fortitude</v>
      </c>
      <c r="O34" s="88" t="str">
        <f>LOOKUP($K34,PantheonList!$A$18:$A$139,PantheonList!$E$18:$E$139)</f>
        <v>Medicine</v>
      </c>
      <c r="P34" s="88" t="str">
        <f>LOOKUP($K34,PantheonList!$A$18:$A$139,PantheonList!$F$18:$F$139)</f>
        <v>Occult</v>
      </c>
      <c r="Q34" s="88" t="str">
        <f>LOOKUP($K34,PantheonList!$A$18:$A$139,PantheonList!$G$18:$G$139)</f>
        <v>Science</v>
      </c>
      <c r="R34" s="88" t="str">
        <f t="shared" si="6"/>
        <v>Yes</v>
      </c>
      <c r="S34" s="88" t="str">
        <f t="shared" si="6"/>
        <v>No</v>
      </c>
      <c r="T34" s="88" t="str">
        <f t="shared" si="6"/>
        <v>No</v>
      </c>
      <c r="U34" s="88" t="str">
        <f t="shared" si="6"/>
        <v>No</v>
      </c>
      <c r="V34" s="88" t="str">
        <f t="shared" si="6"/>
        <v>No</v>
      </c>
      <c r="W34" s="88" t="str">
        <f t="shared" si="6"/>
        <v>No</v>
      </c>
      <c r="X34" s="88" t="str">
        <f t="shared" si="6"/>
        <v>Yes</v>
      </c>
      <c r="Y34" s="88" t="str">
        <f t="shared" si="6"/>
        <v>No</v>
      </c>
      <c r="Z34" s="88" t="str">
        <f t="shared" si="6"/>
        <v>No</v>
      </c>
      <c r="AA34" s="88" t="str">
        <f t="shared" si="6"/>
        <v>No</v>
      </c>
      <c r="AB34" s="88" t="str">
        <f t="shared" si="7"/>
        <v>Yes</v>
      </c>
      <c r="AC34" s="88" t="str">
        <f t="shared" si="7"/>
        <v>No</v>
      </c>
      <c r="AD34" s="88" t="str">
        <f t="shared" si="7"/>
        <v>No</v>
      </c>
      <c r="AE34" s="88" t="str">
        <f t="shared" si="7"/>
        <v>No</v>
      </c>
      <c r="AF34" s="88" t="str">
        <f t="shared" si="7"/>
        <v>No</v>
      </c>
      <c r="AG34" s="88" t="str">
        <f t="shared" si="7"/>
        <v>Yes</v>
      </c>
      <c r="AH34" s="88" t="str">
        <f t="shared" si="7"/>
        <v>No</v>
      </c>
      <c r="AI34" s="88" t="str">
        <f t="shared" si="7"/>
        <v>Yes</v>
      </c>
      <c r="AJ34" s="88" t="str">
        <f t="shared" si="7"/>
        <v>No</v>
      </c>
      <c r="AK34" s="88" t="str">
        <f t="shared" si="7"/>
        <v>No</v>
      </c>
      <c r="AL34" s="88" t="str">
        <f t="shared" si="7"/>
        <v>Yes</v>
      </c>
      <c r="AM34" s="88" t="str">
        <f t="shared" si="7"/>
        <v>No</v>
      </c>
      <c r="AN34" s="88" t="str">
        <f t="shared" si="7"/>
        <v>No</v>
      </c>
      <c r="AO34" s="91" t="str">
        <f t="shared" si="7"/>
        <v>No</v>
      </c>
      <c r="AP34" s="109" t="s">
        <v>193</v>
      </c>
      <c r="AQ34" s="88">
        <v>34</v>
      </c>
      <c r="AR34" s="88" t="s">
        <v>347</v>
      </c>
      <c r="AS34" s="88" t="s">
        <v>347</v>
      </c>
      <c r="AT34" s="88" t="s">
        <v>347</v>
      </c>
      <c r="AU34" s="88" t="s">
        <v>347</v>
      </c>
      <c r="AV34" s="88" t="s">
        <v>347</v>
      </c>
      <c r="AW34" s="88" t="s">
        <v>347</v>
      </c>
      <c r="AX34" s="88" t="s">
        <v>347</v>
      </c>
      <c r="AY34" s="88" t="s">
        <v>347</v>
      </c>
      <c r="AZ34" s="88" t="s">
        <v>347</v>
      </c>
      <c r="BA34" s="88" t="s">
        <v>347</v>
      </c>
      <c r="BB34" s="88" t="s">
        <v>347</v>
      </c>
      <c r="BC34" s="88" t="s">
        <v>347</v>
      </c>
      <c r="BD34" s="88" t="s">
        <v>347</v>
      </c>
      <c r="BE34" s="88" t="s">
        <v>347</v>
      </c>
      <c r="BF34" s="88" t="s">
        <v>347</v>
      </c>
      <c r="BG34" s="88" t="s">
        <v>347</v>
      </c>
      <c r="BH34" s="88" t="s">
        <v>347</v>
      </c>
      <c r="BI34" s="88" t="s">
        <v>347</v>
      </c>
      <c r="BJ34" s="88" t="s">
        <v>347</v>
      </c>
      <c r="BK34" s="88" t="s">
        <v>346</v>
      </c>
      <c r="BL34" s="88" t="s">
        <v>347</v>
      </c>
      <c r="BM34" s="88" t="s">
        <v>346</v>
      </c>
      <c r="BN34" s="88" t="s">
        <v>347</v>
      </c>
      <c r="BO34" s="88" t="s">
        <v>347</v>
      </c>
      <c r="BP34" s="88" t="s">
        <v>346</v>
      </c>
      <c r="BQ34" s="88" t="s">
        <v>347</v>
      </c>
      <c r="BR34" s="88" t="s">
        <v>347</v>
      </c>
      <c r="BS34" s="88" t="s">
        <v>347</v>
      </c>
      <c r="BT34" s="88" t="s">
        <v>346</v>
      </c>
      <c r="BU34" s="88" t="s">
        <v>347</v>
      </c>
      <c r="BV34" s="88" t="s">
        <v>347</v>
      </c>
      <c r="BW34" s="88" t="s">
        <v>347</v>
      </c>
      <c r="BX34" s="88" t="s">
        <v>347</v>
      </c>
      <c r="BY34" s="88" t="s">
        <v>347</v>
      </c>
      <c r="BZ34" s="91" t="s">
        <v>347</v>
      </c>
    </row>
    <row r="35" spans="1:78" s="2" customFormat="1" x14ac:dyDescent="0.25">
      <c r="A35" s="109" t="s">
        <v>223</v>
      </c>
      <c r="B35" s="88" t="s">
        <v>347</v>
      </c>
      <c r="C35" s="88" t="s">
        <v>347</v>
      </c>
      <c r="D35" s="88" t="s">
        <v>346</v>
      </c>
      <c r="E35" s="88" t="s">
        <v>347</v>
      </c>
      <c r="F35" s="88" t="s">
        <v>347</v>
      </c>
      <c r="G35" s="88" t="s">
        <v>347</v>
      </c>
      <c r="H35" s="88" t="s">
        <v>346</v>
      </c>
      <c r="I35" s="88" t="s">
        <v>346</v>
      </c>
      <c r="J35" s="91" t="s">
        <v>347</v>
      </c>
      <c r="K35" s="109" t="s">
        <v>223</v>
      </c>
      <c r="L35" s="88" t="str">
        <f>LOOKUP($K35,PantheonList!$A$18:$A$139,PantheonList!$B$18:$B$139)</f>
        <v>Animal Ken</v>
      </c>
      <c r="M35" s="88" t="str">
        <f>LOOKUP($K35,PantheonList!$A$18:$A$139,PantheonList!$C$18:$C$139)</f>
        <v>Art</v>
      </c>
      <c r="N35" s="88" t="str">
        <f>LOOKUP($K35,PantheonList!$A$18:$A$139,PantheonList!$D$18:$D$139)</f>
        <v>Awareness</v>
      </c>
      <c r="O35" s="88" t="str">
        <f>LOOKUP($K35,PantheonList!$A$18:$A$139,PantheonList!$E$18:$E$139)</f>
        <v>Craft</v>
      </c>
      <c r="P35" s="88" t="str">
        <f>LOOKUP($K35,PantheonList!$A$18:$A$139,PantheonList!$F$18:$F$139)</f>
        <v>Integrity</v>
      </c>
      <c r="Q35" s="88" t="str">
        <f>LOOKUP($K35,PantheonList!$A$18:$A$139,PantheonList!$G$18:$G$139)</f>
        <v>Occult</v>
      </c>
      <c r="R35" s="88" t="str">
        <f t="shared" si="6"/>
        <v>No</v>
      </c>
      <c r="S35" s="88" t="str">
        <f t="shared" si="6"/>
        <v>Yes</v>
      </c>
      <c r="T35" s="88" t="str">
        <f t="shared" si="6"/>
        <v>Yes</v>
      </c>
      <c r="U35" s="88" t="str">
        <f t="shared" si="6"/>
        <v>No</v>
      </c>
      <c r="V35" s="88" t="str">
        <f t="shared" si="6"/>
        <v>Yes</v>
      </c>
      <c r="W35" s="88" t="str">
        <f t="shared" si="6"/>
        <v>No</v>
      </c>
      <c r="X35" s="88" t="str">
        <f t="shared" si="6"/>
        <v>No</v>
      </c>
      <c r="Y35" s="88" t="str">
        <f t="shared" si="6"/>
        <v>No</v>
      </c>
      <c r="Z35" s="88" t="str">
        <f t="shared" si="6"/>
        <v>Yes</v>
      </c>
      <c r="AA35" s="88" t="str">
        <f t="shared" si="6"/>
        <v>No</v>
      </c>
      <c r="AB35" s="88" t="str">
        <f t="shared" si="7"/>
        <v>No</v>
      </c>
      <c r="AC35" s="88" t="str">
        <f t="shared" si="7"/>
        <v>Yes</v>
      </c>
      <c r="AD35" s="88" t="str">
        <f t="shared" si="7"/>
        <v>No</v>
      </c>
      <c r="AE35" s="88" t="str">
        <f t="shared" si="7"/>
        <v>No</v>
      </c>
      <c r="AF35" s="88" t="str">
        <f t="shared" si="7"/>
        <v>No</v>
      </c>
      <c r="AG35" s="88" t="str">
        <f t="shared" si="7"/>
        <v>No</v>
      </c>
      <c r="AH35" s="88" t="str">
        <f t="shared" si="7"/>
        <v>No</v>
      </c>
      <c r="AI35" s="88" t="str">
        <f t="shared" si="7"/>
        <v>Yes</v>
      </c>
      <c r="AJ35" s="88" t="str">
        <f t="shared" si="7"/>
        <v>No</v>
      </c>
      <c r="AK35" s="88" t="str">
        <f t="shared" si="7"/>
        <v>No</v>
      </c>
      <c r="AL35" s="88" t="str">
        <f t="shared" si="7"/>
        <v>No</v>
      </c>
      <c r="AM35" s="88" t="str">
        <f t="shared" si="7"/>
        <v>No</v>
      </c>
      <c r="AN35" s="88" t="str">
        <f t="shared" si="7"/>
        <v>No</v>
      </c>
      <c r="AO35" s="91" t="str">
        <f t="shared" si="7"/>
        <v>No</v>
      </c>
      <c r="AP35" s="109" t="s">
        <v>223</v>
      </c>
      <c r="AQ35" s="88">
        <v>35</v>
      </c>
      <c r="AR35" s="88" t="s">
        <v>347</v>
      </c>
      <c r="AS35" s="88" t="s">
        <v>347</v>
      </c>
      <c r="AT35" s="88" t="s">
        <v>347</v>
      </c>
      <c r="AU35" s="88" t="s">
        <v>347</v>
      </c>
      <c r="AV35" s="88" t="s">
        <v>347</v>
      </c>
      <c r="AW35" s="88" t="s">
        <v>347</v>
      </c>
      <c r="AX35" s="88" t="s">
        <v>347</v>
      </c>
      <c r="AY35" s="88" t="s">
        <v>347</v>
      </c>
      <c r="AZ35" s="88" t="s">
        <v>347</v>
      </c>
      <c r="BA35" s="88" t="s">
        <v>347</v>
      </c>
      <c r="BB35" s="88" t="s">
        <v>346</v>
      </c>
      <c r="BC35" s="88" t="s">
        <v>347</v>
      </c>
      <c r="BD35" s="88" t="s">
        <v>347</v>
      </c>
      <c r="BE35" s="88" t="s">
        <v>347</v>
      </c>
      <c r="BF35" s="88" t="s">
        <v>347</v>
      </c>
      <c r="BG35" s="88" t="s">
        <v>347</v>
      </c>
      <c r="BH35" s="88" t="s">
        <v>347</v>
      </c>
      <c r="BI35" s="88" t="s">
        <v>347</v>
      </c>
      <c r="BJ35" s="88" t="s">
        <v>347</v>
      </c>
      <c r="BK35" s="88" t="s">
        <v>347</v>
      </c>
      <c r="BL35" s="88" t="s">
        <v>347</v>
      </c>
      <c r="BM35" s="88" t="s">
        <v>347</v>
      </c>
      <c r="BN35" s="88" t="s">
        <v>347</v>
      </c>
      <c r="BO35" s="88" t="s">
        <v>347</v>
      </c>
      <c r="BP35" s="88" t="s">
        <v>346</v>
      </c>
      <c r="BQ35" s="88" t="s">
        <v>347</v>
      </c>
      <c r="BR35" s="88" t="s">
        <v>347</v>
      </c>
      <c r="BS35" s="88" t="s">
        <v>347</v>
      </c>
      <c r="BT35" s="88" t="s">
        <v>346</v>
      </c>
      <c r="BU35" s="88" t="s">
        <v>347</v>
      </c>
      <c r="BV35" s="88" t="s">
        <v>346</v>
      </c>
      <c r="BW35" s="88" t="s">
        <v>346</v>
      </c>
      <c r="BX35" s="88" t="s">
        <v>347</v>
      </c>
      <c r="BY35" s="88" t="s">
        <v>347</v>
      </c>
      <c r="BZ35" s="91" t="s">
        <v>347</v>
      </c>
    </row>
    <row r="36" spans="1:78" s="2" customFormat="1" x14ac:dyDescent="0.25">
      <c r="A36" s="109" t="s">
        <v>237</v>
      </c>
      <c r="B36" s="88" t="s">
        <v>347</v>
      </c>
      <c r="C36" s="88" t="s">
        <v>347</v>
      </c>
      <c r="D36" s="88" t="s">
        <v>347</v>
      </c>
      <c r="E36" s="88" t="s">
        <v>347</v>
      </c>
      <c r="F36" s="88" t="s">
        <v>347</v>
      </c>
      <c r="G36" s="88" t="s">
        <v>347</v>
      </c>
      <c r="H36" s="88" t="s">
        <v>346</v>
      </c>
      <c r="I36" s="88" t="s">
        <v>346</v>
      </c>
      <c r="J36" s="91" t="s">
        <v>347</v>
      </c>
      <c r="K36" s="109" t="s">
        <v>237</v>
      </c>
      <c r="L36" s="88" t="str">
        <f>LOOKUP($K36,PantheonList!$A$18:$A$139,PantheonList!$B$18:$B$139)</f>
        <v>Academics</v>
      </c>
      <c r="M36" s="88" t="str">
        <f>LOOKUP($K36,PantheonList!$A$18:$A$139,PantheonList!$C$18:$C$139)</f>
        <v>Athletics</v>
      </c>
      <c r="N36" s="88" t="str">
        <f>LOOKUP($K36,PantheonList!$A$18:$A$139,PantheonList!$D$18:$D$139)</f>
        <v>Awareness</v>
      </c>
      <c r="O36" s="88" t="str">
        <f>LOOKUP($K36,PantheonList!$A$18:$A$139,PantheonList!$E$18:$E$139)</f>
        <v>Command</v>
      </c>
      <c r="P36" s="88" t="str">
        <f>LOOKUP($K36,PantheonList!$A$18:$A$139,PantheonList!$F$18:$F$139)</f>
        <v>Fortitude</v>
      </c>
      <c r="Q36" s="88" t="str">
        <f>LOOKUP($K36,PantheonList!$A$18:$A$139,PantheonList!$G$18:$G$139)</f>
        <v>Science</v>
      </c>
      <c r="R36" s="88" t="str">
        <f t="shared" si="6"/>
        <v>Yes</v>
      </c>
      <c r="S36" s="88" t="str">
        <f t="shared" si="6"/>
        <v>No</v>
      </c>
      <c r="T36" s="88" t="str">
        <f t="shared" si="6"/>
        <v>No</v>
      </c>
      <c r="U36" s="88" t="str">
        <f t="shared" si="6"/>
        <v>Yes</v>
      </c>
      <c r="V36" s="88" t="str">
        <f t="shared" si="6"/>
        <v>Yes</v>
      </c>
      <c r="W36" s="88" t="str">
        <f t="shared" si="6"/>
        <v>No</v>
      </c>
      <c r="X36" s="88" t="str">
        <f t="shared" si="6"/>
        <v>Yes</v>
      </c>
      <c r="Y36" s="88" t="str">
        <f t="shared" si="6"/>
        <v>No</v>
      </c>
      <c r="Z36" s="88" t="str">
        <f t="shared" si="6"/>
        <v>No</v>
      </c>
      <c r="AA36" s="88" t="str">
        <f t="shared" si="6"/>
        <v>No</v>
      </c>
      <c r="AB36" s="88" t="str">
        <f t="shared" si="7"/>
        <v>Yes</v>
      </c>
      <c r="AC36" s="88" t="str">
        <f t="shared" si="7"/>
        <v>No</v>
      </c>
      <c r="AD36" s="88" t="str">
        <f t="shared" si="7"/>
        <v>No</v>
      </c>
      <c r="AE36" s="88" t="str">
        <f t="shared" si="7"/>
        <v>No</v>
      </c>
      <c r="AF36" s="88" t="str">
        <f t="shared" si="7"/>
        <v>No</v>
      </c>
      <c r="AG36" s="88" t="str">
        <f t="shared" si="7"/>
        <v>No</v>
      </c>
      <c r="AH36" s="88" t="str">
        <f t="shared" si="7"/>
        <v>No</v>
      </c>
      <c r="AI36" s="88" t="str">
        <f t="shared" si="7"/>
        <v>No</v>
      </c>
      <c r="AJ36" s="88" t="str">
        <f t="shared" si="7"/>
        <v>No</v>
      </c>
      <c r="AK36" s="88" t="str">
        <f t="shared" si="7"/>
        <v>No</v>
      </c>
      <c r="AL36" s="88" t="str">
        <f t="shared" si="7"/>
        <v>Yes</v>
      </c>
      <c r="AM36" s="88" t="str">
        <f t="shared" si="7"/>
        <v>No</v>
      </c>
      <c r="AN36" s="88" t="str">
        <f t="shared" si="7"/>
        <v>No</v>
      </c>
      <c r="AO36" s="91" t="str">
        <f t="shared" si="7"/>
        <v>No</v>
      </c>
      <c r="AP36" s="109" t="s">
        <v>237</v>
      </c>
      <c r="AQ36" s="88">
        <v>36</v>
      </c>
      <c r="AR36" s="88" t="s">
        <v>346</v>
      </c>
      <c r="AS36" s="88" t="s">
        <v>347</v>
      </c>
      <c r="AT36" s="88" t="s">
        <v>347</v>
      </c>
      <c r="AU36" s="88" t="s">
        <v>347</v>
      </c>
      <c r="AV36" s="88" t="s">
        <v>347</v>
      </c>
      <c r="AW36" s="88" t="s">
        <v>347</v>
      </c>
      <c r="AX36" s="88" t="s">
        <v>347</v>
      </c>
      <c r="AY36" s="88" t="s">
        <v>347</v>
      </c>
      <c r="AZ36" s="88" t="s">
        <v>346</v>
      </c>
      <c r="BA36" s="88" t="s">
        <v>347</v>
      </c>
      <c r="BB36" s="88" t="s">
        <v>347</v>
      </c>
      <c r="BC36" s="88" t="s">
        <v>346</v>
      </c>
      <c r="BD36" s="88" t="s">
        <v>347</v>
      </c>
      <c r="BE36" s="88" t="s">
        <v>347</v>
      </c>
      <c r="BF36" s="88" t="s">
        <v>347</v>
      </c>
      <c r="BG36" s="88" t="s">
        <v>347</v>
      </c>
      <c r="BH36" s="88" t="s">
        <v>347</v>
      </c>
      <c r="BI36" s="88" t="s">
        <v>347</v>
      </c>
      <c r="BJ36" s="88" t="s">
        <v>347</v>
      </c>
      <c r="BK36" s="88" t="s">
        <v>347</v>
      </c>
      <c r="BL36" s="88" t="s">
        <v>347</v>
      </c>
      <c r="BM36" s="88" t="s">
        <v>346</v>
      </c>
      <c r="BN36" s="88" t="s">
        <v>347</v>
      </c>
      <c r="BO36" s="88" t="s">
        <v>346</v>
      </c>
      <c r="BP36" s="88" t="s">
        <v>346</v>
      </c>
      <c r="BQ36" s="88" t="s">
        <v>346</v>
      </c>
      <c r="BR36" s="88" t="s">
        <v>346</v>
      </c>
      <c r="BS36" s="88" t="s">
        <v>347</v>
      </c>
      <c r="BT36" s="88" t="s">
        <v>347</v>
      </c>
      <c r="BU36" s="88" t="s">
        <v>347</v>
      </c>
      <c r="BV36" s="88" t="s">
        <v>347</v>
      </c>
      <c r="BW36" s="88" t="s">
        <v>347</v>
      </c>
      <c r="BX36" s="88" t="s">
        <v>347</v>
      </c>
      <c r="BY36" s="88" t="s">
        <v>347</v>
      </c>
      <c r="BZ36" s="91" t="s">
        <v>347</v>
      </c>
    </row>
    <row r="37" spans="1:78" s="2" customFormat="1" x14ac:dyDescent="0.25">
      <c r="A37" s="109" t="s">
        <v>273</v>
      </c>
      <c r="B37" s="88" t="s">
        <v>347</v>
      </c>
      <c r="C37" s="88" t="s">
        <v>347</v>
      </c>
      <c r="D37" s="88" t="s">
        <v>347</v>
      </c>
      <c r="E37" s="88" t="s">
        <v>347</v>
      </c>
      <c r="F37" s="88" t="s">
        <v>347</v>
      </c>
      <c r="G37" s="88" t="s">
        <v>347</v>
      </c>
      <c r="H37" s="88" t="s">
        <v>347</v>
      </c>
      <c r="I37" s="88" t="s">
        <v>347</v>
      </c>
      <c r="J37" s="91" t="s">
        <v>347</v>
      </c>
      <c r="K37" s="109" t="s">
        <v>273</v>
      </c>
      <c r="L37" s="88" t="str">
        <f>LOOKUP($K37,PantheonList!$A$18:$A$139,PantheonList!$B$18:$B$139)</f>
        <v>Art</v>
      </c>
      <c r="M37" s="88" t="str">
        <f>LOOKUP($K37,PantheonList!$A$18:$A$139,PantheonList!$C$18:$C$139)</f>
        <v>Command</v>
      </c>
      <c r="N37" s="88" t="str">
        <f>LOOKUP($K37,PantheonList!$A$18:$A$139,PantheonList!$D$18:$D$139)</f>
        <v>Empathy</v>
      </c>
      <c r="O37" s="88" t="str">
        <f>LOOKUP($K37,PantheonList!$A$18:$A$139,PantheonList!$E$18:$E$139)</f>
        <v>Fortitude</v>
      </c>
      <c r="P37" s="88" t="str">
        <f>LOOKUP($K37,PantheonList!$A$18:$A$139,PantheonList!$F$18:$F$139)</f>
        <v>Politics</v>
      </c>
      <c r="Q37" s="88" t="str">
        <f>LOOKUP($K37,PantheonList!$A$18:$A$139,PantheonList!$G$18:$G$139)</f>
        <v>Science</v>
      </c>
      <c r="R37" s="88" t="str">
        <f t="shared" si="6"/>
        <v>No</v>
      </c>
      <c r="S37" s="88" t="str">
        <f t="shared" si="6"/>
        <v>No</v>
      </c>
      <c r="T37" s="88" t="str">
        <f t="shared" si="6"/>
        <v>Yes</v>
      </c>
      <c r="U37" s="88" t="str">
        <f t="shared" si="6"/>
        <v>No</v>
      </c>
      <c r="V37" s="88" t="str">
        <f t="shared" si="6"/>
        <v>No</v>
      </c>
      <c r="W37" s="88" t="str">
        <f t="shared" si="6"/>
        <v>No</v>
      </c>
      <c r="X37" s="88" t="str">
        <f t="shared" si="6"/>
        <v>Yes</v>
      </c>
      <c r="Y37" s="88" t="str">
        <f t="shared" si="6"/>
        <v>No</v>
      </c>
      <c r="Z37" s="88" t="str">
        <f t="shared" si="6"/>
        <v>No</v>
      </c>
      <c r="AA37" s="88" t="str">
        <f t="shared" si="6"/>
        <v>Yes</v>
      </c>
      <c r="AB37" s="88" t="str">
        <f t="shared" si="7"/>
        <v>Yes</v>
      </c>
      <c r="AC37" s="88" t="str">
        <f t="shared" si="7"/>
        <v>No</v>
      </c>
      <c r="AD37" s="88" t="str">
        <f t="shared" si="7"/>
        <v>No</v>
      </c>
      <c r="AE37" s="88" t="str">
        <f t="shared" si="7"/>
        <v>No</v>
      </c>
      <c r="AF37" s="88" t="str">
        <f t="shared" si="7"/>
        <v>No</v>
      </c>
      <c r="AG37" s="88" t="str">
        <f t="shared" si="7"/>
        <v>No</v>
      </c>
      <c r="AH37" s="88" t="str">
        <f t="shared" si="7"/>
        <v>No</v>
      </c>
      <c r="AI37" s="88" t="str">
        <f t="shared" si="7"/>
        <v>No</v>
      </c>
      <c r="AJ37" s="88" t="str">
        <f t="shared" si="7"/>
        <v>Yes</v>
      </c>
      <c r="AK37" s="88" t="str">
        <f t="shared" si="7"/>
        <v>No</v>
      </c>
      <c r="AL37" s="88" t="str">
        <f t="shared" si="7"/>
        <v>Yes</v>
      </c>
      <c r="AM37" s="88" t="str">
        <f t="shared" si="7"/>
        <v>No</v>
      </c>
      <c r="AN37" s="88" t="str">
        <f t="shared" si="7"/>
        <v>No</v>
      </c>
      <c r="AO37" s="91" t="str">
        <f t="shared" si="7"/>
        <v>No</v>
      </c>
      <c r="AP37" s="109" t="s">
        <v>273</v>
      </c>
      <c r="AQ37" s="88">
        <v>37</v>
      </c>
      <c r="AR37" s="88" t="s">
        <v>346</v>
      </c>
      <c r="AS37" s="88" t="s">
        <v>347</v>
      </c>
      <c r="AT37" s="88" t="s">
        <v>347</v>
      </c>
      <c r="AU37" s="88" t="s">
        <v>347</v>
      </c>
      <c r="AV37" s="88" t="s">
        <v>347</v>
      </c>
      <c r="AW37" s="88" t="s">
        <v>347</v>
      </c>
      <c r="AX37" s="88" t="s">
        <v>347</v>
      </c>
      <c r="AY37" s="88" t="s">
        <v>347</v>
      </c>
      <c r="AZ37" s="88" t="s">
        <v>346</v>
      </c>
      <c r="BA37" s="88" t="s">
        <v>347</v>
      </c>
      <c r="BB37" s="88" t="s">
        <v>346</v>
      </c>
      <c r="BC37" s="88" t="s">
        <v>347</v>
      </c>
      <c r="BD37" s="88" t="s">
        <v>347</v>
      </c>
      <c r="BE37" s="88" t="s">
        <v>347</v>
      </c>
      <c r="BF37" s="88" t="s">
        <v>347</v>
      </c>
      <c r="BG37" s="88" t="s">
        <v>346</v>
      </c>
      <c r="BH37" s="88" t="s">
        <v>347</v>
      </c>
      <c r="BI37" s="88" t="s">
        <v>347</v>
      </c>
      <c r="BJ37" s="88" t="s">
        <v>347</v>
      </c>
      <c r="BK37" s="88" t="s">
        <v>347</v>
      </c>
      <c r="BL37" s="88" t="s">
        <v>346</v>
      </c>
      <c r="BM37" s="88" t="s">
        <v>347</v>
      </c>
      <c r="BN37" s="88" t="s">
        <v>347</v>
      </c>
      <c r="BO37" s="88" t="s">
        <v>347</v>
      </c>
      <c r="BP37" s="88" t="s">
        <v>347</v>
      </c>
      <c r="BQ37" s="88" t="s">
        <v>347</v>
      </c>
      <c r="BR37" s="88" t="s">
        <v>347</v>
      </c>
      <c r="BS37" s="88" t="s">
        <v>347</v>
      </c>
      <c r="BT37" s="88" t="s">
        <v>347</v>
      </c>
      <c r="BU37" s="88" t="s">
        <v>347</v>
      </c>
      <c r="BV37" s="88" t="s">
        <v>347</v>
      </c>
      <c r="BW37" s="88" t="s">
        <v>347</v>
      </c>
      <c r="BX37" s="88" t="s">
        <v>347</v>
      </c>
      <c r="BY37" s="88" t="s">
        <v>347</v>
      </c>
      <c r="BZ37" s="91" t="s">
        <v>347</v>
      </c>
    </row>
    <row r="38" spans="1:78" s="2" customFormat="1" x14ac:dyDescent="0.25">
      <c r="A38" s="109" t="s">
        <v>224</v>
      </c>
      <c r="B38" s="88" t="s">
        <v>347</v>
      </c>
      <c r="C38" s="88" t="s">
        <v>347</v>
      </c>
      <c r="D38" s="88" t="s">
        <v>346</v>
      </c>
      <c r="E38" s="88" t="s">
        <v>346</v>
      </c>
      <c r="F38" s="88" t="s">
        <v>346</v>
      </c>
      <c r="G38" s="88" t="s">
        <v>347</v>
      </c>
      <c r="H38" s="88" t="s">
        <v>347</v>
      </c>
      <c r="I38" s="88" t="s">
        <v>347</v>
      </c>
      <c r="J38" s="91" t="s">
        <v>347</v>
      </c>
      <c r="K38" s="109" t="s">
        <v>224</v>
      </c>
      <c r="L38" s="88" t="str">
        <f>LOOKUP($K38,PantheonList!$A$18:$A$139,PantheonList!$B$18:$B$139)</f>
        <v>Command</v>
      </c>
      <c r="M38" s="88" t="str">
        <f>LOOKUP($K38,PantheonList!$A$18:$A$139,PantheonList!$C$18:$C$139)</f>
        <v>Control</v>
      </c>
      <c r="N38" s="88" t="str">
        <f>LOOKUP($K38,PantheonList!$A$18:$A$139,PantheonList!$D$18:$D$139)</f>
        <v>Fortitude</v>
      </c>
      <c r="O38" s="88" t="str">
        <f>LOOKUP($K38,PantheonList!$A$18:$A$139,PantheonList!$E$18:$E$139)</f>
        <v>Integrity</v>
      </c>
      <c r="P38" s="88" t="str">
        <f>LOOKUP($K38,PantheonList!$A$18:$A$139,PantheonList!$F$18:$F$139)</f>
        <v>Melee</v>
      </c>
      <c r="Q38" s="88" t="str">
        <f>LOOKUP($K38,PantheonList!$A$18:$A$139,PantheonList!$G$18:$G$139)</f>
        <v>Politics</v>
      </c>
      <c r="R38" s="88" t="str">
        <f t="shared" si="6"/>
        <v>No</v>
      </c>
      <c r="S38" s="88" t="str">
        <f t="shared" si="6"/>
        <v>No</v>
      </c>
      <c r="T38" s="88" t="str">
        <f t="shared" si="6"/>
        <v>No</v>
      </c>
      <c r="U38" s="88" t="str">
        <f t="shared" si="6"/>
        <v>No</v>
      </c>
      <c r="V38" s="88" t="str">
        <f t="shared" si="6"/>
        <v>No</v>
      </c>
      <c r="W38" s="88" t="str">
        <f t="shared" si="6"/>
        <v>No</v>
      </c>
      <c r="X38" s="88" t="str">
        <f t="shared" si="6"/>
        <v>Yes</v>
      </c>
      <c r="Y38" s="88" t="str">
        <f t="shared" si="6"/>
        <v>Yes</v>
      </c>
      <c r="Z38" s="88" t="str">
        <f t="shared" si="6"/>
        <v>No</v>
      </c>
      <c r="AA38" s="88" t="str">
        <f t="shared" si="6"/>
        <v>No</v>
      </c>
      <c r="AB38" s="88" t="str">
        <f t="shared" si="7"/>
        <v>Yes</v>
      </c>
      <c r="AC38" s="88" t="str">
        <f t="shared" si="7"/>
        <v>Yes</v>
      </c>
      <c r="AD38" s="88" t="str">
        <f t="shared" si="7"/>
        <v>No</v>
      </c>
      <c r="AE38" s="88" t="str">
        <f t="shared" si="7"/>
        <v>No</v>
      </c>
      <c r="AF38" s="88" t="str">
        <f t="shared" si="7"/>
        <v>No</v>
      </c>
      <c r="AG38" s="88" t="str">
        <f t="shared" si="7"/>
        <v>No</v>
      </c>
      <c r="AH38" s="88" t="str">
        <f t="shared" si="7"/>
        <v>Yes</v>
      </c>
      <c r="AI38" s="88" t="str">
        <f t="shared" si="7"/>
        <v>No</v>
      </c>
      <c r="AJ38" s="88" t="str">
        <f t="shared" si="7"/>
        <v>Yes</v>
      </c>
      <c r="AK38" s="88" t="str">
        <f t="shared" si="7"/>
        <v>No</v>
      </c>
      <c r="AL38" s="88" t="str">
        <f t="shared" si="7"/>
        <v>No</v>
      </c>
      <c r="AM38" s="88" t="str">
        <f t="shared" si="7"/>
        <v>No</v>
      </c>
      <c r="AN38" s="88" t="str">
        <f t="shared" si="7"/>
        <v>No</v>
      </c>
      <c r="AO38" s="91" t="str">
        <f t="shared" si="7"/>
        <v>No</v>
      </c>
      <c r="AP38" s="109" t="s">
        <v>224</v>
      </c>
      <c r="AQ38" s="88">
        <v>38</v>
      </c>
      <c r="AR38" s="88" t="s">
        <v>347</v>
      </c>
      <c r="AS38" s="88" t="s">
        <v>347</v>
      </c>
      <c r="AT38" s="88" t="s">
        <v>347</v>
      </c>
      <c r="AU38" s="88" t="s">
        <v>347</v>
      </c>
      <c r="AV38" s="88" t="s">
        <v>347</v>
      </c>
      <c r="AW38" s="88" t="s">
        <v>347</v>
      </c>
      <c r="AX38" s="88" t="s">
        <v>347</v>
      </c>
      <c r="AY38" s="88" t="s">
        <v>347</v>
      </c>
      <c r="AZ38" s="88" t="s">
        <v>347</v>
      </c>
      <c r="BA38" s="88" t="s">
        <v>347</v>
      </c>
      <c r="BB38" s="88" t="s">
        <v>347</v>
      </c>
      <c r="BC38" s="88" t="s">
        <v>347</v>
      </c>
      <c r="BD38" s="88" t="s">
        <v>347</v>
      </c>
      <c r="BE38" s="88" t="s">
        <v>346</v>
      </c>
      <c r="BF38" s="88" t="s">
        <v>347</v>
      </c>
      <c r="BG38" s="88" t="s">
        <v>347</v>
      </c>
      <c r="BH38" s="88" t="s">
        <v>347</v>
      </c>
      <c r="BI38" s="88" t="s">
        <v>347</v>
      </c>
      <c r="BJ38" s="88" t="s">
        <v>347</v>
      </c>
      <c r="BK38" s="88" t="s">
        <v>347</v>
      </c>
      <c r="BL38" s="88" t="s">
        <v>346</v>
      </c>
      <c r="BM38" s="88" t="s">
        <v>347</v>
      </c>
      <c r="BN38" s="88" t="s">
        <v>347</v>
      </c>
      <c r="BO38" s="88" t="s">
        <v>347</v>
      </c>
      <c r="BP38" s="88" t="s">
        <v>347</v>
      </c>
      <c r="BQ38" s="88" t="s">
        <v>347</v>
      </c>
      <c r="BR38" s="88" t="s">
        <v>347</v>
      </c>
      <c r="BS38" s="88" t="s">
        <v>347</v>
      </c>
      <c r="BT38" s="88" t="s">
        <v>347</v>
      </c>
      <c r="BU38" s="88" t="s">
        <v>347</v>
      </c>
      <c r="BV38" s="88" t="s">
        <v>347</v>
      </c>
      <c r="BW38" s="88" t="s">
        <v>346</v>
      </c>
      <c r="BX38" s="88" t="s">
        <v>347</v>
      </c>
      <c r="BY38" s="88" t="s">
        <v>346</v>
      </c>
      <c r="BZ38" s="91" t="s">
        <v>347</v>
      </c>
    </row>
    <row r="39" spans="1:78" s="2" customFormat="1" x14ac:dyDescent="0.25">
      <c r="A39" s="109" t="s">
        <v>225</v>
      </c>
      <c r="B39" s="88" t="s">
        <v>347</v>
      </c>
      <c r="C39" s="88" t="s">
        <v>347</v>
      </c>
      <c r="D39" s="88" t="s">
        <v>347</v>
      </c>
      <c r="E39" s="88" t="s">
        <v>346</v>
      </c>
      <c r="F39" s="88" t="s">
        <v>347</v>
      </c>
      <c r="G39" s="88" t="s">
        <v>346</v>
      </c>
      <c r="H39" s="88" t="s">
        <v>346</v>
      </c>
      <c r="I39" s="88" t="s">
        <v>347</v>
      </c>
      <c r="J39" s="91" t="s">
        <v>347</v>
      </c>
      <c r="K39" s="109" t="s">
        <v>225</v>
      </c>
      <c r="L39" s="88" t="str">
        <f>LOOKUP($K39,PantheonList!$A$18:$A$139,PantheonList!$B$18:$B$139)</f>
        <v>Academics</v>
      </c>
      <c r="M39" s="88" t="str">
        <f>LOOKUP($K39,PantheonList!$A$18:$A$139,PantheonList!$C$18:$C$139)</f>
        <v>Awareness</v>
      </c>
      <c r="N39" s="88" t="str">
        <f>LOOKUP($K39,PantheonList!$A$18:$A$139,PantheonList!$D$18:$D$139)</f>
        <v>Empathy</v>
      </c>
      <c r="O39" s="88" t="str">
        <f>LOOKUP($K39,PantheonList!$A$18:$A$139,PantheonList!$E$18:$E$139)</f>
        <v>Investigation</v>
      </c>
      <c r="P39" s="88" t="str">
        <f>LOOKUP($K39,PantheonList!$A$18:$A$139,PantheonList!$F$18:$F$139)</f>
        <v>Medicine</v>
      </c>
      <c r="Q39" s="88" t="str">
        <f>LOOKUP($K39,PantheonList!$A$18:$A$139,PantheonList!$G$18:$G$139)</f>
        <v>Presence</v>
      </c>
      <c r="R39" s="88" t="str">
        <f t="shared" si="6"/>
        <v>Yes</v>
      </c>
      <c r="S39" s="88" t="str">
        <f t="shared" si="6"/>
        <v>No</v>
      </c>
      <c r="T39" s="88" t="str">
        <f t="shared" si="6"/>
        <v>No</v>
      </c>
      <c r="U39" s="88" t="str">
        <f t="shared" si="6"/>
        <v>No</v>
      </c>
      <c r="V39" s="88" t="str">
        <f t="shared" si="6"/>
        <v>Yes</v>
      </c>
      <c r="W39" s="88" t="str">
        <f t="shared" si="6"/>
        <v>No</v>
      </c>
      <c r="X39" s="88" t="str">
        <f t="shared" si="6"/>
        <v>No</v>
      </c>
      <c r="Y39" s="88" t="str">
        <f t="shared" si="6"/>
        <v>No</v>
      </c>
      <c r="Z39" s="88" t="str">
        <f t="shared" si="6"/>
        <v>No</v>
      </c>
      <c r="AA39" s="88" t="str">
        <f t="shared" si="6"/>
        <v>Yes</v>
      </c>
      <c r="AB39" s="88" t="str">
        <f t="shared" si="7"/>
        <v>No</v>
      </c>
      <c r="AC39" s="88" t="str">
        <f t="shared" si="7"/>
        <v>No</v>
      </c>
      <c r="AD39" s="88" t="str">
        <f t="shared" si="7"/>
        <v>Yes</v>
      </c>
      <c r="AE39" s="88" t="str">
        <f t="shared" si="7"/>
        <v>No</v>
      </c>
      <c r="AF39" s="88" t="str">
        <f t="shared" si="7"/>
        <v>No</v>
      </c>
      <c r="AG39" s="88" t="str">
        <f t="shared" si="7"/>
        <v>Yes</v>
      </c>
      <c r="AH39" s="88" t="str">
        <f t="shared" si="7"/>
        <v>No</v>
      </c>
      <c r="AI39" s="88" t="str">
        <f t="shared" si="7"/>
        <v>No</v>
      </c>
      <c r="AJ39" s="88" t="str">
        <f t="shared" si="7"/>
        <v>No</v>
      </c>
      <c r="AK39" s="88" t="str">
        <f t="shared" si="7"/>
        <v>Yes</v>
      </c>
      <c r="AL39" s="88" t="str">
        <f t="shared" si="7"/>
        <v>No</v>
      </c>
      <c r="AM39" s="88" t="str">
        <f t="shared" si="7"/>
        <v>No</v>
      </c>
      <c r="AN39" s="88" t="str">
        <f t="shared" si="7"/>
        <v>No</v>
      </c>
      <c r="AO39" s="91" t="str">
        <f t="shared" si="7"/>
        <v>No</v>
      </c>
      <c r="AP39" s="109" t="s">
        <v>225</v>
      </c>
      <c r="AQ39" s="88">
        <v>39</v>
      </c>
      <c r="AR39" s="88" t="s">
        <v>347</v>
      </c>
      <c r="AS39" s="88" t="s">
        <v>347</v>
      </c>
      <c r="AT39" s="88" t="s">
        <v>347</v>
      </c>
      <c r="AU39" s="88" t="s">
        <v>347</v>
      </c>
      <c r="AV39" s="88" t="s">
        <v>347</v>
      </c>
      <c r="AW39" s="88" t="s">
        <v>347</v>
      </c>
      <c r="AX39" s="88" t="s">
        <v>347</v>
      </c>
      <c r="AY39" s="88" t="s">
        <v>347</v>
      </c>
      <c r="AZ39" s="88" t="s">
        <v>347</v>
      </c>
      <c r="BA39" s="88" t="s">
        <v>347</v>
      </c>
      <c r="BB39" s="88" t="s">
        <v>347</v>
      </c>
      <c r="BC39" s="88" t="s">
        <v>347</v>
      </c>
      <c r="BD39" s="88" t="s">
        <v>347</v>
      </c>
      <c r="BE39" s="88" t="s">
        <v>347</v>
      </c>
      <c r="BF39" s="88" t="s">
        <v>346</v>
      </c>
      <c r="BG39" s="88" t="s">
        <v>347</v>
      </c>
      <c r="BH39" s="88" t="s">
        <v>347</v>
      </c>
      <c r="BI39" s="88" t="s">
        <v>347</v>
      </c>
      <c r="BJ39" s="88" t="s">
        <v>347</v>
      </c>
      <c r="BK39" s="88" t="s">
        <v>347</v>
      </c>
      <c r="BL39" s="88" t="s">
        <v>347</v>
      </c>
      <c r="BM39" s="88" t="s">
        <v>347</v>
      </c>
      <c r="BN39" s="88" t="s">
        <v>347</v>
      </c>
      <c r="BO39" s="88" t="s">
        <v>346</v>
      </c>
      <c r="BP39" s="88" t="s">
        <v>347</v>
      </c>
      <c r="BQ39" s="88" t="s">
        <v>347</v>
      </c>
      <c r="BR39" s="88" t="s">
        <v>347</v>
      </c>
      <c r="BS39" s="88" t="s">
        <v>347</v>
      </c>
      <c r="BT39" s="88" t="s">
        <v>347</v>
      </c>
      <c r="BU39" s="88" t="s">
        <v>347</v>
      </c>
      <c r="BV39" s="88" t="s">
        <v>347</v>
      </c>
      <c r="BW39" s="88" t="s">
        <v>346</v>
      </c>
      <c r="BX39" s="88" t="s">
        <v>347</v>
      </c>
      <c r="BY39" s="88" t="s">
        <v>347</v>
      </c>
      <c r="BZ39" s="91" t="s">
        <v>347</v>
      </c>
    </row>
    <row r="40" spans="1:78" s="2" customFormat="1" x14ac:dyDescent="0.25">
      <c r="A40" s="109" t="s">
        <v>206</v>
      </c>
      <c r="B40" s="88" t="s">
        <v>347</v>
      </c>
      <c r="C40" s="88" t="s">
        <v>346</v>
      </c>
      <c r="D40" s="88" t="s">
        <v>347</v>
      </c>
      <c r="E40" s="88" t="s">
        <v>346</v>
      </c>
      <c r="F40" s="88" t="s">
        <v>347</v>
      </c>
      <c r="G40" s="88" t="s">
        <v>347</v>
      </c>
      <c r="H40" s="88" t="s">
        <v>347</v>
      </c>
      <c r="I40" s="88" t="s">
        <v>347</v>
      </c>
      <c r="J40" s="91" t="s">
        <v>346</v>
      </c>
      <c r="K40" s="109" t="s">
        <v>206</v>
      </c>
      <c r="L40" s="88" t="str">
        <f>LOOKUP($K40,PantheonList!$A$18:$A$139,PantheonList!$B$18:$B$139)</f>
        <v>Athletics</v>
      </c>
      <c r="M40" s="88" t="str">
        <f>LOOKUP($K40,PantheonList!$A$18:$A$139,PantheonList!$C$18:$C$139)</f>
        <v>Command</v>
      </c>
      <c r="N40" s="88" t="str">
        <f>LOOKUP($K40,PantheonList!$A$18:$A$139,PantheonList!$D$18:$D$139)</f>
        <v>Investigation</v>
      </c>
      <c r="O40" s="88" t="str">
        <f>LOOKUP($K40,PantheonList!$A$18:$A$139,PantheonList!$E$18:$E$139)</f>
        <v>Marksmanship</v>
      </c>
      <c r="P40" s="88" t="str">
        <f>LOOKUP($K40,PantheonList!$A$18:$A$139,PantheonList!$F$18:$F$139)</f>
        <v>Melee</v>
      </c>
      <c r="Q40" s="88" t="str">
        <f>LOOKUP($K40,PantheonList!$A$18:$A$139,PantheonList!$G$18:$G$139)</f>
        <v>Science</v>
      </c>
      <c r="R40" s="88" t="str">
        <f t="shared" si="6"/>
        <v>No</v>
      </c>
      <c r="S40" s="88" t="str">
        <f t="shared" si="6"/>
        <v>No</v>
      </c>
      <c r="T40" s="88" t="str">
        <f t="shared" si="6"/>
        <v>No</v>
      </c>
      <c r="U40" s="88" t="str">
        <f t="shared" si="6"/>
        <v>Yes</v>
      </c>
      <c r="V40" s="88" t="str">
        <f t="shared" si="6"/>
        <v>No</v>
      </c>
      <c r="W40" s="88" t="str">
        <f t="shared" si="6"/>
        <v>No</v>
      </c>
      <c r="X40" s="88" t="str">
        <f t="shared" si="6"/>
        <v>Yes</v>
      </c>
      <c r="Y40" s="88" t="str">
        <f t="shared" si="6"/>
        <v>No</v>
      </c>
      <c r="Z40" s="88" t="str">
        <f t="shared" si="6"/>
        <v>No</v>
      </c>
      <c r="AA40" s="88" t="str">
        <f t="shared" si="6"/>
        <v>No</v>
      </c>
      <c r="AB40" s="88" t="str">
        <f t="shared" si="7"/>
        <v>No</v>
      </c>
      <c r="AC40" s="88" t="str">
        <f t="shared" si="7"/>
        <v>No</v>
      </c>
      <c r="AD40" s="88" t="str">
        <f t="shared" si="7"/>
        <v>Yes</v>
      </c>
      <c r="AE40" s="88" t="str">
        <f t="shared" si="7"/>
        <v>No</v>
      </c>
      <c r="AF40" s="88" t="str">
        <f t="shared" si="7"/>
        <v>Yes</v>
      </c>
      <c r="AG40" s="88" t="str">
        <f t="shared" si="7"/>
        <v>No</v>
      </c>
      <c r="AH40" s="88" t="str">
        <f t="shared" si="7"/>
        <v>Yes</v>
      </c>
      <c r="AI40" s="88" t="str">
        <f t="shared" si="7"/>
        <v>No</v>
      </c>
      <c r="AJ40" s="88" t="str">
        <f t="shared" si="7"/>
        <v>No</v>
      </c>
      <c r="AK40" s="88" t="str">
        <f t="shared" si="7"/>
        <v>No</v>
      </c>
      <c r="AL40" s="88" t="str">
        <f t="shared" si="7"/>
        <v>Yes</v>
      </c>
      <c r="AM40" s="88" t="str">
        <f t="shared" si="7"/>
        <v>No</v>
      </c>
      <c r="AN40" s="88" t="str">
        <f t="shared" si="7"/>
        <v>No</v>
      </c>
      <c r="AO40" s="91" t="str">
        <f t="shared" si="7"/>
        <v>No</v>
      </c>
      <c r="AP40" s="109" t="s">
        <v>206</v>
      </c>
      <c r="AQ40" s="88">
        <v>40</v>
      </c>
      <c r="AR40" s="88" t="s">
        <v>346</v>
      </c>
      <c r="AS40" s="88" t="s">
        <v>347</v>
      </c>
      <c r="AT40" s="88" t="s">
        <v>347</v>
      </c>
      <c r="AU40" s="88" t="s">
        <v>347</v>
      </c>
      <c r="AV40" s="88" t="s">
        <v>347</v>
      </c>
      <c r="AW40" s="88" t="s">
        <v>347</v>
      </c>
      <c r="AX40" s="88" t="s">
        <v>347</v>
      </c>
      <c r="AY40" s="88" t="s">
        <v>347</v>
      </c>
      <c r="AZ40" s="88" t="s">
        <v>347</v>
      </c>
      <c r="BA40" s="88" t="s">
        <v>347</v>
      </c>
      <c r="BB40" s="88" t="s">
        <v>346</v>
      </c>
      <c r="BC40" s="88" t="s">
        <v>347</v>
      </c>
      <c r="BD40" s="88" t="s">
        <v>347</v>
      </c>
      <c r="BE40" s="88" t="s">
        <v>346</v>
      </c>
      <c r="BF40" s="88" t="s">
        <v>347</v>
      </c>
      <c r="BG40" s="88" t="s">
        <v>347</v>
      </c>
      <c r="BH40" s="88" t="s">
        <v>347</v>
      </c>
      <c r="BI40" s="88" t="s">
        <v>347</v>
      </c>
      <c r="BJ40" s="88" t="s">
        <v>347</v>
      </c>
      <c r="BK40" s="88" t="s">
        <v>347</v>
      </c>
      <c r="BL40" s="88" t="s">
        <v>347</v>
      </c>
      <c r="BM40" s="88" t="s">
        <v>347</v>
      </c>
      <c r="BN40" s="88" t="s">
        <v>347</v>
      </c>
      <c r="BO40" s="88" t="s">
        <v>347</v>
      </c>
      <c r="BP40" s="88" t="s">
        <v>347</v>
      </c>
      <c r="BQ40" s="88" t="s">
        <v>347</v>
      </c>
      <c r="BR40" s="88" t="s">
        <v>347</v>
      </c>
      <c r="BS40" s="88" t="s">
        <v>347</v>
      </c>
      <c r="BT40" s="88" t="s">
        <v>347</v>
      </c>
      <c r="BU40" s="88" t="s">
        <v>347</v>
      </c>
      <c r="BV40" s="88" t="s">
        <v>347</v>
      </c>
      <c r="BW40" s="88" t="s">
        <v>347</v>
      </c>
      <c r="BX40" s="88" t="s">
        <v>346</v>
      </c>
      <c r="BY40" s="88" t="s">
        <v>346</v>
      </c>
      <c r="BZ40" s="91" t="s">
        <v>347</v>
      </c>
    </row>
    <row r="41" spans="1:78" s="2" customFormat="1" x14ac:dyDescent="0.25">
      <c r="A41" s="109" t="s">
        <v>254</v>
      </c>
      <c r="B41" s="88" t="s">
        <v>347</v>
      </c>
      <c r="C41" s="88" t="s">
        <v>347</v>
      </c>
      <c r="D41" s="88" t="s">
        <v>347</v>
      </c>
      <c r="E41" s="88" t="s">
        <v>346</v>
      </c>
      <c r="F41" s="88" t="s">
        <v>346</v>
      </c>
      <c r="G41" s="88" t="s">
        <v>347</v>
      </c>
      <c r="H41" s="88" t="s">
        <v>347</v>
      </c>
      <c r="I41" s="88" t="s">
        <v>347</v>
      </c>
      <c r="J41" s="91" t="s">
        <v>347</v>
      </c>
      <c r="K41" s="109" t="s">
        <v>254</v>
      </c>
      <c r="L41" s="88" t="str">
        <f>LOOKUP($K41,PantheonList!$A$18:$A$139,PantheonList!$B$18:$B$139)</f>
        <v>Academics</v>
      </c>
      <c r="M41" s="88" t="str">
        <f>LOOKUP($K41,PantheonList!$A$18:$A$139,PantheonList!$C$18:$C$139)</f>
        <v>Command</v>
      </c>
      <c r="N41" s="88" t="str">
        <f>LOOKUP($K41,PantheonList!$A$18:$A$139,PantheonList!$D$18:$D$139)</f>
        <v>Occult</v>
      </c>
      <c r="O41" s="88" t="str">
        <f>LOOKUP($K41,PantheonList!$A$18:$A$139,PantheonList!$E$18:$E$139)</f>
        <v>Presence</v>
      </c>
      <c r="P41" s="88" t="str">
        <f>LOOKUP($K41,PantheonList!$A$18:$A$139,PantheonList!$F$18:$F$139)</f>
        <v>Stealth</v>
      </c>
      <c r="Q41" s="88" t="str">
        <f>LOOKUP($K41,PantheonList!$A$18:$A$139,PantheonList!$G$18:$G$139)</f>
        <v>Thrown</v>
      </c>
      <c r="R41" s="88" t="str">
        <f t="shared" si="6"/>
        <v>Yes</v>
      </c>
      <c r="S41" s="88" t="str">
        <f t="shared" si="6"/>
        <v>No</v>
      </c>
      <c r="T41" s="88" t="str">
        <f t="shared" si="6"/>
        <v>No</v>
      </c>
      <c r="U41" s="88" t="str">
        <f t="shared" si="6"/>
        <v>No</v>
      </c>
      <c r="V41" s="88" t="str">
        <f t="shared" si="6"/>
        <v>No</v>
      </c>
      <c r="W41" s="88" t="str">
        <f t="shared" si="6"/>
        <v>No</v>
      </c>
      <c r="X41" s="88" t="str">
        <f t="shared" si="6"/>
        <v>Yes</v>
      </c>
      <c r="Y41" s="88" t="str">
        <f t="shared" si="6"/>
        <v>No</v>
      </c>
      <c r="Z41" s="88" t="str">
        <f t="shared" si="6"/>
        <v>No</v>
      </c>
      <c r="AA41" s="88" t="str">
        <f t="shared" si="6"/>
        <v>No</v>
      </c>
      <c r="AB41" s="88" t="str">
        <f t="shared" si="7"/>
        <v>No</v>
      </c>
      <c r="AC41" s="88" t="str">
        <f t="shared" si="7"/>
        <v>No</v>
      </c>
      <c r="AD41" s="88" t="str">
        <f t="shared" si="7"/>
        <v>No</v>
      </c>
      <c r="AE41" s="88" t="str">
        <f t="shared" si="7"/>
        <v>No</v>
      </c>
      <c r="AF41" s="88" t="str">
        <f t="shared" si="7"/>
        <v>No</v>
      </c>
      <c r="AG41" s="88" t="str">
        <f t="shared" si="7"/>
        <v>No</v>
      </c>
      <c r="AH41" s="88" t="str">
        <f t="shared" si="7"/>
        <v>No</v>
      </c>
      <c r="AI41" s="88" t="str">
        <f t="shared" si="7"/>
        <v>Yes</v>
      </c>
      <c r="AJ41" s="88" t="str">
        <f t="shared" si="7"/>
        <v>No</v>
      </c>
      <c r="AK41" s="88" t="str">
        <f t="shared" si="7"/>
        <v>Yes</v>
      </c>
      <c r="AL41" s="88" t="str">
        <f t="shared" si="7"/>
        <v>No</v>
      </c>
      <c r="AM41" s="88" t="str">
        <f t="shared" si="7"/>
        <v>Yes</v>
      </c>
      <c r="AN41" s="88" t="str">
        <f t="shared" si="7"/>
        <v>No</v>
      </c>
      <c r="AO41" s="91" t="str">
        <f t="shared" si="7"/>
        <v>Yes</v>
      </c>
      <c r="AP41" s="109" t="s">
        <v>254</v>
      </c>
      <c r="AQ41" s="88">
        <v>41</v>
      </c>
      <c r="AR41" s="88" t="s">
        <v>347</v>
      </c>
      <c r="AS41" s="88" t="s">
        <v>346</v>
      </c>
      <c r="AT41" s="88" t="s">
        <v>347</v>
      </c>
      <c r="AU41" s="88" t="s">
        <v>347</v>
      </c>
      <c r="AV41" s="88" t="s">
        <v>347</v>
      </c>
      <c r="AW41" s="88" t="s">
        <v>347</v>
      </c>
      <c r="AX41" s="88" t="s">
        <v>346</v>
      </c>
      <c r="AY41" s="88" t="s">
        <v>346</v>
      </c>
      <c r="AZ41" s="88" t="s">
        <v>346</v>
      </c>
      <c r="BA41" s="88" t="s">
        <v>347</v>
      </c>
      <c r="BB41" s="88" t="s">
        <v>347</v>
      </c>
      <c r="BC41" s="88" t="s">
        <v>347</v>
      </c>
      <c r="BD41" s="88" t="s">
        <v>347</v>
      </c>
      <c r="BE41" s="88" t="s">
        <v>347</v>
      </c>
      <c r="BF41" s="88" t="s">
        <v>347</v>
      </c>
      <c r="BG41" s="88" t="s">
        <v>347</v>
      </c>
      <c r="BH41" s="88" t="s">
        <v>347</v>
      </c>
      <c r="BI41" s="88" t="s">
        <v>347</v>
      </c>
      <c r="BJ41" s="88" t="s">
        <v>347</v>
      </c>
      <c r="BK41" s="88" t="s">
        <v>347</v>
      </c>
      <c r="BL41" s="88" t="s">
        <v>347</v>
      </c>
      <c r="BM41" s="88" t="s">
        <v>347</v>
      </c>
      <c r="BN41" s="88" t="s">
        <v>347</v>
      </c>
      <c r="BO41" s="88" t="s">
        <v>347</v>
      </c>
      <c r="BP41" s="88" t="s">
        <v>347</v>
      </c>
      <c r="BQ41" s="88" t="s">
        <v>347</v>
      </c>
      <c r="BR41" s="88" t="s">
        <v>347</v>
      </c>
      <c r="BS41" s="88" t="s">
        <v>347</v>
      </c>
      <c r="BT41" s="88" t="s">
        <v>347</v>
      </c>
      <c r="BU41" s="88" t="s">
        <v>347</v>
      </c>
      <c r="BV41" s="88" t="s">
        <v>347</v>
      </c>
      <c r="BW41" s="88" t="s">
        <v>347</v>
      </c>
      <c r="BX41" s="88" t="s">
        <v>347</v>
      </c>
      <c r="BY41" s="88" t="s">
        <v>347</v>
      </c>
      <c r="BZ41" s="91" t="s">
        <v>347</v>
      </c>
    </row>
    <row r="42" spans="1:78" s="2" customFormat="1" x14ac:dyDescent="0.25">
      <c r="A42" s="109" t="s">
        <v>292</v>
      </c>
      <c r="B42" s="88" t="s">
        <v>346</v>
      </c>
      <c r="C42" s="88" t="s">
        <v>347</v>
      </c>
      <c r="D42" s="88" t="s">
        <v>347</v>
      </c>
      <c r="E42" s="88" t="s">
        <v>347</v>
      </c>
      <c r="F42" s="88" t="s">
        <v>347</v>
      </c>
      <c r="G42" s="88" t="s">
        <v>347</v>
      </c>
      <c r="H42" s="88" t="s">
        <v>347</v>
      </c>
      <c r="I42" s="88" t="s">
        <v>347</v>
      </c>
      <c r="J42" s="91" t="s">
        <v>347</v>
      </c>
      <c r="K42" s="109" t="s">
        <v>292</v>
      </c>
      <c r="L42" s="88" t="str">
        <f>LOOKUP($K42,PantheonList!$A$18:$A$139,PantheonList!$B$18:$B$139)</f>
        <v>Athletics</v>
      </c>
      <c r="M42" s="88" t="str">
        <f>LOOKUP($K42,PantheonList!$A$18:$A$139,PantheonList!$C$18:$C$139)</f>
        <v>Brawl</v>
      </c>
      <c r="N42" s="88" t="str">
        <f>LOOKUP($K42,PantheonList!$A$18:$A$139,PantheonList!$D$18:$D$139)</f>
        <v>Craft</v>
      </c>
      <c r="O42" s="88" t="str">
        <f>LOOKUP($K42,PantheonList!$A$18:$A$139,PantheonList!$E$18:$E$139)</f>
        <v>Medicine</v>
      </c>
      <c r="P42" s="88" t="str">
        <f>LOOKUP($K42,PantheonList!$A$18:$A$139,PantheonList!$F$18:$F$139)</f>
        <v>Science</v>
      </c>
      <c r="Q42" s="88" t="str">
        <f>LOOKUP($K42,PantheonList!$A$18:$A$139,PantheonList!$G$18:$G$139)</f>
        <v>Survival</v>
      </c>
      <c r="R42" s="88" t="str">
        <f t="shared" ref="R42:AA51" si="8">IF(OR($Q42=R$1,$P42=R$1,$O42=R$1,$N42=R$1,$M42=R$1,$L42=R$1),"Yes","No")</f>
        <v>No</v>
      </c>
      <c r="S42" s="88" t="str">
        <f t="shared" si="8"/>
        <v>No</v>
      </c>
      <c r="T42" s="88" t="str">
        <f t="shared" si="8"/>
        <v>No</v>
      </c>
      <c r="U42" s="88" t="str">
        <f t="shared" si="8"/>
        <v>Yes</v>
      </c>
      <c r="V42" s="88" t="str">
        <f t="shared" si="8"/>
        <v>No</v>
      </c>
      <c r="W42" s="88" t="str">
        <f t="shared" si="8"/>
        <v>Yes</v>
      </c>
      <c r="X42" s="88" t="str">
        <f t="shared" si="8"/>
        <v>No</v>
      </c>
      <c r="Y42" s="88" t="str">
        <f t="shared" si="8"/>
        <v>No</v>
      </c>
      <c r="Z42" s="88" t="str">
        <f t="shared" si="8"/>
        <v>Yes</v>
      </c>
      <c r="AA42" s="88" t="str">
        <f t="shared" si="8"/>
        <v>No</v>
      </c>
      <c r="AB42" s="88" t="str">
        <f t="shared" ref="AB42:AO51" si="9">IF(OR($Q42=AB$1,$P42=AB$1,$O42=AB$1,$N42=AB$1,$M42=AB$1,$L42=AB$1),"Yes","No")</f>
        <v>No</v>
      </c>
      <c r="AC42" s="88" t="str">
        <f t="shared" si="9"/>
        <v>No</v>
      </c>
      <c r="AD42" s="88" t="str">
        <f t="shared" si="9"/>
        <v>No</v>
      </c>
      <c r="AE42" s="88" t="str">
        <f t="shared" si="9"/>
        <v>No</v>
      </c>
      <c r="AF42" s="88" t="str">
        <f t="shared" si="9"/>
        <v>No</v>
      </c>
      <c r="AG42" s="88" t="str">
        <f t="shared" si="9"/>
        <v>Yes</v>
      </c>
      <c r="AH42" s="88" t="str">
        <f t="shared" si="9"/>
        <v>No</v>
      </c>
      <c r="AI42" s="88" t="str">
        <f t="shared" si="9"/>
        <v>No</v>
      </c>
      <c r="AJ42" s="88" t="str">
        <f t="shared" si="9"/>
        <v>No</v>
      </c>
      <c r="AK42" s="88" t="str">
        <f t="shared" si="9"/>
        <v>No</v>
      </c>
      <c r="AL42" s="88" t="str">
        <f t="shared" si="9"/>
        <v>Yes</v>
      </c>
      <c r="AM42" s="88" t="str">
        <f t="shared" si="9"/>
        <v>No</v>
      </c>
      <c r="AN42" s="88" t="str">
        <f t="shared" si="9"/>
        <v>Yes</v>
      </c>
      <c r="AO42" s="91" t="str">
        <f t="shared" si="9"/>
        <v>No</v>
      </c>
      <c r="AP42" s="109" t="s">
        <v>292</v>
      </c>
      <c r="AQ42" s="88">
        <v>42</v>
      </c>
      <c r="AR42" s="88" t="s">
        <v>347</v>
      </c>
      <c r="AS42" s="88" t="s">
        <v>347</v>
      </c>
      <c r="AT42" s="88" t="s">
        <v>346</v>
      </c>
      <c r="AU42" s="88" t="s">
        <v>347</v>
      </c>
      <c r="AV42" s="88" t="s">
        <v>347</v>
      </c>
      <c r="AW42" s="88" t="s">
        <v>347</v>
      </c>
      <c r="AX42" s="88" t="s">
        <v>347</v>
      </c>
      <c r="AY42" s="88" t="s">
        <v>347</v>
      </c>
      <c r="AZ42" s="88" t="s">
        <v>346</v>
      </c>
      <c r="BA42" s="88" t="s">
        <v>347</v>
      </c>
      <c r="BB42" s="88" t="s">
        <v>346</v>
      </c>
      <c r="BC42" s="88" t="s">
        <v>347</v>
      </c>
      <c r="BD42" s="88" t="s">
        <v>347</v>
      </c>
      <c r="BE42" s="88" t="s">
        <v>347</v>
      </c>
      <c r="BF42" s="88" t="s">
        <v>346</v>
      </c>
      <c r="BG42" s="88" t="s">
        <v>347</v>
      </c>
      <c r="BH42" s="88" t="s">
        <v>347</v>
      </c>
      <c r="BI42" s="88" t="s">
        <v>347</v>
      </c>
      <c r="BJ42" s="88" t="s">
        <v>347</v>
      </c>
      <c r="BK42" s="88" t="s">
        <v>347</v>
      </c>
      <c r="BL42" s="88" t="s">
        <v>347</v>
      </c>
      <c r="BM42" s="88" t="s">
        <v>346</v>
      </c>
      <c r="BN42" s="88" t="s">
        <v>347</v>
      </c>
      <c r="BO42" s="88" t="s">
        <v>347</v>
      </c>
      <c r="BP42" s="88" t="s">
        <v>347</v>
      </c>
      <c r="BQ42" s="88" t="s">
        <v>347</v>
      </c>
      <c r="BR42" s="88" t="s">
        <v>347</v>
      </c>
      <c r="BS42" s="88" t="s">
        <v>347</v>
      </c>
      <c r="BT42" s="88" t="s">
        <v>347</v>
      </c>
      <c r="BU42" s="88" t="s">
        <v>347</v>
      </c>
      <c r="BV42" s="88" t="s">
        <v>347</v>
      </c>
      <c r="BW42" s="88" t="s">
        <v>347</v>
      </c>
      <c r="BX42" s="88" t="s">
        <v>347</v>
      </c>
      <c r="BY42" s="88" t="s">
        <v>347</v>
      </c>
      <c r="BZ42" s="91" t="s">
        <v>347</v>
      </c>
    </row>
    <row r="43" spans="1:78" s="2" customFormat="1" x14ac:dyDescent="0.25">
      <c r="A43" s="109" t="s">
        <v>194</v>
      </c>
      <c r="B43" s="88" t="s">
        <v>347</v>
      </c>
      <c r="C43" s="88" t="s">
        <v>347</v>
      </c>
      <c r="D43" s="88" t="s">
        <v>347</v>
      </c>
      <c r="E43" s="88" t="s">
        <v>347</v>
      </c>
      <c r="F43" s="88" t="s">
        <v>347</v>
      </c>
      <c r="G43" s="88" t="s">
        <v>347</v>
      </c>
      <c r="H43" s="88" t="s">
        <v>346</v>
      </c>
      <c r="I43" s="88" t="s">
        <v>347</v>
      </c>
      <c r="J43" s="91" t="s">
        <v>347</v>
      </c>
      <c r="K43" s="109" t="s">
        <v>194</v>
      </c>
      <c r="L43" s="88" t="str">
        <f>LOOKUP($K43,PantheonList!$A$18:$A$139,PantheonList!$B$18:$B$139)</f>
        <v>Awareness</v>
      </c>
      <c r="M43" s="88" t="str">
        <f>LOOKUP($K43,PantheonList!$A$18:$A$139,PantheonList!$C$18:$C$139)</f>
        <v>Command</v>
      </c>
      <c r="N43" s="88" t="str">
        <f>LOOKUP($K43,PantheonList!$A$18:$A$139,PantheonList!$D$18:$D$139)</f>
        <v>Investigation</v>
      </c>
      <c r="O43" s="88" t="str">
        <f>LOOKUP($K43,PantheonList!$A$18:$A$139,PantheonList!$E$18:$E$139)</f>
        <v>Marksmanship</v>
      </c>
      <c r="P43" s="88" t="str">
        <f>LOOKUP($K43,PantheonList!$A$18:$A$139,PantheonList!$F$18:$F$139)</f>
        <v>melee</v>
      </c>
      <c r="Q43" s="88" t="str">
        <f>LOOKUP($K43,PantheonList!$A$18:$A$139,PantheonList!$G$18:$G$139)</f>
        <v>Stealth</v>
      </c>
      <c r="R43" s="88" t="str">
        <f t="shared" si="8"/>
        <v>No</v>
      </c>
      <c r="S43" s="88" t="str">
        <f t="shared" si="8"/>
        <v>No</v>
      </c>
      <c r="T43" s="88" t="str">
        <f t="shared" si="8"/>
        <v>No</v>
      </c>
      <c r="U43" s="88" t="str">
        <f t="shared" si="8"/>
        <v>No</v>
      </c>
      <c r="V43" s="88" t="str">
        <f t="shared" si="8"/>
        <v>Yes</v>
      </c>
      <c r="W43" s="88" t="str">
        <f t="shared" si="8"/>
        <v>No</v>
      </c>
      <c r="X43" s="88" t="str">
        <f t="shared" si="8"/>
        <v>Yes</v>
      </c>
      <c r="Y43" s="88" t="str">
        <f t="shared" si="8"/>
        <v>No</v>
      </c>
      <c r="Z43" s="88" t="str">
        <f t="shared" si="8"/>
        <v>No</v>
      </c>
      <c r="AA43" s="88" t="str">
        <f t="shared" si="8"/>
        <v>No</v>
      </c>
      <c r="AB43" s="88" t="str">
        <f t="shared" si="9"/>
        <v>No</v>
      </c>
      <c r="AC43" s="88" t="str">
        <f t="shared" si="9"/>
        <v>No</v>
      </c>
      <c r="AD43" s="88" t="str">
        <f t="shared" si="9"/>
        <v>Yes</v>
      </c>
      <c r="AE43" s="88" t="str">
        <f t="shared" si="9"/>
        <v>No</v>
      </c>
      <c r="AF43" s="88" t="str">
        <f t="shared" si="9"/>
        <v>Yes</v>
      </c>
      <c r="AG43" s="88" t="str">
        <f t="shared" si="9"/>
        <v>No</v>
      </c>
      <c r="AH43" s="88" t="str">
        <f t="shared" si="9"/>
        <v>Yes</v>
      </c>
      <c r="AI43" s="88" t="str">
        <f t="shared" si="9"/>
        <v>No</v>
      </c>
      <c r="AJ43" s="88" t="str">
        <f t="shared" si="9"/>
        <v>No</v>
      </c>
      <c r="AK43" s="88" t="str">
        <f t="shared" si="9"/>
        <v>No</v>
      </c>
      <c r="AL43" s="88" t="str">
        <f t="shared" si="9"/>
        <v>No</v>
      </c>
      <c r="AM43" s="88" t="str">
        <f t="shared" si="9"/>
        <v>Yes</v>
      </c>
      <c r="AN43" s="88" t="str">
        <f t="shared" si="9"/>
        <v>No</v>
      </c>
      <c r="AO43" s="91" t="str">
        <f t="shared" si="9"/>
        <v>No</v>
      </c>
      <c r="AP43" s="109" t="s">
        <v>194</v>
      </c>
      <c r="AQ43" s="88">
        <v>43</v>
      </c>
      <c r="AR43" s="88" t="s">
        <v>347</v>
      </c>
      <c r="AS43" s="88" t="s">
        <v>347</v>
      </c>
      <c r="AT43" s="88" t="s">
        <v>347</v>
      </c>
      <c r="AU43" s="88" t="s">
        <v>347</v>
      </c>
      <c r="AV43" s="88" t="s">
        <v>347</v>
      </c>
      <c r="AW43" s="88" t="s">
        <v>347</v>
      </c>
      <c r="AX43" s="88" t="s">
        <v>347</v>
      </c>
      <c r="AY43" s="88" t="s">
        <v>347</v>
      </c>
      <c r="AZ43" s="88" t="s">
        <v>347</v>
      </c>
      <c r="BA43" s="88" t="s">
        <v>347</v>
      </c>
      <c r="BB43" s="88" t="s">
        <v>347</v>
      </c>
      <c r="BC43" s="88" t="s">
        <v>347</v>
      </c>
      <c r="BD43" s="88" t="s">
        <v>347</v>
      </c>
      <c r="BE43" s="88" t="s">
        <v>346</v>
      </c>
      <c r="BF43" s="88" t="s">
        <v>347</v>
      </c>
      <c r="BG43" s="88" t="s">
        <v>347</v>
      </c>
      <c r="BH43" s="88" t="s">
        <v>347</v>
      </c>
      <c r="BI43" s="88" t="s">
        <v>347</v>
      </c>
      <c r="BJ43" s="88" t="s">
        <v>347</v>
      </c>
      <c r="BK43" s="88" t="s">
        <v>346</v>
      </c>
      <c r="BL43" s="88" t="s">
        <v>347</v>
      </c>
      <c r="BM43" s="88" t="s">
        <v>347</v>
      </c>
      <c r="BN43" s="88" t="s">
        <v>347</v>
      </c>
      <c r="BO43" s="88" t="s">
        <v>347</v>
      </c>
      <c r="BP43" s="88" t="s">
        <v>347</v>
      </c>
      <c r="BQ43" s="88" t="s">
        <v>347</v>
      </c>
      <c r="BR43" s="88" t="s">
        <v>347</v>
      </c>
      <c r="BS43" s="88" t="s">
        <v>347</v>
      </c>
      <c r="BT43" s="88" t="s">
        <v>347</v>
      </c>
      <c r="BU43" s="88" t="s">
        <v>347</v>
      </c>
      <c r="BV43" s="88" t="s">
        <v>346</v>
      </c>
      <c r="BW43" s="88" t="s">
        <v>347</v>
      </c>
      <c r="BX43" s="88" t="s">
        <v>347</v>
      </c>
      <c r="BY43" s="88" t="s">
        <v>347</v>
      </c>
      <c r="BZ43" s="91" t="s">
        <v>347</v>
      </c>
    </row>
    <row r="44" spans="1:78" s="2" customFormat="1" x14ac:dyDescent="0.25">
      <c r="A44" s="109" t="s">
        <v>196</v>
      </c>
      <c r="B44" s="88" t="s">
        <v>347</v>
      </c>
      <c r="C44" s="88" t="s">
        <v>347</v>
      </c>
      <c r="D44" s="88" t="s">
        <v>347</v>
      </c>
      <c r="E44" s="88" t="s">
        <v>347</v>
      </c>
      <c r="F44" s="88" t="s">
        <v>346</v>
      </c>
      <c r="G44" s="88" t="s">
        <v>346</v>
      </c>
      <c r="H44" s="88" t="s">
        <v>347</v>
      </c>
      <c r="I44" s="88" t="s">
        <v>347</v>
      </c>
      <c r="J44" s="91" t="s">
        <v>347</v>
      </c>
      <c r="K44" s="109" t="s">
        <v>196</v>
      </c>
      <c r="L44" s="88" t="str">
        <f>LOOKUP($K44,PantheonList!$A$18:$A$139,PantheonList!$B$18:$B$139)</f>
        <v>Command</v>
      </c>
      <c r="M44" s="88" t="str">
        <f>LOOKUP($K44,PantheonList!$A$18:$A$139,PantheonList!$C$18:$C$139)</f>
        <v>Control</v>
      </c>
      <c r="N44" s="88" t="str">
        <f>LOOKUP($K44,PantheonList!$A$18:$A$139,PantheonList!$D$18:$D$139)</f>
        <v>Fortitude</v>
      </c>
      <c r="O44" s="88" t="str">
        <f>LOOKUP($K44,PantheonList!$A$18:$A$139,PantheonList!$E$18:$E$139)</f>
        <v>Investigation</v>
      </c>
      <c r="P44" s="88" t="str">
        <f>LOOKUP($K44,PantheonList!$A$18:$A$139,PantheonList!$F$18:$F$139)</f>
        <v>Melee</v>
      </c>
      <c r="Q44" s="88" t="str">
        <f>LOOKUP($K44,PantheonList!$A$18:$A$139,PantheonList!$G$18:$G$139)</f>
        <v>Presence</v>
      </c>
      <c r="R44" s="88" t="str">
        <f t="shared" si="8"/>
        <v>No</v>
      </c>
      <c r="S44" s="88" t="str">
        <f t="shared" si="8"/>
        <v>No</v>
      </c>
      <c r="T44" s="88" t="str">
        <f t="shared" si="8"/>
        <v>No</v>
      </c>
      <c r="U44" s="88" t="str">
        <f t="shared" si="8"/>
        <v>No</v>
      </c>
      <c r="V44" s="88" t="str">
        <f t="shared" si="8"/>
        <v>No</v>
      </c>
      <c r="W44" s="88" t="str">
        <f t="shared" si="8"/>
        <v>No</v>
      </c>
      <c r="X44" s="88" t="str">
        <f t="shared" si="8"/>
        <v>Yes</v>
      </c>
      <c r="Y44" s="88" t="str">
        <f t="shared" si="8"/>
        <v>Yes</v>
      </c>
      <c r="Z44" s="88" t="str">
        <f t="shared" si="8"/>
        <v>No</v>
      </c>
      <c r="AA44" s="88" t="str">
        <f t="shared" si="8"/>
        <v>No</v>
      </c>
      <c r="AB44" s="88" t="str">
        <f t="shared" si="9"/>
        <v>Yes</v>
      </c>
      <c r="AC44" s="88" t="str">
        <f t="shared" si="9"/>
        <v>No</v>
      </c>
      <c r="AD44" s="88" t="str">
        <f t="shared" si="9"/>
        <v>Yes</v>
      </c>
      <c r="AE44" s="88" t="str">
        <f t="shared" si="9"/>
        <v>No</v>
      </c>
      <c r="AF44" s="88" t="str">
        <f t="shared" si="9"/>
        <v>No</v>
      </c>
      <c r="AG44" s="88" t="str">
        <f t="shared" si="9"/>
        <v>No</v>
      </c>
      <c r="AH44" s="88" t="str">
        <f t="shared" si="9"/>
        <v>Yes</v>
      </c>
      <c r="AI44" s="88" t="str">
        <f t="shared" si="9"/>
        <v>No</v>
      </c>
      <c r="AJ44" s="88" t="str">
        <f t="shared" si="9"/>
        <v>No</v>
      </c>
      <c r="AK44" s="88" t="str">
        <f t="shared" si="9"/>
        <v>Yes</v>
      </c>
      <c r="AL44" s="88" t="str">
        <f t="shared" si="9"/>
        <v>No</v>
      </c>
      <c r="AM44" s="88" t="str">
        <f t="shared" si="9"/>
        <v>No</v>
      </c>
      <c r="AN44" s="88" t="str">
        <f t="shared" si="9"/>
        <v>No</v>
      </c>
      <c r="AO44" s="91" t="str">
        <f t="shared" si="9"/>
        <v>No</v>
      </c>
      <c r="AP44" s="109" t="s">
        <v>196</v>
      </c>
      <c r="AQ44" s="88">
        <v>44</v>
      </c>
      <c r="AR44" s="88" t="s">
        <v>347</v>
      </c>
      <c r="AS44" s="88" t="s">
        <v>347</v>
      </c>
      <c r="AT44" s="88" t="s">
        <v>347</v>
      </c>
      <c r="AU44" s="88" t="s">
        <v>347</v>
      </c>
      <c r="AV44" s="88" t="s">
        <v>347</v>
      </c>
      <c r="AW44" s="88" t="s">
        <v>347</v>
      </c>
      <c r="AX44" s="88" t="s">
        <v>347</v>
      </c>
      <c r="AY44" s="88" t="s">
        <v>346</v>
      </c>
      <c r="AZ44" s="88" t="s">
        <v>347</v>
      </c>
      <c r="BA44" s="88" t="s">
        <v>347</v>
      </c>
      <c r="BB44" s="88" t="s">
        <v>347</v>
      </c>
      <c r="BC44" s="88" t="s">
        <v>347</v>
      </c>
      <c r="BD44" s="88" t="s">
        <v>347</v>
      </c>
      <c r="BE44" s="88" t="s">
        <v>347</v>
      </c>
      <c r="BF44" s="88" t="s">
        <v>347</v>
      </c>
      <c r="BG44" s="88" t="s">
        <v>347</v>
      </c>
      <c r="BH44" s="88" t="s">
        <v>347</v>
      </c>
      <c r="BI44" s="88" t="s">
        <v>347</v>
      </c>
      <c r="BJ44" s="88" t="s">
        <v>347</v>
      </c>
      <c r="BK44" s="88" t="s">
        <v>346</v>
      </c>
      <c r="BL44" s="88" t="s">
        <v>347</v>
      </c>
      <c r="BM44" s="88" t="s">
        <v>347</v>
      </c>
      <c r="BN44" s="88" t="s">
        <v>347</v>
      </c>
      <c r="BO44" s="88" t="s">
        <v>347</v>
      </c>
      <c r="BP44" s="88" t="s">
        <v>347</v>
      </c>
      <c r="BQ44" s="88" t="s">
        <v>347</v>
      </c>
      <c r="BR44" s="88" t="s">
        <v>347</v>
      </c>
      <c r="BS44" s="88" t="s">
        <v>347</v>
      </c>
      <c r="BT44" s="88" t="s">
        <v>347</v>
      </c>
      <c r="BU44" s="88" t="s">
        <v>347</v>
      </c>
      <c r="BV44" s="88" t="s">
        <v>347</v>
      </c>
      <c r="BW44" s="88" t="s">
        <v>347</v>
      </c>
      <c r="BX44" s="88" t="s">
        <v>347</v>
      </c>
      <c r="BY44" s="88" t="s">
        <v>347</v>
      </c>
      <c r="BZ44" s="91" t="s">
        <v>347</v>
      </c>
    </row>
    <row r="45" spans="1:78" s="2" customFormat="1" x14ac:dyDescent="0.25">
      <c r="A45" s="109" t="s">
        <v>255</v>
      </c>
      <c r="B45" s="88" t="s">
        <v>346</v>
      </c>
      <c r="C45" s="88" t="s">
        <v>347</v>
      </c>
      <c r="D45" s="88" t="s">
        <v>346</v>
      </c>
      <c r="E45" s="88" t="s">
        <v>347</v>
      </c>
      <c r="F45" s="88" t="s">
        <v>347</v>
      </c>
      <c r="G45" s="88" t="s">
        <v>347</v>
      </c>
      <c r="H45" s="88" t="s">
        <v>347</v>
      </c>
      <c r="I45" s="88" t="s">
        <v>346</v>
      </c>
      <c r="J45" s="91" t="s">
        <v>347</v>
      </c>
      <c r="K45" s="109" t="s">
        <v>255</v>
      </c>
      <c r="L45" s="88" t="str">
        <f>LOOKUP($K45,PantheonList!$A$18:$A$139,PantheonList!$B$18:$B$139)</f>
        <v>Art</v>
      </c>
      <c r="M45" s="88" t="str">
        <f>LOOKUP($K45,PantheonList!$A$18:$A$139,PantheonList!$C$18:$C$139)</f>
        <v>Control</v>
      </c>
      <c r="N45" s="88" t="str">
        <f>LOOKUP($K45,PantheonList!$A$18:$A$139,PantheonList!$D$18:$D$139)</f>
        <v>Craft</v>
      </c>
      <c r="O45" s="88" t="str">
        <f>LOOKUP($K45,PantheonList!$A$18:$A$139,PantheonList!$E$18:$E$139)</f>
        <v>Investigation</v>
      </c>
      <c r="P45" s="88" t="str">
        <f>LOOKUP($K45,PantheonList!$A$18:$A$139,PantheonList!$F$18:$F$139)</f>
        <v>Melee</v>
      </c>
      <c r="Q45" s="88" t="str">
        <f>LOOKUP($K45,PantheonList!$A$18:$A$139,PantheonList!$G$18:$G$139)</f>
        <v>Science</v>
      </c>
      <c r="R45" s="88" t="str">
        <f t="shared" si="8"/>
        <v>No</v>
      </c>
      <c r="S45" s="88" t="str">
        <f t="shared" si="8"/>
        <v>No</v>
      </c>
      <c r="T45" s="88" t="str">
        <f t="shared" si="8"/>
        <v>Yes</v>
      </c>
      <c r="U45" s="88" t="str">
        <f t="shared" si="8"/>
        <v>No</v>
      </c>
      <c r="V45" s="88" t="str">
        <f t="shared" si="8"/>
        <v>No</v>
      </c>
      <c r="W45" s="88" t="str">
        <f t="shared" si="8"/>
        <v>No</v>
      </c>
      <c r="X45" s="88" t="str">
        <f t="shared" si="8"/>
        <v>No</v>
      </c>
      <c r="Y45" s="88" t="str">
        <f t="shared" si="8"/>
        <v>Yes</v>
      </c>
      <c r="Z45" s="88" t="str">
        <f t="shared" si="8"/>
        <v>Yes</v>
      </c>
      <c r="AA45" s="88" t="str">
        <f t="shared" si="8"/>
        <v>No</v>
      </c>
      <c r="AB45" s="88" t="str">
        <f t="shared" si="9"/>
        <v>No</v>
      </c>
      <c r="AC45" s="88" t="str">
        <f t="shared" si="9"/>
        <v>No</v>
      </c>
      <c r="AD45" s="88" t="str">
        <f t="shared" si="9"/>
        <v>Yes</v>
      </c>
      <c r="AE45" s="88" t="str">
        <f t="shared" si="9"/>
        <v>No</v>
      </c>
      <c r="AF45" s="88" t="str">
        <f t="shared" si="9"/>
        <v>No</v>
      </c>
      <c r="AG45" s="88" t="str">
        <f t="shared" si="9"/>
        <v>No</v>
      </c>
      <c r="AH45" s="88" t="str">
        <f t="shared" si="9"/>
        <v>Yes</v>
      </c>
      <c r="AI45" s="88" t="str">
        <f t="shared" si="9"/>
        <v>No</v>
      </c>
      <c r="AJ45" s="88" t="str">
        <f t="shared" si="9"/>
        <v>No</v>
      </c>
      <c r="AK45" s="88" t="str">
        <f t="shared" si="9"/>
        <v>No</v>
      </c>
      <c r="AL45" s="88" t="str">
        <f t="shared" si="9"/>
        <v>Yes</v>
      </c>
      <c r="AM45" s="88" t="str">
        <f t="shared" si="9"/>
        <v>No</v>
      </c>
      <c r="AN45" s="88" t="str">
        <f t="shared" si="9"/>
        <v>No</v>
      </c>
      <c r="AO45" s="91" t="str">
        <f t="shared" si="9"/>
        <v>No</v>
      </c>
      <c r="AP45" s="109" t="s">
        <v>255</v>
      </c>
      <c r="AQ45" s="88">
        <v>45</v>
      </c>
      <c r="AR45" s="88" t="s">
        <v>347</v>
      </c>
      <c r="AS45" s="88" t="s">
        <v>346</v>
      </c>
      <c r="AT45" s="88" t="s">
        <v>347</v>
      </c>
      <c r="AU45" s="88" t="s">
        <v>347</v>
      </c>
      <c r="AV45" s="88" t="s">
        <v>347</v>
      </c>
      <c r="AW45" s="88" t="s">
        <v>347</v>
      </c>
      <c r="AX45" s="88" t="s">
        <v>347</v>
      </c>
      <c r="AY45" s="88" t="s">
        <v>347</v>
      </c>
      <c r="AZ45" s="88" t="s">
        <v>346</v>
      </c>
      <c r="BA45" s="88" t="s">
        <v>347</v>
      </c>
      <c r="BB45" s="88" t="s">
        <v>347</v>
      </c>
      <c r="BC45" s="88" t="s">
        <v>346</v>
      </c>
      <c r="BD45" s="88" t="s">
        <v>347</v>
      </c>
      <c r="BE45" s="88" t="s">
        <v>347</v>
      </c>
      <c r="BF45" s="88" t="s">
        <v>347</v>
      </c>
      <c r="BG45" s="88" t="s">
        <v>347</v>
      </c>
      <c r="BH45" s="88" t="s">
        <v>347</v>
      </c>
      <c r="BI45" s="88" t="s">
        <v>347</v>
      </c>
      <c r="BJ45" s="88" t="s">
        <v>347</v>
      </c>
      <c r="BK45" s="88" t="s">
        <v>347</v>
      </c>
      <c r="BL45" s="88" t="s">
        <v>347</v>
      </c>
      <c r="BM45" s="88" t="s">
        <v>347</v>
      </c>
      <c r="BN45" s="88" t="s">
        <v>347</v>
      </c>
      <c r="BO45" s="88" t="s">
        <v>347</v>
      </c>
      <c r="BP45" s="88" t="s">
        <v>347</v>
      </c>
      <c r="BQ45" s="88" t="s">
        <v>347</v>
      </c>
      <c r="BR45" s="88" t="s">
        <v>347</v>
      </c>
      <c r="BS45" s="88" t="s">
        <v>347</v>
      </c>
      <c r="BT45" s="88" t="s">
        <v>347</v>
      </c>
      <c r="BU45" s="88" t="s">
        <v>347</v>
      </c>
      <c r="BV45" s="88" t="s">
        <v>347</v>
      </c>
      <c r="BW45" s="88" t="s">
        <v>347</v>
      </c>
      <c r="BX45" s="88" t="s">
        <v>347</v>
      </c>
      <c r="BY45" s="88" t="s">
        <v>347</v>
      </c>
      <c r="BZ45" s="91" t="s">
        <v>347</v>
      </c>
    </row>
    <row r="46" spans="1:78" s="2" customFormat="1" x14ac:dyDescent="0.25">
      <c r="A46" s="109" t="s">
        <v>256</v>
      </c>
      <c r="B46" s="88" t="s">
        <v>347</v>
      </c>
      <c r="C46" s="88" t="s">
        <v>347</v>
      </c>
      <c r="D46" s="88" t="s">
        <v>347</v>
      </c>
      <c r="E46" s="88" t="s">
        <v>346</v>
      </c>
      <c r="F46" s="88" t="s">
        <v>346</v>
      </c>
      <c r="G46" s="88" t="s">
        <v>347</v>
      </c>
      <c r="H46" s="88" t="s">
        <v>347</v>
      </c>
      <c r="I46" s="88" t="s">
        <v>347</v>
      </c>
      <c r="J46" s="91" t="s">
        <v>347</v>
      </c>
      <c r="K46" s="109" t="s">
        <v>256</v>
      </c>
      <c r="L46" s="88" t="str">
        <f>LOOKUP($K46,PantheonList!$A$18:$A$139,PantheonList!$B$18:$B$139)</f>
        <v>Academics</v>
      </c>
      <c r="M46" s="88" t="str">
        <f>LOOKUP($K46,PantheonList!$A$18:$A$139,PantheonList!$C$18:$C$139)</f>
        <v>Command</v>
      </c>
      <c r="N46" s="88" t="str">
        <f>LOOKUP($K46,PantheonList!$A$18:$A$139,PantheonList!$D$18:$D$139)</f>
        <v>Fortitude</v>
      </c>
      <c r="O46" s="88" t="str">
        <f>LOOKUP($K46,PantheonList!$A$18:$A$139,PantheonList!$E$18:$E$139)</f>
        <v>Investigation</v>
      </c>
      <c r="P46" s="88" t="str">
        <f>LOOKUP($K46,PantheonList!$A$18:$A$139,PantheonList!$F$18:$F$139)</f>
        <v>Politics</v>
      </c>
      <c r="Q46" s="88" t="str">
        <f>LOOKUP($K46,PantheonList!$A$18:$A$139,PantheonList!$G$18:$G$139)</f>
        <v>Presence</v>
      </c>
      <c r="R46" s="88" t="str">
        <f t="shared" si="8"/>
        <v>Yes</v>
      </c>
      <c r="S46" s="88" t="str">
        <f t="shared" si="8"/>
        <v>No</v>
      </c>
      <c r="T46" s="88" t="str">
        <f t="shared" si="8"/>
        <v>No</v>
      </c>
      <c r="U46" s="88" t="str">
        <f t="shared" si="8"/>
        <v>No</v>
      </c>
      <c r="V46" s="88" t="str">
        <f t="shared" si="8"/>
        <v>No</v>
      </c>
      <c r="W46" s="88" t="str">
        <f t="shared" si="8"/>
        <v>No</v>
      </c>
      <c r="X46" s="88" t="str">
        <f t="shared" si="8"/>
        <v>Yes</v>
      </c>
      <c r="Y46" s="88" t="str">
        <f t="shared" si="8"/>
        <v>No</v>
      </c>
      <c r="Z46" s="88" t="str">
        <f t="shared" si="8"/>
        <v>No</v>
      </c>
      <c r="AA46" s="88" t="str">
        <f t="shared" si="8"/>
        <v>No</v>
      </c>
      <c r="AB46" s="88" t="str">
        <f t="shared" si="9"/>
        <v>Yes</v>
      </c>
      <c r="AC46" s="88" t="str">
        <f t="shared" si="9"/>
        <v>No</v>
      </c>
      <c r="AD46" s="88" t="str">
        <f t="shared" si="9"/>
        <v>Yes</v>
      </c>
      <c r="AE46" s="88" t="str">
        <f t="shared" si="9"/>
        <v>No</v>
      </c>
      <c r="AF46" s="88" t="str">
        <f t="shared" si="9"/>
        <v>No</v>
      </c>
      <c r="AG46" s="88" t="str">
        <f t="shared" si="9"/>
        <v>No</v>
      </c>
      <c r="AH46" s="88" t="str">
        <f t="shared" si="9"/>
        <v>No</v>
      </c>
      <c r="AI46" s="88" t="str">
        <f t="shared" si="9"/>
        <v>No</v>
      </c>
      <c r="AJ46" s="88" t="str">
        <f t="shared" si="9"/>
        <v>Yes</v>
      </c>
      <c r="AK46" s="88" t="str">
        <f t="shared" si="9"/>
        <v>Yes</v>
      </c>
      <c r="AL46" s="88" t="str">
        <f t="shared" si="9"/>
        <v>No</v>
      </c>
      <c r="AM46" s="88" t="str">
        <f t="shared" si="9"/>
        <v>No</v>
      </c>
      <c r="AN46" s="88" t="str">
        <f t="shared" si="9"/>
        <v>No</v>
      </c>
      <c r="AO46" s="91" t="str">
        <f t="shared" si="9"/>
        <v>No</v>
      </c>
      <c r="AP46" s="109" t="s">
        <v>256</v>
      </c>
      <c r="AQ46" s="88">
        <v>46</v>
      </c>
      <c r="AR46" s="88" t="s">
        <v>346</v>
      </c>
      <c r="AS46" s="88" t="s">
        <v>346</v>
      </c>
      <c r="AT46" s="88" t="s">
        <v>347</v>
      </c>
      <c r="AU46" s="88" t="s">
        <v>347</v>
      </c>
      <c r="AV46" s="88" t="s">
        <v>347</v>
      </c>
      <c r="AW46" s="88" t="s">
        <v>347</v>
      </c>
      <c r="AX46" s="88" t="s">
        <v>347</v>
      </c>
      <c r="AY46" s="88" t="s">
        <v>347</v>
      </c>
      <c r="AZ46" s="88" t="s">
        <v>347</v>
      </c>
      <c r="BA46" s="88" t="s">
        <v>347</v>
      </c>
      <c r="BB46" s="88" t="s">
        <v>347</v>
      </c>
      <c r="BC46" s="88" t="s">
        <v>347</v>
      </c>
      <c r="BD46" s="88" t="s">
        <v>347</v>
      </c>
      <c r="BE46" s="88" t="s">
        <v>347</v>
      </c>
      <c r="BF46" s="88" t="s">
        <v>346</v>
      </c>
      <c r="BG46" s="88" t="s">
        <v>347</v>
      </c>
      <c r="BH46" s="88" t="s">
        <v>347</v>
      </c>
      <c r="BI46" s="88" t="s">
        <v>347</v>
      </c>
      <c r="BJ46" s="88" t="s">
        <v>347</v>
      </c>
      <c r="BK46" s="88" t="s">
        <v>347</v>
      </c>
      <c r="BL46" s="88" t="s">
        <v>347</v>
      </c>
      <c r="BM46" s="88" t="s">
        <v>346</v>
      </c>
      <c r="BN46" s="88" t="s">
        <v>347</v>
      </c>
      <c r="BO46" s="88" t="s">
        <v>347</v>
      </c>
      <c r="BP46" s="88" t="s">
        <v>347</v>
      </c>
      <c r="BQ46" s="88" t="s">
        <v>347</v>
      </c>
      <c r="BR46" s="88" t="s">
        <v>347</v>
      </c>
      <c r="BS46" s="88" t="s">
        <v>347</v>
      </c>
      <c r="BT46" s="88" t="s">
        <v>347</v>
      </c>
      <c r="BU46" s="88" t="s">
        <v>347</v>
      </c>
      <c r="BV46" s="88" t="s">
        <v>347</v>
      </c>
      <c r="BW46" s="88" t="s">
        <v>347</v>
      </c>
      <c r="BX46" s="88" t="s">
        <v>347</v>
      </c>
      <c r="BY46" s="88" t="s">
        <v>347</v>
      </c>
      <c r="BZ46" s="91" t="s">
        <v>347</v>
      </c>
    </row>
    <row r="47" spans="1:78" s="2" customFormat="1" x14ac:dyDescent="0.25">
      <c r="A47" s="109" t="s">
        <v>257</v>
      </c>
      <c r="B47" s="88" t="s">
        <v>347</v>
      </c>
      <c r="C47" s="88" t="s">
        <v>346</v>
      </c>
      <c r="D47" s="88" t="s">
        <v>347</v>
      </c>
      <c r="E47" s="88" t="s">
        <v>347</v>
      </c>
      <c r="F47" s="88" t="s">
        <v>347</v>
      </c>
      <c r="G47" s="88" t="s">
        <v>347</v>
      </c>
      <c r="H47" s="88" t="s">
        <v>347</v>
      </c>
      <c r="I47" s="88" t="s">
        <v>346</v>
      </c>
      <c r="J47" s="91" t="s">
        <v>346</v>
      </c>
      <c r="K47" s="109" t="s">
        <v>257</v>
      </c>
      <c r="L47" s="88" t="str">
        <f>LOOKUP($K47,PantheonList!$A$18:$A$139,PantheonList!$B$18:$B$139)</f>
        <v>Athletics</v>
      </c>
      <c r="M47" s="88" t="str">
        <f>LOOKUP($K47,PantheonList!$A$18:$A$139,PantheonList!$C$18:$C$139)</f>
        <v>Awareness</v>
      </c>
      <c r="N47" s="88" t="str">
        <f>LOOKUP($K47,PantheonList!$A$18:$A$139,PantheonList!$D$18:$D$139)</f>
        <v>Larceny</v>
      </c>
      <c r="O47" s="88" t="str">
        <f>LOOKUP($K47,PantheonList!$A$18:$A$139,PantheonList!$E$18:$E$139)</f>
        <v>Occult</v>
      </c>
      <c r="P47" s="88" t="str">
        <f>LOOKUP($K47,PantheonList!$A$18:$A$139,PantheonList!$F$18:$F$139)</f>
        <v>Stealth</v>
      </c>
      <c r="Q47" s="88" t="str">
        <f>LOOKUP($K47,PantheonList!$A$18:$A$139,PantheonList!$G$18:$G$139)</f>
        <v>Survival</v>
      </c>
      <c r="R47" s="88" t="str">
        <f t="shared" si="8"/>
        <v>No</v>
      </c>
      <c r="S47" s="88" t="str">
        <f t="shared" si="8"/>
        <v>No</v>
      </c>
      <c r="T47" s="88" t="str">
        <f t="shared" si="8"/>
        <v>No</v>
      </c>
      <c r="U47" s="88" t="str">
        <f t="shared" si="8"/>
        <v>Yes</v>
      </c>
      <c r="V47" s="88" t="str">
        <f t="shared" si="8"/>
        <v>Yes</v>
      </c>
      <c r="W47" s="88" t="str">
        <f t="shared" si="8"/>
        <v>No</v>
      </c>
      <c r="X47" s="88" t="str">
        <f t="shared" si="8"/>
        <v>No</v>
      </c>
      <c r="Y47" s="88" t="str">
        <f t="shared" si="8"/>
        <v>No</v>
      </c>
      <c r="Z47" s="88" t="str">
        <f t="shared" si="8"/>
        <v>No</v>
      </c>
      <c r="AA47" s="88" t="str">
        <f t="shared" si="8"/>
        <v>No</v>
      </c>
      <c r="AB47" s="88" t="str">
        <f t="shared" si="9"/>
        <v>No</v>
      </c>
      <c r="AC47" s="88" t="str">
        <f t="shared" si="9"/>
        <v>No</v>
      </c>
      <c r="AD47" s="88" t="str">
        <f t="shared" si="9"/>
        <v>No</v>
      </c>
      <c r="AE47" s="88" t="str">
        <f t="shared" si="9"/>
        <v>Yes</v>
      </c>
      <c r="AF47" s="88" t="str">
        <f t="shared" si="9"/>
        <v>No</v>
      </c>
      <c r="AG47" s="88" t="str">
        <f t="shared" si="9"/>
        <v>No</v>
      </c>
      <c r="AH47" s="88" t="str">
        <f t="shared" si="9"/>
        <v>No</v>
      </c>
      <c r="AI47" s="88" t="str">
        <f t="shared" si="9"/>
        <v>Yes</v>
      </c>
      <c r="AJ47" s="88" t="str">
        <f t="shared" si="9"/>
        <v>No</v>
      </c>
      <c r="AK47" s="88" t="str">
        <f t="shared" si="9"/>
        <v>No</v>
      </c>
      <c r="AL47" s="88" t="str">
        <f t="shared" si="9"/>
        <v>No</v>
      </c>
      <c r="AM47" s="88" t="str">
        <f t="shared" si="9"/>
        <v>Yes</v>
      </c>
      <c r="AN47" s="88" t="str">
        <f t="shared" si="9"/>
        <v>Yes</v>
      </c>
      <c r="AO47" s="91" t="str">
        <f t="shared" si="9"/>
        <v>No</v>
      </c>
      <c r="AP47" s="109" t="s">
        <v>257</v>
      </c>
      <c r="AQ47" s="88">
        <v>47</v>
      </c>
      <c r="AR47" s="88" t="s">
        <v>347</v>
      </c>
      <c r="AS47" s="88" t="s">
        <v>346</v>
      </c>
      <c r="AT47" s="88" t="s">
        <v>347</v>
      </c>
      <c r="AU47" s="88" t="s">
        <v>347</v>
      </c>
      <c r="AV47" s="88" t="s">
        <v>347</v>
      </c>
      <c r="AW47" s="88" t="s">
        <v>347</v>
      </c>
      <c r="AX47" s="88" t="s">
        <v>347</v>
      </c>
      <c r="AY47" s="88" t="s">
        <v>347</v>
      </c>
      <c r="AZ47" s="88" t="s">
        <v>347</v>
      </c>
      <c r="BA47" s="88" t="s">
        <v>347</v>
      </c>
      <c r="BB47" s="88" t="s">
        <v>347</v>
      </c>
      <c r="BC47" s="88" t="s">
        <v>347</v>
      </c>
      <c r="BD47" s="88" t="s">
        <v>347</v>
      </c>
      <c r="BE47" s="88" t="s">
        <v>347</v>
      </c>
      <c r="BF47" s="88" t="s">
        <v>347</v>
      </c>
      <c r="BG47" s="88" t="s">
        <v>347</v>
      </c>
      <c r="BH47" s="88" t="s">
        <v>347</v>
      </c>
      <c r="BI47" s="88" t="s">
        <v>347</v>
      </c>
      <c r="BJ47" s="88" t="s">
        <v>347</v>
      </c>
      <c r="BK47" s="88" t="s">
        <v>347</v>
      </c>
      <c r="BL47" s="88" t="s">
        <v>347</v>
      </c>
      <c r="BM47" s="88" t="s">
        <v>346</v>
      </c>
      <c r="BN47" s="88" t="s">
        <v>347</v>
      </c>
      <c r="BO47" s="88" t="s">
        <v>347</v>
      </c>
      <c r="BP47" s="88" t="s">
        <v>347</v>
      </c>
      <c r="BQ47" s="88" t="s">
        <v>346</v>
      </c>
      <c r="BR47" s="88" t="s">
        <v>347</v>
      </c>
      <c r="BS47" s="88" t="s">
        <v>347</v>
      </c>
      <c r="BT47" s="88" t="s">
        <v>347</v>
      </c>
      <c r="BU47" s="88" t="s">
        <v>347</v>
      </c>
      <c r="BV47" s="88" t="s">
        <v>347</v>
      </c>
      <c r="BW47" s="88" t="s">
        <v>347</v>
      </c>
      <c r="BX47" s="88" t="s">
        <v>347</v>
      </c>
      <c r="BY47" s="88" t="s">
        <v>347</v>
      </c>
      <c r="BZ47" s="91" t="s">
        <v>347</v>
      </c>
    </row>
    <row r="48" spans="1:78" s="2" customFormat="1" x14ac:dyDescent="0.25">
      <c r="A48" s="109" t="s">
        <v>274</v>
      </c>
      <c r="B48" s="88" t="s">
        <v>346</v>
      </c>
      <c r="C48" s="88" t="s">
        <v>347</v>
      </c>
      <c r="D48" s="88" t="s">
        <v>347</v>
      </c>
      <c r="E48" s="88" t="s">
        <v>347</v>
      </c>
      <c r="F48" s="88" t="s">
        <v>347</v>
      </c>
      <c r="G48" s="88" t="s">
        <v>347</v>
      </c>
      <c r="H48" s="88" t="s">
        <v>347</v>
      </c>
      <c r="I48" s="88" t="s">
        <v>347</v>
      </c>
      <c r="J48" s="91" t="s">
        <v>347</v>
      </c>
      <c r="K48" s="109" t="s">
        <v>274</v>
      </c>
      <c r="L48" s="88" t="str">
        <f>LOOKUP($K48,PantheonList!$A$18:$A$139,PantheonList!$B$18:$B$139)</f>
        <v>Athletics</v>
      </c>
      <c r="M48" s="88" t="str">
        <f>LOOKUP($K48,PantheonList!$A$18:$A$139,PantheonList!$C$18:$C$139)</f>
        <v>Awareness</v>
      </c>
      <c r="N48" s="88" t="str">
        <f>LOOKUP($K48,PantheonList!$A$18:$A$139,PantheonList!$D$18:$D$139)</f>
        <v>Brawl</v>
      </c>
      <c r="O48" s="88" t="str">
        <f>LOOKUP($K48,PantheonList!$A$18:$A$139,PantheonList!$E$18:$E$139)</f>
        <v>Command</v>
      </c>
      <c r="P48" s="88" t="str">
        <f>LOOKUP($K48,PantheonList!$A$18:$A$139,PantheonList!$F$18:$F$139)</f>
        <v>Melee</v>
      </c>
      <c r="Q48" s="88" t="str">
        <f>LOOKUP($K48,PantheonList!$A$18:$A$139,PantheonList!$G$18:$G$139)</f>
        <v>Politics</v>
      </c>
      <c r="R48" s="88" t="str">
        <f t="shared" si="8"/>
        <v>No</v>
      </c>
      <c r="S48" s="88" t="str">
        <f t="shared" si="8"/>
        <v>No</v>
      </c>
      <c r="T48" s="88" t="str">
        <f t="shared" si="8"/>
        <v>No</v>
      </c>
      <c r="U48" s="88" t="str">
        <f t="shared" si="8"/>
        <v>Yes</v>
      </c>
      <c r="V48" s="88" t="str">
        <f t="shared" si="8"/>
        <v>Yes</v>
      </c>
      <c r="W48" s="88" t="str">
        <f t="shared" si="8"/>
        <v>Yes</v>
      </c>
      <c r="X48" s="88" t="str">
        <f t="shared" si="8"/>
        <v>Yes</v>
      </c>
      <c r="Y48" s="88" t="str">
        <f t="shared" si="8"/>
        <v>No</v>
      </c>
      <c r="Z48" s="88" t="str">
        <f t="shared" si="8"/>
        <v>No</v>
      </c>
      <c r="AA48" s="88" t="str">
        <f t="shared" si="8"/>
        <v>No</v>
      </c>
      <c r="AB48" s="88" t="str">
        <f t="shared" si="9"/>
        <v>No</v>
      </c>
      <c r="AC48" s="88" t="str">
        <f t="shared" si="9"/>
        <v>No</v>
      </c>
      <c r="AD48" s="88" t="str">
        <f t="shared" si="9"/>
        <v>No</v>
      </c>
      <c r="AE48" s="88" t="str">
        <f t="shared" si="9"/>
        <v>No</v>
      </c>
      <c r="AF48" s="88" t="str">
        <f t="shared" si="9"/>
        <v>No</v>
      </c>
      <c r="AG48" s="88" t="str">
        <f t="shared" si="9"/>
        <v>No</v>
      </c>
      <c r="AH48" s="88" t="str">
        <f t="shared" si="9"/>
        <v>Yes</v>
      </c>
      <c r="AI48" s="88" t="str">
        <f t="shared" si="9"/>
        <v>No</v>
      </c>
      <c r="AJ48" s="88" t="str">
        <f t="shared" si="9"/>
        <v>Yes</v>
      </c>
      <c r="AK48" s="88" t="str">
        <f t="shared" si="9"/>
        <v>No</v>
      </c>
      <c r="AL48" s="88" t="str">
        <f t="shared" si="9"/>
        <v>No</v>
      </c>
      <c r="AM48" s="88" t="str">
        <f t="shared" si="9"/>
        <v>No</v>
      </c>
      <c r="AN48" s="88" t="str">
        <f t="shared" si="9"/>
        <v>No</v>
      </c>
      <c r="AO48" s="91" t="str">
        <f t="shared" si="9"/>
        <v>No</v>
      </c>
      <c r="AP48" s="109" t="s">
        <v>274</v>
      </c>
      <c r="AQ48" s="88">
        <v>48</v>
      </c>
      <c r="AR48" s="88" t="s">
        <v>346</v>
      </c>
      <c r="AS48" s="88" t="s">
        <v>347</v>
      </c>
      <c r="AT48" s="88" t="s">
        <v>347</v>
      </c>
      <c r="AU48" s="88" t="s">
        <v>347</v>
      </c>
      <c r="AV48" s="88" t="s">
        <v>347</v>
      </c>
      <c r="AW48" s="88" t="s">
        <v>347</v>
      </c>
      <c r="AX48" s="88" t="s">
        <v>347</v>
      </c>
      <c r="AY48" s="88" t="s">
        <v>347</v>
      </c>
      <c r="AZ48" s="88" t="s">
        <v>347</v>
      </c>
      <c r="BA48" s="88" t="s">
        <v>347</v>
      </c>
      <c r="BB48" s="88" t="s">
        <v>347</v>
      </c>
      <c r="BC48" s="88" t="s">
        <v>347</v>
      </c>
      <c r="BD48" s="88" t="s">
        <v>347</v>
      </c>
      <c r="BE48" s="88" t="s">
        <v>347</v>
      </c>
      <c r="BF48" s="88" t="s">
        <v>347</v>
      </c>
      <c r="BG48" s="88" t="s">
        <v>346</v>
      </c>
      <c r="BH48" s="88" t="s">
        <v>347</v>
      </c>
      <c r="BI48" s="88" t="s">
        <v>347</v>
      </c>
      <c r="BJ48" s="88" t="s">
        <v>347</v>
      </c>
      <c r="BK48" s="88" t="s">
        <v>347</v>
      </c>
      <c r="BL48" s="88" t="s">
        <v>346</v>
      </c>
      <c r="BM48" s="88" t="s">
        <v>347</v>
      </c>
      <c r="BN48" s="88" t="s">
        <v>346</v>
      </c>
      <c r="BO48" s="88" t="s">
        <v>347</v>
      </c>
      <c r="BP48" s="88" t="s">
        <v>347</v>
      </c>
      <c r="BQ48" s="88" t="s">
        <v>347</v>
      </c>
      <c r="BR48" s="88" t="s">
        <v>347</v>
      </c>
      <c r="BS48" s="88" t="s">
        <v>347</v>
      </c>
      <c r="BT48" s="88" t="s">
        <v>346</v>
      </c>
      <c r="BU48" s="88" t="s">
        <v>347</v>
      </c>
      <c r="BV48" s="88" t="s">
        <v>346</v>
      </c>
      <c r="BW48" s="88" t="s">
        <v>347</v>
      </c>
      <c r="BX48" s="88" t="s">
        <v>347</v>
      </c>
      <c r="BY48" s="88" t="s">
        <v>347</v>
      </c>
      <c r="BZ48" s="91" t="s">
        <v>347</v>
      </c>
    </row>
    <row r="49" spans="1:78" s="2" customFormat="1" x14ac:dyDescent="0.25">
      <c r="A49" s="109" t="s">
        <v>226</v>
      </c>
      <c r="B49" s="88" t="s">
        <v>346</v>
      </c>
      <c r="C49" s="88" t="s">
        <v>346</v>
      </c>
      <c r="D49" s="88" t="s">
        <v>346</v>
      </c>
      <c r="E49" s="88" t="s">
        <v>347</v>
      </c>
      <c r="F49" s="88" t="s">
        <v>347</v>
      </c>
      <c r="G49" s="88" t="s">
        <v>347</v>
      </c>
      <c r="H49" s="88" t="s">
        <v>347</v>
      </c>
      <c r="I49" s="88" t="s">
        <v>347</v>
      </c>
      <c r="J49" s="91" t="s">
        <v>347</v>
      </c>
      <c r="K49" s="109" t="s">
        <v>226</v>
      </c>
      <c r="L49" s="88" t="str">
        <f>LOOKUP($K49,PantheonList!$A$18:$A$139,PantheonList!$B$18:$B$139)</f>
        <v>Athletics</v>
      </c>
      <c r="M49" s="88" t="str">
        <f>LOOKUP($K49,PantheonList!$A$18:$A$139,PantheonList!$C$18:$C$139)</f>
        <v>Command</v>
      </c>
      <c r="N49" s="88" t="str">
        <f>LOOKUP($K49,PantheonList!$A$18:$A$139,PantheonList!$D$18:$D$139)</f>
        <v>Craft</v>
      </c>
      <c r="O49" s="88" t="str">
        <f>LOOKUP($K49,PantheonList!$A$18:$A$139,PantheonList!$E$18:$E$139)</f>
        <v>Marksmanship</v>
      </c>
      <c r="P49" s="88" t="str">
        <f>LOOKUP($K49,PantheonList!$A$18:$A$139,PantheonList!$F$18:$F$139)</f>
        <v>Stealth</v>
      </c>
      <c r="Q49" s="88" t="str">
        <f>LOOKUP($K49,PantheonList!$A$18:$A$139,PantheonList!$G$18:$G$139)</f>
        <v>Survival</v>
      </c>
      <c r="R49" s="88" t="str">
        <f t="shared" si="8"/>
        <v>No</v>
      </c>
      <c r="S49" s="88" t="str">
        <f t="shared" si="8"/>
        <v>No</v>
      </c>
      <c r="T49" s="88" t="str">
        <f t="shared" si="8"/>
        <v>No</v>
      </c>
      <c r="U49" s="88" t="str">
        <f t="shared" si="8"/>
        <v>Yes</v>
      </c>
      <c r="V49" s="88" t="str">
        <f t="shared" si="8"/>
        <v>No</v>
      </c>
      <c r="W49" s="88" t="str">
        <f t="shared" si="8"/>
        <v>No</v>
      </c>
      <c r="X49" s="88" t="str">
        <f t="shared" si="8"/>
        <v>Yes</v>
      </c>
      <c r="Y49" s="88" t="str">
        <f t="shared" si="8"/>
        <v>No</v>
      </c>
      <c r="Z49" s="88" t="str">
        <f t="shared" si="8"/>
        <v>Yes</v>
      </c>
      <c r="AA49" s="88" t="str">
        <f t="shared" si="8"/>
        <v>No</v>
      </c>
      <c r="AB49" s="88" t="str">
        <f t="shared" si="9"/>
        <v>No</v>
      </c>
      <c r="AC49" s="88" t="str">
        <f t="shared" si="9"/>
        <v>No</v>
      </c>
      <c r="AD49" s="88" t="str">
        <f t="shared" si="9"/>
        <v>No</v>
      </c>
      <c r="AE49" s="88" t="str">
        <f t="shared" si="9"/>
        <v>No</v>
      </c>
      <c r="AF49" s="88" t="str">
        <f t="shared" si="9"/>
        <v>Yes</v>
      </c>
      <c r="AG49" s="88" t="str">
        <f t="shared" si="9"/>
        <v>No</v>
      </c>
      <c r="AH49" s="88" t="str">
        <f t="shared" si="9"/>
        <v>No</v>
      </c>
      <c r="AI49" s="88" t="str">
        <f t="shared" si="9"/>
        <v>No</v>
      </c>
      <c r="AJ49" s="88" t="str">
        <f t="shared" si="9"/>
        <v>No</v>
      </c>
      <c r="AK49" s="88" t="str">
        <f t="shared" si="9"/>
        <v>No</v>
      </c>
      <c r="AL49" s="88" t="str">
        <f t="shared" si="9"/>
        <v>No</v>
      </c>
      <c r="AM49" s="88" t="str">
        <f t="shared" si="9"/>
        <v>Yes</v>
      </c>
      <c r="AN49" s="88" t="str">
        <f t="shared" si="9"/>
        <v>Yes</v>
      </c>
      <c r="AO49" s="91" t="str">
        <f t="shared" si="9"/>
        <v>No</v>
      </c>
      <c r="AP49" s="109" t="s">
        <v>226</v>
      </c>
      <c r="AQ49" s="88">
        <v>49</v>
      </c>
      <c r="AR49" s="88" t="s">
        <v>347</v>
      </c>
      <c r="AS49" s="88" t="s">
        <v>347</v>
      </c>
      <c r="AT49" s="88" t="s">
        <v>347</v>
      </c>
      <c r="AU49" s="88" t="s">
        <v>347</v>
      </c>
      <c r="AV49" s="88" t="s">
        <v>347</v>
      </c>
      <c r="AW49" s="88" t="s">
        <v>347</v>
      </c>
      <c r="AX49" s="88" t="s">
        <v>347</v>
      </c>
      <c r="AY49" s="88" t="s">
        <v>347</v>
      </c>
      <c r="AZ49" s="88" t="s">
        <v>347</v>
      </c>
      <c r="BA49" s="88" t="s">
        <v>347</v>
      </c>
      <c r="BB49" s="88" t="s">
        <v>347</v>
      </c>
      <c r="BC49" s="88" t="s">
        <v>347</v>
      </c>
      <c r="BD49" s="88" t="s">
        <v>347</v>
      </c>
      <c r="BE49" s="88" t="s">
        <v>347</v>
      </c>
      <c r="BF49" s="88" t="s">
        <v>347</v>
      </c>
      <c r="BG49" s="88" t="s">
        <v>347</v>
      </c>
      <c r="BH49" s="88" t="s">
        <v>347</v>
      </c>
      <c r="BI49" s="88" t="s">
        <v>347</v>
      </c>
      <c r="BJ49" s="88" t="s">
        <v>347</v>
      </c>
      <c r="BK49" s="88" t="s">
        <v>347</v>
      </c>
      <c r="BL49" s="88" t="s">
        <v>347</v>
      </c>
      <c r="BM49" s="88" t="s">
        <v>347</v>
      </c>
      <c r="BN49" s="88" t="s">
        <v>347</v>
      </c>
      <c r="BO49" s="88" t="s">
        <v>347</v>
      </c>
      <c r="BP49" s="88" t="s">
        <v>347</v>
      </c>
      <c r="BQ49" s="88" t="s">
        <v>347</v>
      </c>
      <c r="BR49" s="88" t="s">
        <v>347</v>
      </c>
      <c r="BS49" s="88" t="s">
        <v>347</v>
      </c>
      <c r="BT49" s="88" t="s">
        <v>347</v>
      </c>
      <c r="BU49" s="88" t="s">
        <v>347</v>
      </c>
      <c r="BV49" s="88" t="s">
        <v>346</v>
      </c>
      <c r="BW49" s="88" t="s">
        <v>346</v>
      </c>
      <c r="BX49" s="88" t="s">
        <v>347</v>
      </c>
      <c r="BY49" s="88" t="s">
        <v>347</v>
      </c>
      <c r="BZ49" s="91" t="s">
        <v>347</v>
      </c>
    </row>
    <row r="50" spans="1:78" s="2" customFormat="1" x14ac:dyDescent="0.25">
      <c r="A50" s="109" t="s">
        <v>227</v>
      </c>
      <c r="B50" s="88" t="s">
        <v>347</v>
      </c>
      <c r="C50" s="88" t="s">
        <v>347</v>
      </c>
      <c r="D50" s="88" t="s">
        <v>346</v>
      </c>
      <c r="E50" s="88" t="s">
        <v>347</v>
      </c>
      <c r="F50" s="88" t="s">
        <v>346</v>
      </c>
      <c r="G50" s="88" t="s">
        <v>347</v>
      </c>
      <c r="H50" s="88" t="s">
        <v>347</v>
      </c>
      <c r="I50" s="88" t="s">
        <v>346</v>
      </c>
      <c r="J50" s="91" t="s">
        <v>347</v>
      </c>
      <c r="K50" s="109" t="s">
        <v>227</v>
      </c>
      <c r="L50" s="88" t="str">
        <f>LOOKUP($K50,PantheonList!$A$18:$A$139,PantheonList!$B$18:$B$139)</f>
        <v>Academics</v>
      </c>
      <c r="M50" s="88" t="str">
        <f>LOOKUP($K50,PantheonList!$A$18:$A$139,PantheonList!$C$18:$C$139)</f>
        <v>Awareness</v>
      </c>
      <c r="N50" s="88" t="str">
        <f>LOOKUP($K50,PantheonList!$A$18:$A$139,PantheonList!$D$18:$D$139)</f>
        <v>Command</v>
      </c>
      <c r="O50" s="88" t="str">
        <f>LOOKUP($K50,PantheonList!$A$18:$A$139,PantheonList!$E$18:$E$139)</f>
        <v>Integrity</v>
      </c>
      <c r="P50" s="88" t="str">
        <f>LOOKUP($K50,PantheonList!$A$18:$A$139,PantheonList!$F$18:$F$139)</f>
        <v>Melee</v>
      </c>
      <c r="Q50" s="88" t="str">
        <f>LOOKUP($K50,PantheonList!$A$18:$A$139,PantheonList!$G$18:$G$139)</f>
        <v>Politics</v>
      </c>
      <c r="R50" s="88" t="str">
        <f t="shared" si="8"/>
        <v>Yes</v>
      </c>
      <c r="S50" s="88" t="str">
        <f t="shared" si="8"/>
        <v>No</v>
      </c>
      <c r="T50" s="88" t="str">
        <f t="shared" si="8"/>
        <v>No</v>
      </c>
      <c r="U50" s="88" t="str">
        <f t="shared" si="8"/>
        <v>No</v>
      </c>
      <c r="V50" s="88" t="str">
        <f t="shared" si="8"/>
        <v>Yes</v>
      </c>
      <c r="W50" s="88" t="str">
        <f t="shared" si="8"/>
        <v>No</v>
      </c>
      <c r="X50" s="88" t="str">
        <f t="shared" si="8"/>
        <v>Yes</v>
      </c>
      <c r="Y50" s="88" t="str">
        <f t="shared" si="8"/>
        <v>No</v>
      </c>
      <c r="Z50" s="88" t="str">
        <f t="shared" si="8"/>
        <v>No</v>
      </c>
      <c r="AA50" s="88" t="str">
        <f t="shared" si="8"/>
        <v>No</v>
      </c>
      <c r="AB50" s="88" t="str">
        <f t="shared" si="9"/>
        <v>No</v>
      </c>
      <c r="AC50" s="88" t="str">
        <f t="shared" si="9"/>
        <v>Yes</v>
      </c>
      <c r="AD50" s="88" t="str">
        <f t="shared" si="9"/>
        <v>No</v>
      </c>
      <c r="AE50" s="88" t="str">
        <f t="shared" si="9"/>
        <v>No</v>
      </c>
      <c r="AF50" s="88" t="str">
        <f t="shared" si="9"/>
        <v>No</v>
      </c>
      <c r="AG50" s="88" t="str">
        <f t="shared" si="9"/>
        <v>No</v>
      </c>
      <c r="AH50" s="88" t="str">
        <f t="shared" si="9"/>
        <v>Yes</v>
      </c>
      <c r="AI50" s="88" t="str">
        <f t="shared" si="9"/>
        <v>No</v>
      </c>
      <c r="AJ50" s="88" t="str">
        <f t="shared" si="9"/>
        <v>Yes</v>
      </c>
      <c r="AK50" s="88" t="str">
        <f t="shared" si="9"/>
        <v>No</v>
      </c>
      <c r="AL50" s="88" t="str">
        <f t="shared" si="9"/>
        <v>No</v>
      </c>
      <c r="AM50" s="88" t="str">
        <f t="shared" si="9"/>
        <v>No</v>
      </c>
      <c r="AN50" s="88" t="str">
        <f t="shared" si="9"/>
        <v>No</v>
      </c>
      <c r="AO50" s="91" t="str">
        <f t="shared" si="9"/>
        <v>No</v>
      </c>
      <c r="AP50" s="109" t="s">
        <v>227</v>
      </c>
      <c r="AQ50" s="88">
        <v>50</v>
      </c>
      <c r="AR50" s="88" t="s">
        <v>347</v>
      </c>
      <c r="AS50" s="88" t="s">
        <v>347</v>
      </c>
      <c r="AT50" s="88" t="s">
        <v>347</v>
      </c>
      <c r="AU50" s="88" t="s">
        <v>347</v>
      </c>
      <c r="AV50" s="88" t="s">
        <v>347</v>
      </c>
      <c r="AW50" s="88" t="s">
        <v>347</v>
      </c>
      <c r="AX50" s="88" t="s">
        <v>347</v>
      </c>
      <c r="AY50" s="88" t="s">
        <v>347</v>
      </c>
      <c r="AZ50" s="88" t="s">
        <v>346</v>
      </c>
      <c r="BA50" s="88" t="s">
        <v>347</v>
      </c>
      <c r="BB50" s="88" t="s">
        <v>347</v>
      </c>
      <c r="BC50" s="88" t="s">
        <v>347</v>
      </c>
      <c r="BD50" s="88" t="s">
        <v>347</v>
      </c>
      <c r="BE50" s="88" t="s">
        <v>346</v>
      </c>
      <c r="BF50" s="88" t="s">
        <v>347</v>
      </c>
      <c r="BG50" s="88" t="s">
        <v>347</v>
      </c>
      <c r="BH50" s="88" t="s">
        <v>347</v>
      </c>
      <c r="BI50" s="88" t="s">
        <v>347</v>
      </c>
      <c r="BJ50" s="88" t="s">
        <v>347</v>
      </c>
      <c r="BK50" s="88" t="s">
        <v>347</v>
      </c>
      <c r="BL50" s="88" t="s">
        <v>347</v>
      </c>
      <c r="BM50" s="88" t="s">
        <v>347</v>
      </c>
      <c r="BN50" s="88" t="s">
        <v>347</v>
      </c>
      <c r="BO50" s="88" t="s">
        <v>346</v>
      </c>
      <c r="BP50" s="88" t="s">
        <v>347</v>
      </c>
      <c r="BQ50" s="88" t="s">
        <v>347</v>
      </c>
      <c r="BR50" s="88" t="s">
        <v>347</v>
      </c>
      <c r="BS50" s="88" t="s">
        <v>347</v>
      </c>
      <c r="BT50" s="88" t="s">
        <v>347</v>
      </c>
      <c r="BU50" s="88" t="s">
        <v>347</v>
      </c>
      <c r="BV50" s="88" t="s">
        <v>347</v>
      </c>
      <c r="BW50" s="88" t="s">
        <v>346</v>
      </c>
      <c r="BX50" s="88" t="s">
        <v>347</v>
      </c>
      <c r="BY50" s="88" t="s">
        <v>346</v>
      </c>
      <c r="BZ50" s="91" t="s">
        <v>347</v>
      </c>
    </row>
    <row r="51" spans="1:78" s="2" customFormat="1" x14ac:dyDescent="0.25">
      <c r="A51" s="109" t="s">
        <v>214</v>
      </c>
      <c r="B51" s="88" t="s">
        <v>346</v>
      </c>
      <c r="C51" s="88" t="s">
        <v>347</v>
      </c>
      <c r="D51" s="88" t="s">
        <v>346</v>
      </c>
      <c r="E51" s="88" t="s">
        <v>346</v>
      </c>
      <c r="F51" s="88" t="s">
        <v>347</v>
      </c>
      <c r="G51" s="88" t="s">
        <v>347</v>
      </c>
      <c r="H51" s="88" t="s">
        <v>347</v>
      </c>
      <c r="I51" s="88" t="s">
        <v>347</v>
      </c>
      <c r="J51" s="91" t="s">
        <v>347</v>
      </c>
      <c r="K51" s="109" t="s">
        <v>214</v>
      </c>
      <c r="L51" s="88" t="str">
        <f>LOOKUP($K51,PantheonList!$A$18:$A$139,PantheonList!$B$18:$B$139)</f>
        <v>Athletics</v>
      </c>
      <c r="M51" s="88" t="str">
        <f>LOOKUP($K51,PantheonList!$A$18:$A$139,PantheonList!$C$18:$C$139)</f>
        <v>Awareness</v>
      </c>
      <c r="N51" s="88" t="str">
        <f>LOOKUP($K51,PantheonList!$A$18:$A$139,PantheonList!$D$18:$D$139)</f>
        <v>Brawl</v>
      </c>
      <c r="O51" s="88" t="str">
        <f>LOOKUP($K51,PantheonList!$A$18:$A$139,PantheonList!$E$18:$E$139)</f>
        <v>Marksmanship</v>
      </c>
      <c r="P51" s="88" t="str">
        <f>LOOKUP($K51,PantheonList!$A$18:$A$139,PantheonList!$F$18:$F$139)</f>
        <v>Melee</v>
      </c>
      <c r="Q51" s="88" t="str">
        <f>LOOKUP($K51,PantheonList!$A$18:$A$139,PantheonList!$G$18:$G$139)</f>
        <v>Thrown</v>
      </c>
      <c r="R51" s="88" t="str">
        <f t="shared" si="8"/>
        <v>No</v>
      </c>
      <c r="S51" s="88" t="str">
        <f t="shared" si="8"/>
        <v>No</v>
      </c>
      <c r="T51" s="88" t="str">
        <f t="shared" si="8"/>
        <v>No</v>
      </c>
      <c r="U51" s="88" t="str">
        <f t="shared" si="8"/>
        <v>Yes</v>
      </c>
      <c r="V51" s="88" t="str">
        <f t="shared" si="8"/>
        <v>Yes</v>
      </c>
      <c r="W51" s="88" t="str">
        <f t="shared" si="8"/>
        <v>Yes</v>
      </c>
      <c r="X51" s="88" t="str">
        <f t="shared" si="8"/>
        <v>No</v>
      </c>
      <c r="Y51" s="88" t="str">
        <f t="shared" si="8"/>
        <v>No</v>
      </c>
      <c r="Z51" s="88" t="str">
        <f t="shared" si="8"/>
        <v>No</v>
      </c>
      <c r="AA51" s="88" t="str">
        <f t="shared" si="8"/>
        <v>No</v>
      </c>
      <c r="AB51" s="88" t="str">
        <f t="shared" si="9"/>
        <v>No</v>
      </c>
      <c r="AC51" s="88" t="str">
        <f t="shared" si="9"/>
        <v>No</v>
      </c>
      <c r="AD51" s="88" t="str">
        <f t="shared" si="9"/>
        <v>No</v>
      </c>
      <c r="AE51" s="88" t="str">
        <f t="shared" si="9"/>
        <v>No</v>
      </c>
      <c r="AF51" s="88" t="str">
        <f t="shared" si="9"/>
        <v>Yes</v>
      </c>
      <c r="AG51" s="88" t="str">
        <f t="shared" si="9"/>
        <v>No</v>
      </c>
      <c r="AH51" s="88" t="str">
        <f t="shared" si="9"/>
        <v>Yes</v>
      </c>
      <c r="AI51" s="88" t="str">
        <f t="shared" si="9"/>
        <v>No</v>
      </c>
      <c r="AJ51" s="88" t="str">
        <f t="shared" si="9"/>
        <v>No</v>
      </c>
      <c r="AK51" s="88" t="str">
        <f t="shared" si="9"/>
        <v>No</v>
      </c>
      <c r="AL51" s="88" t="str">
        <f t="shared" si="9"/>
        <v>No</v>
      </c>
      <c r="AM51" s="88" t="str">
        <f t="shared" si="9"/>
        <v>No</v>
      </c>
      <c r="AN51" s="88" t="str">
        <f t="shared" si="9"/>
        <v>No</v>
      </c>
      <c r="AO51" s="91" t="str">
        <f t="shared" si="9"/>
        <v>Yes</v>
      </c>
      <c r="AP51" s="109" t="s">
        <v>214</v>
      </c>
      <c r="AQ51" s="88">
        <v>51</v>
      </c>
      <c r="AR51" s="88" t="s">
        <v>346</v>
      </c>
      <c r="AS51" s="88" t="s">
        <v>347</v>
      </c>
      <c r="AT51" s="88" t="s">
        <v>347</v>
      </c>
      <c r="AU51" s="88" t="s">
        <v>347</v>
      </c>
      <c r="AV51" s="88" t="s">
        <v>347</v>
      </c>
      <c r="AW51" s="88" t="s">
        <v>347</v>
      </c>
      <c r="AX51" s="88" t="s">
        <v>347</v>
      </c>
      <c r="AY51" s="88" t="s">
        <v>346</v>
      </c>
      <c r="AZ51" s="88" t="s">
        <v>347</v>
      </c>
      <c r="BA51" s="88" t="s">
        <v>347</v>
      </c>
      <c r="BB51" s="88" t="s">
        <v>347</v>
      </c>
      <c r="BC51" s="88" t="s">
        <v>347</v>
      </c>
      <c r="BD51" s="88" t="s">
        <v>347</v>
      </c>
      <c r="BE51" s="88" t="s">
        <v>346</v>
      </c>
      <c r="BF51" s="88" t="s">
        <v>347</v>
      </c>
      <c r="BG51" s="88" t="s">
        <v>347</v>
      </c>
      <c r="BH51" s="88" t="s">
        <v>347</v>
      </c>
      <c r="BI51" s="88" t="s">
        <v>347</v>
      </c>
      <c r="BJ51" s="88" t="s">
        <v>346</v>
      </c>
      <c r="BK51" s="88" t="s">
        <v>347</v>
      </c>
      <c r="BL51" s="88" t="s">
        <v>347</v>
      </c>
      <c r="BM51" s="88" t="s">
        <v>346</v>
      </c>
      <c r="BN51" s="88" t="s">
        <v>347</v>
      </c>
      <c r="BO51" s="88" t="s">
        <v>347</v>
      </c>
      <c r="BP51" s="88" t="s">
        <v>347</v>
      </c>
      <c r="BQ51" s="88" t="s">
        <v>347</v>
      </c>
      <c r="BR51" s="88" t="s">
        <v>347</v>
      </c>
      <c r="BS51" s="88" t="s">
        <v>347</v>
      </c>
      <c r="BT51" s="88" t="s">
        <v>347</v>
      </c>
      <c r="BU51" s="88" t="s">
        <v>347</v>
      </c>
      <c r="BV51" s="88" t="s">
        <v>346</v>
      </c>
      <c r="BW51" s="88" t="s">
        <v>347</v>
      </c>
      <c r="BX51" s="88" t="s">
        <v>347</v>
      </c>
      <c r="BY51" s="88" t="s">
        <v>346</v>
      </c>
      <c r="BZ51" s="91" t="s">
        <v>347</v>
      </c>
    </row>
    <row r="52" spans="1:78" s="2" customFormat="1" x14ac:dyDescent="0.25">
      <c r="A52" s="109" t="s">
        <v>238</v>
      </c>
      <c r="B52" s="88" t="s">
        <v>346</v>
      </c>
      <c r="C52" s="88" t="s">
        <v>347</v>
      </c>
      <c r="D52" s="88" t="s">
        <v>346</v>
      </c>
      <c r="E52" s="88" t="s">
        <v>347</v>
      </c>
      <c r="F52" s="88" t="s">
        <v>347</v>
      </c>
      <c r="G52" s="88" t="s">
        <v>347</v>
      </c>
      <c r="H52" s="88" t="s">
        <v>347</v>
      </c>
      <c r="I52" s="88" t="s">
        <v>347</v>
      </c>
      <c r="J52" s="91" t="s">
        <v>347</v>
      </c>
      <c r="K52" s="109" t="s">
        <v>238</v>
      </c>
      <c r="L52" s="88" t="str">
        <f>LOOKUP($K52,PantheonList!$A$18:$A$139,PantheonList!$B$18:$B$139)</f>
        <v>Brawl</v>
      </c>
      <c r="M52" s="88" t="str">
        <f>LOOKUP($K52,PantheonList!$A$18:$A$139,PantheonList!$C$18:$C$139)</f>
        <v>Control</v>
      </c>
      <c r="N52" s="88" t="str">
        <f>LOOKUP($K52,PantheonList!$A$18:$A$139,PantheonList!$D$18:$D$139)</f>
        <v>Marksmanship</v>
      </c>
      <c r="O52" s="88" t="str">
        <f>LOOKUP($K52,PantheonList!$A$18:$A$139,PantheonList!$E$18:$E$139)</f>
        <v>Medicine</v>
      </c>
      <c r="P52" s="88" t="str">
        <f>LOOKUP($K52,PantheonList!$A$18:$A$139,PantheonList!$F$18:$F$139)</f>
        <v>Melee</v>
      </c>
      <c r="Q52" s="88" t="str">
        <f>LOOKUP($K52,PantheonList!$A$18:$A$139,PantheonList!$G$18:$G$139)</f>
        <v>Politics</v>
      </c>
      <c r="R52" s="88" t="str">
        <f t="shared" ref="R52:AA61" si="10">IF(OR($Q52=R$1,$P52=R$1,$O52=R$1,$N52=R$1,$M52=R$1,$L52=R$1),"Yes","No")</f>
        <v>No</v>
      </c>
      <c r="S52" s="88" t="str">
        <f t="shared" si="10"/>
        <v>No</v>
      </c>
      <c r="T52" s="88" t="str">
        <f t="shared" si="10"/>
        <v>No</v>
      </c>
      <c r="U52" s="88" t="str">
        <f t="shared" si="10"/>
        <v>No</v>
      </c>
      <c r="V52" s="88" t="str">
        <f t="shared" si="10"/>
        <v>No</v>
      </c>
      <c r="W52" s="88" t="str">
        <f t="shared" si="10"/>
        <v>Yes</v>
      </c>
      <c r="X52" s="88" t="str">
        <f t="shared" si="10"/>
        <v>No</v>
      </c>
      <c r="Y52" s="88" t="str">
        <f t="shared" si="10"/>
        <v>Yes</v>
      </c>
      <c r="Z52" s="88" t="str">
        <f t="shared" si="10"/>
        <v>No</v>
      </c>
      <c r="AA52" s="88" t="str">
        <f t="shared" si="10"/>
        <v>No</v>
      </c>
      <c r="AB52" s="88" t="str">
        <f t="shared" ref="AB52:AO61" si="11">IF(OR($Q52=AB$1,$P52=AB$1,$O52=AB$1,$N52=AB$1,$M52=AB$1,$L52=AB$1),"Yes","No")</f>
        <v>No</v>
      </c>
      <c r="AC52" s="88" t="str">
        <f t="shared" si="11"/>
        <v>No</v>
      </c>
      <c r="AD52" s="88" t="str">
        <f t="shared" si="11"/>
        <v>No</v>
      </c>
      <c r="AE52" s="88" t="str">
        <f t="shared" si="11"/>
        <v>No</v>
      </c>
      <c r="AF52" s="88" t="str">
        <f t="shared" si="11"/>
        <v>Yes</v>
      </c>
      <c r="AG52" s="88" t="str">
        <f t="shared" si="11"/>
        <v>Yes</v>
      </c>
      <c r="AH52" s="88" t="str">
        <f t="shared" si="11"/>
        <v>Yes</v>
      </c>
      <c r="AI52" s="88" t="str">
        <f t="shared" si="11"/>
        <v>No</v>
      </c>
      <c r="AJ52" s="88" t="str">
        <f t="shared" si="11"/>
        <v>Yes</v>
      </c>
      <c r="AK52" s="88" t="str">
        <f t="shared" si="11"/>
        <v>No</v>
      </c>
      <c r="AL52" s="88" t="str">
        <f t="shared" si="11"/>
        <v>No</v>
      </c>
      <c r="AM52" s="88" t="str">
        <f t="shared" si="11"/>
        <v>No</v>
      </c>
      <c r="AN52" s="88" t="str">
        <f t="shared" si="11"/>
        <v>No</v>
      </c>
      <c r="AO52" s="91" t="str">
        <f t="shared" si="11"/>
        <v>No</v>
      </c>
      <c r="AP52" s="109" t="s">
        <v>238</v>
      </c>
      <c r="AQ52" s="88">
        <v>52</v>
      </c>
      <c r="AR52" s="88" t="s">
        <v>347</v>
      </c>
      <c r="AS52" s="88" t="s">
        <v>347</v>
      </c>
      <c r="AT52" s="88" t="s">
        <v>347</v>
      </c>
      <c r="AU52" s="88" t="s">
        <v>347</v>
      </c>
      <c r="AV52" s="88" t="s">
        <v>347</v>
      </c>
      <c r="AW52" s="88" t="s">
        <v>347</v>
      </c>
      <c r="AX52" s="88" t="s">
        <v>347</v>
      </c>
      <c r="AY52" s="88" t="s">
        <v>347</v>
      </c>
      <c r="AZ52" s="88" t="s">
        <v>347</v>
      </c>
      <c r="BA52" s="88" t="s">
        <v>347</v>
      </c>
      <c r="BB52" s="88" t="s">
        <v>346</v>
      </c>
      <c r="BC52" s="88" t="s">
        <v>347</v>
      </c>
      <c r="BD52" s="88" t="s">
        <v>347</v>
      </c>
      <c r="BE52" s="88" t="s">
        <v>347</v>
      </c>
      <c r="BF52" s="88" t="s">
        <v>347</v>
      </c>
      <c r="BG52" s="88" t="s">
        <v>347</v>
      </c>
      <c r="BH52" s="88" t="s">
        <v>347</v>
      </c>
      <c r="BI52" s="88" t="s">
        <v>347</v>
      </c>
      <c r="BJ52" s="88" t="s">
        <v>347</v>
      </c>
      <c r="BK52" s="88" t="s">
        <v>347</v>
      </c>
      <c r="BL52" s="88" t="s">
        <v>347</v>
      </c>
      <c r="BM52" s="88" t="s">
        <v>347</v>
      </c>
      <c r="BN52" s="88" t="s">
        <v>347</v>
      </c>
      <c r="BO52" s="88" t="s">
        <v>347</v>
      </c>
      <c r="BP52" s="88" t="s">
        <v>347</v>
      </c>
      <c r="BQ52" s="88" t="s">
        <v>347</v>
      </c>
      <c r="BR52" s="88" t="s">
        <v>346</v>
      </c>
      <c r="BS52" s="88" t="s">
        <v>347</v>
      </c>
      <c r="BT52" s="88" t="s">
        <v>346</v>
      </c>
      <c r="BU52" s="88" t="s">
        <v>347</v>
      </c>
      <c r="BV52" s="88" t="s">
        <v>347</v>
      </c>
      <c r="BW52" s="88" t="s">
        <v>347</v>
      </c>
      <c r="BX52" s="88" t="s">
        <v>347</v>
      </c>
      <c r="BY52" s="88" t="s">
        <v>346</v>
      </c>
      <c r="BZ52" s="91" t="s">
        <v>346</v>
      </c>
    </row>
    <row r="53" spans="1:78" s="2" customFormat="1" x14ac:dyDescent="0.25">
      <c r="A53" s="109" t="s">
        <v>510</v>
      </c>
      <c r="B53" s="88" t="s">
        <v>347</v>
      </c>
      <c r="C53" s="88" t="s">
        <v>347</v>
      </c>
      <c r="D53" s="88" t="s">
        <v>347</v>
      </c>
      <c r="E53" s="88" t="s">
        <v>346</v>
      </c>
      <c r="F53" s="88" t="s">
        <v>346</v>
      </c>
      <c r="G53" s="88" t="s">
        <v>347</v>
      </c>
      <c r="H53" s="88" t="s">
        <v>347</v>
      </c>
      <c r="I53" s="88" t="s">
        <v>347</v>
      </c>
      <c r="J53" s="91" t="s">
        <v>347</v>
      </c>
      <c r="K53" s="109" t="s">
        <v>510</v>
      </c>
      <c r="L53" s="88" t="str">
        <f>LOOKUP($K53,PantheonList!$A$18:$A$139,PantheonList!$B$18:$B$139)</f>
        <v>Academics</v>
      </c>
      <c r="M53" s="88" t="str">
        <f>LOOKUP($K53,PantheonList!$A$18:$A$139,PantheonList!$C$18:$C$139)</f>
        <v>Integrity</v>
      </c>
      <c r="N53" s="88" t="str">
        <f>LOOKUP($K53,PantheonList!$A$18:$A$139,PantheonList!$D$18:$D$139)</f>
        <v>Investigation</v>
      </c>
      <c r="O53" s="88" t="str">
        <f>LOOKUP($K53,PantheonList!$A$18:$A$139,PantheonList!$E$18:$E$139)</f>
        <v>Occult</v>
      </c>
      <c r="P53" s="88" t="str">
        <f>LOOKUP($K53,PantheonList!$A$18:$A$139,PantheonList!$F$18:$F$139)</f>
        <v>Politics</v>
      </c>
      <c r="Q53" s="88" t="str">
        <f>LOOKUP($K53,PantheonList!$A$18:$A$139,PantheonList!$G$18:$G$139)</f>
        <v>Presence</v>
      </c>
      <c r="R53" s="88" t="str">
        <f t="shared" si="10"/>
        <v>Yes</v>
      </c>
      <c r="S53" s="88" t="str">
        <f t="shared" si="10"/>
        <v>No</v>
      </c>
      <c r="T53" s="88" t="str">
        <f t="shared" si="10"/>
        <v>No</v>
      </c>
      <c r="U53" s="88" t="str">
        <f t="shared" si="10"/>
        <v>No</v>
      </c>
      <c r="V53" s="88" t="str">
        <f t="shared" si="10"/>
        <v>No</v>
      </c>
      <c r="W53" s="88" t="str">
        <f t="shared" si="10"/>
        <v>No</v>
      </c>
      <c r="X53" s="88" t="str">
        <f t="shared" si="10"/>
        <v>No</v>
      </c>
      <c r="Y53" s="88" t="str">
        <f t="shared" si="10"/>
        <v>No</v>
      </c>
      <c r="Z53" s="88" t="str">
        <f t="shared" si="10"/>
        <v>No</v>
      </c>
      <c r="AA53" s="88" t="str">
        <f t="shared" si="10"/>
        <v>No</v>
      </c>
      <c r="AB53" s="88" t="str">
        <f t="shared" si="11"/>
        <v>No</v>
      </c>
      <c r="AC53" s="88" t="str">
        <f t="shared" si="11"/>
        <v>Yes</v>
      </c>
      <c r="AD53" s="88" t="str">
        <f t="shared" si="11"/>
        <v>Yes</v>
      </c>
      <c r="AE53" s="88" t="str">
        <f t="shared" si="11"/>
        <v>No</v>
      </c>
      <c r="AF53" s="88" t="str">
        <f t="shared" si="11"/>
        <v>No</v>
      </c>
      <c r="AG53" s="88" t="str">
        <f t="shared" si="11"/>
        <v>No</v>
      </c>
      <c r="AH53" s="88" t="str">
        <f t="shared" si="11"/>
        <v>No</v>
      </c>
      <c r="AI53" s="88" t="str">
        <f t="shared" si="11"/>
        <v>Yes</v>
      </c>
      <c r="AJ53" s="88" t="str">
        <f t="shared" si="11"/>
        <v>Yes</v>
      </c>
      <c r="AK53" s="88" t="str">
        <f t="shared" si="11"/>
        <v>Yes</v>
      </c>
      <c r="AL53" s="88" t="str">
        <f t="shared" si="11"/>
        <v>No</v>
      </c>
      <c r="AM53" s="88" t="str">
        <f t="shared" si="11"/>
        <v>No</v>
      </c>
      <c r="AN53" s="88" t="str">
        <f t="shared" si="11"/>
        <v>No</v>
      </c>
      <c r="AO53" s="91" t="str">
        <f t="shared" si="11"/>
        <v>No</v>
      </c>
      <c r="AP53" s="109" t="s">
        <v>510</v>
      </c>
      <c r="AQ53" s="88">
        <v>53</v>
      </c>
      <c r="AR53" s="88" t="s">
        <v>347</v>
      </c>
      <c r="AS53" s="88" t="s">
        <v>347</v>
      </c>
      <c r="AT53" s="88" t="s">
        <v>347</v>
      </c>
      <c r="AU53" s="88" t="s">
        <v>347</v>
      </c>
      <c r="AV53" s="88" t="s">
        <v>347</v>
      </c>
      <c r="AW53" s="88" t="s">
        <v>347</v>
      </c>
      <c r="AX53" s="88" t="s">
        <v>347</v>
      </c>
      <c r="AY53" s="88" t="s">
        <v>347</v>
      </c>
      <c r="AZ53" s="88" t="s">
        <v>347</v>
      </c>
      <c r="BA53" s="88" t="s">
        <v>347</v>
      </c>
      <c r="BB53" s="88" t="s">
        <v>346</v>
      </c>
      <c r="BC53" s="88" t="s">
        <v>347</v>
      </c>
      <c r="BD53" s="88" t="s">
        <v>347</v>
      </c>
      <c r="BE53" s="88" t="s">
        <v>346</v>
      </c>
      <c r="BF53" s="88" t="s">
        <v>346</v>
      </c>
      <c r="BG53" s="88" t="s">
        <v>346</v>
      </c>
      <c r="BH53" s="88" t="s">
        <v>347</v>
      </c>
      <c r="BI53" s="88" t="s">
        <v>347</v>
      </c>
      <c r="BJ53" s="88" t="s">
        <v>347</v>
      </c>
      <c r="BK53" s="88" t="s">
        <v>347</v>
      </c>
      <c r="BL53" s="88" t="s">
        <v>347</v>
      </c>
      <c r="BM53" s="88" t="s">
        <v>346</v>
      </c>
      <c r="BN53" s="88" t="s">
        <v>347</v>
      </c>
      <c r="BO53" s="88" t="s">
        <v>346</v>
      </c>
      <c r="BP53" s="88" t="s">
        <v>347</v>
      </c>
      <c r="BQ53" s="88" t="s">
        <v>347</v>
      </c>
      <c r="BR53" s="88" t="s">
        <v>347</v>
      </c>
      <c r="BS53" s="88" t="s">
        <v>347</v>
      </c>
      <c r="BT53" s="88" t="s">
        <v>347</v>
      </c>
      <c r="BU53" s="88" t="s">
        <v>347</v>
      </c>
      <c r="BV53" s="88" t="s">
        <v>347</v>
      </c>
      <c r="BW53" s="88" t="s">
        <v>347</v>
      </c>
      <c r="BX53" s="88" t="s">
        <v>347</v>
      </c>
      <c r="BY53" s="88" t="s">
        <v>347</v>
      </c>
      <c r="BZ53" s="91" t="s">
        <v>347</v>
      </c>
    </row>
    <row r="54" spans="1:78" s="2" customFormat="1" x14ac:dyDescent="0.25">
      <c r="A54" s="109" t="s">
        <v>207</v>
      </c>
      <c r="B54" s="88" t="s">
        <v>346</v>
      </c>
      <c r="C54" s="88" t="s">
        <v>347</v>
      </c>
      <c r="D54" s="88" t="s">
        <v>347</v>
      </c>
      <c r="E54" s="88" t="s">
        <v>346</v>
      </c>
      <c r="F54" s="88" t="s">
        <v>347</v>
      </c>
      <c r="G54" s="88" t="s">
        <v>347</v>
      </c>
      <c r="H54" s="88" t="s">
        <v>347</v>
      </c>
      <c r="I54" s="88" t="s">
        <v>347</v>
      </c>
      <c r="J54" s="91" t="s">
        <v>347</v>
      </c>
      <c r="K54" s="109" t="s">
        <v>207</v>
      </c>
      <c r="L54" s="88" t="str">
        <f>LOOKUP($K54,PantheonList!$A$18:$A$139,PantheonList!$B$18:$B$139)</f>
        <v>Academics</v>
      </c>
      <c r="M54" s="88" t="str">
        <f>LOOKUP($K54,PantheonList!$A$18:$A$139,PantheonList!$C$18:$C$139)</f>
        <v>Awareness</v>
      </c>
      <c r="N54" s="88" t="str">
        <f>LOOKUP($K54,PantheonList!$A$18:$A$139,PantheonList!$D$18:$D$139)</f>
        <v>Fortitude</v>
      </c>
      <c r="O54" s="88" t="str">
        <f>LOOKUP($K54,PantheonList!$A$18:$A$139,PantheonList!$E$18:$E$139)</f>
        <v>Melee</v>
      </c>
      <c r="P54" s="88" t="str">
        <f>LOOKUP($K54,PantheonList!$A$18:$A$139,PantheonList!$F$18:$F$139)</f>
        <v>Presence</v>
      </c>
      <c r="Q54" s="88" t="str">
        <f>LOOKUP($K54,PantheonList!$A$18:$A$139,PantheonList!$G$18:$G$139)</f>
        <v>Thrown</v>
      </c>
      <c r="R54" s="88" t="str">
        <f t="shared" si="10"/>
        <v>Yes</v>
      </c>
      <c r="S54" s="88" t="str">
        <f t="shared" si="10"/>
        <v>No</v>
      </c>
      <c r="T54" s="88" t="str">
        <f t="shared" si="10"/>
        <v>No</v>
      </c>
      <c r="U54" s="88" t="str">
        <f t="shared" si="10"/>
        <v>No</v>
      </c>
      <c r="V54" s="88" t="str">
        <f t="shared" si="10"/>
        <v>Yes</v>
      </c>
      <c r="W54" s="88" t="str">
        <f t="shared" si="10"/>
        <v>No</v>
      </c>
      <c r="X54" s="88" t="str">
        <f t="shared" si="10"/>
        <v>No</v>
      </c>
      <c r="Y54" s="88" t="str">
        <f t="shared" si="10"/>
        <v>No</v>
      </c>
      <c r="Z54" s="88" t="str">
        <f t="shared" si="10"/>
        <v>No</v>
      </c>
      <c r="AA54" s="88" t="str">
        <f t="shared" si="10"/>
        <v>No</v>
      </c>
      <c r="AB54" s="88" t="str">
        <f t="shared" si="11"/>
        <v>Yes</v>
      </c>
      <c r="AC54" s="88" t="str">
        <f t="shared" si="11"/>
        <v>No</v>
      </c>
      <c r="AD54" s="88" t="str">
        <f t="shared" si="11"/>
        <v>No</v>
      </c>
      <c r="AE54" s="88" t="str">
        <f t="shared" si="11"/>
        <v>No</v>
      </c>
      <c r="AF54" s="88" t="str">
        <f t="shared" si="11"/>
        <v>No</v>
      </c>
      <c r="AG54" s="88" t="str">
        <f t="shared" si="11"/>
        <v>No</v>
      </c>
      <c r="AH54" s="88" t="str">
        <f t="shared" si="11"/>
        <v>Yes</v>
      </c>
      <c r="AI54" s="88" t="str">
        <f t="shared" si="11"/>
        <v>No</v>
      </c>
      <c r="AJ54" s="88" t="str">
        <f t="shared" si="11"/>
        <v>No</v>
      </c>
      <c r="AK54" s="88" t="str">
        <f t="shared" si="11"/>
        <v>Yes</v>
      </c>
      <c r="AL54" s="88" t="str">
        <f t="shared" si="11"/>
        <v>No</v>
      </c>
      <c r="AM54" s="88" t="str">
        <f t="shared" si="11"/>
        <v>No</v>
      </c>
      <c r="AN54" s="88" t="str">
        <f t="shared" si="11"/>
        <v>No</v>
      </c>
      <c r="AO54" s="91" t="str">
        <f t="shared" si="11"/>
        <v>Yes</v>
      </c>
      <c r="AP54" s="109" t="s">
        <v>207</v>
      </c>
      <c r="AQ54" s="88">
        <v>54</v>
      </c>
      <c r="AR54" s="88" t="s">
        <v>347</v>
      </c>
      <c r="AS54" s="88" t="s">
        <v>347</v>
      </c>
      <c r="AT54" s="88" t="s">
        <v>347</v>
      </c>
      <c r="AU54" s="88" t="s">
        <v>347</v>
      </c>
      <c r="AV54" s="88" t="s">
        <v>347</v>
      </c>
      <c r="AW54" s="88" t="s">
        <v>347</v>
      </c>
      <c r="AX54" s="88" t="s">
        <v>347</v>
      </c>
      <c r="AY54" s="88" t="s">
        <v>347</v>
      </c>
      <c r="AZ54" s="88" t="s">
        <v>347</v>
      </c>
      <c r="BA54" s="88" t="s">
        <v>347</v>
      </c>
      <c r="BB54" s="88" t="s">
        <v>347</v>
      </c>
      <c r="BC54" s="88" t="s">
        <v>347</v>
      </c>
      <c r="BD54" s="88" t="s">
        <v>347</v>
      </c>
      <c r="BE54" s="88" t="s">
        <v>347</v>
      </c>
      <c r="BF54" s="88" t="s">
        <v>347</v>
      </c>
      <c r="BG54" s="88" t="s">
        <v>347</v>
      </c>
      <c r="BH54" s="88" t="s">
        <v>347</v>
      </c>
      <c r="BI54" s="88" t="s">
        <v>347</v>
      </c>
      <c r="BJ54" s="88" t="s">
        <v>347</v>
      </c>
      <c r="BK54" s="88" t="s">
        <v>347</v>
      </c>
      <c r="BL54" s="88" t="s">
        <v>347</v>
      </c>
      <c r="BM54" s="88" t="s">
        <v>347</v>
      </c>
      <c r="BN54" s="88" t="s">
        <v>347</v>
      </c>
      <c r="BO54" s="88" t="s">
        <v>347</v>
      </c>
      <c r="BP54" s="88" t="s">
        <v>347</v>
      </c>
      <c r="BQ54" s="88" t="s">
        <v>346</v>
      </c>
      <c r="BR54" s="88" t="s">
        <v>347</v>
      </c>
      <c r="BS54" s="88" t="s">
        <v>347</v>
      </c>
      <c r="BT54" s="88" t="s">
        <v>346</v>
      </c>
      <c r="BU54" s="88" t="s">
        <v>347</v>
      </c>
      <c r="BV54" s="88" t="s">
        <v>347</v>
      </c>
      <c r="BW54" s="88" t="s">
        <v>347</v>
      </c>
      <c r="BX54" s="88" t="s">
        <v>346</v>
      </c>
      <c r="BY54" s="88" t="s">
        <v>347</v>
      </c>
      <c r="BZ54" s="91" t="s">
        <v>347</v>
      </c>
    </row>
    <row r="55" spans="1:78" s="2" customFormat="1" x14ac:dyDescent="0.25">
      <c r="A55" s="109" t="s">
        <v>208</v>
      </c>
      <c r="B55" s="88" t="s">
        <v>347</v>
      </c>
      <c r="C55" s="88" t="s">
        <v>347</v>
      </c>
      <c r="D55" s="88" t="s">
        <v>347</v>
      </c>
      <c r="E55" s="88" t="s">
        <v>346</v>
      </c>
      <c r="F55" s="88" t="s">
        <v>347</v>
      </c>
      <c r="G55" s="88" t="s">
        <v>346</v>
      </c>
      <c r="H55" s="88" t="s">
        <v>347</v>
      </c>
      <c r="I55" s="88" t="s">
        <v>347</v>
      </c>
      <c r="J55" s="91" t="s">
        <v>347</v>
      </c>
      <c r="K55" s="109" t="s">
        <v>208</v>
      </c>
      <c r="L55" s="88" t="str">
        <f>LOOKUP($K55,PantheonList!$A$18:$A$139,PantheonList!$B$18:$B$139)</f>
        <v>Brawl</v>
      </c>
      <c r="M55" s="88" t="str">
        <f>LOOKUP($K55,PantheonList!$A$18:$A$139,PantheonList!$C$18:$C$139)</f>
        <v>Command</v>
      </c>
      <c r="N55" s="88" t="str">
        <f>LOOKUP($K55,PantheonList!$A$18:$A$139,PantheonList!$D$18:$D$139)</f>
        <v>Fortitude</v>
      </c>
      <c r="O55" s="88" t="str">
        <f>LOOKUP($K55,PantheonList!$A$18:$A$139,PantheonList!$E$18:$E$139)</f>
        <v>Integrity</v>
      </c>
      <c r="P55" s="88" t="str">
        <f>LOOKUP($K55,PantheonList!$A$18:$A$139,PantheonList!$F$18:$F$139)</f>
        <v>Occult</v>
      </c>
      <c r="Q55" s="88" t="str">
        <f>LOOKUP($K55,PantheonList!$A$18:$A$139,PantheonList!$G$18:$G$139)</f>
        <v>Stealth</v>
      </c>
      <c r="R55" s="88" t="str">
        <f t="shared" si="10"/>
        <v>No</v>
      </c>
      <c r="S55" s="88" t="str">
        <f t="shared" si="10"/>
        <v>No</v>
      </c>
      <c r="T55" s="88" t="str">
        <f t="shared" si="10"/>
        <v>No</v>
      </c>
      <c r="U55" s="88" t="str">
        <f t="shared" si="10"/>
        <v>No</v>
      </c>
      <c r="V55" s="88" t="str">
        <f t="shared" si="10"/>
        <v>No</v>
      </c>
      <c r="W55" s="88" t="str">
        <f t="shared" si="10"/>
        <v>Yes</v>
      </c>
      <c r="X55" s="88" t="str">
        <f t="shared" si="10"/>
        <v>Yes</v>
      </c>
      <c r="Y55" s="88" t="str">
        <f t="shared" si="10"/>
        <v>No</v>
      </c>
      <c r="Z55" s="88" t="str">
        <f t="shared" si="10"/>
        <v>No</v>
      </c>
      <c r="AA55" s="88" t="str">
        <f t="shared" si="10"/>
        <v>No</v>
      </c>
      <c r="AB55" s="88" t="str">
        <f t="shared" si="11"/>
        <v>Yes</v>
      </c>
      <c r="AC55" s="88" t="str">
        <f t="shared" si="11"/>
        <v>Yes</v>
      </c>
      <c r="AD55" s="88" t="str">
        <f t="shared" si="11"/>
        <v>No</v>
      </c>
      <c r="AE55" s="88" t="str">
        <f t="shared" si="11"/>
        <v>No</v>
      </c>
      <c r="AF55" s="88" t="str">
        <f t="shared" si="11"/>
        <v>No</v>
      </c>
      <c r="AG55" s="88" t="str">
        <f t="shared" si="11"/>
        <v>No</v>
      </c>
      <c r="AH55" s="88" t="str">
        <f t="shared" si="11"/>
        <v>No</v>
      </c>
      <c r="AI55" s="88" t="str">
        <f t="shared" si="11"/>
        <v>Yes</v>
      </c>
      <c r="AJ55" s="88" t="str">
        <f t="shared" si="11"/>
        <v>No</v>
      </c>
      <c r="AK55" s="88" t="str">
        <f t="shared" si="11"/>
        <v>No</v>
      </c>
      <c r="AL55" s="88" t="str">
        <f t="shared" si="11"/>
        <v>No</v>
      </c>
      <c r="AM55" s="88" t="str">
        <f t="shared" si="11"/>
        <v>Yes</v>
      </c>
      <c r="AN55" s="88" t="str">
        <f t="shared" si="11"/>
        <v>No</v>
      </c>
      <c r="AO55" s="91" t="str">
        <f t="shared" si="11"/>
        <v>No</v>
      </c>
      <c r="AP55" s="109" t="s">
        <v>208</v>
      </c>
      <c r="AQ55" s="88">
        <v>55</v>
      </c>
      <c r="AR55" s="88" t="s">
        <v>347</v>
      </c>
      <c r="AS55" s="88" t="s">
        <v>347</v>
      </c>
      <c r="AT55" s="88" t="s">
        <v>347</v>
      </c>
      <c r="AU55" s="88" t="s">
        <v>347</v>
      </c>
      <c r="AV55" s="88" t="s">
        <v>347</v>
      </c>
      <c r="AW55" s="88" t="s">
        <v>347</v>
      </c>
      <c r="AX55" s="88" t="s">
        <v>346</v>
      </c>
      <c r="AY55" s="88" t="s">
        <v>346</v>
      </c>
      <c r="AZ55" s="88" t="s">
        <v>346</v>
      </c>
      <c r="BA55" s="88" t="s">
        <v>347</v>
      </c>
      <c r="BB55" s="88" t="s">
        <v>347</v>
      </c>
      <c r="BC55" s="88" t="s">
        <v>347</v>
      </c>
      <c r="BD55" s="88" t="s">
        <v>347</v>
      </c>
      <c r="BE55" s="88" t="s">
        <v>347</v>
      </c>
      <c r="BF55" s="88" t="s">
        <v>347</v>
      </c>
      <c r="BG55" s="88" t="s">
        <v>347</v>
      </c>
      <c r="BH55" s="88" t="s">
        <v>347</v>
      </c>
      <c r="BI55" s="88" t="s">
        <v>347</v>
      </c>
      <c r="BJ55" s="88" t="s">
        <v>347</v>
      </c>
      <c r="BK55" s="88" t="s">
        <v>347</v>
      </c>
      <c r="BL55" s="88" t="s">
        <v>347</v>
      </c>
      <c r="BM55" s="88" t="s">
        <v>347</v>
      </c>
      <c r="BN55" s="88" t="s">
        <v>347</v>
      </c>
      <c r="BO55" s="88" t="s">
        <v>347</v>
      </c>
      <c r="BP55" s="88" t="s">
        <v>347</v>
      </c>
      <c r="BQ55" s="88" t="s">
        <v>347</v>
      </c>
      <c r="BR55" s="88" t="s">
        <v>347</v>
      </c>
      <c r="BS55" s="88" t="s">
        <v>347</v>
      </c>
      <c r="BT55" s="88" t="s">
        <v>347</v>
      </c>
      <c r="BU55" s="88" t="s">
        <v>347</v>
      </c>
      <c r="BV55" s="88" t="s">
        <v>347</v>
      </c>
      <c r="BW55" s="88" t="s">
        <v>347</v>
      </c>
      <c r="BX55" s="88" t="s">
        <v>346</v>
      </c>
      <c r="BY55" s="88" t="s">
        <v>347</v>
      </c>
      <c r="BZ55" s="91" t="s">
        <v>347</v>
      </c>
    </row>
    <row r="56" spans="1:78" s="2" customFormat="1" x14ac:dyDescent="0.25">
      <c r="A56" s="109" t="s">
        <v>312</v>
      </c>
      <c r="B56" s="88" t="s">
        <v>347</v>
      </c>
      <c r="C56" s="88" t="s">
        <v>347</v>
      </c>
      <c r="D56" s="88" t="s">
        <v>346</v>
      </c>
      <c r="E56" s="88" t="s">
        <v>347</v>
      </c>
      <c r="F56" s="88" t="s">
        <v>347</v>
      </c>
      <c r="G56" s="88" t="s">
        <v>347</v>
      </c>
      <c r="H56" s="88" t="s">
        <v>347</v>
      </c>
      <c r="I56" s="88" t="s">
        <v>347</v>
      </c>
      <c r="J56" s="91" t="s">
        <v>347</v>
      </c>
      <c r="K56" s="109" t="s">
        <v>312</v>
      </c>
      <c r="L56" s="88" t="str">
        <f>LOOKUP($K56,PantheonList!$A$18:$A$139,PantheonList!$B$18:$B$139)</f>
        <v>Athletics</v>
      </c>
      <c r="M56" s="88" t="str">
        <f>LOOKUP($K56,PantheonList!$A$18:$A$139,PantheonList!$C$18:$C$139)</f>
        <v>Brawl</v>
      </c>
      <c r="N56" s="88" t="str">
        <f>LOOKUP($K56,PantheonList!$A$18:$A$139,PantheonList!$D$18:$D$139)</f>
        <v>Control</v>
      </c>
      <c r="O56" s="88" t="str">
        <f>LOOKUP($K56,PantheonList!$A$18:$A$139,PantheonList!$E$18:$E$139)</f>
        <v>Command</v>
      </c>
      <c r="P56" s="88" t="str">
        <f>LOOKUP($K56,PantheonList!$A$18:$A$139,PantheonList!$F$18:$F$139)</f>
        <v>Integrity</v>
      </c>
      <c r="Q56" s="88" t="str">
        <f>LOOKUP($K56,PantheonList!$A$18:$A$139,PantheonList!$G$18:$G$139)</f>
        <v>Survival</v>
      </c>
      <c r="R56" s="88" t="str">
        <f t="shared" si="10"/>
        <v>No</v>
      </c>
      <c r="S56" s="88" t="str">
        <f t="shared" si="10"/>
        <v>No</v>
      </c>
      <c r="T56" s="88" t="str">
        <f t="shared" si="10"/>
        <v>No</v>
      </c>
      <c r="U56" s="88" t="str">
        <f t="shared" si="10"/>
        <v>Yes</v>
      </c>
      <c r="V56" s="88" t="str">
        <f t="shared" si="10"/>
        <v>No</v>
      </c>
      <c r="W56" s="88" t="str">
        <f t="shared" si="10"/>
        <v>Yes</v>
      </c>
      <c r="X56" s="88" t="str">
        <f t="shared" si="10"/>
        <v>Yes</v>
      </c>
      <c r="Y56" s="88" t="str">
        <f t="shared" si="10"/>
        <v>Yes</v>
      </c>
      <c r="Z56" s="88" t="str">
        <f t="shared" si="10"/>
        <v>No</v>
      </c>
      <c r="AA56" s="88" t="str">
        <f t="shared" si="10"/>
        <v>No</v>
      </c>
      <c r="AB56" s="88" t="str">
        <f t="shared" si="11"/>
        <v>No</v>
      </c>
      <c r="AC56" s="88" t="str">
        <f t="shared" si="11"/>
        <v>Yes</v>
      </c>
      <c r="AD56" s="88" t="str">
        <f t="shared" si="11"/>
        <v>No</v>
      </c>
      <c r="AE56" s="88" t="str">
        <f t="shared" si="11"/>
        <v>No</v>
      </c>
      <c r="AF56" s="88" t="str">
        <f t="shared" si="11"/>
        <v>No</v>
      </c>
      <c r="AG56" s="88" t="str">
        <f t="shared" si="11"/>
        <v>No</v>
      </c>
      <c r="AH56" s="88" t="str">
        <f t="shared" si="11"/>
        <v>No</v>
      </c>
      <c r="AI56" s="88" t="str">
        <f t="shared" si="11"/>
        <v>No</v>
      </c>
      <c r="AJ56" s="88" t="str">
        <f t="shared" si="11"/>
        <v>No</v>
      </c>
      <c r="AK56" s="88" t="str">
        <f t="shared" si="11"/>
        <v>No</v>
      </c>
      <c r="AL56" s="88" t="str">
        <f t="shared" si="11"/>
        <v>No</v>
      </c>
      <c r="AM56" s="88" t="str">
        <f t="shared" si="11"/>
        <v>No</v>
      </c>
      <c r="AN56" s="88" t="str">
        <f t="shared" si="11"/>
        <v>Yes</v>
      </c>
      <c r="AO56" s="91" t="str">
        <f t="shared" si="11"/>
        <v>No</v>
      </c>
      <c r="AP56" s="109" t="s">
        <v>312</v>
      </c>
      <c r="AQ56" s="88">
        <v>56</v>
      </c>
      <c r="AR56" s="88" t="s">
        <v>346</v>
      </c>
      <c r="AS56" s="88" t="s">
        <v>347</v>
      </c>
      <c r="AT56" s="88" t="s">
        <v>347</v>
      </c>
      <c r="AU56" s="88" t="s">
        <v>347</v>
      </c>
      <c r="AV56" s="88" t="s">
        <v>347</v>
      </c>
      <c r="AW56" s="88" t="s">
        <v>346</v>
      </c>
      <c r="AX56" s="88" t="s">
        <v>347</v>
      </c>
      <c r="AY56" s="88" t="s">
        <v>347</v>
      </c>
      <c r="AZ56" s="88" t="s">
        <v>347</v>
      </c>
      <c r="BA56" s="88" t="s">
        <v>347</v>
      </c>
      <c r="BB56" s="88" t="s">
        <v>347</v>
      </c>
      <c r="BC56" s="88" t="s">
        <v>347</v>
      </c>
      <c r="BD56" s="88" t="s">
        <v>347</v>
      </c>
      <c r="BE56" s="88" t="s">
        <v>347</v>
      </c>
      <c r="BF56" s="88" t="s">
        <v>347</v>
      </c>
      <c r="BG56" s="88" t="s">
        <v>347</v>
      </c>
      <c r="BH56" s="88" t="s">
        <v>347</v>
      </c>
      <c r="BI56" s="88" t="s">
        <v>347</v>
      </c>
      <c r="BJ56" s="88" t="s">
        <v>347</v>
      </c>
      <c r="BK56" s="88" t="s">
        <v>347</v>
      </c>
      <c r="BL56" s="88" t="s">
        <v>347</v>
      </c>
      <c r="BM56" s="88" t="s">
        <v>347</v>
      </c>
      <c r="BN56" s="88" t="s">
        <v>347</v>
      </c>
      <c r="BO56" s="88" t="s">
        <v>347</v>
      </c>
      <c r="BP56" s="88" t="s">
        <v>347</v>
      </c>
      <c r="BQ56" s="88" t="s">
        <v>346</v>
      </c>
      <c r="BR56" s="88" t="s">
        <v>347</v>
      </c>
      <c r="BS56" s="88" t="s">
        <v>347</v>
      </c>
      <c r="BT56" s="88" t="s">
        <v>347</v>
      </c>
      <c r="BU56" s="88" t="s">
        <v>347</v>
      </c>
      <c r="BV56" s="88" t="s">
        <v>347</v>
      </c>
      <c r="BW56" s="88" t="s">
        <v>347</v>
      </c>
      <c r="BX56" s="88" t="s">
        <v>347</v>
      </c>
      <c r="BY56" s="88" t="s">
        <v>346</v>
      </c>
      <c r="BZ56" s="91" t="s">
        <v>347</v>
      </c>
    </row>
    <row r="57" spans="1:78" s="2" customFormat="1" x14ac:dyDescent="0.25">
      <c r="A57" s="109" t="s">
        <v>304</v>
      </c>
      <c r="B57" s="88" t="s">
        <v>346</v>
      </c>
      <c r="C57" s="88" t="s">
        <v>347</v>
      </c>
      <c r="D57" s="88" t="s">
        <v>346</v>
      </c>
      <c r="E57" s="88" t="s">
        <v>347</v>
      </c>
      <c r="F57" s="88" t="s">
        <v>347</v>
      </c>
      <c r="G57" s="88" t="s">
        <v>347</v>
      </c>
      <c r="H57" s="88" t="s">
        <v>347</v>
      </c>
      <c r="I57" s="88" t="s">
        <v>347</v>
      </c>
      <c r="J57" s="91" t="s">
        <v>347</v>
      </c>
      <c r="K57" s="109" t="s">
        <v>304</v>
      </c>
      <c r="L57" s="88" t="str">
        <f>LOOKUP($K57,PantheonList!$A$18:$A$139,PantheonList!$B$18:$B$139)</f>
        <v>Athletics</v>
      </c>
      <c r="M57" s="88" t="str">
        <f>LOOKUP($K57,PantheonList!$A$18:$A$139,PantheonList!$C$18:$C$139)</f>
        <v>Brawl</v>
      </c>
      <c r="N57" s="88" t="str">
        <f>LOOKUP($K57,PantheonList!$A$18:$A$139,PantheonList!$D$18:$D$139)</f>
        <v>Craft</v>
      </c>
      <c r="O57" s="88" t="str">
        <f>LOOKUP($K57,PantheonList!$A$18:$A$139,PantheonList!$E$18:$E$139)</f>
        <v>Fortitude</v>
      </c>
      <c r="P57" s="88" t="str">
        <f>LOOKUP($K57,PantheonList!$A$18:$A$139,PantheonList!$F$18:$F$139)</f>
        <v>Integrity</v>
      </c>
      <c r="Q57" s="88" t="str">
        <f>LOOKUP($K57,PantheonList!$A$18:$A$139,PantheonList!$G$18:$G$139)</f>
        <v>Melee</v>
      </c>
      <c r="R57" s="88" t="str">
        <f t="shared" si="10"/>
        <v>No</v>
      </c>
      <c r="S57" s="88" t="str">
        <f t="shared" si="10"/>
        <v>No</v>
      </c>
      <c r="T57" s="88" t="str">
        <f t="shared" si="10"/>
        <v>No</v>
      </c>
      <c r="U57" s="88" t="str">
        <f t="shared" si="10"/>
        <v>Yes</v>
      </c>
      <c r="V57" s="88" t="str">
        <f t="shared" si="10"/>
        <v>No</v>
      </c>
      <c r="W57" s="88" t="str">
        <f t="shared" si="10"/>
        <v>Yes</v>
      </c>
      <c r="X57" s="88" t="str">
        <f t="shared" si="10"/>
        <v>No</v>
      </c>
      <c r="Y57" s="88" t="str">
        <f t="shared" si="10"/>
        <v>No</v>
      </c>
      <c r="Z57" s="88" t="str">
        <f t="shared" si="10"/>
        <v>Yes</v>
      </c>
      <c r="AA57" s="88" t="str">
        <f t="shared" si="10"/>
        <v>No</v>
      </c>
      <c r="AB57" s="88" t="str">
        <f t="shared" si="11"/>
        <v>Yes</v>
      </c>
      <c r="AC57" s="88" t="str">
        <f t="shared" si="11"/>
        <v>Yes</v>
      </c>
      <c r="AD57" s="88" t="str">
        <f t="shared" si="11"/>
        <v>No</v>
      </c>
      <c r="AE57" s="88" t="str">
        <f t="shared" si="11"/>
        <v>No</v>
      </c>
      <c r="AF57" s="88" t="str">
        <f t="shared" si="11"/>
        <v>No</v>
      </c>
      <c r="AG57" s="88" t="str">
        <f t="shared" si="11"/>
        <v>No</v>
      </c>
      <c r="AH57" s="88" t="str">
        <f t="shared" si="11"/>
        <v>Yes</v>
      </c>
      <c r="AI57" s="88" t="str">
        <f t="shared" si="11"/>
        <v>No</v>
      </c>
      <c r="AJ57" s="88" t="str">
        <f t="shared" si="11"/>
        <v>No</v>
      </c>
      <c r="AK57" s="88" t="str">
        <f t="shared" si="11"/>
        <v>No</v>
      </c>
      <c r="AL57" s="88" t="str">
        <f t="shared" si="11"/>
        <v>No</v>
      </c>
      <c r="AM57" s="88" t="str">
        <f t="shared" si="11"/>
        <v>No</v>
      </c>
      <c r="AN57" s="88" t="str">
        <f t="shared" si="11"/>
        <v>No</v>
      </c>
      <c r="AO57" s="91" t="str">
        <f t="shared" si="11"/>
        <v>No</v>
      </c>
      <c r="AP57" s="109" t="s">
        <v>304</v>
      </c>
      <c r="AQ57" s="88">
        <v>57</v>
      </c>
      <c r="AR57" s="88" t="s">
        <v>347</v>
      </c>
      <c r="AS57" s="88" t="s">
        <v>347</v>
      </c>
      <c r="AT57" s="88" t="s">
        <v>347</v>
      </c>
      <c r="AU57" s="88" t="s">
        <v>347</v>
      </c>
      <c r="AV57" s="88" t="s">
        <v>347</v>
      </c>
      <c r="AW57" s="88" t="s">
        <v>347</v>
      </c>
      <c r="AX57" s="88" t="s">
        <v>347</v>
      </c>
      <c r="AY57" s="88" t="s">
        <v>347</v>
      </c>
      <c r="AZ57" s="88" t="s">
        <v>347</v>
      </c>
      <c r="BA57" s="88" t="s">
        <v>347</v>
      </c>
      <c r="BB57" s="88" t="s">
        <v>347</v>
      </c>
      <c r="BC57" s="88" t="s">
        <v>346</v>
      </c>
      <c r="BD57" s="88" t="s">
        <v>347</v>
      </c>
      <c r="BE57" s="88" t="s">
        <v>347</v>
      </c>
      <c r="BF57" s="88" t="s">
        <v>347</v>
      </c>
      <c r="BG57" s="88" t="s">
        <v>347</v>
      </c>
      <c r="BH57" s="88" t="s">
        <v>347</v>
      </c>
      <c r="BI57" s="88" t="s">
        <v>346</v>
      </c>
      <c r="BJ57" s="88" t="s">
        <v>347</v>
      </c>
      <c r="BK57" s="88" t="s">
        <v>347</v>
      </c>
      <c r="BL57" s="88" t="s">
        <v>347</v>
      </c>
      <c r="BM57" s="88" t="s">
        <v>347</v>
      </c>
      <c r="BN57" s="88" t="s">
        <v>347</v>
      </c>
      <c r="BO57" s="88" t="s">
        <v>347</v>
      </c>
      <c r="BP57" s="88" t="s">
        <v>347</v>
      </c>
      <c r="BQ57" s="88" t="s">
        <v>347</v>
      </c>
      <c r="BR57" s="88" t="s">
        <v>347</v>
      </c>
      <c r="BS57" s="88" t="s">
        <v>347</v>
      </c>
      <c r="BT57" s="88" t="s">
        <v>347</v>
      </c>
      <c r="BU57" s="88" t="s">
        <v>347</v>
      </c>
      <c r="BV57" s="88" t="s">
        <v>347</v>
      </c>
      <c r="BW57" s="88" t="s">
        <v>347</v>
      </c>
      <c r="BX57" s="88" t="s">
        <v>347</v>
      </c>
      <c r="BY57" s="88" t="s">
        <v>347</v>
      </c>
      <c r="BZ57" s="91" t="s">
        <v>347</v>
      </c>
    </row>
    <row r="58" spans="1:78" s="2" customFormat="1" x14ac:dyDescent="0.25">
      <c r="A58" s="109" t="s">
        <v>305</v>
      </c>
      <c r="B58" s="88" t="s">
        <v>347</v>
      </c>
      <c r="C58" s="88" t="s">
        <v>347</v>
      </c>
      <c r="D58" s="88" t="s">
        <v>347</v>
      </c>
      <c r="E58" s="88" t="s">
        <v>346</v>
      </c>
      <c r="F58" s="88" t="s">
        <v>347</v>
      </c>
      <c r="G58" s="88" t="s">
        <v>347</v>
      </c>
      <c r="H58" s="88" t="s">
        <v>347</v>
      </c>
      <c r="I58" s="88" t="s">
        <v>347</v>
      </c>
      <c r="J58" s="91" t="s">
        <v>347</v>
      </c>
      <c r="K58" s="109" t="s">
        <v>305</v>
      </c>
      <c r="L58" s="88" t="str">
        <f>LOOKUP($K58,PantheonList!$A$18:$A$139,PantheonList!$B$18:$B$139)</f>
        <v>Animal Ken</v>
      </c>
      <c r="M58" s="88" t="str">
        <f>LOOKUP($K58,PantheonList!$A$18:$A$139,PantheonList!$C$18:$C$139)</f>
        <v>Craft</v>
      </c>
      <c r="N58" s="88" t="str">
        <f>LOOKUP($K58,PantheonList!$A$18:$A$139,PantheonList!$D$18:$D$139)</f>
        <v>Empathy</v>
      </c>
      <c r="O58" s="88" t="str">
        <f>LOOKUP($K58,PantheonList!$A$18:$A$139,PantheonList!$E$18:$E$139)</f>
        <v>Medicine</v>
      </c>
      <c r="P58" s="88" t="str">
        <f>LOOKUP($K58,PantheonList!$A$18:$A$139,PantheonList!$F$18:$F$139)</f>
        <v>Science</v>
      </c>
      <c r="Q58" s="88" t="str">
        <f>LOOKUP($K58,PantheonList!$A$18:$A$139,PantheonList!$G$18:$G$139)</f>
        <v>Survival</v>
      </c>
      <c r="R58" s="88" t="str">
        <f t="shared" si="10"/>
        <v>No</v>
      </c>
      <c r="S58" s="88" t="str">
        <f t="shared" si="10"/>
        <v>Yes</v>
      </c>
      <c r="T58" s="88" t="str">
        <f t="shared" si="10"/>
        <v>No</v>
      </c>
      <c r="U58" s="88" t="str">
        <f t="shared" si="10"/>
        <v>No</v>
      </c>
      <c r="V58" s="88" t="str">
        <f t="shared" si="10"/>
        <v>No</v>
      </c>
      <c r="W58" s="88" t="str">
        <f t="shared" si="10"/>
        <v>No</v>
      </c>
      <c r="X58" s="88" t="str">
        <f t="shared" si="10"/>
        <v>No</v>
      </c>
      <c r="Y58" s="88" t="str">
        <f t="shared" si="10"/>
        <v>No</v>
      </c>
      <c r="Z58" s="88" t="str">
        <f t="shared" si="10"/>
        <v>Yes</v>
      </c>
      <c r="AA58" s="88" t="str">
        <f t="shared" si="10"/>
        <v>Yes</v>
      </c>
      <c r="AB58" s="88" t="str">
        <f t="shared" si="11"/>
        <v>No</v>
      </c>
      <c r="AC58" s="88" t="str">
        <f t="shared" si="11"/>
        <v>No</v>
      </c>
      <c r="AD58" s="88" t="str">
        <f t="shared" si="11"/>
        <v>No</v>
      </c>
      <c r="AE58" s="88" t="str">
        <f t="shared" si="11"/>
        <v>No</v>
      </c>
      <c r="AF58" s="88" t="str">
        <f t="shared" si="11"/>
        <v>No</v>
      </c>
      <c r="AG58" s="88" t="str">
        <f t="shared" si="11"/>
        <v>Yes</v>
      </c>
      <c r="AH58" s="88" t="str">
        <f t="shared" si="11"/>
        <v>No</v>
      </c>
      <c r="AI58" s="88" t="str">
        <f t="shared" si="11"/>
        <v>No</v>
      </c>
      <c r="AJ58" s="88" t="str">
        <f t="shared" si="11"/>
        <v>No</v>
      </c>
      <c r="AK58" s="88" t="str">
        <f t="shared" si="11"/>
        <v>No</v>
      </c>
      <c r="AL58" s="88" t="str">
        <f t="shared" si="11"/>
        <v>Yes</v>
      </c>
      <c r="AM58" s="88" t="str">
        <f t="shared" si="11"/>
        <v>No</v>
      </c>
      <c r="AN58" s="88" t="str">
        <f t="shared" si="11"/>
        <v>Yes</v>
      </c>
      <c r="AO58" s="91" t="str">
        <f t="shared" si="11"/>
        <v>No</v>
      </c>
      <c r="AP58" s="109" t="s">
        <v>305</v>
      </c>
      <c r="AQ58" s="88">
        <v>58</v>
      </c>
      <c r="AR58" s="88" t="s">
        <v>347</v>
      </c>
      <c r="AS58" s="88" t="s">
        <v>347</v>
      </c>
      <c r="AT58" s="88" t="s">
        <v>347</v>
      </c>
      <c r="AU58" s="88" t="s">
        <v>347</v>
      </c>
      <c r="AV58" s="88" t="s">
        <v>347</v>
      </c>
      <c r="AW58" s="88" t="s">
        <v>347</v>
      </c>
      <c r="AX58" s="88" t="s">
        <v>347</v>
      </c>
      <c r="AY58" s="88" t="s">
        <v>347</v>
      </c>
      <c r="AZ58" s="88" t="s">
        <v>347</v>
      </c>
      <c r="BA58" s="88" t="s">
        <v>347</v>
      </c>
      <c r="BB58" s="88" t="s">
        <v>346</v>
      </c>
      <c r="BC58" s="88" t="s">
        <v>347</v>
      </c>
      <c r="BD58" s="88" t="s">
        <v>347</v>
      </c>
      <c r="BE58" s="88" t="s">
        <v>347</v>
      </c>
      <c r="BF58" s="88" t="s">
        <v>346</v>
      </c>
      <c r="BG58" s="88" t="s">
        <v>347</v>
      </c>
      <c r="BH58" s="88" t="s">
        <v>347</v>
      </c>
      <c r="BI58" s="88" t="s">
        <v>346</v>
      </c>
      <c r="BJ58" s="88" t="s">
        <v>347</v>
      </c>
      <c r="BK58" s="88" t="s">
        <v>347</v>
      </c>
      <c r="BL58" s="88" t="s">
        <v>347</v>
      </c>
      <c r="BM58" s="88" t="s">
        <v>347</v>
      </c>
      <c r="BN58" s="88" t="s">
        <v>347</v>
      </c>
      <c r="BO58" s="88" t="s">
        <v>347</v>
      </c>
      <c r="BP58" s="88" t="s">
        <v>347</v>
      </c>
      <c r="BQ58" s="88" t="s">
        <v>347</v>
      </c>
      <c r="BR58" s="88" t="s">
        <v>347</v>
      </c>
      <c r="BS58" s="88" t="s">
        <v>347</v>
      </c>
      <c r="BT58" s="88" t="s">
        <v>347</v>
      </c>
      <c r="BU58" s="88" t="s">
        <v>347</v>
      </c>
      <c r="BV58" s="88" t="s">
        <v>347</v>
      </c>
      <c r="BW58" s="88" t="s">
        <v>347</v>
      </c>
      <c r="BX58" s="88" t="s">
        <v>347</v>
      </c>
      <c r="BY58" s="88" t="s">
        <v>347</v>
      </c>
      <c r="BZ58" s="91" t="s">
        <v>347</v>
      </c>
    </row>
    <row r="59" spans="1:78" s="2" customFormat="1" x14ac:dyDescent="0.25">
      <c r="A59" s="109" t="s">
        <v>265</v>
      </c>
      <c r="B59" s="88" t="s">
        <v>347</v>
      </c>
      <c r="C59" s="88" t="s">
        <v>347</v>
      </c>
      <c r="D59" s="88" t="s">
        <v>347</v>
      </c>
      <c r="E59" s="88" t="s">
        <v>346</v>
      </c>
      <c r="F59" s="88" t="s">
        <v>347</v>
      </c>
      <c r="G59" s="88" t="s">
        <v>347</v>
      </c>
      <c r="H59" s="88" t="s">
        <v>347</v>
      </c>
      <c r="I59" s="88" t="s">
        <v>347</v>
      </c>
      <c r="J59" s="91" t="s">
        <v>347</v>
      </c>
      <c r="K59" s="109" t="s">
        <v>265</v>
      </c>
      <c r="L59" s="88" t="str">
        <f>LOOKUP($K59,PantheonList!$A$18:$A$139,PantheonList!$B$18:$B$139)</f>
        <v>Animal Ken</v>
      </c>
      <c r="M59" s="88" t="str">
        <f>LOOKUP($K59,PantheonList!$A$18:$A$139,PantheonList!$C$18:$C$139)</f>
        <v>Athletics</v>
      </c>
      <c r="N59" s="88" t="str">
        <f>LOOKUP($K59,PantheonList!$A$18:$A$139,PantheonList!$D$18:$D$139)</f>
        <v>Occult</v>
      </c>
      <c r="O59" s="88" t="str">
        <f>LOOKUP($K59,PantheonList!$A$18:$A$139,PantheonList!$E$18:$E$139)</f>
        <v>Presence</v>
      </c>
      <c r="P59" s="88" t="str">
        <f>LOOKUP($K59,PantheonList!$A$18:$A$139,PantheonList!$F$18:$F$139)</f>
        <v>Stealth</v>
      </c>
      <c r="Q59" s="88" t="str">
        <f>LOOKUP($K59,PantheonList!$A$18:$A$139,PantheonList!$G$18:$G$139)</f>
        <v>Survival</v>
      </c>
      <c r="R59" s="88" t="str">
        <f t="shared" si="10"/>
        <v>No</v>
      </c>
      <c r="S59" s="88" t="str">
        <f t="shared" si="10"/>
        <v>Yes</v>
      </c>
      <c r="T59" s="88" t="str">
        <f t="shared" si="10"/>
        <v>No</v>
      </c>
      <c r="U59" s="88" t="str">
        <f t="shared" si="10"/>
        <v>Yes</v>
      </c>
      <c r="V59" s="88" t="str">
        <f t="shared" si="10"/>
        <v>No</v>
      </c>
      <c r="W59" s="88" t="str">
        <f t="shared" si="10"/>
        <v>No</v>
      </c>
      <c r="X59" s="88" t="str">
        <f t="shared" si="10"/>
        <v>No</v>
      </c>
      <c r="Y59" s="88" t="str">
        <f t="shared" si="10"/>
        <v>No</v>
      </c>
      <c r="Z59" s="88" t="str">
        <f t="shared" si="10"/>
        <v>No</v>
      </c>
      <c r="AA59" s="88" t="str">
        <f t="shared" si="10"/>
        <v>No</v>
      </c>
      <c r="AB59" s="88" t="str">
        <f t="shared" si="11"/>
        <v>No</v>
      </c>
      <c r="AC59" s="88" t="str">
        <f t="shared" si="11"/>
        <v>No</v>
      </c>
      <c r="AD59" s="88" t="str">
        <f t="shared" si="11"/>
        <v>No</v>
      </c>
      <c r="AE59" s="88" t="str">
        <f t="shared" si="11"/>
        <v>No</v>
      </c>
      <c r="AF59" s="88" t="str">
        <f t="shared" si="11"/>
        <v>No</v>
      </c>
      <c r="AG59" s="88" t="str">
        <f t="shared" si="11"/>
        <v>No</v>
      </c>
      <c r="AH59" s="88" t="str">
        <f t="shared" si="11"/>
        <v>No</v>
      </c>
      <c r="AI59" s="88" t="str">
        <f t="shared" si="11"/>
        <v>Yes</v>
      </c>
      <c r="AJ59" s="88" t="str">
        <f t="shared" si="11"/>
        <v>No</v>
      </c>
      <c r="AK59" s="88" t="str">
        <f t="shared" si="11"/>
        <v>Yes</v>
      </c>
      <c r="AL59" s="88" t="str">
        <f t="shared" si="11"/>
        <v>No</v>
      </c>
      <c r="AM59" s="88" t="str">
        <f t="shared" si="11"/>
        <v>Yes</v>
      </c>
      <c r="AN59" s="88" t="str">
        <f t="shared" si="11"/>
        <v>Yes</v>
      </c>
      <c r="AO59" s="91" t="str">
        <f t="shared" si="11"/>
        <v>No</v>
      </c>
      <c r="AP59" s="109" t="s">
        <v>265</v>
      </c>
      <c r="AQ59" s="88">
        <v>59</v>
      </c>
      <c r="AR59" s="88" t="s">
        <v>347</v>
      </c>
      <c r="AS59" s="88" t="s">
        <v>347</v>
      </c>
      <c r="AT59" s="88" t="s">
        <v>347</v>
      </c>
      <c r="AU59" s="88" t="s">
        <v>346</v>
      </c>
      <c r="AV59" s="88" t="s">
        <v>346</v>
      </c>
      <c r="AW59" s="88" t="s">
        <v>347</v>
      </c>
      <c r="AX59" s="88" t="s">
        <v>346</v>
      </c>
      <c r="AY59" s="88" t="s">
        <v>347</v>
      </c>
      <c r="AZ59" s="88" t="s">
        <v>347</v>
      </c>
      <c r="BA59" s="88" t="s">
        <v>347</v>
      </c>
      <c r="BB59" s="88" t="s">
        <v>347</v>
      </c>
      <c r="BC59" s="88" t="s">
        <v>347</v>
      </c>
      <c r="BD59" s="88" t="s">
        <v>347</v>
      </c>
      <c r="BE59" s="88" t="s">
        <v>347</v>
      </c>
      <c r="BF59" s="88" t="s">
        <v>347</v>
      </c>
      <c r="BG59" s="88" t="s">
        <v>347</v>
      </c>
      <c r="BH59" s="88" t="s">
        <v>347</v>
      </c>
      <c r="BI59" s="88" t="s">
        <v>347</v>
      </c>
      <c r="BJ59" s="88" t="s">
        <v>347</v>
      </c>
      <c r="BK59" s="88" t="s">
        <v>347</v>
      </c>
      <c r="BL59" s="88" t="s">
        <v>347</v>
      </c>
      <c r="BM59" s="88" t="s">
        <v>346</v>
      </c>
      <c r="BN59" s="88" t="s">
        <v>346</v>
      </c>
      <c r="BO59" s="88" t="s">
        <v>347</v>
      </c>
      <c r="BP59" s="88" t="s">
        <v>347</v>
      </c>
      <c r="BQ59" s="88" t="s">
        <v>347</v>
      </c>
      <c r="BR59" s="88" t="s">
        <v>347</v>
      </c>
      <c r="BS59" s="88" t="s">
        <v>347</v>
      </c>
      <c r="BT59" s="88" t="s">
        <v>347</v>
      </c>
      <c r="BU59" s="88" t="s">
        <v>347</v>
      </c>
      <c r="BV59" s="88" t="s">
        <v>347</v>
      </c>
      <c r="BW59" s="88" t="s">
        <v>347</v>
      </c>
      <c r="BX59" s="88" t="s">
        <v>347</v>
      </c>
      <c r="BY59" s="88" t="s">
        <v>347</v>
      </c>
      <c r="BZ59" s="91" t="s">
        <v>347</v>
      </c>
    </row>
    <row r="60" spans="1:78" s="2" customFormat="1" x14ac:dyDescent="0.25">
      <c r="A60" s="109" t="s">
        <v>239</v>
      </c>
      <c r="B60" s="88" t="s">
        <v>346</v>
      </c>
      <c r="C60" s="88" t="s">
        <v>347</v>
      </c>
      <c r="D60" s="88" t="s">
        <v>347</v>
      </c>
      <c r="E60" s="88" t="s">
        <v>347</v>
      </c>
      <c r="F60" s="88" t="s">
        <v>347</v>
      </c>
      <c r="G60" s="88" t="s">
        <v>346</v>
      </c>
      <c r="H60" s="88" t="s">
        <v>347</v>
      </c>
      <c r="I60" s="88" t="s">
        <v>347</v>
      </c>
      <c r="J60" s="91" t="s">
        <v>347</v>
      </c>
      <c r="K60" s="109" t="s">
        <v>239</v>
      </c>
      <c r="L60" s="88" t="str">
        <f>LOOKUP($K60,PantheonList!$A$18:$A$139,PantheonList!$B$18:$B$139)</f>
        <v>Awareness</v>
      </c>
      <c r="M60" s="88" t="str">
        <f>LOOKUP($K60,PantheonList!$A$18:$A$139,PantheonList!$C$18:$C$139)</f>
        <v>Brawl</v>
      </c>
      <c r="N60" s="88" t="str">
        <f>LOOKUP($K60,PantheonList!$A$18:$A$139,PantheonList!$D$18:$D$139)</f>
        <v>Fortitude</v>
      </c>
      <c r="O60" s="88" t="str">
        <f>LOOKUP($K60,PantheonList!$A$18:$A$139,PantheonList!$E$18:$E$139)</f>
        <v>Melee</v>
      </c>
      <c r="P60" s="88" t="str">
        <f>LOOKUP($K60,PantheonList!$A$18:$A$139,PantheonList!$F$18:$F$139)</f>
        <v>Occult</v>
      </c>
      <c r="Q60" s="88" t="str">
        <f>LOOKUP($K60,PantheonList!$A$18:$A$139,PantheonList!$G$18:$G$139)</f>
        <v>Presence</v>
      </c>
      <c r="R60" s="88" t="str">
        <f t="shared" si="10"/>
        <v>No</v>
      </c>
      <c r="S60" s="88" t="str">
        <f t="shared" si="10"/>
        <v>No</v>
      </c>
      <c r="T60" s="88" t="str">
        <f t="shared" si="10"/>
        <v>No</v>
      </c>
      <c r="U60" s="88" t="str">
        <f t="shared" si="10"/>
        <v>No</v>
      </c>
      <c r="V60" s="88" t="str">
        <f t="shared" si="10"/>
        <v>Yes</v>
      </c>
      <c r="W60" s="88" t="str">
        <f t="shared" si="10"/>
        <v>Yes</v>
      </c>
      <c r="X60" s="88" t="str">
        <f t="shared" si="10"/>
        <v>No</v>
      </c>
      <c r="Y60" s="88" t="str">
        <f t="shared" si="10"/>
        <v>No</v>
      </c>
      <c r="Z60" s="88" t="str">
        <f t="shared" si="10"/>
        <v>No</v>
      </c>
      <c r="AA60" s="88" t="str">
        <f t="shared" si="10"/>
        <v>No</v>
      </c>
      <c r="AB60" s="88" t="str">
        <f t="shared" si="11"/>
        <v>Yes</v>
      </c>
      <c r="AC60" s="88" t="str">
        <f t="shared" si="11"/>
        <v>No</v>
      </c>
      <c r="AD60" s="88" t="str">
        <f t="shared" si="11"/>
        <v>No</v>
      </c>
      <c r="AE60" s="88" t="str">
        <f t="shared" si="11"/>
        <v>No</v>
      </c>
      <c r="AF60" s="88" t="str">
        <f t="shared" si="11"/>
        <v>No</v>
      </c>
      <c r="AG60" s="88" t="str">
        <f t="shared" si="11"/>
        <v>No</v>
      </c>
      <c r="AH60" s="88" t="str">
        <f t="shared" si="11"/>
        <v>Yes</v>
      </c>
      <c r="AI60" s="88" t="str">
        <f t="shared" si="11"/>
        <v>Yes</v>
      </c>
      <c r="AJ60" s="88" t="str">
        <f t="shared" si="11"/>
        <v>No</v>
      </c>
      <c r="AK60" s="88" t="str">
        <f t="shared" si="11"/>
        <v>Yes</v>
      </c>
      <c r="AL60" s="88" t="str">
        <f t="shared" si="11"/>
        <v>No</v>
      </c>
      <c r="AM60" s="88" t="str">
        <f t="shared" si="11"/>
        <v>No</v>
      </c>
      <c r="AN60" s="88" t="str">
        <f t="shared" si="11"/>
        <v>No</v>
      </c>
      <c r="AO60" s="91" t="str">
        <f t="shared" si="11"/>
        <v>No</v>
      </c>
      <c r="AP60" s="109" t="s">
        <v>239</v>
      </c>
      <c r="AQ60" s="88">
        <v>60</v>
      </c>
      <c r="AR60" s="88" t="s">
        <v>347</v>
      </c>
      <c r="AS60" s="88" t="s">
        <v>347</v>
      </c>
      <c r="AT60" s="88" t="s">
        <v>347</v>
      </c>
      <c r="AU60" s="88" t="s">
        <v>346</v>
      </c>
      <c r="AV60" s="88" t="s">
        <v>347</v>
      </c>
      <c r="AW60" s="88" t="s">
        <v>347</v>
      </c>
      <c r="AX60" s="88" t="s">
        <v>346</v>
      </c>
      <c r="AY60" s="88" t="s">
        <v>346</v>
      </c>
      <c r="AZ60" s="88" t="s">
        <v>347</v>
      </c>
      <c r="BA60" s="88" t="s">
        <v>347</v>
      </c>
      <c r="BB60" s="88" t="s">
        <v>347</v>
      </c>
      <c r="BC60" s="88" t="s">
        <v>347</v>
      </c>
      <c r="BD60" s="88" t="s">
        <v>347</v>
      </c>
      <c r="BE60" s="88" t="s">
        <v>347</v>
      </c>
      <c r="BF60" s="88" t="s">
        <v>347</v>
      </c>
      <c r="BG60" s="88" t="s">
        <v>347</v>
      </c>
      <c r="BH60" s="88" t="s">
        <v>347</v>
      </c>
      <c r="BI60" s="88" t="s">
        <v>347</v>
      </c>
      <c r="BJ60" s="88" t="s">
        <v>347</v>
      </c>
      <c r="BK60" s="88" t="s">
        <v>347</v>
      </c>
      <c r="BL60" s="88" t="s">
        <v>347</v>
      </c>
      <c r="BM60" s="88" t="s">
        <v>347</v>
      </c>
      <c r="BN60" s="88" t="s">
        <v>347</v>
      </c>
      <c r="BO60" s="88" t="s">
        <v>347</v>
      </c>
      <c r="BP60" s="88" t="s">
        <v>347</v>
      </c>
      <c r="BQ60" s="88" t="s">
        <v>347</v>
      </c>
      <c r="BR60" s="88" t="s">
        <v>346</v>
      </c>
      <c r="BS60" s="88" t="s">
        <v>347</v>
      </c>
      <c r="BT60" s="88" t="s">
        <v>347</v>
      </c>
      <c r="BU60" s="88" t="s">
        <v>347</v>
      </c>
      <c r="BV60" s="88" t="s">
        <v>347</v>
      </c>
      <c r="BW60" s="88" t="s">
        <v>347</v>
      </c>
      <c r="BX60" s="88" t="s">
        <v>347</v>
      </c>
      <c r="BY60" s="88" t="s">
        <v>346</v>
      </c>
      <c r="BZ60" s="91" t="s">
        <v>347</v>
      </c>
    </row>
    <row r="61" spans="1:78" s="2" customFormat="1" x14ac:dyDescent="0.25">
      <c r="A61" s="109" t="s">
        <v>311</v>
      </c>
      <c r="B61" s="88" t="s">
        <v>347</v>
      </c>
      <c r="C61" s="88" t="s">
        <v>347</v>
      </c>
      <c r="D61" s="88" t="s">
        <v>347</v>
      </c>
      <c r="E61" s="88" t="s">
        <v>346</v>
      </c>
      <c r="F61" s="88" t="s">
        <v>347</v>
      </c>
      <c r="G61" s="88" t="s">
        <v>347</v>
      </c>
      <c r="H61" s="88" t="s">
        <v>347</v>
      </c>
      <c r="I61" s="88" t="s">
        <v>346</v>
      </c>
      <c r="J61" s="91" t="s">
        <v>347</v>
      </c>
      <c r="K61" s="109" t="s">
        <v>311</v>
      </c>
      <c r="L61" s="88" t="str">
        <f>LOOKUP($K61,PantheonList!$A$18:$A$139,PantheonList!$B$18:$B$139)</f>
        <v>Academics</v>
      </c>
      <c r="M61" s="88" t="str">
        <f>LOOKUP($K61,PantheonList!$A$18:$A$139,PantheonList!$C$18:$C$139)</f>
        <v>Awareness</v>
      </c>
      <c r="N61" s="88" t="str">
        <f>LOOKUP($K61,PantheonList!$A$18:$A$139,PantheonList!$D$18:$D$139)</f>
        <v>Command</v>
      </c>
      <c r="O61" s="88" t="str">
        <f>LOOKUP($K61,PantheonList!$A$18:$A$139,PantheonList!$E$18:$E$139)</f>
        <v>Integrity</v>
      </c>
      <c r="P61" s="88" t="str">
        <f>LOOKUP($K61,PantheonList!$A$18:$A$139,PantheonList!$F$18:$F$139)</f>
        <v>Politics</v>
      </c>
      <c r="Q61" s="88" t="str">
        <f>LOOKUP($K61,PantheonList!$A$18:$A$139,PantheonList!$G$18:$G$139)</f>
        <v>Presence</v>
      </c>
      <c r="R61" s="88" t="str">
        <f t="shared" si="10"/>
        <v>Yes</v>
      </c>
      <c r="S61" s="88" t="str">
        <f t="shared" si="10"/>
        <v>No</v>
      </c>
      <c r="T61" s="88" t="str">
        <f t="shared" si="10"/>
        <v>No</v>
      </c>
      <c r="U61" s="88" t="str">
        <f t="shared" si="10"/>
        <v>No</v>
      </c>
      <c r="V61" s="88" t="str">
        <f t="shared" si="10"/>
        <v>Yes</v>
      </c>
      <c r="W61" s="88" t="str">
        <f t="shared" si="10"/>
        <v>No</v>
      </c>
      <c r="X61" s="88" t="str">
        <f t="shared" si="10"/>
        <v>Yes</v>
      </c>
      <c r="Y61" s="88" t="str">
        <f t="shared" si="10"/>
        <v>No</v>
      </c>
      <c r="Z61" s="88" t="str">
        <f t="shared" si="10"/>
        <v>No</v>
      </c>
      <c r="AA61" s="88" t="str">
        <f t="shared" si="10"/>
        <v>No</v>
      </c>
      <c r="AB61" s="88" t="str">
        <f t="shared" si="11"/>
        <v>No</v>
      </c>
      <c r="AC61" s="88" t="str">
        <f t="shared" si="11"/>
        <v>Yes</v>
      </c>
      <c r="AD61" s="88" t="str">
        <f t="shared" si="11"/>
        <v>No</v>
      </c>
      <c r="AE61" s="88" t="str">
        <f t="shared" si="11"/>
        <v>No</v>
      </c>
      <c r="AF61" s="88" t="str">
        <f t="shared" si="11"/>
        <v>No</v>
      </c>
      <c r="AG61" s="88" t="str">
        <f t="shared" si="11"/>
        <v>No</v>
      </c>
      <c r="AH61" s="88" t="str">
        <f t="shared" si="11"/>
        <v>No</v>
      </c>
      <c r="AI61" s="88" t="str">
        <f t="shared" si="11"/>
        <v>No</v>
      </c>
      <c r="AJ61" s="88" t="str">
        <f t="shared" si="11"/>
        <v>Yes</v>
      </c>
      <c r="AK61" s="88" t="str">
        <f t="shared" si="11"/>
        <v>Yes</v>
      </c>
      <c r="AL61" s="88" t="str">
        <f t="shared" si="11"/>
        <v>No</v>
      </c>
      <c r="AM61" s="88" t="str">
        <f t="shared" si="11"/>
        <v>No</v>
      </c>
      <c r="AN61" s="88" t="str">
        <f t="shared" si="11"/>
        <v>No</v>
      </c>
      <c r="AO61" s="91" t="str">
        <f t="shared" si="11"/>
        <v>No</v>
      </c>
      <c r="AP61" s="109" t="s">
        <v>311</v>
      </c>
      <c r="AQ61" s="88">
        <v>61</v>
      </c>
      <c r="AR61" s="88" t="s">
        <v>346</v>
      </c>
      <c r="AS61" s="88" t="s">
        <v>347</v>
      </c>
      <c r="AT61" s="88" t="s">
        <v>347</v>
      </c>
      <c r="AU61" s="88" t="s">
        <v>347</v>
      </c>
      <c r="AV61" s="88" t="s">
        <v>347</v>
      </c>
      <c r="AW61" s="88" t="s">
        <v>346</v>
      </c>
      <c r="AX61" s="88" t="s">
        <v>347</v>
      </c>
      <c r="AY61" s="88" t="s">
        <v>347</v>
      </c>
      <c r="AZ61" s="88" t="s">
        <v>347</v>
      </c>
      <c r="BA61" s="88" t="s">
        <v>347</v>
      </c>
      <c r="BB61" s="88" t="s">
        <v>347</v>
      </c>
      <c r="BC61" s="88" t="s">
        <v>347</v>
      </c>
      <c r="BD61" s="88" t="s">
        <v>347</v>
      </c>
      <c r="BE61" s="88" t="s">
        <v>346</v>
      </c>
      <c r="BF61" s="88" t="s">
        <v>347</v>
      </c>
      <c r="BG61" s="88" t="s">
        <v>347</v>
      </c>
      <c r="BH61" s="88" t="s">
        <v>347</v>
      </c>
      <c r="BI61" s="88" t="s">
        <v>347</v>
      </c>
      <c r="BJ61" s="88" t="s">
        <v>347</v>
      </c>
      <c r="BK61" s="88" t="s">
        <v>347</v>
      </c>
      <c r="BL61" s="88" t="s">
        <v>346</v>
      </c>
      <c r="BM61" s="88" t="s">
        <v>347</v>
      </c>
      <c r="BN61" s="88" t="s">
        <v>347</v>
      </c>
      <c r="BO61" s="88" t="s">
        <v>347</v>
      </c>
      <c r="BP61" s="88" t="s">
        <v>347</v>
      </c>
      <c r="BQ61" s="88" t="s">
        <v>347</v>
      </c>
      <c r="BR61" s="88" t="s">
        <v>347</v>
      </c>
      <c r="BS61" s="88" t="s">
        <v>347</v>
      </c>
      <c r="BT61" s="88" t="s">
        <v>347</v>
      </c>
      <c r="BU61" s="88" t="s">
        <v>347</v>
      </c>
      <c r="BV61" s="88" t="s">
        <v>347</v>
      </c>
      <c r="BW61" s="88" t="s">
        <v>347</v>
      </c>
      <c r="BX61" s="88" t="s">
        <v>347</v>
      </c>
      <c r="BY61" s="88" t="s">
        <v>347</v>
      </c>
      <c r="BZ61" s="91" t="s">
        <v>346</v>
      </c>
    </row>
    <row r="62" spans="1:78" s="2" customFormat="1" x14ac:dyDescent="0.25">
      <c r="A62" s="109" t="s">
        <v>240</v>
      </c>
      <c r="B62" s="88" t="s">
        <v>347</v>
      </c>
      <c r="C62" s="88" t="s">
        <v>347</v>
      </c>
      <c r="D62" s="88" t="s">
        <v>347</v>
      </c>
      <c r="E62" s="88" t="s">
        <v>347</v>
      </c>
      <c r="F62" s="88" t="s">
        <v>347</v>
      </c>
      <c r="G62" s="88" t="s">
        <v>346</v>
      </c>
      <c r="H62" s="88" t="s">
        <v>347</v>
      </c>
      <c r="I62" s="88" t="s">
        <v>347</v>
      </c>
      <c r="J62" s="91" t="s">
        <v>347</v>
      </c>
      <c r="K62" s="109" t="s">
        <v>240</v>
      </c>
      <c r="L62" s="88" t="str">
        <f>LOOKUP($K62,PantheonList!$A$18:$A$139,PantheonList!$B$18:$B$139)</f>
        <v>Awareness</v>
      </c>
      <c r="M62" s="88" t="str">
        <f>LOOKUP($K62,PantheonList!$A$18:$A$139,PantheonList!$C$18:$C$139)</f>
        <v>Empathy</v>
      </c>
      <c r="N62" s="88" t="str">
        <f>LOOKUP($K62,PantheonList!$A$18:$A$139,PantheonList!$D$18:$D$139)</f>
        <v>Integrity</v>
      </c>
      <c r="O62" s="88" t="str">
        <f>LOOKUP($K62,PantheonList!$A$18:$A$139,PantheonList!$E$18:$E$139)</f>
        <v>Politics</v>
      </c>
      <c r="P62" s="88" t="str">
        <f>LOOKUP($K62,PantheonList!$A$18:$A$139,PantheonList!$F$18:$F$139)</f>
        <v>Presence</v>
      </c>
      <c r="Q62" s="88" t="str">
        <f>LOOKUP($K62,PantheonList!$A$18:$A$139,PantheonList!$G$18:$G$139)</f>
        <v>Thrown</v>
      </c>
      <c r="R62" s="88" t="str">
        <f t="shared" ref="R62:AA71" si="12">IF(OR($Q62=R$1,$P62=R$1,$O62=R$1,$N62=R$1,$M62=R$1,$L62=R$1),"Yes","No")</f>
        <v>No</v>
      </c>
      <c r="S62" s="88" t="str">
        <f t="shared" si="12"/>
        <v>No</v>
      </c>
      <c r="T62" s="88" t="str">
        <f t="shared" si="12"/>
        <v>No</v>
      </c>
      <c r="U62" s="88" t="str">
        <f t="shared" si="12"/>
        <v>No</v>
      </c>
      <c r="V62" s="88" t="str">
        <f t="shared" si="12"/>
        <v>Yes</v>
      </c>
      <c r="W62" s="88" t="str">
        <f t="shared" si="12"/>
        <v>No</v>
      </c>
      <c r="X62" s="88" t="str">
        <f t="shared" si="12"/>
        <v>No</v>
      </c>
      <c r="Y62" s="88" t="str">
        <f t="shared" si="12"/>
        <v>No</v>
      </c>
      <c r="Z62" s="88" t="str">
        <f t="shared" si="12"/>
        <v>No</v>
      </c>
      <c r="AA62" s="88" t="str">
        <f t="shared" si="12"/>
        <v>Yes</v>
      </c>
      <c r="AB62" s="88" t="str">
        <f t="shared" ref="AB62:AO71" si="13">IF(OR($Q62=AB$1,$P62=AB$1,$O62=AB$1,$N62=AB$1,$M62=AB$1,$L62=AB$1),"Yes","No")</f>
        <v>No</v>
      </c>
      <c r="AC62" s="88" t="str">
        <f t="shared" si="13"/>
        <v>Yes</v>
      </c>
      <c r="AD62" s="88" t="str">
        <f t="shared" si="13"/>
        <v>No</v>
      </c>
      <c r="AE62" s="88" t="str">
        <f t="shared" si="13"/>
        <v>No</v>
      </c>
      <c r="AF62" s="88" t="str">
        <f t="shared" si="13"/>
        <v>No</v>
      </c>
      <c r="AG62" s="88" t="str">
        <f t="shared" si="13"/>
        <v>No</v>
      </c>
      <c r="AH62" s="88" t="str">
        <f t="shared" si="13"/>
        <v>No</v>
      </c>
      <c r="AI62" s="88" t="str">
        <f t="shared" si="13"/>
        <v>No</v>
      </c>
      <c r="AJ62" s="88" t="str">
        <f t="shared" si="13"/>
        <v>Yes</v>
      </c>
      <c r="AK62" s="88" t="str">
        <f t="shared" si="13"/>
        <v>Yes</v>
      </c>
      <c r="AL62" s="88" t="str">
        <f t="shared" si="13"/>
        <v>No</v>
      </c>
      <c r="AM62" s="88" t="str">
        <f t="shared" si="13"/>
        <v>No</v>
      </c>
      <c r="AN62" s="88" t="str">
        <f t="shared" si="13"/>
        <v>No</v>
      </c>
      <c r="AO62" s="91" t="str">
        <f t="shared" si="13"/>
        <v>Yes</v>
      </c>
      <c r="AP62" s="109" t="s">
        <v>240</v>
      </c>
      <c r="AQ62" s="88">
        <v>62</v>
      </c>
      <c r="AR62" s="88" t="s">
        <v>347</v>
      </c>
      <c r="AS62" s="88" t="s">
        <v>347</v>
      </c>
      <c r="AT62" s="88" t="s">
        <v>347</v>
      </c>
      <c r="AU62" s="88" t="s">
        <v>347</v>
      </c>
      <c r="AV62" s="88" t="s">
        <v>347</v>
      </c>
      <c r="AW62" s="88" t="s">
        <v>347</v>
      </c>
      <c r="AX62" s="88" t="s">
        <v>347</v>
      </c>
      <c r="AY62" s="88" t="s">
        <v>347</v>
      </c>
      <c r="AZ62" s="88" t="s">
        <v>347</v>
      </c>
      <c r="BA62" s="88" t="s">
        <v>347</v>
      </c>
      <c r="BB62" s="88" t="s">
        <v>346</v>
      </c>
      <c r="BC62" s="88" t="s">
        <v>347</v>
      </c>
      <c r="BD62" s="88" t="s">
        <v>347</v>
      </c>
      <c r="BE62" s="88" t="s">
        <v>346</v>
      </c>
      <c r="BF62" s="88" t="s">
        <v>346</v>
      </c>
      <c r="BG62" s="88" t="s">
        <v>347</v>
      </c>
      <c r="BH62" s="88" t="s">
        <v>347</v>
      </c>
      <c r="BI62" s="88" t="s">
        <v>347</v>
      </c>
      <c r="BJ62" s="88" t="s">
        <v>347</v>
      </c>
      <c r="BK62" s="88" t="s">
        <v>347</v>
      </c>
      <c r="BL62" s="88" t="s">
        <v>347</v>
      </c>
      <c r="BM62" s="88" t="s">
        <v>347</v>
      </c>
      <c r="BN62" s="88" t="s">
        <v>346</v>
      </c>
      <c r="BO62" s="88" t="s">
        <v>346</v>
      </c>
      <c r="BP62" s="88" t="s">
        <v>347</v>
      </c>
      <c r="BQ62" s="88" t="s">
        <v>346</v>
      </c>
      <c r="BR62" s="88" t="s">
        <v>346</v>
      </c>
      <c r="BS62" s="88" t="s">
        <v>347</v>
      </c>
      <c r="BT62" s="88" t="s">
        <v>347</v>
      </c>
      <c r="BU62" s="88" t="s">
        <v>347</v>
      </c>
      <c r="BV62" s="88" t="s">
        <v>347</v>
      </c>
      <c r="BW62" s="88" t="s">
        <v>347</v>
      </c>
      <c r="BX62" s="88" t="s">
        <v>347</v>
      </c>
      <c r="BY62" s="88" t="s">
        <v>347</v>
      </c>
      <c r="BZ62" s="91" t="s">
        <v>346</v>
      </c>
    </row>
    <row r="63" spans="1:78" s="2" customFormat="1" x14ac:dyDescent="0.25">
      <c r="A63" s="109" t="s">
        <v>266</v>
      </c>
      <c r="B63" s="88" t="s">
        <v>347</v>
      </c>
      <c r="C63" s="88" t="s">
        <v>347</v>
      </c>
      <c r="D63" s="88" t="s">
        <v>347</v>
      </c>
      <c r="E63" s="88" t="s">
        <v>346</v>
      </c>
      <c r="F63" s="88" t="s">
        <v>347</v>
      </c>
      <c r="G63" s="88" t="s">
        <v>347</v>
      </c>
      <c r="H63" s="88" t="s">
        <v>347</v>
      </c>
      <c r="I63" s="88" t="s">
        <v>347</v>
      </c>
      <c r="J63" s="91" t="s">
        <v>346</v>
      </c>
      <c r="K63" s="109" t="s">
        <v>266</v>
      </c>
      <c r="L63" s="88" t="str">
        <f>LOOKUP($K63,PantheonList!$A$18:$A$139,PantheonList!$B$18:$B$139)</f>
        <v>Command</v>
      </c>
      <c r="M63" s="88" t="str">
        <f>LOOKUP($K63,PantheonList!$A$18:$A$139,PantheonList!$C$18:$C$139)</f>
        <v>Empathy</v>
      </c>
      <c r="N63" s="88" t="str">
        <f>LOOKUP($K63,PantheonList!$A$18:$A$139,PantheonList!$D$18:$D$139)</f>
        <v>Integrity</v>
      </c>
      <c r="O63" s="88" t="str">
        <f>LOOKUP($K63,PantheonList!$A$18:$A$139,PantheonList!$E$18:$E$139)</f>
        <v>Larceny</v>
      </c>
      <c r="P63" s="88" t="str">
        <f>LOOKUP($K63,PantheonList!$A$18:$A$139,PantheonList!$F$18:$F$139)</f>
        <v>Occult</v>
      </c>
      <c r="Q63" s="88" t="str">
        <f>LOOKUP($K63,PantheonList!$A$18:$A$139,PantheonList!$G$18:$G$139)</f>
        <v>Politics</v>
      </c>
      <c r="R63" s="88" t="str">
        <f t="shared" si="12"/>
        <v>No</v>
      </c>
      <c r="S63" s="88" t="str">
        <f t="shared" si="12"/>
        <v>No</v>
      </c>
      <c r="T63" s="88" t="str">
        <f t="shared" si="12"/>
        <v>No</v>
      </c>
      <c r="U63" s="88" t="str">
        <f t="shared" si="12"/>
        <v>No</v>
      </c>
      <c r="V63" s="88" t="str">
        <f t="shared" si="12"/>
        <v>No</v>
      </c>
      <c r="W63" s="88" t="str">
        <f t="shared" si="12"/>
        <v>No</v>
      </c>
      <c r="X63" s="88" t="str">
        <f t="shared" si="12"/>
        <v>Yes</v>
      </c>
      <c r="Y63" s="88" t="str">
        <f t="shared" si="12"/>
        <v>No</v>
      </c>
      <c r="Z63" s="88" t="str">
        <f t="shared" si="12"/>
        <v>No</v>
      </c>
      <c r="AA63" s="88" t="str">
        <f t="shared" si="12"/>
        <v>Yes</v>
      </c>
      <c r="AB63" s="88" t="str">
        <f t="shared" si="13"/>
        <v>No</v>
      </c>
      <c r="AC63" s="88" t="str">
        <f t="shared" si="13"/>
        <v>Yes</v>
      </c>
      <c r="AD63" s="88" t="str">
        <f t="shared" si="13"/>
        <v>No</v>
      </c>
      <c r="AE63" s="88" t="str">
        <f t="shared" si="13"/>
        <v>Yes</v>
      </c>
      <c r="AF63" s="88" t="str">
        <f t="shared" si="13"/>
        <v>No</v>
      </c>
      <c r="AG63" s="88" t="str">
        <f t="shared" si="13"/>
        <v>No</v>
      </c>
      <c r="AH63" s="88" t="str">
        <f t="shared" si="13"/>
        <v>No</v>
      </c>
      <c r="AI63" s="88" t="str">
        <f t="shared" si="13"/>
        <v>Yes</v>
      </c>
      <c r="AJ63" s="88" t="str">
        <f t="shared" si="13"/>
        <v>Yes</v>
      </c>
      <c r="AK63" s="88" t="str">
        <f t="shared" si="13"/>
        <v>No</v>
      </c>
      <c r="AL63" s="88" t="str">
        <f t="shared" si="13"/>
        <v>No</v>
      </c>
      <c r="AM63" s="88" t="str">
        <f t="shared" si="13"/>
        <v>No</v>
      </c>
      <c r="AN63" s="88" t="str">
        <f t="shared" si="13"/>
        <v>No</v>
      </c>
      <c r="AO63" s="91" t="str">
        <f t="shared" si="13"/>
        <v>No</v>
      </c>
      <c r="AP63" s="109" t="s">
        <v>266</v>
      </c>
      <c r="AQ63" s="88">
        <v>63</v>
      </c>
      <c r="AR63" s="88" t="s">
        <v>347</v>
      </c>
      <c r="AS63" s="88" t="s">
        <v>347</v>
      </c>
      <c r="AT63" s="88" t="s">
        <v>347</v>
      </c>
      <c r="AU63" s="88" t="s">
        <v>347</v>
      </c>
      <c r="AV63" s="88" t="s">
        <v>346</v>
      </c>
      <c r="AW63" s="88" t="s">
        <v>347</v>
      </c>
      <c r="AX63" s="88" t="s">
        <v>347</v>
      </c>
      <c r="AY63" s="88" t="s">
        <v>347</v>
      </c>
      <c r="AZ63" s="88" t="s">
        <v>347</v>
      </c>
      <c r="BA63" s="88" t="s">
        <v>347</v>
      </c>
      <c r="BB63" s="88" t="s">
        <v>347</v>
      </c>
      <c r="BC63" s="88" t="s">
        <v>347</v>
      </c>
      <c r="BD63" s="88" t="s">
        <v>347</v>
      </c>
      <c r="BE63" s="88" t="s">
        <v>347</v>
      </c>
      <c r="BF63" s="88" t="s">
        <v>347</v>
      </c>
      <c r="BG63" s="88" t="s">
        <v>347</v>
      </c>
      <c r="BH63" s="88" t="s">
        <v>347</v>
      </c>
      <c r="BI63" s="88" t="s">
        <v>347</v>
      </c>
      <c r="BJ63" s="88" t="s">
        <v>347</v>
      </c>
      <c r="BK63" s="88" t="s">
        <v>347</v>
      </c>
      <c r="BL63" s="88" t="s">
        <v>347</v>
      </c>
      <c r="BM63" s="88" t="s">
        <v>347</v>
      </c>
      <c r="BN63" s="88" t="s">
        <v>347</v>
      </c>
      <c r="BO63" s="88" t="s">
        <v>347</v>
      </c>
      <c r="BP63" s="88" t="s">
        <v>346</v>
      </c>
      <c r="BQ63" s="88" t="s">
        <v>346</v>
      </c>
      <c r="BR63" s="88" t="s">
        <v>347</v>
      </c>
      <c r="BS63" s="88" t="s">
        <v>347</v>
      </c>
      <c r="BT63" s="88" t="s">
        <v>347</v>
      </c>
      <c r="BU63" s="88" t="s">
        <v>347</v>
      </c>
      <c r="BV63" s="88" t="s">
        <v>346</v>
      </c>
      <c r="BW63" s="88" t="s">
        <v>347</v>
      </c>
      <c r="BX63" s="88" t="s">
        <v>347</v>
      </c>
      <c r="BY63" s="88" t="s">
        <v>347</v>
      </c>
      <c r="BZ63" s="91" t="s">
        <v>347</v>
      </c>
    </row>
    <row r="64" spans="1:78" s="2" customFormat="1" x14ac:dyDescent="0.25">
      <c r="A64" s="109" t="s">
        <v>197</v>
      </c>
      <c r="B64" s="88" t="s">
        <v>347</v>
      </c>
      <c r="C64" s="88" t="s">
        <v>347</v>
      </c>
      <c r="D64" s="88" t="s">
        <v>347</v>
      </c>
      <c r="E64" s="88" t="s">
        <v>347</v>
      </c>
      <c r="F64" s="88" t="s">
        <v>346</v>
      </c>
      <c r="G64" s="88" t="s">
        <v>347</v>
      </c>
      <c r="H64" s="88" t="s">
        <v>346</v>
      </c>
      <c r="I64" s="88" t="s">
        <v>347</v>
      </c>
      <c r="J64" s="91" t="s">
        <v>346</v>
      </c>
      <c r="K64" s="109" t="s">
        <v>197</v>
      </c>
      <c r="L64" s="88" t="str">
        <f>LOOKUP($K64,PantheonList!$A$18:$A$139,PantheonList!$B$18:$B$139)</f>
        <v>Brawl</v>
      </c>
      <c r="M64" s="88" t="str">
        <f>LOOKUP($K64,PantheonList!$A$18:$A$139,PantheonList!$C$18:$C$139)</f>
        <v>Empathy</v>
      </c>
      <c r="N64" s="88" t="str">
        <f>LOOKUP($K64,PantheonList!$A$18:$A$139,PantheonList!$D$18:$D$139)</f>
        <v>Larceny</v>
      </c>
      <c r="O64" s="88" t="str">
        <f>LOOKUP($K64,PantheonList!$A$18:$A$139,PantheonList!$E$18:$E$139)</f>
        <v>Occult</v>
      </c>
      <c r="P64" s="88" t="str">
        <f>LOOKUP($K64,PantheonList!$A$18:$A$139,PantheonList!$F$18:$F$139)</f>
        <v>Politics</v>
      </c>
      <c r="Q64" s="88" t="str">
        <f>LOOKUP($K64,PantheonList!$A$18:$A$139,PantheonList!$G$18:$G$139)</f>
        <v>Stealth</v>
      </c>
      <c r="R64" s="88" t="str">
        <f t="shared" si="12"/>
        <v>No</v>
      </c>
      <c r="S64" s="88" t="str">
        <f t="shared" si="12"/>
        <v>No</v>
      </c>
      <c r="T64" s="88" t="str">
        <f t="shared" si="12"/>
        <v>No</v>
      </c>
      <c r="U64" s="88" t="str">
        <f t="shared" si="12"/>
        <v>No</v>
      </c>
      <c r="V64" s="88" t="str">
        <f t="shared" si="12"/>
        <v>No</v>
      </c>
      <c r="W64" s="88" t="str">
        <f t="shared" si="12"/>
        <v>Yes</v>
      </c>
      <c r="X64" s="88" t="str">
        <f t="shared" si="12"/>
        <v>No</v>
      </c>
      <c r="Y64" s="88" t="str">
        <f t="shared" si="12"/>
        <v>No</v>
      </c>
      <c r="Z64" s="88" t="str">
        <f t="shared" si="12"/>
        <v>No</v>
      </c>
      <c r="AA64" s="88" t="str">
        <f t="shared" si="12"/>
        <v>Yes</v>
      </c>
      <c r="AB64" s="88" t="str">
        <f t="shared" si="13"/>
        <v>No</v>
      </c>
      <c r="AC64" s="88" t="str">
        <f t="shared" si="13"/>
        <v>No</v>
      </c>
      <c r="AD64" s="88" t="str">
        <f t="shared" si="13"/>
        <v>No</v>
      </c>
      <c r="AE64" s="88" t="str">
        <f t="shared" si="13"/>
        <v>Yes</v>
      </c>
      <c r="AF64" s="88" t="str">
        <f t="shared" si="13"/>
        <v>No</v>
      </c>
      <c r="AG64" s="88" t="str">
        <f t="shared" si="13"/>
        <v>No</v>
      </c>
      <c r="AH64" s="88" t="str">
        <f t="shared" si="13"/>
        <v>No</v>
      </c>
      <c r="AI64" s="88" t="str">
        <f t="shared" si="13"/>
        <v>Yes</v>
      </c>
      <c r="AJ64" s="88" t="str">
        <f t="shared" si="13"/>
        <v>Yes</v>
      </c>
      <c r="AK64" s="88" t="str">
        <f t="shared" si="13"/>
        <v>No</v>
      </c>
      <c r="AL64" s="88" t="str">
        <f t="shared" si="13"/>
        <v>No</v>
      </c>
      <c r="AM64" s="88" t="str">
        <f t="shared" si="13"/>
        <v>Yes</v>
      </c>
      <c r="AN64" s="88" t="str">
        <f t="shared" si="13"/>
        <v>No</v>
      </c>
      <c r="AO64" s="91" t="str">
        <f t="shared" si="13"/>
        <v>No</v>
      </c>
      <c r="AP64" s="109" t="s">
        <v>197</v>
      </c>
      <c r="AQ64" s="88">
        <v>64</v>
      </c>
      <c r="AR64" s="88" t="s">
        <v>347</v>
      </c>
      <c r="AS64" s="88" t="s">
        <v>347</v>
      </c>
      <c r="AT64" s="88" t="s">
        <v>347</v>
      </c>
      <c r="AU64" s="88" t="s">
        <v>346</v>
      </c>
      <c r="AV64" s="88" t="s">
        <v>347</v>
      </c>
      <c r="AW64" s="88" t="s">
        <v>347</v>
      </c>
      <c r="AX64" s="88" t="s">
        <v>347</v>
      </c>
      <c r="AY64" s="88" t="s">
        <v>347</v>
      </c>
      <c r="AZ64" s="88" t="s">
        <v>347</v>
      </c>
      <c r="BA64" s="88" t="s">
        <v>347</v>
      </c>
      <c r="BB64" s="88" t="s">
        <v>347</v>
      </c>
      <c r="BC64" s="88" t="s">
        <v>346</v>
      </c>
      <c r="BD64" s="88" t="s">
        <v>347</v>
      </c>
      <c r="BE64" s="88" t="s">
        <v>347</v>
      </c>
      <c r="BF64" s="88" t="s">
        <v>347</v>
      </c>
      <c r="BG64" s="88" t="s">
        <v>347</v>
      </c>
      <c r="BH64" s="88" t="s">
        <v>347</v>
      </c>
      <c r="BI64" s="88" t="s">
        <v>347</v>
      </c>
      <c r="BJ64" s="88" t="s">
        <v>347</v>
      </c>
      <c r="BK64" s="88" t="s">
        <v>346</v>
      </c>
      <c r="BL64" s="88" t="s">
        <v>347</v>
      </c>
      <c r="BM64" s="88" t="s">
        <v>346</v>
      </c>
      <c r="BN64" s="88" t="s">
        <v>347</v>
      </c>
      <c r="BO64" s="88" t="s">
        <v>347</v>
      </c>
      <c r="BP64" s="88" t="s">
        <v>347</v>
      </c>
      <c r="BQ64" s="88" t="s">
        <v>347</v>
      </c>
      <c r="BR64" s="88" t="s">
        <v>347</v>
      </c>
      <c r="BS64" s="88" t="s">
        <v>347</v>
      </c>
      <c r="BT64" s="88" t="s">
        <v>347</v>
      </c>
      <c r="BU64" s="88" t="s">
        <v>347</v>
      </c>
      <c r="BV64" s="88" t="s">
        <v>347</v>
      </c>
      <c r="BW64" s="88" t="s">
        <v>347</v>
      </c>
      <c r="BX64" s="88" t="s">
        <v>347</v>
      </c>
      <c r="BY64" s="88" t="s">
        <v>347</v>
      </c>
      <c r="BZ64" s="91" t="s">
        <v>347</v>
      </c>
    </row>
    <row r="65" spans="1:78" s="2" customFormat="1" x14ac:dyDescent="0.25">
      <c r="A65" s="109" t="s">
        <v>285</v>
      </c>
      <c r="B65" s="88" t="s">
        <v>347</v>
      </c>
      <c r="C65" s="88" t="s">
        <v>346</v>
      </c>
      <c r="D65" s="88" t="s">
        <v>347</v>
      </c>
      <c r="E65" s="88" t="s">
        <v>346</v>
      </c>
      <c r="F65" s="88" t="s">
        <v>347</v>
      </c>
      <c r="G65" s="88" t="s">
        <v>347</v>
      </c>
      <c r="H65" s="88" t="s">
        <v>347</v>
      </c>
      <c r="I65" s="88" t="s">
        <v>347</v>
      </c>
      <c r="J65" s="91" t="s">
        <v>346</v>
      </c>
      <c r="K65" s="109" t="s">
        <v>285</v>
      </c>
      <c r="L65" s="88" t="str">
        <f>LOOKUP($K65,PantheonList!$A$18:$A$139,PantheonList!$B$18:$B$139)</f>
        <v>Art</v>
      </c>
      <c r="M65" s="88" t="str">
        <f>LOOKUP($K65,PantheonList!$A$18:$A$139,PantheonList!$C$18:$C$139)</f>
        <v>Athletics</v>
      </c>
      <c r="N65" s="88" t="str">
        <f>LOOKUP($K65,PantheonList!$A$18:$A$139,PantheonList!$D$18:$D$139)</f>
        <v>Integrity</v>
      </c>
      <c r="O65" s="88" t="str">
        <f>LOOKUP($K65,PantheonList!$A$18:$A$139,PantheonList!$E$18:$E$139)</f>
        <v>Melee</v>
      </c>
      <c r="P65" s="88" t="str">
        <f>LOOKUP($K65,PantheonList!$A$18:$A$139,PantheonList!$F$18:$F$139)</f>
        <v>Occult</v>
      </c>
      <c r="Q65" s="88" t="str">
        <f>LOOKUP($K65,PantheonList!$A$18:$A$139,PantheonList!$G$18:$G$139)</f>
        <v>Thrown</v>
      </c>
      <c r="R65" s="88" t="str">
        <f t="shared" si="12"/>
        <v>No</v>
      </c>
      <c r="S65" s="88" t="str">
        <f t="shared" si="12"/>
        <v>No</v>
      </c>
      <c r="T65" s="88" t="str">
        <f t="shared" si="12"/>
        <v>Yes</v>
      </c>
      <c r="U65" s="88" t="str">
        <f t="shared" si="12"/>
        <v>Yes</v>
      </c>
      <c r="V65" s="88" t="str">
        <f t="shared" si="12"/>
        <v>No</v>
      </c>
      <c r="W65" s="88" t="str">
        <f t="shared" si="12"/>
        <v>No</v>
      </c>
      <c r="X65" s="88" t="str">
        <f t="shared" si="12"/>
        <v>No</v>
      </c>
      <c r="Y65" s="88" t="str">
        <f t="shared" si="12"/>
        <v>No</v>
      </c>
      <c r="Z65" s="88" t="str">
        <f t="shared" si="12"/>
        <v>No</v>
      </c>
      <c r="AA65" s="88" t="str">
        <f t="shared" si="12"/>
        <v>No</v>
      </c>
      <c r="AB65" s="88" t="str">
        <f t="shared" si="13"/>
        <v>No</v>
      </c>
      <c r="AC65" s="88" t="str">
        <f t="shared" si="13"/>
        <v>Yes</v>
      </c>
      <c r="AD65" s="88" t="str">
        <f t="shared" si="13"/>
        <v>No</v>
      </c>
      <c r="AE65" s="88" t="str">
        <f t="shared" si="13"/>
        <v>No</v>
      </c>
      <c r="AF65" s="88" t="str">
        <f t="shared" si="13"/>
        <v>No</v>
      </c>
      <c r="AG65" s="88" t="str">
        <f t="shared" si="13"/>
        <v>No</v>
      </c>
      <c r="AH65" s="88" t="str">
        <f t="shared" si="13"/>
        <v>Yes</v>
      </c>
      <c r="AI65" s="88" t="str">
        <f t="shared" si="13"/>
        <v>Yes</v>
      </c>
      <c r="AJ65" s="88" t="str">
        <f t="shared" si="13"/>
        <v>No</v>
      </c>
      <c r="AK65" s="88" t="str">
        <f t="shared" si="13"/>
        <v>No</v>
      </c>
      <c r="AL65" s="88" t="str">
        <f t="shared" si="13"/>
        <v>No</v>
      </c>
      <c r="AM65" s="88" t="str">
        <f t="shared" si="13"/>
        <v>No</v>
      </c>
      <c r="AN65" s="88" t="str">
        <f t="shared" si="13"/>
        <v>No</v>
      </c>
      <c r="AO65" s="91" t="str">
        <f t="shared" si="13"/>
        <v>Yes</v>
      </c>
      <c r="AP65" s="109" t="s">
        <v>285</v>
      </c>
      <c r="AQ65" s="88">
        <v>65</v>
      </c>
      <c r="AR65" s="88" t="s">
        <v>346</v>
      </c>
      <c r="AS65" s="88" t="s">
        <v>347</v>
      </c>
      <c r="AT65" s="88" t="s">
        <v>347</v>
      </c>
      <c r="AU65" s="88" t="s">
        <v>347</v>
      </c>
      <c r="AV65" s="88" t="s">
        <v>347</v>
      </c>
      <c r="AW65" s="88" t="s">
        <v>347</v>
      </c>
      <c r="AX65" s="88" t="s">
        <v>347</v>
      </c>
      <c r="AY65" s="88" t="s">
        <v>347</v>
      </c>
      <c r="AZ65" s="88" t="s">
        <v>347</v>
      </c>
      <c r="BA65" s="88" t="s">
        <v>346</v>
      </c>
      <c r="BB65" s="88" t="s">
        <v>347</v>
      </c>
      <c r="BC65" s="88" t="s">
        <v>347</v>
      </c>
      <c r="BD65" s="88" t="s">
        <v>347</v>
      </c>
      <c r="BE65" s="88" t="s">
        <v>346</v>
      </c>
      <c r="BF65" s="88" t="s">
        <v>346</v>
      </c>
      <c r="BG65" s="88" t="s">
        <v>347</v>
      </c>
      <c r="BH65" s="88" t="s">
        <v>346</v>
      </c>
      <c r="BI65" s="88" t="s">
        <v>347</v>
      </c>
      <c r="BJ65" s="88" t="s">
        <v>347</v>
      </c>
      <c r="BK65" s="88" t="s">
        <v>347</v>
      </c>
      <c r="BL65" s="88" t="s">
        <v>347</v>
      </c>
      <c r="BM65" s="88" t="s">
        <v>346</v>
      </c>
      <c r="BN65" s="88" t="s">
        <v>347</v>
      </c>
      <c r="BO65" s="88" t="s">
        <v>347</v>
      </c>
      <c r="BP65" s="88" t="s">
        <v>347</v>
      </c>
      <c r="BQ65" s="88" t="s">
        <v>347</v>
      </c>
      <c r="BR65" s="88" t="s">
        <v>347</v>
      </c>
      <c r="BS65" s="88" t="s">
        <v>347</v>
      </c>
      <c r="BT65" s="88" t="s">
        <v>346</v>
      </c>
      <c r="BU65" s="88" t="s">
        <v>347</v>
      </c>
      <c r="BV65" s="88" t="s">
        <v>347</v>
      </c>
      <c r="BW65" s="88" t="s">
        <v>347</v>
      </c>
      <c r="BX65" s="88" t="s">
        <v>347</v>
      </c>
      <c r="BY65" s="88" t="s">
        <v>346</v>
      </c>
      <c r="BZ65" s="91" t="s">
        <v>347</v>
      </c>
    </row>
    <row r="66" spans="1:78" s="2" customFormat="1" x14ac:dyDescent="0.25">
      <c r="A66" s="109" t="s">
        <v>315</v>
      </c>
      <c r="B66" s="88" t="s">
        <v>347</v>
      </c>
      <c r="C66" s="88" t="s">
        <v>347</v>
      </c>
      <c r="D66" s="88" t="s">
        <v>347</v>
      </c>
      <c r="E66" s="88" t="s">
        <v>347</v>
      </c>
      <c r="F66" s="88" t="s">
        <v>347</v>
      </c>
      <c r="G66" s="88" t="s">
        <v>347</v>
      </c>
      <c r="H66" s="88" t="s">
        <v>346</v>
      </c>
      <c r="I66" s="88" t="s">
        <v>347</v>
      </c>
      <c r="J66" s="91" t="s">
        <v>347</v>
      </c>
      <c r="K66" s="109" t="s">
        <v>315</v>
      </c>
      <c r="L66" s="88" t="str">
        <f>LOOKUP($K66,PantheonList!$A$18:$A$139,PantheonList!$B$18:$B$139)</f>
        <v>Awareness</v>
      </c>
      <c r="M66" s="88" t="str">
        <f>LOOKUP($K66,PantheonList!$A$18:$A$139,PantheonList!$C$18:$C$139)</f>
        <v>Empathy</v>
      </c>
      <c r="N66" s="88" t="str">
        <f>LOOKUP($K66,PantheonList!$A$18:$A$139,PantheonList!$D$18:$D$139)</f>
        <v>Integrity</v>
      </c>
      <c r="O66" s="88" t="str">
        <f>LOOKUP($K66,PantheonList!$A$18:$A$139,PantheonList!$E$18:$E$139)</f>
        <v>Investigation</v>
      </c>
      <c r="P66" s="88" t="str">
        <f>LOOKUP($K66,PantheonList!$A$18:$A$139,PantheonList!$F$18:$F$139)</f>
        <v>Politics</v>
      </c>
      <c r="Q66" s="88" t="str">
        <f>LOOKUP($K66,PantheonList!$A$18:$A$139,PantheonList!$G$18:$G$139)</f>
        <v>Science</v>
      </c>
      <c r="R66" s="88" t="str">
        <f t="shared" si="12"/>
        <v>No</v>
      </c>
      <c r="S66" s="88" t="str">
        <f t="shared" si="12"/>
        <v>No</v>
      </c>
      <c r="T66" s="88" t="str">
        <f t="shared" si="12"/>
        <v>No</v>
      </c>
      <c r="U66" s="88" t="str">
        <f t="shared" si="12"/>
        <v>No</v>
      </c>
      <c r="V66" s="88" t="str">
        <f t="shared" si="12"/>
        <v>Yes</v>
      </c>
      <c r="W66" s="88" t="str">
        <f t="shared" si="12"/>
        <v>No</v>
      </c>
      <c r="X66" s="88" t="str">
        <f t="shared" si="12"/>
        <v>No</v>
      </c>
      <c r="Y66" s="88" t="str">
        <f t="shared" si="12"/>
        <v>No</v>
      </c>
      <c r="Z66" s="88" t="str">
        <f t="shared" si="12"/>
        <v>No</v>
      </c>
      <c r="AA66" s="88" t="str">
        <f t="shared" si="12"/>
        <v>Yes</v>
      </c>
      <c r="AB66" s="88" t="str">
        <f t="shared" si="13"/>
        <v>No</v>
      </c>
      <c r="AC66" s="88" t="str">
        <f t="shared" si="13"/>
        <v>Yes</v>
      </c>
      <c r="AD66" s="88" t="str">
        <f t="shared" si="13"/>
        <v>Yes</v>
      </c>
      <c r="AE66" s="88" t="str">
        <f t="shared" si="13"/>
        <v>No</v>
      </c>
      <c r="AF66" s="88" t="str">
        <f t="shared" si="13"/>
        <v>No</v>
      </c>
      <c r="AG66" s="88" t="str">
        <f t="shared" si="13"/>
        <v>No</v>
      </c>
      <c r="AH66" s="88" t="str">
        <f t="shared" si="13"/>
        <v>No</v>
      </c>
      <c r="AI66" s="88" t="str">
        <f t="shared" si="13"/>
        <v>No</v>
      </c>
      <c r="AJ66" s="88" t="str">
        <f t="shared" si="13"/>
        <v>Yes</v>
      </c>
      <c r="AK66" s="88" t="str">
        <f t="shared" si="13"/>
        <v>No</v>
      </c>
      <c r="AL66" s="88" t="str">
        <f t="shared" si="13"/>
        <v>Yes</v>
      </c>
      <c r="AM66" s="88" t="str">
        <f t="shared" si="13"/>
        <v>No</v>
      </c>
      <c r="AN66" s="88" t="str">
        <f t="shared" si="13"/>
        <v>No</v>
      </c>
      <c r="AO66" s="91" t="str">
        <f t="shared" si="13"/>
        <v>No</v>
      </c>
      <c r="AP66" s="109" t="s">
        <v>315</v>
      </c>
      <c r="AQ66" s="88">
        <v>66</v>
      </c>
      <c r="AR66" s="88" t="s">
        <v>347</v>
      </c>
      <c r="AS66" s="88" t="s">
        <v>347</v>
      </c>
      <c r="AT66" s="88" t="s">
        <v>347</v>
      </c>
      <c r="AU66" s="88" t="s">
        <v>347</v>
      </c>
      <c r="AV66" s="88" t="s">
        <v>347</v>
      </c>
      <c r="AW66" s="88" t="s">
        <v>346</v>
      </c>
      <c r="AX66" s="88" t="s">
        <v>347</v>
      </c>
      <c r="AY66" s="88" t="s">
        <v>346</v>
      </c>
      <c r="AZ66" s="88" t="s">
        <v>347</v>
      </c>
      <c r="BA66" s="88" t="s">
        <v>347</v>
      </c>
      <c r="BB66" s="88" t="s">
        <v>347</v>
      </c>
      <c r="BC66" s="88" t="s">
        <v>347</v>
      </c>
      <c r="BD66" s="88" t="s">
        <v>347</v>
      </c>
      <c r="BE66" s="88" t="s">
        <v>347</v>
      </c>
      <c r="BF66" s="88" t="s">
        <v>347</v>
      </c>
      <c r="BG66" s="88" t="s">
        <v>347</v>
      </c>
      <c r="BH66" s="88" t="s">
        <v>347</v>
      </c>
      <c r="BI66" s="88" t="s">
        <v>347</v>
      </c>
      <c r="BJ66" s="88" t="s">
        <v>347</v>
      </c>
      <c r="BK66" s="88" t="s">
        <v>347</v>
      </c>
      <c r="BL66" s="88" t="s">
        <v>346</v>
      </c>
      <c r="BM66" s="88" t="s">
        <v>347</v>
      </c>
      <c r="BN66" s="88" t="s">
        <v>347</v>
      </c>
      <c r="BO66" s="88" t="s">
        <v>346</v>
      </c>
      <c r="BP66" s="88" t="s">
        <v>347</v>
      </c>
      <c r="BQ66" s="88" t="s">
        <v>347</v>
      </c>
      <c r="BR66" s="88" t="s">
        <v>347</v>
      </c>
      <c r="BS66" s="88" t="s">
        <v>347</v>
      </c>
      <c r="BT66" s="88" t="s">
        <v>347</v>
      </c>
      <c r="BU66" s="88" t="s">
        <v>347</v>
      </c>
      <c r="BV66" s="88" t="s">
        <v>347</v>
      </c>
      <c r="BW66" s="88" t="s">
        <v>347</v>
      </c>
      <c r="BX66" s="88" t="s">
        <v>347</v>
      </c>
      <c r="BY66" s="88" t="s">
        <v>347</v>
      </c>
      <c r="BZ66" s="91" t="s">
        <v>347</v>
      </c>
    </row>
    <row r="67" spans="1:78" s="2" customFormat="1" x14ac:dyDescent="0.25">
      <c r="A67" s="109" t="s">
        <v>293</v>
      </c>
      <c r="B67" s="88" t="s">
        <v>347</v>
      </c>
      <c r="C67" s="88" t="s">
        <v>347</v>
      </c>
      <c r="D67" s="88" t="s">
        <v>347</v>
      </c>
      <c r="E67" s="88" t="s">
        <v>347</v>
      </c>
      <c r="F67" s="88" t="s">
        <v>347</v>
      </c>
      <c r="G67" s="88" t="s">
        <v>347</v>
      </c>
      <c r="H67" s="88" t="s">
        <v>347</v>
      </c>
      <c r="I67" s="88" t="s">
        <v>346</v>
      </c>
      <c r="J67" s="91" t="s">
        <v>346</v>
      </c>
      <c r="K67" s="109" t="s">
        <v>293</v>
      </c>
      <c r="L67" s="88" t="str">
        <f>LOOKUP($K67,PantheonList!$A$18:$A$139,PantheonList!$B$18:$B$139)</f>
        <v>Animal Ken</v>
      </c>
      <c r="M67" s="88" t="str">
        <f>LOOKUP($K67,PantheonList!$A$18:$A$139,PantheonList!$C$18:$C$139)</f>
        <v>Art</v>
      </c>
      <c r="N67" s="88" t="str">
        <f>LOOKUP($K67,PantheonList!$A$18:$A$139,PantheonList!$D$18:$D$139)</f>
        <v>Larceny</v>
      </c>
      <c r="O67" s="88" t="str">
        <f>LOOKUP($K67,PantheonList!$A$18:$A$139,PantheonList!$E$18:$E$139)</f>
        <v>Occult</v>
      </c>
      <c r="P67" s="88" t="str">
        <f>LOOKUP($K67,PantheonList!$A$18:$A$139,PantheonList!$F$18:$F$139)</f>
        <v>Science</v>
      </c>
      <c r="Q67" s="88" t="str">
        <f>LOOKUP($K67,PantheonList!$A$18:$A$139,PantheonList!$G$18:$G$139)</f>
        <v>Stealth</v>
      </c>
      <c r="R67" s="88" t="str">
        <f t="shared" si="12"/>
        <v>No</v>
      </c>
      <c r="S67" s="88" t="str">
        <f t="shared" si="12"/>
        <v>Yes</v>
      </c>
      <c r="T67" s="88" t="str">
        <f t="shared" si="12"/>
        <v>Yes</v>
      </c>
      <c r="U67" s="88" t="str">
        <f t="shared" si="12"/>
        <v>No</v>
      </c>
      <c r="V67" s="88" t="str">
        <f t="shared" si="12"/>
        <v>No</v>
      </c>
      <c r="W67" s="88" t="str">
        <f t="shared" si="12"/>
        <v>No</v>
      </c>
      <c r="X67" s="88" t="str">
        <f t="shared" si="12"/>
        <v>No</v>
      </c>
      <c r="Y67" s="88" t="str">
        <f t="shared" si="12"/>
        <v>No</v>
      </c>
      <c r="Z67" s="88" t="str">
        <f t="shared" si="12"/>
        <v>No</v>
      </c>
      <c r="AA67" s="88" t="str">
        <f t="shared" si="12"/>
        <v>No</v>
      </c>
      <c r="AB67" s="88" t="str">
        <f t="shared" si="13"/>
        <v>No</v>
      </c>
      <c r="AC67" s="88" t="str">
        <f t="shared" si="13"/>
        <v>No</v>
      </c>
      <c r="AD67" s="88" t="str">
        <f t="shared" si="13"/>
        <v>No</v>
      </c>
      <c r="AE67" s="88" t="str">
        <f t="shared" si="13"/>
        <v>Yes</v>
      </c>
      <c r="AF67" s="88" t="str">
        <f t="shared" si="13"/>
        <v>No</v>
      </c>
      <c r="AG67" s="88" t="str">
        <f t="shared" si="13"/>
        <v>No</v>
      </c>
      <c r="AH67" s="88" t="str">
        <f t="shared" si="13"/>
        <v>No</v>
      </c>
      <c r="AI67" s="88" t="str">
        <f t="shared" si="13"/>
        <v>Yes</v>
      </c>
      <c r="AJ67" s="88" t="str">
        <f t="shared" si="13"/>
        <v>No</v>
      </c>
      <c r="AK67" s="88" t="str">
        <f t="shared" si="13"/>
        <v>No</v>
      </c>
      <c r="AL67" s="88" t="str">
        <f t="shared" si="13"/>
        <v>Yes</v>
      </c>
      <c r="AM67" s="88" t="str">
        <f t="shared" si="13"/>
        <v>Yes</v>
      </c>
      <c r="AN67" s="88" t="str">
        <f t="shared" si="13"/>
        <v>No</v>
      </c>
      <c r="AO67" s="91" t="str">
        <f t="shared" si="13"/>
        <v>No</v>
      </c>
      <c r="AP67" s="109" t="s">
        <v>293</v>
      </c>
      <c r="AQ67" s="88">
        <v>67</v>
      </c>
      <c r="AR67" s="88" t="s">
        <v>346</v>
      </c>
      <c r="AS67" s="88" t="s">
        <v>347</v>
      </c>
      <c r="AT67" s="88" t="s">
        <v>346</v>
      </c>
      <c r="AU67" s="88" t="s">
        <v>347</v>
      </c>
      <c r="AV67" s="88" t="s">
        <v>347</v>
      </c>
      <c r="AW67" s="88" t="s">
        <v>347</v>
      </c>
      <c r="AX67" s="88" t="s">
        <v>347</v>
      </c>
      <c r="AY67" s="88" t="s">
        <v>347</v>
      </c>
      <c r="AZ67" s="88" t="s">
        <v>347</v>
      </c>
      <c r="BA67" s="88" t="s">
        <v>347</v>
      </c>
      <c r="BB67" s="88" t="s">
        <v>347</v>
      </c>
      <c r="BC67" s="88" t="s">
        <v>347</v>
      </c>
      <c r="BD67" s="88" t="s">
        <v>347</v>
      </c>
      <c r="BE67" s="88" t="s">
        <v>347</v>
      </c>
      <c r="BF67" s="88" t="s">
        <v>347</v>
      </c>
      <c r="BG67" s="88" t="s">
        <v>347</v>
      </c>
      <c r="BH67" s="88" t="s">
        <v>347</v>
      </c>
      <c r="BI67" s="88" t="s">
        <v>347</v>
      </c>
      <c r="BJ67" s="88" t="s">
        <v>347</v>
      </c>
      <c r="BK67" s="88" t="s">
        <v>347</v>
      </c>
      <c r="BL67" s="88" t="s">
        <v>347</v>
      </c>
      <c r="BM67" s="88" t="s">
        <v>347</v>
      </c>
      <c r="BN67" s="88" t="s">
        <v>346</v>
      </c>
      <c r="BO67" s="88" t="s">
        <v>347</v>
      </c>
      <c r="BP67" s="88" t="s">
        <v>347</v>
      </c>
      <c r="BQ67" s="88" t="s">
        <v>347</v>
      </c>
      <c r="BR67" s="88" t="s">
        <v>347</v>
      </c>
      <c r="BS67" s="88" t="s">
        <v>347</v>
      </c>
      <c r="BT67" s="88" t="s">
        <v>347</v>
      </c>
      <c r="BU67" s="88" t="s">
        <v>347</v>
      </c>
      <c r="BV67" s="88" t="s">
        <v>347</v>
      </c>
      <c r="BW67" s="88" t="s">
        <v>347</v>
      </c>
      <c r="BX67" s="88" t="s">
        <v>347</v>
      </c>
      <c r="BY67" s="88" t="s">
        <v>347</v>
      </c>
      <c r="BZ67" s="91" t="s">
        <v>347</v>
      </c>
    </row>
    <row r="68" spans="1:78" s="2" customFormat="1" x14ac:dyDescent="0.25">
      <c r="A68" s="109" t="s">
        <v>286</v>
      </c>
      <c r="B68" s="88" t="s">
        <v>347</v>
      </c>
      <c r="C68" s="88" t="s">
        <v>347</v>
      </c>
      <c r="D68" s="88" t="s">
        <v>347</v>
      </c>
      <c r="E68" s="88" t="s">
        <v>347</v>
      </c>
      <c r="F68" s="88" t="s">
        <v>346</v>
      </c>
      <c r="G68" s="88" t="s">
        <v>347</v>
      </c>
      <c r="H68" s="88" t="s">
        <v>347</v>
      </c>
      <c r="I68" s="88" t="s">
        <v>347</v>
      </c>
      <c r="J68" s="91" t="s">
        <v>346</v>
      </c>
      <c r="K68" s="109" t="s">
        <v>286</v>
      </c>
      <c r="L68" s="88" t="str">
        <f>LOOKUP($K68,PantheonList!$A$18:$A$139,PantheonList!$B$18:$B$139)</f>
        <v>Animal Ken</v>
      </c>
      <c r="M68" s="88" t="str">
        <f>LOOKUP($K68,PantheonList!$A$18:$A$139,PantheonList!$C$18:$C$139)</f>
        <v>Athletics</v>
      </c>
      <c r="N68" s="88" t="str">
        <f>LOOKUP($K68,PantheonList!$A$18:$A$139,PantheonList!$D$18:$D$139)</f>
        <v>Brawl</v>
      </c>
      <c r="O68" s="88" t="str">
        <f>LOOKUP($K68,PantheonList!$A$18:$A$139,PantheonList!$E$18:$E$139)</f>
        <v>Control</v>
      </c>
      <c r="P68" s="88" t="str">
        <f>LOOKUP($K68,PantheonList!$A$18:$A$139,PantheonList!$F$18:$F$139)</f>
        <v>Investigation</v>
      </c>
      <c r="Q68" s="88" t="str">
        <f>LOOKUP($K68,PantheonList!$A$18:$A$139,PantheonList!$G$18:$G$139)</f>
        <v>Occult</v>
      </c>
      <c r="R68" s="88" t="str">
        <f t="shared" si="12"/>
        <v>No</v>
      </c>
      <c r="S68" s="88" t="str">
        <f t="shared" si="12"/>
        <v>Yes</v>
      </c>
      <c r="T68" s="88" t="str">
        <f t="shared" si="12"/>
        <v>No</v>
      </c>
      <c r="U68" s="88" t="str">
        <f t="shared" si="12"/>
        <v>Yes</v>
      </c>
      <c r="V68" s="88" t="str">
        <f t="shared" si="12"/>
        <v>No</v>
      </c>
      <c r="W68" s="88" t="str">
        <f t="shared" si="12"/>
        <v>Yes</v>
      </c>
      <c r="X68" s="88" t="str">
        <f t="shared" si="12"/>
        <v>No</v>
      </c>
      <c r="Y68" s="88" t="str">
        <f t="shared" si="12"/>
        <v>Yes</v>
      </c>
      <c r="Z68" s="88" t="str">
        <f t="shared" si="12"/>
        <v>No</v>
      </c>
      <c r="AA68" s="88" t="str">
        <f t="shared" si="12"/>
        <v>No</v>
      </c>
      <c r="AB68" s="88" t="str">
        <f t="shared" si="13"/>
        <v>No</v>
      </c>
      <c r="AC68" s="88" t="str">
        <f t="shared" si="13"/>
        <v>No</v>
      </c>
      <c r="AD68" s="88" t="str">
        <f t="shared" si="13"/>
        <v>Yes</v>
      </c>
      <c r="AE68" s="88" t="str">
        <f t="shared" si="13"/>
        <v>No</v>
      </c>
      <c r="AF68" s="88" t="str">
        <f t="shared" si="13"/>
        <v>No</v>
      </c>
      <c r="AG68" s="88" t="str">
        <f t="shared" si="13"/>
        <v>No</v>
      </c>
      <c r="AH68" s="88" t="str">
        <f t="shared" si="13"/>
        <v>No</v>
      </c>
      <c r="AI68" s="88" t="str">
        <f t="shared" si="13"/>
        <v>Yes</v>
      </c>
      <c r="AJ68" s="88" t="str">
        <f t="shared" si="13"/>
        <v>No</v>
      </c>
      <c r="AK68" s="88" t="str">
        <f t="shared" si="13"/>
        <v>No</v>
      </c>
      <c r="AL68" s="88" t="str">
        <f t="shared" si="13"/>
        <v>No</v>
      </c>
      <c r="AM68" s="88" t="str">
        <f t="shared" si="13"/>
        <v>No</v>
      </c>
      <c r="AN68" s="88" t="str">
        <f t="shared" si="13"/>
        <v>No</v>
      </c>
      <c r="AO68" s="91" t="str">
        <f t="shared" si="13"/>
        <v>No</v>
      </c>
      <c r="AP68" s="109" t="s">
        <v>286</v>
      </c>
      <c r="AQ68" s="88">
        <v>68</v>
      </c>
      <c r="AR68" s="88" t="s">
        <v>346</v>
      </c>
      <c r="AS68" s="88" t="s">
        <v>347</v>
      </c>
      <c r="AT68" s="88" t="s">
        <v>347</v>
      </c>
      <c r="AU68" s="88" t="s">
        <v>347</v>
      </c>
      <c r="AV68" s="88" t="s">
        <v>347</v>
      </c>
      <c r="AW68" s="88" t="s">
        <v>347</v>
      </c>
      <c r="AX68" s="88" t="s">
        <v>347</v>
      </c>
      <c r="AY68" s="88" t="s">
        <v>346</v>
      </c>
      <c r="AZ68" s="88" t="s">
        <v>347</v>
      </c>
      <c r="BA68" s="88" t="s">
        <v>346</v>
      </c>
      <c r="BB68" s="88" t="s">
        <v>347</v>
      </c>
      <c r="BC68" s="88" t="s">
        <v>347</v>
      </c>
      <c r="BD68" s="88" t="s">
        <v>347</v>
      </c>
      <c r="BE68" s="88" t="s">
        <v>347</v>
      </c>
      <c r="BF68" s="88" t="s">
        <v>347</v>
      </c>
      <c r="BG68" s="88" t="s">
        <v>347</v>
      </c>
      <c r="BH68" s="88" t="s">
        <v>346</v>
      </c>
      <c r="BI68" s="88" t="s">
        <v>347</v>
      </c>
      <c r="BJ68" s="88" t="s">
        <v>347</v>
      </c>
      <c r="BK68" s="88" t="s">
        <v>347</v>
      </c>
      <c r="BL68" s="88" t="s">
        <v>347</v>
      </c>
      <c r="BM68" s="88" t="s">
        <v>346</v>
      </c>
      <c r="BN68" s="88" t="s">
        <v>347</v>
      </c>
      <c r="BO68" s="88" t="s">
        <v>347</v>
      </c>
      <c r="BP68" s="88" t="s">
        <v>346</v>
      </c>
      <c r="BQ68" s="88" t="s">
        <v>346</v>
      </c>
      <c r="BR68" s="88" t="s">
        <v>347</v>
      </c>
      <c r="BS68" s="88" t="s">
        <v>347</v>
      </c>
      <c r="BT68" s="88" t="s">
        <v>347</v>
      </c>
      <c r="BU68" s="88" t="s">
        <v>347</v>
      </c>
      <c r="BV68" s="88" t="s">
        <v>347</v>
      </c>
      <c r="BW68" s="88" t="s">
        <v>347</v>
      </c>
      <c r="BX68" s="88" t="s">
        <v>347</v>
      </c>
      <c r="BY68" s="88" t="s">
        <v>347</v>
      </c>
      <c r="BZ68" s="91" t="s">
        <v>346</v>
      </c>
    </row>
    <row r="69" spans="1:78" s="2" customFormat="1" x14ac:dyDescent="0.25">
      <c r="A69" s="109" t="s">
        <v>316</v>
      </c>
      <c r="B69" s="88" t="s">
        <v>347</v>
      </c>
      <c r="C69" s="88" t="s">
        <v>347</v>
      </c>
      <c r="D69" s="88" t="s">
        <v>347</v>
      </c>
      <c r="E69" s="88" t="s">
        <v>346</v>
      </c>
      <c r="F69" s="88" t="s">
        <v>347</v>
      </c>
      <c r="G69" s="88" t="s">
        <v>347</v>
      </c>
      <c r="H69" s="88" t="s">
        <v>346</v>
      </c>
      <c r="I69" s="88" t="s">
        <v>347</v>
      </c>
      <c r="J69" s="91" t="s">
        <v>347</v>
      </c>
      <c r="K69" s="109" t="s">
        <v>316</v>
      </c>
      <c r="L69" s="88" t="str">
        <f>LOOKUP($K69,PantheonList!$A$18:$A$139,PantheonList!$B$18:$B$139)</f>
        <v>Art</v>
      </c>
      <c r="M69" s="88" t="str">
        <f>LOOKUP($K69,PantheonList!$A$18:$A$139,PantheonList!$C$18:$C$139)</f>
        <v>Awareness</v>
      </c>
      <c r="N69" s="88" t="str">
        <f>LOOKUP($K69,PantheonList!$A$18:$A$139,PantheonList!$D$18:$D$139)</f>
        <v>Command</v>
      </c>
      <c r="O69" s="88" t="str">
        <f>LOOKUP($K69,PantheonList!$A$18:$A$139,PantheonList!$E$18:$E$139)</f>
        <v>Empathy</v>
      </c>
      <c r="P69" s="88" t="str">
        <f>LOOKUP($K69,PantheonList!$A$18:$A$139,PantheonList!$F$18:$F$139)</f>
        <v>Integrity</v>
      </c>
      <c r="Q69" s="88" t="str">
        <f>LOOKUP($K69,PantheonList!$A$18:$A$139,PantheonList!$G$18:$G$139)</f>
        <v>Presence</v>
      </c>
      <c r="R69" s="88" t="str">
        <f t="shared" si="12"/>
        <v>No</v>
      </c>
      <c r="S69" s="88" t="str">
        <f t="shared" si="12"/>
        <v>No</v>
      </c>
      <c r="T69" s="88" t="str">
        <f t="shared" si="12"/>
        <v>Yes</v>
      </c>
      <c r="U69" s="88" t="str">
        <f t="shared" si="12"/>
        <v>No</v>
      </c>
      <c r="V69" s="88" t="str">
        <f t="shared" si="12"/>
        <v>Yes</v>
      </c>
      <c r="W69" s="88" t="str">
        <f t="shared" si="12"/>
        <v>No</v>
      </c>
      <c r="X69" s="88" t="str">
        <f t="shared" si="12"/>
        <v>Yes</v>
      </c>
      <c r="Y69" s="88" t="str">
        <f t="shared" si="12"/>
        <v>No</v>
      </c>
      <c r="Z69" s="88" t="str">
        <f t="shared" si="12"/>
        <v>No</v>
      </c>
      <c r="AA69" s="88" t="str">
        <f t="shared" si="12"/>
        <v>Yes</v>
      </c>
      <c r="AB69" s="88" t="str">
        <f t="shared" si="13"/>
        <v>No</v>
      </c>
      <c r="AC69" s="88" t="str">
        <f t="shared" si="13"/>
        <v>Yes</v>
      </c>
      <c r="AD69" s="88" t="str">
        <f t="shared" si="13"/>
        <v>No</v>
      </c>
      <c r="AE69" s="88" t="str">
        <f t="shared" si="13"/>
        <v>No</v>
      </c>
      <c r="AF69" s="88" t="str">
        <f t="shared" si="13"/>
        <v>No</v>
      </c>
      <c r="AG69" s="88" t="str">
        <f t="shared" si="13"/>
        <v>No</v>
      </c>
      <c r="AH69" s="88" t="str">
        <f t="shared" si="13"/>
        <v>No</v>
      </c>
      <c r="AI69" s="88" t="str">
        <f t="shared" si="13"/>
        <v>No</v>
      </c>
      <c r="AJ69" s="88" t="str">
        <f t="shared" si="13"/>
        <v>No</v>
      </c>
      <c r="AK69" s="88" t="str">
        <f t="shared" si="13"/>
        <v>Yes</v>
      </c>
      <c r="AL69" s="88" t="str">
        <f t="shared" si="13"/>
        <v>No</v>
      </c>
      <c r="AM69" s="88" t="str">
        <f t="shared" si="13"/>
        <v>No</v>
      </c>
      <c r="AN69" s="88" t="str">
        <f t="shared" si="13"/>
        <v>No</v>
      </c>
      <c r="AO69" s="91" t="str">
        <f t="shared" si="13"/>
        <v>No</v>
      </c>
      <c r="AP69" s="109" t="s">
        <v>316</v>
      </c>
      <c r="AQ69" s="88">
        <v>69</v>
      </c>
      <c r="AR69" s="88" t="s">
        <v>346</v>
      </c>
      <c r="AS69" s="88" t="s">
        <v>347</v>
      </c>
      <c r="AT69" s="88" t="s">
        <v>347</v>
      </c>
      <c r="AU69" s="88" t="s">
        <v>347</v>
      </c>
      <c r="AV69" s="88" t="s">
        <v>347</v>
      </c>
      <c r="AW69" s="88" t="s">
        <v>346</v>
      </c>
      <c r="AX69" s="88" t="s">
        <v>347</v>
      </c>
      <c r="AY69" s="88" t="s">
        <v>347</v>
      </c>
      <c r="AZ69" s="88" t="s">
        <v>347</v>
      </c>
      <c r="BA69" s="88" t="s">
        <v>347</v>
      </c>
      <c r="BB69" s="88" t="s">
        <v>347</v>
      </c>
      <c r="BC69" s="88" t="s">
        <v>347</v>
      </c>
      <c r="BD69" s="88" t="s">
        <v>347</v>
      </c>
      <c r="BE69" s="88" t="s">
        <v>346</v>
      </c>
      <c r="BF69" s="88" t="s">
        <v>347</v>
      </c>
      <c r="BG69" s="88" t="s">
        <v>347</v>
      </c>
      <c r="BH69" s="88" t="s">
        <v>347</v>
      </c>
      <c r="BI69" s="88" t="s">
        <v>347</v>
      </c>
      <c r="BJ69" s="88" t="s">
        <v>347</v>
      </c>
      <c r="BK69" s="88" t="s">
        <v>347</v>
      </c>
      <c r="BL69" s="88" t="s">
        <v>346</v>
      </c>
      <c r="BM69" s="88" t="s">
        <v>347</v>
      </c>
      <c r="BN69" s="88" t="s">
        <v>347</v>
      </c>
      <c r="BO69" s="88" t="s">
        <v>347</v>
      </c>
      <c r="BP69" s="88" t="s">
        <v>347</v>
      </c>
      <c r="BQ69" s="88" t="s">
        <v>347</v>
      </c>
      <c r="BR69" s="88" t="s">
        <v>347</v>
      </c>
      <c r="BS69" s="88" t="s">
        <v>347</v>
      </c>
      <c r="BT69" s="88" t="s">
        <v>347</v>
      </c>
      <c r="BU69" s="88" t="s">
        <v>347</v>
      </c>
      <c r="BV69" s="88" t="s">
        <v>347</v>
      </c>
      <c r="BW69" s="88" t="s">
        <v>347</v>
      </c>
      <c r="BX69" s="88" t="s">
        <v>347</v>
      </c>
      <c r="BY69" s="88" t="s">
        <v>347</v>
      </c>
      <c r="BZ69" s="91" t="s">
        <v>347</v>
      </c>
    </row>
    <row r="70" spans="1:78" s="2" customFormat="1" x14ac:dyDescent="0.25">
      <c r="A70" s="109" t="s">
        <v>209</v>
      </c>
      <c r="B70" s="88" t="s">
        <v>347</v>
      </c>
      <c r="C70" s="88" t="s">
        <v>346</v>
      </c>
      <c r="D70" s="88" t="s">
        <v>347</v>
      </c>
      <c r="E70" s="88" t="s">
        <v>347</v>
      </c>
      <c r="F70" s="88" t="s">
        <v>347</v>
      </c>
      <c r="G70" s="88" t="s">
        <v>346</v>
      </c>
      <c r="H70" s="88" t="s">
        <v>347</v>
      </c>
      <c r="I70" s="88" t="s">
        <v>347</v>
      </c>
      <c r="J70" s="91" t="s">
        <v>347</v>
      </c>
      <c r="K70" s="109" t="s">
        <v>209</v>
      </c>
      <c r="L70" s="88" t="str">
        <f>LOOKUP($K70,PantheonList!$A$18:$A$139,PantheonList!$B$18:$B$139)</f>
        <v>Awareness</v>
      </c>
      <c r="M70" s="88" t="str">
        <f>LOOKUP($K70,PantheonList!$A$18:$A$139,PantheonList!$C$18:$C$139)</f>
        <v>Empathy</v>
      </c>
      <c r="N70" s="88" t="str">
        <f>LOOKUP($K70,PantheonList!$A$18:$A$139,PantheonList!$D$18:$D$139)</f>
        <v>Integrity</v>
      </c>
      <c r="O70" s="88" t="str">
        <f>LOOKUP($K70,PantheonList!$A$18:$A$139,PantheonList!$E$18:$E$139)</f>
        <v>Larceny</v>
      </c>
      <c r="P70" s="88" t="str">
        <f>LOOKUP($K70,PantheonList!$A$18:$A$139,PantheonList!$F$18:$F$139)</f>
        <v>Fortitude</v>
      </c>
      <c r="Q70" s="88" t="str">
        <f>LOOKUP($K70,PantheonList!$A$18:$A$139,PantheonList!$G$18:$G$139)</f>
        <v>Stealth</v>
      </c>
      <c r="R70" s="88" t="str">
        <f t="shared" si="12"/>
        <v>No</v>
      </c>
      <c r="S70" s="88" t="str">
        <f t="shared" si="12"/>
        <v>No</v>
      </c>
      <c r="T70" s="88" t="str">
        <f t="shared" si="12"/>
        <v>No</v>
      </c>
      <c r="U70" s="88" t="str">
        <f t="shared" si="12"/>
        <v>No</v>
      </c>
      <c r="V70" s="88" t="str">
        <f t="shared" si="12"/>
        <v>Yes</v>
      </c>
      <c r="W70" s="88" t="str">
        <f t="shared" si="12"/>
        <v>No</v>
      </c>
      <c r="X70" s="88" t="str">
        <f t="shared" si="12"/>
        <v>No</v>
      </c>
      <c r="Y70" s="88" t="str">
        <f t="shared" si="12"/>
        <v>No</v>
      </c>
      <c r="Z70" s="88" t="str">
        <f t="shared" si="12"/>
        <v>No</v>
      </c>
      <c r="AA70" s="88" t="str">
        <f t="shared" si="12"/>
        <v>Yes</v>
      </c>
      <c r="AB70" s="88" t="str">
        <f t="shared" si="13"/>
        <v>Yes</v>
      </c>
      <c r="AC70" s="88" t="str">
        <f t="shared" si="13"/>
        <v>Yes</v>
      </c>
      <c r="AD70" s="88" t="str">
        <f t="shared" si="13"/>
        <v>No</v>
      </c>
      <c r="AE70" s="88" t="str">
        <f t="shared" si="13"/>
        <v>Yes</v>
      </c>
      <c r="AF70" s="88" t="str">
        <f t="shared" si="13"/>
        <v>No</v>
      </c>
      <c r="AG70" s="88" t="str">
        <f t="shared" si="13"/>
        <v>No</v>
      </c>
      <c r="AH70" s="88" t="str">
        <f t="shared" si="13"/>
        <v>No</v>
      </c>
      <c r="AI70" s="88" t="str">
        <f t="shared" si="13"/>
        <v>No</v>
      </c>
      <c r="AJ70" s="88" t="str">
        <f t="shared" si="13"/>
        <v>No</v>
      </c>
      <c r="AK70" s="88" t="str">
        <f t="shared" si="13"/>
        <v>No</v>
      </c>
      <c r="AL70" s="88" t="str">
        <f t="shared" si="13"/>
        <v>No</v>
      </c>
      <c r="AM70" s="88" t="str">
        <f t="shared" si="13"/>
        <v>Yes</v>
      </c>
      <c r="AN70" s="88" t="str">
        <f t="shared" si="13"/>
        <v>No</v>
      </c>
      <c r="AO70" s="91" t="str">
        <f t="shared" si="13"/>
        <v>No</v>
      </c>
      <c r="AP70" s="109" t="s">
        <v>209</v>
      </c>
      <c r="AQ70" s="88">
        <v>70</v>
      </c>
      <c r="AR70" s="88" t="s">
        <v>346</v>
      </c>
      <c r="AS70" s="88" t="s">
        <v>347</v>
      </c>
      <c r="AT70" s="88" t="s">
        <v>347</v>
      </c>
      <c r="AU70" s="88" t="s">
        <v>347</v>
      </c>
      <c r="AV70" s="88" t="s">
        <v>347</v>
      </c>
      <c r="AW70" s="88" t="s">
        <v>347</v>
      </c>
      <c r="AX70" s="88" t="s">
        <v>346</v>
      </c>
      <c r="AY70" s="88" t="s">
        <v>347</v>
      </c>
      <c r="AZ70" s="88" t="s">
        <v>347</v>
      </c>
      <c r="BA70" s="88" t="s">
        <v>347</v>
      </c>
      <c r="BB70" s="88" t="s">
        <v>347</v>
      </c>
      <c r="BC70" s="88" t="s">
        <v>347</v>
      </c>
      <c r="BD70" s="88" t="s">
        <v>347</v>
      </c>
      <c r="BE70" s="88" t="s">
        <v>347</v>
      </c>
      <c r="BF70" s="88" t="s">
        <v>347</v>
      </c>
      <c r="BG70" s="88" t="s">
        <v>347</v>
      </c>
      <c r="BH70" s="88" t="s">
        <v>347</v>
      </c>
      <c r="BI70" s="88" t="s">
        <v>347</v>
      </c>
      <c r="BJ70" s="88" t="s">
        <v>347</v>
      </c>
      <c r="BK70" s="88" t="s">
        <v>347</v>
      </c>
      <c r="BL70" s="88" t="s">
        <v>347</v>
      </c>
      <c r="BM70" s="88" t="s">
        <v>347</v>
      </c>
      <c r="BN70" s="88" t="s">
        <v>347</v>
      </c>
      <c r="BO70" s="88" t="s">
        <v>347</v>
      </c>
      <c r="BP70" s="88" t="s">
        <v>347</v>
      </c>
      <c r="BQ70" s="88" t="s">
        <v>347</v>
      </c>
      <c r="BR70" s="88" t="s">
        <v>347</v>
      </c>
      <c r="BS70" s="88" t="s">
        <v>347</v>
      </c>
      <c r="BT70" s="88" t="s">
        <v>347</v>
      </c>
      <c r="BU70" s="88" t="s">
        <v>347</v>
      </c>
      <c r="BV70" s="88" t="s">
        <v>346</v>
      </c>
      <c r="BW70" s="88" t="s">
        <v>347</v>
      </c>
      <c r="BX70" s="88" t="s">
        <v>346</v>
      </c>
      <c r="BY70" s="88" t="s">
        <v>347</v>
      </c>
      <c r="BZ70" s="91" t="s">
        <v>347</v>
      </c>
    </row>
    <row r="71" spans="1:78" s="2" customFormat="1" x14ac:dyDescent="0.25">
      <c r="A71" s="109" t="s">
        <v>215</v>
      </c>
      <c r="B71" s="88" t="s">
        <v>347</v>
      </c>
      <c r="C71" s="88" t="s">
        <v>347</v>
      </c>
      <c r="D71" s="88" t="s">
        <v>347</v>
      </c>
      <c r="E71" s="88" t="s">
        <v>346</v>
      </c>
      <c r="F71" s="88" t="s">
        <v>347</v>
      </c>
      <c r="G71" s="88" t="s">
        <v>346</v>
      </c>
      <c r="H71" s="88" t="s">
        <v>347</v>
      </c>
      <c r="I71" s="88" t="s">
        <v>347</v>
      </c>
      <c r="J71" s="91" t="s">
        <v>347</v>
      </c>
      <c r="K71" s="109" t="s">
        <v>215</v>
      </c>
      <c r="L71" s="88" t="str">
        <f>LOOKUP($K71,PantheonList!$A$18:$A$139,PantheonList!$B$18:$B$139)</f>
        <v>Command</v>
      </c>
      <c r="M71" s="88" t="str">
        <f>LOOKUP($K71,PantheonList!$A$18:$A$139,PantheonList!$C$18:$C$139)</f>
        <v>Investigation</v>
      </c>
      <c r="N71" s="88" t="str">
        <f>LOOKUP($K71,PantheonList!$A$18:$A$139,PantheonList!$D$18:$D$139)</f>
        <v>Larceny</v>
      </c>
      <c r="O71" s="88" t="str">
        <f>LOOKUP($K71,PantheonList!$A$18:$A$139,PantheonList!$E$18:$E$139)</f>
        <v>Politics</v>
      </c>
      <c r="P71" s="88" t="str">
        <f>LOOKUP($K71,PantheonList!$A$18:$A$139,PantheonList!$F$18:$F$139)</f>
        <v>Presence</v>
      </c>
      <c r="Q71" s="88" t="str">
        <f>LOOKUP($K71,PantheonList!$A$18:$A$139,PantheonList!$G$18:$G$139)</f>
        <v>Thrown</v>
      </c>
      <c r="R71" s="88" t="str">
        <f t="shared" si="12"/>
        <v>No</v>
      </c>
      <c r="S71" s="88" t="str">
        <f t="shared" si="12"/>
        <v>No</v>
      </c>
      <c r="T71" s="88" t="str">
        <f t="shared" si="12"/>
        <v>No</v>
      </c>
      <c r="U71" s="88" t="str">
        <f t="shared" si="12"/>
        <v>No</v>
      </c>
      <c r="V71" s="88" t="str">
        <f t="shared" si="12"/>
        <v>No</v>
      </c>
      <c r="W71" s="88" t="str">
        <f t="shared" si="12"/>
        <v>No</v>
      </c>
      <c r="X71" s="88" t="str">
        <f t="shared" si="12"/>
        <v>Yes</v>
      </c>
      <c r="Y71" s="88" t="str">
        <f t="shared" si="12"/>
        <v>No</v>
      </c>
      <c r="Z71" s="88" t="str">
        <f t="shared" si="12"/>
        <v>No</v>
      </c>
      <c r="AA71" s="88" t="str">
        <f t="shared" si="12"/>
        <v>No</v>
      </c>
      <c r="AB71" s="88" t="str">
        <f t="shared" si="13"/>
        <v>No</v>
      </c>
      <c r="AC71" s="88" t="str">
        <f t="shared" si="13"/>
        <v>No</v>
      </c>
      <c r="AD71" s="88" t="str">
        <f t="shared" si="13"/>
        <v>Yes</v>
      </c>
      <c r="AE71" s="88" t="str">
        <f t="shared" si="13"/>
        <v>Yes</v>
      </c>
      <c r="AF71" s="88" t="str">
        <f t="shared" si="13"/>
        <v>No</v>
      </c>
      <c r="AG71" s="88" t="str">
        <f t="shared" si="13"/>
        <v>No</v>
      </c>
      <c r="AH71" s="88" t="str">
        <f t="shared" si="13"/>
        <v>No</v>
      </c>
      <c r="AI71" s="88" t="str">
        <f t="shared" si="13"/>
        <v>No</v>
      </c>
      <c r="AJ71" s="88" t="str">
        <f t="shared" si="13"/>
        <v>Yes</v>
      </c>
      <c r="AK71" s="88" t="str">
        <f t="shared" si="13"/>
        <v>Yes</v>
      </c>
      <c r="AL71" s="88" t="str">
        <f t="shared" si="13"/>
        <v>No</v>
      </c>
      <c r="AM71" s="88" t="str">
        <f t="shared" si="13"/>
        <v>No</v>
      </c>
      <c r="AN71" s="88" t="str">
        <f t="shared" si="13"/>
        <v>No</v>
      </c>
      <c r="AO71" s="91" t="str">
        <f t="shared" si="13"/>
        <v>Yes</v>
      </c>
      <c r="AP71" s="109" t="s">
        <v>215</v>
      </c>
      <c r="AQ71" s="88">
        <v>71</v>
      </c>
      <c r="AR71" s="88" t="s">
        <v>346</v>
      </c>
      <c r="AS71" s="88" t="s">
        <v>347</v>
      </c>
      <c r="AT71" s="88" t="s">
        <v>347</v>
      </c>
      <c r="AU71" s="88" t="s">
        <v>347</v>
      </c>
      <c r="AV71" s="88" t="s">
        <v>347</v>
      </c>
      <c r="AW71" s="88" t="s">
        <v>347</v>
      </c>
      <c r="AX71" s="88" t="s">
        <v>347</v>
      </c>
      <c r="AY71" s="88" t="s">
        <v>346</v>
      </c>
      <c r="AZ71" s="88" t="s">
        <v>347</v>
      </c>
      <c r="BA71" s="88" t="s">
        <v>347</v>
      </c>
      <c r="BB71" s="88" t="s">
        <v>347</v>
      </c>
      <c r="BC71" s="88" t="s">
        <v>347</v>
      </c>
      <c r="BD71" s="88" t="s">
        <v>347</v>
      </c>
      <c r="BE71" s="88" t="s">
        <v>346</v>
      </c>
      <c r="BF71" s="88" t="s">
        <v>347</v>
      </c>
      <c r="BG71" s="88" t="s">
        <v>347</v>
      </c>
      <c r="BH71" s="88" t="s">
        <v>347</v>
      </c>
      <c r="BI71" s="88" t="s">
        <v>347</v>
      </c>
      <c r="BJ71" s="88" t="s">
        <v>346</v>
      </c>
      <c r="BK71" s="88" t="s">
        <v>347</v>
      </c>
      <c r="BL71" s="88" t="s">
        <v>347</v>
      </c>
      <c r="BM71" s="88" t="s">
        <v>347</v>
      </c>
      <c r="BN71" s="88" t="s">
        <v>347</v>
      </c>
      <c r="BO71" s="88" t="s">
        <v>347</v>
      </c>
      <c r="BP71" s="88" t="s">
        <v>347</v>
      </c>
      <c r="BQ71" s="88" t="s">
        <v>347</v>
      </c>
      <c r="BR71" s="88" t="s">
        <v>347</v>
      </c>
      <c r="BS71" s="88" t="s">
        <v>347</v>
      </c>
      <c r="BT71" s="88" t="s">
        <v>347</v>
      </c>
      <c r="BU71" s="88" t="s">
        <v>347</v>
      </c>
      <c r="BV71" s="88" t="s">
        <v>347</v>
      </c>
      <c r="BW71" s="88" t="s">
        <v>347</v>
      </c>
      <c r="BX71" s="88" t="s">
        <v>347</v>
      </c>
      <c r="BY71" s="88" t="s">
        <v>347</v>
      </c>
      <c r="BZ71" s="91" t="s">
        <v>347</v>
      </c>
    </row>
    <row r="72" spans="1:78" s="2" customFormat="1" x14ac:dyDescent="0.25">
      <c r="A72" s="109" t="s">
        <v>294</v>
      </c>
      <c r="B72" s="88" t="s">
        <v>346</v>
      </c>
      <c r="C72" s="88" t="s">
        <v>347</v>
      </c>
      <c r="D72" s="88" t="s">
        <v>347</v>
      </c>
      <c r="E72" s="88" t="s">
        <v>346</v>
      </c>
      <c r="F72" s="88" t="s">
        <v>347</v>
      </c>
      <c r="G72" s="88" t="s">
        <v>347</v>
      </c>
      <c r="H72" s="88" t="s">
        <v>347</v>
      </c>
      <c r="I72" s="88" t="s">
        <v>347</v>
      </c>
      <c r="J72" s="91" t="s">
        <v>347</v>
      </c>
      <c r="K72" s="109" t="s">
        <v>294</v>
      </c>
      <c r="L72" s="88" t="str">
        <f>LOOKUP($K72,PantheonList!$A$18:$A$139,PantheonList!$B$18:$B$139)</f>
        <v>Command</v>
      </c>
      <c r="M72" s="88" t="str">
        <f>LOOKUP($K72,PantheonList!$A$18:$A$139,PantheonList!$C$18:$C$139)</f>
        <v>Integrity</v>
      </c>
      <c r="N72" s="88" t="str">
        <f>LOOKUP($K72,PantheonList!$A$18:$A$139,PantheonList!$D$18:$D$139)</f>
        <v>Investigation</v>
      </c>
      <c r="O72" s="88" t="str">
        <f>LOOKUP($K72,PantheonList!$A$18:$A$139,PantheonList!$E$18:$E$139)</f>
        <v>Melee</v>
      </c>
      <c r="P72" s="88" t="str">
        <f>LOOKUP($K72,PantheonList!$A$18:$A$139,PantheonList!$F$18:$F$139)</f>
        <v>Politics</v>
      </c>
      <c r="Q72" s="88" t="str">
        <f>LOOKUP($K72,PantheonList!$A$18:$A$139,PantheonList!$G$18:$G$139)</f>
        <v>Presence</v>
      </c>
      <c r="R72" s="88" t="str">
        <f t="shared" ref="R72:AA81" si="14">IF(OR($Q72=R$1,$P72=R$1,$O72=R$1,$N72=R$1,$M72=R$1,$L72=R$1),"Yes","No")</f>
        <v>No</v>
      </c>
      <c r="S72" s="88" t="str">
        <f t="shared" si="14"/>
        <v>No</v>
      </c>
      <c r="T72" s="88" t="str">
        <f t="shared" si="14"/>
        <v>No</v>
      </c>
      <c r="U72" s="88" t="str">
        <f t="shared" si="14"/>
        <v>No</v>
      </c>
      <c r="V72" s="88" t="str">
        <f t="shared" si="14"/>
        <v>No</v>
      </c>
      <c r="W72" s="88" t="str">
        <f t="shared" si="14"/>
        <v>No</v>
      </c>
      <c r="X72" s="88" t="str">
        <f t="shared" si="14"/>
        <v>Yes</v>
      </c>
      <c r="Y72" s="88" t="str">
        <f t="shared" si="14"/>
        <v>No</v>
      </c>
      <c r="Z72" s="88" t="str">
        <f t="shared" si="14"/>
        <v>No</v>
      </c>
      <c r="AA72" s="88" t="str">
        <f t="shared" si="14"/>
        <v>No</v>
      </c>
      <c r="AB72" s="88" t="str">
        <f t="shared" ref="AB72:AO81" si="15">IF(OR($Q72=AB$1,$P72=AB$1,$O72=AB$1,$N72=AB$1,$M72=AB$1,$L72=AB$1),"Yes","No")</f>
        <v>No</v>
      </c>
      <c r="AC72" s="88" t="str">
        <f t="shared" si="15"/>
        <v>Yes</v>
      </c>
      <c r="AD72" s="88" t="str">
        <f t="shared" si="15"/>
        <v>Yes</v>
      </c>
      <c r="AE72" s="88" t="str">
        <f t="shared" si="15"/>
        <v>No</v>
      </c>
      <c r="AF72" s="88" t="str">
        <f t="shared" si="15"/>
        <v>No</v>
      </c>
      <c r="AG72" s="88" t="str">
        <f t="shared" si="15"/>
        <v>No</v>
      </c>
      <c r="AH72" s="88" t="str">
        <f t="shared" si="15"/>
        <v>Yes</v>
      </c>
      <c r="AI72" s="88" t="str">
        <f t="shared" si="15"/>
        <v>No</v>
      </c>
      <c r="AJ72" s="88" t="str">
        <f t="shared" si="15"/>
        <v>Yes</v>
      </c>
      <c r="AK72" s="88" t="str">
        <f t="shared" si="15"/>
        <v>Yes</v>
      </c>
      <c r="AL72" s="88" t="str">
        <f t="shared" si="15"/>
        <v>No</v>
      </c>
      <c r="AM72" s="88" t="str">
        <f t="shared" si="15"/>
        <v>No</v>
      </c>
      <c r="AN72" s="88" t="str">
        <f t="shared" si="15"/>
        <v>No</v>
      </c>
      <c r="AO72" s="91" t="str">
        <f t="shared" si="15"/>
        <v>No</v>
      </c>
      <c r="AP72" s="109" t="s">
        <v>294</v>
      </c>
      <c r="AQ72" s="88">
        <v>72</v>
      </c>
      <c r="AR72" s="88" t="s">
        <v>347</v>
      </c>
      <c r="AS72" s="88" t="s">
        <v>347</v>
      </c>
      <c r="AT72" s="88" t="s">
        <v>346</v>
      </c>
      <c r="AU72" s="88" t="s">
        <v>347</v>
      </c>
      <c r="AV72" s="88" t="s">
        <v>347</v>
      </c>
      <c r="AW72" s="88" t="s">
        <v>347</v>
      </c>
      <c r="AX72" s="88" t="s">
        <v>347</v>
      </c>
      <c r="AY72" s="88" t="s">
        <v>347</v>
      </c>
      <c r="AZ72" s="88" t="s">
        <v>347</v>
      </c>
      <c r="BA72" s="88" t="s">
        <v>347</v>
      </c>
      <c r="BB72" s="88" t="s">
        <v>347</v>
      </c>
      <c r="BC72" s="88" t="s">
        <v>346</v>
      </c>
      <c r="BD72" s="88" t="s">
        <v>347</v>
      </c>
      <c r="BE72" s="88" t="s">
        <v>347</v>
      </c>
      <c r="BF72" s="88" t="s">
        <v>347</v>
      </c>
      <c r="BG72" s="88" t="s">
        <v>347</v>
      </c>
      <c r="BH72" s="88" t="s">
        <v>347</v>
      </c>
      <c r="BI72" s="88" t="s">
        <v>347</v>
      </c>
      <c r="BJ72" s="88" t="s">
        <v>347</v>
      </c>
      <c r="BK72" s="88" t="s">
        <v>347</v>
      </c>
      <c r="BL72" s="88" t="s">
        <v>346</v>
      </c>
      <c r="BM72" s="88" t="s">
        <v>347</v>
      </c>
      <c r="BN72" s="88" t="s">
        <v>347</v>
      </c>
      <c r="BO72" s="88" t="s">
        <v>347</v>
      </c>
      <c r="BP72" s="88" t="s">
        <v>347</v>
      </c>
      <c r="BQ72" s="88" t="s">
        <v>346</v>
      </c>
      <c r="BR72" s="88" t="s">
        <v>347</v>
      </c>
      <c r="BS72" s="88" t="s">
        <v>347</v>
      </c>
      <c r="BT72" s="88" t="s">
        <v>347</v>
      </c>
      <c r="BU72" s="88" t="s">
        <v>347</v>
      </c>
      <c r="BV72" s="88" t="s">
        <v>346</v>
      </c>
      <c r="BW72" s="88" t="s">
        <v>347</v>
      </c>
      <c r="BX72" s="88" t="s">
        <v>347</v>
      </c>
      <c r="BY72" s="88" t="s">
        <v>346</v>
      </c>
      <c r="BZ72" s="91" t="s">
        <v>347</v>
      </c>
    </row>
    <row r="73" spans="1:78" s="2" customFormat="1" x14ac:dyDescent="0.25">
      <c r="A73" s="109" t="s">
        <v>687</v>
      </c>
      <c r="B73" s="88" t="s">
        <v>346</v>
      </c>
      <c r="C73" s="88" t="s">
        <v>347</v>
      </c>
      <c r="D73" s="88" t="s">
        <v>347</v>
      </c>
      <c r="E73" s="88" t="s">
        <v>347</v>
      </c>
      <c r="F73" s="88" t="s">
        <v>347</v>
      </c>
      <c r="G73" s="88" t="s">
        <v>346</v>
      </c>
      <c r="H73" s="88" t="s">
        <v>347</v>
      </c>
      <c r="I73" s="88" t="s">
        <v>347</v>
      </c>
      <c r="J73" s="91" t="s">
        <v>347</v>
      </c>
      <c r="K73" s="109" t="s">
        <v>687</v>
      </c>
      <c r="L73" s="88" t="str">
        <f>LOOKUP($K73,PantheonList!$A$18:$A$139,PantheonList!$B$18:$B$139)</f>
        <v>Animal Ken</v>
      </c>
      <c r="M73" s="88" t="str">
        <f>LOOKUP($K73,PantheonList!$A$18:$A$139,PantheonList!$C$18:$C$139)</f>
        <v>Brawl</v>
      </c>
      <c r="N73" s="88" t="str">
        <f>LOOKUP($K73,PantheonList!$A$18:$A$139,PantheonList!$D$18:$D$139)</f>
        <v>Fortitude</v>
      </c>
      <c r="O73" s="88" t="str">
        <f>LOOKUP($K73,PantheonList!$A$18:$A$139,PantheonList!$E$18:$E$139)</f>
        <v>Marksmanship</v>
      </c>
      <c r="P73" s="88" t="str">
        <f>LOOKUP($K73,PantheonList!$A$18:$A$139,PantheonList!$F$18:$F$139)</f>
        <v>Melee</v>
      </c>
      <c r="Q73" s="88" t="str">
        <f>LOOKUP($K73,PantheonList!$A$18:$A$139,PantheonList!$G$18:$G$139)</f>
        <v>Thrown</v>
      </c>
      <c r="R73" s="88" t="str">
        <f t="shared" si="14"/>
        <v>No</v>
      </c>
      <c r="S73" s="88" t="str">
        <f t="shared" si="14"/>
        <v>Yes</v>
      </c>
      <c r="T73" s="88" t="str">
        <f t="shared" si="14"/>
        <v>No</v>
      </c>
      <c r="U73" s="88" t="str">
        <f t="shared" si="14"/>
        <v>No</v>
      </c>
      <c r="V73" s="88" t="str">
        <f t="shared" si="14"/>
        <v>No</v>
      </c>
      <c r="W73" s="88" t="str">
        <f t="shared" si="14"/>
        <v>Yes</v>
      </c>
      <c r="X73" s="88" t="str">
        <f t="shared" si="14"/>
        <v>No</v>
      </c>
      <c r="Y73" s="88" t="str">
        <f t="shared" si="14"/>
        <v>No</v>
      </c>
      <c r="Z73" s="88" t="str">
        <f t="shared" si="14"/>
        <v>No</v>
      </c>
      <c r="AA73" s="88" t="str">
        <f t="shared" si="14"/>
        <v>No</v>
      </c>
      <c r="AB73" s="88" t="str">
        <f t="shared" si="15"/>
        <v>Yes</v>
      </c>
      <c r="AC73" s="88" t="str">
        <f t="shared" si="15"/>
        <v>No</v>
      </c>
      <c r="AD73" s="88" t="str">
        <f t="shared" si="15"/>
        <v>No</v>
      </c>
      <c r="AE73" s="88" t="str">
        <f t="shared" si="15"/>
        <v>No</v>
      </c>
      <c r="AF73" s="88" t="str">
        <f t="shared" si="15"/>
        <v>Yes</v>
      </c>
      <c r="AG73" s="88" t="str">
        <f t="shared" si="15"/>
        <v>No</v>
      </c>
      <c r="AH73" s="88" t="str">
        <f t="shared" si="15"/>
        <v>Yes</v>
      </c>
      <c r="AI73" s="88" t="str">
        <f t="shared" si="15"/>
        <v>No</v>
      </c>
      <c r="AJ73" s="88" t="str">
        <f t="shared" si="15"/>
        <v>No</v>
      </c>
      <c r="AK73" s="88" t="str">
        <f t="shared" si="15"/>
        <v>No</v>
      </c>
      <c r="AL73" s="88" t="str">
        <f t="shared" si="15"/>
        <v>No</v>
      </c>
      <c r="AM73" s="88" t="str">
        <f t="shared" si="15"/>
        <v>No</v>
      </c>
      <c r="AN73" s="88" t="str">
        <f t="shared" si="15"/>
        <v>No</v>
      </c>
      <c r="AO73" s="91" t="str">
        <f t="shared" si="15"/>
        <v>Yes</v>
      </c>
      <c r="AP73" s="109" t="s">
        <v>687</v>
      </c>
      <c r="AQ73" s="88">
        <v>73</v>
      </c>
      <c r="AR73" s="88" t="s">
        <v>346</v>
      </c>
      <c r="AS73" s="88" t="s">
        <v>347</v>
      </c>
      <c r="AT73" s="88" t="s">
        <v>347</v>
      </c>
      <c r="AU73" s="88" t="s">
        <v>346</v>
      </c>
      <c r="AV73" s="88" t="s">
        <v>347</v>
      </c>
      <c r="AW73" s="88" t="s">
        <v>347</v>
      </c>
      <c r="AX73" s="88" t="s">
        <v>347</v>
      </c>
      <c r="AY73" s="88" t="s">
        <v>346</v>
      </c>
      <c r="AZ73" s="88" t="s">
        <v>347</v>
      </c>
      <c r="BA73" s="88" t="s">
        <v>346</v>
      </c>
      <c r="BB73" s="88" t="s">
        <v>346</v>
      </c>
      <c r="BC73" s="88" t="s">
        <v>347</v>
      </c>
      <c r="BD73" s="88" t="s">
        <v>347</v>
      </c>
      <c r="BE73" s="88" t="s">
        <v>347</v>
      </c>
      <c r="BF73" s="88" t="s">
        <v>347</v>
      </c>
      <c r="BG73" s="88" t="s">
        <v>347</v>
      </c>
      <c r="BH73" s="88" t="s">
        <v>347</v>
      </c>
      <c r="BI73" s="88" t="s">
        <v>347</v>
      </c>
      <c r="BJ73" s="88" t="s">
        <v>347</v>
      </c>
      <c r="BK73" s="88" t="s">
        <v>347</v>
      </c>
      <c r="BL73" s="88" t="s">
        <v>347</v>
      </c>
      <c r="BM73" s="88" t="s">
        <v>347</v>
      </c>
      <c r="BN73" s="88" t="s">
        <v>347</v>
      </c>
      <c r="BO73" s="88" t="s">
        <v>347</v>
      </c>
      <c r="BP73" s="88" t="s">
        <v>346</v>
      </c>
      <c r="BQ73" s="88" t="s">
        <v>347</v>
      </c>
      <c r="BR73" s="88" t="s">
        <v>347</v>
      </c>
      <c r="BS73" s="88" t="s">
        <v>347</v>
      </c>
      <c r="BT73" s="88" t="s">
        <v>347</v>
      </c>
      <c r="BU73" s="88" t="s">
        <v>347</v>
      </c>
      <c r="BV73" s="88" t="s">
        <v>347</v>
      </c>
      <c r="BW73" s="88" t="s">
        <v>347</v>
      </c>
      <c r="BX73" s="88" t="s">
        <v>347</v>
      </c>
      <c r="BY73" s="88" t="s">
        <v>346</v>
      </c>
      <c r="BZ73" s="91" t="s">
        <v>347</v>
      </c>
    </row>
    <row r="74" spans="1:78" s="2" customFormat="1" x14ac:dyDescent="0.25">
      <c r="A74" s="109" t="s">
        <v>228</v>
      </c>
      <c r="B74" s="88" t="s">
        <v>346</v>
      </c>
      <c r="C74" s="88" t="s">
        <v>346</v>
      </c>
      <c r="D74" s="88" t="s">
        <v>347</v>
      </c>
      <c r="E74" s="88" t="s">
        <v>347</v>
      </c>
      <c r="F74" s="88" t="s">
        <v>347</v>
      </c>
      <c r="G74" s="88" t="s">
        <v>347</v>
      </c>
      <c r="H74" s="88" t="s">
        <v>347</v>
      </c>
      <c r="I74" s="88" t="s">
        <v>347</v>
      </c>
      <c r="J74" s="91" t="s">
        <v>346</v>
      </c>
      <c r="K74" s="109" t="s">
        <v>228</v>
      </c>
      <c r="L74" s="88" t="str">
        <f>LOOKUP($K74,PantheonList!$A$18:$A$139,PantheonList!$B$18:$B$139)</f>
        <v>Athletics</v>
      </c>
      <c r="M74" s="88" t="str">
        <f>LOOKUP($K74,PantheonList!$A$18:$A$139,PantheonList!$C$18:$C$139)</f>
        <v>Brawl</v>
      </c>
      <c r="N74" s="88" t="str">
        <f>LOOKUP($K74,PantheonList!$A$18:$A$139,PantheonList!$D$18:$D$139)</f>
        <v>Control</v>
      </c>
      <c r="O74" s="88" t="str">
        <f>LOOKUP($K74,PantheonList!$A$18:$A$139,PantheonList!$E$18:$E$139)</f>
        <v>Larceny</v>
      </c>
      <c r="P74" s="88" t="str">
        <f>LOOKUP($K74,PantheonList!$A$18:$A$139,PantheonList!$F$18:$F$139)</f>
        <v>Melee</v>
      </c>
      <c r="Q74" s="88" t="str">
        <f>LOOKUP($K74,PantheonList!$A$18:$A$139,PantheonList!$G$18:$G$139)</f>
        <v>Thrown</v>
      </c>
      <c r="R74" s="88" t="str">
        <f t="shared" si="14"/>
        <v>No</v>
      </c>
      <c r="S74" s="88" t="str">
        <f t="shared" si="14"/>
        <v>No</v>
      </c>
      <c r="T74" s="88" t="str">
        <f t="shared" si="14"/>
        <v>No</v>
      </c>
      <c r="U74" s="88" t="str">
        <f t="shared" si="14"/>
        <v>Yes</v>
      </c>
      <c r="V74" s="88" t="str">
        <f t="shared" si="14"/>
        <v>No</v>
      </c>
      <c r="W74" s="88" t="str">
        <f t="shared" si="14"/>
        <v>Yes</v>
      </c>
      <c r="X74" s="88" t="str">
        <f t="shared" si="14"/>
        <v>No</v>
      </c>
      <c r="Y74" s="88" t="str">
        <f t="shared" si="14"/>
        <v>Yes</v>
      </c>
      <c r="Z74" s="88" t="str">
        <f t="shared" si="14"/>
        <v>No</v>
      </c>
      <c r="AA74" s="88" t="str">
        <f t="shared" si="14"/>
        <v>No</v>
      </c>
      <c r="AB74" s="88" t="str">
        <f t="shared" si="15"/>
        <v>No</v>
      </c>
      <c r="AC74" s="88" t="str">
        <f t="shared" si="15"/>
        <v>No</v>
      </c>
      <c r="AD74" s="88" t="str">
        <f t="shared" si="15"/>
        <v>No</v>
      </c>
      <c r="AE74" s="88" t="str">
        <f t="shared" si="15"/>
        <v>Yes</v>
      </c>
      <c r="AF74" s="88" t="str">
        <f t="shared" si="15"/>
        <v>No</v>
      </c>
      <c r="AG74" s="88" t="str">
        <f t="shared" si="15"/>
        <v>No</v>
      </c>
      <c r="AH74" s="88" t="str">
        <f t="shared" si="15"/>
        <v>Yes</v>
      </c>
      <c r="AI74" s="88" t="str">
        <f t="shared" si="15"/>
        <v>No</v>
      </c>
      <c r="AJ74" s="88" t="str">
        <f t="shared" si="15"/>
        <v>No</v>
      </c>
      <c r="AK74" s="88" t="str">
        <f t="shared" si="15"/>
        <v>No</v>
      </c>
      <c r="AL74" s="88" t="str">
        <f t="shared" si="15"/>
        <v>No</v>
      </c>
      <c r="AM74" s="88" t="str">
        <f t="shared" si="15"/>
        <v>No</v>
      </c>
      <c r="AN74" s="88" t="str">
        <f t="shared" si="15"/>
        <v>No</v>
      </c>
      <c r="AO74" s="91" t="str">
        <f t="shared" si="15"/>
        <v>Yes</v>
      </c>
      <c r="AP74" s="109" t="s">
        <v>228</v>
      </c>
      <c r="AQ74" s="88">
        <v>74</v>
      </c>
      <c r="AR74" s="88" t="s">
        <v>347</v>
      </c>
      <c r="AS74" s="88" t="s">
        <v>347</v>
      </c>
      <c r="AT74" s="88" t="s">
        <v>347</v>
      </c>
      <c r="AU74" s="88" t="s">
        <v>347</v>
      </c>
      <c r="AV74" s="88" t="s">
        <v>347</v>
      </c>
      <c r="AW74" s="88" t="s">
        <v>347</v>
      </c>
      <c r="AX74" s="88" t="s">
        <v>347</v>
      </c>
      <c r="AY74" s="88" t="s">
        <v>347</v>
      </c>
      <c r="AZ74" s="88" t="s">
        <v>347</v>
      </c>
      <c r="BA74" s="88" t="s">
        <v>347</v>
      </c>
      <c r="BB74" s="88" t="s">
        <v>347</v>
      </c>
      <c r="BC74" s="88" t="s">
        <v>346</v>
      </c>
      <c r="BD74" s="88" t="s">
        <v>347</v>
      </c>
      <c r="BE74" s="88" t="s">
        <v>347</v>
      </c>
      <c r="BF74" s="88" t="s">
        <v>347</v>
      </c>
      <c r="BG74" s="88" t="s">
        <v>347</v>
      </c>
      <c r="BH74" s="88" t="s">
        <v>347</v>
      </c>
      <c r="BI74" s="88" t="s">
        <v>347</v>
      </c>
      <c r="BJ74" s="88" t="s">
        <v>347</v>
      </c>
      <c r="BK74" s="88" t="s">
        <v>347</v>
      </c>
      <c r="BL74" s="88" t="s">
        <v>347</v>
      </c>
      <c r="BM74" s="88" t="s">
        <v>347</v>
      </c>
      <c r="BN74" s="88" t="s">
        <v>347</v>
      </c>
      <c r="BO74" s="88" t="s">
        <v>347</v>
      </c>
      <c r="BP74" s="88" t="s">
        <v>347</v>
      </c>
      <c r="BQ74" s="88" t="s">
        <v>347</v>
      </c>
      <c r="BR74" s="88" t="s">
        <v>347</v>
      </c>
      <c r="BS74" s="88" t="s">
        <v>347</v>
      </c>
      <c r="BT74" s="88" t="s">
        <v>346</v>
      </c>
      <c r="BU74" s="88" t="s">
        <v>347</v>
      </c>
      <c r="BV74" s="88" t="s">
        <v>347</v>
      </c>
      <c r="BW74" s="88" t="s">
        <v>346</v>
      </c>
      <c r="BX74" s="88" t="s">
        <v>347</v>
      </c>
      <c r="BY74" s="88" t="s">
        <v>346</v>
      </c>
      <c r="BZ74" s="91" t="s">
        <v>347</v>
      </c>
    </row>
    <row r="75" spans="1:78" s="2" customFormat="1" x14ac:dyDescent="0.25">
      <c r="A75" s="109" t="s">
        <v>198</v>
      </c>
      <c r="B75" s="88" t="s">
        <v>347</v>
      </c>
      <c r="C75" s="88" t="s">
        <v>347</v>
      </c>
      <c r="D75" s="88" t="s">
        <v>346</v>
      </c>
      <c r="E75" s="88" t="s">
        <v>347</v>
      </c>
      <c r="F75" s="88" t="s">
        <v>347</v>
      </c>
      <c r="G75" s="88" t="s">
        <v>347</v>
      </c>
      <c r="H75" s="88" t="s">
        <v>347</v>
      </c>
      <c r="I75" s="88" t="s">
        <v>347</v>
      </c>
      <c r="J75" s="91" t="s">
        <v>347</v>
      </c>
      <c r="K75" s="109" t="s">
        <v>198</v>
      </c>
      <c r="L75" s="88" t="str">
        <f>LOOKUP($K75,PantheonList!$A$18:$A$139,PantheonList!$B$18:$B$139)</f>
        <v>Athletics</v>
      </c>
      <c r="M75" s="88" t="str">
        <f>LOOKUP($K75,PantheonList!$A$18:$A$139,PantheonList!$C$18:$C$139)</f>
        <v>Awareness</v>
      </c>
      <c r="N75" s="88" t="str">
        <f>LOOKUP($K75,PantheonList!$A$18:$A$139,PantheonList!$D$18:$D$139)</f>
        <v>Control</v>
      </c>
      <c r="O75" s="88" t="str">
        <f>LOOKUP($K75,PantheonList!$A$18:$A$139,PantheonList!$E$18:$E$139)</f>
        <v>Fortitude</v>
      </c>
      <c r="P75" s="88" t="str">
        <f>LOOKUP($K75,PantheonList!$A$18:$A$139,PantheonList!$F$18:$F$139)</f>
        <v>Stealth</v>
      </c>
      <c r="Q75" s="88" t="str">
        <f>LOOKUP($K75,PantheonList!$A$18:$A$139,PantheonList!$G$18:$G$139)</f>
        <v>Survival</v>
      </c>
      <c r="R75" s="88" t="str">
        <f t="shared" si="14"/>
        <v>No</v>
      </c>
      <c r="S75" s="88" t="str">
        <f t="shared" si="14"/>
        <v>No</v>
      </c>
      <c r="T75" s="88" t="str">
        <f t="shared" si="14"/>
        <v>No</v>
      </c>
      <c r="U75" s="88" t="str">
        <f t="shared" si="14"/>
        <v>Yes</v>
      </c>
      <c r="V75" s="88" t="str">
        <f t="shared" si="14"/>
        <v>Yes</v>
      </c>
      <c r="W75" s="88" t="str">
        <f t="shared" si="14"/>
        <v>No</v>
      </c>
      <c r="X75" s="88" t="str">
        <f t="shared" si="14"/>
        <v>No</v>
      </c>
      <c r="Y75" s="88" t="str">
        <f t="shared" si="14"/>
        <v>Yes</v>
      </c>
      <c r="Z75" s="88" t="str">
        <f t="shared" si="14"/>
        <v>No</v>
      </c>
      <c r="AA75" s="88" t="str">
        <f t="shared" si="14"/>
        <v>No</v>
      </c>
      <c r="AB75" s="88" t="str">
        <f t="shared" si="15"/>
        <v>Yes</v>
      </c>
      <c r="AC75" s="88" t="str">
        <f t="shared" si="15"/>
        <v>No</v>
      </c>
      <c r="AD75" s="88" t="str">
        <f t="shared" si="15"/>
        <v>No</v>
      </c>
      <c r="AE75" s="88" t="str">
        <f t="shared" si="15"/>
        <v>No</v>
      </c>
      <c r="AF75" s="88" t="str">
        <f t="shared" si="15"/>
        <v>No</v>
      </c>
      <c r="AG75" s="88" t="str">
        <f t="shared" si="15"/>
        <v>No</v>
      </c>
      <c r="AH75" s="88" t="str">
        <f t="shared" si="15"/>
        <v>No</v>
      </c>
      <c r="AI75" s="88" t="str">
        <f t="shared" si="15"/>
        <v>No</v>
      </c>
      <c r="AJ75" s="88" t="str">
        <f t="shared" si="15"/>
        <v>No</v>
      </c>
      <c r="AK75" s="88" t="str">
        <f t="shared" si="15"/>
        <v>No</v>
      </c>
      <c r="AL75" s="88" t="str">
        <f t="shared" si="15"/>
        <v>No</v>
      </c>
      <c r="AM75" s="88" t="str">
        <f t="shared" si="15"/>
        <v>Yes</v>
      </c>
      <c r="AN75" s="88" t="str">
        <f t="shared" si="15"/>
        <v>Yes</v>
      </c>
      <c r="AO75" s="91" t="str">
        <f t="shared" si="15"/>
        <v>No</v>
      </c>
      <c r="AP75" s="109" t="s">
        <v>198</v>
      </c>
      <c r="AQ75" s="88">
        <v>75</v>
      </c>
      <c r="AR75" s="88" t="s">
        <v>347</v>
      </c>
      <c r="AS75" s="88" t="s">
        <v>347</v>
      </c>
      <c r="AT75" s="88" t="s">
        <v>347</v>
      </c>
      <c r="AU75" s="88" t="s">
        <v>347</v>
      </c>
      <c r="AV75" s="88" t="s">
        <v>347</v>
      </c>
      <c r="AW75" s="88" t="s">
        <v>347</v>
      </c>
      <c r="AX75" s="88" t="s">
        <v>347</v>
      </c>
      <c r="AY75" s="88" t="s">
        <v>347</v>
      </c>
      <c r="AZ75" s="88" t="s">
        <v>347</v>
      </c>
      <c r="BA75" s="88" t="s">
        <v>347</v>
      </c>
      <c r="BB75" s="88" t="s">
        <v>347</v>
      </c>
      <c r="BC75" s="88" t="s">
        <v>346</v>
      </c>
      <c r="BD75" s="88" t="s">
        <v>347</v>
      </c>
      <c r="BE75" s="88" t="s">
        <v>347</v>
      </c>
      <c r="BF75" s="88" t="s">
        <v>347</v>
      </c>
      <c r="BG75" s="88" t="s">
        <v>347</v>
      </c>
      <c r="BH75" s="88" t="s">
        <v>347</v>
      </c>
      <c r="BI75" s="88" t="s">
        <v>347</v>
      </c>
      <c r="BJ75" s="88" t="s">
        <v>347</v>
      </c>
      <c r="BK75" s="88" t="s">
        <v>346</v>
      </c>
      <c r="BL75" s="88" t="s">
        <v>347</v>
      </c>
      <c r="BM75" s="88" t="s">
        <v>347</v>
      </c>
      <c r="BN75" s="88" t="s">
        <v>347</v>
      </c>
      <c r="BO75" s="88" t="s">
        <v>347</v>
      </c>
      <c r="BP75" s="88" t="s">
        <v>347</v>
      </c>
      <c r="BQ75" s="88" t="s">
        <v>347</v>
      </c>
      <c r="BR75" s="88" t="s">
        <v>347</v>
      </c>
      <c r="BS75" s="88" t="s">
        <v>347</v>
      </c>
      <c r="BT75" s="88" t="s">
        <v>346</v>
      </c>
      <c r="BU75" s="88" t="s">
        <v>347</v>
      </c>
      <c r="BV75" s="88" t="s">
        <v>347</v>
      </c>
      <c r="BW75" s="88" t="s">
        <v>347</v>
      </c>
      <c r="BX75" s="88" t="s">
        <v>347</v>
      </c>
      <c r="BY75" s="88" t="s">
        <v>347</v>
      </c>
      <c r="BZ75" s="91" t="s">
        <v>346</v>
      </c>
    </row>
    <row r="76" spans="1:78" s="2" customFormat="1" x14ac:dyDescent="0.25">
      <c r="A76" s="109" t="s">
        <v>287</v>
      </c>
      <c r="B76" s="88" t="s">
        <v>346</v>
      </c>
      <c r="C76" s="88" t="s">
        <v>347</v>
      </c>
      <c r="D76" s="88" t="s">
        <v>347</v>
      </c>
      <c r="E76" s="88" t="s">
        <v>346</v>
      </c>
      <c r="F76" s="88" t="s">
        <v>347</v>
      </c>
      <c r="G76" s="88" t="s">
        <v>347</v>
      </c>
      <c r="H76" s="88" t="s">
        <v>346</v>
      </c>
      <c r="I76" s="88" t="s">
        <v>347</v>
      </c>
      <c r="J76" s="91" t="s">
        <v>347</v>
      </c>
      <c r="K76" s="109" t="s">
        <v>287</v>
      </c>
      <c r="L76" s="88" t="str">
        <f>LOOKUP($K76,PantheonList!$A$18:$A$139,PantheonList!$B$18:$B$139)</f>
        <v>Athletics</v>
      </c>
      <c r="M76" s="88" t="str">
        <f>LOOKUP($K76,PantheonList!$A$18:$A$139,PantheonList!$C$18:$C$139)</f>
        <v>Command</v>
      </c>
      <c r="N76" s="88" t="str">
        <f>LOOKUP($K76,PantheonList!$A$18:$A$139,PantheonList!$D$18:$D$139)</f>
        <v>Integrity</v>
      </c>
      <c r="O76" s="88" t="str">
        <f>LOOKUP($K76,PantheonList!$A$18:$A$139,PantheonList!$E$18:$E$139)</f>
        <v>Melee</v>
      </c>
      <c r="P76" s="88" t="str">
        <f>LOOKUP($K76,PantheonList!$A$18:$A$139,PantheonList!$F$18:$F$139)</f>
        <v>Presence</v>
      </c>
      <c r="Q76" s="88" t="str">
        <f>LOOKUP($K76,PantheonList!$A$18:$A$139,PantheonList!$G$18:$G$139)</f>
        <v>Thrown</v>
      </c>
      <c r="R76" s="88" t="str">
        <f t="shared" si="14"/>
        <v>No</v>
      </c>
      <c r="S76" s="88" t="str">
        <f t="shared" si="14"/>
        <v>No</v>
      </c>
      <c r="T76" s="88" t="str">
        <f t="shared" si="14"/>
        <v>No</v>
      </c>
      <c r="U76" s="88" t="str">
        <f t="shared" si="14"/>
        <v>Yes</v>
      </c>
      <c r="V76" s="88" t="str">
        <f t="shared" si="14"/>
        <v>No</v>
      </c>
      <c r="W76" s="88" t="str">
        <f t="shared" si="14"/>
        <v>No</v>
      </c>
      <c r="X76" s="88" t="str">
        <f t="shared" si="14"/>
        <v>Yes</v>
      </c>
      <c r="Y76" s="88" t="str">
        <f t="shared" si="14"/>
        <v>No</v>
      </c>
      <c r="Z76" s="88" t="str">
        <f t="shared" si="14"/>
        <v>No</v>
      </c>
      <c r="AA76" s="88" t="str">
        <f t="shared" si="14"/>
        <v>No</v>
      </c>
      <c r="AB76" s="88" t="str">
        <f t="shared" si="15"/>
        <v>No</v>
      </c>
      <c r="AC76" s="88" t="str">
        <f t="shared" si="15"/>
        <v>Yes</v>
      </c>
      <c r="AD76" s="88" t="str">
        <f t="shared" si="15"/>
        <v>No</v>
      </c>
      <c r="AE76" s="88" t="str">
        <f t="shared" si="15"/>
        <v>No</v>
      </c>
      <c r="AF76" s="88" t="str">
        <f t="shared" si="15"/>
        <v>No</v>
      </c>
      <c r="AG76" s="88" t="str">
        <f t="shared" si="15"/>
        <v>No</v>
      </c>
      <c r="AH76" s="88" t="str">
        <f t="shared" si="15"/>
        <v>Yes</v>
      </c>
      <c r="AI76" s="88" t="str">
        <f t="shared" si="15"/>
        <v>No</v>
      </c>
      <c r="AJ76" s="88" t="str">
        <f t="shared" si="15"/>
        <v>No</v>
      </c>
      <c r="AK76" s="88" t="str">
        <f t="shared" si="15"/>
        <v>Yes</v>
      </c>
      <c r="AL76" s="88" t="str">
        <f t="shared" si="15"/>
        <v>No</v>
      </c>
      <c r="AM76" s="88" t="str">
        <f t="shared" si="15"/>
        <v>No</v>
      </c>
      <c r="AN76" s="88" t="str">
        <f t="shared" si="15"/>
        <v>No</v>
      </c>
      <c r="AO76" s="91" t="str">
        <f t="shared" si="15"/>
        <v>Yes</v>
      </c>
      <c r="AP76" s="109" t="s">
        <v>287</v>
      </c>
      <c r="AQ76" s="88">
        <v>76</v>
      </c>
      <c r="AR76" s="88" t="s">
        <v>347</v>
      </c>
      <c r="AS76" s="88" t="s">
        <v>347</v>
      </c>
      <c r="AT76" s="88" t="s">
        <v>347</v>
      </c>
      <c r="AU76" s="88" t="s">
        <v>347</v>
      </c>
      <c r="AV76" s="88" t="s">
        <v>347</v>
      </c>
      <c r="AW76" s="88" t="s">
        <v>347</v>
      </c>
      <c r="AX76" s="88" t="s">
        <v>347</v>
      </c>
      <c r="AY76" s="88" t="s">
        <v>347</v>
      </c>
      <c r="AZ76" s="88" t="s">
        <v>347</v>
      </c>
      <c r="BA76" s="88" t="s">
        <v>346</v>
      </c>
      <c r="BB76" s="88" t="s">
        <v>347</v>
      </c>
      <c r="BC76" s="88" t="s">
        <v>347</v>
      </c>
      <c r="BD76" s="88" t="s">
        <v>347</v>
      </c>
      <c r="BE76" s="88" t="s">
        <v>346</v>
      </c>
      <c r="BF76" s="88" t="s">
        <v>347</v>
      </c>
      <c r="BG76" s="88" t="s">
        <v>347</v>
      </c>
      <c r="BH76" s="88" t="s">
        <v>347</v>
      </c>
      <c r="BI76" s="88" t="s">
        <v>347</v>
      </c>
      <c r="BJ76" s="88" t="s">
        <v>347</v>
      </c>
      <c r="BK76" s="88" t="s">
        <v>347</v>
      </c>
      <c r="BL76" s="88" t="s">
        <v>346</v>
      </c>
      <c r="BM76" s="88" t="s">
        <v>347</v>
      </c>
      <c r="BN76" s="88" t="s">
        <v>347</v>
      </c>
      <c r="BO76" s="88" t="s">
        <v>347</v>
      </c>
      <c r="BP76" s="88" t="s">
        <v>347</v>
      </c>
      <c r="BQ76" s="88" t="s">
        <v>347</v>
      </c>
      <c r="BR76" s="88" t="s">
        <v>347</v>
      </c>
      <c r="BS76" s="88" t="s">
        <v>347</v>
      </c>
      <c r="BT76" s="88" t="s">
        <v>347</v>
      </c>
      <c r="BU76" s="88" t="s">
        <v>347</v>
      </c>
      <c r="BV76" s="88" t="s">
        <v>347</v>
      </c>
      <c r="BW76" s="88" t="s">
        <v>347</v>
      </c>
      <c r="BX76" s="88" t="s">
        <v>347</v>
      </c>
      <c r="BY76" s="88" t="s">
        <v>346</v>
      </c>
      <c r="BZ76" s="91" t="s">
        <v>347</v>
      </c>
    </row>
    <row r="77" spans="1:78" s="2" customFormat="1" x14ac:dyDescent="0.25">
      <c r="A77" s="109" t="s">
        <v>229</v>
      </c>
      <c r="B77" s="88" t="s">
        <v>347</v>
      </c>
      <c r="C77" s="88" t="s">
        <v>347</v>
      </c>
      <c r="D77" s="88" t="s">
        <v>346</v>
      </c>
      <c r="E77" s="88" t="s">
        <v>347</v>
      </c>
      <c r="F77" s="88" t="s">
        <v>347</v>
      </c>
      <c r="G77" s="88" t="s">
        <v>347</v>
      </c>
      <c r="H77" s="88" t="s">
        <v>347</v>
      </c>
      <c r="I77" s="88" t="s">
        <v>346</v>
      </c>
      <c r="J77" s="91" t="s">
        <v>346</v>
      </c>
      <c r="K77" s="109" t="s">
        <v>229</v>
      </c>
      <c r="L77" s="88" t="str">
        <f>LOOKUP($K77,PantheonList!$A$18:$A$139,PantheonList!$B$18:$B$139)</f>
        <v>Academics</v>
      </c>
      <c r="M77" s="88" t="str">
        <f>LOOKUP($K77,PantheonList!$A$18:$A$139,PantheonList!$C$18:$C$139)</f>
        <v>Awareness</v>
      </c>
      <c r="N77" s="88" t="str">
        <f>LOOKUP($K77,PantheonList!$A$18:$A$139,PantheonList!$D$18:$D$139)</f>
        <v>Craft</v>
      </c>
      <c r="O77" s="88" t="str">
        <f>LOOKUP($K77,PantheonList!$A$18:$A$139,PantheonList!$E$18:$E$139)</f>
        <v>Integrity</v>
      </c>
      <c r="P77" s="88" t="str">
        <f>LOOKUP($K77,PantheonList!$A$18:$A$139,PantheonList!$F$18:$F$139)</f>
        <v>Investigation</v>
      </c>
      <c r="Q77" s="88" t="str">
        <f>LOOKUP($K77,PantheonList!$A$18:$A$139,PantheonList!$G$18:$G$139)</f>
        <v>Science</v>
      </c>
      <c r="R77" s="88" t="str">
        <f t="shared" si="14"/>
        <v>Yes</v>
      </c>
      <c r="S77" s="88" t="str">
        <f t="shared" si="14"/>
        <v>No</v>
      </c>
      <c r="T77" s="88" t="str">
        <f t="shared" si="14"/>
        <v>No</v>
      </c>
      <c r="U77" s="88" t="str">
        <f t="shared" si="14"/>
        <v>No</v>
      </c>
      <c r="V77" s="88" t="str">
        <f t="shared" si="14"/>
        <v>Yes</v>
      </c>
      <c r="W77" s="88" t="str">
        <f t="shared" si="14"/>
        <v>No</v>
      </c>
      <c r="X77" s="88" t="str">
        <f t="shared" si="14"/>
        <v>No</v>
      </c>
      <c r="Y77" s="88" t="str">
        <f t="shared" si="14"/>
        <v>No</v>
      </c>
      <c r="Z77" s="88" t="str">
        <f t="shared" si="14"/>
        <v>Yes</v>
      </c>
      <c r="AA77" s="88" t="str">
        <f t="shared" si="14"/>
        <v>No</v>
      </c>
      <c r="AB77" s="88" t="str">
        <f t="shared" si="15"/>
        <v>No</v>
      </c>
      <c r="AC77" s="88" t="str">
        <f t="shared" si="15"/>
        <v>Yes</v>
      </c>
      <c r="AD77" s="88" t="str">
        <f t="shared" si="15"/>
        <v>Yes</v>
      </c>
      <c r="AE77" s="88" t="str">
        <f t="shared" si="15"/>
        <v>No</v>
      </c>
      <c r="AF77" s="88" t="str">
        <f t="shared" si="15"/>
        <v>No</v>
      </c>
      <c r="AG77" s="88" t="str">
        <f t="shared" si="15"/>
        <v>No</v>
      </c>
      <c r="AH77" s="88" t="str">
        <f t="shared" si="15"/>
        <v>No</v>
      </c>
      <c r="AI77" s="88" t="str">
        <f t="shared" si="15"/>
        <v>No</v>
      </c>
      <c r="AJ77" s="88" t="str">
        <f t="shared" si="15"/>
        <v>No</v>
      </c>
      <c r="AK77" s="88" t="str">
        <f t="shared" si="15"/>
        <v>No</v>
      </c>
      <c r="AL77" s="88" t="str">
        <f t="shared" si="15"/>
        <v>Yes</v>
      </c>
      <c r="AM77" s="88" t="str">
        <f t="shared" si="15"/>
        <v>No</v>
      </c>
      <c r="AN77" s="88" t="str">
        <f t="shared" si="15"/>
        <v>No</v>
      </c>
      <c r="AO77" s="91" t="str">
        <f t="shared" si="15"/>
        <v>No</v>
      </c>
      <c r="AP77" s="109" t="s">
        <v>229</v>
      </c>
      <c r="AQ77" s="88">
        <v>77</v>
      </c>
      <c r="AR77" s="88" t="s">
        <v>347</v>
      </c>
      <c r="AS77" s="88" t="s">
        <v>347</v>
      </c>
      <c r="AT77" s="88" t="s">
        <v>347</v>
      </c>
      <c r="AU77" s="88" t="s">
        <v>347</v>
      </c>
      <c r="AV77" s="88" t="s">
        <v>347</v>
      </c>
      <c r="AW77" s="88" t="s">
        <v>347</v>
      </c>
      <c r="AX77" s="88" t="s">
        <v>347</v>
      </c>
      <c r="AY77" s="88" t="s">
        <v>347</v>
      </c>
      <c r="AZ77" s="88" t="s">
        <v>347</v>
      </c>
      <c r="BA77" s="88" t="s">
        <v>347</v>
      </c>
      <c r="BB77" s="88" t="s">
        <v>346</v>
      </c>
      <c r="BC77" s="88" t="s">
        <v>347</v>
      </c>
      <c r="BD77" s="88" t="s">
        <v>347</v>
      </c>
      <c r="BE77" s="88" t="s">
        <v>347</v>
      </c>
      <c r="BF77" s="88" t="s">
        <v>347</v>
      </c>
      <c r="BG77" s="88" t="s">
        <v>347</v>
      </c>
      <c r="BH77" s="88" t="s">
        <v>347</v>
      </c>
      <c r="BI77" s="88" t="s">
        <v>347</v>
      </c>
      <c r="BJ77" s="88" t="s">
        <v>347</v>
      </c>
      <c r="BK77" s="88" t="s">
        <v>347</v>
      </c>
      <c r="BL77" s="88" t="s">
        <v>347</v>
      </c>
      <c r="BM77" s="88" t="s">
        <v>346</v>
      </c>
      <c r="BN77" s="88" t="s">
        <v>346</v>
      </c>
      <c r="BO77" s="88" t="s">
        <v>347</v>
      </c>
      <c r="BP77" s="88" t="s">
        <v>347</v>
      </c>
      <c r="BQ77" s="88" t="s">
        <v>346</v>
      </c>
      <c r="BR77" s="88" t="s">
        <v>347</v>
      </c>
      <c r="BS77" s="88" t="s">
        <v>347</v>
      </c>
      <c r="BT77" s="88" t="s">
        <v>347</v>
      </c>
      <c r="BU77" s="88" t="s">
        <v>347</v>
      </c>
      <c r="BV77" s="88" t="s">
        <v>347</v>
      </c>
      <c r="BW77" s="88" t="s">
        <v>346</v>
      </c>
      <c r="BX77" s="88" t="s">
        <v>347</v>
      </c>
      <c r="BY77" s="88" t="s">
        <v>347</v>
      </c>
      <c r="BZ77" s="91" t="s">
        <v>346</v>
      </c>
    </row>
    <row r="78" spans="1:78" s="2" customFormat="1" x14ac:dyDescent="0.25">
      <c r="A78" s="109" t="s">
        <v>199</v>
      </c>
      <c r="B78" s="88" t="s">
        <v>347</v>
      </c>
      <c r="C78" s="88" t="s">
        <v>347</v>
      </c>
      <c r="D78" s="88" t="s">
        <v>346</v>
      </c>
      <c r="E78" s="88" t="s">
        <v>346</v>
      </c>
      <c r="F78" s="88" t="s">
        <v>346</v>
      </c>
      <c r="G78" s="88" t="s">
        <v>347</v>
      </c>
      <c r="H78" s="88" t="s">
        <v>346</v>
      </c>
      <c r="I78" s="88" t="s">
        <v>346</v>
      </c>
      <c r="J78" s="91" t="s">
        <v>346</v>
      </c>
      <c r="K78" s="109" t="s">
        <v>199</v>
      </c>
      <c r="L78" s="88" t="str">
        <f>LOOKUP($K78,PantheonList!$A$18:$A$139,PantheonList!$B$18:$B$139)</f>
        <v>Art</v>
      </c>
      <c r="M78" s="88" t="str">
        <f>LOOKUP($K78,PantheonList!$A$18:$A$139,PantheonList!$C$18:$C$139)</f>
        <v>Fortitude</v>
      </c>
      <c r="N78" s="88" t="str">
        <f>LOOKUP($K78,PantheonList!$A$18:$A$139,PantheonList!$D$18:$D$139)</f>
        <v>Integrity</v>
      </c>
      <c r="O78" s="88" t="str">
        <f>LOOKUP($K78,PantheonList!$A$18:$A$139,PantheonList!$E$18:$E$139)</f>
        <v>Investigation</v>
      </c>
      <c r="P78" s="88" t="str">
        <f>LOOKUP($K78,PantheonList!$A$18:$A$139,PantheonList!$F$18:$F$139)</f>
        <v>Occult</v>
      </c>
      <c r="Q78" s="88" t="str">
        <f>LOOKUP($K78,PantheonList!$A$18:$A$139,PantheonList!$G$18:$G$139)</f>
        <v>Presence</v>
      </c>
      <c r="R78" s="88" t="str">
        <f t="shared" si="14"/>
        <v>No</v>
      </c>
      <c r="S78" s="88" t="str">
        <f t="shared" si="14"/>
        <v>No</v>
      </c>
      <c r="T78" s="88" t="str">
        <f t="shared" si="14"/>
        <v>Yes</v>
      </c>
      <c r="U78" s="88" t="str">
        <f t="shared" si="14"/>
        <v>No</v>
      </c>
      <c r="V78" s="88" t="str">
        <f t="shared" si="14"/>
        <v>No</v>
      </c>
      <c r="W78" s="88" t="str">
        <f t="shared" si="14"/>
        <v>No</v>
      </c>
      <c r="X78" s="88" t="str">
        <f t="shared" si="14"/>
        <v>No</v>
      </c>
      <c r="Y78" s="88" t="str">
        <f t="shared" si="14"/>
        <v>No</v>
      </c>
      <c r="Z78" s="88" t="str">
        <f t="shared" si="14"/>
        <v>No</v>
      </c>
      <c r="AA78" s="88" t="str">
        <f t="shared" si="14"/>
        <v>No</v>
      </c>
      <c r="AB78" s="88" t="str">
        <f t="shared" si="15"/>
        <v>Yes</v>
      </c>
      <c r="AC78" s="88" t="str">
        <f t="shared" si="15"/>
        <v>Yes</v>
      </c>
      <c r="AD78" s="88" t="str">
        <f t="shared" si="15"/>
        <v>Yes</v>
      </c>
      <c r="AE78" s="88" t="str">
        <f t="shared" si="15"/>
        <v>No</v>
      </c>
      <c r="AF78" s="88" t="str">
        <f t="shared" si="15"/>
        <v>No</v>
      </c>
      <c r="AG78" s="88" t="str">
        <f t="shared" si="15"/>
        <v>No</v>
      </c>
      <c r="AH78" s="88" t="str">
        <f t="shared" si="15"/>
        <v>No</v>
      </c>
      <c r="AI78" s="88" t="str">
        <f t="shared" si="15"/>
        <v>Yes</v>
      </c>
      <c r="AJ78" s="88" t="str">
        <f t="shared" si="15"/>
        <v>No</v>
      </c>
      <c r="AK78" s="88" t="str">
        <f t="shared" si="15"/>
        <v>Yes</v>
      </c>
      <c r="AL78" s="88" t="str">
        <f t="shared" si="15"/>
        <v>No</v>
      </c>
      <c r="AM78" s="88" t="str">
        <f t="shared" si="15"/>
        <v>No</v>
      </c>
      <c r="AN78" s="88" t="str">
        <f t="shared" si="15"/>
        <v>No</v>
      </c>
      <c r="AO78" s="91" t="str">
        <f t="shared" si="15"/>
        <v>No</v>
      </c>
      <c r="AP78" s="109" t="s">
        <v>199</v>
      </c>
      <c r="AQ78" s="88">
        <v>78</v>
      </c>
      <c r="AR78" s="88" t="s">
        <v>347</v>
      </c>
      <c r="AS78" s="88" t="s">
        <v>347</v>
      </c>
      <c r="AT78" s="88" t="s">
        <v>347</v>
      </c>
      <c r="AU78" s="88" t="s">
        <v>347</v>
      </c>
      <c r="AV78" s="88" t="s">
        <v>347</v>
      </c>
      <c r="AW78" s="88" t="s">
        <v>347</v>
      </c>
      <c r="AX78" s="88" t="s">
        <v>347</v>
      </c>
      <c r="AY78" s="88" t="s">
        <v>346</v>
      </c>
      <c r="AZ78" s="88" t="s">
        <v>347</v>
      </c>
      <c r="BA78" s="88" t="s">
        <v>347</v>
      </c>
      <c r="BB78" s="88" t="s">
        <v>347</v>
      </c>
      <c r="BC78" s="88" t="s">
        <v>347</v>
      </c>
      <c r="BD78" s="88" t="s">
        <v>347</v>
      </c>
      <c r="BE78" s="88" t="s">
        <v>347</v>
      </c>
      <c r="BF78" s="88" t="s">
        <v>347</v>
      </c>
      <c r="BG78" s="88" t="s">
        <v>347</v>
      </c>
      <c r="BH78" s="88" t="s">
        <v>347</v>
      </c>
      <c r="BI78" s="88" t="s">
        <v>347</v>
      </c>
      <c r="BJ78" s="88" t="s">
        <v>347</v>
      </c>
      <c r="BK78" s="88" t="s">
        <v>346</v>
      </c>
      <c r="BL78" s="88" t="s">
        <v>347</v>
      </c>
      <c r="BM78" s="88" t="s">
        <v>346</v>
      </c>
      <c r="BN78" s="88" t="s">
        <v>347</v>
      </c>
      <c r="BO78" s="88" t="s">
        <v>346</v>
      </c>
      <c r="BP78" s="88" t="s">
        <v>346</v>
      </c>
      <c r="BQ78" s="88" t="s">
        <v>346</v>
      </c>
      <c r="BR78" s="88" t="s">
        <v>347</v>
      </c>
      <c r="BS78" s="88" t="s">
        <v>347</v>
      </c>
      <c r="BT78" s="88" t="s">
        <v>347</v>
      </c>
      <c r="BU78" s="88" t="s">
        <v>347</v>
      </c>
      <c r="BV78" s="88" t="s">
        <v>347</v>
      </c>
      <c r="BW78" s="88" t="s">
        <v>347</v>
      </c>
      <c r="BX78" s="88" t="s">
        <v>347</v>
      </c>
      <c r="BY78" s="88" t="s">
        <v>346</v>
      </c>
      <c r="BZ78" s="91" t="s">
        <v>347</v>
      </c>
    </row>
    <row r="79" spans="1:78" s="2" customFormat="1" x14ac:dyDescent="0.25">
      <c r="A79" s="109" t="s">
        <v>288</v>
      </c>
      <c r="B79" s="88" t="s">
        <v>346</v>
      </c>
      <c r="C79" s="88" t="s">
        <v>346</v>
      </c>
      <c r="D79" s="88" t="s">
        <v>347</v>
      </c>
      <c r="E79" s="88" t="s">
        <v>347</v>
      </c>
      <c r="F79" s="88" t="s">
        <v>347</v>
      </c>
      <c r="G79" s="88" t="s">
        <v>347</v>
      </c>
      <c r="H79" s="88" t="s">
        <v>347</v>
      </c>
      <c r="I79" s="88" t="s">
        <v>346</v>
      </c>
      <c r="J79" s="91" t="s">
        <v>347</v>
      </c>
      <c r="K79" s="109" t="s">
        <v>288</v>
      </c>
      <c r="L79" s="88" t="str">
        <f>LOOKUP($K79,PantheonList!$A$18:$A$139,PantheonList!$B$18:$B$139)</f>
        <v>Academics</v>
      </c>
      <c r="M79" s="88" t="str">
        <f>LOOKUP($K79,PantheonList!$A$18:$A$139,PantheonList!$C$18:$C$139)</f>
        <v>Art</v>
      </c>
      <c r="N79" s="88" t="str">
        <f>LOOKUP($K79,PantheonList!$A$18:$A$139,PantheonList!$D$18:$D$139)</f>
        <v>Empathy</v>
      </c>
      <c r="O79" s="88" t="str">
        <f>LOOKUP($K79,PantheonList!$A$18:$A$139,PantheonList!$E$18:$E$139)</f>
        <v>Melee</v>
      </c>
      <c r="P79" s="88" t="str">
        <f>LOOKUP($K79,PantheonList!$A$18:$A$139,PantheonList!$F$18:$F$139)</f>
        <v>Presence</v>
      </c>
      <c r="Q79" s="88" t="str">
        <f>LOOKUP($K79,PantheonList!$A$18:$A$139,PantheonList!$G$18:$G$139)</f>
        <v>Thrown</v>
      </c>
      <c r="R79" s="88" t="str">
        <f t="shared" si="14"/>
        <v>Yes</v>
      </c>
      <c r="S79" s="88" t="str">
        <f t="shared" si="14"/>
        <v>No</v>
      </c>
      <c r="T79" s="88" t="str">
        <f t="shared" si="14"/>
        <v>Yes</v>
      </c>
      <c r="U79" s="88" t="str">
        <f t="shared" si="14"/>
        <v>No</v>
      </c>
      <c r="V79" s="88" t="str">
        <f t="shared" si="14"/>
        <v>No</v>
      </c>
      <c r="W79" s="88" t="str">
        <f t="shared" si="14"/>
        <v>No</v>
      </c>
      <c r="X79" s="88" t="str">
        <f t="shared" si="14"/>
        <v>No</v>
      </c>
      <c r="Y79" s="88" t="str">
        <f t="shared" si="14"/>
        <v>No</v>
      </c>
      <c r="Z79" s="88" t="str">
        <f t="shared" si="14"/>
        <v>No</v>
      </c>
      <c r="AA79" s="88" t="str">
        <f t="shared" si="14"/>
        <v>Yes</v>
      </c>
      <c r="AB79" s="88" t="str">
        <f t="shared" si="15"/>
        <v>No</v>
      </c>
      <c r="AC79" s="88" t="str">
        <f t="shared" si="15"/>
        <v>No</v>
      </c>
      <c r="AD79" s="88" t="str">
        <f t="shared" si="15"/>
        <v>No</v>
      </c>
      <c r="AE79" s="88" t="str">
        <f t="shared" si="15"/>
        <v>No</v>
      </c>
      <c r="AF79" s="88" t="str">
        <f t="shared" si="15"/>
        <v>No</v>
      </c>
      <c r="AG79" s="88" t="str">
        <f t="shared" si="15"/>
        <v>No</v>
      </c>
      <c r="AH79" s="88" t="str">
        <f t="shared" si="15"/>
        <v>Yes</v>
      </c>
      <c r="AI79" s="88" t="str">
        <f t="shared" si="15"/>
        <v>No</v>
      </c>
      <c r="AJ79" s="88" t="str">
        <f t="shared" si="15"/>
        <v>No</v>
      </c>
      <c r="AK79" s="88" t="str">
        <f t="shared" si="15"/>
        <v>Yes</v>
      </c>
      <c r="AL79" s="88" t="str">
        <f t="shared" si="15"/>
        <v>No</v>
      </c>
      <c r="AM79" s="88" t="str">
        <f t="shared" si="15"/>
        <v>No</v>
      </c>
      <c r="AN79" s="88" t="str">
        <f t="shared" si="15"/>
        <v>No</v>
      </c>
      <c r="AO79" s="91" t="str">
        <f t="shared" si="15"/>
        <v>Yes</v>
      </c>
      <c r="AP79" s="109" t="s">
        <v>288</v>
      </c>
      <c r="AQ79" s="88">
        <v>79</v>
      </c>
      <c r="AR79" s="88" t="s">
        <v>347</v>
      </c>
      <c r="AS79" s="88" t="s">
        <v>347</v>
      </c>
      <c r="AT79" s="88" t="s">
        <v>347</v>
      </c>
      <c r="AU79" s="88" t="s">
        <v>347</v>
      </c>
      <c r="AV79" s="88" t="s">
        <v>347</v>
      </c>
      <c r="AW79" s="88" t="s">
        <v>347</v>
      </c>
      <c r="AX79" s="88" t="s">
        <v>347</v>
      </c>
      <c r="AY79" s="88" t="s">
        <v>347</v>
      </c>
      <c r="AZ79" s="88" t="s">
        <v>347</v>
      </c>
      <c r="BA79" s="88" t="s">
        <v>346</v>
      </c>
      <c r="BB79" s="88" t="s">
        <v>347</v>
      </c>
      <c r="BC79" s="88" t="s">
        <v>347</v>
      </c>
      <c r="BD79" s="88" t="s">
        <v>347</v>
      </c>
      <c r="BE79" s="88" t="s">
        <v>346</v>
      </c>
      <c r="BF79" s="88" t="s">
        <v>347</v>
      </c>
      <c r="BG79" s="88" t="s">
        <v>347</v>
      </c>
      <c r="BH79" s="88" t="s">
        <v>347</v>
      </c>
      <c r="BI79" s="88" t="s">
        <v>347</v>
      </c>
      <c r="BJ79" s="88" t="s">
        <v>347</v>
      </c>
      <c r="BK79" s="88" t="s">
        <v>347</v>
      </c>
      <c r="BL79" s="88" t="s">
        <v>347</v>
      </c>
      <c r="BM79" s="88" t="s">
        <v>347</v>
      </c>
      <c r="BN79" s="88" t="s">
        <v>347</v>
      </c>
      <c r="BO79" s="88" t="s">
        <v>347</v>
      </c>
      <c r="BP79" s="88" t="s">
        <v>347</v>
      </c>
      <c r="BQ79" s="88" t="s">
        <v>347</v>
      </c>
      <c r="BR79" s="88" t="s">
        <v>347</v>
      </c>
      <c r="BS79" s="88" t="s">
        <v>347</v>
      </c>
      <c r="BT79" s="88" t="s">
        <v>347</v>
      </c>
      <c r="BU79" s="88" t="s">
        <v>347</v>
      </c>
      <c r="BV79" s="88" t="s">
        <v>347</v>
      </c>
      <c r="BW79" s="88" t="s">
        <v>347</v>
      </c>
      <c r="BX79" s="88" t="s">
        <v>347</v>
      </c>
      <c r="BY79" s="88" t="s">
        <v>346</v>
      </c>
      <c r="BZ79" s="91" t="s">
        <v>347</v>
      </c>
    </row>
    <row r="80" spans="1:78" s="2" customFormat="1" x14ac:dyDescent="0.25">
      <c r="A80" s="109" t="s">
        <v>267</v>
      </c>
      <c r="B80" s="88" t="s">
        <v>346</v>
      </c>
      <c r="C80" s="88" t="s">
        <v>347</v>
      </c>
      <c r="D80" s="88" t="s">
        <v>347</v>
      </c>
      <c r="E80" s="88" t="s">
        <v>347</v>
      </c>
      <c r="F80" s="88" t="s">
        <v>346</v>
      </c>
      <c r="G80" s="88" t="s">
        <v>347</v>
      </c>
      <c r="H80" s="88" t="s">
        <v>347</v>
      </c>
      <c r="I80" s="88" t="s">
        <v>347</v>
      </c>
      <c r="J80" s="91" t="s">
        <v>347</v>
      </c>
      <c r="K80" s="109" t="s">
        <v>267</v>
      </c>
      <c r="L80" s="88" t="str">
        <f>LOOKUP($K80,PantheonList!$A$18:$A$139,PantheonList!$B$18:$B$139)</f>
        <v>Art</v>
      </c>
      <c r="M80" s="88" t="str">
        <f>LOOKUP($K80,PantheonList!$A$18:$A$139,PantheonList!$C$18:$C$139)</f>
        <v>Craft</v>
      </c>
      <c r="N80" s="88" t="str">
        <f>LOOKUP($K80,PantheonList!$A$18:$A$139,PantheonList!$D$18:$D$139)</f>
        <v>Fortitude</v>
      </c>
      <c r="O80" s="88" t="str">
        <f>LOOKUP($K80,PantheonList!$A$18:$A$139,PantheonList!$E$18:$E$139)</f>
        <v>Melee</v>
      </c>
      <c r="P80" s="88" t="str">
        <f>LOOKUP($K80,PantheonList!$A$18:$A$139,PantheonList!$F$18:$F$139)</f>
        <v>Politics</v>
      </c>
      <c r="Q80" s="88" t="str">
        <f>LOOKUP($K80,PantheonList!$A$18:$A$139,PantheonList!$G$18:$G$139)</f>
        <v>Presence</v>
      </c>
      <c r="R80" s="88" t="str">
        <f t="shared" si="14"/>
        <v>No</v>
      </c>
      <c r="S80" s="88" t="str">
        <f t="shared" si="14"/>
        <v>No</v>
      </c>
      <c r="T80" s="88" t="str">
        <f t="shared" si="14"/>
        <v>Yes</v>
      </c>
      <c r="U80" s="88" t="str">
        <f t="shared" si="14"/>
        <v>No</v>
      </c>
      <c r="V80" s="88" t="str">
        <f t="shared" si="14"/>
        <v>No</v>
      </c>
      <c r="W80" s="88" t="str">
        <f t="shared" si="14"/>
        <v>No</v>
      </c>
      <c r="X80" s="88" t="str">
        <f t="shared" si="14"/>
        <v>No</v>
      </c>
      <c r="Y80" s="88" t="str">
        <f t="shared" si="14"/>
        <v>No</v>
      </c>
      <c r="Z80" s="88" t="str">
        <f t="shared" si="14"/>
        <v>Yes</v>
      </c>
      <c r="AA80" s="88" t="str">
        <f t="shared" si="14"/>
        <v>No</v>
      </c>
      <c r="AB80" s="88" t="str">
        <f t="shared" si="15"/>
        <v>Yes</v>
      </c>
      <c r="AC80" s="88" t="str">
        <f t="shared" si="15"/>
        <v>No</v>
      </c>
      <c r="AD80" s="88" t="str">
        <f t="shared" si="15"/>
        <v>No</v>
      </c>
      <c r="AE80" s="88" t="str">
        <f t="shared" si="15"/>
        <v>No</v>
      </c>
      <c r="AF80" s="88" t="str">
        <f t="shared" si="15"/>
        <v>No</v>
      </c>
      <c r="AG80" s="88" t="str">
        <f t="shared" si="15"/>
        <v>No</v>
      </c>
      <c r="AH80" s="88" t="str">
        <f t="shared" si="15"/>
        <v>Yes</v>
      </c>
      <c r="AI80" s="88" t="str">
        <f t="shared" si="15"/>
        <v>No</v>
      </c>
      <c r="AJ80" s="88" t="str">
        <f t="shared" si="15"/>
        <v>Yes</v>
      </c>
      <c r="AK80" s="88" t="str">
        <f t="shared" si="15"/>
        <v>Yes</v>
      </c>
      <c r="AL80" s="88" t="str">
        <f t="shared" si="15"/>
        <v>No</v>
      </c>
      <c r="AM80" s="88" t="str">
        <f t="shared" si="15"/>
        <v>No</v>
      </c>
      <c r="AN80" s="88" t="str">
        <f t="shared" si="15"/>
        <v>No</v>
      </c>
      <c r="AO80" s="91" t="str">
        <f t="shared" si="15"/>
        <v>No</v>
      </c>
      <c r="AP80" s="109" t="s">
        <v>267</v>
      </c>
      <c r="AQ80" s="88">
        <v>80</v>
      </c>
      <c r="AR80" s="88" t="s">
        <v>347</v>
      </c>
      <c r="AS80" s="88" t="s">
        <v>347</v>
      </c>
      <c r="AT80" s="88" t="s">
        <v>347</v>
      </c>
      <c r="AU80" s="88" t="s">
        <v>347</v>
      </c>
      <c r="AV80" s="88" t="s">
        <v>346</v>
      </c>
      <c r="AW80" s="88" t="s">
        <v>347</v>
      </c>
      <c r="AX80" s="88" t="s">
        <v>347</v>
      </c>
      <c r="AY80" s="88" t="s">
        <v>347</v>
      </c>
      <c r="AZ80" s="88" t="s">
        <v>347</v>
      </c>
      <c r="BA80" s="88" t="s">
        <v>347</v>
      </c>
      <c r="BB80" s="88" t="s">
        <v>347</v>
      </c>
      <c r="BC80" s="88" t="s">
        <v>346</v>
      </c>
      <c r="BD80" s="88" t="s">
        <v>347</v>
      </c>
      <c r="BE80" s="88" t="s">
        <v>347</v>
      </c>
      <c r="BF80" s="88" t="s">
        <v>347</v>
      </c>
      <c r="BG80" s="88" t="s">
        <v>347</v>
      </c>
      <c r="BH80" s="88" t="s">
        <v>347</v>
      </c>
      <c r="BI80" s="88" t="s">
        <v>347</v>
      </c>
      <c r="BJ80" s="88" t="s">
        <v>347</v>
      </c>
      <c r="BK80" s="88" t="s">
        <v>347</v>
      </c>
      <c r="BL80" s="88" t="s">
        <v>347</v>
      </c>
      <c r="BM80" s="88" t="s">
        <v>347</v>
      </c>
      <c r="BN80" s="88" t="s">
        <v>347</v>
      </c>
      <c r="BO80" s="88" t="s">
        <v>347</v>
      </c>
      <c r="BP80" s="88" t="s">
        <v>347</v>
      </c>
      <c r="BQ80" s="88" t="s">
        <v>347</v>
      </c>
      <c r="BR80" s="88" t="s">
        <v>347</v>
      </c>
      <c r="BS80" s="88" t="s">
        <v>347</v>
      </c>
      <c r="BT80" s="88" t="s">
        <v>347</v>
      </c>
      <c r="BU80" s="88" t="s">
        <v>347</v>
      </c>
      <c r="BV80" s="88" t="s">
        <v>347</v>
      </c>
      <c r="BW80" s="88" t="s">
        <v>347</v>
      </c>
      <c r="BX80" s="88" t="s">
        <v>347</v>
      </c>
      <c r="BY80" s="88" t="s">
        <v>347</v>
      </c>
      <c r="BZ80" s="91" t="s">
        <v>346</v>
      </c>
    </row>
    <row r="81" spans="1:78" s="2" customFormat="1" x14ac:dyDescent="0.25">
      <c r="A81" s="109" t="s">
        <v>275</v>
      </c>
      <c r="B81" s="88" t="s">
        <v>347</v>
      </c>
      <c r="C81" s="88" t="s">
        <v>347</v>
      </c>
      <c r="D81" s="88" t="s">
        <v>347</v>
      </c>
      <c r="E81" s="88" t="s">
        <v>346</v>
      </c>
      <c r="F81" s="88" t="s">
        <v>346</v>
      </c>
      <c r="G81" s="88" t="s">
        <v>347</v>
      </c>
      <c r="H81" s="88" t="s">
        <v>347</v>
      </c>
      <c r="I81" s="88" t="s">
        <v>347</v>
      </c>
      <c r="J81" s="91" t="s">
        <v>347</v>
      </c>
      <c r="K81" s="109" t="s">
        <v>275</v>
      </c>
      <c r="L81" s="88" t="str">
        <f>LOOKUP($K81,PantheonList!$A$18:$A$139,PantheonList!$B$18:$B$139)</f>
        <v>Awareness</v>
      </c>
      <c r="M81" s="88" t="str">
        <f>LOOKUP($K81,PantheonList!$A$18:$A$139,PantheonList!$C$18:$C$139)</f>
        <v>Command</v>
      </c>
      <c r="N81" s="88" t="str">
        <f>LOOKUP($K81,PantheonList!$A$18:$A$139,PantheonList!$D$18:$D$139)</f>
        <v>Fortitude</v>
      </c>
      <c r="O81" s="88" t="str">
        <f>LOOKUP($K81,PantheonList!$A$18:$A$139,PantheonList!$E$18:$E$139)</f>
        <v>Investigation</v>
      </c>
      <c r="P81" s="88" t="str">
        <f>LOOKUP($K81,PantheonList!$A$18:$A$139,PantheonList!$F$18:$F$139)</f>
        <v>Politics</v>
      </c>
      <c r="Q81" s="88" t="str">
        <f>LOOKUP($K81,PantheonList!$A$18:$A$139,PantheonList!$G$18:$G$139)</f>
        <v>Presence</v>
      </c>
      <c r="R81" s="88" t="str">
        <f t="shared" si="14"/>
        <v>No</v>
      </c>
      <c r="S81" s="88" t="str">
        <f t="shared" si="14"/>
        <v>No</v>
      </c>
      <c r="T81" s="88" t="str">
        <f t="shared" si="14"/>
        <v>No</v>
      </c>
      <c r="U81" s="88" t="str">
        <f t="shared" si="14"/>
        <v>No</v>
      </c>
      <c r="V81" s="88" t="str">
        <f t="shared" si="14"/>
        <v>Yes</v>
      </c>
      <c r="W81" s="88" t="str">
        <f t="shared" si="14"/>
        <v>No</v>
      </c>
      <c r="X81" s="88" t="str">
        <f t="shared" si="14"/>
        <v>Yes</v>
      </c>
      <c r="Y81" s="88" t="str">
        <f t="shared" si="14"/>
        <v>No</v>
      </c>
      <c r="Z81" s="88" t="str">
        <f t="shared" si="14"/>
        <v>No</v>
      </c>
      <c r="AA81" s="88" t="str">
        <f t="shared" si="14"/>
        <v>No</v>
      </c>
      <c r="AB81" s="88" t="str">
        <f t="shared" si="15"/>
        <v>Yes</v>
      </c>
      <c r="AC81" s="88" t="str">
        <f t="shared" si="15"/>
        <v>No</v>
      </c>
      <c r="AD81" s="88" t="str">
        <f t="shared" si="15"/>
        <v>Yes</v>
      </c>
      <c r="AE81" s="88" t="str">
        <f t="shared" si="15"/>
        <v>No</v>
      </c>
      <c r="AF81" s="88" t="str">
        <f t="shared" si="15"/>
        <v>No</v>
      </c>
      <c r="AG81" s="88" t="str">
        <f t="shared" si="15"/>
        <v>No</v>
      </c>
      <c r="AH81" s="88" t="str">
        <f t="shared" si="15"/>
        <v>No</v>
      </c>
      <c r="AI81" s="88" t="str">
        <f t="shared" si="15"/>
        <v>No</v>
      </c>
      <c r="AJ81" s="88" t="str">
        <f t="shared" si="15"/>
        <v>Yes</v>
      </c>
      <c r="AK81" s="88" t="str">
        <f t="shared" si="15"/>
        <v>Yes</v>
      </c>
      <c r="AL81" s="88" t="str">
        <f t="shared" si="15"/>
        <v>No</v>
      </c>
      <c r="AM81" s="88" t="str">
        <f t="shared" si="15"/>
        <v>No</v>
      </c>
      <c r="AN81" s="88" t="str">
        <f t="shared" si="15"/>
        <v>No</v>
      </c>
      <c r="AO81" s="91" t="str">
        <f t="shared" si="15"/>
        <v>No</v>
      </c>
      <c r="AP81" s="109" t="s">
        <v>275</v>
      </c>
      <c r="AQ81" s="88">
        <v>81</v>
      </c>
      <c r="AR81" s="88" t="s">
        <v>346</v>
      </c>
      <c r="AS81" s="88" t="s">
        <v>347</v>
      </c>
      <c r="AT81" s="88" t="s">
        <v>347</v>
      </c>
      <c r="AU81" s="88" t="s">
        <v>347</v>
      </c>
      <c r="AV81" s="88" t="s">
        <v>347</v>
      </c>
      <c r="AW81" s="88" t="s">
        <v>347</v>
      </c>
      <c r="AX81" s="88" t="s">
        <v>347</v>
      </c>
      <c r="AY81" s="88" t="s">
        <v>346</v>
      </c>
      <c r="AZ81" s="88" t="s">
        <v>346</v>
      </c>
      <c r="BA81" s="88" t="s">
        <v>347</v>
      </c>
      <c r="BB81" s="88" t="s">
        <v>346</v>
      </c>
      <c r="BC81" s="88" t="s">
        <v>347</v>
      </c>
      <c r="BD81" s="88" t="s">
        <v>347</v>
      </c>
      <c r="BE81" s="88" t="s">
        <v>347</v>
      </c>
      <c r="BF81" s="88" t="s">
        <v>347</v>
      </c>
      <c r="BG81" s="88" t="s">
        <v>346</v>
      </c>
      <c r="BH81" s="88" t="s">
        <v>347</v>
      </c>
      <c r="BI81" s="88" t="s">
        <v>347</v>
      </c>
      <c r="BJ81" s="88" t="s">
        <v>347</v>
      </c>
      <c r="BK81" s="88" t="s">
        <v>347</v>
      </c>
      <c r="BL81" s="88" t="s">
        <v>346</v>
      </c>
      <c r="BM81" s="88" t="s">
        <v>347</v>
      </c>
      <c r="BN81" s="88" t="s">
        <v>347</v>
      </c>
      <c r="BO81" s="88" t="s">
        <v>347</v>
      </c>
      <c r="BP81" s="88" t="s">
        <v>347</v>
      </c>
      <c r="BQ81" s="88" t="s">
        <v>347</v>
      </c>
      <c r="BR81" s="88" t="s">
        <v>347</v>
      </c>
      <c r="BS81" s="88" t="s">
        <v>347</v>
      </c>
      <c r="BT81" s="88" t="s">
        <v>347</v>
      </c>
      <c r="BU81" s="88" t="s">
        <v>347</v>
      </c>
      <c r="BV81" s="88" t="s">
        <v>347</v>
      </c>
      <c r="BW81" s="88" t="s">
        <v>347</v>
      </c>
      <c r="BX81" s="88" t="s">
        <v>347</v>
      </c>
      <c r="BY81" s="88" t="s">
        <v>347</v>
      </c>
      <c r="BZ81" s="91" t="s">
        <v>347</v>
      </c>
    </row>
    <row r="82" spans="1:78" s="2" customFormat="1" x14ac:dyDescent="0.25">
      <c r="A82" s="109" t="s">
        <v>241</v>
      </c>
      <c r="B82" s="88" t="s">
        <v>347</v>
      </c>
      <c r="C82" s="88" t="s">
        <v>347</v>
      </c>
      <c r="D82" s="88" t="s">
        <v>347</v>
      </c>
      <c r="E82" s="88" t="s">
        <v>346</v>
      </c>
      <c r="F82" s="88" t="s">
        <v>346</v>
      </c>
      <c r="G82" s="88" t="s">
        <v>347</v>
      </c>
      <c r="H82" s="88" t="s">
        <v>347</v>
      </c>
      <c r="I82" s="88" t="s">
        <v>347</v>
      </c>
      <c r="J82" s="91" t="s">
        <v>346</v>
      </c>
      <c r="K82" s="109" t="s">
        <v>241</v>
      </c>
      <c r="L82" s="88" t="str">
        <f>LOOKUP($K82,PantheonList!$A$18:$A$139,PantheonList!$B$18:$B$139)</f>
        <v>Craft</v>
      </c>
      <c r="M82" s="88" t="str">
        <f>LOOKUP($K82,PantheonList!$A$18:$A$139,PantheonList!$C$18:$C$139)</f>
        <v>Empathy</v>
      </c>
      <c r="N82" s="88" t="str">
        <f>LOOKUP($K82,PantheonList!$A$18:$A$139,PantheonList!$D$18:$D$139)</f>
        <v>Medicine</v>
      </c>
      <c r="O82" s="88" t="str">
        <f>LOOKUP($K82,PantheonList!$A$18:$A$139,PantheonList!$E$18:$E$139)</f>
        <v>Occult</v>
      </c>
      <c r="P82" s="88" t="str">
        <f>LOOKUP($K82,PantheonList!$A$18:$A$139,PantheonList!$F$18:$F$139)</f>
        <v>Presence</v>
      </c>
      <c r="Q82" s="88" t="str">
        <f>LOOKUP($K82,PantheonList!$A$18:$A$139,PantheonList!$G$18:$G$139)</f>
        <v>Survival</v>
      </c>
      <c r="R82" s="88" t="str">
        <f t="shared" ref="R82:AA91" si="16">IF(OR($Q82=R$1,$P82=R$1,$O82=R$1,$N82=R$1,$M82=R$1,$L82=R$1),"Yes","No")</f>
        <v>No</v>
      </c>
      <c r="S82" s="88" t="str">
        <f t="shared" si="16"/>
        <v>No</v>
      </c>
      <c r="T82" s="88" t="str">
        <f t="shared" si="16"/>
        <v>No</v>
      </c>
      <c r="U82" s="88" t="str">
        <f t="shared" si="16"/>
        <v>No</v>
      </c>
      <c r="V82" s="88" t="str">
        <f t="shared" si="16"/>
        <v>No</v>
      </c>
      <c r="W82" s="88" t="str">
        <f t="shared" si="16"/>
        <v>No</v>
      </c>
      <c r="X82" s="88" t="str">
        <f t="shared" si="16"/>
        <v>No</v>
      </c>
      <c r="Y82" s="88" t="str">
        <f t="shared" si="16"/>
        <v>No</v>
      </c>
      <c r="Z82" s="88" t="str">
        <f t="shared" si="16"/>
        <v>Yes</v>
      </c>
      <c r="AA82" s="88" t="str">
        <f t="shared" si="16"/>
        <v>Yes</v>
      </c>
      <c r="AB82" s="88" t="str">
        <f t="shared" ref="AB82:AO91" si="17">IF(OR($Q82=AB$1,$P82=AB$1,$O82=AB$1,$N82=AB$1,$M82=AB$1,$L82=AB$1),"Yes","No")</f>
        <v>No</v>
      </c>
      <c r="AC82" s="88" t="str">
        <f t="shared" si="17"/>
        <v>No</v>
      </c>
      <c r="AD82" s="88" t="str">
        <f t="shared" si="17"/>
        <v>No</v>
      </c>
      <c r="AE82" s="88" t="str">
        <f t="shared" si="17"/>
        <v>No</v>
      </c>
      <c r="AF82" s="88" t="str">
        <f t="shared" si="17"/>
        <v>No</v>
      </c>
      <c r="AG82" s="88" t="str">
        <f t="shared" si="17"/>
        <v>Yes</v>
      </c>
      <c r="AH82" s="88" t="str">
        <f t="shared" si="17"/>
        <v>No</v>
      </c>
      <c r="AI82" s="88" t="str">
        <f t="shared" si="17"/>
        <v>Yes</v>
      </c>
      <c r="AJ82" s="88" t="str">
        <f t="shared" si="17"/>
        <v>No</v>
      </c>
      <c r="AK82" s="88" t="str">
        <f t="shared" si="17"/>
        <v>Yes</v>
      </c>
      <c r="AL82" s="88" t="str">
        <f t="shared" si="17"/>
        <v>No</v>
      </c>
      <c r="AM82" s="88" t="str">
        <f t="shared" si="17"/>
        <v>No</v>
      </c>
      <c r="AN82" s="88" t="str">
        <f t="shared" si="17"/>
        <v>Yes</v>
      </c>
      <c r="AO82" s="91" t="str">
        <f t="shared" si="17"/>
        <v>No</v>
      </c>
      <c r="AP82" s="109" t="s">
        <v>241</v>
      </c>
      <c r="AQ82" s="88">
        <v>82</v>
      </c>
      <c r="AR82" s="88" t="s">
        <v>347</v>
      </c>
      <c r="AS82" s="88" t="s">
        <v>347</v>
      </c>
      <c r="AT82" s="88" t="s">
        <v>347</v>
      </c>
      <c r="AU82" s="88" t="s">
        <v>347</v>
      </c>
      <c r="AV82" s="88" t="s">
        <v>347</v>
      </c>
      <c r="AW82" s="88" t="s">
        <v>347</v>
      </c>
      <c r="AX82" s="88" t="s">
        <v>347</v>
      </c>
      <c r="AY82" s="88" t="s">
        <v>347</v>
      </c>
      <c r="AZ82" s="88" t="s">
        <v>347</v>
      </c>
      <c r="BA82" s="88" t="s">
        <v>347</v>
      </c>
      <c r="BB82" s="88" t="s">
        <v>347</v>
      </c>
      <c r="BC82" s="88" t="s">
        <v>347</v>
      </c>
      <c r="BD82" s="88" t="s">
        <v>347</v>
      </c>
      <c r="BE82" s="88" t="s">
        <v>346</v>
      </c>
      <c r="BF82" s="88" t="s">
        <v>346</v>
      </c>
      <c r="BG82" s="88" t="s">
        <v>347</v>
      </c>
      <c r="BH82" s="88" t="s">
        <v>347</v>
      </c>
      <c r="BI82" s="88" t="s">
        <v>347</v>
      </c>
      <c r="BJ82" s="88" t="s">
        <v>347</v>
      </c>
      <c r="BK82" s="88" t="s">
        <v>347</v>
      </c>
      <c r="BL82" s="88" t="s">
        <v>347</v>
      </c>
      <c r="BM82" s="88" t="s">
        <v>346</v>
      </c>
      <c r="BN82" s="88" t="s">
        <v>347</v>
      </c>
      <c r="BO82" s="88" t="s">
        <v>347</v>
      </c>
      <c r="BP82" s="88" t="s">
        <v>347</v>
      </c>
      <c r="BQ82" s="88" t="s">
        <v>347</v>
      </c>
      <c r="BR82" s="88" t="s">
        <v>346</v>
      </c>
      <c r="BS82" s="88" t="s">
        <v>347</v>
      </c>
      <c r="BT82" s="88" t="s">
        <v>347</v>
      </c>
      <c r="BU82" s="88" t="s">
        <v>347</v>
      </c>
      <c r="BV82" s="88" t="s">
        <v>347</v>
      </c>
      <c r="BW82" s="88" t="s">
        <v>347</v>
      </c>
      <c r="BX82" s="88" t="s">
        <v>347</v>
      </c>
      <c r="BY82" s="88" t="s">
        <v>347</v>
      </c>
      <c r="BZ82" s="91" t="s">
        <v>347</v>
      </c>
    </row>
    <row r="83" spans="1:78" s="2" customFormat="1" x14ac:dyDescent="0.25">
      <c r="A83" s="109" t="s">
        <v>306</v>
      </c>
      <c r="B83" s="88" t="s">
        <v>346</v>
      </c>
      <c r="C83" s="88" t="s">
        <v>347</v>
      </c>
      <c r="D83" s="88" t="s">
        <v>346</v>
      </c>
      <c r="E83" s="88" t="s">
        <v>347</v>
      </c>
      <c r="F83" s="88" t="s">
        <v>347</v>
      </c>
      <c r="G83" s="88" t="s">
        <v>347</v>
      </c>
      <c r="H83" s="88" t="s">
        <v>347</v>
      </c>
      <c r="I83" s="88" t="s">
        <v>346</v>
      </c>
      <c r="J83" s="91" t="s">
        <v>347</v>
      </c>
      <c r="K83" s="109" t="s">
        <v>306</v>
      </c>
      <c r="L83" s="88" t="str">
        <f>LOOKUP($K83,PantheonList!$A$18:$A$139,PantheonList!$B$18:$B$139)</f>
        <v>Animal Ken</v>
      </c>
      <c r="M83" s="88" t="str">
        <f>LOOKUP($K83,PantheonList!$A$18:$A$139,PantheonList!$C$18:$C$139)</f>
        <v>Athletics</v>
      </c>
      <c r="N83" s="88" t="str">
        <f>LOOKUP($K83,PantheonList!$A$18:$A$139,PantheonList!$D$18:$D$139)</f>
        <v>Craft</v>
      </c>
      <c r="O83" s="88" t="str">
        <f>LOOKUP($K83,PantheonList!$A$18:$A$139,PantheonList!$E$18:$E$139)</f>
        <v>Fortitude</v>
      </c>
      <c r="P83" s="88" t="str">
        <f>LOOKUP($K83,PantheonList!$A$18:$A$139,PantheonList!$F$18:$F$139)</f>
        <v>Melee</v>
      </c>
      <c r="Q83" s="88" t="str">
        <f>LOOKUP($K83,PantheonList!$A$18:$A$139,PantheonList!$G$18:$G$139)</f>
        <v>Science</v>
      </c>
      <c r="R83" s="88" t="str">
        <f t="shared" si="16"/>
        <v>No</v>
      </c>
      <c r="S83" s="88" t="str">
        <f t="shared" si="16"/>
        <v>Yes</v>
      </c>
      <c r="T83" s="88" t="str">
        <f t="shared" si="16"/>
        <v>No</v>
      </c>
      <c r="U83" s="88" t="str">
        <f t="shared" si="16"/>
        <v>Yes</v>
      </c>
      <c r="V83" s="88" t="str">
        <f t="shared" si="16"/>
        <v>No</v>
      </c>
      <c r="W83" s="88" t="str">
        <f t="shared" si="16"/>
        <v>No</v>
      </c>
      <c r="X83" s="88" t="str">
        <f t="shared" si="16"/>
        <v>No</v>
      </c>
      <c r="Y83" s="88" t="str">
        <f t="shared" si="16"/>
        <v>No</v>
      </c>
      <c r="Z83" s="88" t="str">
        <f t="shared" si="16"/>
        <v>Yes</v>
      </c>
      <c r="AA83" s="88" t="str">
        <f t="shared" si="16"/>
        <v>No</v>
      </c>
      <c r="AB83" s="88" t="str">
        <f t="shared" si="17"/>
        <v>Yes</v>
      </c>
      <c r="AC83" s="88" t="str">
        <f t="shared" si="17"/>
        <v>No</v>
      </c>
      <c r="AD83" s="88" t="str">
        <f t="shared" si="17"/>
        <v>No</v>
      </c>
      <c r="AE83" s="88" t="str">
        <f t="shared" si="17"/>
        <v>No</v>
      </c>
      <c r="AF83" s="88" t="str">
        <f t="shared" si="17"/>
        <v>No</v>
      </c>
      <c r="AG83" s="88" t="str">
        <f t="shared" si="17"/>
        <v>No</v>
      </c>
      <c r="AH83" s="88" t="str">
        <f t="shared" si="17"/>
        <v>Yes</v>
      </c>
      <c r="AI83" s="88" t="str">
        <f t="shared" si="17"/>
        <v>No</v>
      </c>
      <c r="AJ83" s="88" t="str">
        <f t="shared" si="17"/>
        <v>No</v>
      </c>
      <c r="AK83" s="88" t="str">
        <f t="shared" si="17"/>
        <v>No</v>
      </c>
      <c r="AL83" s="88" t="str">
        <f t="shared" si="17"/>
        <v>Yes</v>
      </c>
      <c r="AM83" s="88" t="str">
        <f t="shared" si="17"/>
        <v>No</v>
      </c>
      <c r="AN83" s="88" t="str">
        <f t="shared" si="17"/>
        <v>No</v>
      </c>
      <c r="AO83" s="91" t="str">
        <f t="shared" si="17"/>
        <v>No</v>
      </c>
      <c r="AP83" s="109" t="s">
        <v>306</v>
      </c>
      <c r="AQ83" s="88">
        <v>83</v>
      </c>
      <c r="AR83" s="88" t="s">
        <v>346</v>
      </c>
      <c r="AS83" s="88" t="s">
        <v>347</v>
      </c>
      <c r="AT83" s="88" t="s">
        <v>347</v>
      </c>
      <c r="AU83" s="88" t="s">
        <v>347</v>
      </c>
      <c r="AV83" s="88" t="s">
        <v>347</v>
      </c>
      <c r="AW83" s="88" t="s">
        <v>347</v>
      </c>
      <c r="AX83" s="88" t="s">
        <v>347</v>
      </c>
      <c r="AY83" s="88" t="s">
        <v>347</v>
      </c>
      <c r="AZ83" s="88" t="s">
        <v>346</v>
      </c>
      <c r="BA83" s="88" t="s">
        <v>347</v>
      </c>
      <c r="BB83" s="88" t="s">
        <v>347</v>
      </c>
      <c r="BC83" s="88" t="s">
        <v>347</v>
      </c>
      <c r="BD83" s="88" t="s">
        <v>347</v>
      </c>
      <c r="BE83" s="88" t="s">
        <v>347</v>
      </c>
      <c r="BF83" s="88" t="s">
        <v>347</v>
      </c>
      <c r="BG83" s="88" t="s">
        <v>347</v>
      </c>
      <c r="BH83" s="88" t="s">
        <v>347</v>
      </c>
      <c r="BI83" s="88" t="s">
        <v>346</v>
      </c>
      <c r="BJ83" s="88" t="s">
        <v>347</v>
      </c>
      <c r="BK83" s="88" t="s">
        <v>347</v>
      </c>
      <c r="BL83" s="88" t="s">
        <v>347</v>
      </c>
      <c r="BM83" s="88" t="s">
        <v>347</v>
      </c>
      <c r="BN83" s="88" t="s">
        <v>347</v>
      </c>
      <c r="BO83" s="88" t="s">
        <v>347</v>
      </c>
      <c r="BP83" s="88" t="s">
        <v>347</v>
      </c>
      <c r="BQ83" s="88" t="s">
        <v>347</v>
      </c>
      <c r="BR83" s="88" t="s">
        <v>347</v>
      </c>
      <c r="BS83" s="88" t="s">
        <v>347</v>
      </c>
      <c r="BT83" s="88" t="s">
        <v>347</v>
      </c>
      <c r="BU83" s="88" t="s">
        <v>347</v>
      </c>
      <c r="BV83" s="88" t="s">
        <v>347</v>
      </c>
      <c r="BW83" s="88" t="s">
        <v>347</v>
      </c>
      <c r="BX83" s="88" t="s">
        <v>347</v>
      </c>
      <c r="BY83" s="88" t="s">
        <v>347</v>
      </c>
      <c r="BZ83" s="91" t="s">
        <v>347</v>
      </c>
    </row>
    <row r="84" spans="1:78" s="2" customFormat="1" x14ac:dyDescent="0.25">
      <c r="A84" s="109" t="s">
        <v>307</v>
      </c>
      <c r="B84" s="88" t="s">
        <v>347</v>
      </c>
      <c r="C84" s="88" t="s">
        <v>346</v>
      </c>
      <c r="D84" s="88" t="s">
        <v>346</v>
      </c>
      <c r="E84" s="88" t="s">
        <v>346</v>
      </c>
      <c r="F84" s="88" t="s">
        <v>347</v>
      </c>
      <c r="G84" s="88" t="s">
        <v>347</v>
      </c>
      <c r="H84" s="88" t="s">
        <v>347</v>
      </c>
      <c r="I84" s="88" t="s">
        <v>347</v>
      </c>
      <c r="J84" s="91" t="s">
        <v>347</v>
      </c>
      <c r="K84" s="109" t="s">
        <v>307</v>
      </c>
      <c r="L84" s="88" t="str">
        <f>LOOKUP($K84,PantheonList!$A$18:$A$139,PantheonList!$B$18:$B$139)</f>
        <v>Animal Ken</v>
      </c>
      <c r="M84" s="88" t="str">
        <f>LOOKUP($K84,PantheonList!$A$18:$A$139,PantheonList!$C$18:$C$139)</f>
        <v>Athletics</v>
      </c>
      <c r="N84" s="88" t="str">
        <f>LOOKUP($K84,PantheonList!$A$18:$A$139,PantheonList!$D$18:$D$139)</f>
        <v>Control</v>
      </c>
      <c r="O84" s="88" t="str">
        <f>LOOKUP($K84,PantheonList!$A$18:$A$139,PantheonList!$E$18:$E$139)</f>
        <v>Fortitude</v>
      </c>
      <c r="P84" s="88" t="str">
        <f>LOOKUP($K84,PantheonList!$A$18:$A$139,PantheonList!$F$18:$F$139)</f>
        <v>Marksmanship</v>
      </c>
      <c r="Q84" s="88" t="str">
        <f>LOOKUP($K84,PantheonList!$A$18:$A$139,PantheonList!$G$18:$G$139)</f>
        <v>Survival</v>
      </c>
      <c r="R84" s="88" t="str">
        <f t="shared" si="16"/>
        <v>No</v>
      </c>
      <c r="S84" s="88" t="str">
        <f t="shared" si="16"/>
        <v>Yes</v>
      </c>
      <c r="T84" s="88" t="str">
        <f t="shared" si="16"/>
        <v>No</v>
      </c>
      <c r="U84" s="88" t="str">
        <f t="shared" si="16"/>
        <v>Yes</v>
      </c>
      <c r="V84" s="88" t="str">
        <f t="shared" si="16"/>
        <v>No</v>
      </c>
      <c r="W84" s="88" t="str">
        <f t="shared" si="16"/>
        <v>No</v>
      </c>
      <c r="X84" s="88" t="str">
        <f t="shared" si="16"/>
        <v>No</v>
      </c>
      <c r="Y84" s="88" t="str">
        <f t="shared" si="16"/>
        <v>Yes</v>
      </c>
      <c r="Z84" s="88" t="str">
        <f t="shared" si="16"/>
        <v>No</v>
      </c>
      <c r="AA84" s="88" t="str">
        <f t="shared" si="16"/>
        <v>No</v>
      </c>
      <c r="AB84" s="88" t="str">
        <f t="shared" si="17"/>
        <v>Yes</v>
      </c>
      <c r="AC84" s="88" t="str">
        <f t="shared" si="17"/>
        <v>No</v>
      </c>
      <c r="AD84" s="88" t="str">
        <f t="shared" si="17"/>
        <v>No</v>
      </c>
      <c r="AE84" s="88" t="str">
        <f t="shared" si="17"/>
        <v>No</v>
      </c>
      <c r="AF84" s="88" t="str">
        <f t="shared" si="17"/>
        <v>Yes</v>
      </c>
      <c r="AG84" s="88" t="str">
        <f t="shared" si="17"/>
        <v>No</v>
      </c>
      <c r="AH84" s="88" t="str">
        <f t="shared" si="17"/>
        <v>No</v>
      </c>
      <c r="AI84" s="88" t="str">
        <f t="shared" si="17"/>
        <v>No</v>
      </c>
      <c r="AJ84" s="88" t="str">
        <f t="shared" si="17"/>
        <v>No</v>
      </c>
      <c r="AK84" s="88" t="str">
        <f t="shared" si="17"/>
        <v>No</v>
      </c>
      <c r="AL84" s="88" t="str">
        <f t="shared" si="17"/>
        <v>No</v>
      </c>
      <c r="AM84" s="88" t="str">
        <f t="shared" si="17"/>
        <v>No</v>
      </c>
      <c r="AN84" s="88" t="str">
        <f t="shared" si="17"/>
        <v>Yes</v>
      </c>
      <c r="AO84" s="91" t="str">
        <f t="shared" si="17"/>
        <v>No</v>
      </c>
      <c r="AP84" s="109" t="s">
        <v>307</v>
      </c>
      <c r="AQ84" s="88">
        <v>84</v>
      </c>
      <c r="AR84" s="88" t="s">
        <v>346</v>
      </c>
      <c r="AS84" s="88" t="s">
        <v>347</v>
      </c>
      <c r="AT84" s="88" t="s">
        <v>347</v>
      </c>
      <c r="AU84" s="88" t="s">
        <v>347</v>
      </c>
      <c r="AV84" s="88" t="s">
        <v>347</v>
      </c>
      <c r="AW84" s="88" t="s">
        <v>347</v>
      </c>
      <c r="AX84" s="88" t="s">
        <v>347</v>
      </c>
      <c r="AY84" s="88" t="s">
        <v>347</v>
      </c>
      <c r="AZ84" s="88" t="s">
        <v>347</v>
      </c>
      <c r="BA84" s="88" t="s">
        <v>347</v>
      </c>
      <c r="BB84" s="88" t="s">
        <v>347</v>
      </c>
      <c r="BC84" s="88" t="s">
        <v>347</v>
      </c>
      <c r="BD84" s="88" t="s">
        <v>347</v>
      </c>
      <c r="BE84" s="88" t="s">
        <v>347</v>
      </c>
      <c r="BF84" s="88" t="s">
        <v>347</v>
      </c>
      <c r="BG84" s="88" t="s">
        <v>347</v>
      </c>
      <c r="BH84" s="88" t="s">
        <v>347</v>
      </c>
      <c r="BI84" s="88" t="s">
        <v>346</v>
      </c>
      <c r="BJ84" s="88" t="s">
        <v>347</v>
      </c>
      <c r="BK84" s="88" t="s">
        <v>347</v>
      </c>
      <c r="BL84" s="88" t="s">
        <v>347</v>
      </c>
      <c r="BM84" s="88" t="s">
        <v>347</v>
      </c>
      <c r="BN84" s="88" t="s">
        <v>347</v>
      </c>
      <c r="BO84" s="88" t="s">
        <v>347</v>
      </c>
      <c r="BP84" s="88" t="s">
        <v>347</v>
      </c>
      <c r="BQ84" s="88" t="s">
        <v>346</v>
      </c>
      <c r="BR84" s="88" t="s">
        <v>347</v>
      </c>
      <c r="BS84" s="88" t="s">
        <v>347</v>
      </c>
      <c r="BT84" s="88" t="s">
        <v>347</v>
      </c>
      <c r="BU84" s="88" t="s">
        <v>347</v>
      </c>
      <c r="BV84" s="88" t="s">
        <v>347</v>
      </c>
      <c r="BW84" s="88" t="s">
        <v>347</v>
      </c>
      <c r="BX84" s="88" t="s">
        <v>347</v>
      </c>
      <c r="BY84" s="88" t="s">
        <v>347</v>
      </c>
      <c r="BZ84" s="91" t="s">
        <v>347</v>
      </c>
    </row>
    <row r="85" spans="1:78" s="2" customFormat="1" x14ac:dyDescent="0.25">
      <c r="A85" s="109" t="s">
        <v>258</v>
      </c>
      <c r="B85" s="88" t="s">
        <v>347</v>
      </c>
      <c r="C85" s="88" t="s">
        <v>347</v>
      </c>
      <c r="D85" s="88" t="s">
        <v>347</v>
      </c>
      <c r="E85" s="88" t="s">
        <v>346</v>
      </c>
      <c r="F85" s="88" t="s">
        <v>346</v>
      </c>
      <c r="G85" s="88" t="s">
        <v>347</v>
      </c>
      <c r="H85" s="88" t="s">
        <v>347</v>
      </c>
      <c r="I85" s="88" t="s">
        <v>347</v>
      </c>
      <c r="J85" s="91" t="s">
        <v>347</v>
      </c>
      <c r="K85" s="109" t="s">
        <v>258</v>
      </c>
      <c r="L85" s="88" t="str">
        <f>LOOKUP($K85,PantheonList!$A$18:$A$139,PantheonList!$B$18:$B$139)</f>
        <v>Animal Ken</v>
      </c>
      <c r="M85" s="88" t="str">
        <f>LOOKUP($K85,PantheonList!$A$18:$A$139,PantheonList!$C$18:$C$139)</f>
        <v>Control</v>
      </c>
      <c r="N85" s="88" t="str">
        <f>LOOKUP($K85,PantheonList!$A$18:$A$139,PantheonList!$D$18:$D$139)</f>
        <v>Fortitude</v>
      </c>
      <c r="O85" s="88" t="str">
        <f>LOOKUP($K85,PantheonList!$A$18:$A$139,PantheonList!$E$18:$E$139)</f>
        <v>Integrity</v>
      </c>
      <c r="P85" s="88" t="str">
        <f>LOOKUP($K85,PantheonList!$A$18:$A$139,PantheonList!$F$18:$F$139)</f>
        <v>Melee</v>
      </c>
      <c r="Q85" s="88" t="str">
        <f>LOOKUP($K85,PantheonList!$A$18:$A$139,PantheonList!$G$18:$G$139)</f>
        <v>Thrown</v>
      </c>
      <c r="R85" s="88" t="str">
        <f t="shared" si="16"/>
        <v>No</v>
      </c>
      <c r="S85" s="88" t="str">
        <f t="shared" si="16"/>
        <v>Yes</v>
      </c>
      <c r="T85" s="88" t="str">
        <f t="shared" si="16"/>
        <v>No</v>
      </c>
      <c r="U85" s="88" t="str">
        <f t="shared" si="16"/>
        <v>No</v>
      </c>
      <c r="V85" s="88" t="str">
        <f t="shared" si="16"/>
        <v>No</v>
      </c>
      <c r="W85" s="88" t="str">
        <f t="shared" si="16"/>
        <v>No</v>
      </c>
      <c r="X85" s="88" t="str">
        <f t="shared" si="16"/>
        <v>No</v>
      </c>
      <c r="Y85" s="88" t="str">
        <f t="shared" si="16"/>
        <v>Yes</v>
      </c>
      <c r="Z85" s="88" t="str">
        <f t="shared" si="16"/>
        <v>No</v>
      </c>
      <c r="AA85" s="88" t="str">
        <f t="shared" si="16"/>
        <v>No</v>
      </c>
      <c r="AB85" s="88" t="str">
        <f t="shared" si="17"/>
        <v>Yes</v>
      </c>
      <c r="AC85" s="88" t="str">
        <f t="shared" si="17"/>
        <v>Yes</v>
      </c>
      <c r="AD85" s="88" t="str">
        <f t="shared" si="17"/>
        <v>No</v>
      </c>
      <c r="AE85" s="88" t="str">
        <f t="shared" si="17"/>
        <v>No</v>
      </c>
      <c r="AF85" s="88" t="str">
        <f t="shared" si="17"/>
        <v>No</v>
      </c>
      <c r="AG85" s="88" t="str">
        <f t="shared" si="17"/>
        <v>No</v>
      </c>
      <c r="AH85" s="88" t="str">
        <f t="shared" si="17"/>
        <v>Yes</v>
      </c>
      <c r="AI85" s="88" t="str">
        <f t="shared" si="17"/>
        <v>No</v>
      </c>
      <c r="AJ85" s="88" t="str">
        <f t="shared" si="17"/>
        <v>No</v>
      </c>
      <c r="AK85" s="88" t="str">
        <f t="shared" si="17"/>
        <v>No</v>
      </c>
      <c r="AL85" s="88" t="str">
        <f t="shared" si="17"/>
        <v>No</v>
      </c>
      <c r="AM85" s="88" t="str">
        <f t="shared" si="17"/>
        <v>No</v>
      </c>
      <c r="AN85" s="88" t="str">
        <f t="shared" si="17"/>
        <v>No</v>
      </c>
      <c r="AO85" s="91" t="str">
        <f t="shared" si="17"/>
        <v>Yes</v>
      </c>
      <c r="AP85" s="109" t="s">
        <v>258</v>
      </c>
      <c r="AQ85" s="88">
        <v>85</v>
      </c>
      <c r="AR85" s="88" t="s">
        <v>346</v>
      </c>
      <c r="AS85" s="88" t="s">
        <v>346</v>
      </c>
      <c r="AT85" s="88" t="s">
        <v>347</v>
      </c>
      <c r="AU85" s="88" t="s">
        <v>347</v>
      </c>
      <c r="AV85" s="88" t="s">
        <v>347</v>
      </c>
      <c r="AW85" s="88" t="s">
        <v>347</v>
      </c>
      <c r="AX85" s="88" t="s">
        <v>347</v>
      </c>
      <c r="AY85" s="88" t="s">
        <v>347</v>
      </c>
      <c r="AZ85" s="88" t="s">
        <v>346</v>
      </c>
      <c r="BA85" s="88" t="s">
        <v>347</v>
      </c>
      <c r="BB85" s="88" t="s">
        <v>347</v>
      </c>
      <c r="BC85" s="88" t="s">
        <v>347</v>
      </c>
      <c r="BD85" s="88" t="s">
        <v>347</v>
      </c>
      <c r="BE85" s="88" t="s">
        <v>347</v>
      </c>
      <c r="BF85" s="88" t="s">
        <v>347</v>
      </c>
      <c r="BG85" s="88" t="s">
        <v>347</v>
      </c>
      <c r="BH85" s="88" t="s">
        <v>347</v>
      </c>
      <c r="BI85" s="88" t="s">
        <v>347</v>
      </c>
      <c r="BJ85" s="88" t="s">
        <v>347</v>
      </c>
      <c r="BK85" s="88" t="s">
        <v>347</v>
      </c>
      <c r="BL85" s="88" t="s">
        <v>347</v>
      </c>
      <c r="BM85" s="88" t="s">
        <v>347</v>
      </c>
      <c r="BN85" s="88" t="s">
        <v>347</v>
      </c>
      <c r="BO85" s="88" t="s">
        <v>347</v>
      </c>
      <c r="BP85" s="88" t="s">
        <v>347</v>
      </c>
      <c r="BQ85" s="88" t="s">
        <v>347</v>
      </c>
      <c r="BR85" s="88" t="s">
        <v>347</v>
      </c>
      <c r="BS85" s="88" t="s">
        <v>347</v>
      </c>
      <c r="BT85" s="88" t="s">
        <v>347</v>
      </c>
      <c r="BU85" s="88" t="s">
        <v>347</v>
      </c>
      <c r="BV85" s="88" t="s">
        <v>347</v>
      </c>
      <c r="BW85" s="88" t="s">
        <v>347</v>
      </c>
      <c r="BX85" s="88" t="s">
        <v>347</v>
      </c>
      <c r="BY85" s="88" t="s">
        <v>347</v>
      </c>
      <c r="BZ85" s="91" t="s">
        <v>346</v>
      </c>
    </row>
    <row r="86" spans="1:78" s="2" customFormat="1" x14ac:dyDescent="0.25">
      <c r="A86" s="109" t="s">
        <v>276</v>
      </c>
      <c r="B86" s="88" t="s">
        <v>347</v>
      </c>
      <c r="C86" s="88" t="s">
        <v>347</v>
      </c>
      <c r="D86" s="88" t="s">
        <v>347</v>
      </c>
      <c r="E86" s="88" t="s">
        <v>347</v>
      </c>
      <c r="F86" s="88" t="s">
        <v>347</v>
      </c>
      <c r="G86" s="88" t="s">
        <v>347</v>
      </c>
      <c r="H86" s="88" t="s">
        <v>347</v>
      </c>
      <c r="I86" s="88" t="s">
        <v>346</v>
      </c>
      <c r="J86" s="91" t="s">
        <v>347</v>
      </c>
      <c r="K86" s="109" t="s">
        <v>276</v>
      </c>
      <c r="L86" s="88" t="str">
        <f>LOOKUP($K86,PantheonList!$A$18:$A$139,PantheonList!$B$18:$B$139)</f>
        <v>Art</v>
      </c>
      <c r="M86" s="88" t="str">
        <f>LOOKUP($K86,PantheonList!$A$18:$A$139,PantheonList!$C$18:$C$139)</f>
        <v>Craft</v>
      </c>
      <c r="N86" s="88" t="str">
        <f>LOOKUP($K86,PantheonList!$A$18:$A$139,PantheonList!$D$18:$D$139)</f>
        <v>Investigation</v>
      </c>
      <c r="O86" s="88" t="str">
        <f>LOOKUP($K86,PantheonList!$A$18:$A$139,PantheonList!$E$18:$E$139)</f>
        <v>Larceny</v>
      </c>
      <c r="P86" s="88" t="str">
        <f>LOOKUP($K86,PantheonList!$A$18:$A$139,PantheonList!$F$18:$F$139)</f>
        <v>Science</v>
      </c>
      <c r="Q86" s="88" t="str">
        <f>LOOKUP($K86,PantheonList!$A$18:$A$139,PantheonList!$G$18:$G$139)</f>
        <v>Thrown</v>
      </c>
      <c r="R86" s="88" t="str">
        <f t="shared" si="16"/>
        <v>No</v>
      </c>
      <c r="S86" s="88" t="str">
        <f t="shared" si="16"/>
        <v>No</v>
      </c>
      <c r="T86" s="88" t="str">
        <f t="shared" si="16"/>
        <v>Yes</v>
      </c>
      <c r="U86" s="88" t="str">
        <f t="shared" si="16"/>
        <v>No</v>
      </c>
      <c r="V86" s="88" t="str">
        <f t="shared" si="16"/>
        <v>No</v>
      </c>
      <c r="W86" s="88" t="str">
        <f t="shared" si="16"/>
        <v>No</v>
      </c>
      <c r="X86" s="88" t="str">
        <f t="shared" si="16"/>
        <v>No</v>
      </c>
      <c r="Y86" s="88" t="str">
        <f t="shared" si="16"/>
        <v>No</v>
      </c>
      <c r="Z86" s="88" t="str">
        <f t="shared" si="16"/>
        <v>Yes</v>
      </c>
      <c r="AA86" s="88" t="str">
        <f t="shared" si="16"/>
        <v>No</v>
      </c>
      <c r="AB86" s="88" t="str">
        <f t="shared" si="17"/>
        <v>No</v>
      </c>
      <c r="AC86" s="88" t="str">
        <f t="shared" si="17"/>
        <v>No</v>
      </c>
      <c r="AD86" s="88" t="str">
        <f t="shared" si="17"/>
        <v>Yes</v>
      </c>
      <c r="AE86" s="88" t="str">
        <f t="shared" si="17"/>
        <v>Yes</v>
      </c>
      <c r="AF86" s="88" t="str">
        <f t="shared" si="17"/>
        <v>No</v>
      </c>
      <c r="AG86" s="88" t="str">
        <f t="shared" si="17"/>
        <v>No</v>
      </c>
      <c r="AH86" s="88" t="str">
        <f t="shared" si="17"/>
        <v>No</v>
      </c>
      <c r="AI86" s="88" t="str">
        <f t="shared" si="17"/>
        <v>No</v>
      </c>
      <c r="AJ86" s="88" t="str">
        <f t="shared" si="17"/>
        <v>No</v>
      </c>
      <c r="AK86" s="88" t="str">
        <f t="shared" si="17"/>
        <v>No</v>
      </c>
      <c r="AL86" s="88" t="str">
        <f t="shared" si="17"/>
        <v>Yes</v>
      </c>
      <c r="AM86" s="88" t="str">
        <f t="shared" si="17"/>
        <v>No</v>
      </c>
      <c r="AN86" s="88" t="str">
        <f t="shared" si="17"/>
        <v>No</v>
      </c>
      <c r="AO86" s="91" t="str">
        <f t="shared" si="17"/>
        <v>Yes</v>
      </c>
      <c r="AP86" s="109" t="s">
        <v>276</v>
      </c>
      <c r="AQ86" s="88">
        <v>86</v>
      </c>
      <c r="AR86" s="88" t="s">
        <v>347</v>
      </c>
      <c r="AS86" s="88" t="s">
        <v>347</v>
      </c>
      <c r="AT86" s="88" t="s">
        <v>347</v>
      </c>
      <c r="AU86" s="88" t="s">
        <v>347</v>
      </c>
      <c r="AV86" s="88" t="s">
        <v>347</v>
      </c>
      <c r="AW86" s="88" t="s">
        <v>347</v>
      </c>
      <c r="AX86" s="88" t="s">
        <v>347</v>
      </c>
      <c r="AY86" s="88" t="s">
        <v>347</v>
      </c>
      <c r="AZ86" s="88" t="s">
        <v>347</v>
      </c>
      <c r="BA86" s="88" t="s">
        <v>347</v>
      </c>
      <c r="BB86" s="88" t="s">
        <v>347</v>
      </c>
      <c r="BC86" s="88" t="s">
        <v>346</v>
      </c>
      <c r="BD86" s="88" t="s">
        <v>347</v>
      </c>
      <c r="BE86" s="88" t="s">
        <v>347</v>
      </c>
      <c r="BF86" s="88" t="s">
        <v>347</v>
      </c>
      <c r="BG86" s="88" t="s">
        <v>346</v>
      </c>
      <c r="BH86" s="88" t="s">
        <v>347</v>
      </c>
      <c r="BI86" s="88" t="s">
        <v>347</v>
      </c>
      <c r="BJ86" s="88" t="s">
        <v>347</v>
      </c>
      <c r="BK86" s="88" t="s">
        <v>347</v>
      </c>
      <c r="BL86" s="88" t="s">
        <v>347</v>
      </c>
      <c r="BM86" s="88" t="s">
        <v>347</v>
      </c>
      <c r="BN86" s="88" t="s">
        <v>347</v>
      </c>
      <c r="BO86" s="88" t="s">
        <v>347</v>
      </c>
      <c r="BP86" s="88" t="s">
        <v>347</v>
      </c>
      <c r="BQ86" s="88" t="s">
        <v>346</v>
      </c>
      <c r="BR86" s="88" t="s">
        <v>347</v>
      </c>
      <c r="BS86" s="88" t="s">
        <v>347</v>
      </c>
      <c r="BT86" s="88" t="s">
        <v>347</v>
      </c>
      <c r="BU86" s="88" t="s">
        <v>347</v>
      </c>
      <c r="BV86" s="88" t="s">
        <v>347</v>
      </c>
      <c r="BW86" s="88" t="s">
        <v>347</v>
      </c>
      <c r="BX86" s="88" t="s">
        <v>347</v>
      </c>
      <c r="BY86" s="88" t="s">
        <v>347</v>
      </c>
      <c r="BZ86" s="91" t="s">
        <v>347</v>
      </c>
    </row>
    <row r="87" spans="1:78" s="2" customFormat="1" x14ac:dyDescent="0.25">
      <c r="A87" s="109" t="s">
        <v>216</v>
      </c>
      <c r="B87" s="88" t="s">
        <v>347</v>
      </c>
      <c r="C87" s="88" t="s">
        <v>347</v>
      </c>
      <c r="D87" s="88" t="s">
        <v>347</v>
      </c>
      <c r="E87" s="88" t="s">
        <v>346</v>
      </c>
      <c r="F87" s="88" t="s">
        <v>347</v>
      </c>
      <c r="G87" s="88" t="s">
        <v>347</v>
      </c>
      <c r="H87" s="88" t="s">
        <v>347</v>
      </c>
      <c r="I87" s="88" t="s">
        <v>346</v>
      </c>
      <c r="J87" s="91" t="s">
        <v>347</v>
      </c>
      <c r="K87" s="109" t="s">
        <v>216</v>
      </c>
      <c r="L87" s="88" t="str">
        <f>LOOKUP($K87,PantheonList!$A$18:$A$139,PantheonList!$B$18:$B$139)</f>
        <v>Academics</v>
      </c>
      <c r="M87" s="88" t="str">
        <f>LOOKUP($K87,PantheonList!$A$18:$A$139,PantheonList!$C$18:$C$139)</f>
        <v>Command</v>
      </c>
      <c r="N87" s="88" t="str">
        <f>LOOKUP($K87,PantheonList!$A$18:$A$139,PantheonList!$D$18:$D$139)</f>
        <v>Investigation</v>
      </c>
      <c r="O87" s="88" t="str">
        <f>LOOKUP($K87,PantheonList!$A$18:$A$139,PantheonList!$E$18:$E$139)</f>
        <v>Medicine</v>
      </c>
      <c r="P87" s="88" t="str">
        <f>LOOKUP($K87,PantheonList!$A$18:$A$139,PantheonList!$F$18:$F$139)</f>
        <v>Melee</v>
      </c>
      <c r="Q87" s="88" t="str">
        <f>LOOKUP($K87,PantheonList!$A$18:$A$139,PantheonList!$G$18:$G$139)</f>
        <v>Science</v>
      </c>
      <c r="R87" s="88" t="str">
        <f t="shared" si="16"/>
        <v>Yes</v>
      </c>
      <c r="S87" s="88" t="str">
        <f t="shared" si="16"/>
        <v>No</v>
      </c>
      <c r="T87" s="88" t="str">
        <f t="shared" si="16"/>
        <v>No</v>
      </c>
      <c r="U87" s="88" t="str">
        <f t="shared" si="16"/>
        <v>No</v>
      </c>
      <c r="V87" s="88" t="str">
        <f t="shared" si="16"/>
        <v>No</v>
      </c>
      <c r="W87" s="88" t="str">
        <f t="shared" si="16"/>
        <v>No</v>
      </c>
      <c r="X87" s="88" t="str">
        <f t="shared" si="16"/>
        <v>Yes</v>
      </c>
      <c r="Y87" s="88" t="str">
        <f t="shared" si="16"/>
        <v>No</v>
      </c>
      <c r="Z87" s="88" t="str">
        <f t="shared" si="16"/>
        <v>No</v>
      </c>
      <c r="AA87" s="88" t="str">
        <f t="shared" si="16"/>
        <v>No</v>
      </c>
      <c r="AB87" s="88" t="str">
        <f t="shared" si="17"/>
        <v>No</v>
      </c>
      <c r="AC87" s="88" t="str">
        <f t="shared" si="17"/>
        <v>No</v>
      </c>
      <c r="AD87" s="88" t="str">
        <f t="shared" si="17"/>
        <v>Yes</v>
      </c>
      <c r="AE87" s="88" t="str">
        <f t="shared" si="17"/>
        <v>No</v>
      </c>
      <c r="AF87" s="88" t="str">
        <f t="shared" si="17"/>
        <v>No</v>
      </c>
      <c r="AG87" s="88" t="str">
        <f t="shared" si="17"/>
        <v>Yes</v>
      </c>
      <c r="AH87" s="88" t="str">
        <f t="shared" si="17"/>
        <v>Yes</v>
      </c>
      <c r="AI87" s="88" t="str">
        <f t="shared" si="17"/>
        <v>No</v>
      </c>
      <c r="AJ87" s="88" t="str">
        <f t="shared" si="17"/>
        <v>No</v>
      </c>
      <c r="AK87" s="88" t="str">
        <f t="shared" si="17"/>
        <v>No</v>
      </c>
      <c r="AL87" s="88" t="str">
        <f t="shared" si="17"/>
        <v>Yes</v>
      </c>
      <c r="AM87" s="88" t="str">
        <f t="shared" si="17"/>
        <v>No</v>
      </c>
      <c r="AN87" s="88" t="str">
        <f t="shared" si="17"/>
        <v>No</v>
      </c>
      <c r="AO87" s="91" t="str">
        <f t="shared" si="17"/>
        <v>No</v>
      </c>
      <c r="AP87" s="109" t="s">
        <v>216</v>
      </c>
      <c r="AQ87" s="88">
        <v>87</v>
      </c>
      <c r="AR87" s="88" t="s">
        <v>346</v>
      </c>
      <c r="AS87" s="88" t="s">
        <v>347</v>
      </c>
      <c r="AT87" s="88" t="s">
        <v>347</v>
      </c>
      <c r="AU87" s="88" t="s">
        <v>347</v>
      </c>
      <c r="AV87" s="88" t="s">
        <v>347</v>
      </c>
      <c r="AW87" s="88" t="s">
        <v>347</v>
      </c>
      <c r="AX87" s="88" t="s">
        <v>347</v>
      </c>
      <c r="AY87" s="88" t="s">
        <v>347</v>
      </c>
      <c r="AZ87" s="88" t="s">
        <v>346</v>
      </c>
      <c r="BA87" s="88" t="s">
        <v>347</v>
      </c>
      <c r="BB87" s="88" t="s">
        <v>346</v>
      </c>
      <c r="BC87" s="88" t="s">
        <v>347</v>
      </c>
      <c r="BD87" s="88" t="s">
        <v>347</v>
      </c>
      <c r="BE87" s="88" t="s">
        <v>347</v>
      </c>
      <c r="BF87" s="88" t="s">
        <v>346</v>
      </c>
      <c r="BG87" s="88" t="s">
        <v>347</v>
      </c>
      <c r="BH87" s="88" t="s">
        <v>347</v>
      </c>
      <c r="BI87" s="88" t="s">
        <v>347</v>
      </c>
      <c r="BJ87" s="88" t="s">
        <v>346</v>
      </c>
      <c r="BK87" s="88" t="s">
        <v>347</v>
      </c>
      <c r="BL87" s="88" t="s">
        <v>346</v>
      </c>
      <c r="BM87" s="88" t="s">
        <v>347</v>
      </c>
      <c r="BN87" s="88" t="s">
        <v>347</v>
      </c>
      <c r="BO87" s="88" t="s">
        <v>347</v>
      </c>
      <c r="BP87" s="88" t="s">
        <v>347</v>
      </c>
      <c r="BQ87" s="88" t="s">
        <v>346</v>
      </c>
      <c r="BR87" s="88" t="s">
        <v>347</v>
      </c>
      <c r="BS87" s="88" t="s">
        <v>347</v>
      </c>
      <c r="BT87" s="88" t="s">
        <v>346</v>
      </c>
      <c r="BU87" s="88" t="s">
        <v>347</v>
      </c>
      <c r="BV87" s="88" t="s">
        <v>347</v>
      </c>
      <c r="BW87" s="88" t="s">
        <v>347</v>
      </c>
      <c r="BX87" s="88" t="s">
        <v>347</v>
      </c>
      <c r="BY87" s="88" t="s">
        <v>347</v>
      </c>
      <c r="BZ87" s="91" t="s">
        <v>346</v>
      </c>
    </row>
    <row r="88" spans="1:78" s="2" customFormat="1" x14ac:dyDescent="0.25">
      <c r="A88" s="109" t="s">
        <v>259</v>
      </c>
      <c r="B88" s="88" t="s">
        <v>346</v>
      </c>
      <c r="C88" s="88" t="s">
        <v>347</v>
      </c>
      <c r="D88" s="88" t="s">
        <v>347</v>
      </c>
      <c r="E88" s="88" t="s">
        <v>347</v>
      </c>
      <c r="F88" s="88" t="s">
        <v>347</v>
      </c>
      <c r="G88" s="88" t="s">
        <v>347</v>
      </c>
      <c r="H88" s="88" t="s">
        <v>347</v>
      </c>
      <c r="I88" s="88" t="s">
        <v>347</v>
      </c>
      <c r="J88" s="91" t="s">
        <v>347</v>
      </c>
      <c r="K88" s="109" t="s">
        <v>259</v>
      </c>
      <c r="L88" s="88" t="str">
        <f>LOOKUP($K88,PantheonList!$A$18:$A$139,PantheonList!$B$18:$B$139)</f>
        <v>Animal Ken</v>
      </c>
      <c r="M88" s="88" t="str">
        <f>LOOKUP($K88,PantheonList!$A$18:$A$139,PantheonList!$C$18:$C$139)</f>
        <v>Athletics</v>
      </c>
      <c r="N88" s="88" t="str">
        <f>LOOKUP($K88,PantheonList!$A$18:$A$139,PantheonList!$D$18:$D$139)</f>
        <v>Command</v>
      </c>
      <c r="O88" s="88" t="str">
        <f>LOOKUP($K88,PantheonList!$A$18:$A$139,PantheonList!$E$18:$E$139)</f>
        <v>Melee</v>
      </c>
      <c r="P88" s="88" t="str">
        <f>LOOKUP($K88,PantheonList!$A$18:$A$139,PantheonList!$F$18:$F$139)</f>
        <v>Presence</v>
      </c>
      <c r="Q88" s="88" t="str">
        <f>LOOKUP($K88,PantheonList!$A$18:$A$139,PantheonList!$G$18:$G$139)</f>
        <v>Survival</v>
      </c>
      <c r="R88" s="88" t="str">
        <f t="shared" si="16"/>
        <v>No</v>
      </c>
      <c r="S88" s="88" t="str">
        <f t="shared" si="16"/>
        <v>Yes</v>
      </c>
      <c r="T88" s="88" t="str">
        <f t="shared" si="16"/>
        <v>No</v>
      </c>
      <c r="U88" s="88" t="str">
        <f t="shared" si="16"/>
        <v>Yes</v>
      </c>
      <c r="V88" s="88" t="str">
        <f t="shared" si="16"/>
        <v>No</v>
      </c>
      <c r="W88" s="88" t="str">
        <f t="shared" si="16"/>
        <v>No</v>
      </c>
      <c r="X88" s="88" t="str">
        <f t="shared" si="16"/>
        <v>Yes</v>
      </c>
      <c r="Y88" s="88" t="str">
        <f t="shared" si="16"/>
        <v>No</v>
      </c>
      <c r="Z88" s="88" t="str">
        <f t="shared" si="16"/>
        <v>No</v>
      </c>
      <c r="AA88" s="88" t="str">
        <f t="shared" si="16"/>
        <v>No</v>
      </c>
      <c r="AB88" s="88" t="str">
        <f t="shared" si="17"/>
        <v>No</v>
      </c>
      <c r="AC88" s="88" t="str">
        <f t="shared" si="17"/>
        <v>No</v>
      </c>
      <c r="AD88" s="88" t="str">
        <f t="shared" si="17"/>
        <v>No</v>
      </c>
      <c r="AE88" s="88" t="str">
        <f t="shared" si="17"/>
        <v>No</v>
      </c>
      <c r="AF88" s="88" t="str">
        <f t="shared" si="17"/>
        <v>No</v>
      </c>
      <c r="AG88" s="88" t="str">
        <f t="shared" si="17"/>
        <v>No</v>
      </c>
      <c r="AH88" s="88" t="str">
        <f t="shared" si="17"/>
        <v>Yes</v>
      </c>
      <c r="AI88" s="88" t="str">
        <f t="shared" si="17"/>
        <v>No</v>
      </c>
      <c r="AJ88" s="88" t="str">
        <f t="shared" si="17"/>
        <v>No</v>
      </c>
      <c r="AK88" s="88" t="str">
        <f t="shared" si="17"/>
        <v>Yes</v>
      </c>
      <c r="AL88" s="88" t="str">
        <f t="shared" si="17"/>
        <v>No</v>
      </c>
      <c r="AM88" s="88" t="str">
        <f t="shared" si="17"/>
        <v>No</v>
      </c>
      <c r="AN88" s="88" t="str">
        <f t="shared" si="17"/>
        <v>Yes</v>
      </c>
      <c r="AO88" s="91" t="str">
        <f t="shared" si="17"/>
        <v>No</v>
      </c>
      <c r="AP88" s="109" t="s">
        <v>259</v>
      </c>
      <c r="AQ88" s="88">
        <v>88</v>
      </c>
      <c r="AR88" s="88" t="s">
        <v>346</v>
      </c>
      <c r="AS88" s="88" t="s">
        <v>346</v>
      </c>
      <c r="AT88" s="88" t="s">
        <v>347</v>
      </c>
      <c r="AU88" s="88" t="s">
        <v>347</v>
      </c>
      <c r="AV88" s="88" t="s">
        <v>347</v>
      </c>
      <c r="AW88" s="88" t="s">
        <v>347</v>
      </c>
      <c r="AX88" s="88" t="s">
        <v>347</v>
      </c>
      <c r="AY88" s="88" t="s">
        <v>347</v>
      </c>
      <c r="AZ88" s="88" t="s">
        <v>347</v>
      </c>
      <c r="BA88" s="88" t="s">
        <v>347</v>
      </c>
      <c r="BB88" s="88" t="s">
        <v>347</v>
      </c>
      <c r="BC88" s="88" t="s">
        <v>347</v>
      </c>
      <c r="BD88" s="88" t="s">
        <v>347</v>
      </c>
      <c r="BE88" s="88" t="s">
        <v>347</v>
      </c>
      <c r="BF88" s="88" t="s">
        <v>347</v>
      </c>
      <c r="BG88" s="88" t="s">
        <v>347</v>
      </c>
      <c r="BH88" s="88" t="s">
        <v>347</v>
      </c>
      <c r="BI88" s="88" t="s">
        <v>347</v>
      </c>
      <c r="BJ88" s="88" t="s">
        <v>347</v>
      </c>
      <c r="BK88" s="88" t="s">
        <v>347</v>
      </c>
      <c r="BL88" s="88" t="s">
        <v>347</v>
      </c>
      <c r="BM88" s="88" t="s">
        <v>347</v>
      </c>
      <c r="BN88" s="88" t="s">
        <v>347</v>
      </c>
      <c r="BO88" s="88" t="s">
        <v>347</v>
      </c>
      <c r="BP88" s="88" t="s">
        <v>347</v>
      </c>
      <c r="BQ88" s="88" t="s">
        <v>347</v>
      </c>
      <c r="BR88" s="88" t="s">
        <v>347</v>
      </c>
      <c r="BS88" s="88" t="s">
        <v>347</v>
      </c>
      <c r="BT88" s="88" t="s">
        <v>347</v>
      </c>
      <c r="BU88" s="88" t="s">
        <v>347</v>
      </c>
      <c r="BV88" s="88" t="s">
        <v>347</v>
      </c>
      <c r="BW88" s="88" t="s">
        <v>347</v>
      </c>
      <c r="BX88" s="88" t="s">
        <v>347</v>
      </c>
      <c r="BY88" s="88" t="s">
        <v>346</v>
      </c>
      <c r="BZ88" s="91" t="s">
        <v>347</v>
      </c>
    </row>
    <row r="89" spans="1:78" s="2" customFormat="1" x14ac:dyDescent="0.25">
      <c r="A89" s="109" t="s">
        <v>210</v>
      </c>
      <c r="B89" s="88" t="s">
        <v>347</v>
      </c>
      <c r="C89" s="88" t="s">
        <v>346</v>
      </c>
      <c r="D89" s="88" t="s">
        <v>347</v>
      </c>
      <c r="E89" s="88" t="s">
        <v>347</v>
      </c>
      <c r="F89" s="88" t="s">
        <v>347</v>
      </c>
      <c r="G89" s="88" t="s">
        <v>346</v>
      </c>
      <c r="H89" s="88" t="s">
        <v>347</v>
      </c>
      <c r="I89" s="88" t="s">
        <v>347</v>
      </c>
      <c r="J89" s="91" t="s">
        <v>347</v>
      </c>
      <c r="K89" s="109" t="s">
        <v>210</v>
      </c>
      <c r="L89" s="88" t="str">
        <f>LOOKUP($K89,PantheonList!$A$18:$A$139,PantheonList!$B$18:$B$139)</f>
        <v>Athletics</v>
      </c>
      <c r="M89" s="88" t="str">
        <f>LOOKUP($K89,PantheonList!$A$18:$A$139,PantheonList!$C$18:$C$139)</f>
        <v>Brawl</v>
      </c>
      <c r="N89" s="88" t="str">
        <f>LOOKUP($K89,PantheonList!$A$18:$A$139,PantheonList!$D$18:$D$139)</f>
        <v>Fortitude</v>
      </c>
      <c r="O89" s="88" t="str">
        <f>LOOKUP($K89,PantheonList!$A$18:$A$139,PantheonList!$E$18:$E$139)</f>
        <v>Marksmanship</v>
      </c>
      <c r="P89" s="88" t="str">
        <f>LOOKUP($K89,PantheonList!$A$18:$A$139,PantheonList!$F$18:$F$139)</f>
        <v>Presence</v>
      </c>
      <c r="Q89" s="88" t="str">
        <f>LOOKUP($K89,PantheonList!$A$18:$A$139,PantheonList!$G$18:$G$139)</f>
        <v>Science</v>
      </c>
      <c r="R89" s="88" t="str">
        <f t="shared" si="16"/>
        <v>No</v>
      </c>
      <c r="S89" s="88" t="str">
        <f t="shared" si="16"/>
        <v>No</v>
      </c>
      <c r="T89" s="88" t="str">
        <f t="shared" si="16"/>
        <v>No</v>
      </c>
      <c r="U89" s="88" t="str">
        <f t="shared" si="16"/>
        <v>Yes</v>
      </c>
      <c r="V89" s="88" t="str">
        <f t="shared" si="16"/>
        <v>No</v>
      </c>
      <c r="W89" s="88" t="str">
        <f t="shared" si="16"/>
        <v>Yes</v>
      </c>
      <c r="X89" s="88" t="str">
        <f t="shared" si="16"/>
        <v>No</v>
      </c>
      <c r="Y89" s="88" t="str">
        <f t="shared" si="16"/>
        <v>No</v>
      </c>
      <c r="Z89" s="88" t="str">
        <f t="shared" si="16"/>
        <v>No</v>
      </c>
      <c r="AA89" s="88" t="str">
        <f t="shared" si="16"/>
        <v>No</v>
      </c>
      <c r="AB89" s="88" t="str">
        <f t="shared" si="17"/>
        <v>Yes</v>
      </c>
      <c r="AC89" s="88" t="str">
        <f t="shared" si="17"/>
        <v>No</v>
      </c>
      <c r="AD89" s="88" t="str">
        <f t="shared" si="17"/>
        <v>No</v>
      </c>
      <c r="AE89" s="88" t="str">
        <f t="shared" si="17"/>
        <v>No</v>
      </c>
      <c r="AF89" s="88" t="str">
        <f t="shared" si="17"/>
        <v>Yes</v>
      </c>
      <c r="AG89" s="88" t="str">
        <f t="shared" si="17"/>
        <v>No</v>
      </c>
      <c r="AH89" s="88" t="str">
        <f t="shared" si="17"/>
        <v>No</v>
      </c>
      <c r="AI89" s="88" t="str">
        <f t="shared" si="17"/>
        <v>No</v>
      </c>
      <c r="AJ89" s="88" t="str">
        <f t="shared" si="17"/>
        <v>No</v>
      </c>
      <c r="AK89" s="88" t="str">
        <f t="shared" si="17"/>
        <v>Yes</v>
      </c>
      <c r="AL89" s="88" t="str">
        <f t="shared" si="17"/>
        <v>Yes</v>
      </c>
      <c r="AM89" s="88" t="str">
        <f t="shared" si="17"/>
        <v>No</v>
      </c>
      <c r="AN89" s="88" t="str">
        <f t="shared" si="17"/>
        <v>No</v>
      </c>
      <c r="AO89" s="91" t="str">
        <f t="shared" si="17"/>
        <v>No</v>
      </c>
      <c r="AP89" s="109" t="s">
        <v>210</v>
      </c>
      <c r="AQ89" s="88">
        <v>89</v>
      </c>
      <c r="AR89" s="88" t="s">
        <v>347</v>
      </c>
      <c r="AS89" s="88" t="s">
        <v>347</v>
      </c>
      <c r="AT89" s="88" t="s">
        <v>347</v>
      </c>
      <c r="AU89" s="88" t="s">
        <v>347</v>
      </c>
      <c r="AV89" s="88" t="s">
        <v>347</v>
      </c>
      <c r="AW89" s="88" t="s">
        <v>347</v>
      </c>
      <c r="AX89" s="88" t="s">
        <v>347</v>
      </c>
      <c r="AY89" s="88" t="s">
        <v>347</v>
      </c>
      <c r="AZ89" s="88" t="s">
        <v>347</v>
      </c>
      <c r="BA89" s="88" t="s">
        <v>347</v>
      </c>
      <c r="BB89" s="88" t="s">
        <v>347</v>
      </c>
      <c r="BC89" s="88" t="s">
        <v>347</v>
      </c>
      <c r="BD89" s="88" t="s">
        <v>347</v>
      </c>
      <c r="BE89" s="88" t="s">
        <v>346</v>
      </c>
      <c r="BF89" s="88" t="s">
        <v>347</v>
      </c>
      <c r="BG89" s="88" t="s">
        <v>347</v>
      </c>
      <c r="BH89" s="88" t="s">
        <v>347</v>
      </c>
      <c r="BI89" s="88" t="s">
        <v>347</v>
      </c>
      <c r="BJ89" s="88" t="s">
        <v>347</v>
      </c>
      <c r="BK89" s="88" t="s">
        <v>347</v>
      </c>
      <c r="BL89" s="88" t="s">
        <v>347</v>
      </c>
      <c r="BM89" s="88" t="s">
        <v>347</v>
      </c>
      <c r="BN89" s="88" t="s">
        <v>347</v>
      </c>
      <c r="BO89" s="88" t="s">
        <v>347</v>
      </c>
      <c r="BP89" s="88" t="s">
        <v>347</v>
      </c>
      <c r="BQ89" s="88" t="s">
        <v>347</v>
      </c>
      <c r="BR89" s="88" t="s">
        <v>347</v>
      </c>
      <c r="BS89" s="88" t="s">
        <v>347</v>
      </c>
      <c r="BT89" s="88" t="s">
        <v>346</v>
      </c>
      <c r="BU89" s="88" t="s">
        <v>347</v>
      </c>
      <c r="BV89" s="88" t="s">
        <v>347</v>
      </c>
      <c r="BW89" s="88" t="s">
        <v>347</v>
      </c>
      <c r="BX89" s="88" t="s">
        <v>346</v>
      </c>
      <c r="BY89" s="88" t="s">
        <v>347</v>
      </c>
      <c r="BZ89" s="91" t="s">
        <v>347</v>
      </c>
    </row>
    <row r="90" spans="1:78" s="2" customFormat="1" x14ac:dyDescent="0.25">
      <c r="A90" s="109" t="s">
        <v>313</v>
      </c>
      <c r="B90" s="88" t="s">
        <v>347</v>
      </c>
      <c r="C90" s="88" t="s">
        <v>346</v>
      </c>
      <c r="D90" s="88" t="s">
        <v>347</v>
      </c>
      <c r="E90" s="88" t="s">
        <v>346</v>
      </c>
      <c r="F90" s="88" t="s">
        <v>347</v>
      </c>
      <c r="G90" s="88" t="s">
        <v>346</v>
      </c>
      <c r="H90" s="88" t="s">
        <v>347</v>
      </c>
      <c r="I90" s="88" t="s">
        <v>347</v>
      </c>
      <c r="J90" s="91" t="s">
        <v>346</v>
      </c>
      <c r="K90" s="109" t="s">
        <v>313</v>
      </c>
      <c r="L90" s="88" t="str">
        <f>LOOKUP($K90,PantheonList!$A$18:$A$139,PantheonList!$B$18:$B$139)</f>
        <v>Athletics</v>
      </c>
      <c r="M90" s="88" t="str">
        <f>LOOKUP($K90,PantheonList!$A$18:$A$139,PantheonList!$C$18:$C$139)</f>
        <v>Larceny</v>
      </c>
      <c r="N90" s="88" t="str">
        <f>LOOKUP($K90,PantheonList!$A$18:$A$139,PantheonList!$D$18:$D$139)</f>
        <v>Marksmanship</v>
      </c>
      <c r="O90" s="88" t="str">
        <f>LOOKUP($K90,PantheonList!$A$18:$A$139,PantheonList!$E$18:$E$139)</f>
        <v>Melee</v>
      </c>
      <c r="P90" s="88" t="str">
        <f>LOOKUP($K90,PantheonList!$A$18:$A$139,PantheonList!$F$18:$F$139)</f>
        <v>Presence</v>
      </c>
      <c r="Q90" s="88" t="str">
        <f>LOOKUP($K90,PantheonList!$A$18:$A$139,PantheonList!$G$18:$G$139)</f>
        <v>Stealth</v>
      </c>
      <c r="R90" s="88" t="str">
        <f t="shared" si="16"/>
        <v>No</v>
      </c>
      <c r="S90" s="88" t="str">
        <f t="shared" si="16"/>
        <v>No</v>
      </c>
      <c r="T90" s="88" t="str">
        <f t="shared" si="16"/>
        <v>No</v>
      </c>
      <c r="U90" s="88" t="str">
        <f t="shared" si="16"/>
        <v>Yes</v>
      </c>
      <c r="V90" s="88" t="str">
        <f t="shared" si="16"/>
        <v>No</v>
      </c>
      <c r="W90" s="88" t="str">
        <f t="shared" si="16"/>
        <v>No</v>
      </c>
      <c r="X90" s="88" t="str">
        <f t="shared" si="16"/>
        <v>No</v>
      </c>
      <c r="Y90" s="88" t="str">
        <f t="shared" si="16"/>
        <v>No</v>
      </c>
      <c r="Z90" s="88" t="str">
        <f t="shared" si="16"/>
        <v>No</v>
      </c>
      <c r="AA90" s="88" t="str">
        <f t="shared" si="16"/>
        <v>No</v>
      </c>
      <c r="AB90" s="88" t="str">
        <f t="shared" si="17"/>
        <v>No</v>
      </c>
      <c r="AC90" s="88" t="str">
        <f t="shared" si="17"/>
        <v>No</v>
      </c>
      <c r="AD90" s="88" t="str">
        <f t="shared" si="17"/>
        <v>No</v>
      </c>
      <c r="AE90" s="88" t="str">
        <f t="shared" si="17"/>
        <v>Yes</v>
      </c>
      <c r="AF90" s="88" t="str">
        <f t="shared" si="17"/>
        <v>Yes</v>
      </c>
      <c r="AG90" s="88" t="str">
        <f t="shared" si="17"/>
        <v>No</v>
      </c>
      <c r="AH90" s="88" t="str">
        <f t="shared" si="17"/>
        <v>Yes</v>
      </c>
      <c r="AI90" s="88" t="str">
        <f t="shared" si="17"/>
        <v>No</v>
      </c>
      <c r="AJ90" s="88" t="str">
        <f t="shared" si="17"/>
        <v>No</v>
      </c>
      <c r="AK90" s="88" t="str">
        <f t="shared" si="17"/>
        <v>Yes</v>
      </c>
      <c r="AL90" s="88" t="str">
        <f t="shared" si="17"/>
        <v>No</v>
      </c>
      <c r="AM90" s="88" t="str">
        <f t="shared" si="17"/>
        <v>Yes</v>
      </c>
      <c r="AN90" s="88" t="str">
        <f t="shared" si="17"/>
        <v>No</v>
      </c>
      <c r="AO90" s="91" t="str">
        <f t="shared" si="17"/>
        <v>No</v>
      </c>
      <c r="AP90" s="109" t="s">
        <v>313</v>
      </c>
      <c r="AQ90" s="88">
        <v>90</v>
      </c>
      <c r="AR90" s="88" t="s">
        <v>347</v>
      </c>
      <c r="AS90" s="88" t="s">
        <v>347</v>
      </c>
      <c r="AT90" s="88" t="s">
        <v>347</v>
      </c>
      <c r="AU90" s="88" t="s">
        <v>346</v>
      </c>
      <c r="AV90" s="88" t="s">
        <v>347</v>
      </c>
      <c r="AW90" s="88" t="s">
        <v>346</v>
      </c>
      <c r="AX90" s="88" t="s">
        <v>346</v>
      </c>
      <c r="AY90" s="88" t="s">
        <v>347</v>
      </c>
      <c r="AZ90" s="88" t="s">
        <v>347</v>
      </c>
      <c r="BA90" s="88" t="s">
        <v>347</v>
      </c>
      <c r="BB90" s="88" t="s">
        <v>347</v>
      </c>
      <c r="BC90" s="88" t="s">
        <v>347</v>
      </c>
      <c r="BD90" s="88" t="s">
        <v>347</v>
      </c>
      <c r="BE90" s="88" t="s">
        <v>347</v>
      </c>
      <c r="BF90" s="88" t="s">
        <v>347</v>
      </c>
      <c r="BG90" s="88" t="s">
        <v>347</v>
      </c>
      <c r="BH90" s="88" t="s">
        <v>347</v>
      </c>
      <c r="BI90" s="88" t="s">
        <v>347</v>
      </c>
      <c r="BJ90" s="88" t="s">
        <v>347</v>
      </c>
      <c r="BK90" s="88" t="s">
        <v>347</v>
      </c>
      <c r="BL90" s="88" t="s">
        <v>347</v>
      </c>
      <c r="BM90" s="88" t="s">
        <v>347</v>
      </c>
      <c r="BN90" s="88" t="s">
        <v>347</v>
      </c>
      <c r="BO90" s="88" t="s">
        <v>347</v>
      </c>
      <c r="BP90" s="88" t="s">
        <v>347</v>
      </c>
      <c r="BQ90" s="88" t="s">
        <v>347</v>
      </c>
      <c r="BR90" s="88" t="s">
        <v>347</v>
      </c>
      <c r="BS90" s="88" t="s">
        <v>347</v>
      </c>
      <c r="BT90" s="88" t="s">
        <v>347</v>
      </c>
      <c r="BU90" s="88" t="s">
        <v>347</v>
      </c>
      <c r="BV90" s="88" t="s">
        <v>347</v>
      </c>
      <c r="BW90" s="88" t="s">
        <v>347</v>
      </c>
      <c r="BX90" s="88" t="s">
        <v>347</v>
      </c>
      <c r="BY90" s="88" t="s">
        <v>347</v>
      </c>
      <c r="BZ90" s="91" t="s">
        <v>347</v>
      </c>
    </row>
    <row r="91" spans="1:78" s="2" customFormat="1" x14ac:dyDescent="0.25">
      <c r="A91" s="109" t="s">
        <v>319</v>
      </c>
      <c r="B91" s="88" t="s">
        <v>346</v>
      </c>
      <c r="C91" s="88" t="s">
        <v>347</v>
      </c>
      <c r="D91" s="88" t="s">
        <v>346</v>
      </c>
      <c r="E91" s="88" t="s">
        <v>347</v>
      </c>
      <c r="F91" s="88" t="s">
        <v>347</v>
      </c>
      <c r="G91" s="88" t="s">
        <v>347</v>
      </c>
      <c r="H91" s="88" t="s">
        <v>347</v>
      </c>
      <c r="I91" s="88" t="s">
        <v>347</v>
      </c>
      <c r="J91" s="91" t="s">
        <v>347</v>
      </c>
      <c r="K91" s="109" t="s">
        <v>319</v>
      </c>
      <c r="L91" s="88" t="str">
        <f>LOOKUP($K91,PantheonList!$A$18:$A$139,PantheonList!$B$18:$B$139)</f>
        <v>Athletics</v>
      </c>
      <c r="M91" s="88" t="str">
        <f>LOOKUP($K91,PantheonList!$A$18:$A$139,PantheonList!$C$18:$C$139)</f>
        <v>Command</v>
      </c>
      <c r="N91" s="88" t="str">
        <f>LOOKUP($K91,PantheonList!$A$18:$A$139,PantheonList!$D$18:$D$139)</f>
        <v>Control</v>
      </c>
      <c r="O91" s="88" t="str">
        <f>LOOKUP($K91,PantheonList!$A$18:$A$139,PantheonList!$E$18:$E$139)</f>
        <v>Fortitude</v>
      </c>
      <c r="P91" s="88" t="str">
        <f>LOOKUP($K91,PantheonList!$A$18:$A$139,PantheonList!$F$18:$F$139)</f>
        <v>Integrity</v>
      </c>
      <c r="Q91" s="88" t="str">
        <f>LOOKUP($K91,PantheonList!$A$18:$A$139,PantheonList!$G$18:$G$139)</f>
        <v>Survival</v>
      </c>
      <c r="R91" s="88" t="str">
        <f t="shared" si="16"/>
        <v>No</v>
      </c>
      <c r="S91" s="88" t="str">
        <f t="shared" si="16"/>
        <v>No</v>
      </c>
      <c r="T91" s="88" t="str">
        <f t="shared" si="16"/>
        <v>No</v>
      </c>
      <c r="U91" s="88" t="str">
        <f t="shared" si="16"/>
        <v>Yes</v>
      </c>
      <c r="V91" s="88" t="str">
        <f t="shared" si="16"/>
        <v>No</v>
      </c>
      <c r="W91" s="88" t="str">
        <f t="shared" si="16"/>
        <v>No</v>
      </c>
      <c r="X91" s="88" t="str">
        <f t="shared" si="16"/>
        <v>Yes</v>
      </c>
      <c r="Y91" s="88" t="str">
        <f t="shared" si="16"/>
        <v>Yes</v>
      </c>
      <c r="Z91" s="88" t="str">
        <f t="shared" si="16"/>
        <v>No</v>
      </c>
      <c r="AA91" s="88" t="str">
        <f t="shared" si="16"/>
        <v>No</v>
      </c>
      <c r="AB91" s="88" t="str">
        <f t="shared" si="17"/>
        <v>Yes</v>
      </c>
      <c r="AC91" s="88" t="str">
        <f t="shared" si="17"/>
        <v>Yes</v>
      </c>
      <c r="AD91" s="88" t="str">
        <f t="shared" si="17"/>
        <v>No</v>
      </c>
      <c r="AE91" s="88" t="str">
        <f t="shared" si="17"/>
        <v>No</v>
      </c>
      <c r="AF91" s="88" t="str">
        <f t="shared" si="17"/>
        <v>No</v>
      </c>
      <c r="AG91" s="88" t="str">
        <f t="shared" si="17"/>
        <v>No</v>
      </c>
      <c r="AH91" s="88" t="str">
        <f t="shared" si="17"/>
        <v>No</v>
      </c>
      <c r="AI91" s="88" t="str">
        <f t="shared" si="17"/>
        <v>No</v>
      </c>
      <c r="AJ91" s="88" t="str">
        <f t="shared" si="17"/>
        <v>No</v>
      </c>
      <c r="AK91" s="88" t="str">
        <f t="shared" si="17"/>
        <v>No</v>
      </c>
      <c r="AL91" s="88" t="str">
        <f t="shared" si="17"/>
        <v>No</v>
      </c>
      <c r="AM91" s="88" t="str">
        <f t="shared" si="17"/>
        <v>No</v>
      </c>
      <c r="AN91" s="88" t="str">
        <f t="shared" si="17"/>
        <v>Yes</v>
      </c>
      <c r="AO91" s="91" t="str">
        <f t="shared" si="17"/>
        <v>No</v>
      </c>
      <c r="AP91" s="109" t="s">
        <v>319</v>
      </c>
      <c r="AQ91" s="88">
        <v>91</v>
      </c>
      <c r="AR91" s="88" t="s">
        <v>346</v>
      </c>
      <c r="AS91" s="88" t="s">
        <v>347</v>
      </c>
      <c r="AT91" s="88" t="s">
        <v>347</v>
      </c>
      <c r="AU91" s="88" t="s">
        <v>347</v>
      </c>
      <c r="AV91" s="88" t="s">
        <v>347</v>
      </c>
      <c r="AW91" s="88" t="s">
        <v>346</v>
      </c>
      <c r="AX91" s="88" t="s">
        <v>347</v>
      </c>
      <c r="AY91" s="88" t="s">
        <v>347</v>
      </c>
      <c r="AZ91" s="88" t="s">
        <v>347</v>
      </c>
      <c r="BA91" s="88" t="s">
        <v>347</v>
      </c>
      <c r="BB91" s="88" t="s">
        <v>346</v>
      </c>
      <c r="BC91" s="88" t="s">
        <v>347</v>
      </c>
      <c r="BD91" s="88" t="s">
        <v>347</v>
      </c>
      <c r="BE91" s="88" t="s">
        <v>347</v>
      </c>
      <c r="BF91" s="88" t="s">
        <v>347</v>
      </c>
      <c r="BG91" s="88" t="s">
        <v>347</v>
      </c>
      <c r="BH91" s="88" t="s">
        <v>347</v>
      </c>
      <c r="BI91" s="88" t="s">
        <v>347</v>
      </c>
      <c r="BJ91" s="88" t="s">
        <v>347</v>
      </c>
      <c r="BK91" s="88" t="s">
        <v>347</v>
      </c>
      <c r="BL91" s="88" t="s">
        <v>346</v>
      </c>
      <c r="BM91" s="88" t="s">
        <v>347</v>
      </c>
      <c r="BN91" s="88" t="s">
        <v>347</v>
      </c>
      <c r="BO91" s="88" t="s">
        <v>347</v>
      </c>
      <c r="BP91" s="88" t="s">
        <v>347</v>
      </c>
      <c r="BQ91" s="88" t="s">
        <v>347</v>
      </c>
      <c r="BR91" s="88" t="s">
        <v>347</v>
      </c>
      <c r="BS91" s="88" t="s">
        <v>347</v>
      </c>
      <c r="BT91" s="88" t="s">
        <v>347</v>
      </c>
      <c r="BU91" s="88" t="s">
        <v>347</v>
      </c>
      <c r="BV91" s="88" t="s">
        <v>347</v>
      </c>
      <c r="BW91" s="88" t="s">
        <v>347</v>
      </c>
      <c r="BX91" s="88" t="s">
        <v>347</v>
      </c>
      <c r="BY91" s="88" t="s">
        <v>346</v>
      </c>
      <c r="BZ91" s="91" t="s">
        <v>347</v>
      </c>
    </row>
    <row r="92" spans="1:78" s="2" customFormat="1" x14ac:dyDescent="0.25">
      <c r="A92" s="109" t="s">
        <v>308</v>
      </c>
      <c r="B92" s="88" t="s">
        <v>346</v>
      </c>
      <c r="C92" s="88" t="s">
        <v>347</v>
      </c>
      <c r="D92" s="88" t="s">
        <v>346</v>
      </c>
      <c r="E92" s="88" t="s">
        <v>347</v>
      </c>
      <c r="F92" s="88" t="s">
        <v>347</v>
      </c>
      <c r="G92" s="88" t="s">
        <v>347</v>
      </c>
      <c r="H92" s="88" t="s">
        <v>347</v>
      </c>
      <c r="I92" s="88" t="s">
        <v>346</v>
      </c>
      <c r="J92" s="91" t="s">
        <v>347</v>
      </c>
      <c r="K92" s="109" t="s">
        <v>308</v>
      </c>
      <c r="L92" s="88" t="str">
        <f>LOOKUP($K92,PantheonList!$A$18:$A$139,PantheonList!$B$18:$B$139)</f>
        <v>Academics</v>
      </c>
      <c r="M92" s="88" t="str">
        <f>LOOKUP($K92,PantheonList!$A$18:$A$139,PantheonList!$C$18:$C$139)</f>
        <v>Command</v>
      </c>
      <c r="N92" s="88" t="str">
        <f>LOOKUP($K92,PantheonList!$A$18:$A$139,PantheonList!$D$18:$D$139)</f>
        <v>Craft</v>
      </c>
      <c r="O92" s="88" t="str">
        <f>LOOKUP($K92,PantheonList!$A$18:$A$139,PantheonList!$E$18:$E$139)</f>
        <v>Fortitude</v>
      </c>
      <c r="P92" s="88" t="str">
        <f>LOOKUP($K92,PantheonList!$A$18:$A$139,PantheonList!$F$18:$F$139)</f>
        <v>Integrity</v>
      </c>
      <c r="Q92" s="88" t="str">
        <f>LOOKUP($K92,PantheonList!$A$18:$A$139,PantheonList!$G$18:$G$139)</f>
        <v>Politics</v>
      </c>
      <c r="R92" s="88" t="str">
        <f t="shared" ref="R92:AA101" si="18">IF(OR($Q92=R$1,$P92=R$1,$O92=R$1,$N92=R$1,$M92=R$1,$L92=R$1),"Yes","No")</f>
        <v>Yes</v>
      </c>
      <c r="S92" s="88" t="str">
        <f t="shared" si="18"/>
        <v>No</v>
      </c>
      <c r="T92" s="88" t="str">
        <f t="shared" si="18"/>
        <v>No</v>
      </c>
      <c r="U92" s="88" t="str">
        <f t="shared" si="18"/>
        <v>No</v>
      </c>
      <c r="V92" s="88" t="str">
        <f t="shared" si="18"/>
        <v>No</v>
      </c>
      <c r="W92" s="88" t="str">
        <f t="shared" si="18"/>
        <v>No</v>
      </c>
      <c r="X92" s="88" t="str">
        <f t="shared" si="18"/>
        <v>Yes</v>
      </c>
      <c r="Y92" s="88" t="str">
        <f t="shared" si="18"/>
        <v>No</v>
      </c>
      <c r="Z92" s="88" t="str">
        <f t="shared" si="18"/>
        <v>Yes</v>
      </c>
      <c r="AA92" s="88" t="str">
        <f t="shared" si="18"/>
        <v>No</v>
      </c>
      <c r="AB92" s="88" t="str">
        <f t="shared" ref="AB92:AO101" si="19">IF(OR($Q92=AB$1,$P92=AB$1,$O92=AB$1,$N92=AB$1,$M92=AB$1,$L92=AB$1),"Yes","No")</f>
        <v>Yes</v>
      </c>
      <c r="AC92" s="88" t="str">
        <f t="shared" si="19"/>
        <v>Yes</v>
      </c>
      <c r="AD92" s="88" t="str">
        <f t="shared" si="19"/>
        <v>No</v>
      </c>
      <c r="AE92" s="88" t="str">
        <f t="shared" si="19"/>
        <v>No</v>
      </c>
      <c r="AF92" s="88" t="str">
        <f t="shared" si="19"/>
        <v>No</v>
      </c>
      <c r="AG92" s="88" t="str">
        <f t="shared" si="19"/>
        <v>No</v>
      </c>
      <c r="AH92" s="88" t="str">
        <f t="shared" si="19"/>
        <v>No</v>
      </c>
      <c r="AI92" s="88" t="str">
        <f t="shared" si="19"/>
        <v>No</v>
      </c>
      <c r="AJ92" s="88" t="str">
        <f t="shared" si="19"/>
        <v>Yes</v>
      </c>
      <c r="AK92" s="88" t="str">
        <f t="shared" si="19"/>
        <v>No</v>
      </c>
      <c r="AL92" s="88" t="str">
        <f t="shared" si="19"/>
        <v>No</v>
      </c>
      <c r="AM92" s="88" t="str">
        <f t="shared" si="19"/>
        <v>No</v>
      </c>
      <c r="AN92" s="88" t="str">
        <f t="shared" si="19"/>
        <v>No</v>
      </c>
      <c r="AO92" s="91" t="str">
        <f t="shared" si="19"/>
        <v>No</v>
      </c>
      <c r="AP92" s="109" t="s">
        <v>308</v>
      </c>
      <c r="AQ92" s="88">
        <v>92</v>
      </c>
      <c r="AR92" s="88" t="s">
        <v>347</v>
      </c>
      <c r="AS92" s="88" t="s">
        <v>347</v>
      </c>
      <c r="AT92" s="88" t="s">
        <v>347</v>
      </c>
      <c r="AU92" s="88" t="s">
        <v>347</v>
      </c>
      <c r="AV92" s="88" t="s">
        <v>347</v>
      </c>
      <c r="AW92" s="88" t="s">
        <v>347</v>
      </c>
      <c r="AX92" s="88" t="s">
        <v>347</v>
      </c>
      <c r="AY92" s="88" t="s">
        <v>347</v>
      </c>
      <c r="AZ92" s="88" t="s">
        <v>347</v>
      </c>
      <c r="BA92" s="88" t="s">
        <v>347</v>
      </c>
      <c r="BB92" s="88" t="s">
        <v>347</v>
      </c>
      <c r="BC92" s="88" t="s">
        <v>347</v>
      </c>
      <c r="BD92" s="88" t="s">
        <v>347</v>
      </c>
      <c r="BE92" s="88" t="s">
        <v>347</v>
      </c>
      <c r="BF92" s="88" t="s">
        <v>347</v>
      </c>
      <c r="BG92" s="88" t="s">
        <v>347</v>
      </c>
      <c r="BH92" s="88" t="s">
        <v>347</v>
      </c>
      <c r="BI92" s="88" t="s">
        <v>346</v>
      </c>
      <c r="BJ92" s="88" t="s">
        <v>347</v>
      </c>
      <c r="BK92" s="88" t="s">
        <v>347</v>
      </c>
      <c r="BL92" s="88" t="s">
        <v>347</v>
      </c>
      <c r="BM92" s="88" t="s">
        <v>347</v>
      </c>
      <c r="BN92" s="88" t="s">
        <v>347</v>
      </c>
      <c r="BO92" s="88" t="s">
        <v>347</v>
      </c>
      <c r="BP92" s="88" t="s">
        <v>347</v>
      </c>
      <c r="BQ92" s="88" t="s">
        <v>347</v>
      </c>
      <c r="BR92" s="88" t="s">
        <v>347</v>
      </c>
      <c r="BS92" s="88" t="s">
        <v>347</v>
      </c>
      <c r="BT92" s="88" t="s">
        <v>347</v>
      </c>
      <c r="BU92" s="88" t="s">
        <v>347</v>
      </c>
      <c r="BV92" s="88" t="s">
        <v>347</v>
      </c>
      <c r="BW92" s="88" t="s">
        <v>347</v>
      </c>
      <c r="BX92" s="88" t="s">
        <v>347</v>
      </c>
      <c r="BY92" s="88" t="s">
        <v>347</v>
      </c>
      <c r="BZ92" s="91" t="s">
        <v>347</v>
      </c>
    </row>
    <row r="93" spans="1:78" s="2" customFormat="1" x14ac:dyDescent="0.25">
      <c r="A93" s="109" t="s">
        <v>242</v>
      </c>
      <c r="B93" s="88" t="s">
        <v>347</v>
      </c>
      <c r="C93" s="88" t="s">
        <v>347</v>
      </c>
      <c r="D93" s="88" t="s">
        <v>347</v>
      </c>
      <c r="E93" s="88" t="s">
        <v>347</v>
      </c>
      <c r="F93" s="88" t="s">
        <v>347</v>
      </c>
      <c r="G93" s="88" t="s">
        <v>346</v>
      </c>
      <c r="H93" s="88" t="s">
        <v>347</v>
      </c>
      <c r="I93" s="88" t="s">
        <v>346</v>
      </c>
      <c r="J93" s="91" t="s">
        <v>347</v>
      </c>
      <c r="K93" s="109" t="s">
        <v>242</v>
      </c>
      <c r="L93" s="88" t="str">
        <f>LOOKUP($K93,PantheonList!$A$18:$A$139,PantheonList!$B$18:$B$139)</f>
        <v>Academics</v>
      </c>
      <c r="M93" s="88" t="str">
        <f>LOOKUP($K93,PantheonList!$A$18:$A$139,PantheonList!$C$18:$C$139)</f>
        <v>Art</v>
      </c>
      <c r="N93" s="88" t="str">
        <f>LOOKUP($K93,PantheonList!$A$18:$A$139,PantheonList!$D$18:$D$139)</f>
        <v>Awareness</v>
      </c>
      <c r="O93" s="88" t="str">
        <f>LOOKUP($K93,PantheonList!$A$18:$A$139,PantheonList!$E$18:$E$139)</f>
        <v>Craft</v>
      </c>
      <c r="P93" s="88" t="str">
        <f>LOOKUP($K93,PantheonList!$A$18:$A$139,PantheonList!$F$18:$F$139)</f>
        <v>Medicine</v>
      </c>
      <c r="Q93" s="88" t="str">
        <f>LOOKUP($K93,PantheonList!$A$18:$A$139,PantheonList!$G$18:$G$139)</f>
        <v>Science</v>
      </c>
      <c r="R93" s="88" t="str">
        <f t="shared" si="18"/>
        <v>Yes</v>
      </c>
      <c r="S93" s="88" t="str">
        <f t="shared" si="18"/>
        <v>No</v>
      </c>
      <c r="T93" s="88" t="str">
        <f t="shared" si="18"/>
        <v>Yes</v>
      </c>
      <c r="U93" s="88" t="str">
        <f t="shared" si="18"/>
        <v>No</v>
      </c>
      <c r="V93" s="88" t="str">
        <f t="shared" si="18"/>
        <v>Yes</v>
      </c>
      <c r="W93" s="88" t="str">
        <f t="shared" si="18"/>
        <v>No</v>
      </c>
      <c r="X93" s="88" t="str">
        <f t="shared" si="18"/>
        <v>No</v>
      </c>
      <c r="Y93" s="88" t="str">
        <f t="shared" si="18"/>
        <v>No</v>
      </c>
      <c r="Z93" s="88" t="str">
        <f t="shared" si="18"/>
        <v>Yes</v>
      </c>
      <c r="AA93" s="88" t="str">
        <f t="shared" si="18"/>
        <v>No</v>
      </c>
      <c r="AB93" s="88" t="str">
        <f t="shared" si="19"/>
        <v>No</v>
      </c>
      <c r="AC93" s="88" t="str">
        <f t="shared" si="19"/>
        <v>No</v>
      </c>
      <c r="AD93" s="88" t="str">
        <f t="shared" si="19"/>
        <v>No</v>
      </c>
      <c r="AE93" s="88" t="str">
        <f t="shared" si="19"/>
        <v>No</v>
      </c>
      <c r="AF93" s="88" t="str">
        <f t="shared" si="19"/>
        <v>No</v>
      </c>
      <c r="AG93" s="88" t="str">
        <f t="shared" si="19"/>
        <v>Yes</v>
      </c>
      <c r="AH93" s="88" t="str">
        <f t="shared" si="19"/>
        <v>No</v>
      </c>
      <c r="AI93" s="88" t="str">
        <f t="shared" si="19"/>
        <v>No</v>
      </c>
      <c r="AJ93" s="88" t="str">
        <f t="shared" si="19"/>
        <v>No</v>
      </c>
      <c r="AK93" s="88" t="str">
        <f t="shared" si="19"/>
        <v>No</v>
      </c>
      <c r="AL93" s="88" t="str">
        <f t="shared" si="19"/>
        <v>Yes</v>
      </c>
      <c r="AM93" s="88" t="str">
        <f t="shared" si="19"/>
        <v>No</v>
      </c>
      <c r="AN93" s="88" t="str">
        <f t="shared" si="19"/>
        <v>No</v>
      </c>
      <c r="AO93" s="91" t="str">
        <f t="shared" si="19"/>
        <v>No</v>
      </c>
      <c r="AP93" s="109" t="s">
        <v>242</v>
      </c>
      <c r="AQ93" s="88">
        <v>93</v>
      </c>
      <c r="AR93" s="88" t="s">
        <v>347</v>
      </c>
      <c r="AS93" s="88" t="s">
        <v>347</v>
      </c>
      <c r="AT93" s="88" t="s">
        <v>347</v>
      </c>
      <c r="AU93" s="88" t="s">
        <v>347</v>
      </c>
      <c r="AV93" s="88" t="s">
        <v>347</v>
      </c>
      <c r="AW93" s="88" t="s">
        <v>347</v>
      </c>
      <c r="AX93" s="88" t="s">
        <v>347</v>
      </c>
      <c r="AY93" s="88" t="s">
        <v>347</v>
      </c>
      <c r="AZ93" s="88" t="s">
        <v>347</v>
      </c>
      <c r="BA93" s="88" t="s">
        <v>347</v>
      </c>
      <c r="BB93" s="88" t="s">
        <v>346</v>
      </c>
      <c r="BC93" s="88" t="s">
        <v>347</v>
      </c>
      <c r="BD93" s="88" t="s">
        <v>347</v>
      </c>
      <c r="BE93" s="88" t="s">
        <v>347</v>
      </c>
      <c r="BF93" s="88" t="s">
        <v>346</v>
      </c>
      <c r="BG93" s="88" t="s">
        <v>347</v>
      </c>
      <c r="BH93" s="88" t="s">
        <v>347</v>
      </c>
      <c r="BI93" s="88" t="s">
        <v>347</v>
      </c>
      <c r="BJ93" s="88" t="s">
        <v>347</v>
      </c>
      <c r="BK93" s="88" t="s">
        <v>347</v>
      </c>
      <c r="BL93" s="88" t="s">
        <v>347</v>
      </c>
      <c r="BM93" s="88" t="s">
        <v>347</v>
      </c>
      <c r="BN93" s="88" t="s">
        <v>347</v>
      </c>
      <c r="BO93" s="88" t="s">
        <v>347</v>
      </c>
      <c r="BP93" s="88" t="s">
        <v>346</v>
      </c>
      <c r="BQ93" s="88" t="s">
        <v>347</v>
      </c>
      <c r="BR93" s="88" t="s">
        <v>346</v>
      </c>
      <c r="BS93" s="88" t="s">
        <v>347</v>
      </c>
      <c r="BT93" s="88" t="s">
        <v>347</v>
      </c>
      <c r="BU93" s="88" t="s">
        <v>347</v>
      </c>
      <c r="BV93" s="88" t="s">
        <v>347</v>
      </c>
      <c r="BW93" s="88" t="s">
        <v>347</v>
      </c>
      <c r="BX93" s="88" t="s">
        <v>347</v>
      </c>
      <c r="BY93" s="88" t="s">
        <v>347</v>
      </c>
      <c r="BZ93" s="91" t="s">
        <v>346</v>
      </c>
    </row>
    <row r="94" spans="1:78" s="2" customFormat="1" x14ac:dyDescent="0.25">
      <c r="A94" s="109" t="s">
        <v>277</v>
      </c>
      <c r="B94" s="88" t="s">
        <v>346</v>
      </c>
      <c r="C94" s="88" t="s">
        <v>347</v>
      </c>
      <c r="D94" s="88" t="s">
        <v>347</v>
      </c>
      <c r="E94" s="88" t="s">
        <v>347</v>
      </c>
      <c r="F94" s="88" t="s">
        <v>346</v>
      </c>
      <c r="G94" s="88" t="s">
        <v>347</v>
      </c>
      <c r="H94" s="88" t="s">
        <v>347</v>
      </c>
      <c r="I94" s="88" t="s">
        <v>347</v>
      </c>
      <c r="J94" s="91" t="s">
        <v>347</v>
      </c>
      <c r="K94" s="109" t="s">
        <v>277</v>
      </c>
      <c r="L94" s="88" t="str">
        <f>LOOKUP($K94,PantheonList!$A$18:$A$139,PantheonList!$B$18:$B$139)</f>
        <v>Brawl</v>
      </c>
      <c r="M94" s="88" t="str">
        <f>LOOKUP($K94,PantheonList!$A$18:$A$139,PantheonList!$C$18:$C$139)</f>
        <v>Command</v>
      </c>
      <c r="N94" s="88" t="str">
        <f>LOOKUP($K94,PantheonList!$A$18:$A$139,PantheonList!$D$18:$D$139)</f>
        <v>Control</v>
      </c>
      <c r="O94" s="88" t="str">
        <f>LOOKUP($K94,PantheonList!$A$18:$A$139,PantheonList!$E$18:$E$139)</f>
        <v>Melee</v>
      </c>
      <c r="P94" s="88" t="str">
        <f>LOOKUP($K94,PantheonList!$A$18:$A$139,PantheonList!$F$18:$F$139)</f>
        <v>Presence</v>
      </c>
      <c r="Q94" s="88" t="str">
        <f>LOOKUP($K94,PantheonList!$A$18:$A$139,PantheonList!$G$18:$G$139)</f>
        <v>Survival</v>
      </c>
      <c r="R94" s="88" t="str">
        <f t="shared" si="18"/>
        <v>No</v>
      </c>
      <c r="S94" s="88" t="str">
        <f t="shared" si="18"/>
        <v>No</v>
      </c>
      <c r="T94" s="88" t="str">
        <f t="shared" si="18"/>
        <v>No</v>
      </c>
      <c r="U94" s="88" t="str">
        <f t="shared" si="18"/>
        <v>No</v>
      </c>
      <c r="V94" s="88" t="str">
        <f t="shared" si="18"/>
        <v>No</v>
      </c>
      <c r="W94" s="88" t="str">
        <f t="shared" si="18"/>
        <v>Yes</v>
      </c>
      <c r="X94" s="88" t="str">
        <f t="shared" si="18"/>
        <v>Yes</v>
      </c>
      <c r="Y94" s="88" t="str">
        <f t="shared" si="18"/>
        <v>Yes</v>
      </c>
      <c r="Z94" s="88" t="str">
        <f t="shared" si="18"/>
        <v>No</v>
      </c>
      <c r="AA94" s="88" t="str">
        <f t="shared" si="18"/>
        <v>No</v>
      </c>
      <c r="AB94" s="88" t="str">
        <f t="shared" si="19"/>
        <v>No</v>
      </c>
      <c r="AC94" s="88" t="str">
        <f t="shared" si="19"/>
        <v>No</v>
      </c>
      <c r="AD94" s="88" t="str">
        <f t="shared" si="19"/>
        <v>No</v>
      </c>
      <c r="AE94" s="88" t="str">
        <f t="shared" si="19"/>
        <v>No</v>
      </c>
      <c r="AF94" s="88" t="str">
        <f t="shared" si="19"/>
        <v>No</v>
      </c>
      <c r="AG94" s="88" t="str">
        <f t="shared" si="19"/>
        <v>No</v>
      </c>
      <c r="AH94" s="88" t="str">
        <f t="shared" si="19"/>
        <v>Yes</v>
      </c>
      <c r="AI94" s="88" t="str">
        <f t="shared" si="19"/>
        <v>No</v>
      </c>
      <c r="AJ94" s="88" t="str">
        <f t="shared" si="19"/>
        <v>No</v>
      </c>
      <c r="AK94" s="88" t="str">
        <f t="shared" si="19"/>
        <v>Yes</v>
      </c>
      <c r="AL94" s="88" t="str">
        <f t="shared" si="19"/>
        <v>No</v>
      </c>
      <c r="AM94" s="88" t="str">
        <f t="shared" si="19"/>
        <v>No</v>
      </c>
      <c r="AN94" s="88" t="str">
        <f t="shared" si="19"/>
        <v>Yes</v>
      </c>
      <c r="AO94" s="91" t="str">
        <f t="shared" si="19"/>
        <v>No</v>
      </c>
      <c r="AP94" s="109" t="s">
        <v>277</v>
      </c>
      <c r="AQ94" s="88">
        <v>94</v>
      </c>
      <c r="AR94" s="88" t="s">
        <v>346</v>
      </c>
      <c r="AS94" s="88" t="s">
        <v>347</v>
      </c>
      <c r="AT94" s="88" t="s">
        <v>347</v>
      </c>
      <c r="AU94" s="88" t="s">
        <v>346</v>
      </c>
      <c r="AV94" s="88" t="s">
        <v>347</v>
      </c>
      <c r="AW94" s="88" t="s">
        <v>347</v>
      </c>
      <c r="AX94" s="88" t="s">
        <v>347</v>
      </c>
      <c r="AY94" s="88" t="s">
        <v>347</v>
      </c>
      <c r="AZ94" s="88" t="s">
        <v>347</v>
      </c>
      <c r="BA94" s="88" t="s">
        <v>347</v>
      </c>
      <c r="BB94" s="88" t="s">
        <v>347</v>
      </c>
      <c r="BC94" s="88" t="s">
        <v>347</v>
      </c>
      <c r="BD94" s="88" t="s">
        <v>347</v>
      </c>
      <c r="BE94" s="88" t="s">
        <v>346</v>
      </c>
      <c r="BF94" s="88" t="s">
        <v>347</v>
      </c>
      <c r="BG94" s="88" t="s">
        <v>346</v>
      </c>
      <c r="BH94" s="88" t="s">
        <v>347</v>
      </c>
      <c r="BI94" s="88" t="s">
        <v>347</v>
      </c>
      <c r="BJ94" s="88" t="s">
        <v>347</v>
      </c>
      <c r="BK94" s="88" t="s">
        <v>347</v>
      </c>
      <c r="BL94" s="88" t="s">
        <v>347</v>
      </c>
      <c r="BM94" s="88" t="s">
        <v>347</v>
      </c>
      <c r="BN94" s="88" t="s">
        <v>347</v>
      </c>
      <c r="BO94" s="88" t="s">
        <v>347</v>
      </c>
      <c r="BP94" s="88" t="s">
        <v>347</v>
      </c>
      <c r="BQ94" s="88" t="s">
        <v>347</v>
      </c>
      <c r="BR94" s="88" t="s">
        <v>347</v>
      </c>
      <c r="BS94" s="88" t="s">
        <v>347</v>
      </c>
      <c r="BT94" s="88" t="s">
        <v>346</v>
      </c>
      <c r="BU94" s="88" t="s">
        <v>347</v>
      </c>
      <c r="BV94" s="88" t="s">
        <v>347</v>
      </c>
      <c r="BW94" s="88" t="s">
        <v>347</v>
      </c>
      <c r="BX94" s="88" t="s">
        <v>347</v>
      </c>
      <c r="BY94" s="88" t="s">
        <v>346</v>
      </c>
      <c r="BZ94" s="91" t="s">
        <v>347</v>
      </c>
    </row>
    <row r="95" spans="1:78" s="2" customFormat="1" x14ac:dyDescent="0.25">
      <c r="A95" s="109" t="s">
        <v>268</v>
      </c>
      <c r="B95" s="88" t="s">
        <v>346</v>
      </c>
      <c r="C95" s="88" t="s">
        <v>347</v>
      </c>
      <c r="D95" s="88" t="s">
        <v>347</v>
      </c>
      <c r="E95" s="88" t="s">
        <v>346</v>
      </c>
      <c r="F95" s="88" t="s">
        <v>347</v>
      </c>
      <c r="G95" s="88" t="s">
        <v>347</v>
      </c>
      <c r="H95" s="88" t="s">
        <v>347</v>
      </c>
      <c r="I95" s="88" t="s">
        <v>347</v>
      </c>
      <c r="J95" s="91" t="s">
        <v>347</v>
      </c>
      <c r="K95" s="109" t="s">
        <v>268</v>
      </c>
      <c r="L95" s="88" t="str">
        <f>LOOKUP($K95,PantheonList!$A$18:$A$139,PantheonList!$B$18:$B$139)</f>
        <v>Art</v>
      </c>
      <c r="M95" s="88" t="str">
        <f>LOOKUP($K95,PantheonList!$A$18:$A$139,PantheonList!$C$18:$C$139)</f>
        <v>Command</v>
      </c>
      <c r="N95" s="88" t="str">
        <f>LOOKUP($K95,PantheonList!$A$18:$A$139,PantheonList!$D$18:$D$139)</f>
        <v>Fortitude</v>
      </c>
      <c r="O95" s="88" t="str">
        <f>LOOKUP($K95,PantheonList!$A$18:$A$139,PantheonList!$E$18:$E$139)</f>
        <v>Integrity</v>
      </c>
      <c r="P95" s="88" t="str">
        <f>LOOKUP($K95,PantheonList!$A$18:$A$139,PantheonList!$F$18:$F$139)</f>
        <v>Melee</v>
      </c>
      <c r="Q95" s="88" t="str">
        <f>LOOKUP($K95,PantheonList!$A$18:$A$139,PantheonList!$G$18:$G$139)</f>
        <v>Presence</v>
      </c>
      <c r="R95" s="88" t="str">
        <f t="shared" si="18"/>
        <v>No</v>
      </c>
      <c r="S95" s="88" t="str">
        <f t="shared" si="18"/>
        <v>No</v>
      </c>
      <c r="T95" s="88" t="str">
        <f t="shared" si="18"/>
        <v>Yes</v>
      </c>
      <c r="U95" s="88" t="str">
        <f t="shared" si="18"/>
        <v>No</v>
      </c>
      <c r="V95" s="88" t="str">
        <f t="shared" si="18"/>
        <v>No</v>
      </c>
      <c r="W95" s="88" t="str">
        <f t="shared" si="18"/>
        <v>No</v>
      </c>
      <c r="X95" s="88" t="str">
        <f t="shared" si="18"/>
        <v>Yes</v>
      </c>
      <c r="Y95" s="88" t="str">
        <f t="shared" si="18"/>
        <v>No</v>
      </c>
      <c r="Z95" s="88" t="str">
        <f t="shared" si="18"/>
        <v>No</v>
      </c>
      <c r="AA95" s="88" t="str">
        <f t="shared" si="18"/>
        <v>No</v>
      </c>
      <c r="AB95" s="88" t="str">
        <f t="shared" si="19"/>
        <v>Yes</v>
      </c>
      <c r="AC95" s="88" t="str">
        <f t="shared" si="19"/>
        <v>Yes</v>
      </c>
      <c r="AD95" s="88" t="str">
        <f t="shared" si="19"/>
        <v>No</v>
      </c>
      <c r="AE95" s="88" t="str">
        <f t="shared" si="19"/>
        <v>No</v>
      </c>
      <c r="AF95" s="88" t="str">
        <f t="shared" si="19"/>
        <v>No</v>
      </c>
      <c r="AG95" s="88" t="str">
        <f t="shared" si="19"/>
        <v>No</v>
      </c>
      <c r="AH95" s="88" t="str">
        <f t="shared" si="19"/>
        <v>Yes</v>
      </c>
      <c r="AI95" s="88" t="str">
        <f t="shared" si="19"/>
        <v>No</v>
      </c>
      <c r="AJ95" s="88" t="str">
        <f t="shared" si="19"/>
        <v>No</v>
      </c>
      <c r="AK95" s="88" t="str">
        <f t="shared" si="19"/>
        <v>Yes</v>
      </c>
      <c r="AL95" s="88" t="str">
        <f t="shared" si="19"/>
        <v>No</v>
      </c>
      <c r="AM95" s="88" t="str">
        <f t="shared" si="19"/>
        <v>No</v>
      </c>
      <c r="AN95" s="88" t="str">
        <f t="shared" si="19"/>
        <v>No</v>
      </c>
      <c r="AO95" s="91" t="str">
        <f t="shared" si="19"/>
        <v>No</v>
      </c>
      <c r="AP95" s="109" t="s">
        <v>268</v>
      </c>
      <c r="AQ95" s="88">
        <v>95</v>
      </c>
      <c r="AR95" s="88" t="s">
        <v>347</v>
      </c>
      <c r="AS95" s="88" t="s">
        <v>347</v>
      </c>
      <c r="AT95" s="88" t="s">
        <v>347</v>
      </c>
      <c r="AU95" s="88" t="s">
        <v>347</v>
      </c>
      <c r="AV95" s="88" t="s">
        <v>346</v>
      </c>
      <c r="AW95" s="88" t="s">
        <v>347</v>
      </c>
      <c r="AX95" s="88" t="s">
        <v>347</v>
      </c>
      <c r="AY95" s="88" t="s">
        <v>347</v>
      </c>
      <c r="AZ95" s="88" t="s">
        <v>347</v>
      </c>
      <c r="BA95" s="88" t="s">
        <v>347</v>
      </c>
      <c r="BB95" s="88" t="s">
        <v>347</v>
      </c>
      <c r="BC95" s="88" t="s">
        <v>347</v>
      </c>
      <c r="BD95" s="88" t="s">
        <v>347</v>
      </c>
      <c r="BE95" s="88" t="s">
        <v>347</v>
      </c>
      <c r="BF95" s="88" t="s">
        <v>347</v>
      </c>
      <c r="BG95" s="88" t="s">
        <v>347</v>
      </c>
      <c r="BH95" s="88" t="s">
        <v>347</v>
      </c>
      <c r="BI95" s="88" t="s">
        <v>347</v>
      </c>
      <c r="BJ95" s="88" t="s">
        <v>347</v>
      </c>
      <c r="BK95" s="88" t="s">
        <v>347</v>
      </c>
      <c r="BL95" s="88" t="s">
        <v>346</v>
      </c>
      <c r="BM95" s="88" t="s">
        <v>347</v>
      </c>
      <c r="BN95" s="88" t="s">
        <v>347</v>
      </c>
      <c r="BO95" s="88" t="s">
        <v>347</v>
      </c>
      <c r="BP95" s="88" t="s">
        <v>346</v>
      </c>
      <c r="BQ95" s="88" t="s">
        <v>347</v>
      </c>
      <c r="BR95" s="88" t="s">
        <v>347</v>
      </c>
      <c r="BS95" s="88" t="s">
        <v>347</v>
      </c>
      <c r="BT95" s="88" t="s">
        <v>346</v>
      </c>
      <c r="BU95" s="88" t="s">
        <v>347</v>
      </c>
      <c r="BV95" s="88" t="s">
        <v>347</v>
      </c>
      <c r="BW95" s="88" t="s">
        <v>347</v>
      </c>
      <c r="BX95" s="88" t="s">
        <v>347</v>
      </c>
      <c r="BY95" s="88" t="s">
        <v>347</v>
      </c>
      <c r="BZ95" s="91" t="s">
        <v>347</v>
      </c>
    </row>
    <row r="96" spans="1:78" s="2" customFormat="1" x14ac:dyDescent="0.25">
      <c r="A96" s="109" t="s">
        <v>230</v>
      </c>
      <c r="B96" s="88" t="s">
        <v>347</v>
      </c>
      <c r="C96" s="88" t="s">
        <v>347</v>
      </c>
      <c r="D96" s="88" t="s">
        <v>346</v>
      </c>
      <c r="E96" s="88" t="s">
        <v>347</v>
      </c>
      <c r="F96" s="88" t="s">
        <v>347</v>
      </c>
      <c r="G96" s="88" t="s">
        <v>347</v>
      </c>
      <c r="H96" s="88" t="s">
        <v>346</v>
      </c>
      <c r="I96" s="88" t="s">
        <v>346</v>
      </c>
      <c r="J96" s="91" t="s">
        <v>347</v>
      </c>
      <c r="K96" s="109" t="s">
        <v>230</v>
      </c>
      <c r="L96" s="88" t="str">
        <f>LOOKUP($K96,PantheonList!$A$18:$A$139,PantheonList!$B$18:$B$139)</f>
        <v>Awareness</v>
      </c>
      <c r="M96" s="88" t="str">
        <f>LOOKUP($K96,PantheonList!$A$18:$A$139,PantheonList!$C$18:$C$139)</f>
        <v>Command</v>
      </c>
      <c r="N96" s="88" t="str">
        <f>LOOKUP($K96,PantheonList!$A$18:$A$139,PantheonList!$D$18:$D$139)</f>
        <v>Fortitude</v>
      </c>
      <c r="O96" s="88" t="str">
        <f>LOOKUP($K96,PantheonList!$A$18:$A$139,PantheonList!$E$18:$E$139)</f>
        <v>Integrity</v>
      </c>
      <c r="P96" s="88" t="str">
        <f>LOOKUP($K96,PantheonList!$A$18:$A$139,PantheonList!$F$18:$F$139)</f>
        <v>Medicine</v>
      </c>
      <c r="Q96" s="88" t="str">
        <f>LOOKUP($K96,PantheonList!$A$18:$A$139,PantheonList!$G$18:$G$139)</f>
        <v>Survival</v>
      </c>
      <c r="R96" s="88" t="str">
        <f t="shared" si="18"/>
        <v>No</v>
      </c>
      <c r="S96" s="88" t="str">
        <f t="shared" si="18"/>
        <v>No</v>
      </c>
      <c r="T96" s="88" t="str">
        <f t="shared" si="18"/>
        <v>No</v>
      </c>
      <c r="U96" s="88" t="str">
        <f t="shared" si="18"/>
        <v>No</v>
      </c>
      <c r="V96" s="88" t="str">
        <f t="shared" si="18"/>
        <v>Yes</v>
      </c>
      <c r="W96" s="88" t="str">
        <f t="shared" si="18"/>
        <v>No</v>
      </c>
      <c r="X96" s="88" t="str">
        <f t="shared" si="18"/>
        <v>Yes</v>
      </c>
      <c r="Y96" s="88" t="str">
        <f t="shared" si="18"/>
        <v>No</v>
      </c>
      <c r="Z96" s="88" t="str">
        <f t="shared" si="18"/>
        <v>No</v>
      </c>
      <c r="AA96" s="88" t="str">
        <f t="shared" si="18"/>
        <v>No</v>
      </c>
      <c r="AB96" s="88" t="str">
        <f t="shared" si="19"/>
        <v>Yes</v>
      </c>
      <c r="AC96" s="88" t="str">
        <f t="shared" si="19"/>
        <v>Yes</v>
      </c>
      <c r="AD96" s="88" t="str">
        <f t="shared" si="19"/>
        <v>No</v>
      </c>
      <c r="AE96" s="88" t="str">
        <f t="shared" si="19"/>
        <v>No</v>
      </c>
      <c r="AF96" s="88" t="str">
        <f t="shared" si="19"/>
        <v>No</v>
      </c>
      <c r="AG96" s="88" t="str">
        <f t="shared" si="19"/>
        <v>Yes</v>
      </c>
      <c r="AH96" s="88" t="str">
        <f t="shared" si="19"/>
        <v>No</v>
      </c>
      <c r="AI96" s="88" t="str">
        <f t="shared" si="19"/>
        <v>No</v>
      </c>
      <c r="AJ96" s="88" t="str">
        <f t="shared" si="19"/>
        <v>No</v>
      </c>
      <c r="AK96" s="88" t="str">
        <f t="shared" si="19"/>
        <v>No</v>
      </c>
      <c r="AL96" s="88" t="str">
        <f t="shared" si="19"/>
        <v>No</v>
      </c>
      <c r="AM96" s="88" t="str">
        <f t="shared" si="19"/>
        <v>No</v>
      </c>
      <c r="AN96" s="88" t="str">
        <f t="shared" si="19"/>
        <v>Yes</v>
      </c>
      <c r="AO96" s="91" t="str">
        <f t="shared" si="19"/>
        <v>No</v>
      </c>
      <c r="AP96" s="109" t="s">
        <v>230</v>
      </c>
      <c r="AQ96" s="88">
        <v>96</v>
      </c>
      <c r="AR96" s="88" t="s">
        <v>347</v>
      </c>
      <c r="AS96" s="88" t="s">
        <v>347</v>
      </c>
      <c r="AT96" s="88" t="s">
        <v>347</v>
      </c>
      <c r="AU96" s="88" t="s">
        <v>347</v>
      </c>
      <c r="AV96" s="88" t="s">
        <v>347</v>
      </c>
      <c r="AW96" s="88" t="s">
        <v>347</v>
      </c>
      <c r="AX96" s="88" t="s">
        <v>347</v>
      </c>
      <c r="AY96" s="88" t="s">
        <v>347</v>
      </c>
      <c r="AZ96" s="88" t="s">
        <v>347</v>
      </c>
      <c r="BA96" s="88" t="s">
        <v>347</v>
      </c>
      <c r="BB96" s="88" t="s">
        <v>346</v>
      </c>
      <c r="BC96" s="88" t="s">
        <v>346</v>
      </c>
      <c r="BD96" s="88" t="s">
        <v>347</v>
      </c>
      <c r="BE96" s="88" t="s">
        <v>347</v>
      </c>
      <c r="BF96" s="88" t="s">
        <v>346</v>
      </c>
      <c r="BG96" s="88" t="s">
        <v>347</v>
      </c>
      <c r="BH96" s="88" t="s">
        <v>347</v>
      </c>
      <c r="BI96" s="88" t="s">
        <v>347</v>
      </c>
      <c r="BJ96" s="88" t="s">
        <v>347</v>
      </c>
      <c r="BK96" s="88" t="s">
        <v>347</v>
      </c>
      <c r="BL96" s="88" t="s">
        <v>347</v>
      </c>
      <c r="BM96" s="88" t="s">
        <v>347</v>
      </c>
      <c r="BN96" s="88" t="s">
        <v>347</v>
      </c>
      <c r="BO96" s="88" t="s">
        <v>347</v>
      </c>
      <c r="BP96" s="88" t="s">
        <v>346</v>
      </c>
      <c r="BQ96" s="88" t="s">
        <v>347</v>
      </c>
      <c r="BR96" s="88" t="s">
        <v>347</v>
      </c>
      <c r="BS96" s="88" t="s">
        <v>347</v>
      </c>
      <c r="BT96" s="88" t="s">
        <v>347</v>
      </c>
      <c r="BU96" s="88" t="s">
        <v>347</v>
      </c>
      <c r="BV96" s="88" t="s">
        <v>347</v>
      </c>
      <c r="BW96" s="88" t="s">
        <v>346</v>
      </c>
      <c r="BX96" s="88" t="s">
        <v>347</v>
      </c>
      <c r="BY96" s="88" t="s">
        <v>347</v>
      </c>
      <c r="BZ96" s="91" t="s">
        <v>347</v>
      </c>
    </row>
    <row r="97" spans="1:78" s="2" customFormat="1" x14ac:dyDescent="0.25">
      <c r="A97" s="109" t="s">
        <v>243</v>
      </c>
      <c r="B97" s="88" t="s">
        <v>347</v>
      </c>
      <c r="C97" s="88" t="s">
        <v>346</v>
      </c>
      <c r="D97" s="88" t="s">
        <v>346</v>
      </c>
      <c r="E97" s="88" t="s">
        <v>347</v>
      </c>
      <c r="F97" s="88" t="s">
        <v>347</v>
      </c>
      <c r="G97" s="88" t="s">
        <v>346</v>
      </c>
      <c r="H97" s="88" t="s">
        <v>347</v>
      </c>
      <c r="I97" s="88" t="s">
        <v>347</v>
      </c>
      <c r="J97" s="91" t="s">
        <v>347</v>
      </c>
      <c r="K97" s="109" t="s">
        <v>243</v>
      </c>
      <c r="L97" s="88" t="str">
        <f>LOOKUP($K97,PantheonList!$A$18:$A$139,PantheonList!$B$18:$B$139)</f>
        <v>Athletics</v>
      </c>
      <c r="M97" s="88" t="str">
        <f>LOOKUP($K97,PantheonList!$A$18:$A$139,PantheonList!$C$18:$C$139)</f>
        <v>Brawl</v>
      </c>
      <c r="N97" s="88" t="str">
        <f>LOOKUP($K97,PantheonList!$A$18:$A$139,PantheonList!$D$18:$D$139)</f>
        <v>Command</v>
      </c>
      <c r="O97" s="88" t="str">
        <f>LOOKUP($K97,PantheonList!$A$18:$A$139,PantheonList!$E$18:$E$139)</f>
        <v>Fortitude</v>
      </c>
      <c r="P97" s="88" t="str">
        <f>LOOKUP($K97,PantheonList!$A$18:$A$139,PantheonList!$F$18:$F$139)</f>
        <v>melee</v>
      </c>
      <c r="Q97" s="88" t="str">
        <f>LOOKUP($K97,PantheonList!$A$18:$A$139,PantheonList!$G$18:$G$139)</f>
        <v>Survival</v>
      </c>
      <c r="R97" s="88" t="str">
        <f t="shared" si="18"/>
        <v>No</v>
      </c>
      <c r="S97" s="88" t="str">
        <f t="shared" si="18"/>
        <v>No</v>
      </c>
      <c r="T97" s="88" t="str">
        <f t="shared" si="18"/>
        <v>No</v>
      </c>
      <c r="U97" s="88" t="str">
        <f t="shared" si="18"/>
        <v>Yes</v>
      </c>
      <c r="V97" s="88" t="str">
        <f t="shared" si="18"/>
        <v>No</v>
      </c>
      <c r="W97" s="88" t="str">
        <f t="shared" si="18"/>
        <v>Yes</v>
      </c>
      <c r="X97" s="88" t="str">
        <f t="shared" si="18"/>
        <v>Yes</v>
      </c>
      <c r="Y97" s="88" t="str">
        <f t="shared" si="18"/>
        <v>No</v>
      </c>
      <c r="Z97" s="88" t="str">
        <f t="shared" si="18"/>
        <v>No</v>
      </c>
      <c r="AA97" s="88" t="str">
        <f t="shared" si="18"/>
        <v>No</v>
      </c>
      <c r="AB97" s="88" t="str">
        <f t="shared" si="19"/>
        <v>Yes</v>
      </c>
      <c r="AC97" s="88" t="str">
        <f t="shared" si="19"/>
        <v>No</v>
      </c>
      <c r="AD97" s="88" t="str">
        <f t="shared" si="19"/>
        <v>No</v>
      </c>
      <c r="AE97" s="88" t="str">
        <f t="shared" si="19"/>
        <v>No</v>
      </c>
      <c r="AF97" s="88" t="str">
        <f t="shared" si="19"/>
        <v>No</v>
      </c>
      <c r="AG97" s="88" t="str">
        <f t="shared" si="19"/>
        <v>No</v>
      </c>
      <c r="AH97" s="88" t="str">
        <f t="shared" si="19"/>
        <v>Yes</v>
      </c>
      <c r="AI97" s="88" t="str">
        <f t="shared" si="19"/>
        <v>No</v>
      </c>
      <c r="AJ97" s="88" t="str">
        <f t="shared" si="19"/>
        <v>No</v>
      </c>
      <c r="AK97" s="88" t="str">
        <f t="shared" si="19"/>
        <v>No</v>
      </c>
      <c r="AL97" s="88" t="str">
        <f t="shared" si="19"/>
        <v>No</v>
      </c>
      <c r="AM97" s="88" t="str">
        <f t="shared" si="19"/>
        <v>No</v>
      </c>
      <c r="AN97" s="88" t="str">
        <f t="shared" si="19"/>
        <v>Yes</v>
      </c>
      <c r="AO97" s="91" t="str">
        <f t="shared" si="19"/>
        <v>No</v>
      </c>
      <c r="AP97" s="109" t="s">
        <v>243</v>
      </c>
      <c r="AQ97" s="88">
        <v>97</v>
      </c>
      <c r="AR97" s="88" t="s">
        <v>347</v>
      </c>
      <c r="AS97" s="88" t="s">
        <v>347</v>
      </c>
      <c r="AT97" s="88" t="s">
        <v>347</v>
      </c>
      <c r="AU97" s="88" t="s">
        <v>346</v>
      </c>
      <c r="AV97" s="88" t="s">
        <v>347</v>
      </c>
      <c r="AW97" s="88" t="s">
        <v>347</v>
      </c>
      <c r="AX97" s="88" t="s">
        <v>346</v>
      </c>
      <c r="AY97" s="88" t="s">
        <v>347</v>
      </c>
      <c r="AZ97" s="88" t="s">
        <v>347</v>
      </c>
      <c r="BA97" s="88" t="s">
        <v>347</v>
      </c>
      <c r="BB97" s="88" t="s">
        <v>347</v>
      </c>
      <c r="BC97" s="88" t="s">
        <v>346</v>
      </c>
      <c r="BD97" s="88" t="s">
        <v>347</v>
      </c>
      <c r="BE97" s="88" t="s">
        <v>347</v>
      </c>
      <c r="BF97" s="88" t="s">
        <v>347</v>
      </c>
      <c r="BG97" s="88" t="s">
        <v>347</v>
      </c>
      <c r="BH97" s="88" t="s">
        <v>347</v>
      </c>
      <c r="BI97" s="88" t="s">
        <v>347</v>
      </c>
      <c r="BJ97" s="88" t="s">
        <v>347</v>
      </c>
      <c r="BK97" s="88" t="s">
        <v>347</v>
      </c>
      <c r="BL97" s="88" t="s">
        <v>347</v>
      </c>
      <c r="BM97" s="88" t="s">
        <v>346</v>
      </c>
      <c r="BN97" s="88" t="s">
        <v>347</v>
      </c>
      <c r="BO97" s="88" t="s">
        <v>346</v>
      </c>
      <c r="BP97" s="88" t="s">
        <v>347</v>
      </c>
      <c r="BQ97" s="88" t="s">
        <v>347</v>
      </c>
      <c r="BR97" s="88" t="s">
        <v>346</v>
      </c>
      <c r="BS97" s="88" t="s">
        <v>347</v>
      </c>
      <c r="BT97" s="88" t="s">
        <v>347</v>
      </c>
      <c r="BU97" s="88" t="s">
        <v>347</v>
      </c>
      <c r="BV97" s="88" t="s">
        <v>347</v>
      </c>
      <c r="BW97" s="88" t="s">
        <v>347</v>
      </c>
      <c r="BX97" s="88" t="s">
        <v>347</v>
      </c>
      <c r="BY97" s="88" t="s">
        <v>346</v>
      </c>
      <c r="BZ97" s="91" t="s">
        <v>347</v>
      </c>
    </row>
    <row r="98" spans="1:78" s="2" customFormat="1" x14ac:dyDescent="0.25">
      <c r="A98" s="109" t="s">
        <v>200</v>
      </c>
      <c r="B98" s="88" t="s">
        <v>347</v>
      </c>
      <c r="C98" s="88" t="s">
        <v>347</v>
      </c>
      <c r="D98" s="88" t="s">
        <v>347</v>
      </c>
      <c r="E98" s="88" t="s">
        <v>346</v>
      </c>
      <c r="F98" s="88" t="s">
        <v>347</v>
      </c>
      <c r="G98" s="88" t="s">
        <v>346</v>
      </c>
      <c r="H98" s="88" t="s">
        <v>347</v>
      </c>
      <c r="I98" s="88" t="s">
        <v>347</v>
      </c>
      <c r="J98" s="91" t="s">
        <v>347</v>
      </c>
      <c r="K98" s="109" t="s">
        <v>200</v>
      </c>
      <c r="L98" s="88" t="str">
        <f>LOOKUP($K98,PantheonList!$A$18:$A$139,PantheonList!$B$18:$B$139)</f>
        <v>Athletics</v>
      </c>
      <c r="M98" s="88" t="str">
        <f>LOOKUP($K98,PantheonList!$A$18:$A$139,PantheonList!$C$18:$C$139)</f>
        <v>Empathy</v>
      </c>
      <c r="N98" s="88" t="str">
        <f>LOOKUP($K98,PantheonList!$A$18:$A$139,PantheonList!$D$18:$D$139)</f>
        <v>Integrity</v>
      </c>
      <c r="O98" s="88" t="str">
        <f>LOOKUP($K98,PantheonList!$A$18:$A$139,PantheonList!$E$18:$E$139)</f>
        <v>Melee</v>
      </c>
      <c r="P98" s="88" t="str">
        <f>LOOKUP($K98,PantheonList!$A$18:$A$139,PantheonList!$F$18:$F$139)</f>
        <v>Science</v>
      </c>
      <c r="Q98" s="88" t="str">
        <f>LOOKUP($K98,PantheonList!$A$18:$A$139,PantheonList!$G$18:$G$139)</f>
        <v>Survival</v>
      </c>
      <c r="R98" s="88" t="str">
        <f t="shared" si="18"/>
        <v>No</v>
      </c>
      <c r="S98" s="88" t="str">
        <f t="shared" si="18"/>
        <v>No</v>
      </c>
      <c r="T98" s="88" t="str">
        <f t="shared" si="18"/>
        <v>No</v>
      </c>
      <c r="U98" s="88" t="str">
        <f t="shared" si="18"/>
        <v>Yes</v>
      </c>
      <c r="V98" s="88" t="str">
        <f t="shared" si="18"/>
        <v>No</v>
      </c>
      <c r="W98" s="88" t="str">
        <f t="shared" si="18"/>
        <v>No</v>
      </c>
      <c r="X98" s="88" t="str">
        <f t="shared" si="18"/>
        <v>No</v>
      </c>
      <c r="Y98" s="88" t="str">
        <f t="shared" si="18"/>
        <v>No</v>
      </c>
      <c r="Z98" s="88" t="str">
        <f t="shared" si="18"/>
        <v>No</v>
      </c>
      <c r="AA98" s="88" t="str">
        <f t="shared" si="18"/>
        <v>Yes</v>
      </c>
      <c r="AB98" s="88" t="str">
        <f t="shared" si="19"/>
        <v>No</v>
      </c>
      <c r="AC98" s="88" t="str">
        <f t="shared" si="19"/>
        <v>Yes</v>
      </c>
      <c r="AD98" s="88" t="str">
        <f t="shared" si="19"/>
        <v>No</v>
      </c>
      <c r="AE98" s="88" t="str">
        <f t="shared" si="19"/>
        <v>No</v>
      </c>
      <c r="AF98" s="88" t="str">
        <f t="shared" si="19"/>
        <v>No</v>
      </c>
      <c r="AG98" s="88" t="str">
        <f t="shared" si="19"/>
        <v>No</v>
      </c>
      <c r="AH98" s="88" t="str">
        <f t="shared" si="19"/>
        <v>Yes</v>
      </c>
      <c r="AI98" s="88" t="str">
        <f t="shared" si="19"/>
        <v>No</v>
      </c>
      <c r="AJ98" s="88" t="str">
        <f t="shared" si="19"/>
        <v>No</v>
      </c>
      <c r="AK98" s="88" t="str">
        <f t="shared" si="19"/>
        <v>No</v>
      </c>
      <c r="AL98" s="88" t="str">
        <f t="shared" si="19"/>
        <v>Yes</v>
      </c>
      <c r="AM98" s="88" t="str">
        <f t="shared" si="19"/>
        <v>No</v>
      </c>
      <c r="AN98" s="88" t="str">
        <f t="shared" si="19"/>
        <v>Yes</v>
      </c>
      <c r="AO98" s="91" t="str">
        <f t="shared" si="19"/>
        <v>No</v>
      </c>
      <c r="AP98" s="109" t="s">
        <v>200</v>
      </c>
      <c r="AQ98" s="88">
        <v>98</v>
      </c>
      <c r="AR98" s="88" t="s">
        <v>347</v>
      </c>
      <c r="AS98" s="88" t="s">
        <v>347</v>
      </c>
      <c r="AT98" s="88" t="s">
        <v>347</v>
      </c>
      <c r="AU98" s="88" t="s">
        <v>347</v>
      </c>
      <c r="AV98" s="88" t="s">
        <v>347</v>
      </c>
      <c r="AW98" s="88" t="s">
        <v>347</v>
      </c>
      <c r="AX98" s="88" t="s">
        <v>347</v>
      </c>
      <c r="AY98" s="88" t="s">
        <v>347</v>
      </c>
      <c r="AZ98" s="88" t="s">
        <v>347</v>
      </c>
      <c r="BA98" s="88" t="s">
        <v>347</v>
      </c>
      <c r="BB98" s="88" t="s">
        <v>346</v>
      </c>
      <c r="BC98" s="88" t="s">
        <v>347</v>
      </c>
      <c r="BD98" s="88" t="s">
        <v>347</v>
      </c>
      <c r="BE98" s="88" t="s">
        <v>347</v>
      </c>
      <c r="BF98" s="88" t="s">
        <v>347</v>
      </c>
      <c r="BG98" s="88" t="s">
        <v>347</v>
      </c>
      <c r="BH98" s="88" t="s">
        <v>347</v>
      </c>
      <c r="BI98" s="88" t="s">
        <v>347</v>
      </c>
      <c r="BJ98" s="88" t="s">
        <v>347</v>
      </c>
      <c r="BK98" s="88" t="s">
        <v>346</v>
      </c>
      <c r="BL98" s="88" t="s">
        <v>347</v>
      </c>
      <c r="BM98" s="88" t="s">
        <v>347</v>
      </c>
      <c r="BN98" s="88" t="s">
        <v>347</v>
      </c>
      <c r="BO98" s="88" t="s">
        <v>347</v>
      </c>
      <c r="BP98" s="88" t="s">
        <v>347</v>
      </c>
      <c r="BQ98" s="88" t="s">
        <v>347</v>
      </c>
      <c r="BR98" s="88" t="s">
        <v>347</v>
      </c>
      <c r="BS98" s="88" t="s">
        <v>347</v>
      </c>
      <c r="BT98" s="88" t="s">
        <v>347</v>
      </c>
      <c r="BU98" s="88" t="s">
        <v>347</v>
      </c>
      <c r="BV98" s="88" t="s">
        <v>347</v>
      </c>
      <c r="BW98" s="88" t="s">
        <v>347</v>
      </c>
      <c r="BX98" s="88" t="s">
        <v>347</v>
      </c>
      <c r="BY98" s="88" t="s">
        <v>347</v>
      </c>
      <c r="BZ98" s="91" t="s">
        <v>347</v>
      </c>
    </row>
    <row r="99" spans="1:78" s="2" customFormat="1" x14ac:dyDescent="0.25">
      <c r="A99" s="109" t="s">
        <v>278</v>
      </c>
      <c r="B99" s="88" t="s">
        <v>346</v>
      </c>
      <c r="C99" s="88" t="s">
        <v>347</v>
      </c>
      <c r="D99" s="88" t="s">
        <v>346</v>
      </c>
      <c r="E99" s="88" t="s">
        <v>347</v>
      </c>
      <c r="F99" s="88" t="s">
        <v>347</v>
      </c>
      <c r="G99" s="88" t="s">
        <v>347</v>
      </c>
      <c r="H99" s="88" t="s">
        <v>347</v>
      </c>
      <c r="I99" s="88" t="s">
        <v>347</v>
      </c>
      <c r="J99" s="91" t="s">
        <v>347</v>
      </c>
      <c r="K99" s="109" t="s">
        <v>278</v>
      </c>
      <c r="L99" s="88" t="str">
        <f>LOOKUP($K99,PantheonList!$A$18:$A$139,PantheonList!$B$18:$B$139)</f>
        <v>Athletics</v>
      </c>
      <c r="M99" s="88" t="str">
        <f>LOOKUP($K99,PantheonList!$A$18:$A$139,PantheonList!$C$18:$C$139)</f>
        <v>Awareness</v>
      </c>
      <c r="N99" s="88" t="str">
        <f>LOOKUP($K99,PantheonList!$A$18:$A$139,PantheonList!$D$18:$D$139)</f>
        <v>Brawl</v>
      </c>
      <c r="O99" s="88" t="str">
        <f>LOOKUP($K99,PantheonList!$A$18:$A$139,PantheonList!$E$18:$E$139)</f>
        <v>Larceny</v>
      </c>
      <c r="P99" s="88" t="str">
        <f>LOOKUP($K99,PantheonList!$A$18:$A$139,PantheonList!$F$18:$F$139)</f>
        <v>Presence</v>
      </c>
      <c r="Q99" s="88" t="str">
        <f>LOOKUP($K99,PantheonList!$A$18:$A$139,PantheonList!$G$18:$G$139)</f>
        <v>Stealth</v>
      </c>
      <c r="R99" s="88" t="str">
        <f t="shared" si="18"/>
        <v>No</v>
      </c>
      <c r="S99" s="88" t="str">
        <f t="shared" si="18"/>
        <v>No</v>
      </c>
      <c r="T99" s="88" t="str">
        <f t="shared" si="18"/>
        <v>No</v>
      </c>
      <c r="U99" s="88" t="str">
        <f t="shared" si="18"/>
        <v>Yes</v>
      </c>
      <c r="V99" s="88" t="str">
        <f t="shared" si="18"/>
        <v>Yes</v>
      </c>
      <c r="W99" s="88" t="str">
        <f t="shared" si="18"/>
        <v>Yes</v>
      </c>
      <c r="X99" s="88" t="str">
        <f t="shared" si="18"/>
        <v>No</v>
      </c>
      <c r="Y99" s="88" t="str">
        <f t="shared" si="18"/>
        <v>No</v>
      </c>
      <c r="Z99" s="88" t="str">
        <f t="shared" si="18"/>
        <v>No</v>
      </c>
      <c r="AA99" s="88" t="str">
        <f t="shared" si="18"/>
        <v>No</v>
      </c>
      <c r="AB99" s="88" t="str">
        <f t="shared" si="19"/>
        <v>No</v>
      </c>
      <c r="AC99" s="88" t="str">
        <f t="shared" si="19"/>
        <v>No</v>
      </c>
      <c r="AD99" s="88" t="str">
        <f t="shared" si="19"/>
        <v>No</v>
      </c>
      <c r="AE99" s="88" t="str">
        <f t="shared" si="19"/>
        <v>Yes</v>
      </c>
      <c r="AF99" s="88" t="str">
        <f t="shared" si="19"/>
        <v>No</v>
      </c>
      <c r="AG99" s="88" t="str">
        <f t="shared" si="19"/>
        <v>No</v>
      </c>
      <c r="AH99" s="88" t="str">
        <f t="shared" si="19"/>
        <v>No</v>
      </c>
      <c r="AI99" s="88" t="str">
        <f t="shared" si="19"/>
        <v>No</v>
      </c>
      <c r="AJ99" s="88" t="str">
        <f t="shared" si="19"/>
        <v>No</v>
      </c>
      <c r="AK99" s="88" t="str">
        <f t="shared" si="19"/>
        <v>Yes</v>
      </c>
      <c r="AL99" s="88" t="str">
        <f t="shared" si="19"/>
        <v>No</v>
      </c>
      <c r="AM99" s="88" t="str">
        <f t="shared" si="19"/>
        <v>Yes</v>
      </c>
      <c r="AN99" s="88" t="str">
        <f t="shared" si="19"/>
        <v>No</v>
      </c>
      <c r="AO99" s="91" t="str">
        <f t="shared" si="19"/>
        <v>No</v>
      </c>
      <c r="AP99" s="109" t="s">
        <v>278</v>
      </c>
      <c r="AQ99" s="88">
        <v>99</v>
      </c>
      <c r="AR99" s="88" t="s">
        <v>346</v>
      </c>
      <c r="AS99" s="88" t="s">
        <v>347</v>
      </c>
      <c r="AT99" s="88" t="s">
        <v>347</v>
      </c>
      <c r="AU99" s="88" t="s">
        <v>347</v>
      </c>
      <c r="AV99" s="88" t="s">
        <v>347</v>
      </c>
      <c r="AW99" s="88" t="s">
        <v>347</v>
      </c>
      <c r="AX99" s="88" t="s">
        <v>347</v>
      </c>
      <c r="AY99" s="88" t="s">
        <v>347</v>
      </c>
      <c r="AZ99" s="88" t="s">
        <v>347</v>
      </c>
      <c r="BA99" s="88" t="s">
        <v>347</v>
      </c>
      <c r="BB99" s="88" t="s">
        <v>346</v>
      </c>
      <c r="BC99" s="88" t="s">
        <v>347</v>
      </c>
      <c r="BD99" s="88" t="s">
        <v>347</v>
      </c>
      <c r="BE99" s="88" t="s">
        <v>347</v>
      </c>
      <c r="BF99" s="88" t="s">
        <v>347</v>
      </c>
      <c r="BG99" s="88" t="s">
        <v>346</v>
      </c>
      <c r="BH99" s="88" t="s">
        <v>347</v>
      </c>
      <c r="BI99" s="88" t="s">
        <v>347</v>
      </c>
      <c r="BJ99" s="88" t="s">
        <v>347</v>
      </c>
      <c r="BK99" s="88" t="s">
        <v>347</v>
      </c>
      <c r="BL99" s="88" t="s">
        <v>347</v>
      </c>
      <c r="BM99" s="88" t="s">
        <v>347</v>
      </c>
      <c r="BN99" s="88" t="s">
        <v>347</v>
      </c>
      <c r="BO99" s="88" t="s">
        <v>347</v>
      </c>
      <c r="BP99" s="88" t="s">
        <v>347</v>
      </c>
      <c r="BQ99" s="88" t="s">
        <v>347</v>
      </c>
      <c r="BR99" s="88" t="s">
        <v>347</v>
      </c>
      <c r="BS99" s="88" t="s">
        <v>347</v>
      </c>
      <c r="BT99" s="88" t="s">
        <v>347</v>
      </c>
      <c r="BU99" s="88" t="s">
        <v>347</v>
      </c>
      <c r="BV99" s="88" t="s">
        <v>347</v>
      </c>
      <c r="BW99" s="88" t="s">
        <v>347</v>
      </c>
      <c r="BX99" s="88" t="s">
        <v>347</v>
      </c>
      <c r="BY99" s="88" t="s">
        <v>346</v>
      </c>
      <c r="BZ99" s="91" t="s">
        <v>347</v>
      </c>
    </row>
    <row r="100" spans="1:78" s="2" customFormat="1" x14ac:dyDescent="0.25">
      <c r="A100" s="109" t="s">
        <v>295</v>
      </c>
      <c r="B100" s="88" t="s">
        <v>347</v>
      </c>
      <c r="C100" s="88" t="s">
        <v>347</v>
      </c>
      <c r="D100" s="88" t="s">
        <v>347</v>
      </c>
      <c r="E100" s="88" t="s">
        <v>347</v>
      </c>
      <c r="F100" s="88" t="s">
        <v>347</v>
      </c>
      <c r="G100" s="88" t="s">
        <v>346</v>
      </c>
      <c r="H100" s="88" t="s">
        <v>346</v>
      </c>
      <c r="I100" s="88" t="s">
        <v>347</v>
      </c>
      <c r="J100" s="91" t="s">
        <v>347</v>
      </c>
      <c r="K100" s="109" t="s">
        <v>295</v>
      </c>
      <c r="L100" s="88" t="str">
        <f>LOOKUP($K100,PantheonList!$A$18:$A$139,PantheonList!$B$18:$B$139)</f>
        <v>Awareness</v>
      </c>
      <c r="M100" s="88" t="str">
        <f>LOOKUP($K100,PantheonList!$A$18:$A$139,PantheonList!$C$18:$C$139)</f>
        <v>Empathy</v>
      </c>
      <c r="N100" s="88" t="str">
        <f>LOOKUP($K100,PantheonList!$A$18:$A$139,PantheonList!$D$18:$D$139)</f>
        <v>Fortitude</v>
      </c>
      <c r="O100" s="88" t="str">
        <f>LOOKUP($K100,PantheonList!$A$18:$A$139,PantheonList!$E$18:$E$139)</f>
        <v>Integrity</v>
      </c>
      <c r="P100" s="88" t="str">
        <f>LOOKUP($K100,PantheonList!$A$18:$A$139,PantheonList!$F$18:$F$139)</f>
        <v>Medicine</v>
      </c>
      <c r="Q100" s="88" t="str">
        <f>LOOKUP($K100,PantheonList!$A$18:$A$139,PantheonList!$G$18:$G$139)</f>
        <v>Presence</v>
      </c>
      <c r="R100" s="88" t="str">
        <f t="shared" si="18"/>
        <v>No</v>
      </c>
      <c r="S100" s="88" t="str">
        <f t="shared" si="18"/>
        <v>No</v>
      </c>
      <c r="T100" s="88" t="str">
        <f t="shared" si="18"/>
        <v>No</v>
      </c>
      <c r="U100" s="88" t="str">
        <f t="shared" si="18"/>
        <v>No</v>
      </c>
      <c r="V100" s="88" t="str">
        <f t="shared" si="18"/>
        <v>Yes</v>
      </c>
      <c r="W100" s="88" t="str">
        <f t="shared" si="18"/>
        <v>No</v>
      </c>
      <c r="X100" s="88" t="str">
        <f t="shared" si="18"/>
        <v>No</v>
      </c>
      <c r="Y100" s="88" t="str">
        <f t="shared" si="18"/>
        <v>No</v>
      </c>
      <c r="Z100" s="88" t="str">
        <f t="shared" si="18"/>
        <v>No</v>
      </c>
      <c r="AA100" s="88" t="str">
        <f t="shared" si="18"/>
        <v>Yes</v>
      </c>
      <c r="AB100" s="88" t="str">
        <f t="shared" si="19"/>
        <v>Yes</v>
      </c>
      <c r="AC100" s="88" t="str">
        <f t="shared" si="19"/>
        <v>Yes</v>
      </c>
      <c r="AD100" s="88" t="str">
        <f t="shared" si="19"/>
        <v>No</v>
      </c>
      <c r="AE100" s="88" t="str">
        <f t="shared" si="19"/>
        <v>No</v>
      </c>
      <c r="AF100" s="88" t="str">
        <f t="shared" si="19"/>
        <v>No</v>
      </c>
      <c r="AG100" s="88" t="str">
        <f t="shared" si="19"/>
        <v>Yes</v>
      </c>
      <c r="AH100" s="88" t="str">
        <f t="shared" si="19"/>
        <v>No</v>
      </c>
      <c r="AI100" s="88" t="str">
        <f t="shared" si="19"/>
        <v>No</v>
      </c>
      <c r="AJ100" s="88" t="str">
        <f t="shared" si="19"/>
        <v>No</v>
      </c>
      <c r="AK100" s="88" t="str">
        <f t="shared" si="19"/>
        <v>Yes</v>
      </c>
      <c r="AL100" s="88" t="str">
        <f t="shared" si="19"/>
        <v>No</v>
      </c>
      <c r="AM100" s="88" t="str">
        <f t="shared" si="19"/>
        <v>No</v>
      </c>
      <c r="AN100" s="88" t="str">
        <f t="shared" si="19"/>
        <v>No</v>
      </c>
      <c r="AO100" s="91" t="str">
        <f t="shared" si="19"/>
        <v>No</v>
      </c>
      <c r="AP100" s="109" t="s">
        <v>295</v>
      </c>
      <c r="AQ100" s="88">
        <v>100</v>
      </c>
      <c r="AR100" s="88" t="s">
        <v>347</v>
      </c>
      <c r="AS100" s="88" t="s">
        <v>347</v>
      </c>
      <c r="AT100" s="88" t="s">
        <v>346</v>
      </c>
      <c r="AU100" s="88" t="s">
        <v>347</v>
      </c>
      <c r="AV100" s="88" t="s">
        <v>347</v>
      </c>
      <c r="AW100" s="88" t="s">
        <v>347</v>
      </c>
      <c r="AX100" s="88" t="s">
        <v>347</v>
      </c>
      <c r="AY100" s="88" t="s">
        <v>347</v>
      </c>
      <c r="AZ100" s="88" t="s">
        <v>347</v>
      </c>
      <c r="BA100" s="88" t="s">
        <v>347</v>
      </c>
      <c r="BB100" s="88" t="s">
        <v>347</v>
      </c>
      <c r="BC100" s="88" t="s">
        <v>347</v>
      </c>
      <c r="BD100" s="88" t="s">
        <v>347</v>
      </c>
      <c r="BE100" s="88" t="s">
        <v>346</v>
      </c>
      <c r="BF100" s="88" t="s">
        <v>347</v>
      </c>
      <c r="BG100" s="88" t="s">
        <v>347</v>
      </c>
      <c r="BH100" s="88" t="s">
        <v>347</v>
      </c>
      <c r="BI100" s="88" t="s">
        <v>347</v>
      </c>
      <c r="BJ100" s="88" t="s">
        <v>347</v>
      </c>
      <c r="BK100" s="88" t="s">
        <v>347</v>
      </c>
      <c r="BL100" s="88" t="s">
        <v>346</v>
      </c>
      <c r="BM100" s="88" t="s">
        <v>347</v>
      </c>
      <c r="BN100" s="88" t="s">
        <v>347</v>
      </c>
      <c r="BO100" s="88" t="s">
        <v>347</v>
      </c>
      <c r="BP100" s="88" t="s">
        <v>346</v>
      </c>
      <c r="BQ100" s="88" t="s">
        <v>347</v>
      </c>
      <c r="BR100" s="88" t="s">
        <v>347</v>
      </c>
      <c r="BS100" s="88" t="s">
        <v>347</v>
      </c>
      <c r="BT100" s="88" t="s">
        <v>347</v>
      </c>
      <c r="BU100" s="88" t="s">
        <v>347</v>
      </c>
      <c r="BV100" s="88" t="s">
        <v>347</v>
      </c>
      <c r="BW100" s="88" t="s">
        <v>347</v>
      </c>
      <c r="BX100" s="88" t="s">
        <v>347</v>
      </c>
      <c r="BY100" s="88" t="s">
        <v>347</v>
      </c>
      <c r="BZ100" s="91" t="s">
        <v>347</v>
      </c>
    </row>
    <row r="101" spans="1:78" s="2" customFormat="1" x14ac:dyDescent="0.25">
      <c r="A101" s="109" t="s">
        <v>231</v>
      </c>
      <c r="B101" s="88" t="s">
        <v>346</v>
      </c>
      <c r="C101" s="88" t="s">
        <v>346</v>
      </c>
      <c r="D101" s="88" t="s">
        <v>346</v>
      </c>
      <c r="E101" s="88" t="s">
        <v>347</v>
      </c>
      <c r="F101" s="88" t="s">
        <v>347</v>
      </c>
      <c r="G101" s="88" t="s">
        <v>347</v>
      </c>
      <c r="H101" s="88" t="s">
        <v>347</v>
      </c>
      <c r="I101" s="88" t="s">
        <v>347</v>
      </c>
      <c r="J101" s="91" t="s">
        <v>347</v>
      </c>
      <c r="K101" s="109" t="s">
        <v>231</v>
      </c>
      <c r="L101" s="88" t="str">
        <f>LOOKUP($K101,PantheonList!$A$18:$A$139,PantheonList!$B$18:$B$139)</f>
        <v>Athletics</v>
      </c>
      <c r="M101" s="88" t="str">
        <f>LOOKUP($K101,PantheonList!$A$18:$A$139,PantheonList!$C$18:$C$139)</f>
        <v>Brawl</v>
      </c>
      <c r="N101" s="88" t="str">
        <f>LOOKUP($K101,PantheonList!$A$18:$A$139,PantheonList!$D$18:$D$139)</f>
        <v>Fortitude</v>
      </c>
      <c r="O101" s="88" t="str">
        <f>LOOKUP($K101,PantheonList!$A$18:$A$139,PantheonList!$E$18:$E$139)</f>
        <v>Larceny</v>
      </c>
      <c r="P101" s="88" t="str">
        <f>LOOKUP($K101,PantheonList!$A$18:$A$139,PantheonList!$F$18:$F$139)</f>
        <v>Melee</v>
      </c>
      <c r="Q101" s="88" t="str">
        <f>LOOKUP($K101,PantheonList!$A$18:$A$139,PantheonList!$G$18:$G$139)</f>
        <v>Survival</v>
      </c>
      <c r="R101" s="88" t="str">
        <f t="shared" si="18"/>
        <v>No</v>
      </c>
      <c r="S101" s="88" t="str">
        <f t="shared" si="18"/>
        <v>No</v>
      </c>
      <c r="T101" s="88" t="str">
        <f t="shared" si="18"/>
        <v>No</v>
      </c>
      <c r="U101" s="88" t="str">
        <f t="shared" si="18"/>
        <v>Yes</v>
      </c>
      <c r="V101" s="88" t="str">
        <f t="shared" si="18"/>
        <v>No</v>
      </c>
      <c r="W101" s="88" t="str">
        <f t="shared" si="18"/>
        <v>Yes</v>
      </c>
      <c r="X101" s="88" t="str">
        <f t="shared" si="18"/>
        <v>No</v>
      </c>
      <c r="Y101" s="88" t="str">
        <f t="shared" si="18"/>
        <v>No</v>
      </c>
      <c r="Z101" s="88" t="str">
        <f t="shared" si="18"/>
        <v>No</v>
      </c>
      <c r="AA101" s="88" t="str">
        <f t="shared" si="18"/>
        <v>No</v>
      </c>
      <c r="AB101" s="88" t="str">
        <f t="shared" si="19"/>
        <v>Yes</v>
      </c>
      <c r="AC101" s="88" t="str">
        <f t="shared" si="19"/>
        <v>No</v>
      </c>
      <c r="AD101" s="88" t="str">
        <f t="shared" si="19"/>
        <v>No</v>
      </c>
      <c r="AE101" s="88" t="str">
        <f t="shared" si="19"/>
        <v>Yes</v>
      </c>
      <c r="AF101" s="88" t="str">
        <f t="shared" si="19"/>
        <v>No</v>
      </c>
      <c r="AG101" s="88" t="str">
        <f t="shared" si="19"/>
        <v>No</v>
      </c>
      <c r="AH101" s="88" t="str">
        <f t="shared" si="19"/>
        <v>Yes</v>
      </c>
      <c r="AI101" s="88" t="str">
        <f t="shared" si="19"/>
        <v>No</v>
      </c>
      <c r="AJ101" s="88" t="str">
        <f t="shared" si="19"/>
        <v>No</v>
      </c>
      <c r="AK101" s="88" t="str">
        <f t="shared" si="19"/>
        <v>No</v>
      </c>
      <c r="AL101" s="88" t="str">
        <f t="shared" si="19"/>
        <v>No</v>
      </c>
      <c r="AM101" s="88" t="str">
        <f t="shared" si="19"/>
        <v>No</v>
      </c>
      <c r="AN101" s="88" t="str">
        <f t="shared" si="19"/>
        <v>Yes</v>
      </c>
      <c r="AO101" s="91" t="str">
        <f t="shared" si="19"/>
        <v>No</v>
      </c>
      <c r="AP101" s="109" t="s">
        <v>231</v>
      </c>
      <c r="AQ101" s="88">
        <v>101</v>
      </c>
      <c r="AR101" s="88" t="s">
        <v>346</v>
      </c>
      <c r="AS101" s="88" t="s">
        <v>347</v>
      </c>
      <c r="AT101" s="88" t="s">
        <v>347</v>
      </c>
      <c r="AU101" s="88" t="s">
        <v>346</v>
      </c>
      <c r="AV101" s="88" t="s">
        <v>347</v>
      </c>
      <c r="AW101" s="88" t="s">
        <v>347</v>
      </c>
      <c r="AX101" s="88" t="s">
        <v>347</v>
      </c>
      <c r="AY101" s="88" t="s">
        <v>347</v>
      </c>
      <c r="AZ101" s="88" t="s">
        <v>347</v>
      </c>
      <c r="BA101" s="88" t="s">
        <v>347</v>
      </c>
      <c r="BB101" s="88" t="s">
        <v>347</v>
      </c>
      <c r="BC101" s="88" t="s">
        <v>347</v>
      </c>
      <c r="BD101" s="88" t="s">
        <v>347</v>
      </c>
      <c r="BE101" s="88" t="s">
        <v>347</v>
      </c>
      <c r="BF101" s="88" t="s">
        <v>347</v>
      </c>
      <c r="BG101" s="88" t="s">
        <v>347</v>
      </c>
      <c r="BH101" s="88" t="s">
        <v>347</v>
      </c>
      <c r="BI101" s="88" t="s">
        <v>347</v>
      </c>
      <c r="BJ101" s="88" t="s">
        <v>347</v>
      </c>
      <c r="BK101" s="88" t="s">
        <v>347</v>
      </c>
      <c r="BL101" s="88" t="s">
        <v>347</v>
      </c>
      <c r="BM101" s="88" t="s">
        <v>347</v>
      </c>
      <c r="BN101" s="88" t="s">
        <v>347</v>
      </c>
      <c r="BO101" s="88" t="s">
        <v>347</v>
      </c>
      <c r="BP101" s="88" t="s">
        <v>347</v>
      </c>
      <c r="BQ101" s="88" t="s">
        <v>347</v>
      </c>
      <c r="BR101" s="88" t="s">
        <v>347</v>
      </c>
      <c r="BS101" s="88" t="s">
        <v>347</v>
      </c>
      <c r="BT101" s="88" t="s">
        <v>347</v>
      </c>
      <c r="BU101" s="88" t="s">
        <v>347</v>
      </c>
      <c r="BV101" s="88" t="s">
        <v>347</v>
      </c>
      <c r="BW101" s="88" t="s">
        <v>346</v>
      </c>
      <c r="BX101" s="88" t="s">
        <v>347</v>
      </c>
      <c r="BY101" s="88" t="s">
        <v>346</v>
      </c>
      <c r="BZ101" s="91" t="s">
        <v>347</v>
      </c>
    </row>
    <row r="102" spans="1:78" s="2" customFormat="1" x14ac:dyDescent="0.25">
      <c r="A102" s="109" t="s">
        <v>619</v>
      </c>
      <c r="B102" s="88" t="s">
        <v>346</v>
      </c>
      <c r="C102" s="88" t="s">
        <v>347</v>
      </c>
      <c r="D102" s="88" t="s">
        <v>347</v>
      </c>
      <c r="E102" s="88" t="s">
        <v>347</v>
      </c>
      <c r="F102" s="88" t="s">
        <v>346</v>
      </c>
      <c r="G102" s="88" t="s">
        <v>347</v>
      </c>
      <c r="H102" s="88" t="s">
        <v>347</v>
      </c>
      <c r="I102" s="88" t="s">
        <v>347</v>
      </c>
      <c r="J102" s="91" t="s">
        <v>347</v>
      </c>
      <c r="K102" s="109" t="s">
        <v>619</v>
      </c>
      <c r="L102" s="88" t="str">
        <f>LOOKUP($K102,PantheonList!$A$18:$A$139,PantheonList!$B$18:$B$139)</f>
        <v>Awareness</v>
      </c>
      <c r="M102" s="88" t="str">
        <f>LOOKUP($K102,PantheonList!$A$18:$A$139,PantheonList!$C$18:$C$139)</f>
        <v>Brawl</v>
      </c>
      <c r="N102" s="88" t="str">
        <f>LOOKUP($K102,PantheonList!$A$18:$A$139,PantheonList!$D$18:$D$139)</f>
        <v>Investigation</v>
      </c>
      <c r="O102" s="88" t="str">
        <f>LOOKUP($K102,PantheonList!$A$18:$A$139,PantheonList!$E$18:$E$139)</f>
        <v>Marksmanship</v>
      </c>
      <c r="P102" s="88" t="str">
        <f>LOOKUP($K102,PantheonList!$A$18:$A$139,PantheonList!$F$18:$F$139)</f>
        <v>Occult</v>
      </c>
      <c r="Q102" s="88" t="str">
        <f>LOOKUP($K102,PantheonList!$A$18:$A$139,PantheonList!$G$18:$G$139)</f>
        <v>Thrown</v>
      </c>
      <c r="R102" s="88" t="str">
        <f t="shared" ref="R102:AA111" si="20">IF(OR($Q102=R$1,$P102=R$1,$O102=R$1,$N102=R$1,$M102=R$1,$L102=R$1),"Yes","No")</f>
        <v>No</v>
      </c>
      <c r="S102" s="88" t="str">
        <f t="shared" si="20"/>
        <v>No</v>
      </c>
      <c r="T102" s="88" t="str">
        <f t="shared" si="20"/>
        <v>No</v>
      </c>
      <c r="U102" s="88" t="str">
        <f t="shared" si="20"/>
        <v>No</v>
      </c>
      <c r="V102" s="88" t="str">
        <f t="shared" si="20"/>
        <v>Yes</v>
      </c>
      <c r="W102" s="88" t="str">
        <f t="shared" si="20"/>
        <v>Yes</v>
      </c>
      <c r="X102" s="88" t="str">
        <f t="shared" si="20"/>
        <v>No</v>
      </c>
      <c r="Y102" s="88" t="str">
        <f t="shared" si="20"/>
        <v>No</v>
      </c>
      <c r="Z102" s="88" t="str">
        <f t="shared" si="20"/>
        <v>No</v>
      </c>
      <c r="AA102" s="88" t="str">
        <f t="shared" si="20"/>
        <v>No</v>
      </c>
      <c r="AB102" s="88" t="str">
        <f t="shared" ref="AB102:AO111" si="21">IF(OR($Q102=AB$1,$P102=AB$1,$O102=AB$1,$N102=AB$1,$M102=AB$1,$L102=AB$1),"Yes","No")</f>
        <v>No</v>
      </c>
      <c r="AC102" s="88" t="str">
        <f t="shared" si="21"/>
        <v>No</v>
      </c>
      <c r="AD102" s="88" t="str">
        <f t="shared" si="21"/>
        <v>Yes</v>
      </c>
      <c r="AE102" s="88" t="str">
        <f t="shared" si="21"/>
        <v>No</v>
      </c>
      <c r="AF102" s="88" t="str">
        <f t="shared" si="21"/>
        <v>Yes</v>
      </c>
      <c r="AG102" s="88" t="str">
        <f t="shared" si="21"/>
        <v>No</v>
      </c>
      <c r="AH102" s="88" t="str">
        <f t="shared" si="21"/>
        <v>No</v>
      </c>
      <c r="AI102" s="88" t="str">
        <f t="shared" si="21"/>
        <v>Yes</v>
      </c>
      <c r="AJ102" s="88" t="str">
        <f t="shared" si="21"/>
        <v>No</v>
      </c>
      <c r="AK102" s="88" t="str">
        <f t="shared" si="21"/>
        <v>No</v>
      </c>
      <c r="AL102" s="88" t="str">
        <f t="shared" si="21"/>
        <v>No</v>
      </c>
      <c r="AM102" s="88" t="str">
        <f t="shared" si="21"/>
        <v>No</v>
      </c>
      <c r="AN102" s="88" t="str">
        <f t="shared" si="21"/>
        <v>No</v>
      </c>
      <c r="AO102" s="91" t="str">
        <f t="shared" si="21"/>
        <v>Yes</v>
      </c>
      <c r="AP102" s="109" t="s">
        <v>619</v>
      </c>
      <c r="AQ102" s="88">
        <v>102</v>
      </c>
      <c r="AR102" s="88" t="s">
        <v>346</v>
      </c>
      <c r="AS102" s="88" t="s">
        <v>347</v>
      </c>
      <c r="AT102" s="88" t="s">
        <v>347</v>
      </c>
      <c r="AU102" s="88" t="s">
        <v>346</v>
      </c>
      <c r="AV102" s="88" t="s">
        <v>347</v>
      </c>
      <c r="AW102" s="88" t="s">
        <v>347</v>
      </c>
      <c r="AX102" s="88" t="s">
        <v>347</v>
      </c>
      <c r="AY102" s="88" t="s">
        <v>347</v>
      </c>
      <c r="AZ102" s="88" t="s">
        <v>347</v>
      </c>
      <c r="BA102" s="88" t="s">
        <v>347</v>
      </c>
      <c r="BB102" s="88" t="s">
        <v>347</v>
      </c>
      <c r="BC102" s="88" t="s">
        <v>346</v>
      </c>
      <c r="BD102" s="88" t="s">
        <v>347</v>
      </c>
      <c r="BE102" s="88" t="s">
        <v>347</v>
      </c>
      <c r="BF102" s="88" t="s">
        <v>346</v>
      </c>
      <c r="BG102" s="88" t="s">
        <v>347</v>
      </c>
      <c r="BH102" s="88" t="s">
        <v>347</v>
      </c>
      <c r="BI102" s="88" t="s">
        <v>347</v>
      </c>
      <c r="BJ102" s="88" t="s">
        <v>347</v>
      </c>
      <c r="BK102" s="88" t="s">
        <v>347</v>
      </c>
      <c r="BL102" s="88" t="s">
        <v>347</v>
      </c>
      <c r="BM102" s="88" t="s">
        <v>347</v>
      </c>
      <c r="BN102" s="88" t="s">
        <v>347</v>
      </c>
      <c r="BO102" s="88" t="s">
        <v>346</v>
      </c>
      <c r="BP102" s="88" t="s">
        <v>346</v>
      </c>
      <c r="BQ102" s="88" t="s">
        <v>347</v>
      </c>
      <c r="BR102" s="88" t="s">
        <v>346</v>
      </c>
      <c r="BS102" s="88" t="s">
        <v>347</v>
      </c>
      <c r="BT102" s="88" t="s">
        <v>347</v>
      </c>
      <c r="BU102" s="88" t="s">
        <v>347</v>
      </c>
      <c r="BV102" s="88" t="s">
        <v>346</v>
      </c>
      <c r="BW102" s="88" t="s">
        <v>347</v>
      </c>
      <c r="BX102" s="88" t="s">
        <v>347</v>
      </c>
      <c r="BY102" s="88" t="s">
        <v>347</v>
      </c>
      <c r="BZ102" s="91" t="s">
        <v>347</v>
      </c>
    </row>
    <row r="103" spans="1:78" s="2" customFormat="1" x14ac:dyDescent="0.25">
      <c r="A103" s="109" t="s">
        <v>211</v>
      </c>
      <c r="B103" s="88" t="s">
        <v>346</v>
      </c>
      <c r="C103" s="88" t="s">
        <v>347</v>
      </c>
      <c r="D103" s="88" t="s">
        <v>347</v>
      </c>
      <c r="E103" s="88" t="s">
        <v>347</v>
      </c>
      <c r="F103" s="88" t="s">
        <v>347</v>
      </c>
      <c r="G103" s="88" t="s">
        <v>347</v>
      </c>
      <c r="H103" s="88" t="s">
        <v>347</v>
      </c>
      <c r="I103" s="88" t="s">
        <v>347</v>
      </c>
      <c r="J103" s="91" t="s">
        <v>346</v>
      </c>
      <c r="K103" s="109" t="s">
        <v>211</v>
      </c>
      <c r="L103" s="88" t="str">
        <f>LOOKUP($K103,PantheonList!$A$18:$A$139,PantheonList!$B$18:$B$139)</f>
        <v>Awareness</v>
      </c>
      <c r="M103" s="88" t="str">
        <f>LOOKUP($K103,PantheonList!$A$18:$A$139,PantheonList!$C$18:$C$139)</f>
        <v>Brawl</v>
      </c>
      <c r="N103" s="88" t="str">
        <f>LOOKUP($K103,PantheonList!$A$18:$A$139,PantheonList!$D$18:$D$139)</f>
        <v>Craft</v>
      </c>
      <c r="O103" s="88" t="str">
        <f>LOOKUP($K103,PantheonList!$A$18:$A$139,PantheonList!$E$18:$E$139)</f>
        <v>Fortitude</v>
      </c>
      <c r="P103" s="88" t="str">
        <f>LOOKUP($K103,PantheonList!$A$18:$A$139,PantheonList!$F$18:$F$139)</f>
        <v>Melee</v>
      </c>
      <c r="Q103" s="88" t="str">
        <f>LOOKUP($K103,PantheonList!$A$18:$A$139,PantheonList!$G$18:$G$139)</f>
        <v>Presence</v>
      </c>
      <c r="R103" s="88" t="str">
        <f t="shared" si="20"/>
        <v>No</v>
      </c>
      <c r="S103" s="88" t="str">
        <f t="shared" si="20"/>
        <v>No</v>
      </c>
      <c r="T103" s="88" t="str">
        <f t="shared" si="20"/>
        <v>No</v>
      </c>
      <c r="U103" s="88" t="str">
        <f t="shared" si="20"/>
        <v>No</v>
      </c>
      <c r="V103" s="88" t="str">
        <f t="shared" si="20"/>
        <v>Yes</v>
      </c>
      <c r="W103" s="88" t="str">
        <f t="shared" si="20"/>
        <v>Yes</v>
      </c>
      <c r="X103" s="88" t="str">
        <f t="shared" si="20"/>
        <v>No</v>
      </c>
      <c r="Y103" s="88" t="str">
        <f t="shared" si="20"/>
        <v>No</v>
      </c>
      <c r="Z103" s="88" t="str">
        <f t="shared" si="20"/>
        <v>Yes</v>
      </c>
      <c r="AA103" s="88" t="str">
        <f t="shared" si="20"/>
        <v>No</v>
      </c>
      <c r="AB103" s="88" t="str">
        <f t="shared" si="21"/>
        <v>Yes</v>
      </c>
      <c r="AC103" s="88" t="str">
        <f t="shared" si="21"/>
        <v>No</v>
      </c>
      <c r="AD103" s="88" t="str">
        <f t="shared" si="21"/>
        <v>No</v>
      </c>
      <c r="AE103" s="88" t="str">
        <f t="shared" si="21"/>
        <v>No</v>
      </c>
      <c r="AF103" s="88" t="str">
        <f t="shared" si="21"/>
        <v>No</v>
      </c>
      <c r="AG103" s="88" t="str">
        <f t="shared" si="21"/>
        <v>No</v>
      </c>
      <c r="AH103" s="88" t="str">
        <f t="shared" si="21"/>
        <v>Yes</v>
      </c>
      <c r="AI103" s="88" t="str">
        <f t="shared" si="21"/>
        <v>No</v>
      </c>
      <c r="AJ103" s="88" t="str">
        <f t="shared" si="21"/>
        <v>No</v>
      </c>
      <c r="AK103" s="88" t="str">
        <f t="shared" si="21"/>
        <v>Yes</v>
      </c>
      <c r="AL103" s="88" t="str">
        <f t="shared" si="21"/>
        <v>No</v>
      </c>
      <c r="AM103" s="88" t="str">
        <f t="shared" si="21"/>
        <v>No</v>
      </c>
      <c r="AN103" s="88" t="str">
        <f t="shared" si="21"/>
        <v>No</v>
      </c>
      <c r="AO103" s="91" t="str">
        <f t="shared" si="21"/>
        <v>No</v>
      </c>
      <c r="AP103" s="109" t="s">
        <v>211</v>
      </c>
      <c r="AQ103" s="88">
        <v>103</v>
      </c>
      <c r="AR103" s="88" t="s">
        <v>347</v>
      </c>
      <c r="AS103" s="88" t="s">
        <v>347</v>
      </c>
      <c r="AT103" s="88" t="s">
        <v>347</v>
      </c>
      <c r="AU103" s="88" t="s">
        <v>346</v>
      </c>
      <c r="AV103" s="88" t="s">
        <v>347</v>
      </c>
      <c r="AW103" s="88" t="s">
        <v>347</v>
      </c>
      <c r="AX103" s="88" t="s">
        <v>347</v>
      </c>
      <c r="AY103" s="88" t="s">
        <v>347</v>
      </c>
      <c r="AZ103" s="88" t="s">
        <v>347</v>
      </c>
      <c r="BA103" s="88" t="s">
        <v>347</v>
      </c>
      <c r="BB103" s="88" t="s">
        <v>347</v>
      </c>
      <c r="BC103" s="88" t="s">
        <v>347</v>
      </c>
      <c r="BD103" s="88" t="s">
        <v>347</v>
      </c>
      <c r="BE103" s="88" t="s">
        <v>347</v>
      </c>
      <c r="BF103" s="88" t="s">
        <v>347</v>
      </c>
      <c r="BG103" s="88" t="s">
        <v>347</v>
      </c>
      <c r="BH103" s="88" t="s">
        <v>347</v>
      </c>
      <c r="BI103" s="88" t="s">
        <v>347</v>
      </c>
      <c r="BJ103" s="88" t="s">
        <v>347</v>
      </c>
      <c r="BK103" s="88" t="s">
        <v>347</v>
      </c>
      <c r="BL103" s="88" t="s">
        <v>347</v>
      </c>
      <c r="BM103" s="88" t="s">
        <v>347</v>
      </c>
      <c r="BN103" s="88" t="s">
        <v>347</v>
      </c>
      <c r="BO103" s="88" t="s">
        <v>347</v>
      </c>
      <c r="BP103" s="88" t="s">
        <v>347</v>
      </c>
      <c r="BQ103" s="88" t="s">
        <v>346</v>
      </c>
      <c r="BR103" s="88" t="s">
        <v>347</v>
      </c>
      <c r="BS103" s="88" t="s">
        <v>347</v>
      </c>
      <c r="BT103" s="88" t="s">
        <v>346</v>
      </c>
      <c r="BU103" s="88" t="s">
        <v>347</v>
      </c>
      <c r="BV103" s="88" t="s">
        <v>347</v>
      </c>
      <c r="BW103" s="88" t="s">
        <v>347</v>
      </c>
      <c r="BX103" s="88" t="s">
        <v>346</v>
      </c>
      <c r="BY103" s="88" t="s">
        <v>347</v>
      </c>
      <c r="BZ103" s="91" t="s">
        <v>346</v>
      </c>
    </row>
    <row r="104" spans="1:78" s="2" customFormat="1" x14ac:dyDescent="0.25">
      <c r="A104" s="109" t="s">
        <v>217</v>
      </c>
      <c r="B104" s="88" t="s">
        <v>347</v>
      </c>
      <c r="C104" s="88" t="s">
        <v>346</v>
      </c>
      <c r="D104" s="88" t="s">
        <v>347</v>
      </c>
      <c r="E104" s="88" t="s">
        <v>346</v>
      </c>
      <c r="F104" s="88" t="s">
        <v>346</v>
      </c>
      <c r="G104" s="88" t="s">
        <v>346</v>
      </c>
      <c r="H104" s="88" t="s">
        <v>347</v>
      </c>
      <c r="I104" s="88" t="s">
        <v>347</v>
      </c>
      <c r="J104" s="91" t="s">
        <v>346</v>
      </c>
      <c r="K104" s="109" t="s">
        <v>217</v>
      </c>
      <c r="L104" s="88" t="str">
        <f>LOOKUP($K104,PantheonList!$A$18:$A$139,PantheonList!$B$18:$B$139)</f>
        <v>Athletics</v>
      </c>
      <c r="M104" s="88" t="str">
        <f>LOOKUP($K104,PantheonList!$A$18:$A$139,PantheonList!$C$18:$C$139)</f>
        <v>Brawl</v>
      </c>
      <c r="N104" s="88" t="str">
        <f>LOOKUP($K104,PantheonList!$A$18:$A$139,PantheonList!$D$18:$D$139)</f>
        <v>Fortitude</v>
      </c>
      <c r="O104" s="88" t="str">
        <f>LOOKUP($K104,PantheonList!$A$18:$A$139,PantheonList!$E$18:$E$139)</f>
        <v>Occult</v>
      </c>
      <c r="P104" s="88" t="str">
        <f>LOOKUP($K104,PantheonList!$A$18:$A$139,PantheonList!$F$18:$F$139)</f>
        <v>Presence</v>
      </c>
      <c r="Q104" s="88" t="str">
        <f>LOOKUP($K104,PantheonList!$A$18:$A$139,PantheonList!$G$18:$G$139)</f>
        <v>Stealth</v>
      </c>
      <c r="R104" s="88" t="str">
        <f t="shared" si="20"/>
        <v>No</v>
      </c>
      <c r="S104" s="88" t="str">
        <f t="shared" si="20"/>
        <v>No</v>
      </c>
      <c r="T104" s="88" t="str">
        <f t="shared" si="20"/>
        <v>No</v>
      </c>
      <c r="U104" s="88" t="str">
        <f t="shared" si="20"/>
        <v>Yes</v>
      </c>
      <c r="V104" s="88" t="str">
        <f t="shared" si="20"/>
        <v>No</v>
      </c>
      <c r="W104" s="88" t="str">
        <f t="shared" si="20"/>
        <v>Yes</v>
      </c>
      <c r="X104" s="88" t="str">
        <f t="shared" si="20"/>
        <v>No</v>
      </c>
      <c r="Y104" s="88" t="str">
        <f t="shared" si="20"/>
        <v>No</v>
      </c>
      <c r="Z104" s="88" t="str">
        <f t="shared" si="20"/>
        <v>No</v>
      </c>
      <c r="AA104" s="88" t="str">
        <f t="shared" si="20"/>
        <v>No</v>
      </c>
      <c r="AB104" s="88" t="str">
        <f t="shared" si="21"/>
        <v>Yes</v>
      </c>
      <c r="AC104" s="88" t="str">
        <f t="shared" si="21"/>
        <v>No</v>
      </c>
      <c r="AD104" s="88" t="str">
        <f t="shared" si="21"/>
        <v>No</v>
      </c>
      <c r="AE104" s="88" t="str">
        <f t="shared" si="21"/>
        <v>No</v>
      </c>
      <c r="AF104" s="88" t="str">
        <f t="shared" si="21"/>
        <v>No</v>
      </c>
      <c r="AG104" s="88" t="str">
        <f t="shared" si="21"/>
        <v>No</v>
      </c>
      <c r="AH104" s="88" t="str">
        <f t="shared" si="21"/>
        <v>No</v>
      </c>
      <c r="AI104" s="88" t="str">
        <f t="shared" si="21"/>
        <v>Yes</v>
      </c>
      <c r="AJ104" s="88" t="str">
        <f t="shared" si="21"/>
        <v>No</v>
      </c>
      <c r="AK104" s="88" t="str">
        <f t="shared" si="21"/>
        <v>Yes</v>
      </c>
      <c r="AL104" s="88" t="str">
        <f t="shared" si="21"/>
        <v>No</v>
      </c>
      <c r="AM104" s="88" t="str">
        <f t="shared" si="21"/>
        <v>Yes</v>
      </c>
      <c r="AN104" s="88" t="str">
        <f t="shared" si="21"/>
        <v>No</v>
      </c>
      <c r="AO104" s="91" t="str">
        <f t="shared" si="21"/>
        <v>No</v>
      </c>
      <c r="AP104" s="109" t="s">
        <v>217</v>
      </c>
      <c r="AQ104" s="88">
        <v>104</v>
      </c>
      <c r="AR104" s="88" t="s">
        <v>346</v>
      </c>
      <c r="AS104" s="88" t="s">
        <v>347</v>
      </c>
      <c r="AT104" s="88" t="s">
        <v>347</v>
      </c>
      <c r="AU104" s="88" t="s">
        <v>347</v>
      </c>
      <c r="AV104" s="88" t="s">
        <v>347</v>
      </c>
      <c r="AW104" s="88" t="s">
        <v>347</v>
      </c>
      <c r="AX104" s="88" t="s">
        <v>346</v>
      </c>
      <c r="AY104" s="88" t="s">
        <v>347</v>
      </c>
      <c r="AZ104" s="88" t="s">
        <v>347</v>
      </c>
      <c r="BA104" s="88" t="s">
        <v>347</v>
      </c>
      <c r="BB104" s="88" t="s">
        <v>347</v>
      </c>
      <c r="BC104" s="88" t="s">
        <v>347</v>
      </c>
      <c r="BD104" s="88" t="s">
        <v>347</v>
      </c>
      <c r="BE104" s="88" t="s">
        <v>347</v>
      </c>
      <c r="BF104" s="88" t="s">
        <v>347</v>
      </c>
      <c r="BG104" s="88" t="s">
        <v>347</v>
      </c>
      <c r="BH104" s="88" t="s">
        <v>347</v>
      </c>
      <c r="BI104" s="88" t="s">
        <v>347</v>
      </c>
      <c r="BJ104" s="88" t="s">
        <v>346</v>
      </c>
      <c r="BK104" s="88" t="s">
        <v>347</v>
      </c>
      <c r="BL104" s="88" t="s">
        <v>347</v>
      </c>
      <c r="BM104" s="88" t="s">
        <v>346</v>
      </c>
      <c r="BN104" s="88" t="s">
        <v>346</v>
      </c>
      <c r="BO104" s="88" t="s">
        <v>346</v>
      </c>
      <c r="BP104" s="88" t="s">
        <v>346</v>
      </c>
      <c r="BQ104" s="88" t="s">
        <v>347</v>
      </c>
      <c r="BR104" s="88" t="s">
        <v>347</v>
      </c>
      <c r="BS104" s="88" t="s">
        <v>347</v>
      </c>
      <c r="BT104" s="88" t="s">
        <v>347</v>
      </c>
      <c r="BU104" s="88" t="s">
        <v>347</v>
      </c>
      <c r="BV104" s="88" t="s">
        <v>346</v>
      </c>
      <c r="BW104" s="88" t="s">
        <v>347</v>
      </c>
      <c r="BX104" s="88" t="s">
        <v>347</v>
      </c>
      <c r="BY104" s="88" t="s">
        <v>346</v>
      </c>
      <c r="BZ104" s="91" t="s">
        <v>347</v>
      </c>
    </row>
    <row r="105" spans="1:78" s="2" customFormat="1" x14ac:dyDescent="0.25">
      <c r="A105" s="109" t="s">
        <v>318</v>
      </c>
      <c r="B105" s="88" t="s">
        <v>347</v>
      </c>
      <c r="C105" s="88" t="s">
        <v>347</v>
      </c>
      <c r="D105" s="88" t="s">
        <v>346</v>
      </c>
      <c r="E105" s="88" t="s">
        <v>347</v>
      </c>
      <c r="F105" s="88" t="s">
        <v>347</v>
      </c>
      <c r="G105" s="88" t="s">
        <v>347</v>
      </c>
      <c r="H105" s="88" t="s">
        <v>347</v>
      </c>
      <c r="I105" s="88" t="s">
        <v>347</v>
      </c>
      <c r="J105" s="91" t="s">
        <v>347</v>
      </c>
      <c r="K105" s="109" t="s">
        <v>318</v>
      </c>
      <c r="L105" s="88" t="str">
        <f>LOOKUP($K105,PantheonList!$A$18:$A$139,PantheonList!$B$18:$B$139)</f>
        <v>Athletics</v>
      </c>
      <c r="M105" s="88" t="str">
        <f>LOOKUP($K105,PantheonList!$A$18:$A$139,PantheonList!$C$18:$C$139)</f>
        <v>Control</v>
      </c>
      <c r="N105" s="88" t="str">
        <f>LOOKUP($K105,PantheonList!$A$18:$A$139,PantheonList!$D$18:$D$139)</f>
        <v>Craft</v>
      </c>
      <c r="O105" s="88" t="str">
        <f>LOOKUP($K105,PantheonList!$A$18:$A$139,PantheonList!$E$18:$E$139)</f>
        <v>Fortitude</v>
      </c>
      <c r="P105" s="88" t="str">
        <f>LOOKUP($K105,PantheonList!$A$18:$A$139,PantheonList!$F$18:$F$139)</f>
        <v>Integrity</v>
      </c>
      <c r="Q105" s="88" t="str">
        <f>LOOKUP($K105,PantheonList!$A$18:$A$139,PantheonList!$G$18:$G$139)</f>
        <v>Survival</v>
      </c>
      <c r="R105" s="88" t="str">
        <f t="shared" si="20"/>
        <v>No</v>
      </c>
      <c r="S105" s="88" t="str">
        <f t="shared" si="20"/>
        <v>No</v>
      </c>
      <c r="T105" s="88" t="str">
        <f t="shared" si="20"/>
        <v>No</v>
      </c>
      <c r="U105" s="88" t="str">
        <f t="shared" si="20"/>
        <v>Yes</v>
      </c>
      <c r="V105" s="88" t="str">
        <f t="shared" si="20"/>
        <v>No</v>
      </c>
      <c r="W105" s="88" t="str">
        <f t="shared" si="20"/>
        <v>No</v>
      </c>
      <c r="X105" s="88" t="str">
        <f t="shared" si="20"/>
        <v>No</v>
      </c>
      <c r="Y105" s="88" t="str">
        <f t="shared" si="20"/>
        <v>Yes</v>
      </c>
      <c r="Z105" s="88" t="str">
        <f t="shared" si="20"/>
        <v>Yes</v>
      </c>
      <c r="AA105" s="88" t="str">
        <f t="shared" si="20"/>
        <v>No</v>
      </c>
      <c r="AB105" s="88" t="str">
        <f t="shared" si="21"/>
        <v>Yes</v>
      </c>
      <c r="AC105" s="88" t="str">
        <f t="shared" si="21"/>
        <v>Yes</v>
      </c>
      <c r="AD105" s="88" t="str">
        <f t="shared" si="21"/>
        <v>No</v>
      </c>
      <c r="AE105" s="88" t="str">
        <f t="shared" si="21"/>
        <v>No</v>
      </c>
      <c r="AF105" s="88" t="str">
        <f t="shared" si="21"/>
        <v>No</v>
      </c>
      <c r="AG105" s="88" t="str">
        <f t="shared" si="21"/>
        <v>No</v>
      </c>
      <c r="AH105" s="88" t="str">
        <f t="shared" si="21"/>
        <v>No</v>
      </c>
      <c r="AI105" s="88" t="str">
        <f t="shared" si="21"/>
        <v>No</v>
      </c>
      <c r="AJ105" s="88" t="str">
        <f t="shared" si="21"/>
        <v>No</v>
      </c>
      <c r="AK105" s="88" t="str">
        <f t="shared" si="21"/>
        <v>No</v>
      </c>
      <c r="AL105" s="88" t="str">
        <f t="shared" si="21"/>
        <v>No</v>
      </c>
      <c r="AM105" s="88" t="str">
        <f t="shared" si="21"/>
        <v>No</v>
      </c>
      <c r="AN105" s="88" t="str">
        <f t="shared" si="21"/>
        <v>Yes</v>
      </c>
      <c r="AO105" s="91" t="str">
        <f t="shared" si="21"/>
        <v>No</v>
      </c>
      <c r="AP105" s="109" t="s">
        <v>318</v>
      </c>
      <c r="AQ105" s="88">
        <v>105</v>
      </c>
      <c r="AR105" s="88" t="s">
        <v>347</v>
      </c>
      <c r="AS105" s="88" t="s">
        <v>347</v>
      </c>
      <c r="AT105" s="88" t="s">
        <v>347</v>
      </c>
      <c r="AU105" s="88" t="s">
        <v>347</v>
      </c>
      <c r="AV105" s="88" t="s">
        <v>347</v>
      </c>
      <c r="AW105" s="88" t="s">
        <v>346</v>
      </c>
      <c r="AX105" s="88" t="s">
        <v>346</v>
      </c>
      <c r="AY105" s="88" t="s">
        <v>347</v>
      </c>
      <c r="AZ105" s="88" t="s">
        <v>347</v>
      </c>
      <c r="BA105" s="88" t="s">
        <v>347</v>
      </c>
      <c r="BB105" s="88" t="s">
        <v>347</v>
      </c>
      <c r="BC105" s="88" t="s">
        <v>347</v>
      </c>
      <c r="BD105" s="88" t="s">
        <v>347</v>
      </c>
      <c r="BE105" s="88" t="s">
        <v>346</v>
      </c>
      <c r="BF105" s="88" t="s">
        <v>347</v>
      </c>
      <c r="BG105" s="88" t="s">
        <v>347</v>
      </c>
      <c r="BH105" s="88" t="s">
        <v>347</v>
      </c>
      <c r="BI105" s="88" t="s">
        <v>347</v>
      </c>
      <c r="BJ105" s="88" t="s">
        <v>347</v>
      </c>
      <c r="BK105" s="88" t="s">
        <v>347</v>
      </c>
      <c r="BL105" s="88" t="s">
        <v>347</v>
      </c>
      <c r="BM105" s="88" t="s">
        <v>347</v>
      </c>
      <c r="BN105" s="88" t="s">
        <v>347</v>
      </c>
      <c r="BO105" s="88" t="s">
        <v>347</v>
      </c>
      <c r="BP105" s="88" t="s">
        <v>347</v>
      </c>
      <c r="BQ105" s="88" t="s">
        <v>346</v>
      </c>
      <c r="BR105" s="88" t="s">
        <v>347</v>
      </c>
      <c r="BS105" s="88" t="s">
        <v>347</v>
      </c>
      <c r="BT105" s="88" t="s">
        <v>347</v>
      </c>
      <c r="BU105" s="88" t="s">
        <v>347</v>
      </c>
      <c r="BV105" s="88" t="s">
        <v>347</v>
      </c>
      <c r="BW105" s="88" t="s">
        <v>347</v>
      </c>
      <c r="BX105" s="88" t="s">
        <v>347</v>
      </c>
      <c r="BY105" s="88" t="s">
        <v>347</v>
      </c>
      <c r="BZ105" s="91" t="s">
        <v>347</v>
      </c>
    </row>
    <row r="106" spans="1:78" s="2" customFormat="1" x14ac:dyDescent="0.25">
      <c r="A106" s="109" t="s">
        <v>201</v>
      </c>
      <c r="B106" s="88" t="s">
        <v>346</v>
      </c>
      <c r="C106" s="88" t="s">
        <v>347</v>
      </c>
      <c r="D106" s="88" t="s">
        <v>346</v>
      </c>
      <c r="E106" s="88" t="s">
        <v>346</v>
      </c>
      <c r="F106" s="88" t="s">
        <v>347</v>
      </c>
      <c r="G106" s="88" t="s">
        <v>347</v>
      </c>
      <c r="H106" s="88" t="s">
        <v>347</v>
      </c>
      <c r="I106" s="88" t="s">
        <v>347</v>
      </c>
      <c r="J106" s="91" t="s">
        <v>347</v>
      </c>
      <c r="K106" s="109" t="s">
        <v>201</v>
      </c>
      <c r="L106" s="88" t="str">
        <f>LOOKUP($K106,PantheonList!$A$18:$A$139,PantheonList!$B$18:$B$139)</f>
        <v>Athletics</v>
      </c>
      <c r="M106" s="88" t="str">
        <f>LOOKUP($K106,PantheonList!$A$18:$A$139,PantheonList!$C$18:$C$139)</f>
        <v>Brawl</v>
      </c>
      <c r="N106" s="88" t="str">
        <f>LOOKUP($K106,PantheonList!$A$18:$A$139,PantheonList!$D$18:$D$139)</f>
        <v>Control</v>
      </c>
      <c r="O106" s="88" t="str">
        <f>LOOKUP($K106,PantheonList!$A$18:$A$139,PantheonList!$E$18:$E$139)</f>
        <v>Melee</v>
      </c>
      <c r="P106" s="88" t="str">
        <f>LOOKUP($K106,PantheonList!$A$18:$A$139,PantheonList!$F$18:$F$139)</f>
        <v>Presence</v>
      </c>
      <c r="Q106" s="88" t="str">
        <f>LOOKUP($K106,PantheonList!$A$18:$A$139,PantheonList!$G$18:$G$139)</f>
        <v>Thrown</v>
      </c>
      <c r="R106" s="88" t="str">
        <f t="shared" si="20"/>
        <v>No</v>
      </c>
      <c r="S106" s="88" t="str">
        <f t="shared" si="20"/>
        <v>No</v>
      </c>
      <c r="T106" s="88" t="str">
        <f t="shared" si="20"/>
        <v>No</v>
      </c>
      <c r="U106" s="88" t="str">
        <f t="shared" si="20"/>
        <v>Yes</v>
      </c>
      <c r="V106" s="88" t="str">
        <f t="shared" si="20"/>
        <v>No</v>
      </c>
      <c r="W106" s="88" t="str">
        <f t="shared" si="20"/>
        <v>Yes</v>
      </c>
      <c r="X106" s="88" t="str">
        <f t="shared" si="20"/>
        <v>No</v>
      </c>
      <c r="Y106" s="88" t="str">
        <f t="shared" si="20"/>
        <v>Yes</v>
      </c>
      <c r="Z106" s="88" t="str">
        <f t="shared" si="20"/>
        <v>No</v>
      </c>
      <c r="AA106" s="88" t="str">
        <f t="shared" si="20"/>
        <v>No</v>
      </c>
      <c r="AB106" s="88" t="str">
        <f t="shared" si="21"/>
        <v>No</v>
      </c>
      <c r="AC106" s="88" t="str">
        <f t="shared" si="21"/>
        <v>No</v>
      </c>
      <c r="AD106" s="88" t="str">
        <f t="shared" si="21"/>
        <v>No</v>
      </c>
      <c r="AE106" s="88" t="str">
        <f t="shared" si="21"/>
        <v>No</v>
      </c>
      <c r="AF106" s="88" t="str">
        <f t="shared" si="21"/>
        <v>No</v>
      </c>
      <c r="AG106" s="88" t="str">
        <f t="shared" si="21"/>
        <v>No</v>
      </c>
      <c r="AH106" s="88" t="str">
        <f t="shared" si="21"/>
        <v>Yes</v>
      </c>
      <c r="AI106" s="88" t="str">
        <f t="shared" si="21"/>
        <v>No</v>
      </c>
      <c r="AJ106" s="88" t="str">
        <f t="shared" si="21"/>
        <v>No</v>
      </c>
      <c r="AK106" s="88" t="str">
        <f t="shared" si="21"/>
        <v>Yes</v>
      </c>
      <c r="AL106" s="88" t="str">
        <f t="shared" si="21"/>
        <v>No</v>
      </c>
      <c r="AM106" s="88" t="str">
        <f t="shared" si="21"/>
        <v>No</v>
      </c>
      <c r="AN106" s="88" t="str">
        <f t="shared" si="21"/>
        <v>No</v>
      </c>
      <c r="AO106" s="91" t="str">
        <f t="shared" si="21"/>
        <v>Yes</v>
      </c>
      <c r="AP106" s="109" t="s">
        <v>201</v>
      </c>
      <c r="AQ106" s="88">
        <v>106</v>
      </c>
      <c r="AR106" s="88" t="s">
        <v>347</v>
      </c>
      <c r="AS106" s="88" t="s">
        <v>347</v>
      </c>
      <c r="AT106" s="88" t="s">
        <v>347</v>
      </c>
      <c r="AU106" s="88" t="s">
        <v>347</v>
      </c>
      <c r="AV106" s="88" t="s">
        <v>347</v>
      </c>
      <c r="AW106" s="88" t="s">
        <v>347</v>
      </c>
      <c r="AX106" s="88" t="s">
        <v>347</v>
      </c>
      <c r="AY106" s="88" t="s">
        <v>347</v>
      </c>
      <c r="AZ106" s="88" t="s">
        <v>347</v>
      </c>
      <c r="BA106" s="88" t="s">
        <v>347</v>
      </c>
      <c r="BB106" s="88" t="s">
        <v>347</v>
      </c>
      <c r="BC106" s="88" t="s">
        <v>347</v>
      </c>
      <c r="BD106" s="88" t="s">
        <v>347</v>
      </c>
      <c r="BE106" s="88" t="s">
        <v>346</v>
      </c>
      <c r="BF106" s="88" t="s">
        <v>347</v>
      </c>
      <c r="BG106" s="88" t="s">
        <v>347</v>
      </c>
      <c r="BH106" s="88" t="s">
        <v>347</v>
      </c>
      <c r="BI106" s="88" t="s">
        <v>347</v>
      </c>
      <c r="BJ106" s="88" t="s">
        <v>347</v>
      </c>
      <c r="BK106" s="88" t="s">
        <v>346</v>
      </c>
      <c r="BL106" s="88" t="s">
        <v>347</v>
      </c>
      <c r="BM106" s="88" t="s">
        <v>347</v>
      </c>
      <c r="BN106" s="88" t="s">
        <v>347</v>
      </c>
      <c r="BO106" s="88" t="s">
        <v>347</v>
      </c>
      <c r="BP106" s="88" t="s">
        <v>347</v>
      </c>
      <c r="BQ106" s="88" t="s">
        <v>347</v>
      </c>
      <c r="BR106" s="88" t="s">
        <v>347</v>
      </c>
      <c r="BS106" s="88" t="s">
        <v>347</v>
      </c>
      <c r="BT106" s="88" t="s">
        <v>346</v>
      </c>
      <c r="BU106" s="88" t="s">
        <v>347</v>
      </c>
      <c r="BV106" s="88" t="s">
        <v>347</v>
      </c>
      <c r="BW106" s="88" t="s">
        <v>347</v>
      </c>
      <c r="BX106" s="88" t="s">
        <v>347</v>
      </c>
      <c r="BY106" s="88" t="s">
        <v>347</v>
      </c>
      <c r="BZ106" s="91" t="s">
        <v>347</v>
      </c>
    </row>
    <row r="107" spans="1:78" s="2" customFormat="1" x14ac:dyDescent="0.25">
      <c r="A107" s="109" t="s">
        <v>279</v>
      </c>
      <c r="B107" s="88" t="s">
        <v>347</v>
      </c>
      <c r="C107" s="88" t="s">
        <v>347</v>
      </c>
      <c r="D107" s="88" t="s">
        <v>347</v>
      </c>
      <c r="E107" s="88" t="s">
        <v>347</v>
      </c>
      <c r="F107" s="88" t="s">
        <v>347</v>
      </c>
      <c r="G107" s="88" t="s">
        <v>347</v>
      </c>
      <c r="H107" s="88" t="s">
        <v>347</v>
      </c>
      <c r="I107" s="88" t="s">
        <v>346</v>
      </c>
      <c r="J107" s="91" t="s">
        <v>347</v>
      </c>
      <c r="K107" s="109" t="s">
        <v>279</v>
      </c>
      <c r="L107" s="88" t="str">
        <f>LOOKUP($K107,PantheonList!$A$18:$A$139,PantheonList!$B$18:$B$139)</f>
        <v>Academics</v>
      </c>
      <c r="M107" s="88" t="str">
        <f>LOOKUP($K107,PantheonList!$A$18:$A$139,PantheonList!$C$18:$C$139)</f>
        <v>Investigation</v>
      </c>
      <c r="N107" s="88" t="str">
        <f>LOOKUP($K107,PantheonList!$A$18:$A$139,PantheonList!$D$18:$D$139)</f>
        <v>Integrity</v>
      </c>
      <c r="O107" s="88" t="str">
        <f>LOOKUP($K107,PantheonList!$A$18:$A$139,PantheonList!$E$18:$E$139)</f>
        <v>Occult</v>
      </c>
      <c r="P107" s="88" t="str">
        <f>LOOKUP($K107,PantheonList!$A$18:$A$139,PantheonList!$F$18:$F$139)</f>
        <v>Politics</v>
      </c>
      <c r="Q107" s="88" t="str">
        <f>LOOKUP($K107,PantheonList!$A$18:$A$139,PantheonList!$G$18:$G$139)</f>
        <v>Science</v>
      </c>
      <c r="R107" s="88" t="str">
        <f t="shared" si="20"/>
        <v>Yes</v>
      </c>
      <c r="S107" s="88" t="str">
        <f t="shared" si="20"/>
        <v>No</v>
      </c>
      <c r="T107" s="88" t="str">
        <f t="shared" si="20"/>
        <v>No</v>
      </c>
      <c r="U107" s="88" t="str">
        <f t="shared" si="20"/>
        <v>No</v>
      </c>
      <c r="V107" s="88" t="str">
        <f t="shared" si="20"/>
        <v>No</v>
      </c>
      <c r="W107" s="88" t="str">
        <f t="shared" si="20"/>
        <v>No</v>
      </c>
      <c r="X107" s="88" t="str">
        <f t="shared" si="20"/>
        <v>No</v>
      </c>
      <c r="Y107" s="88" t="str">
        <f t="shared" si="20"/>
        <v>No</v>
      </c>
      <c r="Z107" s="88" t="str">
        <f t="shared" si="20"/>
        <v>No</v>
      </c>
      <c r="AA107" s="88" t="str">
        <f t="shared" si="20"/>
        <v>No</v>
      </c>
      <c r="AB107" s="88" t="str">
        <f t="shared" si="21"/>
        <v>No</v>
      </c>
      <c r="AC107" s="88" t="str">
        <f t="shared" si="21"/>
        <v>Yes</v>
      </c>
      <c r="AD107" s="88" t="str">
        <f t="shared" si="21"/>
        <v>Yes</v>
      </c>
      <c r="AE107" s="88" t="str">
        <f t="shared" si="21"/>
        <v>No</v>
      </c>
      <c r="AF107" s="88" t="str">
        <f t="shared" si="21"/>
        <v>No</v>
      </c>
      <c r="AG107" s="88" t="str">
        <f t="shared" si="21"/>
        <v>No</v>
      </c>
      <c r="AH107" s="88" t="str">
        <f t="shared" si="21"/>
        <v>No</v>
      </c>
      <c r="AI107" s="88" t="str">
        <f t="shared" si="21"/>
        <v>Yes</v>
      </c>
      <c r="AJ107" s="88" t="str">
        <f t="shared" si="21"/>
        <v>Yes</v>
      </c>
      <c r="AK107" s="88" t="str">
        <f t="shared" si="21"/>
        <v>No</v>
      </c>
      <c r="AL107" s="88" t="str">
        <f t="shared" si="21"/>
        <v>Yes</v>
      </c>
      <c r="AM107" s="88" t="str">
        <f t="shared" si="21"/>
        <v>No</v>
      </c>
      <c r="AN107" s="88" t="str">
        <f t="shared" si="21"/>
        <v>No</v>
      </c>
      <c r="AO107" s="91" t="str">
        <f t="shared" si="21"/>
        <v>No</v>
      </c>
      <c r="AP107" s="109" t="s">
        <v>279</v>
      </c>
      <c r="AQ107" s="88">
        <v>107</v>
      </c>
      <c r="AR107" s="88" t="s">
        <v>346</v>
      </c>
      <c r="AS107" s="88" t="s">
        <v>347</v>
      </c>
      <c r="AT107" s="88" t="s">
        <v>347</v>
      </c>
      <c r="AU107" s="88" t="s">
        <v>347</v>
      </c>
      <c r="AV107" s="88" t="s">
        <v>347</v>
      </c>
      <c r="AW107" s="88" t="s">
        <v>347</v>
      </c>
      <c r="AX107" s="88" t="s">
        <v>347</v>
      </c>
      <c r="AY107" s="88" t="s">
        <v>347</v>
      </c>
      <c r="AZ107" s="88" t="s">
        <v>347</v>
      </c>
      <c r="BA107" s="88" t="s">
        <v>347</v>
      </c>
      <c r="BB107" s="88" t="s">
        <v>347</v>
      </c>
      <c r="BC107" s="88" t="s">
        <v>347</v>
      </c>
      <c r="BD107" s="88" t="s">
        <v>347</v>
      </c>
      <c r="BE107" s="88" t="s">
        <v>347</v>
      </c>
      <c r="BF107" s="88" t="s">
        <v>347</v>
      </c>
      <c r="BG107" s="88" t="s">
        <v>346</v>
      </c>
      <c r="BH107" s="88" t="s">
        <v>347</v>
      </c>
      <c r="BI107" s="88" t="s">
        <v>347</v>
      </c>
      <c r="BJ107" s="88" t="s">
        <v>347</v>
      </c>
      <c r="BK107" s="88" t="s">
        <v>347</v>
      </c>
      <c r="BL107" s="88" t="s">
        <v>346</v>
      </c>
      <c r="BM107" s="88" t="s">
        <v>346</v>
      </c>
      <c r="BN107" s="88" t="s">
        <v>346</v>
      </c>
      <c r="BO107" s="88" t="s">
        <v>347</v>
      </c>
      <c r="BP107" s="88" t="s">
        <v>347</v>
      </c>
      <c r="BQ107" s="88" t="s">
        <v>347</v>
      </c>
      <c r="BR107" s="88" t="s">
        <v>347</v>
      </c>
      <c r="BS107" s="88" t="s">
        <v>347</v>
      </c>
      <c r="BT107" s="88" t="s">
        <v>347</v>
      </c>
      <c r="BU107" s="88" t="s">
        <v>347</v>
      </c>
      <c r="BV107" s="88" t="s">
        <v>347</v>
      </c>
      <c r="BW107" s="88" t="s">
        <v>347</v>
      </c>
      <c r="BX107" s="88" t="s">
        <v>347</v>
      </c>
      <c r="BY107" s="88" t="s">
        <v>347</v>
      </c>
      <c r="BZ107" s="91" t="s">
        <v>347</v>
      </c>
    </row>
    <row r="108" spans="1:78" s="2" customFormat="1" x14ac:dyDescent="0.25">
      <c r="A108" s="109" t="s">
        <v>296</v>
      </c>
      <c r="B108" s="88" t="s">
        <v>347</v>
      </c>
      <c r="C108" s="88" t="s">
        <v>347</v>
      </c>
      <c r="D108" s="88" t="s">
        <v>346</v>
      </c>
      <c r="E108" s="88" t="s">
        <v>347</v>
      </c>
      <c r="F108" s="88" t="s">
        <v>347</v>
      </c>
      <c r="G108" s="88" t="s">
        <v>347</v>
      </c>
      <c r="H108" s="88" t="s">
        <v>347</v>
      </c>
      <c r="I108" s="88" t="s">
        <v>347</v>
      </c>
      <c r="J108" s="91" t="s">
        <v>347</v>
      </c>
      <c r="K108" s="109" t="s">
        <v>296</v>
      </c>
      <c r="L108" s="88" t="str">
        <f>LOOKUP($K108,PantheonList!$A$18:$A$139,PantheonList!$B$18:$B$139)</f>
        <v>Art</v>
      </c>
      <c r="M108" s="88" t="str">
        <f>LOOKUP($K108,PantheonList!$A$18:$A$139,PantheonList!$C$18:$C$139)</f>
        <v>Empathy</v>
      </c>
      <c r="N108" s="88" t="str">
        <f>LOOKUP($K108,PantheonList!$A$18:$A$139,PantheonList!$D$18:$D$139)</f>
        <v>Fortitude</v>
      </c>
      <c r="O108" s="88" t="str">
        <f>LOOKUP($K108,PantheonList!$A$18:$A$139,PantheonList!$E$18:$E$139)</f>
        <v>Integrity</v>
      </c>
      <c r="P108" s="88" t="str">
        <f>LOOKUP($K108,PantheonList!$A$18:$A$139,PantheonList!$F$18:$F$139)</f>
        <v>Marksmanship</v>
      </c>
      <c r="Q108" s="88" t="str">
        <f>LOOKUP($K108,PantheonList!$A$18:$A$139,PantheonList!$G$18:$G$139)</f>
        <v>Thrown</v>
      </c>
      <c r="R108" s="88" t="str">
        <f t="shared" si="20"/>
        <v>No</v>
      </c>
      <c r="S108" s="88" t="str">
        <f t="shared" si="20"/>
        <v>No</v>
      </c>
      <c r="T108" s="88" t="str">
        <f t="shared" si="20"/>
        <v>Yes</v>
      </c>
      <c r="U108" s="88" t="str">
        <f t="shared" si="20"/>
        <v>No</v>
      </c>
      <c r="V108" s="88" t="str">
        <f t="shared" si="20"/>
        <v>No</v>
      </c>
      <c r="W108" s="88" t="str">
        <f t="shared" si="20"/>
        <v>No</v>
      </c>
      <c r="X108" s="88" t="str">
        <f t="shared" si="20"/>
        <v>No</v>
      </c>
      <c r="Y108" s="88" t="str">
        <f t="shared" si="20"/>
        <v>No</v>
      </c>
      <c r="Z108" s="88" t="str">
        <f t="shared" si="20"/>
        <v>No</v>
      </c>
      <c r="AA108" s="88" t="str">
        <f t="shared" si="20"/>
        <v>Yes</v>
      </c>
      <c r="AB108" s="88" t="str">
        <f t="shared" si="21"/>
        <v>Yes</v>
      </c>
      <c r="AC108" s="88" t="str">
        <f t="shared" si="21"/>
        <v>Yes</v>
      </c>
      <c r="AD108" s="88" t="str">
        <f t="shared" si="21"/>
        <v>No</v>
      </c>
      <c r="AE108" s="88" t="str">
        <f t="shared" si="21"/>
        <v>No</v>
      </c>
      <c r="AF108" s="88" t="str">
        <f t="shared" si="21"/>
        <v>Yes</v>
      </c>
      <c r="AG108" s="88" t="str">
        <f t="shared" si="21"/>
        <v>No</v>
      </c>
      <c r="AH108" s="88" t="str">
        <f t="shared" si="21"/>
        <v>No</v>
      </c>
      <c r="AI108" s="88" t="str">
        <f t="shared" si="21"/>
        <v>No</v>
      </c>
      <c r="AJ108" s="88" t="str">
        <f t="shared" si="21"/>
        <v>No</v>
      </c>
      <c r="AK108" s="88" t="str">
        <f t="shared" si="21"/>
        <v>No</v>
      </c>
      <c r="AL108" s="88" t="str">
        <f t="shared" si="21"/>
        <v>No</v>
      </c>
      <c r="AM108" s="88" t="str">
        <f t="shared" si="21"/>
        <v>No</v>
      </c>
      <c r="AN108" s="88" t="str">
        <f t="shared" si="21"/>
        <v>No</v>
      </c>
      <c r="AO108" s="91" t="str">
        <f t="shared" si="21"/>
        <v>Yes</v>
      </c>
      <c r="AP108" s="109" t="s">
        <v>296</v>
      </c>
      <c r="AQ108" s="88">
        <v>108</v>
      </c>
      <c r="AR108" s="88" t="s">
        <v>346</v>
      </c>
      <c r="AS108" s="88" t="s">
        <v>347</v>
      </c>
      <c r="AT108" s="88" t="s">
        <v>346</v>
      </c>
      <c r="AU108" s="88" t="s">
        <v>347</v>
      </c>
      <c r="AV108" s="88" t="s">
        <v>347</v>
      </c>
      <c r="AW108" s="88" t="s">
        <v>347</v>
      </c>
      <c r="AX108" s="88" t="s">
        <v>347</v>
      </c>
      <c r="AY108" s="88" t="s">
        <v>347</v>
      </c>
      <c r="AZ108" s="88" t="s">
        <v>347</v>
      </c>
      <c r="BA108" s="88" t="s">
        <v>347</v>
      </c>
      <c r="BB108" s="88" t="s">
        <v>346</v>
      </c>
      <c r="BC108" s="88" t="s">
        <v>347</v>
      </c>
      <c r="BD108" s="88" t="s">
        <v>347</v>
      </c>
      <c r="BE108" s="88" t="s">
        <v>346</v>
      </c>
      <c r="BF108" s="88" t="s">
        <v>347</v>
      </c>
      <c r="BG108" s="88" t="s">
        <v>347</v>
      </c>
      <c r="BH108" s="88" t="s">
        <v>347</v>
      </c>
      <c r="BI108" s="88" t="s">
        <v>347</v>
      </c>
      <c r="BJ108" s="88" t="s">
        <v>347</v>
      </c>
      <c r="BK108" s="88" t="s">
        <v>347</v>
      </c>
      <c r="BL108" s="88" t="s">
        <v>347</v>
      </c>
      <c r="BM108" s="88" t="s">
        <v>347</v>
      </c>
      <c r="BN108" s="88" t="s">
        <v>347</v>
      </c>
      <c r="BO108" s="88" t="s">
        <v>347</v>
      </c>
      <c r="BP108" s="88" t="s">
        <v>347</v>
      </c>
      <c r="BQ108" s="88" t="s">
        <v>347</v>
      </c>
      <c r="BR108" s="88" t="s">
        <v>347</v>
      </c>
      <c r="BS108" s="88" t="s">
        <v>347</v>
      </c>
      <c r="BT108" s="88" t="s">
        <v>347</v>
      </c>
      <c r="BU108" s="88" t="s">
        <v>346</v>
      </c>
      <c r="BV108" s="88" t="s">
        <v>347</v>
      </c>
      <c r="BW108" s="88" t="s">
        <v>347</v>
      </c>
      <c r="BX108" s="88" t="s">
        <v>347</v>
      </c>
      <c r="BY108" s="88" t="s">
        <v>347</v>
      </c>
      <c r="BZ108" s="91" t="s">
        <v>346</v>
      </c>
    </row>
    <row r="109" spans="1:78" s="2" customFormat="1" x14ac:dyDescent="0.25">
      <c r="A109" s="109" t="s">
        <v>218</v>
      </c>
      <c r="B109" s="88" t="s">
        <v>347</v>
      </c>
      <c r="C109" s="88" t="s">
        <v>347</v>
      </c>
      <c r="D109" s="88" t="s">
        <v>347</v>
      </c>
      <c r="E109" s="88" t="s">
        <v>347</v>
      </c>
      <c r="F109" s="88" t="s">
        <v>347</v>
      </c>
      <c r="G109" s="88" t="s">
        <v>346</v>
      </c>
      <c r="H109" s="88" t="s">
        <v>347</v>
      </c>
      <c r="I109" s="88" t="s">
        <v>347</v>
      </c>
      <c r="J109" s="91" t="s">
        <v>347</v>
      </c>
      <c r="K109" s="109" t="s">
        <v>218</v>
      </c>
      <c r="L109" s="88" t="str">
        <f>LOOKUP($K109,PantheonList!$A$18:$A$139,PantheonList!$B$18:$B$139)</f>
        <v>Academics</v>
      </c>
      <c r="M109" s="88" t="str">
        <f>LOOKUP($K109,PantheonList!$A$18:$A$139,PantheonList!$C$18:$C$139)</f>
        <v>Brawl</v>
      </c>
      <c r="N109" s="88" t="str">
        <f>LOOKUP($K109,PantheonList!$A$18:$A$139,PantheonList!$D$18:$D$139)</f>
        <v>Command</v>
      </c>
      <c r="O109" s="88" t="str">
        <f>LOOKUP($K109,PantheonList!$A$18:$A$139,PantheonList!$E$18:$E$139)</f>
        <v>Medicine</v>
      </c>
      <c r="P109" s="88" t="str">
        <f>LOOKUP($K109,PantheonList!$A$18:$A$139,PantheonList!$F$18:$F$139)</f>
        <v>Stealth</v>
      </c>
      <c r="Q109" s="88" t="str">
        <f>LOOKUP($K109,PantheonList!$A$18:$A$139,PantheonList!$G$18:$G$139)</f>
        <v>Survival</v>
      </c>
      <c r="R109" s="88" t="str">
        <f t="shared" si="20"/>
        <v>Yes</v>
      </c>
      <c r="S109" s="88" t="str">
        <f t="shared" si="20"/>
        <v>No</v>
      </c>
      <c r="T109" s="88" t="str">
        <f t="shared" si="20"/>
        <v>No</v>
      </c>
      <c r="U109" s="88" t="str">
        <f t="shared" si="20"/>
        <v>No</v>
      </c>
      <c r="V109" s="88" t="str">
        <f t="shared" si="20"/>
        <v>No</v>
      </c>
      <c r="W109" s="88" t="str">
        <f t="shared" si="20"/>
        <v>Yes</v>
      </c>
      <c r="X109" s="88" t="str">
        <f t="shared" si="20"/>
        <v>Yes</v>
      </c>
      <c r="Y109" s="88" t="str">
        <f t="shared" si="20"/>
        <v>No</v>
      </c>
      <c r="Z109" s="88" t="str">
        <f t="shared" si="20"/>
        <v>No</v>
      </c>
      <c r="AA109" s="88" t="str">
        <f t="shared" si="20"/>
        <v>No</v>
      </c>
      <c r="AB109" s="88" t="str">
        <f t="shared" si="21"/>
        <v>No</v>
      </c>
      <c r="AC109" s="88" t="str">
        <f t="shared" si="21"/>
        <v>No</v>
      </c>
      <c r="AD109" s="88" t="str">
        <f t="shared" si="21"/>
        <v>No</v>
      </c>
      <c r="AE109" s="88" t="str">
        <f t="shared" si="21"/>
        <v>No</v>
      </c>
      <c r="AF109" s="88" t="str">
        <f t="shared" si="21"/>
        <v>No</v>
      </c>
      <c r="AG109" s="88" t="str">
        <f t="shared" si="21"/>
        <v>Yes</v>
      </c>
      <c r="AH109" s="88" t="str">
        <f t="shared" si="21"/>
        <v>No</v>
      </c>
      <c r="AI109" s="88" t="str">
        <f t="shared" si="21"/>
        <v>No</v>
      </c>
      <c r="AJ109" s="88" t="str">
        <f t="shared" si="21"/>
        <v>No</v>
      </c>
      <c r="AK109" s="88" t="str">
        <f t="shared" si="21"/>
        <v>No</v>
      </c>
      <c r="AL109" s="88" t="str">
        <f t="shared" si="21"/>
        <v>No</v>
      </c>
      <c r="AM109" s="88" t="str">
        <f t="shared" si="21"/>
        <v>Yes</v>
      </c>
      <c r="AN109" s="88" t="str">
        <f t="shared" si="21"/>
        <v>Yes</v>
      </c>
      <c r="AO109" s="91" t="str">
        <f t="shared" si="21"/>
        <v>No</v>
      </c>
      <c r="AP109" s="109" t="s">
        <v>218</v>
      </c>
      <c r="AQ109" s="88">
        <v>109</v>
      </c>
      <c r="AR109" s="88" t="s">
        <v>347</v>
      </c>
      <c r="AS109" s="88" t="s">
        <v>347</v>
      </c>
      <c r="AT109" s="88" t="s">
        <v>347</v>
      </c>
      <c r="AU109" s="88" t="s">
        <v>347</v>
      </c>
      <c r="AV109" s="88" t="s">
        <v>347</v>
      </c>
      <c r="AW109" s="88" t="s">
        <v>347</v>
      </c>
      <c r="AX109" s="88" t="s">
        <v>347</v>
      </c>
      <c r="AY109" s="88" t="s">
        <v>347</v>
      </c>
      <c r="AZ109" s="88" t="s">
        <v>346</v>
      </c>
      <c r="BA109" s="88" t="s">
        <v>347</v>
      </c>
      <c r="BB109" s="88" t="s">
        <v>346</v>
      </c>
      <c r="BC109" s="88" t="s">
        <v>347</v>
      </c>
      <c r="BD109" s="88" t="s">
        <v>347</v>
      </c>
      <c r="BE109" s="88" t="s">
        <v>347</v>
      </c>
      <c r="BF109" s="88" t="s">
        <v>346</v>
      </c>
      <c r="BG109" s="88" t="s">
        <v>347</v>
      </c>
      <c r="BH109" s="88" t="s">
        <v>347</v>
      </c>
      <c r="BI109" s="88" t="s">
        <v>347</v>
      </c>
      <c r="BJ109" s="88" t="s">
        <v>346</v>
      </c>
      <c r="BK109" s="88" t="s">
        <v>347</v>
      </c>
      <c r="BL109" s="88" t="s">
        <v>347</v>
      </c>
      <c r="BM109" s="88" t="s">
        <v>347</v>
      </c>
      <c r="BN109" s="88" t="s">
        <v>347</v>
      </c>
      <c r="BO109" s="88" t="s">
        <v>347</v>
      </c>
      <c r="BP109" s="88" t="s">
        <v>347</v>
      </c>
      <c r="BQ109" s="88" t="s">
        <v>347</v>
      </c>
      <c r="BR109" s="88" t="s">
        <v>347</v>
      </c>
      <c r="BS109" s="88" t="s">
        <v>347</v>
      </c>
      <c r="BT109" s="88" t="s">
        <v>346</v>
      </c>
      <c r="BU109" s="88" t="s">
        <v>347</v>
      </c>
      <c r="BV109" s="88" t="s">
        <v>347</v>
      </c>
      <c r="BW109" s="88" t="s">
        <v>347</v>
      </c>
      <c r="BX109" s="88" t="s">
        <v>347</v>
      </c>
      <c r="BY109" s="88" t="s">
        <v>347</v>
      </c>
      <c r="BZ109" s="91" t="s">
        <v>347</v>
      </c>
    </row>
    <row r="110" spans="1:78" s="2" customFormat="1" x14ac:dyDescent="0.25">
      <c r="A110" s="109" t="s">
        <v>219</v>
      </c>
      <c r="B110" s="88" t="s">
        <v>347</v>
      </c>
      <c r="C110" s="88" t="s">
        <v>347</v>
      </c>
      <c r="D110" s="88" t="s">
        <v>347</v>
      </c>
      <c r="E110" s="88" t="s">
        <v>346</v>
      </c>
      <c r="F110" s="88" t="s">
        <v>346</v>
      </c>
      <c r="G110" s="88" t="s">
        <v>346</v>
      </c>
      <c r="H110" s="88" t="s">
        <v>347</v>
      </c>
      <c r="I110" s="88" t="s">
        <v>347</v>
      </c>
      <c r="J110" s="91" t="s">
        <v>347</v>
      </c>
      <c r="K110" s="109" t="s">
        <v>219</v>
      </c>
      <c r="L110" s="88" t="str">
        <f>LOOKUP($K110,PantheonList!$A$18:$A$139,PantheonList!$B$18:$B$139)</f>
        <v>Art</v>
      </c>
      <c r="M110" s="88" t="str">
        <f>LOOKUP($K110,PantheonList!$A$18:$A$139,PantheonList!$C$18:$C$139)</f>
        <v>Craft</v>
      </c>
      <c r="N110" s="88" t="str">
        <f>LOOKUP($K110,PantheonList!$A$18:$A$139,PantheonList!$D$18:$D$139)</f>
        <v>Empathy</v>
      </c>
      <c r="O110" s="88" t="str">
        <f>LOOKUP($K110,PantheonList!$A$18:$A$139,PantheonList!$E$18:$E$139)</f>
        <v>Investigation</v>
      </c>
      <c r="P110" s="88" t="str">
        <f>LOOKUP($K110,PantheonList!$A$18:$A$139,PantheonList!$F$18:$F$139)</f>
        <v>Medicine</v>
      </c>
      <c r="Q110" s="88" t="str">
        <f>LOOKUP($K110,PantheonList!$A$18:$A$139,PantheonList!$G$18:$G$139)</f>
        <v>Politics</v>
      </c>
      <c r="R110" s="88" t="str">
        <f t="shared" si="20"/>
        <v>No</v>
      </c>
      <c r="S110" s="88" t="str">
        <f t="shared" si="20"/>
        <v>No</v>
      </c>
      <c r="T110" s="88" t="str">
        <f t="shared" si="20"/>
        <v>Yes</v>
      </c>
      <c r="U110" s="88" t="str">
        <f t="shared" si="20"/>
        <v>No</v>
      </c>
      <c r="V110" s="88" t="str">
        <f t="shared" si="20"/>
        <v>No</v>
      </c>
      <c r="W110" s="88" t="str">
        <f t="shared" si="20"/>
        <v>No</v>
      </c>
      <c r="X110" s="88" t="str">
        <f t="shared" si="20"/>
        <v>No</v>
      </c>
      <c r="Y110" s="88" t="str">
        <f t="shared" si="20"/>
        <v>No</v>
      </c>
      <c r="Z110" s="88" t="str">
        <f t="shared" si="20"/>
        <v>Yes</v>
      </c>
      <c r="AA110" s="88" t="str">
        <f t="shared" si="20"/>
        <v>Yes</v>
      </c>
      <c r="AB110" s="88" t="str">
        <f t="shared" si="21"/>
        <v>No</v>
      </c>
      <c r="AC110" s="88" t="str">
        <f t="shared" si="21"/>
        <v>No</v>
      </c>
      <c r="AD110" s="88" t="str">
        <f t="shared" si="21"/>
        <v>Yes</v>
      </c>
      <c r="AE110" s="88" t="str">
        <f t="shared" si="21"/>
        <v>No</v>
      </c>
      <c r="AF110" s="88" t="str">
        <f t="shared" si="21"/>
        <v>No</v>
      </c>
      <c r="AG110" s="88" t="str">
        <f t="shared" si="21"/>
        <v>Yes</v>
      </c>
      <c r="AH110" s="88" t="str">
        <f t="shared" si="21"/>
        <v>No</v>
      </c>
      <c r="AI110" s="88" t="str">
        <f t="shared" si="21"/>
        <v>No</v>
      </c>
      <c r="AJ110" s="88" t="str">
        <f t="shared" si="21"/>
        <v>Yes</v>
      </c>
      <c r="AK110" s="88" t="str">
        <f t="shared" si="21"/>
        <v>No</v>
      </c>
      <c r="AL110" s="88" t="str">
        <f t="shared" si="21"/>
        <v>No</v>
      </c>
      <c r="AM110" s="88" t="str">
        <f t="shared" si="21"/>
        <v>No</v>
      </c>
      <c r="AN110" s="88" t="str">
        <f t="shared" si="21"/>
        <v>No</v>
      </c>
      <c r="AO110" s="91" t="str">
        <f t="shared" si="21"/>
        <v>No</v>
      </c>
      <c r="AP110" s="109" t="s">
        <v>219</v>
      </c>
      <c r="AQ110" s="88">
        <v>110</v>
      </c>
      <c r="AR110" s="88" t="s">
        <v>347</v>
      </c>
      <c r="AS110" s="88" t="s">
        <v>347</v>
      </c>
      <c r="AT110" s="88" t="s">
        <v>347</v>
      </c>
      <c r="AU110" s="88" t="s">
        <v>347</v>
      </c>
      <c r="AV110" s="88" t="s">
        <v>347</v>
      </c>
      <c r="AW110" s="88" t="s">
        <v>347</v>
      </c>
      <c r="AX110" s="88" t="s">
        <v>347</v>
      </c>
      <c r="AY110" s="88" t="s">
        <v>347</v>
      </c>
      <c r="AZ110" s="88" t="s">
        <v>346</v>
      </c>
      <c r="BA110" s="88" t="s">
        <v>347</v>
      </c>
      <c r="BB110" s="88" t="s">
        <v>347</v>
      </c>
      <c r="BC110" s="88" t="s">
        <v>347</v>
      </c>
      <c r="BD110" s="88" t="s">
        <v>347</v>
      </c>
      <c r="BE110" s="88" t="s">
        <v>347</v>
      </c>
      <c r="BF110" s="88" t="s">
        <v>347</v>
      </c>
      <c r="BG110" s="88" t="s">
        <v>347</v>
      </c>
      <c r="BH110" s="88" t="s">
        <v>347</v>
      </c>
      <c r="BI110" s="88" t="s">
        <v>347</v>
      </c>
      <c r="BJ110" s="88" t="s">
        <v>346</v>
      </c>
      <c r="BK110" s="88" t="s">
        <v>347</v>
      </c>
      <c r="BL110" s="88" t="s">
        <v>347</v>
      </c>
      <c r="BM110" s="88" t="s">
        <v>347</v>
      </c>
      <c r="BN110" s="88" t="s">
        <v>347</v>
      </c>
      <c r="BO110" s="88" t="s">
        <v>347</v>
      </c>
      <c r="BP110" s="88" t="s">
        <v>347</v>
      </c>
      <c r="BQ110" s="88" t="s">
        <v>347</v>
      </c>
      <c r="BR110" s="88" t="s">
        <v>347</v>
      </c>
      <c r="BS110" s="88" t="s">
        <v>347</v>
      </c>
      <c r="BT110" s="88" t="s">
        <v>347</v>
      </c>
      <c r="BU110" s="88" t="s">
        <v>347</v>
      </c>
      <c r="BV110" s="88" t="s">
        <v>347</v>
      </c>
      <c r="BW110" s="88" t="s">
        <v>347</v>
      </c>
      <c r="BX110" s="88" t="s">
        <v>347</v>
      </c>
      <c r="BY110" s="88" t="s">
        <v>347</v>
      </c>
      <c r="BZ110" s="91" t="s">
        <v>347</v>
      </c>
    </row>
    <row r="111" spans="1:78" s="2" customFormat="1" x14ac:dyDescent="0.25">
      <c r="A111" s="109" t="s">
        <v>212</v>
      </c>
      <c r="B111" s="88" t="s">
        <v>347</v>
      </c>
      <c r="C111" s="88" t="s">
        <v>347</v>
      </c>
      <c r="D111" s="88" t="s">
        <v>347</v>
      </c>
      <c r="E111" s="88" t="s">
        <v>346</v>
      </c>
      <c r="F111" s="88" t="s">
        <v>347</v>
      </c>
      <c r="G111" s="88" t="s">
        <v>347</v>
      </c>
      <c r="H111" s="88" t="s">
        <v>347</v>
      </c>
      <c r="I111" s="88" t="s">
        <v>347</v>
      </c>
      <c r="J111" s="91" t="s">
        <v>347</v>
      </c>
      <c r="K111" s="109" t="s">
        <v>212</v>
      </c>
      <c r="L111" s="88" t="str">
        <f>LOOKUP($K111,PantheonList!$A$18:$A$139,PantheonList!$B$18:$B$139)</f>
        <v>Academics</v>
      </c>
      <c r="M111" s="88" t="str">
        <f>LOOKUP($K111,PantheonList!$A$18:$A$139,PantheonList!$C$18:$C$139)</f>
        <v>Awareness</v>
      </c>
      <c r="N111" s="88" t="str">
        <f>LOOKUP($K111,PantheonList!$A$18:$A$139,PantheonList!$D$18:$D$139)</f>
        <v>Empathy</v>
      </c>
      <c r="O111" s="88" t="str">
        <f>LOOKUP($K111,PantheonList!$A$18:$A$139,PantheonList!$E$18:$E$139)</f>
        <v>Investigation</v>
      </c>
      <c r="P111" s="88" t="str">
        <f>LOOKUP($K111,PantheonList!$A$18:$A$139,PantheonList!$F$18:$F$139)</f>
        <v>Marksmanship</v>
      </c>
      <c r="Q111" s="88" t="str">
        <f>LOOKUP($K111,PantheonList!$A$18:$A$139,PantheonList!$G$18:$G$139)</f>
        <v>Politics</v>
      </c>
      <c r="R111" s="88" t="str">
        <f t="shared" si="20"/>
        <v>Yes</v>
      </c>
      <c r="S111" s="88" t="str">
        <f t="shared" si="20"/>
        <v>No</v>
      </c>
      <c r="T111" s="88" t="str">
        <f t="shared" si="20"/>
        <v>No</v>
      </c>
      <c r="U111" s="88" t="str">
        <f t="shared" si="20"/>
        <v>No</v>
      </c>
      <c r="V111" s="88" t="str">
        <f t="shared" si="20"/>
        <v>Yes</v>
      </c>
      <c r="W111" s="88" t="str">
        <f t="shared" si="20"/>
        <v>No</v>
      </c>
      <c r="X111" s="88" t="str">
        <f t="shared" si="20"/>
        <v>No</v>
      </c>
      <c r="Y111" s="88" t="str">
        <f t="shared" si="20"/>
        <v>No</v>
      </c>
      <c r="Z111" s="88" t="str">
        <f t="shared" si="20"/>
        <v>No</v>
      </c>
      <c r="AA111" s="88" t="str">
        <f t="shared" si="20"/>
        <v>Yes</v>
      </c>
      <c r="AB111" s="88" t="str">
        <f t="shared" si="21"/>
        <v>No</v>
      </c>
      <c r="AC111" s="88" t="str">
        <f t="shared" si="21"/>
        <v>No</v>
      </c>
      <c r="AD111" s="88" t="str">
        <f t="shared" si="21"/>
        <v>Yes</v>
      </c>
      <c r="AE111" s="88" t="str">
        <f t="shared" si="21"/>
        <v>No</v>
      </c>
      <c r="AF111" s="88" t="str">
        <f t="shared" si="21"/>
        <v>Yes</v>
      </c>
      <c r="AG111" s="88" t="str">
        <f t="shared" si="21"/>
        <v>No</v>
      </c>
      <c r="AH111" s="88" t="str">
        <f t="shared" si="21"/>
        <v>No</v>
      </c>
      <c r="AI111" s="88" t="str">
        <f t="shared" si="21"/>
        <v>No</v>
      </c>
      <c r="AJ111" s="88" t="str">
        <f t="shared" si="21"/>
        <v>Yes</v>
      </c>
      <c r="AK111" s="88" t="str">
        <f t="shared" si="21"/>
        <v>No</v>
      </c>
      <c r="AL111" s="88" t="str">
        <f t="shared" si="21"/>
        <v>No</v>
      </c>
      <c r="AM111" s="88" t="str">
        <f t="shared" si="21"/>
        <v>No</v>
      </c>
      <c r="AN111" s="88" t="str">
        <f t="shared" si="21"/>
        <v>No</v>
      </c>
      <c r="AO111" s="91" t="str">
        <f t="shared" si="21"/>
        <v>No</v>
      </c>
      <c r="AP111" s="109" t="s">
        <v>212</v>
      </c>
      <c r="AQ111" s="88">
        <v>111</v>
      </c>
      <c r="AR111" s="88" t="s">
        <v>347</v>
      </c>
      <c r="AS111" s="88" t="s">
        <v>347</v>
      </c>
      <c r="AT111" s="88" t="s">
        <v>347</v>
      </c>
      <c r="AU111" s="88" t="s">
        <v>347</v>
      </c>
      <c r="AV111" s="88" t="s">
        <v>347</v>
      </c>
      <c r="AW111" s="88" t="s">
        <v>347</v>
      </c>
      <c r="AX111" s="88" t="s">
        <v>346</v>
      </c>
      <c r="AY111" s="88" t="s">
        <v>347</v>
      </c>
      <c r="AZ111" s="88" t="s">
        <v>347</v>
      </c>
      <c r="BA111" s="88" t="s">
        <v>347</v>
      </c>
      <c r="BB111" s="88" t="s">
        <v>347</v>
      </c>
      <c r="BC111" s="88" t="s">
        <v>347</v>
      </c>
      <c r="BD111" s="88" t="s">
        <v>347</v>
      </c>
      <c r="BE111" s="88" t="s">
        <v>347</v>
      </c>
      <c r="BF111" s="88" t="s">
        <v>347</v>
      </c>
      <c r="BG111" s="88" t="s">
        <v>347</v>
      </c>
      <c r="BH111" s="88" t="s">
        <v>347</v>
      </c>
      <c r="BI111" s="88" t="s">
        <v>347</v>
      </c>
      <c r="BJ111" s="88" t="s">
        <v>347</v>
      </c>
      <c r="BK111" s="88" t="s">
        <v>347</v>
      </c>
      <c r="BL111" s="88" t="s">
        <v>347</v>
      </c>
      <c r="BM111" s="88" t="s">
        <v>347</v>
      </c>
      <c r="BN111" s="88" t="s">
        <v>346</v>
      </c>
      <c r="BO111" s="88" t="s">
        <v>347</v>
      </c>
      <c r="BP111" s="88" t="s">
        <v>347</v>
      </c>
      <c r="BQ111" s="88" t="s">
        <v>346</v>
      </c>
      <c r="BR111" s="88" t="s">
        <v>347</v>
      </c>
      <c r="BS111" s="88" t="s">
        <v>347</v>
      </c>
      <c r="BT111" s="88" t="s">
        <v>347</v>
      </c>
      <c r="BU111" s="88" t="s">
        <v>347</v>
      </c>
      <c r="BV111" s="88" t="s">
        <v>347</v>
      </c>
      <c r="BW111" s="88" t="s">
        <v>347</v>
      </c>
      <c r="BX111" s="88" t="s">
        <v>346</v>
      </c>
      <c r="BY111" s="88" t="s">
        <v>347</v>
      </c>
      <c r="BZ111" s="91" t="s">
        <v>347</v>
      </c>
    </row>
    <row r="112" spans="1:78" s="2" customFormat="1" x14ac:dyDescent="0.25">
      <c r="A112" s="109" t="s">
        <v>202</v>
      </c>
      <c r="B112" s="88" t="s">
        <v>346</v>
      </c>
      <c r="C112" s="88" t="s">
        <v>347</v>
      </c>
      <c r="D112" s="88" t="s">
        <v>346</v>
      </c>
      <c r="E112" s="88" t="s">
        <v>346</v>
      </c>
      <c r="F112" s="88" t="s">
        <v>347</v>
      </c>
      <c r="G112" s="88" t="s">
        <v>347</v>
      </c>
      <c r="H112" s="88" t="s">
        <v>347</v>
      </c>
      <c r="I112" s="88" t="s">
        <v>347</v>
      </c>
      <c r="J112" s="91" t="s">
        <v>346</v>
      </c>
      <c r="K112" s="109" t="s">
        <v>202</v>
      </c>
      <c r="L112" s="88" t="str">
        <f>LOOKUP($K112,PantheonList!$A$18:$A$139,PantheonList!$B$18:$B$139)</f>
        <v>Academics</v>
      </c>
      <c r="M112" s="88" t="str">
        <f>LOOKUP($K112,PantheonList!$A$18:$A$139,PantheonList!$C$18:$C$139)</f>
        <v>Command</v>
      </c>
      <c r="N112" s="88" t="str">
        <f>LOOKUP($K112,PantheonList!$A$18:$A$139,PantheonList!$D$18:$D$139)</f>
        <v>Integrity</v>
      </c>
      <c r="O112" s="88" t="str">
        <f>LOOKUP($K112,PantheonList!$A$18:$A$139,PantheonList!$E$18:$E$139)</f>
        <v>Investigation</v>
      </c>
      <c r="P112" s="88" t="str">
        <f>LOOKUP($K112,PantheonList!$A$18:$A$139,PantheonList!$F$18:$F$139)</f>
        <v>melee</v>
      </c>
      <c r="Q112" s="88" t="str">
        <f>LOOKUP($K112,PantheonList!$A$18:$A$139,PantheonList!$G$18:$G$139)</f>
        <v>Politics</v>
      </c>
      <c r="R112" s="88" t="str">
        <f t="shared" ref="R112:AA123" si="22">IF(OR($Q112=R$1,$P112=R$1,$O112=R$1,$N112=R$1,$M112=R$1,$L112=R$1),"Yes","No")</f>
        <v>Yes</v>
      </c>
      <c r="S112" s="88" t="str">
        <f t="shared" si="22"/>
        <v>No</v>
      </c>
      <c r="T112" s="88" t="str">
        <f t="shared" si="22"/>
        <v>No</v>
      </c>
      <c r="U112" s="88" t="str">
        <f t="shared" si="22"/>
        <v>No</v>
      </c>
      <c r="V112" s="88" t="str">
        <f t="shared" si="22"/>
        <v>No</v>
      </c>
      <c r="W112" s="88" t="str">
        <f t="shared" si="22"/>
        <v>No</v>
      </c>
      <c r="X112" s="88" t="str">
        <f t="shared" si="22"/>
        <v>Yes</v>
      </c>
      <c r="Y112" s="88" t="str">
        <f t="shared" si="22"/>
        <v>No</v>
      </c>
      <c r="Z112" s="88" t="str">
        <f t="shared" si="22"/>
        <v>No</v>
      </c>
      <c r="AA112" s="88" t="str">
        <f t="shared" si="22"/>
        <v>No</v>
      </c>
      <c r="AB112" s="88" t="str">
        <f t="shared" ref="AB112:AO123" si="23">IF(OR($Q112=AB$1,$P112=AB$1,$O112=AB$1,$N112=AB$1,$M112=AB$1,$L112=AB$1),"Yes","No")</f>
        <v>No</v>
      </c>
      <c r="AC112" s="88" t="str">
        <f t="shared" si="23"/>
        <v>Yes</v>
      </c>
      <c r="AD112" s="88" t="str">
        <f t="shared" si="23"/>
        <v>Yes</v>
      </c>
      <c r="AE112" s="88" t="str">
        <f t="shared" si="23"/>
        <v>No</v>
      </c>
      <c r="AF112" s="88" t="str">
        <f t="shared" si="23"/>
        <v>No</v>
      </c>
      <c r="AG112" s="88" t="str">
        <f t="shared" si="23"/>
        <v>No</v>
      </c>
      <c r="AH112" s="88" t="str">
        <f t="shared" si="23"/>
        <v>Yes</v>
      </c>
      <c r="AI112" s="88" t="str">
        <f t="shared" si="23"/>
        <v>No</v>
      </c>
      <c r="AJ112" s="88" t="str">
        <f t="shared" si="23"/>
        <v>Yes</v>
      </c>
      <c r="AK112" s="88" t="str">
        <f t="shared" si="23"/>
        <v>No</v>
      </c>
      <c r="AL112" s="88" t="str">
        <f t="shared" si="23"/>
        <v>No</v>
      </c>
      <c r="AM112" s="88" t="str">
        <f t="shared" si="23"/>
        <v>No</v>
      </c>
      <c r="AN112" s="88" t="str">
        <f t="shared" si="23"/>
        <v>No</v>
      </c>
      <c r="AO112" s="91" t="str">
        <f t="shared" si="23"/>
        <v>No</v>
      </c>
      <c r="AP112" s="109" t="s">
        <v>202</v>
      </c>
      <c r="AQ112" s="88">
        <v>112</v>
      </c>
      <c r="AR112" s="88" t="s">
        <v>347</v>
      </c>
      <c r="AS112" s="88" t="s">
        <v>347</v>
      </c>
      <c r="AT112" s="88" t="s">
        <v>347</v>
      </c>
      <c r="AU112" s="88" t="s">
        <v>347</v>
      </c>
      <c r="AV112" s="88" t="s">
        <v>347</v>
      </c>
      <c r="AW112" s="88" t="s">
        <v>347</v>
      </c>
      <c r="AX112" s="88" t="s">
        <v>347</v>
      </c>
      <c r="AY112" s="88" t="s">
        <v>347</v>
      </c>
      <c r="AZ112" s="88" t="s">
        <v>347</v>
      </c>
      <c r="BA112" s="88" t="s">
        <v>347</v>
      </c>
      <c r="BB112" s="88" t="s">
        <v>347</v>
      </c>
      <c r="BC112" s="88" t="s">
        <v>347</v>
      </c>
      <c r="BD112" s="88" t="s">
        <v>347</v>
      </c>
      <c r="BE112" s="88" t="s">
        <v>347</v>
      </c>
      <c r="BF112" s="88" t="s">
        <v>347</v>
      </c>
      <c r="BG112" s="88" t="s">
        <v>347</v>
      </c>
      <c r="BH112" s="88" t="s">
        <v>347</v>
      </c>
      <c r="BI112" s="88" t="s">
        <v>347</v>
      </c>
      <c r="BJ112" s="88" t="s">
        <v>347</v>
      </c>
      <c r="BK112" s="88" t="s">
        <v>346</v>
      </c>
      <c r="BL112" s="88" t="s">
        <v>346</v>
      </c>
      <c r="BM112" s="88" t="s">
        <v>347</v>
      </c>
      <c r="BN112" s="88" t="s">
        <v>347</v>
      </c>
      <c r="BO112" s="88" t="s">
        <v>347</v>
      </c>
      <c r="BP112" s="88" t="s">
        <v>347</v>
      </c>
      <c r="BQ112" s="88" t="s">
        <v>347</v>
      </c>
      <c r="BR112" s="88" t="s">
        <v>347</v>
      </c>
      <c r="BS112" s="88" t="s">
        <v>347</v>
      </c>
      <c r="BT112" s="88" t="s">
        <v>347</v>
      </c>
      <c r="BU112" s="88" t="s">
        <v>347</v>
      </c>
      <c r="BV112" s="88" t="s">
        <v>347</v>
      </c>
      <c r="BW112" s="88" t="s">
        <v>347</v>
      </c>
      <c r="BX112" s="88" t="s">
        <v>347</v>
      </c>
      <c r="BY112" s="88" t="s">
        <v>346</v>
      </c>
      <c r="BZ112" s="91" t="s">
        <v>347</v>
      </c>
    </row>
    <row r="113" spans="1:78" s="2" customFormat="1" x14ac:dyDescent="0.25">
      <c r="A113" s="109" t="s">
        <v>309</v>
      </c>
      <c r="B113" s="88" t="s">
        <v>347</v>
      </c>
      <c r="C113" s="88" t="s">
        <v>347</v>
      </c>
      <c r="D113" s="88" t="s">
        <v>347</v>
      </c>
      <c r="E113" s="88" t="s">
        <v>347</v>
      </c>
      <c r="F113" s="88" t="s">
        <v>346</v>
      </c>
      <c r="G113" s="88" t="s">
        <v>347</v>
      </c>
      <c r="H113" s="88" t="s">
        <v>347</v>
      </c>
      <c r="I113" s="88" t="s">
        <v>346</v>
      </c>
      <c r="J113" s="91" t="s">
        <v>347</v>
      </c>
      <c r="K113" s="109" t="s">
        <v>309</v>
      </c>
      <c r="L113" s="88" t="str">
        <f>LOOKUP($K113,PantheonList!$A$18:$A$139,PantheonList!$B$18:$B$139)</f>
        <v>Command</v>
      </c>
      <c r="M113" s="88" t="str">
        <f>LOOKUP($K113,PantheonList!$A$18:$A$139,PantheonList!$C$18:$C$139)</f>
        <v>Fortitude</v>
      </c>
      <c r="N113" s="88" t="str">
        <f>LOOKUP($K113,PantheonList!$A$18:$A$139,PantheonList!$D$18:$D$139)</f>
        <v>Integrity</v>
      </c>
      <c r="O113" s="88" t="str">
        <f>LOOKUP($K113,PantheonList!$A$18:$A$139,PantheonList!$E$18:$E$139)</f>
        <v>Marksmanship</v>
      </c>
      <c r="P113" s="88" t="str">
        <f>LOOKUP($K113,PantheonList!$A$18:$A$139,PantheonList!$F$18:$F$139)</f>
        <v>Politics</v>
      </c>
      <c r="Q113" s="88" t="str">
        <f>LOOKUP($K113,PantheonList!$A$18:$A$139,PantheonList!$G$18:$G$139)</f>
        <v>Presence</v>
      </c>
      <c r="R113" s="88" t="str">
        <f t="shared" si="22"/>
        <v>No</v>
      </c>
      <c r="S113" s="88" t="str">
        <f t="shared" si="22"/>
        <v>No</v>
      </c>
      <c r="T113" s="88" t="str">
        <f t="shared" si="22"/>
        <v>No</v>
      </c>
      <c r="U113" s="88" t="str">
        <f t="shared" si="22"/>
        <v>No</v>
      </c>
      <c r="V113" s="88" t="str">
        <f t="shared" si="22"/>
        <v>No</v>
      </c>
      <c r="W113" s="88" t="str">
        <f t="shared" si="22"/>
        <v>No</v>
      </c>
      <c r="X113" s="88" t="str">
        <f t="shared" si="22"/>
        <v>Yes</v>
      </c>
      <c r="Y113" s="88" t="str">
        <f t="shared" si="22"/>
        <v>No</v>
      </c>
      <c r="Z113" s="88" t="str">
        <f t="shared" si="22"/>
        <v>No</v>
      </c>
      <c r="AA113" s="88" t="str">
        <f t="shared" si="22"/>
        <v>No</v>
      </c>
      <c r="AB113" s="88" t="str">
        <f t="shared" si="23"/>
        <v>Yes</v>
      </c>
      <c r="AC113" s="88" t="str">
        <f t="shared" si="23"/>
        <v>Yes</v>
      </c>
      <c r="AD113" s="88" t="str">
        <f t="shared" si="23"/>
        <v>No</v>
      </c>
      <c r="AE113" s="88" t="str">
        <f t="shared" si="23"/>
        <v>No</v>
      </c>
      <c r="AF113" s="88" t="str">
        <f t="shared" si="23"/>
        <v>Yes</v>
      </c>
      <c r="AG113" s="88" t="str">
        <f t="shared" si="23"/>
        <v>No</v>
      </c>
      <c r="AH113" s="88" t="str">
        <f t="shared" si="23"/>
        <v>No</v>
      </c>
      <c r="AI113" s="88" t="str">
        <f t="shared" si="23"/>
        <v>No</v>
      </c>
      <c r="AJ113" s="88" t="str">
        <f t="shared" si="23"/>
        <v>Yes</v>
      </c>
      <c r="AK113" s="88" t="str">
        <f t="shared" si="23"/>
        <v>Yes</v>
      </c>
      <c r="AL113" s="88" t="str">
        <f t="shared" si="23"/>
        <v>No</v>
      </c>
      <c r="AM113" s="88" t="str">
        <f t="shared" si="23"/>
        <v>No</v>
      </c>
      <c r="AN113" s="88" t="str">
        <f t="shared" si="23"/>
        <v>No</v>
      </c>
      <c r="AO113" s="91" t="str">
        <f t="shared" si="23"/>
        <v>No</v>
      </c>
      <c r="AP113" s="109" t="s">
        <v>309</v>
      </c>
      <c r="AQ113" s="88">
        <v>113</v>
      </c>
      <c r="AR113" s="88" t="s">
        <v>346</v>
      </c>
      <c r="AS113" s="88" t="s">
        <v>347</v>
      </c>
      <c r="AT113" s="88" t="s">
        <v>347</v>
      </c>
      <c r="AU113" s="88" t="s">
        <v>347</v>
      </c>
      <c r="AV113" s="88" t="s">
        <v>347</v>
      </c>
      <c r="AW113" s="88" t="s">
        <v>347</v>
      </c>
      <c r="AX113" s="88" t="s">
        <v>347</v>
      </c>
      <c r="AY113" s="88" t="s">
        <v>347</v>
      </c>
      <c r="AZ113" s="88" t="s">
        <v>347</v>
      </c>
      <c r="BA113" s="88" t="s">
        <v>347</v>
      </c>
      <c r="BB113" s="88" t="s">
        <v>347</v>
      </c>
      <c r="BC113" s="88" t="s">
        <v>347</v>
      </c>
      <c r="BD113" s="88" t="s">
        <v>347</v>
      </c>
      <c r="BE113" s="88" t="s">
        <v>346</v>
      </c>
      <c r="BF113" s="88" t="s">
        <v>347</v>
      </c>
      <c r="BG113" s="88" t="s">
        <v>347</v>
      </c>
      <c r="BH113" s="88" t="s">
        <v>347</v>
      </c>
      <c r="BI113" s="88" t="s">
        <v>346</v>
      </c>
      <c r="BJ113" s="88" t="s">
        <v>347</v>
      </c>
      <c r="BK113" s="88" t="s">
        <v>347</v>
      </c>
      <c r="BL113" s="88" t="s">
        <v>346</v>
      </c>
      <c r="BM113" s="88" t="s">
        <v>347</v>
      </c>
      <c r="BN113" s="88" t="s">
        <v>347</v>
      </c>
      <c r="BO113" s="88" t="s">
        <v>347</v>
      </c>
      <c r="BP113" s="88" t="s">
        <v>347</v>
      </c>
      <c r="BQ113" s="88" t="s">
        <v>347</v>
      </c>
      <c r="BR113" s="88" t="s">
        <v>347</v>
      </c>
      <c r="BS113" s="88" t="s">
        <v>347</v>
      </c>
      <c r="BT113" s="88" t="s">
        <v>347</v>
      </c>
      <c r="BU113" s="88" t="s">
        <v>347</v>
      </c>
      <c r="BV113" s="88" t="s">
        <v>347</v>
      </c>
      <c r="BW113" s="88" t="s">
        <v>347</v>
      </c>
      <c r="BX113" s="88" t="s">
        <v>347</v>
      </c>
      <c r="BY113" s="88" t="s">
        <v>346</v>
      </c>
      <c r="BZ113" s="91" t="s">
        <v>347</v>
      </c>
    </row>
    <row r="114" spans="1:78" s="2" customFormat="1" x14ac:dyDescent="0.25">
      <c r="A114" s="109" t="s">
        <v>297</v>
      </c>
      <c r="B114" s="88" t="s">
        <v>346</v>
      </c>
      <c r="C114" s="88" t="s">
        <v>347</v>
      </c>
      <c r="D114" s="88" t="s">
        <v>346</v>
      </c>
      <c r="E114" s="88" t="s">
        <v>347</v>
      </c>
      <c r="F114" s="88" t="s">
        <v>347</v>
      </c>
      <c r="G114" s="88" t="s">
        <v>347</v>
      </c>
      <c r="H114" s="88" t="s">
        <v>347</v>
      </c>
      <c r="I114" s="88" t="s">
        <v>347</v>
      </c>
      <c r="J114" s="91" t="s">
        <v>347</v>
      </c>
      <c r="K114" s="109" t="s">
        <v>297</v>
      </c>
      <c r="L114" s="88" t="str">
        <f>LOOKUP($K114,PantheonList!$A$18:$A$139,PantheonList!$B$18:$B$139)</f>
        <v>Brawl</v>
      </c>
      <c r="M114" s="88" t="str">
        <f>LOOKUP($K114,PantheonList!$A$18:$A$139,PantheonList!$C$18:$C$139)</f>
        <v>Command</v>
      </c>
      <c r="N114" s="88" t="str">
        <f>LOOKUP($K114,PantheonList!$A$18:$A$139,PantheonList!$D$18:$D$139)</f>
        <v>Craft</v>
      </c>
      <c r="O114" s="88" t="str">
        <f>LOOKUP($K114,PantheonList!$A$18:$A$139,PantheonList!$E$18:$E$139)</f>
        <v>Marksmanship</v>
      </c>
      <c r="P114" s="88" t="str">
        <f>LOOKUP($K114,PantheonList!$A$18:$A$139,PantheonList!$F$18:$F$139)</f>
        <v>Melee</v>
      </c>
      <c r="Q114" s="88" t="str">
        <f>LOOKUP($K114,PantheonList!$A$18:$A$139,PantheonList!$G$18:$G$139)</f>
        <v>Thrown</v>
      </c>
      <c r="R114" s="88" t="str">
        <f t="shared" si="22"/>
        <v>No</v>
      </c>
      <c r="S114" s="88" t="str">
        <f t="shared" si="22"/>
        <v>No</v>
      </c>
      <c r="T114" s="88" t="str">
        <f t="shared" si="22"/>
        <v>No</v>
      </c>
      <c r="U114" s="88" t="str">
        <f t="shared" si="22"/>
        <v>No</v>
      </c>
      <c r="V114" s="88" t="str">
        <f t="shared" si="22"/>
        <v>No</v>
      </c>
      <c r="W114" s="88" t="str">
        <f t="shared" si="22"/>
        <v>Yes</v>
      </c>
      <c r="X114" s="88" t="str">
        <f t="shared" si="22"/>
        <v>Yes</v>
      </c>
      <c r="Y114" s="88" t="str">
        <f t="shared" si="22"/>
        <v>No</v>
      </c>
      <c r="Z114" s="88" t="str">
        <f t="shared" si="22"/>
        <v>Yes</v>
      </c>
      <c r="AA114" s="88" t="str">
        <f t="shared" si="22"/>
        <v>No</v>
      </c>
      <c r="AB114" s="88" t="str">
        <f t="shared" si="23"/>
        <v>No</v>
      </c>
      <c r="AC114" s="88" t="str">
        <f t="shared" si="23"/>
        <v>No</v>
      </c>
      <c r="AD114" s="88" t="str">
        <f t="shared" si="23"/>
        <v>No</v>
      </c>
      <c r="AE114" s="88" t="str">
        <f t="shared" si="23"/>
        <v>No</v>
      </c>
      <c r="AF114" s="88" t="str">
        <f t="shared" si="23"/>
        <v>Yes</v>
      </c>
      <c r="AG114" s="88" t="str">
        <f t="shared" si="23"/>
        <v>No</v>
      </c>
      <c r="AH114" s="88" t="str">
        <f t="shared" si="23"/>
        <v>Yes</v>
      </c>
      <c r="AI114" s="88" t="str">
        <f t="shared" si="23"/>
        <v>No</v>
      </c>
      <c r="AJ114" s="88" t="str">
        <f t="shared" si="23"/>
        <v>No</v>
      </c>
      <c r="AK114" s="88" t="str">
        <f t="shared" si="23"/>
        <v>No</v>
      </c>
      <c r="AL114" s="88" t="str">
        <f t="shared" si="23"/>
        <v>No</v>
      </c>
      <c r="AM114" s="88" t="str">
        <f t="shared" si="23"/>
        <v>No</v>
      </c>
      <c r="AN114" s="88" t="str">
        <f t="shared" si="23"/>
        <v>No</v>
      </c>
      <c r="AO114" s="91" t="str">
        <f t="shared" si="23"/>
        <v>Yes</v>
      </c>
      <c r="AP114" s="109" t="s">
        <v>297</v>
      </c>
      <c r="AQ114" s="88">
        <v>114</v>
      </c>
      <c r="AR114" s="88" t="s">
        <v>346</v>
      </c>
      <c r="AS114" s="88" t="s">
        <v>347</v>
      </c>
      <c r="AT114" s="88" t="s">
        <v>346</v>
      </c>
      <c r="AU114" s="88" t="s">
        <v>347</v>
      </c>
      <c r="AV114" s="88" t="s">
        <v>347</v>
      </c>
      <c r="AW114" s="88" t="s">
        <v>347</v>
      </c>
      <c r="AX114" s="88" t="s">
        <v>347</v>
      </c>
      <c r="AY114" s="88" t="s">
        <v>347</v>
      </c>
      <c r="AZ114" s="88" t="s">
        <v>347</v>
      </c>
      <c r="BA114" s="88" t="s">
        <v>347</v>
      </c>
      <c r="BB114" s="88" t="s">
        <v>347</v>
      </c>
      <c r="BC114" s="88" t="s">
        <v>346</v>
      </c>
      <c r="BD114" s="88" t="s">
        <v>347</v>
      </c>
      <c r="BE114" s="88" t="s">
        <v>347</v>
      </c>
      <c r="BF114" s="88" t="s">
        <v>347</v>
      </c>
      <c r="BG114" s="88" t="s">
        <v>347</v>
      </c>
      <c r="BH114" s="88" t="s">
        <v>347</v>
      </c>
      <c r="BI114" s="88" t="s">
        <v>347</v>
      </c>
      <c r="BJ114" s="88" t="s">
        <v>347</v>
      </c>
      <c r="BK114" s="88" t="s">
        <v>347</v>
      </c>
      <c r="BL114" s="88" t="s">
        <v>347</v>
      </c>
      <c r="BM114" s="88" t="s">
        <v>347</v>
      </c>
      <c r="BN114" s="88" t="s">
        <v>347</v>
      </c>
      <c r="BO114" s="88" t="s">
        <v>347</v>
      </c>
      <c r="BP114" s="88" t="s">
        <v>347</v>
      </c>
      <c r="BQ114" s="88" t="s">
        <v>347</v>
      </c>
      <c r="BR114" s="88" t="s">
        <v>347</v>
      </c>
      <c r="BS114" s="88" t="s">
        <v>347</v>
      </c>
      <c r="BT114" s="88" t="s">
        <v>347</v>
      </c>
      <c r="BU114" s="88" t="s">
        <v>347</v>
      </c>
      <c r="BV114" s="88" t="s">
        <v>347</v>
      </c>
      <c r="BW114" s="88" t="s">
        <v>347</v>
      </c>
      <c r="BX114" s="88" t="s">
        <v>347</v>
      </c>
      <c r="BY114" s="88" t="s">
        <v>346</v>
      </c>
      <c r="BZ114" s="91" t="s">
        <v>347</v>
      </c>
    </row>
    <row r="115" spans="1:78" s="2" customFormat="1" x14ac:dyDescent="0.25">
      <c r="A115" s="109" t="s">
        <v>298</v>
      </c>
      <c r="B115" s="88" t="s">
        <v>347</v>
      </c>
      <c r="C115" s="88" t="s">
        <v>346</v>
      </c>
      <c r="D115" s="88" t="s">
        <v>347</v>
      </c>
      <c r="E115" s="88" t="s">
        <v>347</v>
      </c>
      <c r="F115" s="88" t="s">
        <v>346</v>
      </c>
      <c r="G115" s="88" t="s">
        <v>347</v>
      </c>
      <c r="H115" s="88" t="s">
        <v>347</v>
      </c>
      <c r="I115" s="88" t="s">
        <v>347</v>
      </c>
      <c r="J115" s="91" t="s">
        <v>347</v>
      </c>
      <c r="K115" s="109" t="s">
        <v>298</v>
      </c>
      <c r="L115" s="88" t="str">
        <f>LOOKUP($K115,PantheonList!$A$18:$A$139,PantheonList!$B$18:$B$139)</f>
        <v>Athletics</v>
      </c>
      <c r="M115" s="88" t="str">
        <f>LOOKUP($K115,PantheonList!$A$18:$A$139,PantheonList!$C$18:$C$139)</f>
        <v>Awareness</v>
      </c>
      <c r="N115" s="88" t="str">
        <f>LOOKUP($K115,PantheonList!$A$18:$A$139,PantheonList!$D$18:$D$139)</f>
        <v>Control</v>
      </c>
      <c r="O115" s="88" t="str">
        <f>LOOKUP($K115,PantheonList!$A$18:$A$139,PantheonList!$E$18:$E$139)</f>
        <v>Melee</v>
      </c>
      <c r="P115" s="88" t="str">
        <f>LOOKUP($K115,PantheonList!$A$18:$A$139,PantheonList!$F$18:$F$139)</f>
        <v>Presence</v>
      </c>
      <c r="Q115" s="88" t="str">
        <f>LOOKUP($K115,PantheonList!$A$18:$A$139,PantheonList!$G$18:$G$139)</f>
        <v>Stealth</v>
      </c>
      <c r="R115" s="88" t="str">
        <f t="shared" si="22"/>
        <v>No</v>
      </c>
      <c r="S115" s="88" t="str">
        <f t="shared" si="22"/>
        <v>No</v>
      </c>
      <c r="T115" s="88" t="str">
        <f t="shared" si="22"/>
        <v>No</v>
      </c>
      <c r="U115" s="88" t="str">
        <f t="shared" si="22"/>
        <v>Yes</v>
      </c>
      <c r="V115" s="88" t="str">
        <f t="shared" si="22"/>
        <v>Yes</v>
      </c>
      <c r="W115" s="88" t="str">
        <f t="shared" si="22"/>
        <v>No</v>
      </c>
      <c r="X115" s="88" t="str">
        <f t="shared" si="22"/>
        <v>No</v>
      </c>
      <c r="Y115" s="88" t="str">
        <f t="shared" si="22"/>
        <v>Yes</v>
      </c>
      <c r="Z115" s="88" t="str">
        <f t="shared" si="22"/>
        <v>No</v>
      </c>
      <c r="AA115" s="88" t="str">
        <f t="shared" si="22"/>
        <v>No</v>
      </c>
      <c r="AB115" s="88" t="str">
        <f t="shared" si="23"/>
        <v>No</v>
      </c>
      <c r="AC115" s="88" t="str">
        <f t="shared" si="23"/>
        <v>No</v>
      </c>
      <c r="AD115" s="88" t="str">
        <f t="shared" si="23"/>
        <v>No</v>
      </c>
      <c r="AE115" s="88" t="str">
        <f t="shared" si="23"/>
        <v>No</v>
      </c>
      <c r="AF115" s="88" t="str">
        <f t="shared" si="23"/>
        <v>No</v>
      </c>
      <c r="AG115" s="88" t="str">
        <f t="shared" si="23"/>
        <v>No</v>
      </c>
      <c r="AH115" s="88" t="str">
        <f t="shared" si="23"/>
        <v>Yes</v>
      </c>
      <c r="AI115" s="88" t="str">
        <f t="shared" si="23"/>
        <v>No</v>
      </c>
      <c r="AJ115" s="88" t="str">
        <f t="shared" si="23"/>
        <v>No</v>
      </c>
      <c r="AK115" s="88" t="str">
        <f t="shared" si="23"/>
        <v>Yes</v>
      </c>
      <c r="AL115" s="88" t="str">
        <f t="shared" si="23"/>
        <v>No</v>
      </c>
      <c r="AM115" s="88" t="str">
        <f t="shared" si="23"/>
        <v>Yes</v>
      </c>
      <c r="AN115" s="88" t="str">
        <f t="shared" si="23"/>
        <v>No</v>
      </c>
      <c r="AO115" s="91" t="str">
        <f t="shared" si="23"/>
        <v>No</v>
      </c>
      <c r="AP115" s="109" t="s">
        <v>298</v>
      </c>
      <c r="AQ115" s="88">
        <v>115</v>
      </c>
      <c r="AR115" s="88" t="s">
        <v>347</v>
      </c>
      <c r="AS115" s="88" t="s">
        <v>347</v>
      </c>
      <c r="AT115" s="88" t="s">
        <v>346</v>
      </c>
      <c r="AU115" s="88" t="s">
        <v>346</v>
      </c>
      <c r="AV115" s="88" t="s">
        <v>347</v>
      </c>
      <c r="AW115" s="88" t="s">
        <v>347</v>
      </c>
      <c r="AX115" s="88" t="s">
        <v>347</v>
      </c>
      <c r="AY115" s="88" t="s">
        <v>346</v>
      </c>
      <c r="AZ115" s="88" t="s">
        <v>347</v>
      </c>
      <c r="BA115" s="88" t="s">
        <v>347</v>
      </c>
      <c r="BB115" s="88" t="s">
        <v>347</v>
      </c>
      <c r="BC115" s="88" t="s">
        <v>347</v>
      </c>
      <c r="BD115" s="88" t="s">
        <v>347</v>
      </c>
      <c r="BE115" s="88" t="s">
        <v>347</v>
      </c>
      <c r="BF115" s="88" t="s">
        <v>347</v>
      </c>
      <c r="BG115" s="88" t="s">
        <v>347</v>
      </c>
      <c r="BH115" s="88" t="s">
        <v>347</v>
      </c>
      <c r="BI115" s="88" t="s">
        <v>347</v>
      </c>
      <c r="BJ115" s="88" t="s">
        <v>347</v>
      </c>
      <c r="BK115" s="88" t="s">
        <v>347</v>
      </c>
      <c r="BL115" s="88" t="s">
        <v>347</v>
      </c>
      <c r="BM115" s="88" t="s">
        <v>347</v>
      </c>
      <c r="BN115" s="88" t="s">
        <v>347</v>
      </c>
      <c r="BO115" s="88" t="s">
        <v>347</v>
      </c>
      <c r="BP115" s="88" t="s">
        <v>347</v>
      </c>
      <c r="BQ115" s="88" t="s">
        <v>346</v>
      </c>
      <c r="BR115" s="88" t="s">
        <v>347</v>
      </c>
      <c r="BS115" s="88" t="s">
        <v>347</v>
      </c>
      <c r="BT115" s="88" t="s">
        <v>346</v>
      </c>
      <c r="BU115" s="88" t="s">
        <v>347</v>
      </c>
      <c r="BV115" s="88" t="s">
        <v>347</v>
      </c>
      <c r="BW115" s="88" t="s">
        <v>347</v>
      </c>
      <c r="BX115" s="88" t="s">
        <v>347</v>
      </c>
      <c r="BY115" s="88" t="s">
        <v>347</v>
      </c>
      <c r="BZ115" s="91" t="s">
        <v>347</v>
      </c>
    </row>
    <row r="116" spans="1:78" s="2" customFormat="1" x14ac:dyDescent="0.25">
      <c r="A116" s="109" t="s">
        <v>203</v>
      </c>
      <c r="B116" s="88" t="s">
        <v>346</v>
      </c>
      <c r="C116" s="88" t="s">
        <v>347</v>
      </c>
      <c r="D116" s="88" t="s">
        <v>346</v>
      </c>
      <c r="E116" s="88" t="s">
        <v>347</v>
      </c>
      <c r="F116" s="88" t="s">
        <v>347</v>
      </c>
      <c r="G116" s="88" t="s">
        <v>347</v>
      </c>
      <c r="H116" s="88" t="s">
        <v>347</v>
      </c>
      <c r="I116" s="88" t="s">
        <v>347</v>
      </c>
      <c r="J116" s="91" t="s">
        <v>347</v>
      </c>
      <c r="K116" s="109" t="s">
        <v>203</v>
      </c>
      <c r="L116" s="88" t="str">
        <f>LOOKUP($K116,PantheonList!$A$18:$A$139,PantheonList!$B$18:$B$139)</f>
        <v>Awareness</v>
      </c>
      <c r="M116" s="88" t="str">
        <f>LOOKUP($K116,PantheonList!$A$18:$A$139,PantheonList!$C$18:$C$139)</f>
        <v>Brawl</v>
      </c>
      <c r="N116" s="88" t="str">
        <f>LOOKUP($K116,PantheonList!$A$18:$A$139,PantheonList!$D$18:$D$139)</f>
        <v>Fortitude</v>
      </c>
      <c r="O116" s="88" t="str">
        <f>LOOKUP($K116,PantheonList!$A$18:$A$139,PantheonList!$E$18:$E$139)</f>
        <v>Investigation</v>
      </c>
      <c r="P116" s="88" t="str">
        <f>LOOKUP($K116,PantheonList!$A$18:$A$139,PantheonList!$F$18:$F$139)</f>
        <v>Politics</v>
      </c>
      <c r="Q116" s="88" t="str">
        <f>LOOKUP($K116,PantheonList!$A$18:$A$139,PantheonList!$G$18:$G$139)</f>
        <v>Stealth</v>
      </c>
      <c r="R116" s="88" t="str">
        <f t="shared" si="22"/>
        <v>No</v>
      </c>
      <c r="S116" s="88" t="str">
        <f t="shared" si="22"/>
        <v>No</v>
      </c>
      <c r="T116" s="88" t="str">
        <f t="shared" si="22"/>
        <v>No</v>
      </c>
      <c r="U116" s="88" t="str">
        <f t="shared" si="22"/>
        <v>No</v>
      </c>
      <c r="V116" s="88" t="str">
        <f t="shared" si="22"/>
        <v>Yes</v>
      </c>
      <c r="W116" s="88" t="str">
        <f t="shared" si="22"/>
        <v>Yes</v>
      </c>
      <c r="X116" s="88" t="str">
        <f t="shared" si="22"/>
        <v>No</v>
      </c>
      <c r="Y116" s="88" t="str">
        <f t="shared" si="22"/>
        <v>No</v>
      </c>
      <c r="Z116" s="88" t="str">
        <f t="shared" si="22"/>
        <v>No</v>
      </c>
      <c r="AA116" s="88" t="str">
        <f t="shared" si="22"/>
        <v>No</v>
      </c>
      <c r="AB116" s="88" t="str">
        <f t="shared" si="23"/>
        <v>Yes</v>
      </c>
      <c r="AC116" s="88" t="str">
        <f t="shared" si="23"/>
        <v>No</v>
      </c>
      <c r="AD116" s="88" t="str">
        <f t="shared" si="23"/>
        <v>Yes</v>
      </c>
      <c r="AE116" s="88" t="str">
        <f t="shared" si="23"/>
        <v>No</v>
      </c>
      <c r="AF116" s="88" t="str">
        <f t="shared" si="23"/>
        <v>No</v>
      </c>
      <c r="AG116" s="88" t="str">
        <f t="shared" si="23"/>
        <v>No</v>
      </c>
      <c r="AH116" s="88" t="str">
        <f t="shared" si="23"/>
        <v>No</v>
      </c>
      <c r="AI116" s="88" t="str">
        <f t="shared" si="23"/>
        <v>No</v>
      </c>
      <c r="AJ116" s="88" t="str">
        <f t="shared" si="23"/>
        <v>Yes</v>
      </c>
      <c r="AK116" s="88" t="str">
        <f t="shared" si="23"/>
        <v>No</v>
      </c>
      <c r="AL116" s="88" t="str">
        <f t="shared" si="23"/>
        <v>No</v>
      </c>
      <c r="AM116" s="88" t="str">
        <f t="shared" si="23"/>
        <v>Yes</v>
      </c>
      <c r="AN116" s="88" t="str">
        <f t="shared" si="23"/>
        <v>No</v>
      </c>
      <c r="AO116" s="91" t="str">
        <f t="shared" si="23"/>
        <v>No</v>
      </c>
      <c r="AP116" s="109" t="s">
        <v>203</v>
      </c>
      <c r="AQ116" s="88">
        <v>116</v>
      </c>
      <c r="AR116" s="88" t="s">
        <v>347</v>
      </c>
      <c r="AS116" s="88" t="s">
        <v>347</v>
      </c>
      <c r="AT116" s="88" t="s">
        <v>347</v>
      </c>
      <c r="AU116" s="88" t="s">
        <v>347</v>
      </c>
      <c r="AV116" s="88" t="s">
        <v>347</v>
      </c>
      <c r="AW116" s="88" t="s">
        <v>347</v>
      </c>
      <c r="AX116" s="88" t="s">
        <v>347</v>
      </c>
      <c r="AY116" s="88" t="s">
        <v>347</v>
      </c>
      <c r="AZ116" s="88" t="s">
        <v>347</v>
      </c>
      <c r="BA116" s="88" t="s">
        <v>347</v>
      </c>
      <c r="BB116" s="88" t="s">
        <v>347</v>
      </c>
      <c r="BC116" s="88" t="s">
        <v>347</v>
      </c>
      <c r="BD116" s="88" t="s">
        <v>347</v>
      </c>
      <c r="BE116" s="88" t="s">
        <v>347</v>
      </c>
      <c r="BF116" s="88" t="s">
        <v>347</v>
      </c>
      <c r="BG116" s="88" t="s">
        <v>347</v>
      </c>
      <c r="BH116" s="88" t="s">
        <v>347</v>
      </c>
      <c r="BI116" s="88" t="s">
        <v>347</v>
      </c>
      <c r="BJ116" s="88" t="s">
        <v>347</v>
      </c>
      <c r="BK116" s="88" t="s">
        <v>346</v>
      </c>
      <c r="BL116" s="88" t="s">
        <v>346</v>
      </c>
      <c r="BM116" s="88" t="s">
        <v>347</v>
      </c>
      <c r="BN116" s="88" t="s">
        <v>347</v>
      </c>
      <c r="BO116" s="88" t="s">
        <v>347</v>
      </c>
      <c r="BP116" s="88" t="s">
        <v>347</v>
      </c>
      <c r="BQ116" s="88" t="s">
        <v>347</v>
      </c>
      <c r="BR116" s="88" t="s">
        <v>347</v>
      </c>
      <c r="BS116" s="88" t="s">
        <v>347</v>
      </c>
      <c r="BT116" s="88" t="s">
        <v>347</v>
      </c>
      <c r="BU116" s="88" t="s">
        <v>347</v>
      </c>
      <c r="BV116" s="88" t="s">
        <v>347</v>
      </c>
      <c r="BW116" s="88" t="s">
        <v>347</v>
      </c>
      <c r="BX116" s="88" t="s">
        <v>347</v>
      </c>
      <c r="BY116" s="88" t="s">
        <v>347</v>
      </c>
      <c r="BZ116" s="91" t="s">
        <v>347</v>
      </c>
    </row>
    <row r="117" spans="1:78" s="2" customFormat="1" x14ac:dyDescent="0.25">
      <c r="A117" s="109" t="s">
        <v>244</v>
      </c>
      <c r="B117" s="88" t="s">
        <v>346</v>
      </c>
      <c r="C117" s="88" t="s">
        <v>347</v>
      </c>
      <c r="D117" s="88" t="s">
        <v>347</v>
      </c>
      <c r="E117" s="88" t="s">
        <v>346</v>
      </c>
      <c r="F117" s="88" t="s">
        <v>347</v>
      </c>
      <c r="G117" s="88" t="s">
        <v>347</v>
      </c>
      <c r="H117" s="88" t="s">
        <v>346</v>
      </c>
      <c r="I117" s="88" t="s">
        <v>346</v>
      </c>
      <c r="J117" s="91" t="s">
        <v>347</v>
      </c>
      <c r="K117" s="109" t="s">
        <v>244</v>
      </c>
      <c r="L117" s="88" t="str">
        <f>LOOKUP($K117,PantheonList!$A$18:$A$139,PantheonList!$B$18:$B$139)</f>
        <v>Awareness</v>
      </c>
      <c r="M117" s="88" t="str">
        <f>LOOKUP($K117,PantheonList!$A$18:$A$139,PantheonList!$C$18:$C$139)</f>
        <v>Brawl</v>
      </c>
      <c r="N117" s="88" t="str">
        <f>LOOKUP($K117,PantheonList!$A$18:$A$139,PantheonList!$D$18:$D$139)</f>
        <v>Fortitude</v>
      </c>
      <c r="O117" s="88" t="str">
        <f>LOOKUP($K117,PantheonList!$A$18:$A$139,PantheonList!$E$18:$E$139)</f>
        <v>Investigation</v>
      </c>
      <c r="P117" s="88" t="str">
        <f>LOOKUP($K117,PantheonList!$A$18:$A$139,PantheonList!$F$18:$F$139)</f>
        <v>Politics</v>
      </c>
      <c r="Q117" s="88" t="str">
        <f>LOOKUP($K117,PantheonList!$A$18:$A$139,PantheonList!$G$18:$G$139)</f>
        <v>Stealth</v>
      </c>
      <c r="R117" s="88" t="str">
        <f t="shared" si="22"/>
        <v>No</v>
      </c>
      <c r="S117" s="88" t="str">
        <f t="shared" si="22"/>
        <v>No</v>
      </c>
      <c r="T117" s="88" t="str">
        <f t="shared" si="22"/>
        <v>No</v>
      </c>
      <c r="U117" s="88" t="str">
        <f t="shared" si="22"/>
        <v>No</v>
      </c>
      <c r="V117" s="88" t="str">
        <f t="shared" si="22"/>
        <v>Yes</v>
      </c>
      <c r="W117" s="88" t="str">
        <f t="shared" si="22"/>
        <v>Yes</v>
      </c>
      <c r="X117" s="88" t="str">
        <f t="shared" si="22"/>
        <v>No</v>
      </c>
      <c r="Y117" s="88" t="str">
        <f t="shared" si="22"/>
        <v>No</v>
      </c>
      <c r="Z117" s="88" t="str">
        <f t="shared" si="22"/>
        <v>No</v>
      </c>
      <c r="AA117" s="88" t="str">
        <f t="shared" si="22"/>
        <v>No</v>
      </c>
      <c r="AB117" s="88" t="str">
        <f t="shared" si="23"/>
        <v>Yes</v>
      </c>
      <c r="AC117" s="88" t="str">
        <f t="shared" si="23"/>
        <v>No</v>
      </c>
      <c r="AD117" s="88" t="str">
        <f t="shared" si="23"/>
        <v>Yes</v>
      </c>
      <c r="AE117" s="88" t="str">
        <f t="shared" si="23"/>
        <v>No</v>
      </c>
      <c r="AF117" s="88" t="str">
        <f t="shared" si="23"/>
        <v>No</v>
      </c>
      <c r="AG117" s="88" t="str">
        <f t="shared" si="23"/>
        <v>No</v>
      </c>
      <c r="AH117" s="88" t="str">
        <f t="shared" si="23"/>
        <v>No</v>
      </c>
      <c r="AI117" s="88" t="str">
        <f t="shared" si="23"/>
        <v>No</v>
      </c>
      <c r="AJ117" s="88" t="str">
        <f t="shared" si="23"/>
        <v>Yes</v>
      </c>
      <c r="AK117" s="88" t="str">
        <f t="shared" si="23"/>
        <v>No</v>
      </c>
      <c r="AL117" s="88" t="str">
        <f t="shared" si="23"/>
        <v>No</v>
      </c>
      <c r="AM117" s="88" t="str">
        <f t="shared" si="23"/>
        <v>Yes</v>
      </c>
      <c r="AN117" s="88" t="str">
        <f t="shared" si="23"/>
        <v>No</v>
      </c>
      <c r="AO117" s="91" t="str">
        <f t="shared" si="23"/>
        <v>No</v>
      </c>
      <c r="AP117" s="109" t="s">
        <v>244</v>
      </c>
      <c r="AQ117" s="88">
        <v>117</v>
      </c>
      <c r="AR117" s="88" t="s">
        <v>346</v>
      </c>
      <c r="AS117" s="88" t="s">
        <v>347</v>
      </c>
      <c r="AT117" s="88" t="s">
        <v>347</v>
      </c>
      <c r="AU117" s="88" t="s">
        <v>347</v>
      </c>
      <c r="AV117" s="88" t="s">
        <v>347</v>
      </c>
      <c r="AW117" s="88" t="s">
        <v>347</v>
      </c>
      <c r="AX117" s="88" t="s">
        <v>347</v>
      </c>
      <c r="AY117" s="88" t="s">
        <v>347</v>
      </c>
      <c r="AZ117" s="88" t="s">
        <v>347</v>
      </c>
      <c r="BA117" s="88" t="s">
        <v>347</v>
      </c>
      <c r="BB117" s="88" t="s">
        <v>346</v>
      </c>
      <c r="BC117" s="88" t="s">
        <v>347</v>
      </c>
      <c r="BD117" s="88" t="s">
        <v>347</v>
      </c>
      <c r="BE117" s="88" t="s">
        <v>346</v>
      </c>
      <c r="BF117" s="88" t="s">
        <v>346</v>
      </c>
      <c r="BG117" s="88" t="s">
        <v>347</v>
      </c>
      <c r="BH117" s="88" t="s">
        <v>347</v>
      </c>
      <c r="BI117" s="88" t="s">
        <v>347</v>
      </c>
      <c r="BJ117" s="88" t="s">
        <v>347</v>
      </c>
      <c r="BK117" s="88" t="s">
        <v>347</v>
      </c>
      <c r="BL117" s="88" t="s">
        <v>347</v>
      </c>
      <c r="BM117" s="88" t="s">
        <v>346</v>
      </c>
      <c r="BN117" s="88" t="s">
        <v>347</v>
      </c>
      <c r="BO117" s="88" t="s">
        <v>347</v>
      </c>
      <c r="BP117" s="88" t="s">
        <v>347</v>
      </c>
      <c r="BQ117" s="88" t="s">
        <v>346</v>
      </c>
      <c r="BR117" s="88" t="s">
        <v>346</v>
      </c>
      <c r="BS117" s="88" t="s">
        <v>347</v>
      </c>
      <c r="BT117" s="88" t="s">
        <v>347</v>
      </c>
      <c r="BU117" s="88" t="s">
        <v>347</v>
      </c>
      <c r="BV117" s="88" t="s">
        <v>347</v>
      </c>
      <c r="BW117" s="88" t="s">
        <v>347</v>
      </c>
      <c r="BX117" s="88" t="s">
        <v>347</v>
      </c>
      <c r="BY117" s="88" t="s">
        <v>347</v>
      </c>
      <c r="BZ117" s="91" t="s">
        <v>346</v>
      </c>
    </row>
    <row r="118" spans="1:78" s="2" customFormat="1" x14ac:dyDescent="0.25">
      <c r="A118" s="109" t="s">
        <v>220</v>
      </c>
      <c r="B118" s="88" t="s">
        <v>347</v>
      </c>
      <c r="C118" s="88" t="s">
        <v>347</v>
      </c>
      <c r="D118" s="88" t="s">
        <v>346</v>
      </c>
      <c r="E118" s="88" t="s">
        <v>347</v>
      </c>
      <c r="F118" s="88" t="s">
        <v>347</v>
      </c>
      <c r="G118" s="88" t="s">
        <v>347</v>
      </c>
      <c r="H118" s="88" t="s">
        <v>347</v>
      </c>
      <c r="I118" s="88" t="s">
        <v>347</v>
      </c>
      <c r="J118" s="91" t="s">
        <v>347</v>
      </c>
      <c r="K118" s="109" t="s">
        <v>220</v>
      </c>
      <c r="L118" s="88" t="str">
        <f>LOOKUP($K118,PantheonList!$A$18:$A$139,PantheonList!$B$18:$B$139)</f>
        <v>Awareness</v>
      </c>
      <c r="M118" s="88" t="str">
        <f>LOOKUP($K118,PantheonList!$A$18:$A$139,PantheonList!$C$18:$C$139)</f>
        <v>Brawl</v>
      </c>
      <c r="N118" s="88" t="str">
        <f>LOOKUP($K118,PantheonList!$A$18:$A$139,PantheonList!$D$18:$D$139)</f>
        <v>Fortitude</v>
      </c>
      <c r="O118" s="88" t="str">
        <f>LOOKUP($K118,PantheonList!$A$18:$A$139,PantheonList!$E$18:$E$139)</f>
        <v>Investigation</v>
      </c>
      <c r="P118" s="88" t="str">
        <f>LOOKUP($K118,PantheonList!$A$18:$A$139,PantheonList!$F$18:$F$139)</f>
        <v>Politics</v>
      </c>
      <c r="Q118" s="88" t="str">
        <f>LOOKUP($K118,PantheonList!$A$18:$A$139,PantheonList!$G$18:$G$139)</f>
        <v>Stealth</v>
      </c>
      <c r="R118" s="88" t="str">
        <f t="shared" si="22"/>
        <v>No</v>
      </c>
      <c r="S118" s="88" t="str">
        <f t="shared" si="22"/>
        <v>No</v>
      </c>
      <c r="T118" s="88" t="str">
        <f t="shared" si="22"/>
        <v>No</v>
      </c>
      <c r="U118" s="88" t="str">
        <f t="shared" si="22"/>
        <v>No</v>
      </c>
      <c r="V118" s="88" t="str">
        <f t="shared" si="22"/>
        <v>Yes</v>
      </c>
      <c r="W118" s="88" t="str">
        <f t="shared" si="22"/>
        <v>Yes</v>
      </c>
      <c r="X118" s="88" t="str">
        <f t="shared" si="22"/>
        <v>No</v>
      </c>
      <c r="Y118" s="88" t="str">
        <f t="shared" si="22"/>
        <v>No</v>
      </c>
      <c r="Z118" s="88" t="str">
        <f t="shared" si="22"/>
        <v>No</v>
      </c>
      <c r="AA118" s="88" t="str">
        <f t="shared" si="22"/>
        <v>No</v>
      </c>
      <c r="AB118" s="88" t="str">
        <f t="shared" si="23"/>
        <v>Yes</v>
      </c>
      <c r="AC118" s="88" t="str">
        <f t="shared" si="23"/>
        <v>No</v>
      </c>
      <c r="AD118" s="88" t="str">
        <f t="shared" si="23"/>
        <v>Yes</v>
      </c>
      <c r="AE118" s="88" t="str">
        <f t="shared" si="23"/>
        <v>No</v>
      </c>
      <c r="AF118" s="88" t="str">
        <f t="shared" si="23"/>
        <v>No</v>
      </c>
      <c r="AG118" s="88" t="str">
        <f t="shared" si="23"/>
        <v>No</v>
      </c>
      <c r="AH118" s="88" t="str">
        <f t="shared" si="23"/>
        <v>No</v>
      </c>
      <c r="AI118" s="88" t="str">
        <f t="shared" si="23"/>
        <v>No</v>
      </c>
      <c r="AJ118" s="88" t="str">
        <f t="shared" si="23"/>
        <v>Yes</v>
      </c>
      <c r="AK118" s="88" t="str">
        <f t="shared" si="23"/>
        <v>No</v>
      </c>
      <c r="AL118" s="88" t="str">
        <f t="shared" si="23"/>
        <v>No</v>
      </c>
      <c r="AM118" s="88" t="str">
        <f t="shared" si="23"/>
        <v>Yes</v>
      </c>
      <c r="AN118" s="88" t="str">
        <f t="shared" si="23"/>
        <v>No</v>
      </c>
      <c r="AO118" s="91" t="str">
        <f t="shared" si="23"/>
        <v>No</v>
      </c>
      <c r="AP118" s="109" t="s">
        <v>220</v>
      </c>
      <c r="AQ118" s="88">
        <v>118</v>
      </c>
      <c r="AR118" s="88" t="s">
        <v>347</v>
      </c>
      <c r="AS118" s="88" t="s">
        <v>347</v>
      </c>
      <c r="AT118" s="88" t="s">
        <v>347</v>
      </c>
      <c r="AU118" s="88" t="s">
        <v>347</v>
      </c>
      <c r="AV118" s="88" t="s">
        <v>347</v>
      </c>
      <c r="AW118" s="88" t="s">
        <v>347</v>
      </c>
      <c r="AX118" s="88" t="s">
        <v>347</v>
      </c>
      <c r="AY118" s="88" t="s">
        <v>346</v>
      </c>
      <c r="AZ118" s="88" t="s">
        <v>347</v>
      </c>
      <c r="BA118" s="88" t="s">
        <v>347</v>
      </c>
      <c r="BB118" s="88" t="s">
        <v>346</v>
      </c>
      <c r="BC118" s="88" t="s">
        <v>347</v>
      </c>
      <c r="BD118" s="88" t="s">
        <v>347</v>
      </c>
      <c r="BE118" s="88" t="s">
        <v>346</v>
      </c>
      <c r="BF118" s="88" t="s">
        <v>346</v>
      </c>
      <c r="BG118" s="88" t="s">
        <v>347</v>
      </c>
      <c r="BH118" s="88" t="s">
        <v>347</v>
      </c>
      <c r="BI118" s="88" t="s">
        <v>347</v>
      </c>
      <c r="BJ118" s="88" t="s">
        <v>346</v>
      </c>
      <c r="BK118" s="88" t="s">
        <v>347</v>
      </c>
      <c r="BL118" s="88" t="s">
        <v>347</v>
      </c>
      <c r="BM118" s="88" t="s">
        <v>347</v>
      </c>
      <c r="BN118" s="88" t="s">
        <v>347</v>
      </c>
      <c r="BO118" s="88" t="s">
        <v>347</v>
      </c>
      <c r="BP118" s="88" t="s">
        <v>347</v>
      </c>
      <c r="BQ118" s="88" t="s">
        <v>347</v>
      </c>
      <c r="BR118" s="88" t="s">
        <v>347</v>
      </c>
      <c r="BS118" s="88" t="s">
        <v>347</v>
      </c>
      <c r="BT118" s="88" t="s">
        <v>347</v>
      </c>
      <c r="BU118" s="88" t="s">
        <v>347</v>
      </c>
      <c r="BV118" s="88" t="s">
        <v>347</v>
      </c>
      <c r="BW118" s="88" t="s">
        <v>347</v>
      </c>
      <c r="BX118" s="88" t="s">
        <v>347</v>
      </c>
      <c r="BY118" s="88" t="s">
        <v>347</v>
      </c>
      <c r="BZ118" s="91" t="s">
        <v>347</v>
      </c>
    </row>
    <row r="119" spans="1:78" s="2" customFormat="1" x14ac:dyDescent="0.25">
      <c r="A119" s="109" t="s">
        <v>232</v>
      </c>
      <c r="B119" s="88" t="s">
        <v>347</v>
      </c>
      <c r="C119" s="88" t="s">
        <v>346</v>
      </c>
      <c r="D119" s="88" t="s">
        <v>346</v>
      </c>
      <c r="E119" s="88" t="s">
        <v>347</v>
      </c>
      <c r="F119" s="88" t="s">
        <v>347</v>
      </c>
      <c r="G119" s="88" t="s">
        <v>347</v>
      </c>
      <c r="H119" s="88" t="s">
        <v>347</v>
      </c>
      <c r="I119" s="88" t="s">
        <v>347</v>
      </c>
      <c r="J119" s="91" t="s">
        <v>346</v>
      </c>
      <c r="K119" s="109" t="s">
        <v>232</v>
      </c>
      <c r="L119" s="88" t="str">
        <f>LOOKUP($K119,PantheonList!$A$18:$A$139,PantheonList!$B$18:$B$139)</f>
        <v>Awareness</v>
      </c>
      <c r="M119" s="88" t="str">
        <f>LOOKUP($K119,PantheonList!$A$18:$A$139,PantheonList!$C$18:$C$139)</f>
        <v>Brawl</v>
      </c>
      <c r="N119" s="88" t="str">
        <f>LOOKUP($K119,PantheonList!$A$18:$A$139,PantheonList!$D$18:$D$139)</f>
        <v>Fortitude</v>
      </c>
      <c r="O119" s="88" t="str">
        <f>LOOKUP($K119,PantheonList!$A$18:$A$139,PantheonList!$E$18:$E$139)</f>
        <v>Investigation</v>
      </c>
      <c r="P119" s="88" t="str">
        <f>LOOKUP($K119,PantheonList!$A$18:$A$139,PantheonList!$F$18:$F$139)</f>
        <v>Politics</v>
      </c>
      <c r="Q119" s="88" t="str">
        <f>LOOKUP($K119,PantheonList!$A$18:$A$139,PantheonList!$G$18:$G$139)</f>
        <v>Stealth</v>
      </c>
      <c r="R119" s="88" t="str">
        <f t="shared" si="22"/>
        <v>No</v>
      </c>
      <c r="S119" s="88" t="str">
        <f t="shared" si="22"/>
        <v>No</v>
      </c>
      <c r="T119" s="88" t="str">
        <f t="shared" si="22"/>
        <v>No</v>
      </c>
      <c r="U119" s="88" t="str">
        <f t="shared" si="22"/>
        <v>No</v>
      </c>
      <c r="V119" s="88" t="str">
        <f t="shared" si="22"/>
        <v>Yes</v>
      </c>
      <c r="W119" s="88" t="str">
        <f t="shared" si="22"/>
        <v>Yes</v>
      </c>
      <c r="X119" s="88" t="str">
        <f t="shared" si="22"/>
        <v>No</v>
      </c>
      <c r="Y119" s="88" t="str">
        <f t="shared" si="22"/>
        <v>No</v>
      </c>
      <c r="Z119" s="88" t="str">
        <f t="shared" si="22"/>
        <v>No</v>
      </c>
      <c r="AA119" s="88" t="str">
        <f t="shared" si="22"/>
        <v>No</v>
      </c>
      <c r="AB119" s="88" t="str">
        <f t="shared" si="23"/>
        <v>Yes</v>
      </c>
      <c r="AC119" s="88" t="str">
        <f t="shared" si="23"/>
        <v>No</v>
      </c>
      <c r="AD119" s="88" t="str">
        <f t="shared" si="23"/>
        <v>Yes</v>
      </c>
      <c r="AE119" s="88" t="str">
        <f t="shared" si="23"/>
        <v>No</v>
      </c>
      <c r="AF119" s="88" t="str">
        <f t="shared" si="23"/>
        <v>No</v>
      </c>
      <c r="AG119" s="88" t="str">
        <f t="shared" si="23"/>
        <v>No</v>
      </c>
      <c r="AH119" s="88" t="str">
        <f t="shared" si="23"/>
        <v>No</v>
      </c>
      <c r="AI119" s="88" t="str">
        <f t="shared" si="23"/>
        <v>No</v>
      </c>
      <c r="AJ119" s="88" t="str">
        <f t="shared" si="23"/>
        <v>Yes</v>
      </c>
      <c r="AK119" s="88" t="str">
        <f t="shared" si="23"/>
        <v>No</v>
      </c>
      <c r="AL119" s="88" t="str">
        <f t="shared" si="23"/>
        <v>No</v>
      </c>
      <c r="AM119" s="88" t="str">
        <f t="shared" si="23"/>
        <v>Yes</v>
      </c>
      <c r="AN119" s="88" t="str">
        <f t="shared" si="23"/>
        <v>No</v>
      </c>
      <c r="AO119" s="91" t="str">
        <f t="shared" si="23"/>
        <v>No</v>
      </c>
      <c r="AP119" s="109" t="s">
        <v>232</v>
      </c>
      <c r="AQ119" s="88">
        <v>119</v>
      </c>
      <c r="AR119" s="88" t="s">
        <v>346</v>
      </c>
      <c r="AS119" s="88" t="s">
        <v>347</v>
      </c>
      <c r="AT119" s="88" t="s">
        <v>347</v>
      </c>
      <c r="AU119" s="88" t="s">
        <v>347</v>
      </c>
      <c r="AV119" s="88" t="s">
        <v>347</v>
      </c>
      <c r="AW119" s="88" t="s">
        <v>347</v>
      </c>
      <c r="AX119" s="88" t="s">
        <v>347</v>
      </c>
      <c r="AY119" s="88" t="s">
        <v>347</v>
      </c>
      <c r="AZ119" s="88" t="s">
        <v>347</v>
      </c>
      <c r="BA119" s="88" t="s">
        <v>347</v>
      </c>
      <c r="BB119" s="88" t="s">
        <v>347</v>
      </c>
      <c r="BC119" s="88" t="s">
        <v>347</v>
      </c>
      <c r="BD119" s="88" t="s">
        <v>347</v>
      </c>
      <c r="BE119" s="88" t="s">
        <v>347</v>
      </c>
      <c r="BF119" s="88" t="s">
        <v>346</v>
      </c>
      <c r="BG119" s="88" t="s">
        <v>347</v>
      </c>
      <c r="BH119" s="88" t="s">
        <v>347</v>
      </c>
      <c r="BI119" s="88" t="s">
        <v>347</v>
      </c>
      <c r="BJ119" s="88" t="s">
        <v>347</v>
      </c>
      <c r="BK119" s="88" t="s">
        <v>347</v>
      </c>
      <c r="BL119" s="88" t="s">
        <v>346</v>
      </c>
      <c r="BM119" s="88" t="s">
        <v>346</v>
      </c>
      <c r="BN119" s="88" t="s">
        <v>347</v>
      </c>
      <c r="BO119" s="88" t="s">
        <v>347</v>
      </c>
      <c r="BP119" s="88" t="s">
        <v>347</v>
      </c>
      <c r="BQ119" s="88" t="s">
        <v>347</v>
      </c>
      <c r="BR119" s="88" t="s">
        <v>347</v>
      </c>
      <c r="BS119" s="88" t="s">
        <v>347</v>
      </c>
      <c r="BT119" s="88" t="s">
        <v>347</v>
      </c>
      <c r="BU119" s="88" t="s">
        <v>347</v>
      </c>
      <c r="BV119" s="88" t="s">
        <v>347</v>
      </c>
      <c r="BW119" s="88" t="s">
        <v>346</v>
      </c>
      <c r="BX119" s="88" t="s">
        <v>347</v>
      </c>
      <c r="BY119" s="88" t="s">
        <v>347</v>
      </c>
      <c r="BZ119" s="91" t="s">
        <v>347</v>
      </c>
    </row>
    <row r="120" spans="1:78" s="2" customFormat="1" x14ac:dyDescent="0.25">
      <c r="A120" s="109" t="s">
        <v>245</v>
      </c>
      <c r="B120" s="88" t="s">
        <v>347</v>
      </c>
      <c r="C120" s="88" t="s">
        <v>347</v>
      </c>
      <c r="D120" s="88" t="s">
        <v>346</v>
      </c>
      <c r="E120" s="88" t="s">
        <v>347</v>
      </c>
      <c r="F120" s="88" t="s">
        <v>347</v>
      </c>
      <c r="G120" s="88" t="s">
        <v>347</v>
      </c>
      <c r="H120" s="88" t="s">
        <v>347</v>
      </c>
      <c r="I120" s="88" t="s">
        <v>346</v>
      </c>
      <c r="J120" s="91" t="s">
        <v>347</v>
      </c>
      <c r="K120" s="109" t="s">
        <v>245</v>
      </c>
      <c r="L120" s="88" t="str">
        <f>LOOKUP($K120,PantheonList!$A$18:$A$139,PantheonList!$B$18:$B$139)</f>
        <v>Awareness</v>
      </c>
      <c r="M120" s="88" t="str">
        <f>LOOKUP($K120,PantheonList!$A$18:$A$139,PantheonList!$C$18:$C$139)</f>
        <v>Brawl</v>
      </c>
      <c r="N120" s="88" t="str">
        <f>LOOKUP($K120,PantheonList!$A$18:$A$139,PantheonList!$D$18:$D$139)</f>
        <v>Fortitude</v>
      </c>
      <c r="O120" s="88" t="str">
        <f>LOOKUP($K120,PantheonList!$A$18:$A$139,PantheonList!$E$18:$E$139)</f>
        <v>Investigation</v>
      </c>
      <c r="P120" s="88" t="str">
        <f>LOOKUP($K120,PantheonList!$A$18:$A$139,PantheonList!$F$18:$F$139)</f>
        <v>Politics</v>
      </c>
      <c r="Q120" s="88" t="str">
        <f>LOOKUP($K120,PantheonList!$A$18:$A$139,PantheonList!$G$18:$G$139)</f>
        <v>Stealth</v>
      </c>
      <c r="R120" s="88" t="str">
        <f t="shared" si="22"/>
        <v>No</v>
      </c>
      <c r="S120" s="88" t="str">
        <f t="shared" si="22"/>
        <v>No</v>
      </c>
      <c r="T120" s="88" t="str">
        <f t="shared" si="22"/>
        <v>No</v>
      </c>
      <c r="U120" s="88" t="str">
        <f t="shared" si="22"/>
        <v>No</v>
      </c>
      <c r="V120" s="88" t="str">
        <f t="shared" si="22"/>
        <v>Yes</v>
      </c>
      <c r="W120" s="88" t="str">
        <f t="shared" si="22"/>
        <v>Yes</v>
      </c>
      <c r="X120" s="88" t="str">
        <f t="shared" si="22"/>
        <v>No</v>
      </c>
      <c r="Y120" s="88" t="str">
        <f t="shared" si="22"/>
        <v>No</v>
      </c>
      <c r="Z120" s="88" t="str">
        <f t="shared" si="22"/>
        <v>No</v>
      </c>
      <c r="AA120" s="88" t="str">
        <f t="shared" si="22"/>
        <v>No</v>
      </c>
      <c r="AB120" s="88" t="str">
        <f t="shared" si="23"/>
        <v>Yes</v>
      </c>
      <c r="AC120" s="88" t="str">
        <f t="shared" si="23"/>
        <v>No</v>
      </c>
      <c r="AD120" s="88" t="str">
        <f t="shared" si="23"/>
        <v>Yes</v>
      </c>
      <c r="AE120" s="88" t="str">
        <f t="shared" si="23"/>
        <v>No</v>
      </c>
      <c r="AF120" s="88" t="str">
        <f t="shared" si="23"/>
        <v>No</v>
      </c>
      <c r="AG120" s="88" t="str">
        <f t="shared" si="23"/>
        <v>No</v>
      </c>
      <c r="AH120" s="88" t="str">
        <f t="shared" si="23"/>
        <v>No</v>
      </c>
      <c r="AI120" s="88" t="str">
        <f t="shared" si="23"/>
        <v>No</v>
      </c>
      <c r="AJ120" s="88" t="str">
        <f t="shared" si="23"/>
        <v>Yes</v>
      </c>
      <c r="AK120" s="88" t="str">
        <f t="shared" si="23"/>
        <v>No</v>
      </c>
      <c r="AL120" s="88" t="str">
        <f t="shared" si="23"/>
        <v>No</v>
      </c>
      <c r="AM120" s="88" t="str">
        <f t="shared" si="23"/>
        <v>Yes</v>
      </c>
      <c r="AN120" s="88" t="str">
        <f t="shared" si="23"/>
        <v>No</v>
      </c>
      <c r="AO120" s="91" t="str">
        <f t="shared" si="23"/>
        <v>No</v>
      </c>
      <c r="AP120" s="109" t="s">
        <v>245</v>
      </c>
      <c r="AQ120" s="88">
        <v>120</v>
      </c>
      <c r="AR120" s="88" t="s">
        <v>347</v>
      </c>
      <c r="AS120" s="88" t="s">
        <v>347</v>
      </c>
      <c r="AT120" s="88" t="s">
        <v>347</v>
      </c>
      <c r="AU120" s="88" t="s">
        <v>347</v>
      </c>
      <c r="AV120" s="88" t="s">
        <v>347</v>
      </c>
      <c r="AW120" s="88" t="s">
        <v>347</v>
      </c>
      <c r="AX120" s="88" t="s">
        <v>347</v>
      </c>
      <c r="AY120" s="88" t="s">
        <v>346</v>
      </c>
      <c r="AZ120" s="88" t="s">
        <v>346</v>
      </c>
      <c r="BA120" s="88" t="s">
        <v>347</v>
      </c>
      <c r="BB120" s="88" t="s">
        <v>347</v>
      </c>
      <c r="BC120" s="88" t="s">
        <v>347</v>
      </c>
      <c r="BD120" s="88" t="s">
        <v>347</v>
      </c>
      <c r="BE120" s="88" t="s">
        <v>347</v>
      </c>
      <c r="BF120" s="88" t="s">
        <v>347</v>
      </c>
      <c r="BG120" s="88" t="s">
        <v>347</v>
      </c>
      <c r="BH120" s="88" t="s">
        <v>347</v>
      </c>
      <c r="BI120" s="88" t="s">
        <v>347</v>
      </c>
      <c r="BJ120" s="88" t="s">
        <v>347</v>
      </c>
      <c r="BK120" s="88" t="s">
        <v>347</v>
      </c>
      <c r="BL120" s="88" t="s">
        <v>346</v>
      </c>
      <c r="BM120" s="88" t="s">
        <v>347</v>
      </c>
      <c r="BN120" s="88" t="s">
        <v>347</v>
      </c>
      <c r="BO120" s="88" t="s">
        <v>347</v>
      </c>
      <c r="BP120" s="88" t="s">
        <v>347</v>
      </c>
      <c r="BQ120" s="88" t="s">
        <v>346</v>
      </c>
      <c r="BR120" s="88" t="s">
        <v>346</v>
      </c>
      <c r="BS120" s="88" t="s">
        <v>347</v>
      </c>
      <c r="BT120" s="88" t="s">
        <v>347</v>
      </c>
      <c r="BU120" s="88" t="s">
        <v>347</v>
      </c>
      <c r="BV120" s="88" t="s">
        <v>347</v>
      </c>
      <c r="BW120" s="88" t="s">
        <v>347</v>
      </c>
      <c r="BX120" s="88" t="s">
        <v>347</v>
      </c>
      <c r="BY120" s="88" t="s">
        <v>347</v>
      </c>
      <c r="BZ120" s="91" t="s">
        <v>347</v>
      </c>
    </row>
    <row r="121" spans="1:78" s="2" customFormat="1" x14ac:dyDescent="0.25">
      <c r="A121" s="109" t="s">
        <v>233</v>
      </c>
      <c r="B121" s="88" t="s">
        <v>347</v>
      </c>
      <c r="C121" s="88" t="s">
        <v>347</v>
      </c>
      <c r="D121" s="88" t="s">
        <v>347</v>
      </c>
      <c r="E121" s="88" t="s">
        <v>347</v>
      </c>
      <c r="F121" s="88" t="s">
        <v>346</v>
      </c>
      <c r="G121" s="88" t="s">
        <v>347</v>
      </c>
      <c r="H121" s="88" t="s">
        <v>346</v>
      </c>
      <c r="I121" s="88" t="s">
        <v>347</v>
      </c>
      <c r="J121" s="91" t="s">
        <v>347</v>
      </c>
      <c r="K121" s="109" t="s">
        <v>233</v>
      </c>
      <c r="L121" s="88" t="str">
        <f>LOOKUP($K121,PantheonList!$A$18:$A$139,PantheonList!$B$18:$B$139)</f>
        <v>Awareness</v>
      </c>
      <c r="M121" s="88" t="str">
        <f>LOOKUP($K121,PantheonList!$A$18:$A$139,PantheonList!$C$18:$C$139)</f>
        <v>Brawl</v>
      </c>
      <c r="N121" s="88" t="str">
        <f>LOOKUP($K121,PantheonList!$A$18:$A$139,PantheonList!$D$18:$D$139)</f>
        <v>Fortitude</v>
      </c>
      <c r="O121" s="88" t="str">
        <f>LOOKUP($K121,PantheonList!$A$18:$A$139,PantheonList!$E$18:$E$139)</f>
        <v>Investigation</v>
      </c>
      <c r="P121" s="88" t="str">
        <f>LOOKUP($K121,PantheonList!$A$18:$A$139,PantheonList!$F$18:$F$139)</f>
        <v>Politics</v>
      </c>
      <c r="Q121" s="88" t="str">
        <f>LOOKUP($K121,PantheonList!$A$18:$A$139,PantheonList!$G$18:$G$139)</f>
        <v>Stealth</v>
      </c>
      <c r="R121" s="88" t="str">
        <f t="shared" si="22"/>
        <v>No</v>
      </c>
      <c r="S121" s="88" t="str">
        <f t="shared" si="22"/>
        <v>No</v>
      </c>
      <c r="T121" s="88" t="str">
        <f t="shared" si="22"/>
        <v>No</v>
      </c>
      <c r="U121" s="88" t="str">
        <f t="shared" si="22"/>
        <v>No</v>
      </c>
      <c r="V121" s="88" t="str">
        <f t="shared" si="22"/>
        <v>Yes</v>
      </c>
      <c r="W121" s="88" t="str">
        <f t="shared" si="22"/>
        <v>Yes</v>
      </c>
      <c r="X121" s="88" t="str">
        <f t="shared" si="22"/>
        <v>No</v>
      </c>
      <c r="Y121" s="88" t="str">
        <f t="shared" si="22"/>
        <v>No</v>
      </c>
      <c r="Z121" s="88" t="str">
        <f t="shared" si="22"/>
        <v>No</v>
      </c>
      <c r="AA121" s="88" t="str">
        <f t="shared" si="22"/>
        <v>No</v>
      </c>
      <c r="AB121" s="88" t="str">
        <f t="shared" si="23"/>
        <v>Yes</v>
      </c>
      <c r="AC121" s="88" t="str">
        <f t="shared" si="23"/>
        <v>No</v>
      </c>
      <c r="AD121" s="88" t="str">
        <f t="shared" si="23"/>
        <v>Yes</v>
      </c>
      <c r="AE121" s="88" t="str">
        <f t="shared" si="23"/>
        <v>No</v>
      </c>
      <c r="AF121" s="88" t="str">
        <f t="shared" si="23"/>
        <v>No</v>
      </c>
      <c r="AG121" s="88" t="str">
        <f t="shared" si="23"/>
        <v>No</v>
      </c>
      <c r="AH121" s="88" t="str">
        <f t="shared" si="23"/>
        <v>No</v>
      </c>
      <c r="AI121" s="88" t="str">
        <f t="shared" si="23"/>
        <v>No</v>
      </c>
      <c r="AJ121" s="88" t="str">
        <f t="shared" si="23"/>
        <v>Yes</v>
      </c>
      <c r="AK121" s="88" t="str">
        <f t="shared" si="23"/>
        <v>No</v>
      </c>
      <c r="AL121" s="88" t="str">
        <f t="shared" si="23"/>
        <v>No</v>
      </c>
      <c r="AM121" s="88" t="str">
        <f t="shared" si="23"/>
        <v>Yes</v>
      </c>
      <c r="AN121" s="88" t="str">
        <f t="shared" si="23"/>
        <v>No</v>
      </c>
      <c r="AO121" s="91" t="str">
        <f t="shared" si="23"/>
        <v>No</v>
      </c>
      <c r="AP121" s="109" t="s">
        <v>233</v>
      </c>
      <c r="AQ121" s="88">
        <v>121</v>
      </c>
      <c r="AR121" s="88" t="s">
        <v>347</v>
      </c>
      <c r="AS121" s="88" t="s">
        <v>347</v>
      </c>
      <c r="AT121" s="88" t="s">
        <v>347</v>
      </c>
      <c r="AU121" s="88" t="s">
        <v>347</v>
      </c>
      <c r="AV121" s="88" t="s">
        <v>347</v>
      </c>
      <c r="AW121" s="88" t="s">
        <v>347</v>
      </c>
      <c r="AX121" s="88" t="s">
        <v>346</v>
      </c>
      <c r="AY121" s="88" t="s">
        <v>346</v>
      </c>
      <c r="AZ121" s="88" t="s">
        <v>347</v>
      </c>
      <c r="BA121" s="88" t="s">
        <v>347</v>
      </c>
      <c r="BB121" s="88" t="s">
        <v>347</v>
      </c>
      <c r="BC121" s="88" t="s">
        <v>347</v>
      </c>
      <c r="BD121" s="88" t="s">
        <v>347</v>
      </c>
      <c r="BE121" s="88" t="s">
        <v>347</v>
      </c>
      <c r="BF121" s="88" t="s">
        <v>347</v>
      </c>
      <c r="BG121" s="88" t="s">
        <v>347</v>
      </c>
      <c r="BH121" s="88" t="s">
        <v>347</v>
      </c>
      <c r="BI121" s="88" t="s">
        <v>347</v>
      </c>
      <c r="BJ121" s="88" t="s">
        <v>347</v>
      </c>
      <c r="BK121" s="88" t="s">
        <v>347</v>
      </c>
      <c r="BL121" s="88" t="s">
        <v>346</v>
      </c>
      <c r="BM121" s="88" t="s">
        <v>347</v>
      </c>
      <c r="BN121" s="88" t="s">
        <v>347</v>
      </c>
      <c r="BO121" s="88" t="s">
        <v>347</v>
      </c>
      <c r="BP121" s="88" t="s">
        <v>347</v>
      </c>
      <c r="BQ121" s="88" t="s">
        <v>347</v>
      </c>
      <c r="BR121" s="88" t="s">
        <v>347</v>
      </c>
      <c r="BS121" s="88" t="s">
        <v>347</v>
      </c>
      <c r="BT121" s="88" t="s">
        <v>347</v>
      </c>
      <c r="BU121" s="88" t="s">
        <v>347</v>
      </c>
      <c r="BV121" s="88" t="s">
        <v>347</v>
      </c>
      <c r="BW121" s="88" t="s">
        <v>346</v>
      </c>
      <c r="BX121" s="88" t="s">
        <v>347</v>
      </c>
      <c r="BY121" s="88" t="s">
        <v>347</v>
      </c>
      <c r="BZ121" s="91" t="s">
        <v>347</v>
      </c>
    </row>
    <row r="122" spans="1:78" s="2" customFormat="1" x14ac:dyDescent="0.25">
      <c r="A122" s="109" t="s">
        <v>299</v>
      </c>
      <c r="B122" s="88" t="s">
        <v>347</v>
      </c>
      <c r="C122" s="88" t="s">
        <v>347</v>
      </c>
      <c r="D122" s="88" t="s">
        <v>346</v>
      </c>
      <c r="E122" s="88" t="s">
        <v>347</v>
      </c>
      <c r="F122" s="88" t="s">
        <v>347</v>
      </c>
      <c r="G122" s="88" t="s">
        <v>347</v>
      </c>
      <c r="H122" s="88" t="s">
        <v>347</v>
      </c>
      <c r="I122" s="88" t="s">
        <v>347</v>
      </c>
      <c r="J122" s="91" t="s">
        <v>347</v>
      </c>
      <c r="K122" s="109" t="s">
        <v>299</v>
      </c>
      <c r="L122" s="88" t="str">
        <f>LOOKUP($K122,PantheonList!$A$18:$A$139,PantheonList!$B$18:$B$139)</f>
        <v>Awareness</v>
      </c>
      <c r="M122" s="88" t="str">
        <f>LOOKUP($K122,PantheonList!$A$18:$A$139,PantheonList!$C$18:$C$139)</f>
        <v>Brawl</v>
      </c>
      <c r="N122" s="88" t="str">
        <f>LOOKUP($K122,PantheonList!$A$18:$A$139,PantheonList!$D$18:$D$139)</f>
        <v>Fortitude</v>
      </c>
      <c r="O122" s="88" t="str">
        <f>LOOKUP($K122,PantheonList!$A$18:$A$139,PantheonList!$E$18:$E$139)</f>
        <v>Investigation</v>
      </c>
      <c r="P122" s="88" t="str">
        <f>LOOKUP($K122,PantheonList!$A$18:$A$139,PantheonList!$F$18:$F$139)</f>
        <v>Politics</v>
      </c>
      <c r="Q122" s="88" t="str">
        <f>LOOKUP($K122,PantheonList!$A$18:$A$139,PantheonList!$G$18:$G$139)</f>
        <v>Stealth</v>
      </c>
      <c r="R122" s="88" t="str">
        <f t="shared" si="22"/>
        <v>No</v>
      </c>
      <c r="S122" s="88" t="str">
        <f t="shared" si="22"/>
        <v>No</v>
      </c>
      <c r="T122" s="88" t="str">
        <f t="shared" si="22"/>
        <v>No</v>
      </c>
      <c r="U122" s="88" t="str">
        <f t="shared" si="22"/>
        <v>No</v>
      </c>
      <c r="V122" s="88" t="str">
        <f t="shared" si="22"/>
        <v>Yes</v>
      </c>
      <c r="W122" s="88" t="str">
        <f t="shared" si="22"/>
        <v>Yes</v>
      </c>
      <c r="X122" s="88" t="str">
        <f t="shared" si="22"/>
        <v>No</v>
      </c>
      <c r="Y122" s="88" t="str">
        <f t="shared" si="22"/>
        <v>No</v>
      </c>
      <c r="Z122" s="88" t="str">
        <f t="shared" si="22"/>
        <v>No</v>
      </c>
      <c r="AA122" s="88" t="str">
        <f t="shared" si="22"/>
        <v>No</v>
      </c>
      <c r="AB122" s="88" t="str">
        <f t="shared" si="23"/>
        <v>Yes</v>
      </c>
      <c r="AC122" s="88" t="str">
        <f t="shared" si="23"/>
        <v>No</v>
      </c>
      <c r="AD122" s="88" t="str">
        <f t="shared" si="23"/>
        <v>Yes</v>
      </c>
      <c r="AE122" s="88" t="str">
        <f t="shared" si="23"/>
        <v>No</v>
      </c>
      <c r="AF122" s="88" t="str">
        <f t="shared" si="23"/>
        <v>No</v>
      </c>
      <c r="AG122" s="88" t="str">
        <f t="shared" si="23"/>
        <v>No</v>
      </c>
      <c r="AH122" s="88" t="str">
        <f t="shared" si="23"/>
        <v>No</v>
      </c>
      <c r="AI122" s="88" t="str">
        <f t="shared" si="23"/>
        <v>No</v>
      </c>
      <c r="AJ122" s="88" t="str">
        <f t="shared" si="23"/>
        <v>Yes</v>
      </c>
      <c r="AK122" s="88" t="str">
        <f t="shared" si="23"/>
        <v>No</v>
      </c>
      <c r="AL122" s="88" t="str">
        <f t="shared" si="23"/>
        <v>No</v>
      </c>
      <c r="AM122" s="88" t="str">
        <f t="shared" si="23"/>
        <v>Yes</v>
      </c>
      <c r="AN122" s="88" t="str">
        <f t="shared" si="23"/>
        <v>No</v>
      </c>
      <c r="AO122" s="91" t="str">
        <f t="shared" si="23"/>
        <v>No</v>
      </c>
      <c r="AP122" s="109" t="s">
        <v>299</v>
      </c>
      <c r="AQ122" s="88">
        <v>122</v>
      </c>
      <c r="AR122" s="88" t="s">
        <v>347</v>
      </c>
      <c r="AS122" s="88" t="s">
        <v>347</v>
      </c>
      <c r="AT122" s="88" t="s">
        <v>346</v>
      </c>
      <c r="AU122" s="88" t="s">
        <v>347</v>
      </c>
      <c r="AV122" s="88" t="s">
        <v>347</v>
      </c>
      <c r="AW122" s="88" t="s">
        <v>347</v>
      </c>
      <c r="AX122" s="88" t="s">
        <v>347</v>
      </c>
      <c r="AY122" s="88" t="s">
        <v>347</v>
      </c>
      <c r="AZ122" s="88" t="s">
        <v>346</v>
      </c>
      <c r="BA122" s="88" t="s">
        <v>347</v>
      </c>
      <c r="BB122" s="88" t="s">
        <v>347</v>
      </c>
      <c r="BC122" s="88" t="s">
        <v>347</v>
      </c>
      <c r="BD122" s="88" t="s">
        <v>347</v>
      </c>
      <c r="BE122" s="88" t="s">
        <v>347</v>
      </c>
      <c r="BF122" s="88" t="s">
        <v>347</v>
      </c>
      <c r="BG122" s="88" t="s">
        <v>347</v>
      </c>
      <c r="BH122" s="88" t="s">
        <v>347</v>
      </c>
      <c r="BI122" s="88" t="s">
        <v>347</v>
      </c>
      <c r="BJ122" s="88" t="s">
        <v>347</v>
      </c>
      <c r="BK122" s="88" t="s">
        <v>347</v>
      </c>
      <c r="BL122" s="88" t="s">
        <v>347</v>
      </c>
      <c r="BM122" s="88" t="s">
        <v>347</v>
      </c>
      <c r="BN122" s="88" t="s">
        <v>347</v>
      </c>
      <c r="BO122" s="88" t="s">
        <v>346</v>
      </c>
      <c r="BP122" s="88" t="s">
        <v>347</v>
      </c>
      <c r="BQ122" s="88" t="s">
        <v>347</v>
      </c>
      <c r="BR122" s="88" t="s">
        <v>347</v>
      </c>
      <c r="BS122" s="88" t="s">
        <v>347</v>
      </c>
      <c r="BT122" s="88" t="s">
        <v>347</v>
      </c>
      <c r="BU122" s="88" t="s">
        <v>347</v>
      </c>
      <c r="BV122" s="88" t="s">
        <v>347</v>
      </c>
      <c r="BW122" s="88" t="s">
        <v>347</v>
      </c>
      <c r="BX122" s="88" t="s">
        <v>347</v>
      </c>
      <c r="BY122" s="88" t="s">
        <v>347</v>
      </c>
      <c r="BZ122" s="91" t="s">
        <v>347</v>
      </c>
    </row>
    <row r="123" spans="1:78" s="2" customFormat="1" x14ac:dyDescent="0.25">
      <c r="A123" s="109" t="s">
        <v>260</v>
      </c>
      <c r="B123" s="88" t="s">
        <v>346</v>
      </c>
      <c r="C123" s="88" t="s">
        <v>347</v>
      </c>
      <c r="D123" s="88" t="s">
        <v>347</v>
      </c>
      <c r="E123" s="88" t="s">
        <v>346</v>
      </c>
      <c r="F123" s="88" t="s">
        <v>346</v>
      </c>
      <c r="G123" s="88" t="s">
        <v>347</v>
      </c>
      <c r="H123" s="88" t="s">
        <v>347</v>
      </c>
      <c r="I123" s="88" t="s">
        <v>347</v>
      </c>
      <c r="J123" s="91" t="s">
        <v>347</v>
      </c>
      <c r="K123" s="109" t="s">
        <v>260</v>
      </c>
      <c r="L123" s="88" t="str">
        <f>LOOKUP($K123,PantheonList!$A$18:$A$139,PantheonList!$B$18:$B$139)</f>
        <v>Awareness</v>
      </c>
      <c r="M123" s="88" t="str">
        <f>LOOKUP($K123,PantheonList!$A$18:$A$139,PantheonList!$C$18:$C$139)</f>
        <v>Brawl</v>
      </c>
      <c r="N123" s="88" t="str">
        <f>LOOKUP($K123,PantheonList!$A$18:$A$139,PantheonList!$D$18:$D$139)</f>
        <v>Fortitude</v>
      </c>
      <c r="O123" s="88" t="str">
        <f>LOOKUP($K123,PantheonList!$A$18:$A$139,PantheonList!$E$18:$E$139)</f>
        <v>Investigation</v>
      </c>
      <c r="P123" s="88" t="str">
        <f>LOOKUP($K123,PantheonList!$A$18:$A$139,PantheonList!$F$18:$F$139)</f>
        <v>Politics</v>
      </c>
      <c r="Q123" s="88" t="str">
        <f>LOOKUP($K123,PantheonList!$A$18:$A$139,PantheonList!$G$18:$G$139)</f>
        <v>Stealth</v>
      </c>
      <c r="R123" s="88" t="str">
        <f t="shared" si="22"/>
        <v>No</v>
      </c>
      <c r="S123" s="88" t="str">
        <f t="shared" si="22"/>
        <v>No</v>
      </c>
      <c r="T123" s="88" t="str">
        <f t="shared" si="22"/>
        <v>No</v>
      </c>
      <c r="U123" s="88" t="str">
        <f t="shared" si="22"/>
        <v>No</v>
      </c>
      <c r="V123" s="88" t="str">
        <f t="shared" si="22"/>
        <v>Yes</v>
      </c>
      <c r="W123" s="88" t="str">
        <f t="shared" si="22"/>
        <v>Yes</v>
      </c>
      <c r="X123" s="88" t="str">
        <f t="shared" si="22"/>
        <v>No</v>
      </c>
      <c r="Y123" s="88" t="str">
        <f t="shared" si="22"/>
        <v>No</v>
      </c>
      <c r="Z123" s="88" t="str">
        <f t="shared" si="22"/>
        <v>No</v>
      </c>
      <c r="AA123" s="88" t="str">
        <f t="shared" si="22"/>
        <v>No</v>
      </c>
      <c r="AB123" s="88" t="str">
        <f t="shared" si="23"/>
        <v>Yes</v>
      </c>
      <c r="AC123" s="88" t="str">
        <f t="shared" si="23"/>
        <v>No</v>
      </c>
      <c r="AD123" s="88" t="str">
        <f t="shared" si="23"/>
        <v>Yes</v>
      </c>
      <c r="AE123" s="88" t="str">
        <f t="shared" si="23"/>
        <v>No</v>
      </c>
      <c r="AF123" s="88" t="str">
        <f t="shared" si="23"/>
        <v>No</v>
      </c>
      <c r="AG123" s="88" t="str">
        <f t="shared" si="23"/>
        <v>No</v>
      </c>
      <c r="AH123" s="88" t="str">
        <f t="shared" si="23"/>
        <v>No</v>
      </c>
      <c r="AI123" s="88" t="str">
        <f t="shared" si="23"/>
        <v>No</v>
      </c>
      <c r="AJ123" s="88" t="str">
        <f t="shared" si="23"/>
        <v>Yes</v>
      </c>
      <c r="AK123" s="88" t="str">
        <f t="shared" si="23"/>
        <v>No</v>
      </c>
      <c r="AL123" s="88" t="str">
        <f t="shared" si="23"/>
        <v>No</v>
      </c>
      <c r="AM123" s="88" t="str">
        <f t="shared" si="23"/>
        <v>Yes</v>
      </c>
      <c r="AN123" s="88" t="str">
        <f t="shared" si="23"/>
        <v>No</v>
      </c>
      <c r="AO123" s="91" t="str">
        <f t="shared" si="23"/>
        <v>No</v>
      </c>
      <c r="AP123" s="109" t="s">
        <v>260</v>
      </c>
      <c r="AQ123" s="88">
        <v>123</v>
      </c>
      <c r="AR123" s="88" t="s">
        <v>347</v>
      </c>
      <c r="AS123" s="88" t="s">
        <v>346</v>
      </c>
      <c r="AT123" s="88" t="s">
        <v>347</v>
      </c>
      <c r="AU123" s="88" t="s">
        <v>347</v>
      </c>
      <c r="AV123" s="88" t="s">
        <v>347</v>
      </c>
      <c r="AW123" s="88" t="s">
        <v>347</v>
      </c>
      <c r="AX123" s="88" t="s">
        <v>347</v>
      </c>
      <c r="AY123" s="88" t="s">
        <v>347</v>
      </c>
      <c r="AZ123" s="88" t="s">
        <v>347</v>
      </c>
      <c r="BA123" s="88" t="s">
        <v>347</v>
      </c>
      <c r="BB123" s="88" t="s">
        <v>347</v>
      </c>
      <c r="BC123" s="88" t="s">
        <v>347</v>
      </c>
      <c r="BD123" s="88" t="s">
        <v>347</v>
      </c>
      <c r="BE123" s="88" t="s">
        <v>347</v>
      </c>
      <c r="BF123" s="88" t="s">
        <v>347</v>
      </c>
      <c r="BG123" s="88" t="s">
        <v>347</v>
      </c>
      <c r="BH123" s="88" t="s">
        <v>347</v>
      </c>
      <c r="BI123" s="88" t="s">
        <v>347</v>
      </c>
      <c r="BJ123" s="88" t="s">
        <v>347</v>
      </c>
      <c r="BK123" s="88" t="s">
        <v>347</v>
      </c>
      <c r="BL123" s="88" t="s">
        <v>346</v>
      </c>
      <c r="BM123" s="88" t="s">
        <v>347</v>
      </c>
      <c r="BN123" s="88" t="s">
        <v>347</v>
      </c>
      <c r="BO123" s="88" t="s">
        <v>347</v>
      </c>
      <c r="BP123" s="88" t="s">
        <v>347</v>
      </c>
      <c r="BQ123" s="88" t="s">
        <v>347</v>
      </c>
      <c r="BR123" s="88" t="s">
        <v>347</v>
      </c>
      <c r="BS123" s="88" t="s">
        <v>347</v>
      </c>
      <c r="BT123" s="88" t="s">
        <v>346</v>
      </c>
      <c r="BU123" s="88" t="s">
        <v>347</v>
      </c>
      <c r="BV123" s="88" t="s">
        <v>347</v>
      </c>
      <c r="BW123" s="88" t="s">
        <v>347</v>
      </c>
      <c r="BX123" s="88" t="s">
        <v>347</v>
      </c>
      <c r="BY123" s="88" t="s">
        <v>347</v>
      </c>
      <c r="BZ123" s="91" t="s">
        <v>347</v>
      </c>
    </row>
    <row r="124" spans="1:78" x14ac:dyDescent="0.25">
      <c r="A124" s="109" t="s">
        <v>1336</v>
      </c>
      <c r="B124" s="88" t="s">
        <v>347</v>
      </c>
      <c r="C124" s="88" t="s">
        <v>347</v>
      </c>
      <c r="D124" s="88" t="s">
        <v>346</v>
      </c>
      <c r="E124" s="88" t="s">
        <v>346</v>
      </c>
      <c r="F124" s="88" t="s">
        <v>347</v>
      </c>
      <c r="G124" s="88" t="s">
        <v>347</v>
      </c>
      <c r="H124" s="88" t="s">
        <v>347</v>
      </c>
      <c r="I124" s="88" t="s">
        <v>346</v>
      </c>
      <c r="J124" s="91" t="s">
        <v>347</v>
      </c>
      <c r="K124" s="109" t="s">
        <v>1336</v>
      </c>
      <c r="L124" s="88" t="s">
        <v>41</v>
      </c>
      <c r="M124" s="88" t="s">
        <v>43</v>
      </c>
      <c r="N124" s="88" t="s">
        <v>47</v>
      </c>
      <c r="O124" s="88" t="s">
        <v>51</v>
      </c>
      <c r="P124" s="88" t="s">
        <v>58</v>
      </c>
      <c r="Q124" s="88" t="s">
        <v>53</v>
      </c>
      <c r="R124" s="88" t="s">
        <v>347</v>
      </c>
      <c r="S124" s="88" t="s">
        <v>347</v>
      </c>
      <c r="T124" s="88" t="s">
        <v>347</v>
      </c>
      <c r="U124" s="88" t="s">
        <v>347</v>
      </c>
      <c r="V124" s="88" t="s">
        <v>347</v>
      </c>
      <c r="W124" s="88" t="s">
        <v>347</v>
      </c>
      <c r="X124" s="88" t="s">
        <v>347</v>
      </c>
      <c r="Y124" s="88" t="s">
        <v>347</v>
      </c>
      <c r="Z124" s="88" t="s">
        <v>347</v>
      </c>
      <c r="AA124" s="88" t="s">
        <v>346</v>
      </c>
      <c r="AB124" s="88" t="s">
        <v>347</v>
      </c>
      <c r="AC124" s="88" t="s">
        <v>346</v>
      </c>
      <c r="AD124" s="88" t="s">
        <v>347</v>
      </c>
      <c r="AE124" s="88" t="s">
        <v>347</v>
      </c>
      <c r="AF124" s="88" t="s">
        <v>347</v>
      </c>
      <c r="AG124" s="88" t="s">
        <v>346</v>
      </c>
      <c r="AH124" s="88" t="s">
        <v>347</v>
      </c>
      <c r="AI124" s="88" t="s">
        <v>347</v>
      </c>
      <c r="AJ124" s="88"/>
      <c r="AK124" s="88" t="s">
        <v>346</v>
      </c>
      <c r="AL124" s="88" t="s">
        <v>346</v>
      </c>
      <c r="AM124" s="88" t="s">
        <v>347</v>
      </c>
      <c r="AN124" s="88" t="s">
        <v>346</v>
      </c>
      <c r="AO124" s="91" t="s">
        <v>347</v>
      </c>
      <c r="AP124" s="109" t="s">
        <v>1336</v>
      </c>
      <c r="AQ124" s="88">
        <v>124</v>
      </c>
      <c r="AR124" s="88" t="s">
        <v>347</v>
      </c>
      <c r="AS124" s="88" t="s">
        <v>347</v>
      </c>
      <c r="AT124" s="88" t="s">
        <v>347</v>
      </c>
      <c r="AU124" s="88" t="s">
        <v>347</v>
      </c>
      <c r="AV124" s="88" t="s">
        <v>347</v>
      </c>
      <c r="AW124" s="88" t="s">
        <v>347</v>
      </c>
      <c r="AX124" s="88" t="s">
        <v>347</v>
      </c>
      <c r="AY124" s="88" t="s">
        <v>347</v>
      </c>
      <c r="AZ124" s="88" t="s">
        <v>346</v>
      </c>
      <c r="BA124" s="88" t="s">
        <v>347</v>
      </c>
      <c r="BB124" s="88" t="s">
        <v>347</v>
      </c>
      <c r="BC124" s="88" t="s">
        <v>347</v>
      </c>
      <c r="BD124" s="88" t="s">
        <v>347</v>
      </c>
      <c r="BE124" s="88" t="s">
        <v>346</v>
      </c>
      <c r="BF124" s="88" t="s">
        <v>346</v>
      </c>
      <c r="BG124" s="88" t="s">
        <v>347</v>
      </c>
      <c r="BH124" s="88" t="s">
        <v>347</v>
      </c>
      <c r="BI124" s="88" t="s">
        <v>347</v>
      </c>
      <c r="BJ124" s="88" t="s">
        <v>347</v>
      </c>
      <c r="BK124" s="88" t="s">
        <v>347</v>
      </c>
      <c r="BL124" s="88" t="s">
        <v>347</v>
      </c>
      <c r="BM124" s="88" t="s">
        <v>347</v>
      </c>
      <c r="BN124" s="88" t="s">
        <v>347</v>
      </c>
      <c r="BO124" s="88" t="s">
        <v>347</v>
      </c>
      <c r="BP124" s="88" t="s">
        <v>347</v>
      </c>
      <c r="BQ124" s="88" t="s">
        <v>347</v>
      </c>
      <c r="BR124" s="88" t="s">
        <v>347</v>
      </c>
      <c r="BS124" s="88" t="s">
        <v>346</v>
      </c>
      <c r="BT124" s="88" t="s">
        <v>347</v>
      </c>
      <c r="BU124" s="88" t="s">
        <v>347</v>
      </c>
      <c r="BV124" s="88" t="s">
        <v>347</v>
      </c>
      <c r="BW124" s="88" t="s">
        <v>347</v>
      </c>
      <c r="BX124" s="88" t="s">
        <v>347</v>
      </c>
      <c r="BY124" s="88" t="s">
        <v>346</v>
      </c>
      <c r="BZ124" s="91" t="s">
        <v>347</v>
      </c>
    </row>
    <row r="125" spans="1:78" x14ac:dyDescent="0.25">
      <c r="A125" s="109" t="s">
        <v>1337</v>
      </c>
      <c r="B125" s="88" t="s">
        <v>347</v>
      </c>
      <c r="C125" s="88" t="s">
        <v>347</v>
      </c>
      <c r="D125" s="88" t="s">
        <v>346</v>
      </c>
      <c r="E125" s="88" t="s">
        <v>347</v>
      </c>
      <c r="F125" s="88" t="s">
        <v>347</v>
      </c>
      <c r="G125" s="88" t="s">
        <v>347</v>
      </c>
      <c r="H125" s="88" t="s">
        <v>347</v>
      </c>
      <c r="I125" s="88" t="s">
        <v>346</v>
      </c>
      <c r="J125" s="91" t="s">
        <v>347</v>
      </c>
      <c r="K125" s="109" t="s">
        <v>1337</v>
      </c>
      <c r="L125" s="88" t="s">
        <v>35</v>
      </c>
      <c r="M125" s="88" t="s">
        <v>38</v>
      </c>
      <c r="N125" s="88" t="s">
        <v>56</v>
      </c>
      <c r="O125" s="88" t="s">
        <v>44</v>
      </c>
      <c r="P125" s="88" t="s">
        <v>58</v>
      </c>
      <c r="Q125" s="88" t="s">
        <v>53</v>
      </c>
      <c r="R125" s="88" t="s">
        <v>346</v>
      </c>
      <c r="S125" s="88" t="s">
        <v>347</v>
      </c>
      <c r="T125" s="88" t="s">
        <v>347</v>
      </c>
      <c r="U125" s="88" t="s">
        <v>347</v>
      </c>
      <c r="V125" s="88" t="s">
        <v>346</v>
      </c>
      <c r="W125" s="88" t="s">
        <v>347</v>
      </c>
      <c r="X125" s="88" t="s">
        <v>347</v>
      </c>
      <c r="Y125" s="88" t="s">
        <v>346</v>
      </c>
      <c r="Z125" s="88" t="s">
        <v>347</v>
      </c>
      <c r="AA125" s="88" t="s">
        <v>347</v>
      </c>
      <c r="AB125" s="88" t="s">
        <v>347</v>
      </c>
      <c r="AC125" s="88" t="s">
        <v>347</v>
      </c>
      <c r="AD125" s="88" t="s">
        <v>346</v>
      </c>
      <c r="AE125" s="88" t="s">
        <v>347</v>
      </c>
      <c r="AF125" s="88" t="s">
        <v>347</v>
      </c>
      <c r="AG125" s="88" t="s">
        <v>347</v>
      </c>
      <c r="AH125" s="88" t="s">
        <v>347</v>
      </c>
      <c r="AI125" s="88" t="s">
        <v>347</v>
      </c>
      <c r="AJ125" s="88" t="s">
        <v>347</v>
      </c>
      <c r="AK125" s="88" t="s">
        <v>347</v>
      </c>
      <c r="AL125" s="88" t="s">
        <v>346</v>
      </c>
      <c r="AM125" s="88" t="s">
        <v>347</v>
      </c>
      <c r="AN125" s="88" t="s">
        <v>346</v>
      </c>
      <c r="AO125" s="91" t="s">
        <v>347</v>
      </c>
      <c r="AP125" s="109" t="s">
        <v>1337</v>
      </c>
      <c r="AQ125" s="88">
        <v>125</v>
      </c>
      <c r="AR125" s="88" t="s">
        <v>346</v>
      </c>
      <c r="AS125" s="88" t="s">
        <v>347</v>
      </c>
      <c r="AT125" s="88" t="s">
        <v>347</v>
      </c>
      <c r="AU125" s="88" t="s">
        <v>347</v>
      </c>
      <c r="AV125" s="88" t="s">
        <v>347</v>
      </c>
      <c r="AW125" s="88" t="s">
        <v>347</v>
      </c>
      <c r="AX125" s="88" t="s">
        <v>347</v>
      </c>
      <c r="AY125" s="88" t="s">
        <v>347</v>
      </c>
      <c r="AZ125" s="88" t="s">
        <v>346</v>
      </c>
      <c r="BA125" s="88" t="s">
        <v>347</v>
      </c>
      <c r="BB125" s="88" t="s">
        <v>347</v>
      </c>
      <c r="BC125" s="88" t="s">
        <v>347</v>
      </c>
      <c r="BD125" s="88" t="s">
        <v>347</v>
      </c>
      <c r="BE125" s="88" t="s">
        <v>347</v>
      </c>
      <c r="BF125" s="88" t="s">
        <v>347</v>
      </c>
      <c r="BG125" s="88" t="s">
        <v>347</v>
      </c>
      <c r="BH125" s="88" t="s">
        <v>347</v>
      </c>
      <c r="BI125" s="88" t="s">
        <v>347</v>
      </c>
      <c r="BJ125" s="88" t="s">
        <v>347</v>
      </c>
      <c r="BK125" s="88" t="s">
        <v>347</v>
      </c>
      <c r="BL125" s="88" t="s">
        <v>347</v>
      </c>
      <c r="BM125" s="88" t="s">
        <v>347</v>
      </c>
      <c r="BN125" s="88" t="s">
        <v>347</v>
      </c>
      <c r="BO125" s="88" t="s">
        <v>346</v>
      </c>
      <c r="BP125" s="88" t="s">
        <v>347</v>
      </c>
      <c r="BQ125" s="88" t="s">
        <v>346</v>
      </c>
      <c r="BR125" s="88" t="s">
        <v>347</v>
      </c>
      <c r="BS125" s="88" t="s">
        <v>346</v>
      </c>
      <c r="BT125" s="88" t="s">
        <v>347</v>
      </c>
      <c r="BU125" s="88" t="s">
        <v>347</v>
      </c>
      <c r="BV125" s="88" t="s">
        <v>347</v>
      </c>
      <c r="BW125" s="88" t="s">
        <v>347</v>
      </c>
      <c r="BX125" s="88" t="s">
        <v>347</v>
      </c>
      <c r="BY125" s="88" t="s">
        <v>347</v>
      </c>
      <c r="BZ125" s="91" t="s">
        <v>346</v>
      </c>
    </row>
    <row r="126" spans="1:78" x14ac:dyDescent="0.25">
      <c r="A126" s="109" t="s">
        <v>1338</v>
      </c>
      <c r="B126" s="88" t="s">
        <v>347</v>
      </c>
      <c r="C126" s="88" t="s">
        <v>347</v>
      </c>
      <c r="D126" s="88" t="s">
        <v>347</v>
      </c>
      <c r="E126" s="88" t="s">
        <v>347</v>
      </c>
      <c r="F126" s="88" t="s">
        <v>347</v>
      </c>
      <c r="G126" s="88" t="s">
        <v>346</v>
      </c>
      <c r="H126" s="88" t="s">
        <v>346</v>
      </c>
      <c r="I126" s="88" t="s">
        <v>347</v>
      </c>
      <c r="J126" s="91" t="s">
        <v>346</v>
      </c>
      <c r="K126" s="109" t="s">
        <v>1338</v>
      </c>
      <c r="L126" s="88" t="s">
        <v>38</v>
      </c>
      <c r="M126" s="88" t="s">
        <v>41</v>
      </c>
      <c r="N126" s="88" t="s">
        <v>43</v>
      </c>
      <c r="O126" s="88" t="s">
        <v>45</v>
      </c>
      <c r="P126" s="88" t="s">
        <v>49</v>
      </c>
      <c r="Q126" s="88" t="s">
        <v>52</v>
      </c>
      <c r="R126" s="88" t="s">
        <v>347</v>
      </c>
      <c r="S126" s="88" t="s">
        <v>347</v>
      </c>
      <c r="T126" s="88" t="s">
        <v>347</v>
      </c>
      <c r="U126" s="88" t="s">
        <v>347</v>
      </c>
      <c r="V126" s="88" t="s">
        <v>346</v>
      </c>
      <c r="W126" s="88" t="s">
        <v>347</v>
      </c>
      <c r="X126" s="88" t="s">
        <v>347</v>
      </c>
      <c r="Y126" s="88" t="s">
        <v>347</v>
      </c>
      <c r="Z126" s="88" t="s">
        <v>347</v>
      </c>
      <c r="AA126" s="88" t="s">
        <v>346</v>
      </c>
      <c r="AB126" s="88" t="s">
        <v>347</v>
      </c>
      <c r="AC126" s="88" t="s">
        <v>346</v>
      </c>
      <c r="AD126" s="88" t="s">
        <v>347</v>
      </c>
      <c r="AE126" s="88" t="s">
        <v>346</v>
      </c>
      <c r="AF126" s="88" t="s">
        <v>347</v>
      </c>
      <c r="AG126" s="88" t="s">
        <v>347</v>
      </c>
      <c r="AH126" s="88" t="s">
        <v>347</v>
      </c>
      <c r="AI126" s="88" t="s">
        <v>346</v>
      </c>
      <c r="AJ126" s="88" t="s">
        <v>347</v>
      </c>
      <c r="AK126" s="88" t="s">
        <v>347</v>
      </c>
      <c r="AL126" s="88" t="s">
        <v>347</v>
      </c>
      <c r="AM126" s="88" t="s">
        <v>346</v>
      </c>
      <c r="AN126" s="88" t="s">
        <v>347</v>
      </c>
      <c r="AO126" s="91" t="s">
        <v>347</v>
      </c>
      <c r="AP126" s="109" t="s">
        <v>1338</v>
      </c>
      <c r="AQ126" s="88">
        <v>126</v>
      </c>
      <c r="AR126" s="88" t="s">
        <v>346</v>
      </c>
      <c r="AS126" s="88" t="s">
        <v>347</v>
      </c>
      <c r="AT126" s="88" t="s">
        <v>347</v>
      </c>
      <c r="AU126" s="88" t="s">
        <v>347</v>
      </c>
      <c r="AV126" s="88" t="s">
        <v>347</v>
      </c>
      <c r="AW126" s="88" t="s">
        <v>347</v>
      </c>
      <c r="AX126" s="88" t="s">
        <v>346</v>
      </c>
      <c r="AY126" s="88" t="s">
        <v>347</v>
      </c>
      <c r="AZ126" s="88" t="s">
        <v>347</v>
      </c>
      <c r="BA126" s="88" t="s">
        <v>347</v>
      </c>
      <c r="BB126" s="88" t="s">
        <v>347</v>
      </c>
      <c r="BC126" s="88" t="s">
        <v>347</v>
      </c>
      <c r="BD126" s="88" t="s">
        <v>347</v>
      </c>
      <c r="BE126" s="88" t="s">
        <v>347</v>
      </c>
      <c r="BF126" s="88" t="s">
        <v>347</v>
      </c>
      <c r="BG126" s="88" t="s">
        <v>347</v>
      </c>
      <c r="BH126" s="88" t="s">
        <v>347</v>
      </c>
      <c r="BI126" s="88" t="s">
        <v>347</v>
      </c>
      <c r="BJ126" s="88" t="s">
        <v>347</v>
      </c>
      <c r="BK126" s="88" t="s">
        <v>347</v>
      </c>
      <c r="BL126" s="88" t="s">
        <v>347</v>
      </c>
      <c r="BM126" s="88" t="s">
        <v>346</v>
      </c>
      <c r="BN126" s="88" t="s">
        <v>346</v>
      </c>
      <c r="BO126" s="88" t="s">
        <v>346</v>
      </c>
      <c r="BP126" s="88" t="s">
        <v>347</v>
      </c>
      <c r="BQ126" s="88" t="s">
        <v>347</v>
      </c>
      <c r="BR126" s="88" t="s">
        <v>347</v>
      </c>
      <c r="BS126" s="88" t="s">
        <v>346</v>
      </c>
      <c r="BT126" s="88" t="s">
        <v>347</v>
      </c>
      <c r="BU126" s="88" t="s">
        <v>347</v>
      </c>
      <c r="BV126" s="88" t="s">
        <v>347</v>
      </c>
      <c r="BW126" s="88" t="s">
        <v>347</v>
      </c>
      <c r="BX126" s="88" t="s">
        <v>347</v>
      </c>
      <c r="BY126" s="88" t="s">
        <v>347</v>
      </c>
      <c r="BZ126" s="91" t="s">
        <v>347</v>
      </c>
    </row>
    <row r="127" spans="1:78" x14ac:dyDescent="0.25">
      <c r="A127" s="109" t="s">
        <v>1339</v>
      </c>
      <c r="B127" s="88" t="s">
        <v>346</v>
      </c>
      <c r="C127" s="88" t="s">
        <v>346</v>
      </c>
      <c r="D127" s="88" t="s">
        <v>347</v>
      </c>
      <c r="E127" s="88" t="s">
        <v>347</v>
      </c>
      <c r="F127" s="88" t="s">
        <v>347</v>
      </c>
      <c r="G127" s="88" t="s">
        <v>346</v>
      </c>
      <c r="H127" s="88" t="s">
        <v>347</v>
      </c>
      <c r="I127" s="88" t="s">
        <v>347</v>
      </c>
      <c r="J127" s="91" t="s">
        <v>347</v>
      </c>
      <c r="K127" s="109" t="s">
        <v>1339</v>
      </c>
      <c r="L127" s="88" t="s">
        <v>36</v>
      </c>
      <c r="M127" s="88" t="s">
        <v>37</v>
      </c>
      <c r="N127" s="88" t="s">
        <v>39</v>
      </c>
      <c r="O127" s="88" t="s">
        <v>48</v>
      </c>
      <c r="P127" s="88" t="s">
        <v>52</v>
      </c>
      <c r="Q127" s="88" t="s">
        <v>53</v>
      </c>
      <c r="R127" s="88" t="s">
        <v>347</v>
      </c>
      <c r="S127" s="88" t="s">
        <v>346</v>
      </c>
      <c r="T127" s="88" t="s">
        <v>347</v>
      </c>
      <c r="U127" s="88" t="s">
        <v>346</v>
      </c>
      <c r="V127" s="88" t="s">
        <v>347</v>
      </c>
      <c r="W127" s="88" t="s">
        <v>346</v>
      </c>
      <c r="X127" s="88" t="s">
        <v>347</v>
      </c>
      <c r="Y127" s="88" t="s">
        <v>347</v>
      </c>
      <c r="Z127" s="88" t="s">
        <v>347</v>
      </c>
      <c r="AA127" s="88" t="s">
        <v>347</v>
      </c>
      <c r="AB127" s="88" t="s">
        <v>347</v>
      </c>
      <c r="AC127" s="88" t="s">
        <v>347</v>
      </c>
      <c r="AD127" s="88" t="s">
        <v>347</v>
      </c>
      <c r="AE127" s="88" t="s">
        <v>347</v>
      </c>
      <c r="AF127" s="88" t="s">
        <v>347</v>
      </c>
      <c r="AG127" s="88" t="s">
        <v>347</v>
      </c>
      <c r="AH127" s="88" t="s">
        <v>346</v>
      </c>
      <c r="AI127" s="88" t="s">
        <v>347</v>
      </c>
      <c r="AJ127" s="88" t="s">
        <v>347</v>
      </c>
      <c r="AK127" s="88" t="s">
        <v>347</v>
      </c>
      <c r="AL127" s="88" t="s">
        <v>347</v>
      </c>
      <c r="AM127" s="88" t="s">
        <v>346</v>
      </c>
      <c r="AN127" s="88" t="s">
        <v>346</v>
      </c>
      <c r="AO127" s="91" t="s">
        <v>347</v>
      </c>
      <c r="AP127" s="109" t="s">
        <v>1339</v>
      </c>
      <c r="AQ127" s="88">
        <v>127</v>
      </c>
      <c r="AR127" s="88" t="s">
        <v>346</v>
      </c>
      <c r="AS127" s="88" t="s">
        <v>347</v>
      </c>
      <c r="AT127" s="88" t="s">
        <v>347</v>
      </c>
      <c r="AU127" s="88" t="s">
        <v>346</v>
      </c>
      <c r="AV127" s="88" t="s">
        <v>347</v>
      </c>
      <c r="AW127" s="88" t="s">
        <v>347</v>
      </c>
      <c r="AX127" s="88" t="s">
        <v>347</v>
      </c>
      <c r="AY127" s="88" t="s">
        <v>347</v>
      </c>
      <c r="AZ127" s="88" t="s">
        <v>347</v>
      </c>
      <c r="BA127" s="88" t="s">
        <v>347</v>
      </c>
      <c r="BB127" s="88" t="s">
        <v>346</v>
      </c>
      <c r="BC127" s="88" t="s">
        <v>347</v>
      </c>
      <c r="BD127" s="88" t="s">
        <v>347</v>
      </c>
      <c r="BE127" s="88" t="s">
        <v>347</v>
      </c>
      <c r="BF127" s="88" t="s">
        <v>347</v>
      </c>
      <c r="BG127" s="88" t="s">
        <v>347</v>
      </c>
      <c r="BH127" s="88" t="s">
        <v>347</v>
      </c>
      <c r="BI127" s="88" t="s">
        <v>347</v>
      </c>
      <c r="BJ127" s="88" t="s">
        <v>347</v>
      </c>
      <c r="BK127" s="88" t="s">
        <v>347</v>
      </c>
      <c r="BL127" s="88" t="s">
        <v>347</v>
      </c>
      <c r="BM127" s="88" t="s">
        <v>346</v>
      </c>
      <c r="BN127" s="88" t="s">
        <v>347</v>
      </c>
      <c r="BO127" s="88" t="s">
        <v>347</v>
      </c>
      <c r="BP127" s="88" t="s">
        <v>347</v>
      </c>
      <c r="BQ127" s="88" t="s">
        <v>347</v>
      </c>
      <c r="BR127" s="88" t="s">
        <v>347</v>
      </c>
      <c r="BS127" s="88" t="s">
        <v>346</v>
      </c>
      <c r="BT127" s="88" t="s">
        <v>347</v>
      </c>
      <c r="BU127" s="88" t="s">
        <v>347</v>
      </c>
      <c r="BV127" s="88" t="s">
        <v>347</v>
      </c>
      <c r="BW127" s="88" t="s">
        <v>347</v>
      </c>
      <c r="BX127" s="88" t="s">
        <v>347</v>
      </c>
      <c r="BY127" s="88" t="s">
        <v>347</v>
      </c>
      <c r="BZ127" s="91" t="s">
        <v>347</v>
      </c>
    </row>
    <row r="128" spans="1:78" x14ac:dyDescent="0.25">
      <c r="A128" s="109" t="s">
        <v>1340</v>
      </c>
      <c r="B128" s="88" t="s">
        <v>347</v>
      </c>
      <c r="C128" s="88" t="s">
        <v>346</v>
      </c>
      <c r="D128" s="88" t="s">
        <v>347</v>
      </c>
      <c r="E128" s="88" t="s">
        <v>347</v>
      </c>
      <c r="F128" s="88" t="s">
        <v>347</v>
      </c>
      <c r="G128" s="88" t="s">
        <v>347</v>
      </c>
      <c r="H128" s="88" t="s">
        <v>347</v>
      </c>
      <c r="I128" s="88" t="s">
        <v>346</v>
      </c>
      <c r="J128" s="91" t="s">
        <v>346</v>
      </c>
      <c r="K128" s="109" t="s">
        <v>1340</v>
      </c>
      <c r="L128" s="88" t="s">
        <v>35</v>
      </c>
      <c r="M128" s="88" t="s">
        <v>38</v>
      </c>
      <c r="N128" s="88" t="s">
        <v>44</v>
      </c>
      <c r="O128" s="88" t="s">
        <v>49</v>
      </c>
      <c r="P128" s="88" t="s">
        <v>58</v>
      </c>
      <c r="Q128" s="88" t="s">
        <v>52</v>
      </c>
      <c r="R128" s="88" t="s">
        <v>346</v>
      </c>
      <c r="S128" s="88" t="s">
        <v>347</v>
      </c>
      <c r="T128" s="88" t="s">
        <v>347</v>
      </c>
      <c r="U128" s="88" t="s">
        <v>347</v>
      </c>
      <c r="V128" s="88" t="s">
        <v>346</v>
      </c>
      <c r="W128" s="88" t="s">
        <v>347</v>
      </c>
      <c r="X128" s="88" t="s">
        <v>347</v>
      </c>
      <c r="Y128" s="88" t="s">
        <v>347</v>
      </c>
      <c r="Z128" s="88" t="s">
        <v>347</v>
      </c>
      <c r="AA128" s="88" t="s">
        <v>347</v>
      </c>
      <c r="AB128" s="88" t="s">
        <v>347</v>
      </c>
      <c r="AC128" s="88" t="s">
        <v>347</v>
      </c>
      <c r="AD128" s="88" t="s">
        <v>346</v>
      </c>
      <c r="AE128" s="88" t="s">
        <v>347</v>
      </c>
      <c r="AF128" s="88" t="s">
        <v>347</v>
      </c>
      <c r="AG128" s="88" t="s">
        <v>347</v>
      </c>
      <c r="AH128" s="88" t="s">
        <v>347</v>
      </c>
      <c r="AI128" s="88" t="s">
        <v>346</v>
      </c>
      <c r="AJ128" s="88" t="s">
        <v>347</v>
      </c>
      <c r="AK128" s="88" t="s">
        <v>347</v>
      </c>
      <c r="AL128" s="88" t="s">
        <v>346</v>
      </c>
      <c r="AM128" s="88" t="s">
        <v>346</v>
      </c>
      <c r="AN128" s="88" t="s">
        <v>347</v>
      </c>
      <c r="AO128" s="91" t="s">
        <v>347</v>
      </c>
      <c r="AP128" s="109" t="s">
        <v>1340</v>
      </c>
      <c r="AQ128" s="88">
        <v>128</v>
      </c>
      <c r="AR128" s="88" t="s">
        <v>347</v>
      </c>
      <c r="AS128" s="88" t="s">
        <v>347</v>
      </c>
      <c r="AT128" s="88" t="s">
        <v>347</v>
      </c>
      <c r="AU128" s="88" t="s">
        <v>347</v>
      </c>
      <c r="AV128" s="88" t="s">
        <v>347</v>
      </c>
      <c r="AW128" s="88" t="s">
        <v>347</v>
      </c>
      <c r="AX128" s="88" t="s">
        <v>347</v>
      </c>
      <c r="AY128" s="88" t="s">
        <v>347</v>
      </c>
      <c r="AZ128" s="88" t="s">
        <v>347</v>
      </c>
      <c r="BA128" s="88" t="s">
        <v>347</v>
      </c>
      <c r="BB128" s="88" t="s">
        <v>347</v>
      </c>
      <c r="BC128" s="88" t="s">
        <v>347</v>
      </c>
      <c r="BD128" s="88" t="s">
        <v>347</v>
      </c>
      <c r="BE128" s="88" t="s">
        <v>347</v>
      </c>
      <c r="BF128" s="88" t="s">
        <v>347</v>
      </c>
      <c r="BG128" s="88" t="s">
        <v>347</v>
      </c>
      <c r="BH128" s="88" t="s">
        <v>347</v>
      </c>
      <c r="BI128" s="88" t="s">
        <v>347</v>
      </c>
      <c r="BJ128" s="88" t="s">
        <v>347</v>
      </c>
      <c r="BK128" s="88" t="s">
        <v>347</v>
      </c>
      <c r="BL128" s="88" t="s">
        <v>347</v>
      </c>
      <c r="BM128" s="88" t="s">
        <v>347</v>
      </c>
      <c r="BN128" s="88" t="s">
        <v>347</v>
      </c>
      <c r="BO128" s="88" t="s">
        <v>347</v>
      </c>
      <c r="BP128" s="88" t="s">
        <v>347</v>
      </c>
      <c r="BQ128" s="88" t="s">
        <v>347</v>
      </c>
      <c r="BR128" s="88" t="s">
        <v>347</v>
      </c>
      <c r="BS128" s="88" t="s">
        <v>346</v>
      </c>
      <c r="BT128" s="88" t="s">
        <v>347</v>
      </c>
      <c r="BU128" s="88" t="s">
        <v>347</v>
      </c>
      <c r="BV128" s="88" t="s">
        <v>347</v>
      </c>
      <c r="BW128" s="88" t="s">
        <v>347</v>
      </c>
      <c r="BX128" s="88" t="s">
        <v>347</v>
      </c>
      <c r="BY128" s="88" t="s">
        <v>347</v>
      </c>
      <c r="BZ128" s="91" t="s">
        <v>347</v>
      </c>
    </row>
    <row r="129" spans="1:78" x14ac:dyDescent="0.25">
      <c r="A129" s="109" t="s">
        <v>1341</v>
      </c>
      <c r="B129" s="88" t="s">
        <v>347</v>
      </c>
      <c r="C129" s="88" t="s">
        <v>347</v>
      </c>
      <c r="D129" s="88" t="s">
        <v>347</v>
      </c>
      <c r="E129" s="88" t="s">
        <v>346</v>
      </c>
      <c r="F129" s="88" t="s">
        <v>347</v>
      </c>
      <c r="G129" s="88" t="s">
        <v>347</v>
      </c>
      <c r="H129" s="88" t="s">
        <v>347</v>
      </c>
      <c r="I129" s="88" t="s">
        <v>346</v>
      </c>
      <c r="J129" s="91" t="s">
        <v>346</v>
      </c>
      <c r="K129" s="109" t="s">
        <v>1341</v>
      </c>
      <c r="L129" s="88" t="s">
        <v>35</v>
      </c>
      <c r="M129" s="88" t="s">
        <v>55</v>
      </c>
      <c r="N129" s="88" t="s">
        <v>57</v>
      </c>
      <c r="O129" s="88" t="s">
        <v>43</v>
      </c>
      <c r="P129" s="88" t="s">
        <v>44</v>
      </c>
      <c r="Q129" s="88" t="s">
        <v>58</v>
      </c>
      <c r="R129" s="88" t="s">
        <v>346</v>
      </c>
      <c r="S129" s="88" t="s">
        <v>347</v>
      </c>
      <c r="T129" s="88" t="s">
        <v>346</v>
      </c>
      <c r="U129" s="88" t="s">
        <v>347</v>
      </c>
      <c r="V129" s="88" t="s">
        <v>347</v>
      </c>
      <c r="W129" s="88" t="s">
        <v>347</v>
      </c>
      <c r="X129" s="88" t="s">
        <v>347</v>
      </c>
      <c r="Y129" s="88" t="s">
        <v>347</v>
      </c>
      <c r="Z129" s="88" t="s">
        <v>346</v>
      </c>
      <c r="AA129" s="88" t="s">
        <v>347</v>
      </c>
      <c r="AB129" s="88" t="s">
        <v>347</v>
      </c>
      <c r="AC129" s="88" t="s">
        <v>346</v>
      </c>
      <c r="AD129" s="88" t="s">
        <v>346</v>
      </c>
      <c r="AE129" s="88" t="s">
        <v>347</v>
      </c>
      <c r="AF129" s="88" t="s">
        <v>347</v>
      </c>
      <c r="AG129" s="88" t="s">
        <v>347</v>
      </c>
      <c r="AH129" s="88" t="s">
        <v>347</v>
      </c>
      <c r="AI129" s="88" t="s">
        <v>347</v>
      </c>
      <c r="AJ129" s="88" t="s">
        <v>347</v>
      </c>
      <c r="AK129" s="88" t="s">
        <v>347</v>
      </c>
      <c r="AL129" s="88" t="s">
        <v>346</v>
      </c>
      <c r="AM129" s="88" t="s">
        <v>347</v>
      </c>
      <c r="AN129" s="88" t="s">
        <v>347</v>
      </c>
      <c r="AO129" s="91" t="s">
        <v>347</v>
      </c>
      <c r="AP129" s="109" t="s">
        <v>1341</v>
      </c>
      <c r="AQ129" s="88">
        <v>129</v>
      </c>
      <c r="AR129" s="88" t="s">
        <v>347</v>
      </c>
      <c r="AS129" s="88" t="s">
        <v>347</v>
      </c>
      <c r="AT129" s="88" t="s">
        <v>347</v>
      </c>
      <c r="AU129" s="88" t="s">
        <v>347</v>
      </c>
      <c r="AV129" s="88" t="s">
        <v>347</v>
      </c>
      <c r="AW129" s="88" t="s">
        <v>347</v>
      </c>
      <c r="AX129" s="88" t="s">
        <v>347</v>
      </c>
      <c r="AY129" s="88" t="s">
        <v>347</v>
      </c>
      <c r="AZ129" s="88" t="s">
        <v>346</v>
      </c>
      <c r="BA129" s="88" t="s">
        <v>347</v>
      </c>
      <c r="BB129" s="88" t="s">
        <v>347</v>
      </c>
      <c r="BC129" s="88" t="s">
        <v>346</v>
      </c>
      <c r="BD129" s="88" t="s">
        <v>347</v>
      </c>
      <c r="BE129" s="88" t="s">
        <v>347</v>
      </c>
      <c r="BF129" s="88" t="s">
        <v>347</v>
      </c>
      <c r="BG129" s="88" t="s">
        <v>347</v>
      </c>
      <c r="BH129" s="88" t="s">
        <v>347</v>
      </c>
      <c r="BI129" s="88" t="s">
        <v>347</v>
      </c>
      <c r="BJ129" s="88" t="s">
        <v>347</v>
      </c>
      <c r="BK129" s="88" t="s">
        <v>347</v>
      </c>
      <c r="BL129" s="88" t="s">
        <v>347</v>
      </c>
      <c r="BM129" s="88" t="s">
        <v>347</v>
      </c>
      <c r="BN129" s="88" t="s">
        <v>347</v>
      </c>
      <c r="BO129" s="88" t="s">
        <v>347</v>
      </c>
      <c r="BP129" s="88" t="s">
        <v>347</v>
      </c>
      <c r="BQ129" s="88" t="s">
        <v>347</v>
      </c>
      <c r="BR129" s="88" t="s">
        <v>347</v>
      </c>
      <c r="BS129" s="88" t="s">
        <v>346</v>
      </c>
      <c r="BT129" s="88" t="s">
        <v>347</v>
      </c>
      <c r="BU129" s="88" t="s">
        <v>347</v>
      </c>
      <c r="BV129" s="88" t="s">
        <v>347</v>
      </c>
      <c r="BW129" s="88" t="s">
        <v>347</v>
      </c>
      <c r="BX129" s="88" t="s">
        <v>347</v>
      </c>
      <c r="BY129" s="88" t="s">
        <v>347</v>
      </c>
      <c r="BZ129" s="91" t="s">
        <v>347</v>
      </c>
    </row>
    <row r="130" spans="1:78" ht="15.75" thickBot="1" x14ac:dyDescent="0.3">
      <c r="A130" s="108" t="s">
        <v>1342</v>
      </c>
      <c r="B130" s="92" t="s">
        <v>347</v>
      </c>
      <c r="C130" s="92" t="s">
        <v>347</v>
      </c>
      <c r="D130" s="92" t="s">
        <v>347</v>
      </c>
      <c r="E130" s="92" t="s">
        <v>347</v>
      </c>
      <c r="F130" s="92" t="s">
        <v>346</v>
      </c>
      <c r="G130" s="92" t="s">
        <v>347</v>
      </c>
      <c r="H130" s="92" t="s">
        <v>346</v>
      </c>
      <c r="I130" s="92" t="s">
        <v>346</v>
      </c>
      <c r="J130" s="98" t="s">
        <v>347</v>
      </c>
      <c r="K130" s="108" t="s">
        <v>1342</v>
      </c>
      <c r="L130" s="92" t="s">
        <v>35</v>
      </c>
      <c r="M130" s="92" t="s">
        <v>38</v>
      </c>
      <c r="N130" s="92" t="s">
        <v>40</v>
      </c>
      <c r="O130" s="92" t="s">
        <v>41</v>
      </c>
      <c r="P130" s="92" t="s">
        <v>43</v>
      </c>
      <c r="Q130" s="92" t="s">
        <v>44</v>
      </c>
      <c r="R130" s="92" t="s">
        <v>346</v>
      </c>
      <c r="S130" s="92" t="s">
        <v>347</v>
      </c>
      <c r="T130" s="92" t="s">
        <v>347</v>
      </c>
      <c r="U130" s="92" t="s">
        <v>347</v>
      </c>
      <c r="V130" s="92" t="s">
        <v>346</v>
      </c>
      <c r="W130" s="92" t="s">
        <v>347</v>
      </c>
      <c r="X130" s="92" t="s">
        <v>346</v>
      </c>
      <c r="Y130" s="92" t="s">
        <v>347</v>
      </c>
      <c r="Z130" s="92" t="s">
        <v>347</v>
      </c>
      <c r="AA130" s="92" t="s">
        <v>346</v>
      </c>
      <c r="AB130" s="92" t="s">
        <v>347</v>
      </c>
      <c r="AC130" s="92" t="s">
        <v>346</v>
      </c>
      <c r="AD130" s="92" t="s">
        <v>346</v>
      </c>
      <c r="AE130" s="92" t="s">
        <v>347</v>
      </c>
      <c r="AF130" s="92" t="s">
        <v>347</v>
      </c>
      <c r="AG130" s="92" t="s">
        <v>347</v>
      </c>
      <c r="AH130" s="92" t="s">
        <v>347</v>
      </c>
      <c r="AI130" s="92" t="s">
        <v>347</v>
      </c>
      <c r="AJ130" s="92" t="s">
        <v>347</v>
      </c>
      <c r="AK130" s="92" t="s">
        <v>347</v>
      </c>
      <c r="AL130" s="92" t="s">
        <v>347</v>
      </c>
      <c r="AM130" s="92" t="s">
        <v>347</v>
      </c>
      <c r="AN130" s="92" t="s">
        <v>347</v>
      </c>
      <c r="AO130" s="98" t="s">
        <v>347</v>
      </c>
      <c r="AP130" s="108" t="s">
        <v>1342</v>
      </c>
      <c r="AQ130" s="92">
        <v>130</v>
      </c>
      <c r="AR130" s="92" t="s">
        <v>347</v>
      </c>
      <c r="AS130" s="92" t="s">
        <v>347</v>
      </c>
      <c r="AT130" s="92" t="s">
        <v>347</v>
      </c>
      <c r="AU130" s="92" t="s">
        <v>347</v>
      </c>
      <c r="AV130" s="92" t="s">
        <v>347</v>
      </c>
      <c r="AW130" s="92" t="s">
        <v>347</v>
      </c>
      <c r="AX130" s="92" t="s">
        <v>347</v>
      </c>
      <c r="AY130" s="92" t="s">
        <v>346</v>
      </c>
      <c r="AZ130" s="92" t="s">
        <v>347</v>
      </c>
      <c r="BA130" s="92" t="s">
        <v>347</v>
      </c>
      <c r="BB130" s="92" t="s">
        <v>347</v>
      </c>
      <c r="BC130" s="92" t="s">
        <v>347</v>
      </c>
      <c r="BD130" s="92" t="s">
        <v>347</v>
      </c>
      <c r="BE130" s="92" t="s">
        <v>346</v>
      </c>
      <c r="BF130" s="92" t="s">
        <v>347</v>
      </c>
      <c r="BG130" s="92" t="s">
        <v>347</v>
      </c>
      <c r="BH130" s="92" t="s">
        <v>347</v>
      </c>
      <c r="BI130" s="92" t="s">
        <v>347</v>
      </c>
      <c r="BJ130" s="92" t="s">
        <v>347</v>
      </c>
      <c r="BK130" s="92" t="s">
        <v>347</v>
      </c>
      <c r="BL130" s="92" t="s">
        <v>346</v>
      </c>
      <c r="BM130" s="92" t="s">
        <v>347</v>
      </c>
      <c r="BN130" s="92" t="s">
        <v>347</v>
      </c>
      <c r="BO130" s="92" t="s">
        <v>347</v>
      </c>
      <c r="BP130" s="92" t="s">
        <v>347</v>
      </c>
      <c r="BQ130" s="92" t="s">
        <v>347</v>
      </c>
      <c r="BR130" s="92" t="s">
        <v>347</v>
      </c>
      <c r="BS130" s="92" t="s">
        <v>346</v>
      </c>
      <c r="BT130" s="92" t="s">
        <v>347</v>
      </c>
      <c r="BU130" s="92" t="s">
        <v>347</v>
      </c>
      <c r="BV130" s="92" t="s">
        <v>347</v>
      </c>
      <c r="BW130" s="92" t="s">
        <v>347</v>
      </c>
      <c r="BX130" s="92" t="s">
        <v>347</v>
      </c>
      <c r="BY130" s="92" t="s">
        <v>347</v>
      </c>
      <c r="BZ130" s="98" t="s">
        <v>347</v>
      </c>
    </row>
  </sheetData>
  <sheetProtection password="E9C2" sheet="1" objects="1" scenarios="1" selectLockedCells="1" selectUnlockedCells="1"/>
  <sortState ref="A2:BX123">
    <sortCondition ref="A2"/>
  </sortState>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A1:AJ844"/>
  <sheetViews>
    <sheetView view="pageBreakPreview" zoomScale="60" zoomScaleNormal="90" workbookViewId="0">
      <pane xSplit="1" ySplit="1" topLeftCell="O2" activePane="bottomRight" state="frozen"/>
      <selection sqref="A1:E1048576"/>
      <selection pane="topRight" sqref="A1:E1048576"/>
      <selection pane="bottomLeft" sqref="A1:E1048576"/>
      <selection pane="bottomRight" sqref="A1:AJ1048576"/>
    </sheetView>
  </sheetViews>
  <sheetFormatPr defaultColWidth="9.140625" defaultRowHeight="15" x14ac:dyDescent="0.25"/>
  <cols>
    <col min="1" max="1" width="31.7109375" style="42" hidden="1" customWidth="1"/>
    <col min="2" max="2" width="17" style="41" hidden="1" customWidth="1"/>
    <col min="3" max="3" width="5.28515625" style="41" hidden="1" customWidth="1"/>
    <col min="4" max="4" width="12.85546875" style="41" hidden="1" customWidth="1"/>
    <col min="5" max="5" width="13.7109375" style="41" hidden="1" customWidth="1"/>
    <col min="6" max="6" width="14" style="41" hidden="1" customWidth="1"/>
    <col min="7" max="8" width="11.28515625" style="41" hidden="1" customWidth="1"/>
    <col min="9" max="9" width="12.5703125" style="41" hidden="1" customWidth="1"/>
    <col min="10" max="15" width="11.28515625" style="41" hidden="1" customWidth="1"/>
    <col min="16" max="16" width="11" style="41" hidden="1" customWidth="1"/>
    <col min="17" max="18" width="10.42578125" style="41" hidden="1" customWidth="1"/>
    <col min="19" max="21" width="11.42578125" style="41" hidden="1" customWidth="1"/>
    <col min="22" max="22" width="15.28515625" style="41" hidden="1" customWidth="1"/>
    <col min="23" max="23" width="54.7109375" style="41" hidden="1" customWidth="1"/>
    <col min="24" max="24" width="27.7109375" style="41" hidden="1" customWidth="1"/>
    <col min="25" max="25" width="6.140625" style="41" hidden="1" customWidth="1"/>
    <col min="26" max="26" width="5.28515625" style="41" hidden="1" customWidth="1"/>
    <col min="27" max="28" width="10" style="38" hidden="1" customWidth="1"/>
    <col min="29" max="29" width="12.85546875" style="38" hidden="1" customWidth="1"/>
    <col min="30" max="30" width="9.42578125" style="38" hidden="1" customWidth="1"/>
    <col min="31" max="31" width="4.7109375" style="38" hidden="1" customWidth="1"/>
    <col min="32" max="32" width="14" style="471" hidden="1" customWidth="1"/>
    <col min="33" max="33" width="4.85546875" style="471" hidden="1" customWidth="1"/>
    <col min="34" max="34" width="5.7109375" style="471" hidden="1" customWidth="1"/>
    <col min="35" max="35" width="14.42578125" style="38" hidden="1" customWidth="1"/>
    <col min="36" max="36" width="10" style="38" hidden="1" customWidth="1"/>
    <col min="37" max="16384" width="9.140625" style="38"/>
  </cols>
  <sheetData>
    <row r="1" spans="1:36" s="144" customFormat="1" ht="15.75" thickBot="1" x14ac:dyDescent="0.3">
      <c r="A1" s="454" t="s">
        <v>523</v>
      </c>
      <c r="B1" s="453" t="s">
        <v>70</v>
      </c>
      <c r="C1" s="451" t="s">
        <v>71</v>
      </c>
      <c r="D1" s="451" t="s">
        <v>492</v>
      </c>
      <c r="E1" s="451" t="s">
        <v>524</v>
      </c>
      <c r="F1" s="451" t="s">
        <v>12</v>
      </c>
      <c r="G1" s="451" t="s">
        <v>525</v>
      </c>
      <c r="H1" s="451" t="s">
        <v>70</v>
      </c>
      <c r="I1" s="451" t="s">
        <v>3568</v>
      </c>
      <c r="J1" s="451" t="s">
        <v>938</v>
      </c>
      <c r="K1" s="451" t="s">
        <v>3569</v>
      </c>
      <c r="L1" s="451" t="s">
        <v>1803</v>
      </c>
      <c r="M1" s="451" t="s">
        <v>3570</v>
      </c>
      <c r="N1" s="451" t="s">
        <v>944</v>
      </c>
      <c r="O1" s="451" t="s">
        <v>60</v>
      </c>
      <c r="P1" s="451" t="s">
        <v>692</v>
      </c>
      <c r="Q1" s="451" t="s">
        <v>3572</v>
      </c>
      <c r="R1" s="451" t="s">
        <v>527</v>
      </c>
      <c r="S1" s="451" t="s">
        <v>526</v>
      </c>
      <c r="T1" s="451" t="s">
        <v>60</v>
      </c>
      <c r="U1" s="451" t="s">
        <v>3571</v>
      </c>
      <c r="V1" s="455" t="s">
        <v>2279</v>
      </c>
      <c r="W1" s="456" t="s">
        <v>1623</v>
      </c>
      <c r="X1" s="451" t="s">
        <v>1620</v>
      </c>
      <c r="Y1" s="451" t="s">
        <v>131</v>
      </c>
      <c r="Z1" s="452" t="s">
        <v>130</v>
      </c>
      <c r="AC1" s="144" t="s">
        <v>8</v>
      </c>
      <c r="AD1" s="144" t="s">
        <v>3565</v>
      </c>
      <c r="AE1" s="144" t="s">
        <v>3566</v>
      </c>
      <c r="AF1" s="144" t="s">
        <v>69</v>
      </c>
      <c r="AG1" s="144" t="s">
        <v>3563</v>
      </c>
      <c r="AH1" s="144" t="s">
        <v>3564</v>
      </c>
      <c r="AJ1" s="144" t="s">
        <v>3567</v>
      </c>
    </row>
    <row r="2" spans="1:36" x14ac:dyDescent="0.25">
      <c r="A2" s="480" t="str">
        <f>IF(Sandbox!AX8="","",Sandbox!AX8)</f>
        <v/>
      </c>
      <c r="B2" s="467" t="str">
        <f>IF(Sandbox!$BH$4="",Sandbox!$AX$4,Sandbox!$BH$4)</f>
        <v>Custom Purview 1</v>
      </c>
      <c r="C2" s="464" t="str">
        <f>IF(Sandbox!AY8="","",Sandbox!AY8)</f>
        <v/>
      </c>
      <c r="D2" s="464" t="str">
        <f>Sandbox!AZ8</f>
        <v>None</v>
      </c>
      <c r="E2" s="465">
        <f t="shared" ref="E2:E65" si="0">VLOOKUP(D2,$AC$2:$AD$12,2,FALSE)</f>
        <v>0</v>
      </c>
      <c r="F2" s="464" t="str">
        <f>Sandbox!BA8</f>
        <v>None</v>
      </c>
      <c r="G2" s="465">
        <f t="shared" ref="G2:G65" si="1">VLOOKUP(F2,$AF$2:$AH$27,2,FALSE)</f>
        <v>0</v>
      </c>
      <c r="H2" s="465" t="str">
        <f>IF(Sandbox!BC8="No","None",Sandbox!$BH$4)</f>
        <v>None</v>
      </c>
      <c r="I2" s="465">
        <f t="shared" ref="I2:I65" si="2">VLOOKUP(H2,$AI$2:$AJ$42,2,FALSE)</f>
        <v>0</v>
      </c>
      <c r="J2" s="465" t="str">
        <f>Sandbox!BD8</f>
        <v>No</v>
      </c>
      <c r="K2" s="465">
        <f t="shared" ref="K2:K65" si="3">IF(J2="Yes",$AJ$56,0)</f>
        <v>0</v>
      </c>
      <c r="L2" s="465" t="str">
        <f>Sandbox!BB8</f>
        <v>None</v>
      </c>
      <c r="M2" s="465">
        <f t="shared" ref="M2:M65" si="4">VLOOKUP(L2,$AI$43:$AJ$55,2,FALSE)</f>
        <v>0</v>
      </c>
      <c r="N2" s="464" t="str">
        <f>IF(Sandbox!BE8="Roll","Yes","No")</f>
        <v>No</v>
      </c>
      <c r="O2" s="464">
        <f t="shared" ref="O2:O65" si="5">IF(N2="Yes",$AJ$57,0)</f>
        <v>0</v>
      </c>
      <c r="P2" s="465" t="str">
        <f t="shared" ref="P2:P65" si="6">IF(OR(D2="Varies",F2="Varies",H2="Varies",L2="Varies"),"Varies",IF(AND(D2="None",F2="None",H2="None",L2="None",J2="No",N2="No"),"None",CONCATENATE(E2+G2+V2+I2+K2+M2+O2," + ",R2+T2)))</f>
        <v>None</v>
      </c>
      <c r="Q2" s="464" t="str">
        <f>Sandbox!BF8</f>
        <v>Yes</v>
      </c>
      <c r="R2" s="465">
        <f t="shared" ref="R2:R65" si="7">IF(Q2="Yes",VLOOKUP(D2,$AC$2:$AE$12,3,FALSE),0)</f>
        <v>0</v>
      </c>
      <c r="S2" s="464" t="str">
        <f>IF(Sandbox!BE8="Add","Yes","No")</f>
        <v>No</v>
      </c>
      <c r="T2" s="464">
        <f t="shared" ref="T2:T65" si="8">IF(S2="Yes",$AJ$57,0)</f>
        <v>0</v>
      </c>
      <c r="U2" s="464" t="str">
        <f>Sandbox!BG8</f>
        <v>Yes</v>
      </c>
      <c r="V2" s="466">
        <f>IF(OR(F2="none",G2="V"),0,VLOOKUP(F2,'Purchased Boons'!$AR$4:$AS$27,2,FALSE))</f>
        <v>0</v>
      </c>
      <c r="W2" s="481">
        <f>Sandbox!BH8</f>
        <v>0</v>
      </c>
      <c r="X2" s="481">
        <f>Sandbox!BI8</f>
        <v>0</v>
      </c>
      <c r="Y2" s="465" t="s">
        <v>2293</v>
      </c>
      <c r="Z2" s="466" t="s">
        <v>817</v>
      </c>
      <c r="AC2" s="37" t="s">
        <v>18</v>
      </c>
      <c r="AD2" s="37">
        <f>CharacterSheet!M8</f>
        <v>1</v>
      </c>
      <c r="AE2" s="37">
        <f>CharacterSheet!O8</f>
        <v>0</v>
      </c>
      <c r="AF2" s="37" t="s">
        <v>35</v>
      </c>
      <c r="AG2" s="37">
        <f>CharacterSheet!E51</f>
        <v>0</v>
      </c>
      <c r="AH2" s="37">
        <f>'Purchased Boons'!AT4</f>
        <v>0</v>
      </c>
      <c r="AI2" s="37" t="s">
        <v>352</v>
      </c>
      <c r="AJ2" s="38">
        <f>LARGE('Purchased Boons'!BI$1:BI$500,1)</f>
        <v>0</v>
      </c>
    </row>
    <row r="3" spans="1:36" x14ac:dyDescent="0.25">
      <c r="A3" s="474" t="str">
        <f>IF(Sandbox!AX9="","",Sandbox!AX9)</f>
        <v/>
      </c>
      <c r="B3" s="39" t="str">
        <f>IF(Sandbox!$BH$4="",Sandbox!$AX$4,Sandbox!$BH$4)</f>
        <v>Custom Purview 1</v>
      </c>
      <c r="C3" s="470" t="str">
        <f>IF(Sandbox!AY9="","",Sandbox!AY9)</f>
        <v/>
      </c>
      <c r="D3" s="470" t="str">
        <f>Sandbox!AZ9</f>
        <v>None</v>
      </c>
      <c r="E3" s="37">
        <f t="shared" si="0"/>
        <v>0</v>
      </c>
      <c r="F3" s="470" t="str">
        <f>Sandbox!BA9</f>
        <v>None</v>
      </c>
      <c r="G3" s="37">
        <f t="shared" si="1"/>
        <v>0</v>
      </c>
      <c r="H3" s="37" t="str">
        <f>IF(Sandbox!BC9="No","None",Sandbox!$BH$4)</f>
        <v>None</v>
      </c>
      <c r="I3" s="37">
        <f t="shared" si="2"/>
        <v>0</v>
      </c>
      <c r="J3" s="37" t="str">
        <f>Sandbox!BD9</f>
        <v>No</v>
      </c>
      <c r="K3" s="37">
        <f t="shared" si="3"/>
        <v>0</v>
      </c>
      <c r="L3" s="37" t="str">
        <f>Sandbox!BB9</f>
        <v>None</v>
      </c>
      <c r="M3" s="37">
        <f t="shared" si="4"/>
        <v>0</v>
      </c>
      <c r="N3" s="470" t="str">
        <f>IF(Sandbox!BE9="Roll","Yes","No")</f>
        <v>No</v>
      </c>
      <c r="O3" s="470">
        <f t="shared" si="5"/>
        <v>0</v>
      </c>
      <c r="P3" s="37" t="str">
        <f t="shared" si="6"/>
        <v>None</v>
      </c>
      <c r="Q3" s="470" t="str">
        <f>Sandbox!BF9</f>
        <v>Yes</v>
      </c>
      <c r="R3" s="37">
        <f t="shared" si="7"/>
        <v>0</v>
      </c>
      <c r="S3" s="470" t="str">
        <f>IF(Sandbox!BE9="Add","Yes","No")</f>
        <v>No</v>
      </c>
      <c r="T3" s="470">
        <f t="shared" si="8"/>
        <v>0</v>
      </c>
      <c r="U3" s="470" t="str">
        <f>Sandbox!BG9</f>
        <v>Yes</v>
      </c>
      <c r="V3" s="111">
        <f>IF(OR(F3="none",G3="V"),0,VLOOKUP(F3,'Purchased Boons'!$AR$4:$AS$27,2,FALSE))</f>
        <v>0</v>
      </c>
      <c r="W3" s="475">
        <f>Sandbox!BH9</f>
        <v>0</v>
      </c>
      <c r="X3" s="475">
        <f>Sandbox!BI9</f>
        <v>0</v>
      </c>
      <c r="Y3" s="37" t="s">
        <v>2293</v>
      </c>
      <c r="Z3" s="111" t="s">
        <v>817</v>
      </c>
      <c r="AC3" s="37" t="s">
        <v>16</v>
      </c>
      <c r="AD3" s="37">
        <f>CharacterSheet!M6</f>
        <v>1</v>
      </c>
      <c r="AE3" s="37">
        <f>CharacterSheet!O6</f>
        <v>0</v>
      </c>
      <c r="AF3" s="37" t="s">
        <v>36</v>
      </c>
      <c r="AG3" s="37">
        <f>CharacterSheet!E52</f>
        <v>0</v>
      </c>
      <c r="AH3" s="37">
        <f>'Purchased Boons'!AT5</f>
        <v>0</v>
      </c>
      <c r="AI3" s="37" t="s">
        <v>353</v>
      </c>
      <c r="AJ3" s="38">
        <f>LARGE('Purchased Boons'!BJ$1:BJ$500,1)</f>
        <v>0</v>
      </c>
    </row>
    <row r="4" spans="1:36" x14ac:dyDescent="0.25">
      <c r="A4" s="474" t="str">
        <f>IF(Sandbox!AX10="","",Sandbox!AX10)</f>
        <v/>
      </c>
      <c r="B4" s="39" t="str">
        <f>IF(Sandbox!$BH$4="",Sandbox!$AX$4,Sandbox!$BH$4)</f>
        <v>Custom Purview 1</v>
      </c>
      <c r="C4" s="470" t="str">
        <f>IF(Sandbox!AY10="","",Sandbox!AY10)</f>
        <v/>
      </c>
      <c r="D4" s="470" t="str">
        <f>Sandbox!AZ10</f>
        <v>None</v>
      </c>
      <c r="E4" s="37">
        <f t="shared" si="0"/>
        <v>0</v>
      </c>
      <c r="F4" s="470" t="str">
        <f>Sandbox!BA10</f>
        <v>None</v>
      </c>
      <c r="G4" s="37">
        <f t="shared" si="1"/>
        <v>0</v>
      </c>
      <c r="H4" s="37" t="str">
        <f>IF(Sandbox!BC10="No","None",Sandbox!$BH$4)</f>
        <v>None</v>
      </c>
      <c r="I4" s="37">
        <f t="shared" si="2"/>
        <v>0</v>
      </c>
      <c r="J4" s="37" t="str">
        <f>Sandbox!BD10</f>
        <v>No</v>
      </c>
      <c r="K4" s="37">
        <f t="shared" si="3"/>
        <v>0</v>
      </c>
      <c r="L4" s="37" t="str">
        <f>Sandbox!BB10</f>
        <v>None</v>
      </c>
      <c r="M4" s="37">
        <f t="shared" si="4"/>
        <v>0</v>
      </c>
      <c r="N4" s="470" t="str">
        <f>IF(Sandbox!BE10="Roll","Yes","No")</f>
        <v>No</v>
      </c>
      <c r="O4" s="470">
        <f t="shared" si="5"/>
        <v>0</v>
      </c>
      <c r="P4" s="37" t="str">
        <f t="shared" si="6"/>
        <v>None</v>
      </c>
      <c r="Q4" s="470" t="str">
        <f>Sandbox!BF10</f>
        <v>Yes</v>
      </c>
      <c r="R4" s="37">
        <f t="shared" si="7"/>
        <v>0</v>
      </c>
      <c r="S4" s="470" t="str">
        <f>IF(Sandbox!BE10="Add","Yes","No")</f>
        <v>No</v>
      </c>
      <c r="T4" s="470">
        <f t="shared" si="8"/>
        <v>0</v>
      </c>
      <c r="U4" s="470" t="str">
        <f>Sandbox!BG10</f>
        <v>Yes</v>
      </c>
      <c r="V4" s="111">
        <f>IF(OR(F4="none",G4="V"),0,VLOOKUP(F4,'Purchased Boons'!$AR$4:$AS$27,2,FALSE))</f>
        <v>0</v>
      </c>
      <c r="W4" s="475">
        <f>Sandbox!BH10</f>
        <v>0</v>
      </c>
      <c r="X4" s="475">
        <f>Sandbox!BI10</f>
        <v>0</v>
      </c>
      <c r="Y4" s="37" t="s">
        <v>2293</v>
      </c>
      <c r="Z4" s="111" t="s">
        <v>817</v>
      </c>
      <c r="AC4" s="37" t="s">
        <v>13</v>
      </c>
      <c r="AD4" s="37">
        <f>CharacterSheet!E7</f>
        <v>1</v>
      </c>
      <c r="AE4" s="37">
        <f>CharacterSheet!G7</f>
        <v>0</v>
      </c>
      <c r="AF4" s="37" t="s">
        <v>55</v>
      </c>
      <c r="AG4" s="37">
        <f>'Purchased Boons'!AS35</f>
        <v>0</v>
      </c>
      <c r="AH4" s="37">
        <f>'Purchased Boons'!AT24</f>
        <v>0</v>
      </c>
      <c r="AI4" s="37" t="s">
        <v>354</v>
      </c>
      <c r="AJ4" s="38">
        <f>LARGE('Purchased Boons'!BK$1:BK$500,1)</f>
        <v>0</v>
      </c>
    </row>
    <row r="5" spans="1:36" x14ac:dyDescent="0.25">
      <c r="A5" s="474" t="str">
        <f>IF(Sandbox!AX11="","",Sandbox!AX11)</f>
        <v/>
      </c>
      <c r="B5" s="39" t="str">
        <f>IF(Sandbox!$BH$4="",Sandbox!$AX$4,Sandbox!$BH$4)</f>
        <v>Custom Purview 1</v>
      </c>
      <c r="C5" s="470" t="str">
        <f>IF(Sandbox!AY11="","",Sandbox!AY11)</f>
        <v/>
      </c>
      <c r="D5" s="470" t="str">
        <f>Sandbox!AZ11</f>
        <v>None</v>
      </c>
      <c r="E5" s="37">
        <f t="shared" si="0"/>
        <v>0</v>
      </c>
      <c r="F5" s="470" t="str">
        <f>Sandbox!BA11</f>
        <v>None</v>
      </c>
      <c r="G5" s="37">
        <f t="shared" si="1"/>
        <v>0</v>
      </c>
      <c r="H5" s="37" t="str">
        <f>IF(Sandbox!BC11="No","None",Sandbox!$BH$4)</f>
        <v>None</v>
      </c>
      <c r="I5" s="37">
        <f t="shared" si="2"/>
        <v>0</v>
      </c>
      <c r="J5" s="37" t="str">
        <f>Sandbox!BD11</f>
        <v>No</v>
      </c>
      <c r="K5" s="37">
        <f t="shared" si="3"/>
        <v>0</v>
      </c>
      <c r="L5" s="37" t="str">
        <f>Sandbox!BB11</f>
        <v>None</v>
      </c>
      <c r="M5" s="37">
        <f t="shared" si="4"/>
        <v>0</v>
      </c>
      <c r="N5" s="470" t="str">
        <f>IF(Sandbox!BE11="Roll","Yes","No")</f>
        <v>No</v>
      </c>
      <c r="O5" s="470">
        <f t="shared" si="5"/>
        <v>0</v>
      </c>
      <c r="P5" s="37" t="str">
        <f t="shared" si="6"/>
        <v>None</v>
      </c>
      <c r="Q5" s="470" t="str">
        <f>Sandbox!BF11</f>
        <v>Yes</v>
      </c>
      <c r="R5" s="37">
        <f t="shared" si="7"/>
        <v>0</v>
      </c>
      <c r="S5" s="470" t="str">
        <f>IF(Sandbox!BE11="Add","Yes","No")</f>
        <v>No</v>
      </c>
      <c r="T5" s="470">
        <f t="shared" si="8"/>
        <v>0</v>
      </c>
      <c r="U5" s="470" t="str">
        <f>Sandbox!BG11</f>
        <v>Yes</v>
      </c>
      <c r="V5" s="111">
        <f>IF(OR(F5="none",G5="V"),0,VLOOKUP(F5,'Purchased Boons'!$AR$4:$AS$27,2,FALSE))</f>
        <v>0</v>
      </c>
      <c r="W5" s="475">
        <f>Sandbox!BH11</f>
        <v>0</v>
      </c>
      <c r="X5" s="475">
        <f>Sandbox!BI11</f>
        <v>0</v>
      </c>
      <c r="Y5" s="37" t="s">
        <v>2293</v>
      </c>
      <c r="Z5" s="111" t="s">
        <v>817</v>
      </c>
      <c r="AC5" s="37" t="s">
        <v>20</v>
      </c>
      <c r="AD5" s="37">
        <f>CharacterSheet!U7</f>
        <v>1</v>
      </c>
      <c r="AE5" s="37">
        <f>CharacterSheet!W7</f>
        <v>0</v>
      </c>
      <c r="AF5" s="37" t="s">
        <v>37</v>
      </c>
      <c r="AG5" s="37">
        <f>CharacterSheet!E53</f>
        <v>0</v>
      </c>
      <c r="AH5" s="37">
        <f>'Purchased Boons'!AT6</f>
        <v>0</v>
      </c>
      <c r="AI5" s="37" t="s">
        <v>355</v>
      </c>
      <c r="AJ5" s="38">
        <f>LARGE('Purchased Boons'!BL$1:BL$500,1)</f>
        <v>0</v>
      </c>
    </row>
    <row r="6" spans="1:36" x14ac:dyDescent="0.25">
      <c r="A6" s="474" t="str">
        <f>IF(Sandbox!AX12="","",Sandbox!AX12)</f>
        <v/>
      </c>
      <c r="B6" s="39" t="str">
        <f>IF(Sandbox!$BH$4="",Sandbox!$AX$4,Sandbox!$BH$4)</f>
        <v>Custom Purview 1</v>
      </c>
      <c r="C6" s="470" t="str">
        <f>IF(Sandbox!AY12="","",Sandbox!AY12)</f>
        <v/>
      </c>
      <c r="D6" s="470" t="str">
        <f>Sandbox!AZ12</f>
        <v>None</v>
      </c>
      <c r="E6" s="37">
        <f t="shared" si="0"/>
        <v>0</v>
      </c>
      <c r="F6" s="470" t="str">
        <f>Sandbox!BA12</f>
        <v>None</v>
      </c>
      <c r="G6" s="37">
        <f t="shared" si="1"/>
        <v>0</v>
      </c>
      <c r="H6" s="37" t="str">
        <f>IF(Sandbox!BC12="No","None",Sandbox!$BH$4)</f>
        <v>None</v>
      </c>
      <c r="I6" s="37">
        <f t="shared" si="2"/>
        <v>0</v>
      </c>
      <c r="J6" s="37" t="str">
        <f>Sandbox!BD12</f>
        <v>No</v>
      </c>
      <c r="K6" s="37">
        <f t="shared" si="3"/>
        <v>0</v>
      </c>
      <c r="L6" s="37" t="str">
        <f>Sandbox!BB12</f>
        <v>None</v>
      </c>
      <c r="M6" s="37">
        <f t="shared" si="4"/>
        <v>0</v>
      </c>
      <c r="N6" s="470" t="str">
        <f>IF(Sandbox!BE12="Roll","Yes","No")</f>
        <v>No</v>
      </c>
      <c r="O6" s="470">
        <f t="shared" si="5"/>
        <v>0</v>
      </c>
      <c r="P6" s="37" t="str">
        <f t="shared" si="6"/>
        <v>None</v>
      </c>
      <c r="Q6" s="470" t="str">
        <f>Sandbox!BF12</f>
        <v>Yes</v>
      </c>
      <c r="R6" s="37">
        <f t="shared" si="7"/>
        <v>0</v>
      </c>
      <c r="S6" s="470" t="str">
        <f>IF(Sandbox!BE12="Add","Yes","No")</f>
        <v>No</v>
      </c>
      <c r="T6" s="470">
        <f t="shared" si="8"/>
        <v>0</v>
      </c>
      <c r="U6" s="470" t="str">
        <f>Sandbox!BG12</f>
        <v>Yes</v>
      </c>
      <c r="V6" s="111">
        <f>IF(OR(F6="none",G6="V"),0,VLOOKUP(F6,'Purchased Boons'!$AR$4:$AS$27,2,FALSE))</f>
        <v>0</v>
      </c>
      <c r="W6" s="475">
        <f>Sandbox!BH12</f>
        <v>0</v>
      </c>
      <c r="X6" s="475">
        <f>Sandbox!BI12</f>
        <v>0</v>
      </c>
      <c r="Y6" s="37" t="s">
        <v>2293</v>
      </c>
      <c r="Z6" s="111" t="s">
        <v>817</v>
      </c>
      <c r="AC6" s="37" t="s">
        <v>17</v>
      </c>
      <c r="AD6" s="37">
        <f>CharacterSheet!M7</f>
        <v>1</v>
      </c>
      <c r="AE6" s="37">
        <f>CharacterSheet!O7</f>
        <v>0</v>
      </c>
      <c r="AF6" s="37" t="s">
        <v>38</v>
      </c>
      <c r="AG6" s="37">
        <f>CharacterSheet!E54</f>
        <v>0</v>
      </c>
      <c r="AH6" s="37">
        <f>'Purchased Boons'!AT7</f>
        <v>0</v>
      </c>
      <c r="AI6" s="37" t="s">
        <v>356</v>
      </c>
      <c r="AJ6" s="38">
        <f>LARGE('Purchased Boons'!BM$1:BM$500,1)</f>
        <v>0</v>
      </c>
    </row>
    <row r="7" spans="1:36" x14ac:dyDescent="0.25">
      <c r="A7" s="474" t="str">
        <f>IF(Sandbox!AX13="","",Sandbox!AX13)</f>
        <v/>
      </c>
      <c r="B7" s="39" t="str">
        <f>IF(Sandbox!$BH$4="",Sandbox!$AX$4,Sandbox!$BH$4)</f>
        <v>Custom Purview 1</v>
      </c>
      <c r="C7" s="470" t="str">
        <f>IF(Sandbox!AY13="","",Sandbox!AY13)</f>
        <v/>
      </c>
      <c r="D7" s="470" t="str">
        <f>Sandbox!AZ13</f>
        <v>None</v>
      </c>
      <c r="E7" s="37">
        <f t="shared" si="0"/>
        <v>0</v>
      </c>
      <c r="F7" s="470" t="str">
        <f>Sandbox!BA13</f>
        <v>None</v>
      </c>
      <c r="G7" s="37">
        <f t="shared" si="1"/>
        <v>0</v>
      </c>
      <c r="H7" s="37" t="str">
        <f>IF(Sandbox!BC13="No","None",Sandbox!$BH$4)</f>
        <v>None</v>
      </c>
      <c r="I7" s="37">
        <f t="shared" si="2"/>
        <v>0</v>
      </c>
      <c r="J7" s="37" t="str">
        <f>Sandbox!BD13</f>
        <v>No</v>
      </c>
      <c r="K7" s="37">
        <f t="shared" si="3"/>
        <v>0</v>
      </c>
      <c r="L7" s="37" t="str">
        <f>Sandbox!BB13</f>
        <v>None</v>
      </c>
      <c r="M7" s="37">
        <f t="shared" si="4"/>
        <v>0</v>
      </c>
      <c r="N7" s="470" t="str">
        <f>IF(Sandbox!BE13="Roll","Yes","No")</f>
        <v>No</v>
      </c>
      <c r="O7" s="470">
        <f t="shared" si="5"/>
        <v>0</v>
      </c>
      <c r="P7" s="37" t="str">
        <f t="shared" si="6"/>
        <v>None</v>
      </c>
      <c r="Q7" s="470" t="str">
        <f>Sandbox!BF13</f>
        <v>Yes</v>
      </c>
      <c r="R7" s="37">
        <f t="shared" si="7"/>
        <v>0</v>
      </c>
      <c r="S7" s="470" t="str">
        <f>IF(Sandbox!BE13="Add","Yes","No")</f>
        <v>No</v>
      </c>
      <c r="T7" s="470">
        <f t="shared" si="8"/>
        <v>0</v>
      </c>
      <c r="U7" s="470" t="str">
        <f>Sandbox!BG13</f>
        <v>Yes</v>
      </c>
      <c r="V7" s="111">
        <f>IF(OR(F7="none",G7="V"),0,VLOOKUP(F7,'Purchased Boons'!$AR$4:$AS$27,2,FALSE))</f>
        <v>0</v>
      </c>
      <c r="W7" s="475">
        <f>Sandbox!BH13</f>
        <v>0</v>
      </c>
      <c r="X7" s="475">
        <f>Sandbox!BI13</f>
        <v>0</v>
      </c>
      <c r="Y7" s="37" t="s">
        <v>2293</v>
      </c>
      <c r="Z7" s="111" t="s">
        <v>817</v>
      </c>
      <c r="AC7" s="37" t="s">
        <v>494</v>
      </c>
      <c r="AD7" s="37">
        <v>0</v>
      </c>
      <c r="AE7" s="37">
        <v>0</v>
      </c>
      <c r="AF7" s="37" t="s">
        <v>39</v>
      </c>
      <c r="AG7" s="37">
        <f>CharacterSheet!E55</f>
        <v>0</v>
      </c>
      <c r="AH7" s="37">
        <f>'Purchased Boons'!AT8</f>
        <v>0</v>
      </c>
      <c r="AI7" s="37" t="s">
        <v>357</v>
      </c>
      <c r="AJ7" s="38">
        <f>LARGE('Purchased Boons'!BN$1:BN$500,1)</f>
        <v>0</v>
      </c>
    </row>
    <row r="8" spans="1:36" x14ac:dyDescent="0.25">
      <c r="A8" s="474" t="str">
        <f>IF(Sandbox!AX14="","",Sandbox!AX14)</f>
        <v/>
      </c>
      <c r="B8" s="39" t="str">
        <f>IF(Sandbox!$BH$4="",Sandbox!$AX$4,Sandbox!$BH$4)</f>
        <v>Custom Purview 1</v>
      </c>
      <c r="C8" s="470" t="str">
        <f>IF(Sandbox!AY14="","",Sandbox!AY14)</f>
        <v/>
      </c>
      <c r="D8" s="470" t="str">
        <f>Sandbox!AZ14</f>
        <v>None</v>
      </c>
      <c r="E8" s="37">
        <f t="shared" si="0"/>
        <v>0</v>
      </c>
      <c r="F8" s="470" t="str">
        <f>Sandbox!BA14</f>
        <v>None</v>
      </c>
      <c r="G8" s="37">
        <f t="shared" si="1"/>
        <v>0</v>
      </c>
      <c r="H8" s="37" t="str">
        <f>IF(Sandbox!BC14="No","None",Sandbox!$BH$4)</f>
        <v>None</v>
      </c>
      <c r="I8" s="37">
        <f t="shared" si="2"/>
        <v>0</v>
      </c>
      <c r="J8" s="37" t="str">
        <f>Sandbox!BD14</f>
        <v>No</v>
      </c>
      <c r="K8" s="37">
        <f t="shared" si="3"/>
        <v>0</v>
      </c>
      <c r="L8" s="37" t="str">
        <f>Sandbox!BB14</f>
        <v>None</v>
      </c>
      <c r="M8" s="37">
        <f t="shared" si="4"/>
        <v>0</v>
      </c>
      <c r="N8" s="470" t="str">
        <f>IF(Sandbox!BE14="Roll","Yes","No")</f>
        <v>No</v>
      </c>
      <c r="O8" s="470">
        <f t="shared" si="5"/>
        <v>0</v>
      </c>
      <c r="P8" s="37" t="str">
        <f t="shared" si="6"/>
        <v>None</v>
      </c>
      <c r="Q8" s="470" t="str">
        <f>Sandbox!BF14</f>
        <v>Yes</v>
      </c>
      <c r="R8" s="37">
        <f t="shared" si="7"/>
        <v>0</v>
      </c>
      <c r="S8" s="470" t="str">
        <f>IF(Sandbox!BE14="Add","Yes","No")</f>
        <v>No</v>
      </c>
      <c r="T8" s="470">
        <f t="shared" si="8"/>
        <v>0</v>
      </c>
      <c r="U8" s="470" t="str">
        <f>Sandbox!BG14</f>
        <v>Yes</v>
      </c>
      <c r="V8" s="111">
        <f>IF(OR(F8="none",G8="V"),0,VLOOKUP(F8,'Purchased Boons'!$AR$4:$AS$27,2,FALSE))</f>
        <v>0</v>
      </c>
      <c r="W8" s="475">
        <f>Sandbox!BH14</f>
        <v>0</v>
      </c>
      <c r="X8" s="475">
        <f>Sandbox!BI14</f>
        <v>0</v>
      </c>
      <c r="Y8" s="37" t="s">
        <v>2293</v>
      </c>
      <c r="Z8" s="111" t="s">
        <v>817</v>
      </c>
      <c r="AC8" s="37" t="s">
        <v>19</v>
      </c>
      <c r="AD8" s="37">
        <f>CharacterSheet!U6</f>
        <v>1</v>
      </c>
      <c r="AE8" s="37">
        <f>CharacterSheet!W6</f>
        <v>0</v>
      </c>
      <c r="AF8" s="37" t="s">
        <v>40</v>
      </c>
      <c r="AG8" s="37">
        <f>CharacterSheet!E56</f>
        <v>0</v>
      </c>
      <c r="AH8" s="37">
        <f>'Purchased Boons'!AT9</f>
        <v>0</v>
      </c>
      <c r="AI8" s="37" t="s">
        <v>358</v>
      </c>
      <c r="AJ8" s="38">
        <f>LARGE('Purchased Boons'!BO$1:BO$500,1)</f>
        <v>0</v>
      </c>
    </row>
    <row r="9" spans="1:36" x14ac:dyDescent="0.25">
      <c r="A9" s="474" t="str">
        <f>IF(Sandbox!AX15="","",Sandbox!AX15)</f>
        <v/>
      </c>
      <c r="B9" s="39" t="str">
        <f>IF(Sandbox!$BH$4="",Sandbox!$AX$4,Sandbox!$BH$4)</f>
        <v>Custom Purview 1</v>
      </c>
      <c r="C9" s="470" t="str">
        <f>IF(Sandbox!AY15="","",Sandbox!AY15)</f>
        <v/>
      </c>
      <c r="D9" s="470" t="str">
        <f>Sandbox!AZ15</f>
        <v>None</v>
      </c>
      <c r="E9" s="37">
        <f t="shared" si="0"/>
        <v>0</v>
      </c>
      <c r="F9" s="470" t="str">
        <f>Sandbox!BA15</f>
        <v>None</v>
      </c>
      <c r="G9" s="37">
        <f t="shared" si="1"/>
        <v>0</v>
      </c>
      <c r="H9" s="37" t="str">
        <f>IF(Sandbox!BC15="No","None",Sandbox!$BH$4)</f>
        <v>None</v>
      </c>
      <c r="I9" s="37">
        <f t="shared" si="2"/>
        <v>0</v>
      </c>
      <c r="J9" s="37" t="str">
        <f>Sandbox!BD15</f>
        <v>No</v>
      </c>
      <c r="K9" s="37">
        <f t="shared" si="3"/>
        <v>0</v>
      </c>
      <c r="L9" s="37" t="str">
        <f>Sandbox!BB15</f>
        <v>None</v>
      </c>
      <c r="M9" s="37">
        <f t="shared" si="4"/>
        <v>0</v>
      </c>
      <c r="N9" s="470" t="str">
        <f>IF(Sandbox!BE15="Roll","Yes","No")</f>
        <v>No</v>
      </c>
      <c r="O9" s="470">
        <f t="shared" si="5"/>
        <v>0</v>
      </c>
      <c r="P9" s="37" t="str">
        <f t="shared" si="6"/>
        <v>None</v>
      </c>
      <c r="Q9" s="470" t="str">
        <f>Sandbox!BF15</f>
        <v>Yes</v>
      </c>
      <c r="R9" s="37">
        <f t="shared" si="7"/>
        <v>0</v>
      </c>
      <c r="S9" s="470" t="str">
        <f>IF(Sandbox!BE15="Add","Yes","No")</f>
        <v>No</v>
      </c>
      <c r="T9" s="470">
        <f t="shared" si="8"/>
        <v>0</v>
      </c>
      <c r="U9" s="470" t="str">
        <f>Sandbox!BG15</f>
        <v>Yes</v>
      </c>
      <c r="V9" s="111">
        <f>IF(OR(F9="none",G9="V"),0,VLOOKUP(F9,'Purchased Boons'!$AR$4:$AS$27,2,FALSE))</f>
        <v>0</v>
      </c>
      <c r="W9" s="475">
        <f>Sandbox!BH15</f>
        <v>0</v>
      </c>
      <c r="X9" s="475">
        <f>Sandbox!BI15</f>
        <v>0</v>
      </c>
      <c r="Y9" s="37" t="s">
        <v>2293</v>
      </c>
      <c r="Z9" s="111" t="s">
        <v>817</v>
      </c>
      <c r="AC9" s="37" t="s">
        <v>14</v>
      </c>
      <c r="AD9" s="37">
        <f>CharacterSheet!E8</f>
        <v>1</v>
      </c>
      <c r="AE9" s="37">
        <f>CharacterSheet!G8</f>
        <v>0</v>
      </c>
      <c r="AF9" s="37" t="s">
        <v>56</v>
      </c>
      <c r="AG9" s="37">
        <f>'Purchased Boons'!AS36</f>
        <v>0</v>
      </c>
      <c r="AH9" s="37">
        <f>'Purchased Boons'!AT25</f>
        <v>0</v>
      </c>
      <c r="AI9" s="37" t="s">
        <v>690</v>
      </c>
      <c r="AJ9" s="38">
        <f>LARGE('Purchased Boons'!BP$1:BP$500,1)</f>
        <v>0</v>
      </c>
    </row>
    <row r="10" spans="1:36" x14ac:dyDescent="0.25">
      <c r="A10" s="474" t="str">
        <f>IF(Sandbox!AX16="","",Sandbox!AX16)</f>
        <v/>
      </c>
      <c r="B10" s="39" t="str">
        <f>IF(Sandbox!$BH$4="",Sandbox!$AX$4,Sandbox!$BH$4)</f>
        <v>Custom Purview 1</v>
      </c>
      <c r="C10" s="470" t="str">
        <f>IF(Sandbox!AY16="","",Sandbox!AY16)</f>
        <v/>
      </c>
      <c r="D10" s="470" t="str">
        <f>Sandbox!AZ16</f>
        <v>None</v>
      </c>
      <c r="E10" s="37">
        <f t="shared" si="0"/>
        <v>0</v>
      </c>
      <c r="F10" s="470" t="str">
        <f>Sandbox!BA16</f>
        <v>None</v>
      </c>
      <c r="G10" s="37">
        <f t="shared" si="1"/>
        <v>0</v>
      </c>
      <c r="H10" s="37" t="str">
        <f>IF(Sandbox!BC16="No","None",Sandbox!$BH$4)</f>
        <v>None</v>
      </c>
      <c r="I10" s="37">
        <f t="shared" si="2"/>
        <v>0</v>
      </c>
      <c r="J10" s="37" t="str">
        <f>Sandbox!BD16</f>
        <v>No</v>
      </c>
      <c r="K10" s="37">
        <f t="shared" si="3"/>
        <v>0</v>
      </c>
      <c r="L10" s="37" t="str">
        <f>Sandbox!BB16</f>
        <v>None</v>
      </c>
      <c r="M10" s="37">
        <f t="shared" si="4"/>
        <v>0</v>
      </c>
      <c r="N10" s="470" t="str">
        <f>IF(Sandbox!BE16="Roll","Yes","No")</f>
        <v>No</v>
      </c>
      <c r="O10" s="470">
        <f t="shared" si="5"/>
        <v>0</v>
      </c>
      <c r="P10" s="37" t="str">
        <f t="shared" si="6"/>
        <v>None</v>
      </c>
      <c r="Q10" s="470" t="str">
        <f>Sandbox!BF16</f>
        <v>Yes</v>
      </c>
      <c r="R10" s="37">
        <f t="shared" si="7"/>
        <v>0</v>
      </c>
      <c r="S10" s="470" t="str">
        <f>IF(Sandbox!BE16="Add","Yes","No")</f>
        <v>No</v>
      </c>
      <c r="T10" s="470">
        <f t="shared" si="8"/>
        <v>0</v>
      </c>
      <c r="U10" s="470" t="str">
        <f>Sandbox!BG16</f>
        <v>Yes</v>
      </c>
      <c r="V10" s="111">
        <f>IF(OR(F10="none",G10="V"),0,VLOOKUP(F10,'Purchased Boons'!$AR$4:$AS$27,2,FALSE))</f>
        <v>0</v>
      </c>
      <c r="W10" s="475">
        <f>Sandbox!BH16</f>
        <v>0</v>
      </c>
      <c r="X10" s="475">
        <f>Sandbox!BI16</f>
        <v>0</v>
      </c>
      <c r="Y10" s="37" t="s">
        <v>2293</v>
      </c>
      <c r="Z10" s="111" t="s">
        <v>817</v>
      </c>
      <c r="AC10" s="37" t="s">
        <v>30</v>
      </c>
      <c r="AD10" s="37">
        <f>CharacterSheet!E6</f>
        <v>1</v>
      </c>
      <c r="AE10" s="37">
        <f>CharacterSheet!G6</f>
        <v>0</v>
      </c>
      <c r="AF10" s="37" t="s">
        <v>57</v>
      </c>
      <c r="AG10" s="37">
        <f>'Purchased Boons'!AS37</f>
        <v>0</v>
      </c>
      <c r="AH10" s="37">
        <f>'Purchased Boons'!AT26</f>
        <v>0</v>
      </c>
      <c r="AI10" s="37" t="s">
        <v>359</v>
      </c>
      <c r="AJ10" s="38">
        <f>LARGE('Purchased Boons'!BQ$1:BQ$500,1)</f>
        <v>0</v>
      </c>
    </row>
    <row r="11" spans="1:36" x14ac:dyDescent="0.25">
      <c r="A11" s="474" t="str">
        <f>IF(Sandbox!AX17="","",Sandbox!AX17)</f>
        <v/>
      </c>
      <c r="B11" s="39" t="str">
        <f>IF(Sandbox!$BH$4="",Sandbox!$AX$4,Sandbox!$BH$4)</f>
        <v>Custom Purview 1</v>
      </c>
      <c r="C11" s="470" t="str">
        <f>IF(Sandbox!AY17="","",Sandbox!AY17)</f>
        <v/>
      </c>
      <c r="D11" s="470" t="str">
        <f>Sandbox!AZ17</f>
        <v>None</v>
      </c>
      <c r="E11" s="37">
        <f t="shared" si="0"/>
        <v>0</v>
      </c>
      <c r="F11" s="470" t="str">
        <f>Sandbox!BA17</f>
        <v>None</v>
      </c>
      <c r="G11" s="37">
        <f t="shared" si="1"/>
        <v>0</v>
      </c>
      <c r="H11" s="37" t="str">
        <f>IF(Sandbox!BC17="No","None",Sandbox!$BH$4)</f>
        <v>None</v>
      </c>
      <c r="I11" s="37">
        <f t="shared" si="2"/>
        <v>0</v>
      </c>
      <c r="J11" s="37" t="str">
        <f>Sandbox!BD17</f>
        <v>No</v>
      </c>
      <c r="K11" s="37">
        <f t="shared" si="3"/>
        <v>0</v>
      </c>
      <c r="L11" s="37" t="str">
        <f>Sandbox!BB17</f>
        <v>None</v>
      </c>
      <c r="M11" s="37">
        <f t="shared" si="4"/>
        <v>0</v>
      </c>
      <c r="N11" s="470" t="str">
        <f>IF(Sandbox!BE17="Roll","Yes","No")</f>
        <v>No</v>
      </c>
      <c r="O11" s="470">
        <f t="shared" si="5"/>
        <v>0</v>
      </c>
      <c r="P11" s="37" t="str">
        <f t="shared" si="6"/>
        <v>None</v>
      </c>
      <c r="Q11" s="470" t="str">
        <f>Sandbox!BF17</f>
        <v>Yes</v>
      </c>
      <c r="R11" s="37">
        <f t="shared" si="7"/>
        <v>0</v>
      </c>
      <c r="S11" s="470" t="str">
        <f>IF(Sandbox!BE17="Add","Yes","No")</f>
        <v>No</v>
      </c>
      <c r="T11" s="470">
        <f t="shared" si="8"/>
        <v>0</v>
      </c>
      <c r="U11" s="470" t="str">
        <f>Sandbox!BG17</f>
        <v>Yes</v>
      </c>
      <c r="V11" s="111">
        <f>IF(OR(F11="none",G11="V"),0,VLOOKUP(F11,'Purchased Boons'!$AR$4:$AS$27,2,FALSE))</f>
        <v>0</v>
      </c>
      <c r="W11" s="475">
        <f>Sandbox!BH17</f>
        <v>0</v>
      </c>
      <c r="X11" s="475">
        <f>Sandbox!BI17</f>
        <v>0</v>
      </c>
      <c r="Y11" s="37" t="s">
        <v>2293</v>
      </c>
      <c r="Z11" s="111" t="s">
        <v>817</v>
      </c>
      <c r="AC11" s="37" t="s">
        <v>1063</v>
      </c>
      <c r="AD11" s="37" t="s">
        <v>819</v>
      </c>
      <c r="AE11" s="37" t="s">
        <v>819</v>
      </c>
      <c r="AF11" s="37" t="s">
        <v>41</v>
      </c>
      <c r="AG11" s="37">
        <f>CharacterSheet!E57</f>
        <v>0</v>
      </c>
      <c r="AH11" s="37">
        <f>'Purchased Boons'!AT10</f>
        <v>0</v>
      </c>
      <c r="AI11" s="37" t="s">
        <v>108</v>
      </c>
      <c r="AJ11" s="38">
        <f>LARGE('Purchased Boons'!BR$1:BR$500,1)</f>
        <v>0</v>
      </c>
    </row>
    <row r="12" spans="1:36" x14ac:dyDescent="0.25">
      <c r="A12" s="474" t="str">
        <f>IF(Sandbox!AX18="","",Sandbox!AX18)</f>
        <v/>
      </c>
      <c r="B12" s="39" t="str">
        <f>IF(Sandbox!$BH$4="",Sandbox!$AX$4,Sandbox!$BH$4)</f>
        <v>Custom Purview 1</v>
      </c>
      <c r="C12" s="470" t="str">
        <f>IF(Sandbox!AY18="","",Sandbox!AY18)</f>
        <v/>
      </c>
      <c r="D12" s="470" t="str">
        <f>Sandbox!AZ18</f>
        <v>None</v>
      </c>
      <c r="E12" s="37">
        <f t="shared" si="0"/>
        <v>0</v>
      </c>
      <c r="F12" s="470" t="str">
        <f>Sandbox!BA18</f>
        <v>None</v>
      </c>
      <c r="G12" s="37">
        <f t="shared" si="1"/>
        <v>0</v>
      </c>
      <c r="H12" s="37" t="str">
        <f>IF(Sandbox!BC18="No","None",Sandbox!$BH$4)</f>
        <v>None</v>
      </c>
      <c r="I12" s="37">
        <f t="shared" si="2"/>
        <v>0</v>
      </c>
      <c r="J12" s="37" t="str">
        <f>Sandbox!BD18</f>
        <v>No</v>
      </c>
      <c r="K12" s="37">
        <f t="shared" si="3"/>
        <v>0</v>
      </c>
      <c r="L12" s="37" t="str">
        <f>Sandbox!BB18</f>
        <v>None</v>
      </c>
      <c r="M12" s="37">
        <f t="shared" si="4"/>
        <v>0</v>
      </c>
      <c r="N12" s="470" t="str">
        <f>IF(Sandbox!BE18="Roll","Yes","No")</f>
        <v>No</v>
      </c>
      <c r="O12" s="470">
        <f t="shared" si="5"/>
        <v>0</v>
      </c>
      <c r="P12" s="37" t="str">
        <f t="shared" si="6"/>
        <v>None</v>
      </c>
      <c r="Q12" s="470" t="str">
        <f>Sandbox!BF18</f>
        <v>Yes</v>
      </c>
      <c r="R12" s="37">
        <f t="shared" si="7"/>
        <v>0</v>
      </c>
      <c r="S12" s="470" t="str">
        <f>IF(Sandbox!BE18="Add","Yes","No")</f>
        <v>No</v>
      </c>
      <c r="T12" s="470">
        <f t="shared" si="8"/>
        <v>0</v>
      </c>
      <c r="U12" s="470" t="str">
        <f>Sandbox!BG18</f>
        <v>Yes</v>
      </c>
      <c r="V12" s="111">
        <f>IF(OR(F12="none",G12="V"),0,VLOOKUP(F12,'Purchased Boons'!$AR$4:$AS$27,2,FALSE))</f>
        <v>0</v>
      </c>
      <c r="W12" s="475">
        <f>Sandbox!BH18</f>
        <v>0</v>
      </c>
      <c r="X12" s="475">
        <f>Sandbox!BI18</f>
        <v>0</v>
      </c>
      <c r="Y12" s="37" t="s">
        <v>2293</v>
      </c>
      <c r="Z12" s="111" t="s">
        <v>817</v>
      </c>
      <c r="AC12" s="37" t="s">
        <v>21</v>
      </c>
      <c r="AD12" s="37">
        <f>CharacterSheet!U8</f>
        <v>1</v>
      </c>
      <c r="AE12" s="37">
        <f>CharacterSheet!W8</f>
        <v>0</v>
      </c>
      <c r="AF12" s="37" t="s">
        <v>42</v>
      </c>
      <c r="AG12" s="37">
        <f>CharacterSheet!E58</f>
        <v>0</v>
      </c>
      <c r="AH12" s="37">
        <f>'Purchased Boons'!AT11</f>
        <v>0</v>
      </c>
      <c r="AI12" s="37" t="s">
        <v>360</v>
      </c>
      <c r="AJ12" s="38">
        <f>LARGE('Purchased Boons'!BS$1:BS$500,1)</f>
        <v>0</v>
      </c>
    </row>
    <row r="13" spans="1:36" x14ac:dyDescent="0.25">
      <c r="A13" s="474" t="str">
        <f>IF(Sandbox!AX19="","",Sandbox!AX19)</f>
        <v/>
      </c>
      <c r="B13" s="39" t="str">
        <f>IF(Sandbox!$BH$4="",Sandbox!$AX$4,Sandbox!$BH$4)</f>
        <v>Custom Purview 1</v>
      </c>
      <c r="C13" s="470" t="str">
        <f>IF(Sandbox!AY19="","",Sandbox!AY19)</f>
        <v/>
      </c>
      <c r="D13" s="470" t="str">
        <f>Sandbox!AZ19</f>
        <v>None</v>
      </c>
      <c r="E13" s="37">
        <f t="shared" si="0"/>
        <v>0</v>
      </c>
      <c r="F13" s="470" t="str">
        <f>Sandbox!BA19</f>
        <v>None</v>
      </c>
      <c r="G13" s="37">
        <f t="shared" si="1"/>
        <v>0</v>
      </c>
      <c r="H13" s="37" t="str">
        <f>IF(Sandbox!BC19="No","None",Sandbox!$BH$4)</f>
        <v>None</v>
      </c>
      <c r="I13" s="37">
        <f t="shared" si="2"/>
        <v>0</v>
      </c>
      <c r="J13" s="37" t="str">
        <f>Sandbox!BD19</f>
        <v>No</v>
      </c>
      <c r="K13" s="37">
        <f t="shared" si="3"/>
        <v>0</v>
      </c>
      <c r="L13" s="37" t="str">
        <f>Sandbox!BB19</f>
        <v>None</v>
      </c>
      <c r="M13" s="37">
        <f t="shared" si="4"/>
        <v>0</v>
      </c>
      <c r="N13" s="470" t="str">
        <f>IF(Sandbox!BE19="Roll","Yes","No")</f>
        <v>No</v>
      </c>
      <c r="O13" s="470">
        <f t="shared" si="5"/>
        <v>0</v>
      </c>
      <c r="P13" s="37" t="str">
        <f t="shared" si="6"/>
        <v>None</v>
      </c>
      <c r="Q13" s="470" t="str">
        <f>Sandbox!BF19</f>
        <v>Yes</v>
      </c>
      <c r="R13" s="37">
        <f t="shared" si="7"/>
        <v>0</v>
      </c>
      <c r="S13" s="470" t="str">
        <f>IF(Sandbox!BE19="Add","Yes","No")</f>
        <v>No</v>
      </c>
      <c r="T13" s="470">
        <f t="shared" si="8"/>
        <v>0</v>
      </c>
      <c r="U13" s="470" t="str">
        <f>Sandbox!BG19</f>
        <v>Yes</v>
      </c>
      <c r="V13" s="111">
        <f>IF(OR(F13="none",G13="V"),0,VLOOKUP(F13,'Purchased Boons'!$AR$4:$AS$27,2,FALSE))</f>
        <v>0</v>
      </c>
      <c r="W13" s="475">
        <f>Sandbox!BH19</f>
        <v>0</v>
      </c>
      <c r="X13" s="475">
        <f>Sandbox!BI19</f>
        <v>0</v>
      </c>
      <c r="Y13" s="37" t="s">
        <v>2293</v>
      </c>
      <c r="Z13" s="111" t="s">
        <v>817</v>
      </c>
      <c r="AF13" s="37" t="s">
        <v>43</v>
      </c>
      <c r="AG13" s="37">
        <f>CharacterSheet!E59</f>
        <v>0</v>
      </c>
      <c r="AH13" s="37">
        <f>'Purchased Boons'!AT12</f>
        <v>0</v>
      </c>
      <c r="AI13" s="37" t="s">
        <v>361</v>
      </c>
      <c r="AJ13" s="38">
        <f>LARGE('Purchased Boons'!BT$1:BT$500,1)</f>
        <v>0</v>
      </c>
    </row>
    <row r="14" spans="1:36" x14ac:dyDescent="0.25">
      <c r="A14" s="474" t="str">
        <f>IF(Sandbox!AX20="","",Sandbox!AX20)</f>
        <v/>
      </c>
      <c r="B14" s="39" t="str">
        <f>IF(Sandbox!$BH$4="",Sandbox!$AX$4,Sandbox!$BH$4)</f>
        <v>Custom Purview 1</v>
      </c>
      <c r="C14" s="470" t="str">
        <f>IF(Sandbox!AY20="","",Sandbox!AY20)</f>
        <v/>
      </c>
      <c r="D14" s="470" t="str">
        <f>Sandbox!AZ20</f>
        <v>None</v>
      </c>
      <c r="E14" s="37">
        <f t="shared" si="0"/>
        <v>0</v>
      </c>
      <c r="F14" s="470" t="str">
        <f>Sandbox!BA20</f>
        <v>None</v>
      </c>
      <c r="G14" s="37">
        <f t="shared" si="1"/>
        <v>0</v>
      </c>
      <c r="H14" s="37" t="str">
        <f>IF(Sandbox!BC20="No","None",Sandbox!$BH$4)</f>
        <v>None</v>
      </c>
      <c r="I14" s="37">
        <f t="shared" si="2"/>
        <v>0</v>
      </c>
      <c r="J14" s="37" t="str">
        <f>Sandbox!BD20</f>
        <v>No</v>
      </c>
      <c r="K14" s="37">
        <f t="shared" si="3"/>
        <v>0</v>
      </c>
      <c r="L14" s="37" t="str">
        <f>Sandbox!BB20</f>
        <v>None</v>
      </c>
      <c r="M14" s="37">
        <f t="shared" si="4"/>
        <v>0</v>
      </c>
      <c r="N14" s="470" t="str">
        <f>IF(Sandbox!BE20="Roll","Yes","No")</f>
        <v>No</v>
      </c>
      <c r="O14" s="470">
        <f t="shared" si="5"/>
        <v>0</v>
      </c>
      <c r="P14" s="37" t="str">
        <f t="shared" si="6"/>
        <v>None</v>
      </c>
      <c r="Q14" s="470" t="str">
        <f>Sandbox!BF20</f>
        <v>Yes</v>
      </c>
      <c r="R14" s="37">
        <f t="shared" si="7"/>
        <v>0</v>
      </c>
      <c r="S14" s="470" t="str">
        <f>IF(Sandbox!BE20="Add","Yes","No")</f>
        <v>No</v>
      </c>
      <c r="T14" s="470">
        <f t="shared" si="8"/>
        <v>0</v>
      </c>
      <c r="U14" s="470" t="str">
        <f>Sandbox!BG20</f>
        <v>Yes</v>
      </c>
      <c r="V14" s="111">
        <f>IF(OR(F14="none",G14="V"),0,VLOOKUP(F14,'Purchased Boons'!$AR$4:$AS$27,2,FALSE))</f>
        <v>0</v>
      </c>
      <c r="W14" s="475">
        <f>Sandbox!BH20</f>
        <v>0</v>
      </c>
      <c r="X14" s="475">
        <f>Sandbox!BI20</f>
        <v>0</v>
      </c>
      <c r="Y14" s="37" t="s">
        <v>2293</v>
      </c>
      <c r="Z14" s="111" t="s">
        <v>817</v>
      </c>
      <c r="AF14" s="37" t="s">
        <v>44</v>
      </c>
      <c r="AG14" s="37">
        <f>CharacterSheet!E60</f>
        <v>0</v>
      </c>
      <c r="AH14" s="37">
        <f>'Purchased Boons'!AT13</f>
        <v>0</v>
      </c>
      <c r="AI14" s="37" t="s">
        <v>362</v>
      </c>
      <c r="AJ14" s="38">
        <f>LARGE('Purchased Boons'!BU$1:BU$500,1)</f>
        <v>0</v>
      </c>
    </row>
    <row r="15" spans="1:36" x14ac:dyDescent="0.25">
      <c r="A15" s="474" t="str">
        <f>IF(Sandbox!AX21="","",Sandbox!AX21)</f>
        <v/>
      </c>
      <c r="B15" s="39" t="str">
        <f>IF(Sandbox!$BH$4="",Sandbox!$AX$4,Sandbox!$BH$4)</f>
        <v>Custom Purview 1</v>
      </c>
      <c r="C15" s="470" t="str">
        <f>IF(Sandbox!AY21="","",Sandbox!AY21)</f>
        <v/>
      </c>
      <c r="D15" s="470" t="str">
        <f>Sandbox!AZ21</f>
        <v>None</v>
      </c>
      <c r="E15" s="37">
        <f t="shared" si="0"/>
        <v>0</v>
      </c>
      <c r="F15" s="470" t="str">
        <f>Sandbox!BA21</f>
        <v>None</v>
      </c>
      <c r="G15" s="37">
        <f t="shared" si="1"/>
        <v>0</v>
      </c>
      <c r="H15" s="37" t="str">
        <f>IF(Sandbox!BC21="No","None",Sandbox!$BH$4)</f>
        <v>None</v>
      </c>
      <c r="I15" s="37">
        <f t="shared" si="2"/>
        <v>0</v>
      </c>
      <c r="J15" s="37" t="str">
        <f>Sandbox!BD21</f>
        <v>No</v>
      </c>
      <c r="K15" s="37">
        <f t="shared" si="3"/>
        <v>0</v>
      </c>
      <c r="L15" s="37" t="str">
        <f>Sandbox!BB21</f>
        <v>None</v>
      </c>
      <c r="M15" s="37">
        <f t="shared" si="4"/>
        <v>0</v>
      </c>
      <c r="N15" s="470" t="str">
        <f>IF(Sandbox!BE21="Roll","Yes","No")</f>
        <v>No</v>
      </c>
      <c r="O15" s="470">
        <f t="shared" si="5"/>
        <v>0</v>
      </c>
      <c r="P15" s="37" t="str">
        <f t="shared" si="6"/>
        <v>None</v>
      </c>
      <c r="Q15" s="470" t="str">
        <f>Sandbox!BF21</f>
        <v>Yes</v>
      </c>
      <c r="R15" s="37">
        <f t="shared" si="7"/>
        <v>0</v>
      </c>
      <c r="S15" s="470" t="str">
        <f>IF(Sandbox!BE21="Add","Yes","No")</f>
        <v>No</v>
      </c>
      <c r="T15" s="470">
        <f t="shared" si="8"/>
        <v>0</v>
      </c>
      <c r="U15" s="470" t="str">
        <f>Sandbox!BG21</f>
        <v>Yes</v>
      </c>
      <c r="V15" s="111">
        <f>IF(OR(F15="none",G15="V"),0,VLOOKUP(F15,'Purchased Boons'!$AR$4:$AS$27,2,FALSE))</f>
        <v>0</v>
      </c>
      <c r="W15" s="475">
        <f>Sandbox!BH21</f>
        <v>0</v>
      </c>
      <c r="X15" s="475">
        <f>Sandbox!BI21</f>
        <v>0</v>
      </c>
      <c r="Y15" s="37" t="s">
        <v>2293</v>
      </c>
      <c r="Z15" s="111" t="s">
        <v>817</v>
      </c>
      <c r="AF15" s="37" t="s">
        <v>45</v>
      </c>
      <c r="AG15" s="37">
        <f>CharacterSheet!M51</f>
        <v>0</v>
      </c>
      <c r="AH15" s="37">
        <f>'Purchased Boons'!AT14</f>
        <v>0</v>
      </c>
      <c r="AI15" s="37" t="s">
        <v>494</v>
      </c>
      <c r="AJ15" s="38">
        <v>0</v>
      </c>
    </row>
    <row r="16" spans="1:36" x14ac:dyDescent="0.25">
      <c r="A16" s="474" t="str">
        <f>IF(Sandbox!AX22="","",Sandbox!AX22)</f>
        <v/>
      </c>
      <c r="B16" s="39" t="str">
        <f>IF(Sandbox!$BH$4="",Sandbox!$AX$4,Sandbox!$BH$4)</f>
        <v>Custom Purview 1</v>
      </c>
      <c r="C16" s="470" t="str">
        <f>IF(Sandbox!AY22="","",Sandbox!AY22)</f>
        <v/>
      </c>
      <c r="D16" s="470" t="str">
        <f>Sandbox!AZ22</f>
        <v>None</v>
      </c>
      <c r="E16" s="37">
        <f t="shared" si="0"/>
        <v>0</v>
      </c>
      <c r="F16" s="470" t="str">
        <f>Sandbox!BA22</f>
        <v>None</v>
      </c>
      <c r="G16" s="37">
        <f t="shared" si="1"/>
        <v>0</v>
      </c>
      <c r="H16" s="37" t="str">
        <f>IF(Sandbox!BC22="No","None",Sandbox!$BH$4)</f>
        <v>None</v>
      </c>
      <c r="I16" s="37">
        <f t="shared" si="2"/>
        <v>0</v>
      </c>
      <c r="J16" s="37" t="str">
        <f>Sandbox!BD22</f>
        <v>No</v>
      </c>
      <c r="K16" s="37">
        <f t="shared" si="3"/>
        <v>0</v>
      </c>
      <c r="L16" s="37" t="str">
        <f>Sandbox!BB22</f>
        <v>None</v>
      </c>
      <c r="M16" s="37">
        <f t="shared" si="4"/>
        <v>0</v>
      </c>
      <c r="N16" s="470" t="str">
        <f>IF(Sandbox!BE22="Roll","Yes","No")</f>
        <v>No</v>
      </c>
      <c r="O16" s="470">
        <f t="shared" si="5"/>
        <v>0</v>
      </c>
      <c r="P16" s="37" t="str">
        <f t="shared" si="6"/>
        <v>None</v>
      </c>
      <c r="Q16" s="470" t="str">
        <f>Sandbox!BF22</f>
        <v>Yes</v>
      </c>
      <c r="R16" s="37">
        <f t="shared" si="7"/>
        <v>0</v>
      </c>
      <c r="S16" s="470" t="str">
        <f>IF(Sandbox!BE22="Add","Yes","No")</f>
        <v>No</v>
      </c>
      <c r="T16" s="470">
        <f t="shared" si="8"/>
        <v>0</v>
      </c>
      <c r="U16" s="470" t="str">
        <f>Sandbox!BG22</f>
        <v>Yes</v>
      </c>
      <c r="V16" s="111">
        <f>IF(OR(F16="none",G16="V"),0,VLOOKUP(F16,'Purchased Boons'!$AR$4:$AS$27,2,FALSE))</f>
        <v>0</v>
      </c>
      <c r="W16" s="475">
        <f>Sandbox!BH22</f>
        <v>0</v>
      </c>
      <c r="X16" s="475">
        <f>Sandbox!BI22</f>
        <v>0</v>
      </c>
      <c r="Y16" s="37" t="s">
        <v>2293</v>
      </c>
      <c r="Z16" s="111" t="s">
        <v>817</v>
      </c>
      <c r="AF16" s="37" t="s">
        <v>46</v>
      </c>
      <c r="AG16" s="37">
        <f>CharacterSheet!M52</f>
        <v>0</v>
      </c>
      <c r="AH16" s="37">
        <f>'Purchased Boons'!AT15</f>
        <v>0</v>
      </c>
      <c r="AI16" s="37" t="s">
        <v>363</v>
      </c>
      <c r="AJ16" s="38">
        <f>LARGE('Purchased Boons'!BV$1:BV$500,1)</f>
        <v>0</v>
      </c>
    </row>
    <row r="17" spans="1:36" x14ac:dyDescent="0.25">
      <c r="A17" s="474" t="str">
        <f>IF(Sandbox!AX23="","",Sandbox!AX23)</f>
        <v/>
      </c>
      <c r="B17" s="39" t="str">
        <f>IF(Sandbox!$BH$4="",Sandbox!$AX$4,Sandbox!$BH$4)</f>
        <v>Custom Purview 1</v>
      </c>
      <c r="C17" s="470" t="str">
        <f>IF(Sandbox!AY23="","",Sandbox!AY23)</f>
        <v/>
      </c>
      <c r="D17" s="470" t="str">
        <f>Sandbox!AZ23</f>
        <v>None</v>
      </c>
      <c r="E17" s="37">
        <f t="shared" si="0"/>
        <v>0</v>
      </c>
      <c r="F17" s="470" t="str">
        <f>Sandbox!BA23</f>
        <v>None</v>
      </c>
      <c r="G17" s="37">
        <f t="shared" si="1"/>
        <v>0</v>
      </c>
      <c r="H17" s="37" t="str">
        <f>IF(Sandbox!BC23="No","None",Sandbox!$BH$4)</f>
        <v>None</v>
      </c>
      <c r="I17" s="37">
        <f t="shared" si="2"/>
        <v>0</v>
      </c>
      <c r="J17" s="37" t="str">
        <f>Sandbox!BD23</f>
        <v>No</v>
      </c>
      <c r="K17" s="37">
        <f t="shared" si="3"/>
        <v>0</v>
      </c>
      <c r="L17" s="37" t="str">
        <f>Sandbox!BB23</f>
        <v>None</v>
      </c>
      <c r="M17" s="37">
        <f t="shared" si="4"/>
        <v>0</v>
      </c>
      <c r="N17" s="470" t="str">
        <f>IF(Sandbox!BE23="Roll","Yes","No")</f>
        <v>No</v>
      </c>
      <c r="O17" s="470">
        <f t="shared" si="5"/>
        <v>0</v>
      </c>
      <c r="P17" s="37" t="str">
        <f t="shared" si="6"/>
        <v>None</v>
      </c>
      <c r="Q17" s="470" t="str">
        <f>Sandbox!BF23</f>
        <v>Yes</v>
      </c>
      <c r="R17" s="37">
        <f t="shared" si="7"/>
        <v>0</v>
      </c>
      <c r="S17" s="470" t="str">
        <f>IF(Sandbox!BE23="Add","Yes","No")</f>
        <v>No</v>
      </c>
      <c r="T17" s="470">
        <f t="shared" si="8"/>
        <v>0</v>
      </c>
      <c r="U17" s="470" t="str">
        <f>Sandbox!BG23</f>
        <v>Yes</v>
      </c>
      <c r="V17" s="111">
        <f>IF(OR(F17="none",G17="V"),0,VLOOKUP(F17,'Purchased Boons'!$AR$4:$AS$27,2,FALSE))</f>
        <v>0</v>
      </c>
      <c r="W17" s="475">
        <f>Sandbox!BH23</f>
        <v>0</v>
      </c>
      <c r="X17" s="475">
        <f>Sandbox!BI23</f>
        <v>0</v>
      </c>
      <c r="Y17" s="37" t="s">
        <v>2293</v>
      </c>
      <c r="Z17" s="111" t="s">
        <v>817</v>
      </c>
      <c r="AF17" s="37" t="s">
        <v>47</v>
      </c>
      <c r="AG17" s="37">
        <f>CharacterSheet!M53</f>
        <v>0</v>
      </c>
      <c r="AH17" s="37">
        <f>'Purchased Boons'!AT16</f>
        <v>0</v>
      </c>
      <c r="AI17" s="37" t="s">
        <v>364</v>
      </c>
      <c r="AJ17" s="38">
        <f>LARGE('Purchased Boons'!BW$1:BW$500,1)</f>
        <v>0</v>
      </c>
    </row>
    <row r="18" spans="1:36" x14ac:dyDescent="0.25">
      <c r="A18" s="474" t="str">
        <f>IF(Sandbox!AX24="","",Sandbox!AX24)</f>
        <v/>
      </c>
      <c r="B18" s="39" t="str">
        <f>IF(Sandbox!$BH$4="",Sandbox!$AX$4,Sandbox!$BH$4)</f>
        <v>Custom Purview 1</v>
      </c>
      <c r="C18" s="470" t="str">
        <f>IF(Sandbox!AY24="","",Sandbox!AY24)</f>
        <v/>
      </c>
      <c r="D18" s="470" t="str">
        <f>Sandbox!AZ24</f>
        <v>None</v>
      </c>
      <c r="E18" s="37">
        <f t="shared" si="0"/>
        <v>0</v>
      </c>
      <c r="F18" s="470" t="str">
        <f>Sandbox!BA24</f>
        <v>None</v>
      </c>
      <c r="G18" s="37">
        <f t="shared" si="1"/>
        <v>0</v>
      </c>
      <c r="H18" s="37" t="str">
        <f>IF(Sandbox!BC24="No","None",Sandbox!$BH$4)</f>
        <v>None</v>
      </c>
      <c r="I18" s="37">
        <f t="shared" si="2"/>
        <v>0</v>
      </c>
      <c r="J18" s="37" t="str">
        <f>Sandbox!BD24</f>
        <v>No</v>
      </c>
      <c r="K18" s="37">
        <f t="shared" si="3"/>
        <v>0</v>
      </c>
      <c r="L18" s="37" t="str">
        <f>Sandbox!BB24</f>
        <v>None</v>
      </c>
      <c r="M18" s="37">
        <f t="shared" si="4"/>
        <v>0</v>
      </c>
      <c r="N18" s="470" t="str">
        <f>IF(Sandbox!BE24="Roll","Yes","No")</f>
        <v>No</v>
      </c>
      <c r="O18" s="470">
        <f t="shared" si="5"/>
        <v>0</v>
      </c>
      <c r="P18" s="37" t="str">
        <f t="shared" si="6"/>
        <v>None</v>
      </c>
      <c r="Q18" s="470" t="str">
        <f>Sandbox!BF24</f>
        <v>Yes</v>
      </c>
      <c r="R18" s="37">
        <f t="shared" si="7"/>
        <v>0</v>
      </c>
      <c r="S18" s="470" t="str">
        <f>IF(Sandbox!BE24="Add","Yes","No")</f>
        <v>No</v>
      </c>
      <c r="T18" s="470">
        <f t="shared" si="8"/>
        <v>0</v>
      </c>
      <c r="U18" s="470" t="str">
        <f>Sandbox!BG24</f>
        <v>Yes</v>
      </c>
      <c r="V18" s="111">
        <f>IF(OR(F18="none",G18="V"),0,VLOOKUP(F18,'Purchased Boons'!$AR$4:$AS$27,2,FALSE))</f>
        <v>0</v>
      </c>
      <c r="W18" s="475">
        <f>Sandbox!BH24</f>
        <v>0</v>
      </c>
      <c r="X18" s="475">
        <f>Sandbox!BI24</f>
        <v>0</v>
      </c>
      <c r="Y18" s="37" t="s">
        <v>2293</v>
      </c>
      <c r="Z18" s="111" t="s">
        <v>817</v>
      </c>
      <c r="AF18" s="37" t="s">
        <v>48</v>
      </c>
      <c r="AG18" s="37">
        <f>CharacterSheet!M54</f>
        <v>0</v>
      </c>
      <c r="AH18" s="37">
        <f>'Purchased Boons'!AT17</f>
        <v>0</v>
      </c>
      <c r="AI18" s="37" t="s">
        <v>365</v>
      </c>
      <c r="AJ18" s="38">
        <f>LARGE('Purchased Boons'!BX$1:BX$500,1)</f>
        <v>0</v>
      </c>
    </row>
    <row r="19" spans="1:36" x14ac:dyDescent="0.25">
      <c r="A19" s="474" t="str">
        <f>IF(Sandbox!AX25="","",Sandbox!AX25)</f>
        <v/>
      </c>
      <c r="B19" s="39" t="str">
        <f>IF(Sandbox!$BH$4="",Sandbox!$AX$4,Sandbox!$BH$4)</f>
        <v>Custom Purview 1</v>
      </c>
      <c r="C19" s="470" t="str">
        <f>IF(Sandbox!AY25="","",Sandbox!AY25)</f>
        <v/>
      </c>
      <c r="D19" s="470" t="str">
        <f>Sandbox!AZ25</f>
        <v>None</v>
      </c>
      <c r="E19" s="37">
        <f t="shared" si="0"/>
        <v>0</v>
      </c>
      <c r="F19" s="470" t="str">
        <f>Sandbox!BA25</f>
        <v>None</v>
      </c>
      <c r="G19" s="37">
        <f t="shared" si="1"/>
        <v>0</v>
      </c>
      <c r="H19" s="37" t="str">
        <f>IF(Sandbox!BC25="No","None",Sandbox!$BH$4)</f>
        <v>None</v>
      </c>
      <c r="I19" s="37">
        <f t="shared" si="2"/>
        <v>0</v>
      </c>
      <c r="J19" s="37" t="str">
        <f>Sandbox!BD25</f>
        <v>No</v>
      </c>
      <c r="K19" s="37">
        <f t="shared" si="3"/>
        <v>0</v>
      </c>
      <c r="L19" s="37" t="str">
        <f>Sandbox!BB25</f>
        <v>None</v>
      </c>
      <c r="M19" s="37">
        <f t="shared" si="4"/>
        <v>0</v>
      </c>
      <c r="N19" s="470" t="str">
        <f>IF(Sandbox!BE25="Roll","Yes","No")</f>
        <v>No</v>
      </c>
      <c r="O19" s="470">
        <f t="shared" si="5"/>
        <v>0</v>
      </c>
      <c r="P19" s="37" t="str">
        <f t="shared" si="6"/>
        <v>None</v>
      </c>
      <c r="Q19" s="470" t="str">
        <f>Sandbox!BF25</f>
        <v>Yes</v>
      </c>
      <c r="R19" s="37">
        <f t="shared" si="7"/>
        <v>0</v>
      </c>
      <c r="S19" s="470" t="str">
        <f>IF(Sandbox!BE25="Add","Yes","No")</f>
        <v>No</v>
      </c>
      <c r="T19" s="470">
        <f t="shared" si="8"/>
        <v>0</v>
      </c>
      <c r="U19" s="470" t="str">
        <f>Sandbox!BG25</f>
        <v>Yes</v>
      </c>
      <c r="V19" s="111">
        <f>IF(OR(F19="none",G19="V"),0,VLOOKUP(F19,'Purchased Boons'!$AR$4:$AS$27,2,FALSE))</f>
        <v>0</v>
      </c>
      <c r="W19" s="475">
        <f>Sandbox!BH25</f>
        <v>0</v>
      </c>
      <c r="X19" s="475">
        <f>Sandbox!BI25</f>
        <v>0</v>
      </c>
      <c r="Y19" s="37" t="s">
        <v>2293</v>
      </c>
      <c r="Z19" s="111" t="s">
        <v>817</v>
      </c>
      <c r="AF19" s="37" t="s">
        <v>494</v>
      </c>
      <c r="AG19" s="37">
        <v>0</v>
      </c>
      <c r="AH19" s="37">
        <v>0</v>
      </c>
      <c r="AI19" s="37" t="s">
        <v>366</v>
      </c>
      <c r="AJ19" s="38">
        <f>LARGE('Purchased Boons'!BY$1:BY$500,1)</f>
        <v>0</v>
      </c>
    </row>
    <row r="20" spans="1:36" x14ac:dyDescent="0.25">
      <c r="A20" s="474" t="str">
        <f>IF(Sandbox!AX26="","",Sandbox!AX26)</f>
        <v/>
      </c>
      <c r="B20" s="39" t="str">
        <f>IF(Sandbox!$BH$4="",Sandbox!$AX$4,Sandbox!$BH$4)</f>
        <v>Custom Purview 1</v>
      </c>
      <c r="C20" s="470" t="str">
        <f>IF(Sandbox!AY26="","",Sandbox!AY26)</f>
        <v/>
      </c>
      <c r="D20" s="470" t="str">
        <f>Sandbox!AZ26</f>
        <v>None</v>
      </c>
      <c r="E20" s="37">
        <f t="shared" si="0"/>
        <v>0</v>
      </c>
      <c r="F20" s="470" t="str">
        <f>Sandbox!BA26</f>
        <v>None</v>
      </c>
      <c r="G20" s="37">
        <f t="shared" si="1"/>
        <v>0</v>
      </c>
      <c r="H20" s="37" t="str">
        <f>IF(Sandbox!BC26="No","None",Sandbox!$BH$4)</f>
        <v>None</v>
      </c>
      <c r="I20" s="37">
        <f t="shared" si="2"/>
        <v>0</v>
      </c>
      <c r="J20" s="37" t="str">
        <f>Sandbox!BD26</f>
        <v>No</v>
      </c>
      <c r="K20" s="37">
        <f t="shared" si="3"/>
        <v>0</v>
      </c>
      <c r="L20" s="37" t="str">
        <f>Sandbox!BB26</f>
        <v>None</v>
      </c>
      <c r="M20" s="37">
        <f t="shared" si="4"/>
        <v>0</v>
      </c>
      <c r="N20" s="470" t="str">
        <f>IF(Sandbox!BE26="Roll","Yes","No")</f>
        <v>No</v>
      </c>
      <c r="O20" s="470">
        <f t="shared" si="5"/>
        <v>0</v>
      </c>
      <c r="P20" s="37" t="str">
        <f t="shared" si="6"/>
        <v>None</v>
      </c>
      <c r="Q20" s="470" t="str">
        <f>Sandbox!BF26</f>
        <v>Yes</v>
      </c>
      <c r="R20" s="37">
        <f t="shared" si="7"/>
        <v>0</v>
      </c>
      <c r="S20" s="470" t="str">
        <f>IF(Sandbox!BE26="Add","Yes","No")</f>
        <v>No</v>
      </c>
      <c r="T20" s="470">
        <f t="shared" si="8"/>
        <v>0</v>
      </c>
      <c r="U20" s="470" t="str">
        <f>Sandbox!BG26</f>
        <v>Yes</v>
      </c>
      <c r="V20" s="111">
        <f>IF(OR(F20="none",G20="V"),0,VLOOKUP(F20,'Purchased Boons'!$AR$4:$AS$27,2,FALSE))</f>
        <v>0</v>
      </c>
      <c r="W20" s="475">
        <f>Sandbox!BH26</f>
        <v>0</v>
      </c>
      <c r="X20" s="475">
        <f>Sandbox!BI26</f>
        <v>0</v>
      </c>
      <c r="Y20" s="37" t="s">
        <v>2293</v>
      </c>
      <c r="Z20" s="111" t="s">
        <v>817</v>
      </c>
      <c r="AF20" s="37" t="s">
        <v>49</v>
      </c>
      <c r="AG20" s="37">
        <f>CharacterSheet!M55</f>
        <v>0</v>
      </c>
      <c r="AH20" s="37">
        <f>'Purchased Boons'!AT18</f>
        <v>0</v>
      </c>
      <c r="AI20" s="37" t="s">
        <v>367</v>
      </c>
      <c r="AJ20" s="38">
        <f>LARGE('Purchased Boons'!BZ$1:BZ$500,1)</f>
        <v>0</v>
      </c>
    </row>
    <row r="21" spans="1:36" x14ac:dyDescent="0.25">
      <c r="A21" s="474" t="str">
        <f>IF(Sandbox!AX27="","",Sandbox!AX27)</f>
        <v/>
      </c>
      <c r="B21" s="39" t="str">
        <f>IF(Sandbox!$BH$4="",Sandbox!$AX$4,Sandbox!$BH$4)</f>
        <v>Custom Purview 1</v>
      </c>
      <c r="C21" s="470" t="str">
        <f>IF(Sandbox!AY27="","",Sandbox!AY27)</f>
        <v/>
      </c>
      <c r="D21" s="470" t="str">
        <f>Sandbox!AZ27</f>
        <v>None</v>
      </c>
      <c r="E21" s="37">
        <f t="shared" si="0"/>
        <v>0</v>
      </c>
      <c r="F21" s="470" t="str">
        <f>Sandbox!BA27</f>
        <v>None</v>
      </c>
      <c r="G21" s="37">
        <f t="shared" si="1"/>
        <v>0</v>
      </c>
      <c r="H21" s="37" t="str">
        <f>IF(Sandbox!BC27="No","None",Sandbox!$BH$4)</f>
        <v>None</v>
      </c>
      <c r="I21" s="37">
        <f t="shared" si="2"/>
        <v>0</v>
      </c>
      <c r="J21" s="37" t="str">
        <f>Sandbox!BD27</f>
        <v>No</v>
      </c>
      <c r="K21" s="37">
        <f t="shared" si="3"/>
        <v>0</v>
      </c>
      <c r="L21" s="37" t="str">
        <f>Sandbox!BB27</f>
        <v>None</v>
      </c>
      <c r="M21" s="37">
        <f t="shared" si="4"/>
        <v>0</v>
      </c>
      <c r="N21" s="470" t="str">
        <f>IF(Sandbox!BE27="Roll","Yes","No")</f>
        <v>No</v>
      </c>
      <c r="O21" s="470">
        <f t="shared" si="5"/>
        <v>0</v>
      </c>
      <c r="P21" s="37" t="str">
        <f t="shared" si="6"/>
        <v>None</v>
      </c>
      <c r="Q21" s="470" t="str">
        <f>Sandbox!BF27</f>
        <v>Yes</v>
      </c>
      <c r="R21" s="37">
        <f t="shared" si="7"/>
        <v>0</v>
      </c>
      <c r="S21" s="470" t="str">
        <f>IF(Sandbox!BE27="Add","Yes","No")</f>
        <v>No</v>
      </c>
      <c r="T21" s="470">
        <f t="shared" si="8"/>
        <v>0</v>
      </c>
      <c r="U21" s="470" t="str">
        <f>Sandbox!BG27</f>
        <v>Yes</v>
      </c>
      <c r="V21" s="111">
        <f>IF(OR(F21="none",G21="V"),0,VLOOKUP(F21,'Purchased Boons'!$AR$4:$AS$27,2,FALSE))</f>
        <v>0</v>
      </c>
      <c r="W21" s="475">
        <f>Sandbox!BH27</f>
        <v>0</v>
      </c>
      <c r="X21" s="475">
        <f>Sandbox!BI27</f>
        <v>0</v>
      </c>
      <c r="Y21" s="37" t="s">
        <v>2293</v>
      </c>
      <c r="Z21" s="111" t="s">
        <v>817</v>
      </c>
      <c r="AF21" s="37" t="s">
        <v>50</v>
      </c>
      <c r="AG21" s="37">
        <f>CharacterSheet!M56</f>
        <v>0</v>
      </c>
      <c r="AH21" s="37">
        <f>'Purchased Boons'!AT19</f>
        <v>0</v>
      </c>
      <c r="AI21" s="37" t="s">
        <v>689</v>
      </c>
      <c r="AJ21" s="38">
        <f>LARGE('Purchased Boons'!CA$1:CA$500,1)</f>
        <v>0</v>
      </c>
    </row>
    <row r="22" spans="1:36" x14ac:dyDescent="0.25">
      <c r="A22" s="474" t="str">
        <f>IF(Sandbox!AX28="","",Sandbox!AX28)</f>
        <v/>
      </c>
      <c r="B22" s="39" t="str">
        <f>IF(Sandbox!$BH$4="",Sandbox!$AX$4,Sandbox!$BH$4)</f>
        <v>Custom Purview 1</v>
      </c>
      <c r="C22" s="470" t="str">
        <f>IF(Sandbox!AY28="","",Sandbox!AY28)</f>
        <v/>
      </c>
      <c r="D22" s="470" t="str">
        <f>Sandbox!AZ28</f>
        <v>None</v>
      </c>
      <c r="E22" s="37">
        <f t="shared" si="0"/>
        <v>0</v>
      </c>
      <c r="F22" s="470" t="str">
        <f>Sandbox!BA28</f>
        <v>None</v>
      </c>
      <c r="G22" s="37">
        <f t="shared" si="1"/>
        <v>0</v>
      </c>
      <c r="H22" s="37" t="str">
        <f>IF(Sandbox!BC28="No","None",Sandbox!$BH$4)</f>
        <v>None</v>
      </c>
      <c r="I22" s="37">
        <f t="shared" si="2"/>
        <v>0</v>
      </c>
      <c r="J22" s="37" t="str">
        <f>Sandbox!BD28</f>
        <v>No</v>
      </c>
      <c r="K22" s="37">
        <f t="shared" si="3"/>
        <v>0</v>
      </c>
      <c r="L22" s="37" t="str">
        <f>Sandbox!BB28</f>
        <v>None</v>
      </c>
      <c r="M22" s="37">
        <f t="shared" si="4"/>
        <v>0</v>
      </c>
      <c r="N22" s="470" t="str">
        <f>IF(Sandbox!BE28="Roll","Yes","No")</f>
        <v>No</v>
      </c>
      <c r="O22" s="470">
        <f t="shared" si="5"/>
        <v>0</v>
      </c>
      <c r="P22" s="37" t="str">
        <f t="shared" si="6"/>
        <v>None</v>
      </c>
      <c r="Q22" s="470" t="str">
        <f>Sandbox!BF28</f>
        <v>Yes</v>
      </c>
      <c r="R22" s="37">
        <f t="shared" si="7"/>
        <v>0</v>
      </c>
      <c r="S22" s="470" t="str">
        <f>IF(Sandbox!BE28="Add","Yes","No")</f>
        <v>No</v>
      </c>
      <c r="T22" s="470">
        <f t="shared" si="8"/>
        <v>0</v>
      </c>
      <c r="U22" s="470" t="str">
        <f>Sandbox!BG28</f>
        <v>Yes</v>
      </c>
      <c r="V22" s="111">
        <f>IF(OR(F22="none",G22="V"),0,VLOOKUP(F22,'Purchased Boons'!$AR$4:$AS$27,2,FALSE))</f>
        <v>0</v>
      </c>
      <c r="W22" s="475">
        <f>Sandbox!BH28</f>
        <v>0</v>
      </c>
      <c r="X22" s="475">
        <f>Sandbox!BI28</f>
        <v>0</v>
      </c>
      <c r="Y22" s="37" t="s">
        <v>2293</v>
      </c>
      <c r="Z22" s="111" t="s">
        <v>817</v>
      </c>
      <c r="AF22" s="37" t="s">
        <v>51</v>
      </c>
      <c r="AG22" s="37">
        <f>CharacterSheet!M57</f>
        <v>0</v>
      </c>
      <c r="AH22" s="37">
        <f>'Purchased Boons'!AT20</f>
        <v>0</v>
      </c>
      <c r="AI22" s="37" t="s">
        <v>369</v>
      </c>
      <c r="AJ22" s="38">
        <f>LARGE('Purchased Boons'!CB$1:CB$500,1)</f>
        <v>0</v>
      </c>
    </row>
    <row r="23" spans="1:36" x14ac:dyDescent="0.25">
      <c r="A23" s="474" t="str">
        <f>IF(Sandbox!AX33="","",Sandbox!AX33)</f>
        <v/>
      </c>
      <c r="B23" s="39" t="str">
        <f>IF(Sandbox!$BH$29="",Sandbox!$AX$29,Sandbox!$BH$29)</f>
        <v>Custom Purview 2</v>
      </c>
      <c r="C23" s="470" t="str">
        <f>IF(Sandbox!AY33="","",Sandbox!AY33)</f>
        <v/>
      </c>
      <c r="D23" s="470" t="str">
        <f>Sandbox!AZ33</f>
        <v>None</v>
      </c>
      <c r="E23" s="37">
        <f t="shared" si="0"/>
        <v>0</v>
      </c>
      <c r="F23" s="470" t="str">
        <f>Sandbox!BA33</f>
        <v>None</v>
      </c>
      <c r="G23" s="37">
        <f t="shared" si="1"/>
        <v>0</v>
      </c>
      <c r="H23" s="37" t="str">
        <f>IF(Sandbox!BC33="No","None",Sandbox!$BH$4)</f>
        <v>None</v>
      </c>
      <c r="I23" s="37">
        <f t="shared" si="2"/>
        <v>0</v>
      </c>
      <c r="J23" s="37" t="str">
        <f>Sandbox!BD33</f>
        <v>No</v>
      </c>
      <c r="K23" s="37">
        <f t="shared" si="3"/>
        <v>0</v>
      </c>
      <c r="L23" s="37" t="str">
        <f>Sandbox!BB33</f>
        <v>None</v>
      </c>
      <c r="M23" s="37">
        <f t="shared" si="4"/>
        <v>0</v>
      </c>
      <c r="N23" s="470" t="str">
        <f>IF(Sandbox!BE33="Roll","Yes","No")</f>
        <v>No</v>
      </c>
      <c r="O23" s="470">
        <f t="shared" si="5"/>
        <v>0</v>
      </c>
      <c r="P23" s="37" t="str">
        <f t="shared" si="6"/>
        <v>None</v>
      </c>
      <c r="Q23" s="470" t="str">
        <f>Sandbox!BF33</f>
        <v>Yes</v>
      </c>
      <c r="R23" s="37">
        <f t="shared" si="7"/>
        <v>0</v>
      </c>
      <c r="S23" s="470" t="str">
        <f>IF(Sandbox!BE33="Add","Yes","No")</f>
        <v>No</v>
      </c>
      <c r="T23" s="470">
        <f t="shared" si="8"/>
        <v>0</v>
      </c>
      <c r="U23" s="470" t="str">
        <f>Sandbox!BG33</f>
        <v>Yes</v>
      </c>
      <c r="V23" s="111">
        <f>IF(OR(F23="none",G23="V"),0,VLOOKUP(F23,'Purchased Boons'!$AR$4:$AS$27,2,FALSE))</f>
        <v>0</v>
      </c>
      <c r="W23" s="475">
        <f>Sandbox!BH33</f>
        <v>0</v>
      </c>
      <c r="X23" s="475">
        <f>Sandbox!BI33</f>
        <v>0</v>
      </c>
      <c r="Y23" s="37" t="s">
        <v>2293</v>
      </c>
      <c r="Z23" s="111" t="s">
        <v>817</v>
      </c>
      <c r="AF23" s="37" t="s">
        <v>58</v>
      </c>
      <c r="AG23" s="37">
        <f>'Purchased Boons'!AS38</f>
        <v>0</v>
      </c>
      <c r="AH23" s="37">
        <f>'Purchased Boons'!AT27</f>
        <v>0</v>
      </c>
      <c r="AI23" s="37" t="s">
        <v>370</v>
      </c>
      <c r="AJ23" s="38">
        <f>LARGE('Purchased Boons'!CC$1:CC$500,1)</f>
        <v>0</v>
      </c>
    </row>
    <row r="24" spans="1:36" x14ac:dyDescent="0.25">
      <c r="A24" s="474" t="str">
        <f>IF(Sandbox!AX34="","",Sandbox!AX34)</f>
        <v/>
      </c>
      <c r="B24" s="39" t="str">
        <f>IF(Sandbox!$BH$29="",Sandbox!$AX$29,Sandbox!$BH$29)</f>
        <v>Custom Purview 2</v>
      </c>
      <c r="C24" s="470" t="str">
        <f>IF(Sandbox!AY34="","",Sandbox!AY34)</f>
        <v/>
      </c>
      <c r="D24" s="470" t="str">
        <f>Sandbox!AZ34</f>
        <v>None</v>
      </c>
      <c r="E24" s="37">
        <f t="shared" si="0"/>
        <v>0</v>
      </c>
      <c r="F24" s="470" t="str">
        <f>Sandbox!BA34</f>
        <v>None</v>
      </c>
      <c r="G24" s="37">
        <f t="shared" si="1"/>
        <v>0</v>
      </c>
      <c r="H24" s="37" t="str">
        <f>IF(Sandbox!BC34="No","None",Sandbox!$BH$4)</f>
        <v>None</v>
      </c>
      <c r="I24" s="37">
        <f t="shared" si="2"/>
        <v>0</v>
      </c>
      <c r="J24" s="37" t="str">
        <f>Sandbox!BD34</f>
        <v>No</v>
      </c>
      <c r="K24" s="37">
        <f t="shared" si="3"/>
        <v>0</v>
      </c>
      <c r="L24" s="37" t="str">
        <f>Sandbox!BB34</f>
        <v>None</v>
      </c>
      <c r="M24" s="37">
        <f t="shared" si="4"/>
        <v>0</v>
      </c>
      <c r="N24" s="470" t="str">
        <f>IF(Sandbox!BE34="Roll","Yes","No")</f>
        <v>No</v>
      </c>
      <c r="O24" s="470">
        <f t="shared" si="5"/>
        <v>0</v>
      </c>
      <c r="P24" s="37" t="str">
        <f t="shared" si="6"/>
        <v>None</v>
      </c>
      <c r="Q24" s="470" t="str">
        <f>Sandbox!BF34</f>
        <v>Yes</v>
      </c>
      <c r="R24" s="37">
        <f t="shared" si="7"/>
        <v>0</v>
      </c>
      <c r="S24" s="470" t="str">
        <f>IF(Sandbox!BE34="Add","Yes","No")</f>
        <v>No</v>
      </c>
      <c r="T24" s="470">
        <f t="shared" si="8"/>
        <v>0</v>
      </c>
      <c r="U24" s="470" t="str">
        <f>Sandbox!BG34</f>
        <v>Yes</v>
      </c>
      <c r="V24" s="111">
        <f>IF(OR(F24="none",G24="V"),0,VLOOKUP(F24,'Purchased Boons'!$AR$4:$AS$27,2,FALSE))</f>
        <v>0</v>
      </c>
      <c r="W24" s="475">
        <f>Sandbox!BH34</f>
        <v>0</v>
      </c>
      <c r="X24" s="475">
        <f>Sandbox!BI34</f>
        <v>0</v>
      </c>
      <c r="Y24" s="37" t="s">
        <v>2293</v>
      </c>
      <c r="Z24" s="111" t="s">
        <v>817</v>
      </c>
      <c r="AF24" s="37" t="s">
        <v>52</v>
      </c>
      <c r="AG24" s="37">
        <f>CharacterSheet!M58</f>
        <v>0</v>
      </c>
      <c r="AH24" s="37">
        <f>'Purchased Boons'!AT21</f>
        <v>0</v>
      </c>
      <c r="AI24" s="37" t="s">
        <v>371</v>
      </c>
      <c r="AJ24" s="38">
        <f>LARGE('Purchased Boons'!CD$1:CD$500,1)</f>
        <v>0</v>
      </c>
    </row>
    <row r="25" spans="1:36" x14ac:dyDescent="0.25">
      <c r="A25" s="474" t="str">
        <f>IF(Sandbox!AX35="","",Sandbox!AX35)</f>
        <v/>
      </c>
      <c r="B25" s="39" t="str">
        <f>IF(Sandbox!$BH$29="",Sandbox!$AX$29,Sandbox!$BH$29)</f>
        <v>Custom Purview 2</v>
      </c>
      <c r="C25" s="470" t="str">
        <f>IF(Sandbox!AY35="","",Sandbox!AY35)</f>
        <v/>
      </c>
      <c r="D25" s="470" t="str">
        <f>Sandbox!AZ35</f>
        <v>None</v>
      </c>
      <c r="E25" s="37">
        <f t="shared" si="0"/>
        <v>0</v>
      </c>
      <c r="F25" s="470" t="str">
        <f>Sandbox!BA35</f>
        <v>None</v>
      </c>
      <c r="G25" s="37">
        <f t="shared" si="1"/>
        <v>0</v>
      </c>
      <c r="H25" s="37" t="str">
        <f>IF(Sandbox!BC35="No","None",Sandbox!$BH$4)</f>
        <v>None</v>
      </c>
      <c r="I25" s="37">
        <f t="shared" si="2"/>
        <v>0</v>
      </c>
      <c r="J25" s="37" t="str">
        <f>Sandbox!BD35</f>
        <v>No</v>
      </c>
      <c r="K25" s="37">
        <f t="shared" si="3"/>
        <v>0</v>
      </c>
      <c r="L25" s="37" t="str">
        <f>Sandbox!BB35</f>
        <v>None</v>
      </c>
      <c r="M25" s="37">
        <f t="shared" si="4"/>
        <v>0</v>
      </c>
      <c r="N25" s="470" t="str">
        <f>IF(Sandbox!BE35="Roll","Yes","No")</f>
        <v>No</v>
      </c>
      <c r="O25" s="470">
        <f t="shared" si="5"/>
        <v>0</v>
      </c>
      <c r="P25" s="37" t="str">
        <f t="shared" si="6"/>
        <v>None</v>
      </c>
      <c r="Q25" s="470" t="str">
        <f>Sandbox!BF35</f>
        <v>Yes</v>
      </c>
      <c r="R25" s="37">
        <f t="shared" si="7"/>
        <v>0</v>
      </c>
      <c r="S25" s="470" t="str">
        <f>IF(Sandbox!BE35="Add","Yes","No")</f>
        <v>No</v>
      </c>
      <c r="T25" s="470">
        <f t="shared" si="8"/>
        <v>0</v>
      </c>
      <c r="U25" s="470" t="str">
        <f>Sandbox!BG35</f>
        <v>Yes</v>
      </c>
      <c r="V25" s="111">
        <f>IF(OR(F25="none",G25="V"),0,VLOOKUP(F25,'Purchased Boons'!$AR$4:$AS$27,2,FALSE))</f>
        <v>0</v>
      </c>
      <c r="W25" s="475">
        <f>Sandbox!BH35</f>
        <v>0</v>
      </c>
      <c r="X25" s="475">
        <f>Sandbox!BI35</f>
        <v>0</v>
      </c>
      <c r="Y25" s="37" t="s">
        <v>2293</v>
      </c>
      <c r="Z25" s="111" t="s">
        <v>817</v>
      </c>
      <c r="AF25" s="37" t="s">
        <v>53</v>
      </c>
      <c r="AG25" s="37">
        <f>CharacterSheet!M59</f>
        <v>0</v>
      </c>
      <c r="AH25" s="37">
        <f>'Purchased Boons'!AT22</f>
        <v>0</v>
      </c>
      <c r="AI25" s="37" t="s">
        <v>155</v>
      </c>
      <c r="AJ25" s="38">
        <f>LARGE('Purchased Boons'!CE$1:CE$500,1)</f>
        <v>0</v>
      </c>
    </row>
    <row r="26" spans="1:36" x14ac:dyDescent="0.25">
      <c r="A26" s="474" t="str">
        <f>IF(Sandbox!AX36="","",Sandbox!AX36)</f>
        <v/>
      </c>
      <c r="B26" s="39" t="str">
        <f>IF(Sandbox!$BH$29="",Sandbox!$AX$29,Sandbox!$BH$29)</f>
        <v>Custom Purview 2</v>
      </c>
      <c r="C26" s="470" t="str">
        <f>IF(Sandbox!AY36="","",Sandbox!AY36)</f>
        <v/>
      </c>
      <c r="D26" s="470" t="str">
        <f>Sandbox!AZ36</f>
        <v>None</v>
      </c>
      <c r="E26" s="37">
        <f t="shared" si="0"/>
        <v>0</v>
      </c>
      <c r="F26" s="470" t="str">
        <f>Sandbox!BA36</f>
        <v>None</v>
      </c>
      <c r="G26" s="37">
        <f t="shared" si="1"/>
        <v>0</v>
      </c>
      <c r="H26" s="37" t="str">
        <f>IF(Sandbox!BC36="No","None",Sandbox!$BH$4)</f>
        <v>None</v>
      </c>
      <c r="I26" s="37">
        <f t="shared" si="2"/>
        <v>0</v>
      </c>
      <c r="J26" s="37" t="str">
        <f>Sandbox!BD36</f>
        <v>No</v>
      </c>
      <c r="K26" s="37">
        <f t="shared" si="3"/>
        <v>0</v>
      </c>
      <c r="L26" s="37" t="str">
        <f>Sandbox!BB36</f>
        <v>None</v>
      </c>
      <c r="M26" s="37">
        <f t="shared" si="4"/>
        <v>0</v>
      </c>
      <c r="N26" s="470" t="str">
        <f>IF(Sandbox!BE36="Roll","Yes","No")</f>
        <v>No</v>
      </c>
      <c r="O26" s="470">
        <f t="shared" si="5"/>
        <v>0</v>
      </c>
      <c r="P26" s="37" t="str">
        <f t="shared" si="6"/>
        <v>None</v>
      </c>
      <c r="Q26" s="470" t="str">
        <f>Sandbox!BF36</f>
        <v>Yes</v>
      </c>
      <c r="R26" s="37">
        <f t="shared" si="7"/>
        <v>0</v>
      </c>
      <c r="S26" s="470" t="str">
        <f>IF(Sandbox!BE36="Add","Yes","No")</f>
        <v>No</v>
      </c>
      <c r="T26" s="470">
        <f t="shared" si="8"/>
        <v>0</v>
      </c>
      <c r="U26" s="470" t="str">
        <f>Sandbox!BG36</f>
        <v>Yes</v>
      </c>
      <c r="V26" s="111">
        <f>IF(OR(F26="none",G26="V"),0,VLOOKUP(F26,'Purchased Boons'!$AR$4:$AS$27,2,FALSE))</f>
        <v>0</v>
      </c>
      <c r="W26" s="475">
        <f>Sandbox!BH36</f>
        <v>0</v>
      </c>
      <c r="X26" s="475">
        <f>Sandbox!BI36</f>
        <v>0</v>
      </c>
      <c r="Y26" s="37" t="s">
        <v>2293</v>
      </c>
      <c r="Z26" s="111" t="s">
        <v>817</v>
      </c>
      <c r="AF26" s="37" t="s">
        <v>54</v>
      </c>
      <c r="AG26" s="37">
        <f>CharacterSheet!M60</f>
        <v>0</v>
      </c>
      <c r="AH26" s="37">
        <f>'Purchased Boons'!AT23</f>
        <v>0</v>
      </c>
      <c r="AI26" s="37" t="s">
        <v>182</v>
      </c>
      <c r="AJ26" s="38">
        <f>LARGE('Purchased Boons'!CF$1:CF$500,1)</f>
        <v>0</v>
      </c>
    </row>
    <row r="27" spans="1:36" x14ac:dyDescent="0.25">
      <c r="A27" s="474" t="str">
        <f>IF(Sandbox!AX37="","",Sandbox!AX37)</f>
        <v/>
      </c>
      <c r="B27" s="39" t="str">
        <f>IF(Sandbox!$BH$29="",Sandbox!$AX$29,Sandbox!$BH$29)</f>
        <v>Custom Purview 2</v>
      </c>
      <c r="C27" s="470" t="str">
        <f>IF(Sandbox!AY37="","",Sandbox!AY37)</f>
        <v/>
      </c>
      <c r="D27" s="470" t="str">
        <f>Sandbox!AZ37</f>
        <v>None</v>
      </c>
      <c r="E27" s="37">
        <f t="shared" si="0"/>
        <v>0</v>
      </c>
      <c r="F27" s="470" t="str">
        <f>Sandbox!BA37</f>
        <v>None</v>
      </c>
      <c r="G27" s="37">
        <f t="shared" si="1"/>
        <v>0</v>
      </c>
      <c r="H27" s="37" t="str">
        <f>IF(Sandbox!BC37="No","None",Sandbox!$BH$4)</f>
        <v>None</v>
      </c>
      <c r="I27" s="37">
        <f t="shared" si="2"/>
        <v>0</v>
      </c>
      <c r="J27" s="37" t="str">
        <f>Sandbox!BD37</f>
        <v>No</v>
      </c>
      <c r="K27" s="37">
        <f t="shared" si="3"/>
        <v>0</v>
      </c>
      <c r="L27" s="37" t="str">
        <f>Sandbox!BB37</f>
        <v>None</v>
      </c>
      <c r="M27" s="37">
        <f t="shared" si="4"/>
        <v>0</v>
      </c>
      <c r="N27" s="470" t="str">
        <f>IF(Sandbox!BE37="Roll","Yes","No")</f>
        <v>No</v>
      </c>
      <c r="O27" s="470">
        <f t="shared" si="5"/>
        <v>0</v>
      </c>
      <c r="P27" s="37" t="str">
        <f t="shared" si="6"/>
        <v>None</v>
      </c>
      <c r="Q27" s="470" t="str">
        <f>Sandbox!BF37</f>
        <v>Yes</v>
      </c>
      <c r="R27" s="37">
        <f t="shared" si="7"/>
        <v>0</v>
      </c>
      <c r="S27" s="470" t="str">
        <f>IF(Sandbox!BE37="Add","Yes","No")</f>
        <v>No</v>
      </c>
      <c r="T27" s="470">
        <f t="shared" si="8"/>
        <v>0</v>
      </c>
      <c r="U27" s="470" t="str">
        <f>Sandbox!BG37</f>
        <v>Yes</v>
      </c>
      <c r="V27" s="111">
        <f>IF(OR(F27="none",G27="V"),0,VLOOKUP(F27,'Purchased Boons'!$AR$4:$AS$27,2,FALSE))</f>
        <v>0</v>
      </c>
      <c r="W27" s="475">
        <f>Sandbox!BH37</f>
        <v>0</v>
      </c>
      <c r="X27" s="475">
        <f>Sandbox!BI37</f>
        <v>0</v>
      </c>
      <c r="Y27" s="37" t="s">
        <v>2293</v>
      </c>
      <c r="Z27" s="111" t="s">
        <v>817</v>
      </c>
      <c r="AF27" s="37" t="s">
        <v>1063</v>
      </c>
      <c r="AG27" s="37" t="s">
        <v>819</v>
      </c>
      <c r="AH27" s="37">
        <v>0</v>
      </c>
      <c r="AI27" s="37" t="s">
        <v>691</v>
      </c>
      <c r="AJ27" s="38">
        <f>LARGE('Purchased Boons'!CG$1:CG$500,1)</f>
        <v>0</v>
      </c>
    </row>
    <row r="28" spans="1:36" x14ac:dyDescent="0.25">
      <c r="A28" s="474" t="str">
        <f>IF(Sandbox!AX38="","",Sandbox!AX38)</f>
        <v/>
      </c>
      <c r="B28" s="39" t="str">
        <f>IF(Sandbox!$BH$29="",Sandbox!$AX$29,Sandbox!$BH$29)</f>
        <v>Custom Purview 2</v>
      </c>
      <c r="C28" s="470" t="str">
        <f>IF(Sandbox!AY38="","",Sandbox!AY38)</f>
        <v/>
      </c>
      <c r="D28" s="470" t="str">
        <f>Sandbox!AZ38</f>
        <v>None</v>
      </c>
      <c r="E28" s="37">
        <f t="shared" si="0"/>
        <v>0</v>
      </c>
      <c r="F28" s="470" t="str">
        <f>Sandbox!BA38</f>
        <v>None</v>
      </c>
      <c r="G28" s="37">
        <f t="shared" si="1"/>
        <v>0</v>
      </c>
      <c r="H28" s="37" t="str">
        <f>IF(Sandbox!BC38="No","None",Sandbox!$BH$4)</f>
        <v>None</v>
      </c>
      <c r="I28" s="37">
        <f t="shared" si="2"/>
        <v>0</v>
      </c>
      <c r="J28" s="37" t="str">
        <f>Sandbox!BD38</f>
        <v>No</v>
      </c>
      <c r="K28" s="37">
        <f t="shared" si="3"/>
        <v>0</v>
      </c>
      <c r="L28" s="37" t="str">
        <f>Sandbox!BB38</f>
        <v>None</v>
      </c>
      <c r="M28" s="37">
        <f t="shared" si="4"/>
        <v>0</v>
      </c>
      <c r="N28" s="470" t="str">
        <f>IF(Sandbox!BE38="Roll","Yes","No")</f>
        <v>No</v>
      </c>
      <c r="O28" s="470">
        <f t="shared" si="5"/>
        <v>0</v>
      </c>
      <c r="P28" s="37" t="str">
        <f t="shared" si="6"/>
        <v>None</v>
      </c>
      <c r="Q28" s="470" t="str">
        <f>Sandbox!BF38</f>
        <v>Yes</v>
      </c>
      <c r="R28" s="37">
        <f t="shared" si="7"/>
        <v>0</v>
      </c>
      <c r="S28" s="470" t="str">
        <f>IF(Sandbox!BE38="Add","Yes","No")</f>
        <v>No</v>
      </c>
      <c r="T28" s="470">
        <f t="shared" si="8"/>
        <v>0</v>
      </c>
      <c r="U28" s="470" t="str">
        <f>Sandbox!BG38</f>
        <v>Yes</v>
      </c>
      <c r="V28" s="111">
        <f>IF(OR(F28="none",G28="V"),0,VLOOKUP(F28,'Purchased Boons'!$AR$4:$AS$27,2,FALSE))</f>
        <v>0</v>
      </c>
      <c r="W28" s="475">
        <f>Sandbox!BH38</f>
        <v>0</v>
      </c>
      <c r="X28" s="475">
        <f>Sandbox!BI38</f>
        <v>0</v>
      </c>
      <c r="Y28" s="37" t="s">
        <v>2293</v>
      </c>
      <c r="Z28" s="111" t="s">
        <v>817</v>
      </c>
      <c r="AG28" s="24"/>
      <c r="AH28" s="24"/>
      <c r="AI28" s="37" t="s">
        <v>1343</v>
      </c>
      <c r="AJ28" s="38">
        <f>LARGE('Purchased Boons'!CH$1:CH$500,1)</f>
        <v>0</v>
      </c>
    </row>
    <row r="29" spans="1:36" x14ac:dyDescent="0.25">
      <c r="A29" s="474" t="str">
        <f>IF(Sandbox!AX39="","",Sandbox!AX39)</f>
        <v/>
      </c>
      <c r="B29" s="39" t="str">
        <f>IF(Sandbox!$BH$29="",Sandbox!$AX$29,Sandbox!$BH$29)</f>
        <v>Custom Purview 2</v>
      </c>
      <c r="C29" s="470" t="str">
        <f>IF(Sandbox!AY39="","",Sandbox!AY39)</f>
        <v/>
      </c>
      <c r="D29" s="470" t="str">
        <f>Sandbox!AZ39</f>
        <v>None</v>
      </c>
      <c r="E29" s="37">
        <f t="shared" si="0"/>
        <v>0</v>
      </c>
      <c r="F29" s="470" t="str">
        <f>Sandbox!BA39</f>
        <v>None</v>
      </c>
      <c r="G29" s="37">
        <f t="shared" si="1"/>
        <v>0</v>
      </c>
      <c r="H29" s="37" t="str">
        <f>IF(Sandbox!BC39="No","None",Sandbox!$BH$4)</f>
        <v>None</v>
      </c>
      <c r="I29" s="37">
        <f t="shared" si="2"/>
        <v>0</v>
      </c>
      <c r="J29" s="37" t="str">
        <f>Sandbox!BD39</f>
        <v>No</v>
      </c>
      <c r="K29" s="37">
        <f t="shared" si="3"/>
        <v>0</v>
      </c>
      <c r="L29" s="37" t="str">
        <f>Sandbox!BB39</f>
        <v>None</v>
      </c>
      <c r="M29" s="37">
        <f t="shared" si="4"/>
        <v>0</v>
      </c>
      <c r="N29" s="470" t="str">
        <f>IF(Sandbox!BE39="Roll","Yes","No")</f>
        <v>No</v>
      </c>
      <c r="O29" s="470">
        <f t="shared" si="5"/>
        <v>0</v>
      </c>
      <c r="P29" s="37" t="str">
        <f t="shared" si="6"/>
        <v>None</v>
      </c>
      <c r="Q29" s="470" t="str">
        <f>Sandbox!BF39</f>
        <v>Yes</v>
      </c>
      <c r="R29" s="37">
        <f t="shared" si="7"/>
        <v>0</v>
      </c>
      <c r="S29" s="470" t="str">
        <f>IF(Sandbox!BE39="Add","Yes","No")</f>
        <v>No</v>
      </c>
      <c r="T29" s="470">
        <f t="shared" si="8"/>
        <v>0</v>
      </c>
      <c r="U29" s="470" t="str">
        <f>Sandbox!BG39</f>
        <v>Yes</v>
      </c>
      <c r="V29" s="111">
        <f>IF(OR(F29="none",G29="V"),0,VLOOKUP(F29,'Purchased Boons'!$AR$4:$AS$27,2,FALSE))</f>
        <v>0</v>
      </c>
      <c r="W29" s="475">
        <f>Sandbox!BH39</f>
        <v>0</v>
      </c>
      <c r="X29" s="475">
        <f>Sandbox!BI39</f>
        <v>0</v>
      </c>
      <c r="Y29" s="37" t="s">
        <v>2293</v>
      </c>
      <c r="Z29" s="111" t="s">
        <v>817</v>
      </c>
      <c r="AG29" s="24"/>
      <c r="AH29" s="24"/>
      <c r="AI29" s="37" t="s">
        <v>166</v>
      </c>
      <c r="AJ29" s="38">
        <f>LARGE('Purchased Boons'!CI$1:CI$500,1)</f>
        <v>0</v>
      </c>
    </row>
    <row r="30" spans="1:36" x14ac:dyDescent="0.25">
      <c r="A30" s="474" t="str">
        <f>IF(Sandbox!AX40="","",Sandbox!AX40)</f>
        <v/>
      </c>
      <c r="B30" s="39" t="str">
        <f>IF(Sandbox!$BH$29="",Sandbox!$AX$29,Sandbox!$BH$29)</f>
        <v>Custom Purview 2</v>
      </c>
      <c r="C30" s="470" t="str">
        <f>IF(Sandbox!AY40="","",Sandbox!AY40)</f>
        <v/>
      </c>
      <c r="D30" s="470" t="str">
        <f>Sandbox!AZ40</f>
        <v>None</v>
      </c>
      <c r="E30" s="37">
        <f t="shared" si="0"/>
        <v>0</v>
      </c>
      <c r="F30" s="470" t="str">
        <f>Sandbox!BA40</f>
        <v>None</v>
      </c>
      <c r="G30" s="37">
        <f t="shared" si="1"/>
        <v>0</v>
      </c>
      <c r="H30" s="37" t="str">
        <f>IF(Sandbox!BC40="No","None",Sandbox!$BH$4)</f>
        <v>None</v>
      </c>
      <c r="I30" s="37">
        <f t="shared" si="2"/>
        <v>0</v>
      </c>
      <c r="J30" s="37" t="str">
        <f>Sandbox!BD40</f>
        <v>No</v>
      </c>
      <c r="K30" s="37">
        <f t="shared" si="3"/>
        <v>0</v>
      </c>
      <c r="L30" s="37" t="str">
        <f>Sandbox!BB40</f>
        <v>None</v>
      </c>
      <c r="M30" s="37">
        <f t="shared" si="4"/>
        <v>0</v>
      </c>
      <c r="N30" s="470" t="str">
        <f>IF(Sandbox!BE40="Roll","Yes","No")</f>
        <v>No</v>
      </c>
      <c r="O30" s="470">
        <f t="shared" si="5"/>
        <v>0</v>
      </c>
      <c r="P30" s="37" t="str">
        <f t="shared" si="6"/>
        <v>None</v>
      </c>
      <c r="Q30" s="470" t="str">
        <f>Sandbox!BF40</f>
        <v>Yes</v>
      </c>
      <c r="R30" s="37">
        <f t="shared" si="7"/>
        <v>0</v>
      </c>
      <c r="S30" s="470" t="str">
        <f>IF(Sandbox!BE40="Add","Yes","No")</f>
        <v>No</v>
      </c>
      <c r="T30" s="470">
        <f t="shared" si="8"/>
        <v>0</v>
      </c>
      <c r="U30" s="470" t="str">
        <f>Sandbox!BG40</f>
        <v>Yes</v>
      </c>
      <c r="V30" s="111">
        <f>IF(OR(F30="none",G30="V"),0,VLOOKUP(F30,'Purchased Boons'!$AR$4:$AS$27,2,FALSE))</f>
        <v>0</v>
      </c>
      <c r="W30" s="475">
        <f>Sandbox!BH40</f>
        <v>0</v>
      </c>
      <c r="X30" s="475">
        <f>Sandbox!BI40</f>
        <v>0</v>
      </c>
      <c r="Y30" s="37" t="s">
        <v>2293</v>
      </c>
      <c r="Z30" s="111" t="s">
        <v>817</v>
      </c>
      <c r="AG30" s="24"/>
      <c r="AH30" s="24"/>
      <c r="AI30" s="37" t="s">
        <v>168</v>
      </c>
      <c r="AJ30" s="38">
        <f>LARGE('Purchased Boons'!CJ$1:CJ$500,1)</f>
        <v>0</v>
      </c>
    </row>
    <row r="31" spans="1:36" x14ac:dyDescent="0.25">
      <c r="A31" s="474" t="str">
        <f>IF(Sandbox!AX41="","",Sandbox!AX41)</f>
        <v/>
      </c>
      <c r="B31" s="39" t="str">
        <f>IF(Sandbox!$BH$29="",Sandbox!$AX$29,Sandbox!$BH$29)</f>
        <v>Custom Purview 2</v>
      </c>
      <c r="C31" s="470" t="str">
        <f>IF(Sandbox!AY41="","",Sandbox!AY41)</f>
        <v/>
      </c>
      <c r="D31" s="470" t="str">
        <f>Sandbox!AZ41</f>
        <v>None</v>
      </c>
      <c r="E31" s="37">
        <f t="shared" si="0"/>
        <v>0</v>
      </c>
      <c r="F31" s="470" t="str">
        <f>Sandbox!BA41</f>
        <v>None</v>
      </c>
      <c r="G31" s="37">
        <f t="shared" si="1"/>
        <v>0</v>
      </c>
      <c r="H31" s="37" t="str">
        <f>IF(Sandbox!BC41="No","None",Sandbox!$BH$4)</f>
        <v>None</v>
      </c>
      <c r="I31" s="37">
        <f t="shared" si="2"/>
        <v>0</v>
      </c>
      <c r="J31" s="37" t="str">
        <f>Sandbox!BD41</f>
        <v>No</v>
      </c>
      <c r="K31" s="37">
        <f t="shared" si="3"/>
        <v>0</v>
      </c>
      <c r="L31" s="37" t="str">
        <f>Sandbox!BB41</f>
        <v>None</v>
      </c>
      <c r="M31" s="37">
        <f t="shared" si="4"/>
        <v>0</v>
      </c>
      <c r="N31" s="470" t="str">
        <f>IF(Sandbox!BE41="Roll","Yes","No")</f>
        <v>No</v>
      </c>
      <c r="O31" s="470">
        <f t="shared" si="5"/>
        <v>0</v>
      </c>
      <c r="P31" s="37" t="str">
        <f t="shared" si="6"/>
        <v>None</v>
      </c>
      <c r="Q31" s="470" t="str">
        <f>Sandbox!BF41</f>
        <v>Yes</v>
      </c>
      <c r="R31" s="37">
        <f t="shared" si="7"/>
        <v>0</v>
      </c>
      <c r="S31" s="470" t="str">
        <f>IF(Sandbox!BE41="Add","Yes","No")</f>
        <v>No</v>
      </c>
      <c r="T31" s="470">
        <f t="shared" si="8"/>
        <v>0</v>
      </c>
      <c r="U31" s="470" t="str">
        <f>Sandbox!BG41</f>
        <v>Yes</v>
      </c>
      <c r="V31" s="111">
        <f>IF(OR(F31="none",G31="V"),0,VLOOKUP(F31,'Purchased Boons'!$AR$4:$AS$27,2,FALSE))</f>
        <v>0</v>
      </c>
      <c r="W31" s="475">
        <f>Sandbox!BH41</f>
        <v>0</v>
      </c>
      <c r="X31" s="475">
        <f>Sandbox!BI41</f>
        <v>0</v>
      </c>
      <c r="Y31" s="37" t="s">
        <v>2293</v>
      </c>
      <c r="Z31" s="111" t="s">
        <v>817</v>
      </c>
      <c r="AG31" s="24"/>
      <c r="AH31" s="24"/>
      <c r="AI31" s="37" t="s">
        <v>170</v>
      </c>
      <c r="AJ31" s="38">
        <f>LARGE('Purchased Boons'!CK$1:CK$500,1)</f>
        <v>0</v>
      </c>
    </row>
    <row r="32" spans="1:36" x14ac:dyDescent="0.25">
      <c r="A32" s="474" t="str">
        <f>IF(Sandbox!AX42="","",Sandbox!AX42)</f>
        <v/>
      </c>
      <c r="B32" s="39" t="str">
        <f>IF(Sandbox!$BH$29="",Sandbox!$AX$29,Sandbox!$BH$29)</f>
        <v>Custom Purview 2</v>
      </c>
      <c r="C32" s="470" t="str">
        <f>IF(Sandbox!AY42="","",Sandbox!AY42)</f>
        <v/>
      </c>
      <c r="D32" s="470" t="str">
        <f>Sandbox!AZ42</f>
        <v>None</v>
      </c>
      <c r="E32" s="37">
        <f t="shared" si="0"/>
        <v>0</v>
      </c>
      <c r="F32" s="470" t="str">
        <f>Sandbox!BA42</f>
        <v>None</v>
      </c>
      <c r="G32" s="37">
        <f t="shared" si="1"/>
        <v>0</v>
      </c>
      <c r="H32" s="37" t="str">
        <f>IF(Sandbox!BC42="No","None",Sandbox!$BH$4)</f>
        <v>None</v>
      </c>
      <c r="I32" s="37">
        <f t="shared" si="2"/>
        <v>0</v>
      </c>
      <c r="J32" s="37" t="str">
        <f>Sandbox!BD42</f>
        <v>No</v>
      </c>
      <c r="K32" s="37">
        <f t="shared" si="3"/>
        <v>0</v>
      </c>
      <c r="L32" s="37" t="str">
        <f>Sandbox!BB42</f>
        <v>None</v>
      </c>
      <c r="M32" s="37">
        <f t="shared" si="4"/>
        <v>0</v>
      </c>
      <c r="N32" s="470" t="str">
        <f>IF(Sandbox!BE42="Roll","Yes","No")</f>
        <v>No</v>
      </c>
      <c r="O32" s="470">
        <f t="shared" si="5"/>
        <v>0</v>
      </c>
      <c r="P32" s="37" t="str">
        <f t="shared" si="6"/>
        <v>None</v>
      </c>
      <c r="Q32" s="470" t="str">
        <f>Sandbox!BF42</f>
        <v>Yes</v>
      </c>
      <c r="R32" s="37">
        <f t="shared" si="7"/>
        <v>0</v>
      </c>
      <c r="S32" s="470" t="str">
        <f>IF(Sandbox!BE42="Add","Yes","No")</f>
        <v>No</v>
      </c>
      <c r="T32" s="470">
        <f t="shared" si="8"/>
        <v>0</v>
      </c>
      <c r="U32" s="470" t="str">
        <f>Sandbox!BG42</f>
        <v>Yes</v>
      </c>
      <c r="V32" s="111">
        <f>IF(OR(F32="none",G32="V"),0,VLOOKUP(F32,'Purchased Boons'!$AR$4:$AS$27,2,FALSE))</f>
        <v>0</v>
      </c>
      <c r="W32" s="475">
        <f>Sandbox!BH42</f>
        <v>0</v>
      </c>
      <c r="X32" s="475">
        <f>Sandbox!BI42</f>
        <v>0</v>
      </c>
      <c r="Y32" s="37" t="s">
        <v>2293</v>
      </c>
      <c r="Z32" s="111" t="s">
        <v>817</v>
      </c>
      <c r="AG32" s="24"/>
      <c r="AH32" s="24"/>
      <c r="AI32" s="37" t="s">
        <v>87</v>
      </c>
      <c r="AJ32" s="38">
        <f>LARGE('Purchased Boons'!CL$1:CL$500,1)</f>
        <v>0</v>
      </c>
    </row>
    <row r="33" spans="1:36" x14ac:dyDescent="0.25">
      <c r="A33" s="474" t="str">
        <f>IF(Sandbox!AX43="","",Sandbox!AX43)</f>
        <v/>
      </c>
      <c r="B33" s="39" t="str">
        <f>IF(Sandbox!$BH$29="",Sandbox!$AX$29,Sandbox!$BH$29)</f>
        <v>Custom Purview 2</v>
      </c>
      <c r="C33" s="470" t="str">
        <f>IF(Sandbox!AY43="","",Sandbox!AY43)</f>
        <v/>
      </c>
      <c r="D33" s="470" t="str">
        <f>Sandbox!AZ43</f>
        <v>None</v>
      </c>
      <c r="E33" s="37">
        <f t="shared" si="0"/>
        <v>0</v>
      </c>
      <c r="F33" s="470" t="str">
        <f>Sandbox!BA43</f>
        <v>None</v>
      </c>
      <c r="G33" s="37">
        <f t="shared" si="1"/>
        <v>0</v>
      </c>
      <c r="H33" s="37" t="str">
        <f>IF(Sandbox!BC43="No","None",Sandbox!$BH$4)</f>
        <v>None</v>
      </c>
      <c r="I33" s="37">
        <f t="shared" si="2"/>
        <v>0</v>
      </c>
      <c r="J33" s="37" t="str">
        <f>Sandbox!BD43</f>
        <v>No</v>
      </c>
      <c r="K33" s="37">
        <f t="shared" si="3"/>
        <v>0</v>
      </c>
      <c r="L33" s="37" t="str">
        <f>Sandbox!BB43</f>
        <v>None</v>
      </c>
      <c r="M33" s="37">
        <f t="shared" si="4"/>
        <v>0</v>
      </c>
      <c r="N33" s="470" t="str">
        <f>IF(Sandbox!BE43="Roll","Yes","No")</f>
        <v>No</v>
      </c>
      <c r="O33" s="470">
        <f t="shared" si="5"/>
        <v>0</v>
      </c>
      <c r="P33" s="37" t="str">
        <f t="shared" si="6"/>
        <v>None</v>
      </c>
      <c r="Q33" s="470" t="str">
        <f>Sandbox!BF43</f>
        <v>Yes</v>
      </c>
      <c r="R33" s="37">
        <f t="shared" si="7"/>
        <v>0</v>
      </c>
      <c r="S33" s="470" t="str">
        <f>IF(Sandbox!BE43="Add","Yes","No")</f>
        <v>No</v>
      </c>
      <c r="T33" s="470">
        <f t="shared" si="8"/>
        <v>0</v>
      </c>
      <c r="U33" s="470" t="str">
        <f>Sandbox!BG43</f>
        <v>Yes</v>
      </c>
      <c r="V33" s="111">
        <f>IF(OR(F33="none",G33="V"),0,VLOOKUP(F33,'Purchased Boons'!$AR$4:$AS$27,2,FALSE))</f>
        <v>0</v>
      </c>
      <c r="W33" s="475">
        <f>Sandbox!BH43</f>
        <v>0</v>
      </c>
      <c r="X33" s="475">
        <f>Sandbox!BI43</f>
        <v>0</v>
      </c>
      <c r="Y33" s="37" t="s">
        <v>2293</v>
      </c>
      <c r="Z33" s="111" t="s">
        <v>817</v>
      </c>
      <c r="AG33" s="24"/>
      <c r="AH33" s="24"/>
      <c r="AI33" s="37" t="s">
        <v>175</v>
      </c>
      <c r="AJ33" s="38">
        <f>LARGE('Purchased Boons'!CM$1:CM$500,1)</f>
        <v>0</v>
      </c>
    </row>
    <row r="34" spans="1:36" x14ac:dyDescent="0.25">
      <c r="A34" s="474" t="str">
        <f>IF(Sandbox!AX44="","",Sandbox!AX44)</f>
        <v/>
      </c>
      <c r="B34" s="39" t="str">
        <f>IF(Sandbox!$BH$29="",Sandbox!$AX$29,Sandbox!$BH$29)</f>
        <v>Custom Purview 2</v>
      </c>
      <c r="C34" s="470" t="str">
        <f>IF(Sandbox!AY44="","",Sandbox!AY44)</f>
        <v/>
      </c>
      <c r="D34" s="470" t="str">
        <f>Sandbox!AZ44</f>
        <v>None</v>
      </c>
      <c r="E34" s="37">
        <f t="shared" si="0"/>
        <v>0</v>
      </c>
      <c r="F34" s="470" t="str">
        <f>Sandbox!BA44</f>
        <v>None</v>
      </c>
      <c r="G34" s="37">
        <f t="shared" si="1"/>
        <v>0</v>
      </c>
      <c r="H34" s="37" t="str">
        <f>IF(Sandbox!BC44="No","None",Sandbox!$BH$4)</f>
        <v>None</v>
      </c>
      <c r="I34" s="37">
        <f t="shared" si="2"/>
        <v>0</v>
      </c>
      <c r="J34" s="37" t="str">
        <f>Sandbox!BD44</f>
        <v>No</v>
      </c>
      <c r="K34" s="37">
        <f t="shared" si="3"/>
        <v>0</v>
      </c>
      <c r="L34" s="37" t="str">
        <f>Sandbox!BB44</f>
        <v>None</v>
      </c>
      <c r="M34" s="37">
        <f t="shared" si="4"/>
        <v>0</v>
      </c>
      <c r="N34" s="470" t="str">
        <f>IF(Sandbox!BE44="Roll","Yes","No")</f>
        <v>No</v>
      </c>
      <c r="O34" s="470">
        <f t="shared" si="5"/>
        <v>0</v>
      </c>
      <c r="P34" s="37" t="str">
        <f t="shared" si="6"/>
        <v>None</v>
      </c>
      <c r="Q34" s="470" t="str">
        <f>Sandbox!BF44</f>
        <v>Yes</v>
      </c>
      <c r="R34" s="37">
        <f t="shared" si="7"/>
        <v>0</v>
      </c>
      <c r="S34" s="470" t="str">
        <f>IF(Sandbox!BE44="Add","Yes","No")</f>
        <v>No</v>
      </c>
      <c r="T34" s="470">
        <f t="shared" si="8"/>
        <v>0</v>
      </c>
      <c r="U34" s="470" t="str">
        <f>Sandbox!BG44</f>
        <v>Yes</v>
      </c>
      <c r="V34" s="111">
        <f>IF(OR(F34="none",G34="V"),0,VLOOKUP(F34,'Purchased Boons'!$AR$4:$AS$27,2,FALSE))</f>
        <v>0</v>
      </c>
      <c r="W34" s="475">
        <f>Sandbox!BH44</f>
        <v>0</v>
      </c>
      <c r="X34" s="475">
        <f>Sandbox!BI44</f>
        <v>0</v>
      </c>
      <c r="Y34" s="37" t="s">
        <v>2293</v>
      </c>
      <c r="Z34" s="111" t="s">
        <v>817</v>
      </c>
      <c r="AG34" s="24"/>
      <c r="AH34" s="24"/>
      <c r="AI34" s="37" t="s">
        <v>178</v>
      </c>
      <c r="AJ34" s="38">
        <f>LARGE('Purchased Boons'!CN$1:CN$500,1)</f>
        <v>0</v>
      </c>
    </row>
    <row r="35" spans="1:36" x14ac:dyDescent="0.25">
      <c r="A35" s="474" t="str">
        <f>IF(Sandbox!AX45="","",Sandbox!AX45)</f>
        <v/>
      </c>
      <c r="B35" s="39" t="str">
        <f>IF(Sandbox!$BH$29="",Sandbox!$AX$29,Sandbox!$BH$29)</f>
        <v>Custom Purview 2</v>
      </c>
      <c r="C35" s="470" t="str">
        <f>IF(Sandbox!AY45="","",Sandbox!AY45)</f>
        <v/>
      </c>
      <c r="D35" s="470" t="str">
        <f>Sandbox!AZ45</f>
        <v>None</v>
      </c>
      <c r="E35" s="37">
        <f t="shared" si="0"/>
        <v>0</v>
      </c>
      <c r="F35" s="470" t="str">
        <f>Sandbox!BA45</f>
        <v>None</v>
      </c>
      <c r="G35" s="37">
        <f t="shared" si="1"/>
        <v>0</v>
      </c>
      <c r="H35" s="37" t="str">
        <f>IF(Sandbox!BC45="No","None",Sandbox!$BH$4)</f>
        <v>None</v>
      </c>
      <c r="I35" s="37">
        <f t="shared" si="2"/>
        <v>0</v>
      </c>
      <c r="J35" s="37" t="str">
        <f>Sandbox!BD45</f>
        <v>No</v>
      </c>
      <c r="K35" s="37">
        <f t="shared" si="3"/>
        <v>0</v>
      </c>
      <c r="L35" s="37" t="str">
        <f>Sandbox!BB45</f>
        <v>None</v>
      </c>
      <c r="M35" s="37">
        <f t="shared" si="4"/>
        <v>0</v>
      </c>
      <c r="N35" s="470" t="str">
        <f>IF(Sandbox!BE45="Roll","Yes","No")</f>
        <v>No</v>
      </c>
      <c r="O35" s="470">
        <f t="shared" si="5"/>
        <v>0</v>
      </c>
      <c r="P35" s="37" t="str">
        <f t="shared" si="6"/>
        <v>None</v>
      </c>
      <c r="Q35" s="470" t="str">
        <f>Sandbox!BF45</f>
        <v>Yes</v>
      </c>
      <c r="R35" s="37">
        <f t="shared" si="7"/>
        <v>0</v>
      </c>
      <c r="S35" s="470" t="str">
        <f>IF(Sandbox!BE45="Add","Yes","No")</f>
        <v>No</v>
      </c>
      <c r="T35" s="470">
        <f t="shared" si="8"/>
        <v>0</v>
      </c>
      <c r="U35" s="470" t="str">
        <f>Sandbox!BG45</f>
        <v>Yes</v>
      </c>
      <c r="V35" s="111">
        <f>IF(OR(F35="none",G35="V"),0,VLOOKUP(F35,'Purchased Boons'!$AR$4:$AS$27,2,FALSE))</f>
        <v>0</v>
      </c>
      <c r="W35" s="475">
        <f>Sandbox!BH45</f>
        <v>0</v>
      </c>
      <c r="X35" s="475">
        <f>Sandbox!BI45</f>
        <v>0</v>
      </c>
      <c r="Y35" s="37" t="s">
        <v>2293</v>
      </c>
      <c r="Z35" s="111" t="s">
        <v>817</v>
      </c>
      <c r="AG35" s="24"/>
      <c r="AH35" s="24"/>
      <c r="AI35" s="37" t="s">
        <v>179</v>
      </c>
      <c r="AJ35" s="38">
        <f>LARGE('Purchased Boons'!CO$1:CO$500,1)</f>
        <v>0</v>
      </c>
    </row>
    <row r="36" spans="1:36" x14ac:dyDescent="0.25">
      <c r="A36" s="474" t="str">
        <f>IF(Sandbox!AX46="","",Sandbox!AX46)</f>
        <v/>
      </c>
      <c r="B36" s="39" t="str">
        <f>IF(Sandbox!$BH$29="",Sandbox!$AX$29,Sandbox!$BH$29)</f>
        <v>Custom Purview 2</v>
      </c>
      <c r="C36" s="470" t="str">
        <f>IF(Sandbox!AY46="","",Sandbox!AY46)</f>
        <v/>
      </c>
      <c r="D36" s="470" t="str">
        <f>Sandbox!AZ46</f>
        <v>None</v>
      </c>
      <c r="E36" s="37">
        <f t="shared" si="0"/>
        <v>0</v>
      </c>
      <c r="F36" s="470" t="str">
        <f>Sandbox!BA46</f>
        <v>None</v>
      </c>
      <c r="G36" s="37">
        <f t="shared" si="1"/>
        <v>0</v>
      </c>
      <c r="H36" s="37" t="str">
        <f>IF(Sandbox!BC46="No","None",Sandbox!$BH$4)</f>
        <v>None</v>
      </c>
      <c r="I36" s="37">
        <f t="shared" si="2"/>
        <v>0</v>
      </c>
      <c r="J36" s="37" t="str">
        <f>Sandbox!BD46</f>
        <v>No</v>
      </c>
      <c r="K36" s="37">
        <f t="shared" si="3"/>
        <v>0</v>
      </c>
      <c r="L36" s="37" t="str">
        <f>Sandbox!BB46</f>
        <v>None</v>
      </c>
      <c r="M36" s="37">
        <f t="shared" si="4"/>
        <v>0</v>
      </c>
      <c r="N36" s="470" t="str">
        <f>IF(Sandbox!BE46="Roll","Yes","No")</f>
        <v>No</v>
      </c>
      <c r="O36" s="470">
        <f t="shared" si="5"/>
        <v>0</v>
      </c>
      <c r="P36" s="37" t="str">
        <f t="shared" si="6"/>
        <v>None</v>
      </c>
      <c r="Q36" s="470" t="str">
        <f>Sandbox!BF46</f>
        <v>Yes</v>
      </c>
      <c r="R36" s="37">
        <f t="shared" si="7"/>
        <v>0</v>
      </c>
      <c r="S36" s="470" t="str">
        <f>IF(Sandbox!BE46="Add","Yes","No")</f>
        <v>No</v>
      </c>
      <c r="T36" s="470">
        <f t="shared" si="8"/>
        <v>0</v>
      </c>
      <c r="U36" s="470" t="str">
        <f>Sandbox!BG46</f>
        <v>Yes</v>
      </c>
      <c r="V36" s="111">
        <f>IF(OR(F36="none",G36="V"),0,VLOOKUP(F36,'Purchased Boons'!$AR$4:$AS$27,2,FALSE))</f>
        <v>0</v>
      </c>
      <c r="W36" s="475">
        <f>Sandbox!BH46</f>
        <v>0</v>
      </c>
      <c r="X36" s="475">
        <f>Sandbox!BI46</f>
        <v>0</v>
      </c>
      <c r="Y36" s="37" t="s">
        <v>2293</v>
      </c>
      <c r="Z36" s="111" t="s">
        <v>817</v>
      </c>
      <c r="AG36" s="24"/>
      <c r="AH36" s="24"/>
      <c r="AI36" s="37" t="s">
        <v>181</v>
      </c>
      <c r="AJ36" s="38">
        <f>LARGE('Purchased Boons'!CP$1:CP$500,1)</f>
        <v>0</v>
      </c>
    </row>
    <row r="37" spans="1:36" x14ac:dyDescent="0.25">
      <c r="A37" s="474" t="str">
        <f>IF(Sandbox!AX47="","",Sandbox!AX47)</f>
        <v/>
      </c>
      <c r="B37" s="39" t="str">
        <f>IF(Sandbox!$BH$29="",Sandbox!$AX$29,Sandbox!$BH$29)</f>
        <v>Custom Purview 2</v>
      </c>
      <c r="C37" s="470" t="str">
        <f>IF(Sandbox!AY47="","",Sandbox!AY47)</f>
        <v/>
      </c>
      <c r="D37" s="470" t="str">
        <f>Sandbox!AZ47</f>
        <v>None</v>
      </c>
      <c r="E37" s="37">
        <f t="shared" si="0"/>
        <v>0</v>
      </c>
      <c r="F37" s="470" t="str">
        <f>Sandbox!BA47</f>
        <v>None</v>
      </c>
      <c r="G37" s="37">
        <f t="shared" si="1"/>
        <v>0</v>
      </c>
      <c r="H37" s="37" t="str">
        <f>IF(Sandbox!BC47="No","None",Sandbox!$BH$4)</f>
        <v>None</v>
      </c>
      <c r="I37" s="37">
        <f t="shared" si="2"/>
        <v>0</v>
      </c>
      <c r="J37" s="37" t="str">
        <f>Sandbox!BD47</f>
        <v>No</v>
      </c>
      <c r="K37" s="37">
        <f t="shared" si="3"/>
        <v>0</v>
      </c>
      <c r="L37" s="37" t="str">
        <f>Sandbox!BB47</f>
        <v>None</v>
      </c>
      <c r="M37" s="37">
        <f t="shared" si="4"/>
        <v>0</v>
      </c>
      <c r="N37" s="470" t="str">
        <f>IF(Sandbox!BE47="Roll","Yes","No")</f>
        <v>No</v>
      </c>
      <c r="O37" s="470">
        <f t="shared" si="5"/>
        <v>0</v>
      </c>
      <c r="P37" s="37" t="str">
        <f t="shared" si="6"/>
        <v>None</v>
      </c>
      <c r="Q37" s="470" t="str">
        <f>Sandbox!BF47</f>
        <v>Yes</v>
      </c>
      <c r="R37" s="37">
        <f t="shared" si="7"/>
        <v>0</v>
      </c>
      <c r="S37" s="470" t="str">
        <f>IF(Sandbox!BE47="Add","Yes","No")</f>
        <v>No</v>
      </c>
      <c r="T37" s="470">
        <f t="shared" si="8"/>
        <v>0</v>
      </c>
      <c r="U37" s="470" t="str">
        <f>Sandbox!BG47</f>
        <v>Yes</v>
      </c>
      <c r="V37" s="111">
        <f>IF(OR(F37="none",G37="V"),0,VLOOKUP(F37,'Purchased Boons'!$AR$4:$AS$27,2,FALSE))</f>
        <v>0</v>
      </c>
      <c r="W37" s="475">
        <f>Sandbox!BH47</f>
        <v>0</v>
      </c>
      <c r="X37" s="475">
        <f>Sandbox!BI47</f>
        <v>0</v>
      </c>
      <c r="Y37" s="37" t="s">
        <v>2293</v>
      </c>
      <c r="Z37" s="111" t="s">
        <v>817</v>
      </c>
      <c r="AG37" s="24"/>
      <c r="AH37" s="24"/>
      <c r="AI37" s="37" t="s">
        <v>180</v>
      </c>
      <c r="AJ37" s="38">
        <f>LARGE('Purchased Boons'!CQ$1:CQ$500,1)</f>
        <v>0</v>
      </c>
    </row>
    <row r="38" spans="1:36" x14ac:dyDescent="0.25">
      <c r="A38" s="474" t="str">
        <f>IF(Sandbox!AX48="","",Sandbox!AX48)</f>
        <v/>
      </c>
      <c r="B38" s="39" t="str">
        <f>IF(Sandbox!$BH$29="",Sandbox!$AX$29,Sandbox!$BH$29)</f>
        <v>Custom Purview 2</v>
      </c>
      <c r="C38" s="470" t="str">
        <f>IF(Sandbox!AY48="","",Sandbox!AY48)</f>
        <v/>
      </c>
      <c r="D38" s="470" t="str">
        <f>Sandbox!AZ48</f>
        <v>None</v>
      </c>
      <c r="E38" s="37">
        <f t="shared" si="0"/>
        <v>0</v>
      </c>
      <c r="F38" s="470" t="str">
        <f>Sandbox!BA48</f>
        <v>None</v>
      </c>
      <c r="G38" s="37">
        <f t="shared" si="1"/>
        <v>0</v>
      </c>
      <c r="H38" s="37" t="str">
        <f>IF(Sandbox!BC48="No","None",Sandbox!$BH$4)</f>
        <v>None</v>
      </c>
      <c r="I38" s="37">
        <f t="shared" si="2"/>
        <v>0</v>
      </c>
      <c r="J38" s="37" t="str">
        <f>Sandbox!BD48</f>
        <v>No</v>
      </c>
      <c r="K38" s="37">
        <f t="shared" si="3"/>
        <v>0</v>
      </c>
      <c r="L38" s="37" t="str">
        <f>Sandbox!BB48</f>
        <v>None</v>
      </c>
      <c r="M38" s="37">
        <f t="shared" si="4"/>
        <v>0</v>
      </c>
      <c r="N38" s="470" t="str">
        <f>IF(Sandbox!BE48="Roll","Yes","No")</f>
        <v>No</v>
      </c>
      <c r="O38" s="470">
        <f t="shared" si="5"/>
        <v>0</v>
      </c>
      <c r="P38" s="37" t="str">
        <f t="shared" si="6"/>
        <v>None</v>
      </c>
      <c r="Q38" s="470" t="str">
        <f>Sandbox!BF48</f>
        <v>Yes</v>
      </c>
      <c r="R38" s="37">
        <f t="shared" si="7"/>
        <v>0</v>
      </c>
      <c r="S38" s="470" t="str">
        <f>IF(Sandbox!BE48="Add","Yes","No")</f>
        <v>No</v>
      </c>
      <c r="T38" s="470">
        <f t="shared" si="8"/>
        <v>0</v>
      </c>
      <c r="U38" s="470" t="str">
        <f>Sandbox!BG48</f>
        <v>Yes</v>
      </c>
      <c r="V38" s="111">
        <f>IF(OR(F38="none",G38="V"),0,VLOOKUP(F38,'Purchased Boons'!$AR$4:$AS$27,2,FALSE))</f>
        <v>0</v>
      </c>
      <c r="W38" s="475">
        <f>Sandbox!BH48</f>
        <v>0</v>
      </c>
      <c r="X38" s="475">
        <f>Sandbox!BI48</f>
        <v>0</v>
      </c>
      <c r="Y38" s="37" t="s">
        <v>2293</v>
      </c>
      <c r="Z38" s="111" t="s">
        <v>817</v>
      </c>
      <c r="AG38" s="24"/>
      <c r="AH38" s="24"/>
      <c r="AI38" s="37" t="str">
        <f>IF(Sandbox!BH4="","",Sandbox!BH4)</f>
        <v/>
      </c>
      <c r="AJ38" s="38">
        <f>LARGE('Purchased Boons'!CR$1:CR$500,1)</f>
        <v>0</v>
      </c>
    </row>
    <row r="39" spans="1:36" x14ac:dyDescent="0.25">
      <c r="A39" s="474" t="str">
        <f>IF(Sandbox!AX49="","",Sandbox!AX49)</f>
        <v/>
      </c>
      <c r="B39" s="39" t="str">
        <f>IF(Sandbox!$BH$29="",Sandbox!$AX$29,Sandbox!$BH$29)</f>
        <v>Custom Purview 2</v>
      </c>
      <c r="C39" s="470" t="str">
        <f>IF(Sandbox!AY49="","",Sandbox!AY49)</f>
        <v/>
      </c>
      <c r="D39" s="470" t="str">
        <f>Sandbox!AZ49</f>
        <v>None</v>
      </c>
      <c r="E39" s="37">
        <f t="shared" si="0"/>
        <v>0</v>
      </c>
      <c r="F39" s="470" t="str">
        <f>Sandbox!BA49</f>
        <v>None</v>
      </c>
      <c r="G39" s="37">
        <f t="shared" si="1"/>
        <v>0</v>
      </c>
      <c r="H39" s="37" t="str">
        <f>IF(Sandbox!BC49="No","None",Sandbox!$BH$4)</f>
        <v>None</v>
      </c>
      <c r="I39" s="37">
        <f t="shared" si="2"/>
        <v>0</v>
      </c>
      <c r="J39" s="37" t="str">
        <f>Sandbox!BD49</f>
        <v>No</v>
      </c>
      <c r="K39" s="37">
        <f t="shared" si="3"/>
        <v>0</v>
      </c>
      <c r="L39" s="37" t="str">
        <f>Sandbox!BB49</f>
        <v>None</v>
      </c>
      <c r="M39" s="37">
        <f t="shared" si="4"/>
        <v>0</v>
      </c>
      <c r="N39" s="470" t="str">
        <f>IF(Sandbox!BE49="Roll","Yes","No")</f>
        <v>No</v>
      </c>
      <c r="O39" s="470">
        <f t="shared" si="5"/>
        <v>0</v>
      </c>
      <c r="P39" s="37" t="str">
        <f t="shared" si="6"/>
        <v>None</v>
      </c>
      <c r="Q39" s="470" t="str">
        <f>Sandbox!BF49</f>
        <v>Yes</v>
      </c>
      <c r="R39" s="37">
        <f t="shared" si="7"/>
        <v>0</v>
      </c>
      <c r="S39" s="470" t="str">
        <f>IF(Sandbox!BE49="Add","Yes","No")</f>
        <v>No</v>
      </c>
      <c r="T39" s="470">
        <f t="shared" si="8"/>
        <v>0</v>
      </c>
      <c r="U39" s="470" t="str">
        <f>Sandbox!BG49</f>
        <v>Yes</v>
      </c>
      <c r="V39" s="111">
        <f>IF(OR(F39="none",G39="V"),0,VLOOKUP(F39,'Purchased Boons'!$AR$4:$AS$27,2,FALSE))</f>
        <v>0</v>
      </c>
      <c r="W39" s="475">
        <f>Sandbox!BH49</f>
        <v>0</v>
      </c>
      <c r="X39" s="475">
        <f>Sandbox!BI49</f>
        <v>0</v>
      </c>
      <c r="Y39" s="37" t="s">
        <v>2293</v>
      </c>
      <c r="Z39" s="111" t="s">
        <v>817</v>
      </c>
      <c r="AG39" s="24"/>
      <c r="AH39" s="24"/>
      <c r="AI39" s="37" t="str">
        <f>IF(Sandbox!BH29="","",Sandbox!BH29)</f>
        <v/>
      </c>
      <c r="AJ39" s="38">
        <f>LARGE('Purchased Boons'!CS$1:CS$500,1)</f>
        <v>0</v>
      </c>
    </row>
    <row r="40" spans="1:36" x14ac:dyDescent="0.25">
      <c r="A40" s="474" t="str">
        <f>IF(Sandbox!AX50="","",Sandbox!AX50)</f>
        <v/>
      </c>
      <c r="B40" s="39" t="str">
        <f>IF(Sandbox!$BH$29="",Sandbox!$AX$29,Sandbox!$BH$29)</f>
        <v>Custom Purview 2</v>
      </c>
      <c r="C40" s="470" t="str">
        <f>IF(Sandbox!AY50="","",Sandbox!AY50)</f>
        <v/>
      </c>
      <c r="D40" s="470" t="str">
        <f>Sandbox!AZ50</f>
        <v>None</v>
      </c>
      <c r="E40" s="37">
        <f t="shared" si="0"/>
        <v>0</v>
      </c>
      <c r="F40" s="470" t="str">
        <f>Sandbox!BA50</f>
        <v>None</v>
      </c>
      <c r="G40" s="37">
        <f t="shared" si="1"/>
        <v>0</v>
      </c>
      <c r="H40" s="37" t="str">
        <f>IF(Sandbox!BC50="No","None",Sandbox!$BH$4)</f>
        <v>None</v>
      </c>
      <c r="I40" s="37">
        <f t="shared" si="2"/>
        <v>0</v>
      </c>
      <c r="J40" s="37" t="str">
        <f>Sandbox!BD50</f>
        <v>No</v>
      </c>
      <c r="K40" s="37">
        <f t="shared" si="3"/>
        <v>0</v>
      </c>
      <c r="L40" s="37" t="str">
        <f>Sandbox!BB50</f>
        <v>None</v>
      </c>
      <c r="M40" s="37">
        <f t="shared" si="4"/>
        <v>0</v>
      </c>
      <c r="N40" s="470" t="str">
        <f>IF(Sandbox!BE50="Roll","Yes","No")</f>
        <v>No</v>
      </c>
      <c r="O40" s="470">
        <f t="shared" si="5"/>
        <v>0</v>
      </c>
      <c r="P40" s="37" t="str">
        <f t="shared" si="6"/>
        <v>None</v>
      </c>
      <c r="Q40" s="470" t="str">
        <f>Sandbox!BF50</f>
        <v>Yes</v>
      </c>
      <c r="R40" s="37">
        <f t="shared" si="7"/>
        <v>0</v>
      </c>
      <c r="S40" s="470" t="str">
        <f>IF(Sandbox!BE50="Add","Yes","No")</f>
        <v>No</v>
      </c>
      <c r="T40" s="470">
        <f t="shared" si="8"/>
        <v>0</v>
      </c>
      <c r="U40" s="470" t="str">
        <f>Sandbox!BG50</f>
        <v>Yes</v>
      </c>
      <c r="V40" s="111">
        <f>IF(OR(F40="none",G40="V"),0,VLOOKUP(F40,'Purchased Boons'!$AR$4:$AS$27,2,FALSE))</f>
        <v>0</v>
      </c>
      <c r="W40" s="475">
        <f>Sandbox!BH50</f>
        <v>0</v>
      </c>
      <c r="X40" s="475">
        <f>Sandbox!BI50</f>
        <v>0</v>
      </c>
      <c r="Y40" s="37" t="s">
        <v>2293</v>
      </c>
      <c r="Z40" s="111" t="s">
        <v>817</v>
      </c>
      <c r="AG40" s="24"/>
      <c r="AH40" s="24"/>
      <c r="AI40" s="37" t="str">
        <f>IF(Sandbox!BH54="","",Sandbox!BH54)</f>
        <v/>
      </c>
      <c r="AJ40" s="38">
        <f>LARGE('Purchased Boons'!CT$1:CT$500,1)</f>
        <v>0</v>
      </c>
    </row>
    <row r="41" spans="1:36" x14ac:dyDescent="0.25">
      <c r="A41" s="474" t="str">
        <f>IF(Sandbox!AX51="","",Sandbox!AX51)</f>
        <v/>
      </c>
      <c r="B41" s="39" t="str">
        <f>IF(Sandbox!$BH$29="",Sandbox!$AX$29,Sandbox!$BH$29)</f>
        <v>Custom Purview 2</v>
      </c>
      <c r="C41" s="470" t="str">
        <f>IF(Sandbox!AY51="","",Sandbox!AY51)</f>
        <v/>
      </c>
      <c r="D41" s="470" t="str">
        <f>Sandbox!AZ51</f>
        <v>None</v>
      </c>
      <c r="E41" s="37">
        <f t="shared" si="0"/>
        <v>0</v>
      </c>
      <c r="F41" s="470" t="str">
        <f>Sandbox!BA51</f>
        <v>None</v>
      </c>
      <c r="G41" s="37">
        <f t="shared" si="1"/>
        <v>0</v>
      </c>
      <c r="H41" s="37" t="str">
        <f>IF(Sandbox!BC51="No","None",Sandbox!$BH$4)</f>
        <v>None</v>
      </c>
      <c r="I41" s="37">
        <f t="shared" si="2"/>
        <v>0</v>
      </c>
      <c r="J41" s="37" t="str">
        <f>Sandbox!BD51</f>
        <v>No</v>
      </c>
      <c r="K41" s="37">
        <f t="shared" si="3"/>
        <v>0</v>
      </c>
      <c r="L41" s="37" t="str">
        <f>Sandbox!BB51</f>
        <v>None</v>
      </c>
      <c r="M41" s="37">
        <f t="shared" si="4"/>
        <v>0</v>
      </c>
      <c r="N41" s="470" t="str">
        <f>IF(Sandbox!BE51="Roll","Yes","No")</f>
        <v>No</v>
      </c>
      <c r="O41" s="470">
        <f t="shared" si="5"/>
        <v>0</v>
      </c>
      <c r="P41" s="37" t="str">
        <f t="shared" si="6"/>
        <v>None</v>
      </c>
      <c r="Q41" s="470" t="str">
        <f>Sandbox!BF51</f>
        <v>Yes</v>
      </c>
      <c r="R41" s="37">
        <f t="shared" si="7"/>
        <v>0</v>
      </c>
      <c r="S41" s="470" t="str">
        <f>IF(Sandbox!BE51="Add","Yes","No")</f>
        <v>No</v>
      </c>
      <c r="T41" s="470">
        <f t="shared" si="8"/>
        <v>0</v>
      </c>
      <c r="U41" s="470" t="str">
        <f>Sandbox!BG51</f>
        <v>Yes</v>
      </c>
      <c r="V41" s="111">
        <f>IF(OR(F41="none",G41="V"),0,VLOOKUP(F41,'Purchased Boons'!$AR$4:$AS$27,2,FALSE))</f>
        <v>0</v>
      </c>
      <c r="W41" s="475">
        <f>Sandbox!BH51</f>
        <v>0</v>
      </c>
      <c r="X41" s="475">
        <f>Sandbox!BI51</f>
        <v>0</v>
      </c>
      <c r="Y41" s="37" t="s">
        <v>2293</v>
      </c>
      <c r="Z41" s="111" t="s">
        <v>817</v>
      </c>
      <c r="AG41" s="24"/>
      <c r="AH41" s="24"/>
      <c r="AI41" s="37" t="str">
        <f>IF(Sandbox!BH79="","",Sandbox!BH79)</f>
        <v/>
      </c>
      <c r="AJ41" s="38">
        <f>LARGE('Purchased Boons'!CU$1:CU$500,1)</f>
        <v>0</v>
      </c>
    </row>
    <row r="42" spans="1:36" x14ac:dyDescent="0.25">
      <c r="A42" s="474" t="str">
        <f>IF(Sandbox!AX52="","",Sandbox!AX52)</f>
        <v/>
      </c>
      <c r="B42" s="39" t="str">
        <f>IF(Sandbox!$BH$29="",Sandbox!$AX$29,Sandbox!$BH$29)</f>
        <v>Custom Purview 2</v>
      </c>
      <c r="C42" s="470" t="str">
        <f>IF(Sandbox!AY52="","",Sandbox!AY52)</f>
        <v/>
      </c>
      <c r="D42" s="470" t="str">
        <f>Sandbox!AZ52</f>
        <v>None</v>
      </c>
      <c r="E42" s="37">
        <f t="shared" si="0"/>
        <v>0</v>
      </c>
      <c r="F42" s="470" t="str">
        <f>Sandbox!BA52</f>
        <v>None</v>
      </c>
      <c r="G42" s="37">
        <f t="shared" si="1"/>
        <v>0</v>
      </c>
      <c r="H42" s="37" t="str">
        <f>IF(Sandbox!BC52="No","None",Sandbox!$BH$4)</f>
        <v>None</v>
      </c>
      <c r="I42" s="37">
        <f t="shared" si="2"/>
        <v>0</v>
      </c>
      <c r="J42" s="37" t="str">
        <f>Sandbox!BD52</f>
        <v>No</v>
      </c>
      <c r="K42" s="37">
        <f t="shared" si="3"/>
        <v>0</v>
      </c>
      <c r="L42" s="37" t="str">
        <f>Sandbox!BB52</f>
        <v>None</v>
      </c>
      <c r="M42" s="37">
        <f t="shared" si="4"/>
        <v>0</v>
      </c>
      <c r="N42" s="470" t="str">
        <f>IF(Sandbox!BE52="Roll","Yes","No")</f>
        <v>No</v>
      </c>
      <c r="O42" s="470">
        <f t="shared" si="5"/>
        <v>0</v>
      </c>
      <c r="P42" s="37" t="str">
        <f t="shared" si="6"/>
        <v>None</v>
      </c>
      <c r="Q42" s="470" t="str">
        <f>Sandbox!BF52</f>
        <v>Yes</v>
      </c>
      <c r="R42" s="37">
        <f t="shared" si="7"/>
        <v>0</v>
      </c>
      <c r="S42" s="470" t="str">
        <f>IF(Sandbox!BE52="Add","Yes","No")</f>
        <v>No</v>
      </c>
      <c r="T42" s="470">
        <f t="shared" si="8"/>
        <v>0</v>
      </c>
      <c r="U42" s="470" t="str">
        <f>Sandbox!BG52</f>
        <v>Yes</v>
      </c>
      <c r="V42" s="111">
        <f>IF(OR(F42="none",G42="V"),0,VLOOKUP(F42,'Purchased Boons'!$AR$4:$AS$27,2,FALSE))</f>
        <v>0</v>
      </c>
      <c r="W42" s="475">
        <f>Sandbox!BH52</f>
        <v>0</v>
      </c>
      <c r="X42" s="475">
        <f>Sandbox!BI52</f>
        <v>0</v>
      </c>
      <c r="Y42" s="37" t="s">
        <v>2293</v>
      </c>
      <c r="Z42" s="111" t="s">
        <v>817</v>
      </c>
      <c r="AG42" s="24"/>
      <c r="AH42" s="24"/>
      <c r="AI42" s="37" t="str">
        <f>IF(Sandbox!BH104="","",Sandbox!BH104)</f>
        <v/>
      </c>
      <c r="AJ42" s="38">
        <f>LARGE('Purchased Boons'!CV$1:CV$500,1)</f>
        <v>0</v>
      </c>
    </row>
    <row r="43" spans="1:36" x14ac:dyDescent="0.25">
      <c r="A43" s="474" t="str">
        <f>IF(Sandbox!AX53="","",Sandbox!AX53)</f>
        <v/>
      </c>
      <c r="B43" s="39" t="str">
        <f>IF(Sandbox!$BH$29="",Sandbox!$AX$29,Sandbox!$BH$29)</f>
        <v>Custom Purview 2</v>
      </c>
      <c r="C43" s="470" t="str">
        <f>IF(Sandbox!AY53="","",Sandbox!AY53)</f>
        <v/>
      </c>
      <c r="D43" s="470" t="str">
        <f>Sandbox!AZ53</f>
        <v>None</v>
      </c>
      <c r="E43" s="37">
        <f t="shared" si="0"/>
        <v>0</v>
      </c>
      <c r="F43" s="470" t="str">
        <f>Sandbox!BA53</f>
        <v>None</v>
      </c>
      <c r="G43" s="37">
        <f t="shared" si="1"/>
        <v>0</v>
      </c>
      <c r="H43" s="37" t="str">
        <f>IF(Sandbox!BC53="No","None",Sandbox!$BH$4)</f>
        <v>None</v>
      </c>
      <c r="I43" s="37">
        <f t="shared" si="2"/>
        <v>0</v>
      </c>
      <c r="J43" s="37" t="str">
        <f>Sandbox!BD53</f>
        <v>No</v>
      </c>
      <c r="K43" s="37">
        <f t="shared" si="3"/>
        <v>0</v>
      </c>
      <c r="L43" s="37" t="str">
        <f>Sandbox!BB53</f>
        <v>None</v>
      </c>
      <c r="M43" s="37">
        <f t="shared" si="4"/>
        <v>0</v>
      </c>
      <c r="N43" s="470" t="str">
        <f>IF(Sandbox!BE53="Roll","Yes","No")</f>
        <v>No</v>
      </c>
      <c r="O43" s="470">
        <f t="shared" si="5"/>
        <v>0</v>
      </c>
      <c r="P43" s="37" t="str">
        <f t="shared" si="6"/>
        <v>None</v>
      </c>
      <c r="Q43" s="470" t="str">
        <f>Sandbox!BF53</f>
        <v>Yes</v>
      </c>
      <c r="R43" s="37">
        <f t="shared" si="7"/>
        <v>0</v>
      </c>
      <c r="S43" s="470" t="str">
        <f>IF(Sandbox!BE53="Add","Yes","No")</f>
        <v>No</v>
      </c>
      <c r="T43" s="470">
        <f t="shared" si="8"/>
        <v>0</v>
      </c>
      <c r="U43" s="470" t="str">
        <f>Sandbox!BG53</f>
        <v>Yes</v>
      </c>
      <c r="V43" s="111">
        <f>IF(OR(F43="none",G43="V"),0,VLOOKUP(F43,'Purchased Boons'!$AR$4:$AS$27,2,FALSE))</f>
        <v>0</v>
      </c>
      <c r="W43" s="475">
        <f>Sandbox!BH53</f>
        <v>0</v>
      </c>
      <c r="X43" s="475">
        <f>Sandbox!BI53</f>
        <v>0</v>
      </c>
      <c r="Y43" s="37" t="s">
        <v>2293</v>
      </c>
      <c r="Z43" s="111" t="s">
        <v>817</v>
      </c>
      <c r="AG43" s="24"/>
      <c r="AH43" s="24"/>
      <c r="AI43" s="37" t="s">
        <v>167</v>
      </c>
      <c r="AJ43" s="38">
        <f>IF(OR(CharacterSheet!$G$40=AI43,CharacterSheet!$G$41=AI43,CharacterSheet!$M$40=AI43,CharacterSheet!$M$41=AI43),VLOOKUP(AI43,CharacterSheet!$AA$51:$AB$54,2,FALSE),0)</f>
        <v>0</v>
      </c>
    </row>
    <row r="44" spans="1:36" x14ac:dyDescent="0.25">
      <c r="A44" s="474" t="str">
        <f>IF(Sandbox!AX58="","",Sandbox!AX58)</f>
        <v/>
      </c>
      <c r="B44" s="39" t="str">
        <f>IF(Sandbox!$BH$54="",Sandbox!$AX$54,Sandbox!$BH$54)</f>
        <v>Custom Purview 3</v>
      </c>
      <c r="C44" s="470" t="str">
        <f>IF(Sandbox!AY58="","",Sandbox!AY58)</f>
        <v/>
      </c>
      <c r="D44" s="470" t="str">
        <f>Sandbox!AZ58</f>
        <v>None</v>
      </c>
      <c r="E44" s="37">
        <f t="shared" si="0"/>
        <v>0</v>
      </c>
      <c r="F44" s="470" t="str">
        <f>Sandbox!BA58</f>
        <v>None</v>
      </c>
      <c r="G44" s="37">
        <f t="shared" si="1"/>
        <v>0</v>
      </c>
      <c r="H44" s="37" t="str">
        <f>IF(Sandbox!BC58="No","None",Sandbox!$BH$4)</f>
        <v>None</v>
      </c>
      <c r="I44" s="37">
        <f t="shared" si="2"/>
        <v>0</v>
      </c>
      <c r="J44" s="37" t="str">
        <f>Sandbox!BD58</f>
        <v>No</v>
      </c>
      <c r="K44" s="37">
        <f t="shared" si="3"/>
        <v>0</v>
      </c>
      <c r="L44" s="37" t="str">
        <f>Sandbox!BB58</f>
        <v>None</v>
      </c>
      <c r="M44" s="37">
        <f t="shared" si="4"/>
        <v>0</v>
      </c>
      <c r="N44" s="470" t="str">
        <f>IF(Sandbox!BE58="Roll","Yes","No")</f>
        <v>No</v>
      </c>
      <c r="O44" s="470">
        <f t="shared" si="5"/>
        <v>0</v>
      </c>
      <c r="P44" s="37" t="str">
        <f t="shared" si="6"/>
        <v>None</v>
      </c>
      <c r="Q44" s="470" t="str">
        <f>Sandbox!BF58</f>
        <v>Yes</v>
      </c>
      <c r="R44" s="37">
        <f t="shared" si="7"/>
        <v>0</v>
      </c>
      <c r="S44" s="470" t="str">
        <f>IF(Sandbox!BE58="Add","Yes","No")</f>
        <v>No</v>
      </c>
      <c r="T44" s="470">
        <f t="shared" si="8"/>
        <v>0</v>
      </c>
      <c r="U44" s="470" t="str">
        <f>Sandbox!BG58</f>
        <v>Yes</v>
      </c>
      <c r="V44" s="111">
        <f>IF(OR(F44="none",G44="V"),0,VLOOKUP(F44,'Purchased Boons'!$AR$4:$AS$27,2,FALSE))</f>
        <v>0</v>
      </c>
      <c r="W44" s="475">
        <f>Sandbox!BH58</f>
        <v>0</v>
      </c>
      <c r="X44" s="475">
        <f>Sandbox!BI58</f>
        <v>0</v>
      </c>
      <c r="Y44" s="37" t="s">
        <v>2293</v>
      </c>
      <c r="Z44" s="111" t="s">
        <v>817</v>
      </c>
      <c r="AG44" s="24"/>
      <c r="AH44" s="24"/>
      <c r="AI44" s="37" t="s">
        <v>156</v>
      </c>
      <c r="AJ44" s="38">
        <f>IF(OR(CharacterSheet!$G$40=AI44,CharacterSheet!$G$41=AI44,CharacterSheet!$M$40=AI44,CharacterSheet!$M$41=AI44),VLOOKUP(AI44,CharacterSheet!$AA$51:$AB$54,2,FALSE),0)</f>
        <v>0</v>
      </c>
    </row>
    <row r="45" spans="1:36" x14ac:dyDescent="0.25">
      <c r="A45" s="474" t="str">
        <f>IF(Sandbox!AX59="","",Sandbox!AX59)</f>
        <v/>
      </c>
      <c r="B45" s="39" t="str">
        <f>IF(Sandbox!$BH$54="",Sandbox!$AX$54,Sandbox!$BH$54)</f>
        <v>Custom Purview 3</v>
      </c>
      <c r="C45" s="470" t="str">
        <f>IF(Sandbox!AY59="","",Sandbox!AY59)</f>
        <v/>
      </c>
      <c r="D45" s="470" t="str">
        <f>Sandbox!AZ59</f>
        <v>None</v>
      </c>
      <c r="E45" s="37">
        <f t="shared" si="0"/>
        <v>0</v>
      </c>
      <c r="F45" s="470" t="str">
        <f>Sandbox!BA59</f>
        <v>None</v>
      </c>
      <c r="G45" s="37">
        <f t="shared" si="1"/>
        <v>0</v>
      </c>
      <c r="H45" s="37" t="str">
        <f>IF(Sandbox!BC59="No","None",Sandbox!$BH$4)</f>
        <v>None</v>
      </c>
      <c r="I45" s="37">
        <f t="shared" si="2"/>
        <v>0</v>
      </c>
      <c r="J45" s="37" t="str">
        <f>Sandbox!BD59</f>
        <v>No</v>
      </c>
      <c r="K45" s="37">
        <f t="shared" si="3"/>
        <v>0</v>
      </c>
      <c r="L45" s="37" t="str">
        <f>Sandbox!BB59</f>
        <v>None</v>
      </c>
      <c r="M45" s="37">
        <f t="shared" si="4"/>
        <v>0</v>
      </c>
      <c r="N45" s="470" t="str">
        <f>IF(Sandbox!BE59="Roll","Yes","No")</f>
        <v>No</v>
      </c>
      <c r="O45" s="470">
        <f t="shared" si="5"/>
        <v>0</v>
      </c>
      <c r="P45" s="37" t="str">
        <f t="shared" si="6"/>
        <v>None</v>
      </c>
      <c r="Q45" s="470" t="str">
        <f>Sandbox!BF59</f>
        <v>Yes</v>
      </c>
      <c r="R45" s="37">
        <f t="shared" si="7"/>
        <v>0</v>
      </c>
      <c r="S45" s="470" t="str">
        <f>IF(Sandbox!BE59="Add","Yes","No")</f>
        <v>No</v>
      </c>
      <c r="T45" s="470">
        <f t="shared" si="8"/>
        <v>0</v>
      </c>
      <c r="U45" s="470" t="str">
        <f>Sandbox!BG59</f>
        <v>Yes</v>
      </c>
      <c r="V45" s="111">
        <f>IF(OR(F45="none",G45="V"),0,VLOOKUP(F45,'Purchased Boons'!$AR$4:$AS$27,2,FALSE))</f>
        <v>0</v>
      </c>
      <c r="W45" s="475">
        <f>Sandbox!BH59</f>
        <v>0</v>
      </c>
      <c r="X45" s="475">
        <f>Sandbox!BI59</f>
        <v>0</v>
      </c>
      <c r="Y45" s="37" t="s">
        <v>2293</v>
      </c>
      <c r="Z45" s="111" t="s">
        <v>817</v>
      </c>
      <c r="AG45" s="24"/>
      <c r="AH45" s="24"/>
      <c r="AI45" s="37" t="s">
        <v>162</v>
      </c>
      <c r="AJ45" s="38">
        <f>IF(OR(CharacterSheet!$G$40=AI45,CharacterSheet!$G$41=AI45,CharacterSheet!$M$40=AI45,CharacterSheet!$M$41=AI45),VLOOKUP(AI45,CharacterSheet!$AA$51:$AB$54,2,FALSE),0)</f>
        <v>0</v>
      </c>
    </row>
    <row r="46" spans="1:36" x14ac:dyDescent="0.25">
      <c r="A46" s="474" t="str">
        <f>IF(Sandbox!AX60="","",Sandbox!AX60)</f>
        <v/>
      </c>
      <c r="B46" s="39" t="str">
        <f>IF(Sandbox!$BH$54="",Sandbox!$AX$54,Sandbox!$BH$54)</f>
        <v>Custom Purview 3</v>
      </c>
      <c r="C46" s="470" t="str">
        <f>IF(Sandbox!AY60="","",Sandbox!AY60)</f>
        <v/>
      </c>
      <c r="D46" s="470" t="str">
        <f>Sandbox!AZ60</f>
        <v>None</v>
      </c>
      <c r="E46" s="37">
        <f t="shared" si="0"/>
        <v>0</v>
      </c>
      <c r="F46" s="470" t="str">
        <f>Sandbox!BA60</f>
        <v>None</v>
      </c>
      <c r="G46" s="37">
        <f t="shared" si="1"/>
        <v>0</v>
      </c>
      <c r="H46" s="37" t="str">
        <f>IF(Sandbox!BC60="No","None",Sandbox!$BH$4)</f>
        <v>None</v>
      </c>
      <c r="I46" s="37">
        <f t="shared" si="2"/>
        <v>0</v>
      </c>
      <c r="J46" s="37" t="str">
        <f>Sandbox!BD60</f>
        <v>No</v>
      </c>
      <c r="K46" s="37">
        <f t="shared" si="3"/>
        <v>0</v>
      </c>
      <c r="L46" s="37" t="str">
        <f>Sandbox!BB60</f>
        <v>None</v>
      </c>
      <c r="M46" s="37">
        <f t="shared" si="4"/>
        <v>0</v>
      </c>
      <c r="N46" s="470" t="str">
        <f>IF(Sandbox!BE60="Roll","Yes","No")</f>
        <v>No</v>
      </c>
      <c r="O46" s="470">
        <f t="shared" si="5"/>
        <v>0</v>
      </c>
      <c r="P46" s="37" t="str">
        <f t="shared" si="6"/>
        <v>None</v>
      </c>
      <c r="Q46" s="470" t="str">
        <f>Sandbox!BF60</f>
        <v>Yes</v>
      </c>
      <c r="R46" s="37">
        <f t="shared" si="7"/>
        <v>0</v>
      </c>
      <c r="S46" s="470" t="str">
        <f>IF(Sandbox!BE60="Add","Yes","No")</f>
        <v>No</v>
      </c>
      <c r="T46" s="470">
        <f t="shared" si="8"/>
        <v>0</v>
      </c>
      <c r="U46" s="470" t="str">
        <f>Sandbox!BG60</f>
        <v>Yes</v>
      </c>
      <c r="V46" s="111">
        <f>IF(OR(F46="none",G46="V"),0,VLOOKUP(F46,'Purchased Boons'!$AR$4:$AS$27,2,FALSE))</f>
        <v>0</v>
      </c>
      <c r="W46" s="475">
        <f>Sandbox!BH60</f>
        <v>0</v>
      </c>
      <c r="X46" s="475">
        <f>Sandbox!BI60</f>
        <v>0</v>
      </c>
      <c r="Y46" s="37" t="s">
        <v>2293</v>
      </c>
      <c r="Z46" s="111" t="s">
        <v>817</v>
      </c>
      <c r="AG46" s="24"/>
      <c r="AH46" s="24"/>
      <c r="AI46" s="37" t="s">
        <v>157</v>
      </c>
      <c r="AJ46" s="38">
        <f>IF(OR(CharacterSheet!$G$40=AI46,CharacterSheet!$G$41=AI46,CharacterSheet!$M$40=AI46,CharacterSheet!$M$41=AI46),VLOOKUP(AI46,CharacterSheet!$AA$51:$AB$54,2,FALSE),0)</f>
        <v>0</v>
      </c>
    </row>
    <row r="47" spans="1:36" x14ac:dyDescent="0.25">
      <c r="A47" s="474" t="str">
        <f>IF(Sandbox!AX61="","",Sandbox!AX61)</f>
        <v/>
      </c>
      <c r="B47" s="39" t="str">
        <f>IF(Sandbox!$BH$54="",Sandbox!$AX$54,Sandbox!$BH$54)</f>
        <v>Custom Purview 3</v>
      </c>
      <c r="C47" s="470" t="str">
        <f>IF(Sandbox!AY61="","",Sandbox!AY61)</f>
        <v/>
      </c>
      <c r="D47" s="470" t="str">
        <f>Sandbox!AZ61</f>
        <v>None</v>
      </c>
      <c r="E47" s="37">
        <f t="shared" si="0"/>
        <v>0</v>
      </c>
      <c r="F47" s="470" t="str">
        <f>Sandbox!BA61</f>
        <v>None</v>
      </c>
      <c r="G47" s="37">
        <f t="shared" si="1"/>
        <v>0</v>
      </c>
      <c r="H47" s="37" t="str">
        <f>IF(Sandbox!BC61="No","None",Sandbox!$BH$4)</f>
        <v>None</v>
      </c>
      <c r="I47" s="37">
        <f t="shared" si="2"/>
        <v>0</v>
      </c>
      <c r="J47" s="37" t="str">
        <f>Sandbox!BD61</f>
        <v>No</v>
      </c>
      <c r="K47" s="37">
        <f t="shared" si="3"/>
        <v>0</v>
      </c>
      <c r="L47" s="37" t="str">
        <f>Sandbox!BB61</f>
        <v>None</v>
      </c>
      <c r="M47" s="37">
        <f t="shared" si="4"/>
        <v>0</v>
      </c>
      <c r="N47" s="470" t="str">
        <f>IF(Sandbox!BE61="Roll","Yes","No")</f>
        <v>No</v>
      </c>
      <c r="O47" s="470">
        <f t="shared" si="5"/>
        <v>0</v>
      </c>
      <c r="P47" s="37" t="str">
        <f t="shared" si="6"/>
        <v>None</v>
      </c>
      <c r="Q47" s="470" t="str">
        <f>Sandbox!BF61</f>
        <v>Yes</v>
      </c>
      <c r="R47" s="37">
        <f t="shared" si="7"/>
        <v>0</v>
      </c>
      <c r="S47" s="470" t="str">
        <f>IF(Sandbox!BE61="Add","Yes","No")</f>
        <v>No</v>
      </c>
      <c r="T47" s="470">
        <f t="shared" si="8"/>
        <v>0</v>
      </c>
      <c r="U47" s="470" t="str">
        <f>Sandbox!BG61</f>
        <v>Yes</v>
      </c>
      <c r="V47" s="111">
        <f>IF(OR(F47="none",G47="V"),0,VLOOKUP(F47,'Purchased Boons'!$AR$4:$AS$27,2,FALSE))</f>
        <v>0</v>
      </c>
      <c r="W47" s="475">
        <f>Sandbox!BH61</f>
        <v>0</v>
      </c>
      <c r="X47" s="475">
        <f>Sandbox!BI61</f>
        <v>0</v>
      </c>
      <c r="Y47" s="37" t="s">
        <v>2293</v>
      </c>
      <c r="Z47" s="111" t="s">
        <v>817</v>
      </c>
      <c r="AG47" s="24"/>
      <c r="AH47" s="24"/>
      <c r="AI47" s="37" t="s">
        <v>158</v>
      </c>
      <c r="AJ47" s="38">
        <f>IF(OR(CharacterSheet!$G$40=AI47,CharacterSheet!$G$41=AI47,CharacterSheet!$M$40=AI47,CharacterSheet!$M$41=AI47),VLOOKUP(AI47,CharacterSheet!$AA$51:$AB$54,2,FALSE),0)</f>
        <v>0</v>
      </c>
    </row>
    <row r="48" spans="1:36" x14ac:dyDescent="0.25">
      <c r="A48" s="474" t="str">
        <f>IF(Sandbox!AX62="","",Sandbox!AX62)</f>
        <v/>
      </c>
      <c r="B48" s="39" t="str">
        <f>IF(Sandbox!$BH$54="",Sandbox!$AX$54,Sandbox!$BH$54)</f>
        <v>Custom Purview 3</v>
      </c>
      <c r="C48" s="470" t="str">
        <f>IF(Sandbox!AY62="","",Sandbox!AY62)</f>
        <v/>
      </c>
      <c r="D48" s="470" t="str">
        <f>Sandbox!AZ62</f>
        <v>None</v>
      </c>
      <c r="E48" s="37">
        <f t="shared" si="0"/>
        <v>0</v>
      </c>
      <c r="F48" s="470" t="str">
        <f>Sandbox!BA62</f>
        <v>None</v>
      </c>
      <c r="G48" s="37">
        <f t="shared" si="1"/>
        <v>0</v>
      </c>
      <c r="H48" s="37" t="str">
        <f>IF(Sandbox!BC62="No","None",Sandbox!$BH$4)</f>
        <v>None</v>
      </c>
      <c r="I48" s="37">
        <f t="shared" si="2"/>
        <v>0</v>
      </c>
      <c r="J48" s="37" t="str">
        <f>Sandbox!BD62</f>
        <v>No</v>
      </c>
      <c r="K48" s="37">
        <f t="shared" si="3"/>
        <v>0</v>
      </c>
      <c r="L48" s="37" t="str">
        <f>Sandbox!BB62</f>
        <v>None</v>
      </c>
      <c r="M48" s="37">
        <f t="shared" si="4"/>
        <v>0</v>
      </c>
      <c r="N48" s="470" t="str">
        <f>IF(Sandbox!BE62="Roll","Yes","No")</f>
        <v>No</v>
      </c>
      <c r="O48" s="470">
        <f t="shared" si="5"/>
        <v>0</v>
      </c>
      <c r="P48" s="37" t="str">
        <f t="shared" si="6"/>
        <v>None</v>
      </c>
      <c r="Q48" s="470" t="str">
        <f>Sandbox!BF62</f>
        <v>Yes</v>
      </c>
      <c r="R48" s="37">
        <f t="shared" si="7"/>
        <v>0</v>
      </c>
      <c r="S48" s="470" t="str">
        <f>IF(Sandbox!BE62="Add","Yes","No")</f>
        <v>No</v>
      </c>
      <c r="T48" s="470">
        <f t="shared" si="8"/>
        <v>0</v>
      </c>
      <c r="U48" s="470" t="str">
        <f>Sandbox!BG62</f>
        <v>Yes</v>
      </c>
      <c r="V48" s="111">
        <f>IF(OR(F48="none",G48="V"),0,VLOOKUP(F48,'Purchased Boons'!$AR$4:$AS$27,2,FALSE))</f>
        <v>0</v>
      </c>
      <c r="W48" s="475">
        <f>Sandbox!BH62</f>
        <v>0</v>
      </c>
      <c r="X48" s="475">
        <f>Sandbox!BI62</f>
        <v>0</v>
      </c>
      <c r="Y48" s="37" t="s">
        <v>2293</v>
      </c>
      <c r="Z48" s="111" t="s">
        <v>817</v>
      </c>
      <c r="AG48" s="24"/>
      <c r="AH48" s="24"/>
      <c r="AI48" s="37" t="s">
        <v>169</v>
      </c>
      <c r="AJ48" s="38">
        <f>IF(OR(CharacterSheet!$G$40=AI48,CharacterSheet!$G$41=AI48,CharacterSheet!$M$40=AI48,CharacterSheet!$M$41=AI48),VLOOKUP(AI48,CharacterSheet!$AA$51:$AB$54,2,FALSE),0)</f>
        <v>0</v>
      </c>
    </row>
    <row r="49" spans="1:36" x14ac:dyDescent="0.25">
      <c r="A49" s="474" t="str">
        <f>IF(Sandbox!AX63="","",Sandbox!AX63)</f>
        <v/>
      </c>
      <c r="B49" s="39" t="str">
        <f>IF(Sandbox!$BH$54="",Sandbox!$AX$54,Sandbox!$BH$54)</f>
        <v>Custom Purview 3</v>
      </c>
      <c r="C49" s="470" t="str">
        <f>IF(Sandbox!AY63="","",Sandbox!AY63)</f>
        <v/>
      </c>
      <c r="D49" s="470" t="str">
        <f>Sandbox!AZ63</f>
        <v>None</v>
      </c>
      <c r="E49" s="37">
        <f t="shared" si="0"/>
        <v>0</v>
      </c>
      <c r="F49" s="470" t="str">
        <f>Sandbox!BA63</f>
        <v>None</v>
      </c>
      <c r="G49" s="37">
        <f t="shared" si="1"/>
        <v>0</v>
      </c>
      <c r="H49" s="37" t="str">
        <f>IF(Sandbox!BC63="No","None",Sandbox!$BH$4)</f>
        <v>None</v>
      </c>
      <c r="I49" s="37">
        <f t="shared" si="2"/>
        <v>0</v>
      </c>
      <c r="J49" s="37" t="str">
        <f>Sandbox!BD63</f>
        <v>No</v>
      </c>
      <c r="K49" s="37">
        <f t="shared" si="3"/>
        <v>0</v>
      </c>
      <c r="L49" s="37" t="str">
        <f>Sandbox!BB63</f>
        <v>None</v>
      </c>
      <c r="M49" s="37">
        <f t="shared" si="4"/>
        <v>0</v>
      </c>
      <c r="N49" s="470" t="str">
        <f>IF(Sandbox!BE63="Roll","Yes","No")</f>
        <v>No</v>
      </c>
      <c r="O49" s="470">
        <f t="shared" si="5"/>
        <v>0</v>
      </c>
      <c r="P49" s="37" t="str">
        <f t="shared" si="6"/>
        <v>None</v>
      </c>
      <c r="Q49" s="470" t="str">
        <f>Sandbox!BF63</f>
        <v>Yes</v>
      </c>
      <c r="R49" s="37">
        <f t="shared" si="7"/>
        <v>0</v>
      </c>
      <c r="S49" s="470" t="str">
        <f>IF(Sandbox!BE63="Add","Yes","No")</f>
        <v>No</v>
      </c>
      <c r="T49" s="470">
        <f t="shared" si="8"/>
        <v>0</v>
      </c>
      <c r="U49" s="470" t="str">
        <f>Sandbox!BG63</f>
        <v>Yes</v>
      </c>
      <c r="V49" s="111">
        <f>IF(OR(F49="none",G49="V"),0,VLOOKUP(F49,'Purchased Boons'!$AR$4:$AS$27,2,FALSE))</f>
        <v>0</v>
      </c>
      <c r="W49" s="475">
        <f>Sandbox!BH63</f>
        <v>0</v>
      </c>
      <c r="X49" s="475">
        <f>Sandbox!BI63</f>
        <v>0</v>
      </c>
      <c r="Y49" s="37" t="s">
        <v>2293</v>
      </c>
      <c r="Z49" s="111" t="s">
        <v>817</v>
      </c>
      <c r="AG49" s="24"/>
      <c r="AH49" s="24"/>
      <c r="AI49" s="37" t="s">
        <v>163</v>
      </c>
      <c r="AJ49" s="38">
        <f>IF(OR(CharacterSheet!$G$40=AI49,CharacterSheet!$G$41=AI49,CharacterSheet!$M$40=AI49,CharacterSheet!$M$41=AI49),VLOOKUP(AI49,CharacterSheet!$AA$51:$AB$54,2,FALSE),0)</f>
        <v>0</v>
      </c>
    </row>
    <row r="50" spans="1:36" x14ac:dyDescent="0.25">
      <c r="A50" s="474" t="str">
        <f>IF(Sandbox!AX64="","",Sandbox!AX64)</f>
        <v/>
      </c>
      <c r="B50" s="39" t="str">
        <f>IF(Sandbox!$BH$54="",Sandbox!$AX$54,Sandbox!$BH$54)</f>
        <v>Custom Purview 3</v>
      </c>
      <c r="C50" s="470" t="str">
        <f>IF(Sandbox!AY64="","",Sandbox!AY64)</f>
        <v/>
      </c>
      <c r="D50" s="470" t="str">
        <f>Sandbox!AZ64</f>
        <v>None</v>
      </c>
      <c r="E50" s="37">
        <f t="shared" si="0"/>
        <v>0</v>
      </c>
      <c r="F50" s="470" t="str">
        <f>Sandbox!BA64</f>
        <v>None</v>
      </c>
      <c r="G50" s="37">
        <f t="shared" si="1"/>
        <v>0</v>
      </c>
      <c r="H50" s="37" t="str">
        <f>IF(Sandbox!BC64="No","None",Sandbox!$BH$4)</f>
        <v>None</v>
      </c>
      <c r="I50" s="37">
        <f t="shared" si="2"/>
        <v>0</v>
      </c>
      <c r="J50" s="37" t="str">
        <f>Sandbox!BD64</f>
        <v>No</v>
      </c>
      <c r="K50" s="37">
        <f t="shared" si="3"/>
        <v>0</v>
      </c>
      <c r="L50" s="37" t="str">
        <f>Sandbox!BB64</f>
        <v>None</v>
      </c>
      <c r="M50" s="37">
        <f t="shared" si="4"/>
        <v>0</v>
      </c>
      <c r="N50" s="470" t="str">
        <f>IF(Sandbox!BE64="Roll","Yes","No")</f>
        <v>No</v>
      </c>
      <c r="O50" s="470">
        <f t="shared" si="5"/>
        <v>0</v>
      </c>
      <c r="P50" s="37" t="str">
        <f t="shared" si="6"/>
        <v>None</v>
      </c>
      <c r="Q50" s="470" t="str">
        <f>Sandbox!BF64</f>
        <v>Yes</v>
      </c>
      <c r="R50" s="37">
        <f t="shared" si="7"/>
        <v>0</v>
      </c>
      <c r="S50" s="470" t="str">
        <f>IF(Sandbox!BE64="Add","Yes","No")</f>
        <v>No</v>
      </c>
      <c r="T50" s="470">
        <f t="shared" si="8"/>
        <v>0</v>
      </c>
      <c r="U50" s="470" t="str">
        <f>Sandbox!BG64</f>
        <v>Yes</v>
      </c>
      <c r="V50" s="111">
        <f>IF(OR(F50="none",G50="V"),0,VLOOKUP(F50,'Purchased Boons'!$AR$4:$AS$27,2,FALSE))</f>
        <v>0</v>
      </c>
      <c r="W50" s="475">
        <f>Sandbox!BH64</f>
        <v>0</v>
      </c>
      <c r="X50" s="475">
        <f>Sandbox!BI64</f>
        <v>0</v>
      </c>
      <c r="Y50" s="37" t="s">
        <v>2293</v>
      </c>
      <c r="Z50" s="111" t="s">
        <v>817</v>
      </c>
      <c r="AG50" s="24"/>
      <c r="AH50" s="24"/>
      <c r="AI50" s="37" t="s">
        <v>159</v>
      </c>
      <c r="AJ50" s="38">
        <f>IF(OR(CharacterSheet!$G$40=AI50,CharacterSheet!$G$41=AI50,CharacterSheet!$M$40=AI50,CharacterSheet!$M$41=AI50),VLOOKUP(AI50,CharacterSheet!$AA$51:$AB$54,2,FALSE),0)</f>
        <v>0</v>
      </c>
    </row>
    <row r="51" spans="1:36" x14ac:dyDescent="0.25">
      <c r="A51" s="474" t="str">
        <f>IF(Sandbox!AX65="","",Sandbox!AX65)</f>
        <v/>
      </c>
      <c r="B51" s="39" t="str">
        <f>IF(Sandbox!$BH$54="",Sandbox!$AX$54,Sandbox!$BH$54)</f>
        <v>Custom Purview 3</v>
      </c>
      <c r="C51" s="470" t="str">
        <f>IF(Sandbox!AY65="","",Sandbox!AY65)</f>
        <v/>
      </c>
      <c r="D51" s="470" t="str">
        <f>Sandbox!AZ65</f>
        <v>None</v>
      </c>
      <c r="E51" s="37">
        <f t="shared" si="0"/>
        <v>0</v>
      </c>
      <c r="F51" s="470" t="str">
        <f>Sandbox!BA65</f>
        <v>None</v>
      </c>
      <c r="G51" s="37">
        <f t="shared" si="1"/>
        <v>0</v>
      </c>
      <c r="H51" s="37" t="str">
        <f>IF(Sandbox!BC65="No","None",Sandbox!$BH$4)</f>
        <v>None</v>
      </c>
      <c r="I51" s="37">
        <f t="shared" si="2"/>
        <v>0</v>
      </c>
      <c r="J51" s="37" t="str">
        <f>Sandbox!BD65</f>
        <v>No</v>
      </c>
      <c r="K51" s="37">
        <f t="shared" si="3"/>
        <v>0</v>
      </c>
      <c r="L51" s="37" t="str">
        <f>Sandbox!BB65</f>
        <v>None</v>
      </c>
      <c r="M51" s="37">
        <f t="shared" si="4"/>
        <v>0</v>
      </c>
      <c r="N51" s="470" t="str">
        <f>IF(Sandbox!BE65="Roll","Yes","No")</f>
        <v>No</v>
      </c>
      <c r="O51" s="470">
        <f t="shared" si="5"/>
        <v>0</v>
      </c>
      <c r="P51" s="37" t="str">
        <f t="shared" si="6"/>
        <v>None</v>
      </c>
      <c r="Q51" s="470" t="str">
        <f>Sandbox!BF65</f>
        <v>Yes</v>
      </c>
      <c r="R51" s="37">
        <f t="shared" si="7"/>
        <v>0</v>
      </c>
      <c r="S51" s="470" t="str">
        <f>IF(Sandbox!BE65="Add","Yes","No")</f>
        <v>No</v>
      </c>
      <c r="T51" s="470">
        <f t="shared" si="8"/>
        <v>0</v>
      </c>
      <c r="U51" s="470" t="str">
        <f>Sandbox!BG65</f>
        <v>Yes</v>
      </c>
      <c r="V51" s="111">
        <f>IF(OR(F51="none",G51="V"),0,VLOOKUP(F51,'Purchased Boons'!$AR$4:$AS$27,2,FALSE))</f>
        <v>0</v>
      </c>
      <c r="W51" s="475">
        <f>Sandbox!BH65</f>
        <v>0</v>
      </c>
      <c r="X51" s="475">
        <f>Sandbox!BI65</f>
        <v>0</v>
      </c>
      <c r="Y51" s="37" t="s">
        <v>2293</v>
      </c>
      <c r="Z51" s="111" t="s">
        <v>817</v>
      </c>
      <c r="AG51" s="24"/>
      <c r="AH51" s="24"/>
      <c r="AI51" s="37" t="s">
        <v>494</v>
      </c>
      <c r="AJ51" s="38">
        <v>0</v>
      </c>
    </row>
    <row r="52" spans="1:36" x14ac:dyDescent="0.25">
      <c r="A52" s="474" t="str">
        <f>IF(Sandbox!AX66="","",Sandbox!AX66)</f>
        <v/>
      </c>
      <c r="B52" s="39" t="str">
        <f>IF(Sandbox!$BH$54="",Sandbox!$AX$54,Sandbox!$BH$54)</f>
        <v>Custom Purview 3</v>
      </c>
      <c r="C52" s="470" t="str">
        <f>IF(Sandbox!AY66="","",Sandbox!AY66)</f>
        <v/>
      </c>
      <c r="D52" s="470" t="str">
        <f>Sandbox!AZ66</f>
        <v>None</v>
      </c>
      <c r="E52" s="37">
        <f t="shared" si="0"/>
        <v>0</v>
      </c>
      <c r="F52" s="470" t="str">
        <f>Sandbox!BA66</f>
        <v>None</v>
      </c>
      <c r="G52" s="37">
        <f t="shared" si="1"/>
        <v>0</v>
      </c>
      <c r="H52" s="37" t="str">
        <f>IF(Sandbox!BC66="No","None",Sandbox!$BH$4)</f>
        <v>None</v>
      </c>
      <c r="I52" s="37">
        <f t="shared" si="2"/>
        <v>0</v>
      </c>
      <c r="J52" s="37" t="str">
        <f>Sandbox!BD66</f>
        <v>No</v>
      </c>
      <c r="K52" s="37">
        <f t="shared" si="3"/>
        <v>0</v>
      </c>
      <c r="L52" s="37" t="str">
        <f>Sandbox!BB66</f>
        <v>None</v>
      </c>
      <c r="M52" s="37">
        <f t="shared" si="4"/>
        <v>0</v>
      </c>
      <c r="N52" s="470" t="str">
        <f>IF(Sandbox!BE66="Roll","Yes","No")</f>
        <v>No</v>
      </c>
      <c r="O52" s="470">
        <f t="shared" si="5"/>
        <v>0</v>
      </c>
      <c r="P52" s="37" t="str">
        <f t="shared" si="6"/>
        <v>None</v>
      </c>
      <c r="Q52" s="470" t="str">
        <f>Sandbox!BF66</f>
        <v>Yes</v>
      </c>
      <c r="R52" s="37">
        <f t="shared" si="7"/>
        <v>0</v>
      </c>
      <c r="S52" s="470" t="str">
        <f>IF(Sandbox!BE66="Add","Yes","No")</f>
        <v>No</v>
      </c>
      <c r="T52" s="470">
        <f t="shared" si="8"/>
        <v>0</v>
      </c>
      <c r="U52" s="470" t="str">
        <f>Sandbox!BG66</f>
        <v>Yes</v>
      </c>
      <c r="V52" s="111">
        <f>IF(OR(F52="none",G52="V"),0,VLOOKUP(F52,'Purchased Boons'!$AR$4:$AS$27,2,FALSE))</f>
        <v>0</v>
      </c>
      <c r="W52" s="475">
        <f>Sandbox!BH66</f>
        <v>0</v>
      </c>
      <c r="X52" s="475">
        <f>Sandbox!BI66</f>
        <v>0</v>
      </c>
      <c r="Y52" s="37" t="s">
        <v>2293</v>
      </c>
      <c r="Z52" s="111" t="s">
        <v>817</v>
      </c>
      <c r="AG52" s="24"/>
      <c r="AH52" s="24"/>
      <c r="AI52" s="37" t="s">
        <v>171</v>
      </c>
      <c r="AJ52" s="38">
        <f>IF(OR(CharacterSheet!$G$40=AI52,CharacterSheet!$G$41=AI52,CharacterSheet!$M$40=AI52,CharacterSheet!$M$41=AI52),VLOOKUP(AI52,CharacterSheet!$AA$51:$AB$54,2,FALSE),0)</f>
        <v>0</v>
      </c>
    </row>
    <row r="53" spans="1:36" x14ac:dyDescent="0.25">
      <c r="A53" s="474" t="str">
        <f>IF(Sandbox!AX67="","",Sandbox!AX67)</f>
        <v/>
      </c>
      <c r="B53" s="39" t="str">
        <f>IF(Sandbox!$BH$54="",Sandbox!$AX$54,Sandbox!$BH$54)</f>
        <v>Custom Purview 3</v>
      </c>
      <c r="C53" s="470" t="str">
        <f>IF(Sandbox!AY67="","",Sandbox!AY67)</f>
        <v/>
      </c>
      <c r="D53" s="470" t="str">
        <f>Sandbox!AZ67</f>
        <v>None</v>
      </c>
      <c r="E53" s="37">
        <f t="shared" si="0"/>
        <v>0</v>
      </c>
      <c r="F53" s="470" t="str">
        <f>Sandbox!BA67</f>
        <v>None</v>
      </c>
      <c r="G53" s="37">
        <f t="shared" si="1"/>
        <v>0</v>
      </c>
      <c r="H53" s="37" t="str">
        <f>IF(Sandbox!BC67="No","None",Sandbox!$BH$4)</f>
        <v>None</v>
      </c>
      <c r="I53" s="37">
        <f t="shared" si="2"/>
        <v>0</v>
      </c>
      <c r="J53" s="37" t="str">
        <f>Sandbox!BD67</f>
        <v>No</v>
      </c>
      <c r="K53" s="37">
        <f t="shared" si="3"/>
        <v>0</v>
      </c>
      <c r="L53" s="37" t="str">
        <f>Sandbox!BB67</f>
        <v>None</v>
      </c>
      <c r="M53" s="37">
        <f t="shared" si="4"/>
        <v>0</v>
      </c>
      <c r="N53" s="470" t="str">
        <f>IF(Sandbox!BE67="Roll","Yes","No")</f>
        <v>No</v>
      </c>
      <c r="O53" s="470">
        <f t="shared" si="5"/>
        <v>0</v>
      </c>
      <c r="P53" s="37" t="str">
        <f t="shared" si="6"/>
        <v>None</v>
      </c>
      <c r="Q53" s="470" t="str">
        <f>Sandbox!BF67</f>
        <v>Yes</v>
      </c>
      <c r="R53" s="37">
        <f t="shared" si="7"/>
        <v>0</v>
      </c>
      <c r="S53" s="470" t="str">
        <f>IF(Sandbox!BE67="Add","Yes","No")</f>
        <v>No</v>
      </c>
      <c r="T53" s="470">
        <f t="shared" si="8"/>
        <v>0</v>
      </c>
      <c r="U53" s="470" t="str">
        <f>Sandbox!BG67</f>
        <v>Yes</v>
      </c>
      <c r="V53" s="111">
        <f>IF(OR(F53="none",G53="V"),0,VLOOKUP(F53,'Purchased Boons'!$AR$4:$AS$27,2,FALSE))</f>
        <v>0</v>
      </c>
      <c r="W53" s="475">
        <f>Sandbox!BH67</f>
        <v>0</v>
      </c>
      <c r="X53" s="475">
        <f>Sandbox!BI67</f>
        <v>0</v>
      </c>
      <c r="Y53" s="37" t="s">
        <v>2293</v>
      </c>
      <c r="Z53" s="111" t="s">
        <v>817</v>
      </c>
      <c r="AG53" s="24"/>
      <c r="AH53" s="24"/>
      <c r="AI53" s="37" t="s">
        <v>176</v>
      </c>
      <c r="AJ53" s="38">
        <f>IF(OR(CharacterSheet!$G$40=AI53,CharacterSheet!$G$41=AI53,CharacterSheet!$M$40=AI53,CharacterSheet!$M$41=AI53),VLOOKUP(AI53,CharacterSheet!$AA$51:$AB$54,2,FALSE),0)</f>
        <v>0</v>
      </c>
    </row>
    <row r="54" spans="1:36" x14ac:dyDescent="0.25">
      <c r="A54" s="474" t="str">
        <f>IF(Sandbox!AX68="","",Sandbox!AX68)</f>
        <v/>
      </c>
      <c r="B54" s="39" t="str">
        <f>IF(Sandbox!$BH$54="",Sandbox!$AX$54,Sandbox!$BH$54)</f>
        <v>Custom Purview 3</v>
      </c>
      <c r="C54" s="470" t="str">
        <f>IF(Sandbox!AY68="","",Sandbox!AY68)</f>
        <v/>
      </c>
      <c r="D54" s="470" t="str">
        <f>Sandbox!AZ68</f>
        <v>None</v>
      </c>
      <c r="E54" s="37">
        <f t="shared" si="0"/>
        <v>0</v>
      </c>
      <c r="F54" s="470" t="str">
        <f>Sandbox!BA68</f>
        <v>None</v>
      </c>
      <c r="G54" s="37">
        <f t="shared" si="1"/>
        <v>0</v>
      </c>
      <c r="H54" s="37" t="str">
        <f>IF(Sandbox!BC68="No","None",Sandbox!$BH$4)</f>
        <v>None</v>
      </c>
      <c r="I54" s="37">
        <f t="shared" si="2"/>
        <v>0</v>
      </c>
      <c r="J54" s="37" t="str">
        <f>Sandbox!BD68</f>
        <v>No</v>
      </c>
      <c r="K54" s="37">
        <f t="shared" si="3"/>
        <v>0</v>
      </c>
      <c r="L54" s="37" t="str">
        <f>Sandbox!BB68</f>
        <v>None</v>
      </c>
      <c r="M54" s="37">
        <f t="shared" si="4"/>
        <v>0</v>
      </c>
      <c r="N54" s="470" t="str">
        <f>IF(Sandbox!BE68="Roll","Yes","No")</f>
        <v>No</v>
      </c>
      <c r="O54" s="470">
        <f t="shared" si="5"/>
        <v>0</v>
      </c>
      <c r="P54" s="37" t="str">
        <f t="shared" si="6"/>
        <v>None</v>
      </c>
      <c r="Q54" s="470" t="str">
        <f>Sandbox!BF68</f>
        <v>Yes</v>
      </c>
      <c r="R54" s="37">
        <f t="shared" si="7"/>
        <v>0</v>
      </c>
      <c r="S54" s="470" t="str">
        <f>IF(Sandbox!BE68="Add","Yes","No")</f>
        <v>No</v>
      </c>
      <c r="T54" s="470">
        <f t="shared" si="8"/>
        <v>0</v>
      </c>
      <c r="U54" s="470" t="str">
        <f>Sandbox!BG68</f>
        <v>Yes</v>
      </c>
      <c r="V54" s="111">
        <f>IF(OR(F54="none",G54="V"),0,VLOOKUP(F54,'Purchased Boons'!$AR$4:$AS$27,2,FALSE))</f>
        <v>0</v>
      </c>
      <c r="W54" s="475">
        <f>Sandbox!BH68</f>
        <v>0</v>
      </c>
      <c r="X54" s="475">
        <f>Sandbox!BI68</f>
        <v>0</v>
      </c>
      <c r="Y54" s="37" t="s">
        <v>2293</v>
      </c>
      <c r="Z54" s="111" t="s">
        <v>817</v>
      </c>
      <c r="AG54" s="24"/>
      <c r="AH54" s="24"/>
      <c r="AI54" s="37" t="s">
        <v>164</v>
      </c>
      <c r="AJ54" s="38">
        <f>IF(OR(CharacterSheet!$G$40=AI54,CharacterSheet!$G$41=AI54,CharacterSheet!$M$40=AI54,CharacterSheet!$M$41=AI54),VLOOKUP(AI54,CharacterSheet!$AA$51:$AB$54,2,FALSE),0)</f>
        <v>0</v>
      </c>
    </row>
    <row r="55" spans="1:36" x14ac:dyDescent="0.25">
      <c r="A55" s="474" t="str">
        <f>IF(Sandbox!AX69="","",Sandbox!AX69)</f>
        <v/>
      </c>
      <c r="B55" s="39" t="str">
        <f>IF(Sandbox!$BH$54="",Sandbox!$AX$54,Sandbox!$BH$54)</f>
        <v>Custom Purview 3</v>
      </c>
      <c r="C55" s="470" t="str">
        <f>IF(Sandbox!AY69="","",Sandbox!AY69)</f>
        <v/>
      </c>
      <c r="D55" s="470" t="str">
        <f>Sandbox!AZ69</f>
        <v>None</v>
      </c>
      <c r="E55" s="37">
        <f t="shared" si="0"/>
        <v>0</v>
      </c>
      <c r="F55" s="470" t="str">
        <f>Sandbox!BA69</f>
        <v>None</v>
      </c>
      <c r="G55" s="37">
        <f t="shared" si="1"/>
        <v>0</v>
      </c>
      <c r="H55" s="37" t="str">
        <f>IF(Sandbox!BC69="No","None",Sandbox!$BH$4)</f>
        <v>None</v>
      </c>
      <c r="I55" s="37">
        <f t="shared" si="2"/>
        <v>0</v>
      </c>
      <c r="J55" s="37" t="str">
        <f>Sandbox!BD69</f>
        <v>No</v>
      </c>
      <c r="K55" s="37">
        <f t="shared" si="3"/>
        <v>0</v>
      </c>
      <c r="L55" s="37" t="str">
        <f>Sandbox!BB69</f>
        <v>None</v>
      </c>
      <c r="M55" s="37">
        <f t="shared" si="4"/>
        <v>0</v>
      </c>
      <c r="N55" s="470" t="str">
        <f>IF(Sandbox!BE69="Roll","Yes","No")</f>
        <v>No</v>
      </c>
      <c r="O55" s="470">
        <f t="shared" si="5"/>
        <v>0</v>
      </c>
      <c r="P55" s="37" t="str">
        <f t="shared" si="6"/>
        <v>None</v>
      </c>
      <c r="Q55" s="470" t="str">
        <f>Sandbox!BF69</f>
        <v>Yes</v>
      </c>
      <c r="R55" s="37">
        <f t="shared" si="7"/>
        <v>0</v>
      </c>
      <c r="S55" s="470" t="str">
        <f>IF(Sandbox!BE69="Add","Yes","No")</f>
        <v>No</v>
      </c>
      <c r="T55" s="470">
        <f t="shared" si="8"/>
        <v>0</v>
      </c>
      <c r="U55" s="470" t="str">
        <f>Sandbox!BG69</f>
        <v>Yes</v>
      </c>
      <c r="V55" s="111">
        <f>IF(OR(F55="none",G55="V"),0,VLOOKUP(F55,'Purchased Boons'!$AR$4:$AS$27,2,FALSE))</f>
        <v>0</v>
      </c>
      <c r="W55" s="475">
        <f>Sandbox!BH69</f>
        <v>0</v>
      </c>
      <c r="X55" s="475">
        <f>Sandbox!BI69</f>
        <v>0</v>
      </c>
      <c r="Y55" s="37" t="s">
        <v>2293</v>
      </c>
      <c r="Z55" s="111" t="s">
        <v>817</v>
      </c>
      <c r="AG55" s="24"/>
      <c r="AH55" s="24"/>
      <c r="AI55" s="37" t="s">
        <v>173</v>
      </c>
      <c r="AJ55" s="38">
        <f>IF(OR(CharacterSheet!$G$40=AI55,CharacterSheet!$G$41=AI55,CharacterSheet!$M$40=AI55,CharacterSheet!$M$41=AI55),VLOOKUP(AI55,CharacterSheet!$AA$51:$AB$54,2,FALSE),0)</f>
        <v>0</v>
      </c>
    </row>
    <row r="56" spans="1:36" x14ac:dyDescent="0.25">
      <c r="A56" s="474" t="str">
        <f>IF(Sandbox!AX70="","",Sandbox!AX70)</f>
        <v/>
      </c>
      <c r="B56" s="39" t="str">
        <f>IF(Sandbox!$BH$54="",Sandbox!$AX$54,Sandbox!$BH$54)</f>
        <v>Custom Purview 3</v>
      </c>
      <c r="C56" s="470" t="str">
        <f>IF(Sandbox!AY70="","",Sandbox!AY70)</f>
        <v/>
      </c>
      <c r="D56" s="470" t="str">
        <f>Sandbox!AZ70</f>
        <v>None</v>
      </c>
      <c r="E56" s="37">
        <f t="shared" si="0"/>
        <v>0</v>
      </c>
      <c r="F56" s="470" t="str">
        <f>Sandbox!BA70</f>
        <v>None</v>
      </c>
      <c r="G56" s="37">
        <f t="shared" si="1"/>
        <v>0</v>
      </c>
      <c r="H56" s="37" t="str">
        <f>IF(Sandbox!BC70="No","None",Sandbox!$BH$4)</f>
        <v>None</v>
      </c>
      <c r="I56" s="37">
        <f t="shared" si="2"/>
        <v>0</v>
      </c>
      <c r="J56" s="37" t="str">
        <f>Sandbox!BD70</f>
        <v>No</v>
      </c>
      <c r="K56" s="37">
        <f t="shared" si="3"/>
        <v>0</v>
      </c>
      <c r="L56" s="37" t="str">
        <f>Sandbox!BB70</f>
        <v>None</v>
      </c>
      <c r="M56" s="37">
        <f t="shared" si="4"/>
        <v>0</v>
      </c>
      <c r="N56" s="470" t="str">
        <f>IF(Sandbox!BE70="Roll","Yes","No")</f>
        <v>No</v>
      </c>
      <c r="O56" s="470">
        <f t="shared" si="5"/>
        <v>0</v>
      </c>
      <c r="P56" s="37" t="str">
        <f t="shared" si="6"/>
        <v>None</v>
      </c>
      <c r="Q56" s="470" t="str">
        <f>Sandbox!BF70</f>
        <v>Yes</v>
      </c>
      <c r="R56" s="37">
        <f t="shared" si="7"/>
        <v>0</v>
      </c>
      <c r="S56" s="470" t="str">
        <f>IF(Sandbox!BE70="Add","Yes","No")</f>
        <v>No</v>
      </c>
      <c r="T56" s="470">
        <f t="shared" si="8"/>
        <v>0</v>
      </c>
      <c r="U56" s="470" t="str">
        <f>Sandbox!BG70</f>
        <v>Yes</v>
      </c>
      <c r="V56" s="111">
        <f>IF(OR(F56="none",G56="V"),0,VLOOKUP(F56,'Purchased Boons'!$AR$4:$AS$27,2,FALSE))</f>
        <v>0</v>
      </c>
      <c r="W56" s="475">
        <f>Sandbox!BH70</f>
        <v>0</v>
      </c>
      <c r="X56" s="475">
        <f>Sandbox!BI70</f>
        <v>0</v>
      </c>
      <c r="Y56" s="37" t="s">
        <v>2293</v>
      </c>
      <c r="Z56" s="111" t="s">
        <v>817</v>
      </c>
      <c r="AG56" s="24"/>
      <c r="AH56" s="24"/>
      <c r="AI56" s="37" t="s">
        <v>83</v>
      </c>
      <c r="AJ56" s="38">
        <f>CharacterSheet!V31</f>
        <v>2</v>
      </c>
    </row>
    <row r="57" spans="1:36" x14ac:dyDescent="0.25">
      <c r="A57" s="474" t="str">
        <f>IF(Sandbox!AX71="","",Sandbox!AX71)</f>
        <v/>
      </c>
      <c r="B57" s="39" t="str">
        <f>IF(Sandbox!$BH$54="",Sandbox!$AX$54,Sandbox!$BH$54)</f>
        <v>Custom Purview 3</v>
      </c>
      <c r="C57" s="470" t="str">
        <f>IF(Sandbox!AY71="","",Sandbox!AY71)</f>
        <v/>
      </c>
      <c r="D57" s="470" t="str">
        <f>Sandbox!AZ71</f>
        <v>None</v>
      </c>
      <c r="E57" s="37">
        <f t="shared" si="0"/>
        <v>0</v>
      </c>
      <c r="F57" s="470" t="str">
        <f>Sandbox!BA71</f>
        <v>None</v>
      </c>
      <c r="G57" s="37">
        <f t="shared" si="1"/>
        <v>0</v>
      </c>
      <c r="H57" s="37" t="str">
        <f>IF(Sandbox!BC71="No","None",Sandbox!$BH$4)</f>
        <v>None</v>
      </c>
      <c r="I57" s="37">
        <f t="shared" si="2"/>
        <v>0</v>
      </c>
      <c r="J57" s="37" t="str">
        <f>Sandbox!BD71</f>
        <v>No</v>
      </c>
      <c r="K57" s="37">
        <f t="shared" si="3"/>
        <v>0</v>
      </c>
      <c r="L57" s="37" t="str">
        <f>Sandbox!BB71</f>
        <v>None</v>
      </c>
      <c r="M57" s="37">
        <f t="shared" si="4"/>
        <v>0</v>
      </c>
      <c r="N57" s="470" t="str">
        <f>IF(Sandbox!BE71="Roll","Yes","No")</f>
        <v>No</v>
      </c>
      <c r="O57" s="470">
        <f t="shared" si="5"/>
        <v>0</v>
      </c>
      <c r="P57" s="37" t="str">
        <f t="shared" si="6"/>
        <v>None</v>
      </c>
      <c r="Q57" s="470" t="str">
        <f>Sandbox!BF71</f>
        <v>Yes</v>
      </c>
      <c r="R57" s="37">
        <f t="shared" si="7"/>
        <v>0</v>
      </c>
      <c r="S57" s="470" t="str">
        <f>IF(Sandbox!BE71="Add","Yes","No")</f>
        <v>No</v>
      </c>
      <c r="T57" s="470">
        <f t="shared" si="8"/>
        <v>0</v>
      </c>
      <c r="U57" s="470" t="str">
        <f>Sandbox!BG71</f>
        <v>Yes</v>
      </c>
      <c r="V57" s="111">
        <f>IF(OR(F57="none",G57="V"),0,VLOOKUP(F57,'Purchased Boons'!$AR$4:$AS$27,2,FALSE))</f>
        <v>0</v>
      </c>
      <c r="W57" s="475">
        <f>Sandbox!BH71</f>
        <v>0</v>
      </c>
      <c r="X57" s="475">
        <f>Sandbox!BI71</f>
        <v>0</v>
      </c>
      <c r="Y57" s="37" t="s">
        <v>2293</v>
      </c>
      <c r="Z57" s="111" t="s">
        <v>817</v>
      </c>
      <c r="AG57" s="24"/>
      <c r="AH57" s="24"/>
      <c r="AI57" s="37" t="s">
        <v>60</v>
      </c>
      <c r="AJ57" s="38">
        <f>CharacterSheet!V34</f>
        <v>2</v>
      </c>
    </row>
    <row r="58" spans="1:36" x14ac:dyDescent="0.25">
      <c r="A58" s="474" t="str">
        <f>IF(Sandbox!AX72="","",Sandbox!AX72)</f>
        <v/>
      </c>
      <c r="B58" s="39" t="str">
        <f>IF(Sandbox!$BH$54="",Sandbox!$AX$54,Sandbox!$BH$54)</f>
        <v>Custom Purview 3</v>
      </c>
      <c r="C58" s="470" t="str">
        <f>IF(Sandbox!AY72="","",Sandbox!AY72)</f>
        <v/>
      </c>
      <c r="D58" s="470" t="str">
        <f>Sandbox!AZ72</f>
        <v>None</v>
      </c>
      <c r="E58" s="37">
        <f t="shared" si="0"/>
        <v>0</v>
      </c>
      <c r="F58" s="470" t="str">
        <f>Sandbox!BA72</f>
        <v>None</v>
      </c>
      <c r="G58" s="37">
        <f t="shared" si="1"/>
        <v>0</v>
      </c>
      <c r="H58" s="37" t="str">
        <f>IF(Sandbox!BC72="No","None",Sandbox!$BH$4)</f>
        <v>None</v>
      </c>
      <c r="I58" s="37">
        <f t="shared" si="2"/>
        <v>0</v>
      </c>
      <c r="J58" s="37" t="str">
        <f>Sandbox!BD72</f>
        <v>No</v>
      </c>
      <c r="K58" s="37">
        <f t="shared" si="3"/>
        <v>0</v>
      </c>
      <c r="L58" s="37" t="str">
        <f>Sandbox!BB72</f>
        <v>None</v>
      </c>
      <c r="M58" s="37">
        <f t="shared" si="4"/>
        <v>0</v>
      </c>
      <c r="N58" s="470" t="str">
        <f>IF(Sandbox!BE72="Roll","Yes","No")</f>
        <v>No</v>
      </c>
      <c r="O58" s="470">
        <f t="shared" si="5"/>
        <v>0</v>
      </c>
      <c r="P58" s="37" t="str">
        <f t="shared" si="6"/>
        <v>None</v>
      </c>
      <c r="Q58" s="470" t="str">
        <f>Sandbox!BF72</f>
        <v>Yes</v>
      </c>
      <c r="R58" s="37">
        <f t="shared" si="7"/>
        <v>0</v>
      </c>
      <c r="S58" s="470" t="str">
        <f>IF(Sandbox!BE72="Add","Yes","No")</f>
        <v>No</v>
      </c>
      <c r="T58" s="470">
        <f t="shared" si="8"/>
        <v>0</v>
      </c>
      <c r="U58" s="470" t="str">
        <f>Sandbox!BG72</f>
        <v>Yes</v>
      </c>
      <c r="V58" s="111">
        <f>IF(OR(F58="none",G58="V"),0,VLOOKUP(F58,'Purchased Boons'!$AR$4:$AS$27,2,FALSE))</f>
        <v>0</v>
      </c>
      <c r="W58" s="475">
        <f>Sandbox!BH72</f>
        <v>0</v>
      </c>
      <c r="X58" s="475">
        <f>Sandbox!BI72</f>
        <v>0</v>
      </c>
      <c r="Y58" s="37" t="s">
        <v>2293</v>
      </c>
      <c r="Z58" s="111" t="s">
        <v>817</v>
      </c>
      <c r="AG58" s="24"/>
      <c r="AH58" s="24"/>
    </row>
    <row r="59" spans="1:36" x14ac:dyDescent="0.25">
      <c r="A59" s="474" t="str">
        <f>IF(Sandbox!AX73="","",Sandbox!AX73)</f>
        <v/>
      </c>
      <c r="B59" s="39" t="str">
        <f>IF(Sandbox!$BH$54="",Sandbox!$AX$54,Sandbox!$BH$54)</f>
        <v>Custom Purview 3</v>
      </c>
      <c r="C59" s="470" t="str">
        <f>IF(Sandbox!AY73="","",Sandbox!AY73)</f>
        <v/>
      </c>
      <c r="D59" s="470" t="str">
        <f>Sandbox!AZ73</f>
        <v>None</v>
      </c>
      <c r="E59" s="37">
        <f t="shared" si="0"/>
        <v>0</v>
      </c>
      <c r="F59" s="470" t="str">
        <f>Sandbox!BA73</f>
        <v>None</v>
      </c>
      <c r="G59" s="37">
        <f t="shared" si="1"/>
        <v>0</v>
      </c>
      <c r="H59" s="37" t="str">
        <f>IF(Sandbox!BC73="No","None",Sandbox!$BH$4)</f>
        <v>None</v>
      </c>
      <c r="I59" s="37">
        <f t="shared" si="2"/>
        <v>0</v>
      </c>
      <c r="J59" s="37" t="str">
        <f>Sandbox!BD73</f>
        <v>No</v>
      </c>
      <c r="K59" s="37">
        <f t="shared" si="3"/>
        <v>0</v>
      </c>
      <c r="L59" s="37" t="str">
        <f>Sandbox!BB73</f>
        <v>None</v>
      </c>
      <c r="M59" s="37">
        <f t="shared" si="4"/>
        <v>0</v>
      </c>
      <c r="N59" s="470" t="str">
        <f>IF(Sandbox!BE73="Roll","Yes","No")</f>
        <v>No</v>
      </c>
      <c r="O59" s="470">
        <f t="shared" si="5"/>
        <v>0</v>
      </c>
      <c r="P59" s="37" t="str">
        <f t="shared" si="6"/>
        <v>None</v>
      </c>
      <c r="Q59" s="470" t="str">
        <f>Sandbox!BF73</f>
        <v>Yes</v>
      </c>
      <c r="R59" s="37">
        <f t="shared" si="7"/>
        <v>0</v>
      </c>
      <c r="S59" s="470" t="str">
        <f>IF(Sandbox!BE73="Add","Yes","No")</f>
        <v>No</v>
      </c>
      <c r="T59" s="470">
        <f t="shared" si="8"/>
        <v>0</v>
      </c>
      <c r="U59" s="470" t="str">
        <f>Sandbox!BG73</f>
        <v>Yes</v>
      </c>
      <c r="V59" s="111">
        <f>IF(OR(F59="none",G59="V"),0,VLOOKUP(F59,'Purchased Boons'!$AR$4:$AS$27,2,FALSE))</f>
        <v>0</v>
      </c>
      <c r="W59" s="475">
        <f>Sandbox!BH73</f>
        <v>0</v>
      </c>
      <c r="X59" s="475">
        <f>Sandbox!BI73</f>
        <v>0</v>
      </c>
      <c r="Y59" s="37" t="s">
        <v>2293</v>
      </c>
      <c r="Z59" s="111" t="s">
        <v>817</v>
      </c>
      <c r="AG59" s="24"/>
      <c r="AH59" s="24"/>
    </row>
    <row r="60" spans="1:36" x14ac:dyDescent="0.25">
      <c r="A60" s="474" t="str">
        <f>IF(Sandbox!AX74="","",Sandbox!AX74)</f>
        <v/>
      </c>
      <c r="B60" s="39" t="str">
        <f>IF(Sandbox!$BH$54="",Sandbox!$AX$54,Sandbox!$BH$54)</f>
        <v>Custom Purview 3</v>
      </c>
      <c r="C60" s="470" t="str">
        <f>IF(Sandbox!AY74="","",Sandbox!AY74)</f>
        <v/>
      </c>
      <c r="D60" s="470" t="str">
        <f>Sandbox!AZ74</f>
        <v>None</v>
      </c>
      <c r="E60" s="37">
        <f t="shared" si="0"/>
        <v>0</v>
      </c>
      <c r="F60" s="470" t="str">
        <f>Sandbox!BA74</f>
        <v>None</v>
      </c>
      <c r="G60" s="37">
        <f t="shared" si="1"/>
        <v>0</v>
      </c>
      <c r="H60" s="37" t="str">
        <f>IF(Sandbox!BC74="No","None",Sandbox!$BH$4)</f>
        <v>None</v>
      </c>
      <c r="I60" s="37">
        <f t="shared" si="2"/>
        <v>0</v>
      </c>
      <c r="J60" s="37" t="str">
        <f>Sandbox!BD74</f>
        <v>No</v>
      </c>
      <c r="K60" s="37">
        <f t="shared" si="3"/>
        <v>0</v>
      </c>
      <c r="L60" s="37" t="str">
        <f>Sandbox!BB74</f>
        <v>None</v>
      </c>
      <c r="M60" s="37">
        <f t="shared" si="4"/>
        <v>0</v>
      </c>
      <c r="N60" s="470" t="str">
        <f>IF(Sandbox!BE74="Roll","Yes","No")</f>
        <v>No</v>
      </c>
      <c r="O60" s="470">
        <f t="shared" si="5"/>
        <v>0</v>
      </c>
      <c r="P60" s="37" t="str">
        <f t="shared" si="6"/>
        <v>None</v>
      </c>
      <c r="Q60" s="470" t="str">
        <f>Sandbox!BF74</f>
        <v>Yes</v>
      </c>
      <c r="R60" s="37">
        <f t="shared" si="7"/>
        <v>0</v>
      </c>
      <c r="S60" s="470" t="str">
        <f>IF(Sandbox!BE74="Add","Yes","No")</f>
        <v>No</v>
      </c>
      <c r="T60" s="470">
        <f t="shared" si="8"/>
        <v>0</v>
      </c>
      <c r="U60" s="470" t="str">
        <f>Sandbox!BG74</f>
        <v>Yes</v>
      </c>
      <c r="V60" s="111">
        <f>IF(OR(F60="none",G60="V"),0,VLOOKUP(F60,'Purchased Boons'!$AR$4:$AS$27,2,FALSE))</f>
        <v>0</v>
      </c>
      <c r="W60" s="475">
        <f>Sandbox!BH74</f>
        <v>0</v>
      </c>
      <c r="X60" s="475">
        <f>Sandbox!BI74</f>
        <v>0</v>
      </c>
      <c r="Y60" s="37" t="s">
        <v>2293</v>
      </c>
      <c r="Z60" s="111" t="s">
        <v>817</v>
      </c>
      <c r="AG60" s="24"/>
      <c r="AH60" s="24"/>
    </row>
    <row r="61" spans="1:36" x14ac:dyDescent="0.25">
      <c r="A61" s="474" t="str">
        <f>IF(Sandbox!AX75="","",Sandbox!AX75)</f>
        <v/>
      </c>
      <c r="B61" s="39" t="str">
        <f>IF(Sandbox!$BH$54="",Sandbox!$AX$54,Sandbox!$BH$54)</f>
        <v>Custom Purview 3</v>
      </c>
      <c r="C61" s="470" t="str">
        <f>IF(Sandbox!AY75="","",Sandbox!AY75)</f>
        <v/>
      </c>
      <c r="D61" s="470" t="str">
        <f>Sandbox!AZ75</f>
        <v>None</v>
      </c>
      <c r="E61" s="37">
        <f t="shared" si="0"/>
        <v>0</v>
      </c>
      <c r="F61" s="470" t="str">
        <f>Sandbox!BA75</f>
        <v>None</v>
      </c>
      <c r="G61" s="37">
        <f t="shared" si="1"/>
        <v>0</v>
      </c>
      <c r="H61" s="37" t="str">
        <f>IF(Sandbox!BC75="No","None",Sandbox!$BH$4)</f>
        <v>None</v>
      </c>
      <c r="I61" s="37">
        <f t="shared" si="2"/>
        <v>0</v>
      </c>
      <c r="J61" s="37" t="str">
        <f>Sandbox!BD75</f>
        <v>No</v>
      </c>
      <c r="K61" s="37">
        <f t="shared" si="3"/>
        <v>0</v>
      </c>
      <c r="L61" s="37" t="str">
        <f>Sandbox!BB75</f>
        <v>None</v>
      </c>
      <c r="M61" s="37">
        <f t="shared" si="4"/>
        <v>0</v>
      </c>
      <c r="N61" s="470" t="str">
        <f>IF(Sandbox!BE75="Roll","Yes","No")</f>
        <v>No</v>
      </c>
      <c r="O61" s="470">
        <f t="shared" si="5"/>
        <v>0</v>
      </c>
      <c r="P61" s="37" t="str">
        <f t="shared" si="6"/>
        <v>None</v>
      </c>
      <c r="Q61" s="470" t="str">
        <f>Sandbox!BF75</f>
        <v>Yes</v>
      </c>
      <c r="R61" s="37">
        <f t="shared" si="7"/>
        <v>0</v>
      </c>
      <c r="S61" s="470" t="str">
        <f>IF(Sandbox!BE75="Add","Yes","No")</f>
        <v>No</v>
      </c>
      <c r="T61" s="470">
        <f t="shared" si="8"/>
        <v>0</v>
      </c>
      <c r="U61" s="470" t="str">
        <f>Sandbox!BG75</f>
        <v>Yes</v>
      </c>
      <c r="V61" s="111">
        <f>IF(OR(F61="none",G61="V"),0,VLOOKUP(F61,'Purchased Boons'!$AR$4:$AS$27,2,FALSE))</f>
        <v>0</v>
      </c>
      <c r="W61" s="475">
        <f>Sandbox!BH75</f>
        <v>0</v>
      </c>
      <c r="X61" s="475">
        <f>Sandbox!BI75</f>
        <v>0</v>
      </c>
      <c r="Y61" s="37" t="s">
        <v>2293</v>
      </c>
      <c r="Z61" s="111" t="s">
        <v>817</v>
      </c>
      <c r="AG61" s="24"/>
      <c r="AH61" s="24"/>
    </row>
    <row r="62" spans="1:36" x14ac:dyDescent="0.25">
      <c r="A62" s="474" t="str">
        <f>IF(Sandbox!AX76="","",Sandbox!AX76)</f>
        <v/>
      </c>
      <c r="B62" s="39" t="str">
        <f>IF(Sandbox!$BH$54="",Sandbox!$AX$54,Sandbox!$BH$54)</f>
        <v>Custom Purview 3</v>
      </c>
      <c r="C62" s="470" t="str">
        <f>IF(Sandbox!AY76="","",Sandbox!AY76)</f>
        <v/>
      </c>
      <c r="D62" s="470" t="str">
        <f>Sandbox!AZ76</f>
        <v>None</v>
      </c>
      <c r="E62" s="37">
        <f t="shared" si="0"/>
        <v>0</v>
      </c>
      <c r="F62" s="470" t="str">
        <f>Sandbox!BA76</f>
        <v>None</v>
      </c>
      <c r="G62" s="37">
        <f t="shared" si="1"/>
        <v>0</v>
      </c>
      <c r="H62" s="37" t="str">
        <f>IF(Sandbox!BC76="No","None",Sandbox!$BH$4)</f>
        <v>None</v>
      </c>
      <c r="I62" s="37">
        <f t="shared" si="2"/>
        <v>0</v>
      </c>
      <c r="J62" s="37" t="str">
        <f>Sandbox!BD76</f>
        <v>No</v>
      </c>
      <c r="K62" s="37">
        <f t="shared" si="3"/>
        <v>0</v>
      </c>
      <c r="L62" s="37" t="str">
        <f>Sandbox!BB76</f>
        <v>None</v>
      </c>
      <c r="M62" s="37">
        <f t="shared" si="4"/>
        <v>0</v>
      </c>
      <c r="N62" s="470" t="str">
        <f>IF(Sandbox!BE76="Roll","Yes","No")</f>
        <v>No</v>
      </c>
      <c r="O62" s="470">
        <f t="shared" si="5"/>
        <v>0</v>
      </c>
      <c r="P62" s="37" t="str">
        <f t="shared" si="6"/>
        <v>None</v>
      </c>
      <c r="Q62" s="470" t="str">
        <f>Sandbox!BF76</f>
        <v>Yes</v>
      </c>
      <c r="R62" s="37">
        <f t="shared" si="7"/>
        <v>0</v>
      </c>
      <c r="S62" s="470" t="str">
        <f>IF(Sandbox!BE76="Add","Yes","No")</f>
        <v>No</v>
      </c>
      <c r="T62" s="470">
        <f t="shared" si="8"/>
        <v>0</v>
      </c>
      <c r="U62" s="470" t="str">
        <f>Sandbox!BG76</f>
        <v>Yes</v>
      </c>
      <c r="V62" s="111">
        <f>IF(OR(F62="none",G62="V"),0,VLOOKUP(F62,'Purchased Boons'!$AR$4:$AS$27,2,FALSE))</f>
        <v>0</v>
      </c>
      <c r="W62" s="475">
        <f>Sandbox!BH76</f>
        <v>0</v>
      </c>
      <c r="X62" s="475">
        <f>Sandbox!BI76</f>
        <v>0</v>
      </c>
      <c r="Y62" s="37" t="s">
        <v>2293</v>
      </c>
      <c r="Z62" s="111" t="s">
        <v>817</v>
      </c>
      <c r="AG62" s="24"/>
      <c r="AH62" s="24"/>
    </row>
    <row r="63" spans="1:36" x14ac:dyDescent="0.25">
      <c r="A63" s="474" t="str">
        <f>IF(Sandbox!AX77="","",Sandbox!AX77)</f>
        <v/>
      </c>
      <c r="B63" s="39" t="str">
        <f>IF(Sandbox!$BH$54="",Sandbox!$AX$54,Sandbox!$BH$54)</f>
        <v>Custom Purview 3</v>
      </c>
      <c r="C63" s="470" t="str">
        <f>IF(Sandbox!AY77="","",Sandbox!AY77)</f>
        <v/>
      </c>
      <c r="D63" s="470" t="str">
        <f>Sandbox!AZ77</f>
        <v>None</v>
      </c>
      <c r="E63" s="37">
        <f t="shared" si="0"/>
        <v>0</v>
      </c>
      <c r="F63" s="470" t="str">
        <f>Sandbox!BA77</f>
        <v>None</v>
      </c>
      <c r="G63" s="37">
        <f t="shared" si="1"/>
        <v>0</v>
      </c>
      <c r="H63" s="37" t="str">
        <f>IF(Sandbox!BC77="No","None",Sandbox!$BH$4)</f>
        <v>None</v>
      </c>
      <c r="I63" s="37">
        <f t="shared" si="2"/>
        <v>0</v>
      </c>
      <c r="J63" s="37" t="str">
        <f>Sandbox!BD77</f>
        <v>No</v>
      </c>
      <c r="K63" s="37">
        <f t="shared" si="3"/>
        <v>0</v>
      </c>
      <c r="L63" s="37" t="str">
        <f>Sandbox!BB77</f>
        <v>None</v>
      </c>
      <c r="M63" s="37">
        <f t="shared" si="4"/>
        <v>0</v>
      </c>
      <c r="N63" s="470" t="str">
        <f>IF(Sandbox!BE77="Roll","Yes","No")</f>
        <v>No</v>
      </c>
      <c r="O63" s="470">
        <f t="shared" si="5"/>
        <v>0</v>
      </c>
      <c r="P63" s="37" t="str">
        <f t="shared" si="6"/>
        <v>None</v>
      </c>
      <c r="Q63" s="470" t="str">
        <f>Sandbox!BF77</f>
        <v>Yes</v>
      </c>
      <c r="R63" s="37">
        <f t="shared" si="7"/>
        <v>0</v>
      </c>
      <c r="S63" s="470" t="str">
        <f>IF(Sandbox!BE77="Add","Yes","No")</f>
        <v>No</v>
      </c>
      <c r="T63" s="470">
        <f t="shared" si="8"/>
        <v>0</v>
      </c>
      <c r="U63" s="470" t="str">
        <f>Sandbox!BG77</f>
        <v>Yes</v>
      </c>
      <c r="V63" s="111">
        <f>IF(OR(F63="none",G63="V"),0,VLOOKUP(F63,'Purchased Boons'!$AR$4:$AS$27,2,FALSE))</f>
        <v>0</v>
      </c>
      <c r="W63" s="475">
        <f>Sandbox!BH77</f>
        <v>0</v>
      </c>
      <c r="X63" s="475">
        <f>Sandbox!BI77</f>
        <v>0</v>
      </c>
      <c r="Y63" s="37" t="s">
        <v>2293</v>
      </c>
      <c r="Z63" s="111" t="s">
        <v>817</v>
      </c>
      <c r="AG63" s="24"/>
      <c r="AH63" s="24"/>
    </row>
    <row r="64" spans="1:36" x14ac:dyDescent="0.25">
      <c r="A64" s="474" t="str">
        <f>IF(Sandbox!AX78="","",Sandbox!AX78)</f>
        <v/>
      </c>
      <c r="B64" s="39" t="str">
        <f>IF(Sandbox!$BH$54="",Sandbox!$AX$54,Sandbox!$BH$54)</f>
        <v>Custom Purview 3</v>
      </c>
      <c r="C64" s="470" t="str">
        <f>IF(Sandbox!AY78="","",Sandbox!AY78)</f>
        <v/>
      </c>
      <c r="D64" s="470" t="str">
        <f>Sandbox!AZ78</f>
        <v>None</v>
      </c>
      <c r="E64" s="37">
        <f t="shared" si="0"/>
        <v>0</v>
      </c>
      <c r="F64" s="470" t="str">
        <f>Sandbox!BA78</f>
        <v>None</v>
      </c>
      <c r="G64" s="37">
        <f t="shared" si="1"/>
        <v>0</v>
      </c>
      <c r="H64" s="37" t="str">
        <f>IF(Sandbox!BC78="No","None",Sandbox!$BH$4)</f>
        <v>None</v>
      </c>
      <c r="I64" s="37">
        <f t="shared" si="2"/>
        <v>0</v>
      </c>
      <c r="J64" s="37" t="str">
        <f>Sandbox!BD78</f>
        <v>No</v>
      </c>
      <c r="K64" s="37">
        <f t="shared" si="3"/>
        <v>0</v>
      </c>
      <c r="L64" s="37" t="str">
        <f>Sandbox!BB78</f>
        <v>None</v>
      </c>
      <c r="M64" s="37">
        <f t="shared" si="4"/>
        <v>0</v>
      </c>
      <c r="N64" s="470" t="str">
        <f>IF(Sandbox!BE78="Roll","Yes","No")</f>
        <v>No</v>
      </c>
      <c r="O64" s="470">
        <f t="shared" si="5"/>
        <v>0</v>
      </c>
      <c r="P64" s="37" t="str">
        <f t="shared" si="6"/>
        <v>None</v>
      </c>
      <c r="Q64" s="470" t="str">
        <f>Sandbox!BF78</f>
        <v>Yes</v>
      </c>
      <c r="R64" s="37">
        <f t="shared" si="7"/>
        <v>0</v>
      </c>
      <c r="S64" s="470" t="str">
        <f>IF(Sandbox!BE78="Add","Yes","No")</f>
        <v>No</v>
      </c>
      <c r="T64" s="470">
        <f t="shared" si="8"/>
        <v>0</v>
      </c>
      <c r="U64" s="470" t="str">
        <f>Sandbox!BG78</f>
        <v>Yes</v>
      </c>
      <c r="V64" s="111">
        <f>IF(OR(F64="none",G64="V"),0,VLOOKUP(F64,'Purchased Boons'!$AR$4:$AS$27,2,FALSE))</f>
        <v>0</v>
      </c>
      <c r="W64" s="475">
        <f>Sandbox!BH78</f>
        <v>0</v>
      </c>
      <c r="X64" s="475">
        <f>Sandbox!BI78</f>
        <v>0</v>
      </c>
      <c r="Y64" s="37" t="s">
        <v>2293</v>
      </c>
      <c r="Z64" s="111" t="s">
        <v>817</v>
      </c>
      <c r="AG64" s="24"/>
      <c r="AH64" s="24"/>
    </row>
    <row r="65" spans="1:34" x14ac:dyDescent="0.25">
      <c r="A65" s="474" t="str">
        <f>IF(Sandbox!AX83="","",Sandbox!AX83)</f>
        <v/>
      </c>
      <c r="B65" s="39" t="str">
        <f>IF(Sandbox!$BH$79="",Sandbox!$AX$79,Sandbox!$BH$79)</f>
        <v>Custom Purview 4</v>
      </c>
      <c r="C65" s="470" t="str">
        <f>IF(Sandbox!AY83="","",Sandbox!AY83)</f>
        <v/>
      </c>
      <c r="D65" s="470" t="str">
        <f>Sandbox!AZ83</f>
        <v>None</v>
      </c>
      <c r="E65" s="37">
        <f t="shared" si="0"/>
        <v>0</v>
      </c>
      <c r="F65" s="470" t="str">
        <f>Sandbox!BA83</f>
        <v>None</v>
      </c>
      <c r="G65" s="37">
        <f t="shared" si="1"/>
        <v>0</v>
      </c>
      <c r="H65" s="37" t="str">
        <f>IF(Sandbox!BC83="No","None",Sandbox!$BH$4)</f>
        <v>None</v>
      </c>
      <c r="I65" s="37">
        <f t="shared" si="2"/>
        <v>0</v>
      </c>
      <c r="J65" s="37" t="str">
        <f>Sandbox!BD83</f>
        <v>No</v>
      </c>
      <c r="K65" s="37">
        <f t="shared" si="3"/>
        <v>0</v>
      </c>
      <c r="L65" s="37" t="str">
        <f>Sandbox!BB83</f>
        <v>None</v>
      </c>
      <c r="M65" s="37">
        <f t="shared" si="4"/>
        <v>0</v>
      </c>
      <c r="N65" s="470" t="str">
        <f>IF(Sandbox!BE83="Roll","Yes","No")</f>
        <v>No</v>
      </c>
      <c r="O65" s="470">
        <f t="shared" si="5"/>
        <v>0</v>
      </c>
      <c r="P65" s="37" t="str">
        <f t="shared" si="6"/>
        <v>None</v>
      </c>
      <c r="Q65" s="470" t="str">
        <f>Sandbox!BF83</f>
        <v>Yes</v>
      </c>
      <c r="R65" s="37">
        <f t="shared" si="7"/>
        <v>0</v>
      </c>
      <c r="S65" s="470" t="str">
        <f>IF(Sandbox!BE83="Add","Yes","No")</f>
        <v>No</v>
      </c>
      <c r="T65" s="470">
        <f t="shared" si="8"/>
        <v>0</v>
      </c>
      <c r="U65" s="470" t="str">
        <f>Sandbox!BG83</f>
        <v>Yes</v>
      </c>
      <c r="V65" s="111">
        <f>IF(OR(F65="none",G65="V"),0,VLOOKUP(F65,'Purchased Boons'!$AR$4:$AS$27,2,FALSE))</f>
        <v>0</v>
      </c>
      <c r="W65" s="475">
        <f>Sandbox!BH83</f>
        <v>0</v>
      </c>
      <c r="X65" s="475">
        <f>Sandbox!BI83</f>
        <v>0</v>
      </c>
      <c r="Y65" s="37" t="s">
        <v>2293</v>
      </c>
      <c r="Z65" s="111" t="s">
        <v>817</v>
      </c>
      <c r="AG65" s="24"/>
      <c r="AH65" s="24"/>
    </row>
    <row r="66" spans="1:34" x14ac:dyDescent="0.25">
      <c r="A66" s="474" t="str">
        <f>IF(Sandbox!AX84="","",Sandbox!AX84)</f>
        <v/>
      </c>
      <c r="B66" s="39" t="str">
        <f>IF(Sandbox!$BH$79="",Sandbox!$AX$79,Sandbox!$BH$79)</f>
        <v>Custom Purview 4</v>
      </c>
      <c r="C66" s="470" t="str">
        <f>IF(Sandbox!AY84="","",Sandbox!AY84)</f>
        <v/>
      </c>
      <c r="D66" s="470" t="str">
        <f>Sandbox!AZ84</f>
        <v>None</v>
      </c>
      <c r="E66" s="37">
        <f t="shared" ref="E66:E129" si="9">VLOOKUP(D66,$AC$2:$AD$12,2,FALSE)</f>
        <v>0</v>
      </c>
      <c r="F66" s="470" t="str">
        <f>Sandbox!BA84</f>
        <v>None</v>
      </c>
      <c r="G66" s="37">
        <f t="shared" ref="G66:G129" si="10">VLOOKUP(F66,$AF$2:$AH$27,2,FALSE)</f>
        <v>0</v>
      </c>
      <c r="H66" s="37" t="str">
        <f>IF(Sandbox!BC84="No","None",Sandbox!$BH$4)</f>
        <v>None</v>
      </c>
      <c r="I66" s="37">
        <f t="shared" ref="I66:I129" si="11">VLOOKUP(H66,$AI$2:$AJ$42,2,FALSE)</f>
        <v>0</v>
      </c>
      <c r="J66" s="37" t="str">
        <f>Sandbox!BD84</f>
        <v>No</v>
      </c>
      <c r="K66" s="37">
        <f t="shared" ref="K66:K129" si="12">IF(J66="Yes",$AJ$56,0)</f>
        <v>0</v>
      </c>
      <c r="L66" s="37" t="str">
        <f>Sandbox!BB84</f>
        <v>None</v>
      </c>
      <c r="M66" s="37">
        <f t="shared" ref="M66:M129" si="13">VLOOKUP(L66,$AI$43:$AJ$55,2,FALSE)</f>
        <v>0</v>
      </c>
      <c r="N66" s="470" t="str">
        <f>IF(Sandbox!BE84="Roll","Yes","No")</f>
        <v>No</v>
      </c>
      <c r="O66" s="470">
        <f t="shared" ref="O66:O129" si="14">IF(N66="Yes",$AJ$57,0)</f>
        <v>0</v>
      </c>
      <c r="P66" s="37" t="str">
        <f t="shared" ref="P66:P129" si="15">IF(OR(D66="Varies",F66="Varies",H66="Varies",L66="Varies"),"Varies",IF(AND(D66="None",F66="None",H66="None",L66="None",J66="No",N66="No"),"None",CONCATENATE(E66+G66+V66+I66+K66+M66+O66," + ",R66+T66)))</f>
        <v>None</v>
      </c>
      <c r="Q66" s="470" t="str">
        <f>Sandbox!BF84</f>
        <v>Yes</v>
      </c>
      <c r="R66" s="37">
        <f t="shared" ref="R66:R129" si="16">IF(Q66="Yes",VLOOKUP(D66,$AC$2:$AE$12,3,FALSE),0)</f>
        <v>0</v>
      </c>
      <c r="S66" s="470" t="str">
        <f>IF(Sandbox!BE84="Add","Yes","No")</f>
        <v>No</v>
      </c>
      <c r="T66" s="470">
        <f t="shared" ref="T66:T129" si="17">IF(S66="Yes",$AJ$57,0)</f>
        <v>0</v>
      </c>
      <c r="U66" s="470" t="str">
        <f>Sandbox!BG84</f>
        <v>Yes</v>
      </c>
      <c r="V66" s="111">
        <f>IF(OR(F66="none",G66="V"),0,VLOOKUP(F66,'Purchased Boons'!$AR$4:$AS$27,2,FALSE))</f>
        <v>0</v>
      </c>
      <c r="W66" s="475">
        <f>Sandbox!BH84</f>
        <v>0</v>
      </c>
      <c r="X66" s="475">
        <f>Sandbox!BI84</f>
        <v>0</v>
      </c>
      <c r="Y66" s="37" t="s">
        <v>2293</v>
      </c>
      <c r="Z66" s="111" t="s">
        <v>817</v>
      </c>
      <c r="AG66" s="24"/>
      <c r="AH66" s="24"/>
    </row>
    <row r="67" spans="1:34" x14ac:dyDescent="0.25">
      <c r="A67" s="474" t="str">
        <f>IF(Sandbox!AX85="","",Sandbox!AX85)</f>
        <v/>
      </c>
      <c r="B67" s="39" t="str">
        <f>IF(Sandbox!$BH$79="",Sandbox!$AX$79,Sandbox!$BH$79)</f>
        <v>Custom Purview 4</v>
      </c>
      <c r="C67" s="470" t="str">
        <f>IF(Sandbox!AY85="","",Sandbox!AY85)</f>
        <v/>
      </c>
      <c r="D67" s="470" t="str">
        <f>Sandbox!AZ85</f>
        <v>None</v>
      </c>
      <c r="E67" s="37">
        <f t="shared" si="9"/>
        <v>0</v>
      </c>
      <c r="F67" s="470" t="str">
        <f>Sandbox!BA85</f>
        <v>None</v>
      </c>
      <c r="G67" s="37">
        <f t="shared" si="10"/>
        <v>0</v>
      </c>
      <c r="H67" s="37" t="str">
        <f>IF(Sandbox!BC85="No","None",Sandbox!$BH$4)</f>
        <v>None</v>
      </c>
      <c r="I67" s="37">
        <f t="shared" si="11"/>
        <v>0</v>
      </c>
      <c r="J67" s="37" t="str">
        <f>Sandbox!BD85</f>
        <v>No</v>
      </c>
      <c r="K67" s="37">
        <f t="shared" si="12"/>
        <v>0</v>
      </c>
      <c r="L67" s="37" t="str">
        <f>Sandbox!BB85</f>
        <v>None</v>
      </c>
      <c r="M67" s="37">
        <f t="shared" si="13"/>
        <v>0</v>
      </c>
      <c r="N67" s="470" t="str">
        <f>IF(Sandbox!BE85="Roll","Yes","No")</f>
        <v>No</v>
      </c>
      <c r="O67" s="470">
        <f t="shared" si="14"/>
        <v>0</v>
      </c>
      <c r="P67" s="37" t="str">
        <f t="shared" si="15"/>
        <v>None</v>
      </c>
      <c r="Q67" s="470" t="str">
        <f>Sandbox!BF85</f>
        <v>Yes</v>
      </c>
      <c r="R67" s="37">
        <f t="shared" si="16"/>
        <v>0</v>
      </c>
      <c r="S67" s="470" t="str">
        <f>IF(Sandbox!BE85="Add","Yes","No")</f>
        <v>No</v>
      </c>
      <c r="T67" s="470">
        <f t="shared" si="17"/>
        <v>0</v>
      </c>
      <c r="U67" s="470" t="str">
        <f>Sandbox!BG85</f>
        <v>Yes</v>
      </c>
      <c r="V67" s="111">
        <f>IF(OR(F67="none",G67="V"),0,VLOOKUP(F67,'Purchased Boons'!$AR$4:$AS$27,2,FALSE))</f>
        <v>0</v>
      </c>
      <c r="W67" s="475">
        <f>Sandbox!BH85</f>
        <v>0</v>
      </c>
      <c r="X67" s="475">
        <f>Sandbox!BI85</f>
        <v>0</v>
      </c>
      <c r="Y67" s="37" t="s">
        <v>2293</v>
      </c>
      <c r="Z67" s="111" t="s">
        <v>817</v>
      </c>
      <c r="AG67" s="24"/>
      <c r="AH67" s="24"/>
    </row>
    <row r="68" spans="1:34" x14ac:dyDescent="0.25">
      <c r="A68" s="474" t="str">
        <f>IF(Sandbox!AX86="","",Sandbox!AX86)</f>
        <v/>
      </c>
      <c r="B68" s="39" t="str">
        <f>IF(Sandbox!$BH$79="",Sandbox!$AX$79,Sandbox!$BH$79)</f>
        <v>Custom Purview 4</v>
      </c>
      <c r="C68" s="470" t="str">
        <f>IF(Sandbox!AY86="","",Sandbox!AY86)</f>
        <v/>
      </c>
      <c r="D68" s="470" t="str">
        <f>Sandbox!AZ86</f>
        <v>None</v>
      </c>
      <c r="E68" s="37">
        <f t="shared" si="9"/>
        <v>0</v>
      </c>
      <c r="F68" s="470" t="str">
        <f>Sandbox!BA86</f>
        <v>None</v>
      </c>
      <c r="G68" s="37">
        <f t="shared" si="10"/>
        <v>0</v>
      </c>
      <c r="H68" s="37" t="str">
        <f>IF(Sandbox!BC86="No","None",Sandbox!$BH$4)</f>
        <v>None</v>
      </c>
      <c r="I68" s="37">
        <f t="shared" si="11"/>
        <v>0</v>
      </c>
      <c r="J68" s="37" t="str">
        <f>Sandbox!BD86</f>
        <v>No</v>
      </c>
      <c r="K68" s="37">
        <f t="shared" si="12"/>
        <v>0</v>
      </c>
      <c r="L68" s="37" t="str">
        <f>Sandbox!BB86</f>
        <v>None</v>
      </c>
      <c r="M68" s="37">
        <f t="shared" si="13"/>
        <v>0</v>
      </c>
      <c r="N68" s="470" t="str">
        <f>IF(Sandbox!BE86="Roll","Yes","No")</f>
        <v>No</v>
      </c>
      <c r="O68" s="470">
        <f t="shared" si="14"/>
        <v>0</v>
      </c>
      <c r="P68" s="37" t="str">
        <f t="shared" si="15"/>
        <v>None</v>
      </c>
      <c r="Q68" s="470" t="str">
        <f>Sandbox!BF86</f>
        <v>Yes</v>
      </c>
      <c r="R68" s="37">
        <f t="shared" si="16"/>
        <v>0</v>
      </c>
      <c r="S68" s="470" t="str">
        <f>IF(Sandbox!BE86="Add","Yes","No")</f>
        <v>No</v>
      </c>
      <c r="T68" s="470">
        <f t="shared" si="17"/>
        <v>0</v>
      </c>
      <c r="U68" s="470" t="str">
        <f>Sandbox!BG86</f>
        <v>Yes</v>
      </c>
      <c r="V68" s="111">
        <f>IF(OR(F68="none",G68="V"),0,VLOOKUP(F68,'Purchased Boons'!$AR$4:$AS$27,2,FALSE))</f>
        <v>0</v>
      </c>
      <c r="W68" s="475">
        <f>Sandbox!BH86</f>
        <v>0</v>
      </c>
      <c r="X68" s="475">
        <f>Sandbox!BI86</f>
        <v>0</v>
      </c>
      <c r="Y68" s="37" t="s">
        <v>2293</v>
      </c>
      <c r="Z68" s="111" t="s">
        <v>817</v>
      </c>
      <c r="AG68" s="24"/>
      <c r="AH68" s="24"/>
    </row>
    <row r="69" spans="1:34" x14ac:dyDescent="0.25">
      <c r="A69" s="474" t="str">
        <f>IF(Sandbox!AX87="","",Sandbox!AX87)</f>
        <v/>
      </c>
      <c r="B69" s="39" t="str">
        <f>IF(Sandbox!$BH$79="",Sandbox!$AX$79,Sandbox!$BH$79)</f>
        <v>Custom Purview 4</v>
      </c>
      <c r="C69" s="470" t="str">
        <f>IF(Sandbox!AY87="","",Sandbox!AY87)</f>
        <v/>
      </c>
      <c r="D69" s="470" t="str">
        <f>Sandbox!AZ87</f>
        <v>None</v>
      </c>
      <c r="E69" s="37">
        <f t="shared" si="9"/>
        <v>0</v>
      </c>
      <c r="F69" s="470" t="str">
        <f>Sandbox!BA87</f>
        <v>None</v>
      </c>
      <c r="G69" s="37">
        <f t="shared" si="10"/>
        <v>0</v>
      </c>
      <c r="H69" s="37" t="str">
        <f>IF(Sandbox!BC87="No","None",Sandbox!$BH$4)</f>
        <v>None</v>
      </c>
      <c r="I69" s="37">
        <f t="shared" si="11"/>
        <v>0</v>
      </c>
      <c r="J69" s="37" t="str">
        <f>Sandbox!BD87</f>
        <v>No</v>
      </c>
      <c r="K69" s="37">
        <f t="shared" si="12"/>
        <v>0</v>
      </c>
      <c r="L69" s="37" t="str">
        <f>Sandbox!BB87</f>
        <v>None</v>
      </c>
      <c r="M69" s="37">
        <f t="shared" si="13"/>
        <v>0</v>
      </c>
      <c r="N69" s="470" t="str">
        <f>IF(Sandbox!BE87="Roll","Yes","No")</f>
        <v>No</v>
      </c>
      <c r="O69" s="470">
        <f t="shared" si="14"/>
        <v>0</v>
      </c>
      <c r="P69" s="37" t="str">
        <f t="shared" si="15"/>
        <v>None</v>
      </c>
      <c r="Q69" s="470" t="str">
        <f>Sandbox!BF87</f>
        <v>Yes</v>
      </c>
      <c r="R69" s="37">
        <f t="shared" si="16"/>
        <v>0</v>
      </c>
      <c r="S69" s="470" t="str">
        <f>IF(Sandbox!BE87="Add","Yes","No")</f>
        <v>No</v>
      </c>
      <c r="T69" s="470">
        <f t="shared" si="17"/>
        <v>0</v>
      </c>
      <c r="U69" s="470" t="str">
        <f>Sandbox!BG87</f>
        <v>Yes</v>
      </c>
      <c r="V69" s="111">
        <f>IF(OR(F69="none",G69="V"),0,VLOOKUP(F69,'Purchased Boons'!$AR$4:$AS$27,2,FALSE))</f>
        <v>0</v>
      </c>
      <c r="W69" s="475">
        <f>Sandbox!BH87</f>
        <v>0</v>
      </c>
      <c r="X69" s="475">
        <f>Sandbox!BI87</f>
        <v>0</v>
      </c>
      <c r="Y69" s="37" t="s">
        <v>2293</v>
      </c>
      <c r="Z69" s="111" t="s">
        <v>817</v>
      </c>
      <c r="AG69" s="24"/>
      <c r="AH69" s="24"/>
    </row>
    <row r="70" spans="1:34" x14ac:dyDescent="0.25">
      <c r="A70" s="474" t="str">
        <f>IF(Sandbox!AX88="","",Sandbox!AX88)</f>
        <v/>
      </c>
      <c r="B70" s="39" t="str">
        <f>IF(Sandbox!$BH$79="",Sandbox!$AX$79,Sandbox!$BH$79)</f>
        <v>Custom Purview 4</v>
      </c>
      <c r="C70" s="470" t="str">
        <f>IF(Sandbox!AY88="","",Sandbox!AY88)</f>
        <v/>
      </c>
      <c r="D70" s="470" t="str">
        <f>Sandbox!AZ88</f>
        <v>None</v>
      </c>
      <c r="E70" s="37">
        <f t="shared" si="9"/>
        <v>0</v>
      </c>
      <c r="F70" s="470" t="str">
        <f>Sandbox!BA88</f>
        <v>None</v>
      </c>
      <c r="G70" s="37">
        <f t="shared" si="10"/>
        <v>0</v>
      </c>
      <c r="H70" s="37" t="str">
        <f>IF(Sandbox!BC88="No","None",Sandbox!$BH$4)</f>
        <v>None</v>
      </c>
      <c r="I70" s="37">
        <f t="shared" si="11"/>
        <v>0</v>
      </c>
      <c r="J70" s="37" t="str">
        <f>Sandbox!BD88</f>
        <v>No</v>
      </c>
      <c r="K70" s="37">
        <f t="shared" si="12"/>
        <v>0</v>
      </c>
      <c r="L70" s="37" t="str">
        <f>Sandbox!BB88</f>
        <v>None</v>
      </c>
      <c r="M70" s="37">
        <f t="shared" si="13"/>
        <v>0</v>
      </c>
      <c r="N70" s="470" t="str">
        <f>IF(Sandbox!BE88="Roll","Yes","No")</f>
        <v>No</v>
      </c>
      <c r="O70" s="470">
        <f t="shared" si="14"/>
        <v>0</v>
      </c>
      <c r="P70" s="37" t="str">
        <f t="shared" si="15"/>
        <v>None</v>
      </c>
      <c r="Q70" s="470" t="str">
        <f>Sandbox!BF88</f>
        <v>Yes</v>
      </c>
      <c r="R70" s="37">
        <f t="shared" si="16"/>
        <v>0</v>
      </c>
      <c r="S70" s="470" t="str">
        <f>IF(Sandbox!BE88="Add","Yes","No")</f>
        <v>No</v>
      </c>
      <c r="T70" s="470">
        <f t="shared" si="17"/>
        <v>0</v>
      </c>
      <c r="U70" s="470" t="str">
        <f>Sandbox!BG88</f>
        <v>Yes</v>
      </c>
      <c r="V70" s="111">
        <f>IF(OR(F70="none",G70="V"),0,VLOOKUP(F70,'Purchased Boons'!$AR$4:$AS$27,2,FALSE))</f>
        <v>0</v>
      </c>
      <c r="W70" s="475">
        <f>Sandbox!BH88</f>
        <v>0</v>
      </c>
      <c r="X70" s="475">
        <f>Sandbox!BI88</f>
        <v>0</v>
      </c>
      <c r="Y70" s="37" t="s">
        <v>2293</v>
      </c>
      <c r="Z70" s="111" t="s">
        <v>817</v>
      </c>
      <c r="AG70" s="24"/>
      <c r="AH70" s="24"/>
    </row>
    <row r="71" spans="1:34" x14ac:dyDescent="0.25">
      <c r="A71" s="474" t="str">
        <f>IF(Sandbox!AX89="","",Sandbox!AX89)</f>
        <v/>
      </c>
      <c r="B71" s="39" t="str">
        <f>IF(Sandbox!$BH$79="",Sandbox!$AX$79,Sandbox!$BH$79)</f>
        <v>Custom Purview 4</v>
      </c>
      <c r="C71" s="470" t="str">
        <f>IF(Sandbox!AY89="","",Sandbox!AY89)</f>
        <v/>
      </c>
      <c r="D71" s="470" t="str">
        <f>Sandbox!AZ89</f>
        <v>None</v>
      </c>
      <c r="E71" s="37">
        <f t="shared" si="9"/>
        <v>0</v>
      </c>
      <c r="F71" s="470" t="str">
        <f>Sandbox!BA89</f>
        <v>None</v>
      </c>
      <c r="G71" s="37">
        <f t="shared" si="10"/>
        <v>0</v>
      </c>
      <c r="H71" s="37" t="str">
        <f>IF(Sandbox!BC89="No","None",Sandbox!$BH$4)</f>
        <v>None</v>
      </c>
      <c r="I71" s="37">
        <f t="shared" si="11"/>
        <v>0</v>
      </c>
      <c r="J71" s="37" t="str">
        <f>Sandbox!BD89</f>
        <v>No</v>
      </c>
      <c r="K71" s="37">
        <f t="shared" si="12"/>
        <v>0</v>
      </c>
      <c r="L71" s="37" t="str">
        <f>Sandbox!BB89</f>
        <v>None</v>
      </c>
      <c r="M71" s="37">
        <f t="shared" si="13"/>
        <v>0</v>
      </c>
      <c r="N71" s="470" t="str">
        <f>IF(Sandbox!BE89="Roll","Yes","No")</f>
        <v>No</v>
      </c>
      <c r="O71" s="470">
        <f t="shared" si="14"/>
        <v>0</v>
      </c>
      <c r="P71" s="37" t="str">
        <f t="shared" si="15"/>
        <v>None</v>
      </c>
      <c r="Q71" s="470" t="str">
        <f>Sandbox!BF89</f>
        <v>Yes</v>
      </c>
      <c r="R71" s="37">
        <f t="shared" si="16"/>
        <v>0</v>
      </c>
      <c r="S71" s="470" t="str">
        <f>IF(Sandbox!BE89="Add","Yes","No")</f>
        <v>No</v>
      </c>
      <c r="T71" s="470">
        <f t="shared" si="17"/>
        <v>0</v>
      </c>
      <c r="U71" s="470" t="str">
        <f>Sandbox!BG89</f>
        <v>Yes</v>
      </c>
      <c r="V71" s="111">
        <f>IF(OR(F71="none",G71="V"),0,VLOOKUP(F71,'Purchased Boons'!$AR$4:$AS$27,2,FALSE))</f>
        <v>0</v>
      </c>
      <c r="W71" s="475">
        <f>Sandbox!BH89</f>
        <v>0</v>
      </c>
      <c r="X71" s="475">
        <f>Sandbox!BI89</f>
        <v>0</v>
      </c>
      <c r="Y71" s="37" t="s">
        <v>2293</v>
      </c>
      <c r="Z71" s="111" t="s">
        <v>817</v>
      </c>
      <c r="AG71" s="24"/>
      <c r="AH71" s="24"/>
    </row>
    <row r="72" spans="1:34" x14ac:dyDescent="0.25">
      <c r="A72" s="474" t="str">
        <f>IF(Sandbox!AX90="","",Sandbox!AX90)</f>
        <v/>
      </c>
      <c r="B72" s="39" t="str">
        <f>IF(Sandbox!$BH$79="",Sandbox!$AX$79,Sandbox!$BH$79)</f>
        <v>Custom Purview 4</v>
      </c>
      <c r="C72" s="470" t="str">
        <f>IF(Sandbox!AY90="","",Sandbox!AY90)</f>
        <v/>
      </c>
      <c r="D72" s="470" t="str">
        <f>Sandbox!AZ90</f>
        <v>None</v>
      </c>
      <c r="E72" s="37">
        <f t="shared" si="9"/>
        <v>0</v>
      </c>
      <c r="F72" s="470" t="str">
        <f>Sandbox!BA90</f>
        <v>None</v>
      </c>
      <c r="G72" s="37">
        <f t="shared" si="10"/>
        <v>0</v>
      </c>
      <c r="H72" s="37" t="str">
        <f>IF(Sandbox!BC90="No","None",Sandbox!$BH$4)</f>
        <v>None</v>
      </c>
      <c r="I72" s="37">
        <f t="shared" si="11"/>
        <v>0</v>
      </c>
      <c r="J72" s="37" t="str">
        <f>Sandbox!BD90</f>
        <v>No</v>
      </c>
      <c r="K72" s="37">
        <f t="shared" si="12"/>
        <v>0</v>
      </c>
      <c r="L72" s="37" t="str">
        <f>Sandbox!BB90</f>
        <v>None</v>
      </c>
      <c r="M72" s="37">
        <f t="shared" si="13"/>
        <v>0</v>
      </c>
      <c r="N72" s="470" t="str">
        <f>IF(Sandbox!BE90="Roll","Yes","No")</f>
        <v>No</v>
      </c>
      <c r="O72" s="470">
        <f t="shared" si="14"/>
        <v>0</v>
      </c>
      <c r="P72" s="37" t="str">
        <f t="shared" si="15"/>
        <v>None</v>
      </c>
      <c r="Q72" s="470" t="str">
        <f>Sandbox!BF90</f>
        <v>Yes</v>
      </c>
      <c r="R72" s="37">
        <f t="shared" si="16"/>
        <v>0</v>
      </c>
      <c r="S72" s="470" t="str">
        <f>IF(Sandbox!BE90="Add","Yes","No")</f>
        <v>No</v>
      </c>
      <c r="T72" s="470">
        <f t="shared" si="17"/>
        <v>0</v>
      </c>
      <c r="U72" s="470" t="str">
        <f>Sandbox!BG90</f>
        <v>Yes</v>
      </c>
      <c r="V72" s="111">
        <f>IF(OR(F72="none",G72="V"),0,VLOOKUP(F72,'Purchased Boons'!$AR$4:$AS$27,2,FALSE))</f>
        <v>0</v>
      </c>
      <c r="W72" s="475">
        <f>Sandbox!BH90</f>
        <v>0</v>
      </c>
      <c r="X72" s="475">
        <f>Sandbox!BI90</f>
        <v>0</v>
      </c>
      <c r="Y72" s="37" t="s">
        <v>2293</v>
      </c>
      <c r="Z72" s="111" t="s">
        <v>817</v>
      </c>
      <c r="AG72" s="24"/>
      <c r="AH72" s="24"/>
    </row>
    <row r="73" spans="1:34" x14ac:dyDescent="0.25">
      <c r="A73" s="474" t="str">
        <f>IF(Sandbox!AX91="","",Sandbox!AX91)</f>
        <v/>
      </c>
      <c r="B73" s="39" t="str">
        <f>IF(Sandbox!$BH$79="",Sandbox!$AX$79,Sandbox!$BH$79)</f>
        <v>Custom Purview 4</v>
      </c>
      <c r="C73" s="470" t="str">
        <f>IF(Sandbox!AY91="","",Sandbox!AY91)</f>
        <v/>
      </c>
      <c r="D73" s="470" t="str">
        <f>Sandbox!AZ91</f>
        <v>None</v>
      </c>
      <c r="E73" s="37">
        <f t="shared" si="9"/>
        <v>0</v>
      </c>
      <c r="F73" s="470" t="str">
        <f>Sandbox!BA91</f>
        <v>None</v>
      </c>
      <c r="G73" s="37">
        <f t="shared" si="10"/>
        <v>0</v>
      </c>
      <c r="H73" s="37" t="str">
        <f>IF(Sandbox!BC91="No","None",Sandbox!$BH$4)</f>
        <v>None</v>
      </c>
      <c r="I73" s="37">
        <f t="shared" si="11"/>
        <v>0</v>
      </c>
      <c r="J73" s="37" t="str">
        <f>Sandbox!BD91</f>
        <v>No</v>
      </c>
      <c r="K73" s="37">
        <f t="shared" si="12"/>
        <v>0</v>
      </c>
      <c r="L73" s="37" t="str">
        <f>Sandbox!BB91</f>
        <v>None</v>
      </c>
      <c r="M73" s="37">
        <f t="shared" si="13"/>
        <v>0</v>
      </c>
      <c r="N73" s="470" t="str">
        <f>IF(Sandbox!BE91="Roll","Yes","No")</f>
        <v>No</v>
      </c>
      <c r="O73" s="470">
        <f t="shared" si="14"/>
        <v>0</v>
      </c>
      <c r="P73" s="37" t="str">
        <f t="shared" si="15"/>
        <v>None</v>
      </c>
      <c r="Q73" s="470" t="str">
        <f>Sandbox!BF91</f>
        <v>Yes</v>
      </c>
      <c r="R73" s="37">
        <f t="shared" si="16"/>
        <v>0</v>
      </c>
      <c r="S73" s="470" t="str">
        <f>IF(Sandbox!BE91="Add","Yes","No")</f>
        <v>No</v>
      </c>
      <c r="T73" s="470">
        <f t="shared" si="17"/>
        <v>0</v>
      </c>
      <c r="U73" s="470" t="str">
        <f>Sandbox!BG91</f>
        <v>Yes</v>
      </c>
      <c r="V73" s="111">
        <f>IF(OR(F73="none",G73="V"),0,VLOOKUP(F73,'Purchased Boons'!$AR$4:$AS$27,2,FALSE))</f>
        <v>0</v>
      </c>
      <c r="W73" s="475">
        <f>Sandbox!BH91</f>
        <v>0</v>
      </c>
      <c r="X73" s="475">
        <f>Sandbox!BI91</f>
        <v>0</v>
      </c>
      <c r="Y73" s="37" t="s">
        <v>2293</v>
      </c>
      <c r="Z73" s="111" t="s">
        <v>817</v>
      </c>
      <c r="AG73" s="24"/>
      <c r="AH73" s="24"/>
    </row>
    <row r="74" spans="1:34" x14ac:dyDescent="0.25">
      <c r="A74" s="474" t="str">
        <f>IF(Sandbox!AX92="","",Sandbox!AX92)</f>
        <v/>
      </c>
      <c r="B74" s="39" t="str">
        <f>IF(Sandbox!$BH$79="",Sandbox!$AX$79,Sandbox!$BH$79)</f>
        <v>Custom Purview 4</v>
      </c>
      <c r="C74" s="470" t="str">
        <f>IF(Sandbox!AY92="","",Sandbox!AY92)</f>
        <v/>
      </c>
      <c r="D74" s="470" t="str">
        <f>Sandbox!AZ92</f>
        <v>None</v>
      </c>
      <c r="E74" s="37">
        <f t="shared" si="9"/>
        <v>0</v>
      </c>
      <c r="F74" s="470" t="str">
        <f>Sandbox!BA92</f>
        <v>None</v>
      </c>
      <c r="G74" s="37">
        <f t="shared" si="10"/>
        <v>0</v>
      </c>
      <c r="H74" s="37" t="str">
        <f>IF(Sandbox!BC92="No","None",Sandbox!$BH$4)</f>
        <v>None</v>
      </c>
      <c r="I74" s="37">
        <f t="shared" si="11"/>
        <v>0</v>
      </c>
      <c r="J74" s="37" t="str">
        <f>Sandbox!BD92</f>
        <v>No</v>
      </c>
      <c r="K74" s="37">
        <f t="shared" si="12"/>
        <v>0</v>
      </c>
      <c r="L74" s="37" t="str">
        <f>Sandbox!BB92</f>
        <v>None</v>
      </c>
      <c r="M74" s="37">
        <f t="shared" si="13"/>
        <v>0</v>
      </c>
      <c r="N74" s="470" t="str">
        <f>IF(Sandbox!BE92="Roll","Yes","No")</f>
        <v>No</v>
      </c>
      <c r="O74" s="470">
        <f t="shared" si="14"/>
        <v>0</v>
      </c>
      <c r="P74" s="37" t="str">
        <f t="shared" si="15"/>
        <v>None</v>
      </c>
      <c r="Q74" s="470" t="str">
        <f>Sandbox!BF92</f>
        <v>Yes</v>
      </c>
      <c r="R74" s="37">
        <f t="shared" si="16"/>
        <v>0</v>
      </c>
      <c r="S74" s="470" t="str">
        <f>IF(Sandbox!BE92="Add","Yes","No")</f>
        <v>No</v>
      </c>
      <c r="T74" s="470">
        <f t="shared" si="17"/>
        <v>0</v>
      </c>
      <c r="U74" s="470" t="str">
        <f>Sandbox!BG92</f>
        <v>Yes</v>
      </c>
      <c r="V74" s="111">
        <f>IF(OR(F74="none",G74="V"),0,VLOOKUP(F74,'Purchased Boons'!$AR$4:$AS$27,2,FALSE))</f>
        <v>0</v>
      </c>
      <c r="W74" s="475">
        <f>Sandbox!BH92</f>
        <v>0</v>
      </c>
      <c r="X74" s="475">
        <f>Sandbox!BI92</f>
        <v>0</v>
      </c>
      <c r="Y74" s="37" t="s">
        <v>2293</v>
      </c>
      <c r="Z74" s="111" t="s">
        <v>817</v>
      </c>
      <c r="AG74" s="24"/>
      <c r="AH74" s="24"/>
    </row>
    <row r="75" spans="1:34" x14ac:dyDescent="0.25">
      <c r="A75" s="474" t="str">
        <f>IF(Sandbox!AX93="","",Sandbox!AX93)</f>
        <v/>
      </c>
      <c r="B75" s="39" t="str">
        <f>IF(Sandbox!$BH$79="",Sandbox!$AX$79,Sandbox!$BH$79)</f>
        <v>Custom Purview 4</v>
      </c>
      <c r="C75" s="470" t="str">
        <f>IF(Sandbox!AY93="","",Sandbox!AY93)</f>
        <v/>
      </c>
      <c r="D75" s="470" t="str">
        <f>Sandbox!AZ93</f>
        <v>None</v>
      </c>
      <c r="E75" s="37">
        <f t="shared" si="9"/>
        <v>0</v>
      </c>
      <c r="F75" s="470" t="str">
        <f>Sandbox!BA93</f>
        <v>None</v>
      </c>
      <c r="G75" s="37">
        <f t="shared" si="10"/>
        <v>0</v>
      </c>
      <c r="H75" s="37" t="str">
        <f>IF(Sandbox!BC93="No","None",Sandbox!$BH$4)</f>
        <v>None</v>
      </c>
      <c r="I75" s="37">
        <f t="shared" si="11"/>
        <v>0</v>
      </c>
      <c r="J75" s="37" t="str">
        <f>Sandbox!BD93</f>
        <v>No</v>
      </c>
      <c r="K75" s="37">
        <f t="shared" si="12"/>
        <v>0</v>
      </c>
      <c r="L75" s="37" t="str">
        <f>Sandbox!BB93</f>
        <v>None</v>
      </c>
      <c r="M75" s="37">
        <f t="shared" si="13"/>
        <v>0</v>
      </c>
      <c r="N75" s="470" t="str">
        <f>IF(Sandbox!BE93="Roll","Yes","No")</f>
        <v>No</v>
      </c>
      <c r="O75" s="470">
        <f t="shared" si="14"/>
        <v>0</v>
      </c>
      <c r="P75" s="37" t="str">
        <f t="shared" si="15"/>
        <v>None</v>
      </c>
      <c r="Q75" s="470" t="str">
        <f>Sandbox!BF93</f>
        <v>Yes</v>
      </c>
      <c r="R75" s="37">
        <f t="shared" si="16"/>
        <v>0</v>
      </c>
      <c r="S75" s="470" t="str">
        <f>IF(Sandbox!BE93="Add","Yes","No")</f>
        <v>No</v>
      </c>
      <c r="T75" s="470">
        <f t="shared" si="17"/>
        <v>0</v>
      </c>
      <c r="U75" s="470" t="str">
        <f>Sandbox!BG93</f>
        <v>Yes</v>
      </c>
      <c r="V75" s="111">
        <f>IF(OR(F75="none",G75="V"),0,VLOOKUP(F75,'Purchased Boons'!$AR$4:$AS$27,2,FALSE))</f>
        <v>0</v>
      </c>
      <c r="W75" s="475">
        <f>Sandbox!BH93</f>
        <v>0</v>
      </c>
      <c r="X75" s="475">
        <f>Sandbox!BI93</f>
        <v>0</v>
      </c>
      <c r="Y75" s="37" t="s">
        <v>2293</v>
      </c>
      <c r="Z75" s="111" t="s">
        <v>817</v>
      </c>
      <c r="AG75" s="24"/>
      <c r="AH75" s="24"/>
    </row>
    <row r="76" spans="1:34" x14ac:dyDescent="0.25">
      <c r="A76" s="474" t="str">
        <f>IF(Sandbox!AX94="","",Sandbox!AX94)</f>
        <v/>
      </c>
      <c r="B76" s="39" t="str">
        <f>IF(Sandbox!$BH$79="",Sandbox!$AX$79,Sandbox!$BH$79)</f>
        <v>Custom Purview 4</v>
      </c>
      <c r="C76" s="470" t="str">
        <f>IF(Sandbox!AY94="","",Sandbox!AY94)</f>
        <v/>
      </c>
      <c r="D76" s="470" t="str">
        <f>Sandbox!AZ94</f>
        <v>None</v>
      </c>
      <c r="E76" s="37">
        <f t="shared" si="9"/>
        <v>0</v>
      </c>
      <c r="F76" s="470" t="str">
        <f>Sandbox!BA94</f>
        <v>None</v>
      </c>
      <c r="G76" s="37">
        <f t="shared" si="10"/>
        <v>0</v>
      </c>
      <c r="H76" s="37" t="str">
        <f>IF(Sandbox!BC94="No","None",Sandbox!$BH$4)</f>
        <v>None</v>
      </c>
      <c r="I76" s="37">
        <f t="shared" si="11"/>
        <v>0</v>
      </c>
      <c r="J76" s="37" t="str">
        <f>Sandbox!BD94</f>
        <v>No</v>
      </c>
      <c r="K76" s="37">
        <f t="shared" si="12"/>
        <v>0</v>
      </c>
      <c r="L76" s="37" t="str">
        <f>Sandbox!BB94</f>
        <v>None</v>
      </c>
      <c r="M76" s="37">
        <f t="shared" si="13"/>
        <v>0</v>
      </c>
      <c r="N76" s="470" t="str">
        <f>IF(Sandbox!BE94="Roll","Yes","No")</f>
        <v>No</v>
      </c>
      <c r="O76" s="470">
        <f t="shared" si="14"/>
        <v>0</v>
      </c>
      <c r="P76" s="37" t="str">
        <f t="shared" si="15"/>
        <v>None</v>
      </c>
      <c r="Q76" s="470" t="str">
        <f>Sandbox!BF94</f>
        <v>Yes</v>
      </c>
      <c r="R76" s="37">
        <f t="shared" si="16"/>
        <v>0</v>
      </c>
      <c r="S76" s="470" t="str">
        <f>IF(Sandbox!BE94="Add","Yes","No")</f>
        <v>No</v>
      </c>
      <c r="T76" s="470">
        <f t="shared" si="17"/>
        <v>0</v>
      </c>
      <c r="U76" s="470" t="str">
        <f>Sandbox!BG94</f>
        <v>Yes</v>
      </c>
      <c r="V76" s="111">
        <f>IF(OR(F76="none",G76="V"),0,VLOOKUP(F76,'Purchased Boons'!$AR$4:$AS$27,2,FALSE))</f>
        <v>0</v>
      </c>
      <c r="W76" s="475">
        <f>Sandbox!BH94</f>
        <v>0</v>
      </c>
      <c r="X76" s="475">
        <f>Sandbox!BI94</f>
        <v>0</v>
      </c>
      <c r="Y76" s="37" t="s">
        <v>2293</v>
      </c>
      <c r="Z76" s="111" t="s">
        <v>817</v>
      </c>
      <c r="AG76" s="24"/>
      <c r="AH76" s="24"/>
    </row>
    <row r="77" spans="1:34" x14ac:dyDescent="0.25">
      <c r="A77" s="474" t="str">
        <f>IF(Sandbox!AX95="","",Sandbox!AX95)</f>
        <v/>
      </c>
      <c r="B77" s="39" t="str">
        <f>IF(Sandbox!$BH$79="",Sandbox!$AX$79,Sandbox!$BH$79)</f>
        <v>Custom Purview 4</v>
      </c>
      <c r="C77" s="470" t="str">
        <f>IF(Sandbox!AY95="","",Sandbox!AY95)</f>
        <v/>
      </c>
      <c r="D77" s="470" t="str">
        <f>Sandbox!AZ95</f>
        <v>None</v>
      </c>
      <c r="E77" s="37">
        <f t="shared" si="9"/>
        <v>0</v>
      </c>
      <c r="F77" s="470" t="str">
        <f>Sandbox!BA95</f>
        <v>None</v>
      </c>
      <c r="G77" s="37">
        <f t="shared" si="10"/>
        <v>0</v>
      </c>
      <c r="H77" s="37" t="str">
        <f>IF(Sandbox!BC95="No","None",Sandbox!$BH$4)</f>
        <v>None</v>
      </c>
      <c r="I77" s="37">
        <f t="shared" si="11"/>
        <v>0</v>
      </c>
      <c r="J77" s="37" t="str">
        <f>Sandbox!BD95</f>
        <v>No</v>
      </c>
      <c r="K77" s="37">
        <f t="shared" si="12"/>
        <v>0</v>
      </c>
      <c r="L77" s="37" t="str">
        <f>Sandbox!BB95</f>
        <v>None</v>
      </c>
      <c r="M77" s="37">
        <f t="shared" si="13"/>
        <v>0</v>
      </c>
      <c r="N77" s="470" t="str">
        <f>IF(Sandbox!BE95="Roll","Yes","No")</f>
        <v>No</v>
      </c>
      <c r="O77" s="470">
        <f t="shared" si="14"/>
        <v>0</v>
      </c>
      <c r="P77" s="37" t="str">
        <f t="shared" si="15"/>
        <v>None</v>
      </c>
      <c r="Q77" s="470" t="str">
        <f>Sandbox!BF95</f>
        <v>Yes</v>
      </c>
      <c r="R77" s="37">
        <f t="shared" si="16"/>
        <v>0</v>
      </c>
      <c r="S77" s="470" t="str">
        <f>IF(Sandbox!BE95="Add","Yes","No")</f>
        <v>No</v>
      </c>
      <c r="T77" s="470">
        <f t="shared" si="17"/>
        <v>0</v>
      </c>
      <c r="U77" s="470" t="str">
        <f>Sandbox!BG95</f>
        <v>Yes</v>
      </c>
      <c r="V77" s="111">
        <f>IF(OR(F77="none",G77="V"),0,VLOOKUP(F77,'Purchased Boons'!$AR$4:$AS$27,2,FALSE))</f>
        <v>0</v>
      </c>
      <c r="W77" s="475">
        <f>Sandbox!BH95</f>
        <v>0</v>
      </c>
      <c r="X77" s="475">
        <f>Sandbox!BI95</f>
        <v>0</v>
      </c>
      <c r="Y77" s="37" t="s">
        <v>2293</v>
      </c>
      <c r="Z77" s="111" t="s">
        <v>817</v>
      </c>
      <c r="AG77" s="24"/>
      <c r="AH77" s="24"/>
    </row>
    <row r="78" spans="1:34" x14ac:dyDescent="0.25">
      <c r="A78" s="474" t="str">
        <f>IF(Sandbox!AX96="","",Sandbox!AX96)</f>
        <v/>
      </c>
      <c r="B78" s="39" t="str">
        <f>IF(Sandbox!$BH$79="",Sandbox!$AX$79,Sandbox!$BH$79)</f>
        <v>Custom Purview 4</v>
      </c>
      <c r="C78" s="470" t="str">
        <f>IF(Sandbox!AY96="","",Sandbox!AY96)</f>
        <v/>
      </c>
      <c r="D78" s="470" t="str">
        <f>Sandbox!AZ96</f>
        <v>None</v>
      </c>
      <c r="E78" s="37">
        <f t="shared" si="9"/>
        <v>0</v>
      </c>
      <c r="F78" s="470" t="str">
        <f>Sandbox!BA96</f>
        <v>None</v>
      </c>
      <c r="G78" s="37">
        <f t="shared" si="10"/>
        <v>0</v>
      </c>
      <c r="H78" s="37" t="str">
        <f>IF(Sandbox!BC96="No","None",Sandbox!$BH$4)</f>
        <v>None</v>
      </c>
      <c r="I78" s="37">
        <f t="shared" si="11"/>
        <v>0</v>
      </c>
      <c r="J78" s="37" t="str">
        <f>Sandbox!BD96</f>
        <v>No</v>
      </c>
      <c r="K78" s="37">
        <f t="shared" si="12"/>
        <v>0</v>
      </c>
      <c r="L78" s="37" t="str">
        <f>Sandbox!BB96</f>
        <v>None</v>
      </c>
      <c r="M78" s="37">
        <f t="shared" si="13"/>
        <v>0</v>
      </c>
      <c r="N78" s="470" t="str">
        <f>IF(Sandbox!BE96="Roll","Yes","No")</f>
        <v>No</v>
      </c>
      <c r="O78" s="470">
        <f t="shared" si="14"/>
        <v>0</v>
      </c>
      <c r="P78" s="37" t="str">
        <f t="shared" si="15"/>
        <v>None</v>
      </c>
      <c r="Q78" s="470" t="str">
        <f>Sandbox!BF96</f>
        <v>Yes</v>
      </c>
      <c r="R78" s="37">
        <f t="shared" si="16"/>
        <v>0</v>
      </c>
      <c r="S78" s="470" t="str">
        <f>IF(Sandbox!BE96="Add","Yes","No")</f>
        <v>No</v>
      </c>
      <c r="T78" s="470">
        <f t="shared" si="17"/>
        <v>0</v>
      </c>
      <c r="U78" s="470" t="str">
        <f>Sandbox!BG96</f>
        <v>Yes</v>
      </c>
      <c r="V78" s="111">
        <f>IF(OR(F78="none",G78="V"),0,VLOOKUP(F78,'Purchased Boons'!$AR$4:$AS$27,2,FALSE))</f>
        <v>0</v>
      </c>
      <c r="W78" s="475">
        <f>Sandbox!BH96</f>
        <v>0</v>
      </c>
      <c r="X78" s="475">
        <f>Sandbox!BI96</f>
        <v>0</v>
      </c>
      <c r="Y78" s="37" t="s">
        <v>2293</v>
      </c>
      <c r="Z78" s="111" t="s">
        <v>817</v>
      </c>
      <c r="AG78" s="24"/>
      <c r="AH78" s="24"/>
    </row>
    <row r="79" spans="1:34" x14ac:dyDescent="0.25">
      <c r="A79" s="474" t="str">
        <f>IF(Sandbox!AX97="","",Sandbox!AX97)</f>
        <v/>
      </c>
      <c r="B79" s="39" t="str">
        <f>IF(Sandbox!$BH$79="",Sandbox!$AX$79,Sandbox!$BH$79)</f>
        <v>Custom Purview 4</v>
      </c>
      <c r="C79" s="470" t="str">
        <f>IF(Sandbox!AY97="","",Sandbox!AY97)</f>
        <v/>
      </c>
      <c r="D79" s="470" t="str">
        <f>Sandbox!AZ97</f>
        <v>None</v>
      </c>
      <c r="E79" s="37">
        <f t="shared" si="9"/>
        <v>0</v>
      </c>
      <c r="F79" s="470" t="str">
        <f>Sandbox!BA97</f>
        <v>None</v>
      </c>
      <c r="G79" s="37">
        <f t="shared" si="10"/>
        <v>0</v>
      </c>
      <c r="H79" s="37" t="str">
        <f>IF(Sandbox!BC97="No","None",Sandbox!$BH$4)</f>
        <v>None</v>
      </c>
      <c r="I79" s="37">
        <f t="shared" si="11"/>
        <v>0</v>
      </c>
      <c r="J79" s="37" t="str">
        <f>Sandbox!BD97</f>
        <v>No</v>
      </c>
      <c r="K79" s="37">
        <f t="shared" si="12"/>
        <v>0</v>
      </c>
      <c r="L79" s="37" t="str">
        <f>Sandbox!BB97</f>
        <v>None</v>
      </c>
      <c r="M79" s="37">
        <f t="shared" si="13"/>
        <v>0</v>
      </c>
      <c r="N79" s="470" t="str">
        <f>IF(Sandbox!BE97="Roll","Yes","No")</f>
        <v>No</v>
      </c>
      <c r="O79" s="470">
        <f t="shared" si="14"/>
        <v>0</v>
      </c>
      <c r="P79" s="37" t="str">
        <f t="shared" si="15"/>
        <v>None</v>
      </c>
      <c r="Q79" s="470" t="str">
        <f>Sandbox!BF97</f>
        <v>Yes</v>
      </c>
      <c r="R79" s="37">
        <f t="shared" si="16"/>
        <v>0</v>
      </c>
      <c r="S79" s="470" t="str">
        <f>IF(Sandbox!BE97="Add","Yes","No")</f>
        <v>No</v>
      </c>
      <c r="T79" s="470">
        <f t="shared" si="17"/>
        <v>0</v>
      </c>
      <c r="U79" s="470" t="str">
        <f>Sandbox!BG97</f>
        <v>Yes</v>
      </c>
      <c r="V79" s="111">
        <f>IF(OR(F79="none",G79="V"),0,VLOOKUP(F79,'Purchased Boons'!$AR$4:$AS$27,2,FALSE))</f>
        <v>0</v>
      </c>
      <c r="W79" s="475">
        <f>Sandbox!BH97</f>
        <v>0</v>
      </c>
      <c r="X79" s="475">
        <f>Sandbox!BI97</f>
        <v>0</v>
      </c>
      <c r="Y79" s="37" t="s">
        <v>2293</v>
      </c>
      <c r="Z79" s="111" t="s">
        <v>817</v>
      </c>
      <c r="AG79" s="24"/>
      <c r="AH79" s="24"/>
    </row>
    <row r="80" spans="1:34" x14ac:dyDescent="0.25">
      <c r="A80" s="474" t="str">
        <f>IF(Sandbox!AX98="","",Sandbox!AX98)</f>
        <v/>
      </c>
      <c r="B80" s="39" t="str">
        <f>IF(Sandbox!$BH$79="",Sandbox!$AX$79,Sandbox!$BH$79)</f>
        <v>Custom Purview 4</v>
      </c>
      <c r="C80" s="470" t="str">
        <f>IF(Sandbox!AY98="","",Sandbox!AY98)</f>
        <v/>
      </c>
      <c r="D80" s="470" t="str">
        <f>Sandbox!AZ98</f>
        <v>None</v>
      </c>
      <c r="E80" s="37">
        <f t="shared" si="9"/>
        <v>0</v>
      </c>
      <c r="F80" s="470" t="str">
        <f>Sandbox!BA98</f>
        <v>None</v>
      </c>
      <c r="G80" s="37">
        <f t="shared" si="10"/>
        <v>0</v>
      </c>
      <c r="H80" s="37" t="str">
        <f>IF(Sandbox!BC98="No","None",Sandbox!$BH$4)</f>
        <v>None</v>
      </c>
      <c r="I80" s="37">
        <f t="shared" si="11"/>
        <v>0</v>
      </c>
      <c r="J80" s="37" t="str">
        <f>Sandbox!BD98</f>
        <v>No</v>
      </c>
      <c r="K80" s="37">
        <f t="shared" si="12"/>
        <v>0</v>
      </c>
      <c r="L80" s="37" t="str">
        <f>Sandbox!BB98</f>
        <v>None</v>
      </c>
      <c r="M80" s="37">
        <f t="shared" si="13"/>
        <v>0</v>
      </c>
      <c r="N80" s="470" t="str">
        <f>IF(Sandbox!BE98="Roll","Yes","No")</f>
        <v>No</v>
      </c>
      <c r="O80" s="470">
        <f t="shared" si="14"/>
        <v>0</v>
      </c>
      <c r="P80" s="37" t="str">
        <f t="shared" si="15"/>
        <v>None</v>
      </c>
      <c r="Q80" s="470" t="str">
        <f>Sandbox!BF98</f>
        <v>Yes</v>
      </c>
      <c r="R80" s="37">
        <f t="shared" si="16"/>
        <v>0</v>
      </c>
      <c r="S80" s="470" t="str">
        <f>IF(Sandbox!BE98="Add","Yes","No")</f>
        <v>No</v>
      </c>
      <c r="T80" s="470">
        <f t="shared" si="17"/>
        <v>0</v>
      </c>
      <c r="U80" s="470" t="str">
        <f>Sandbox!BG98</f>
        <v>Yes</v>
      </c>
      <c r="V80" s="111">
        <f>IF(OR(F80="none",G80="V"),0,VLOOKUP(F80,'Purchased Boons'!$AR$4:$AS$27,2,FALSE))</f>
        <v>0</v>
      </c>
      <c r="W80" s="475">
        <f>Sandbox!BH98</f>
        <v>0</v>
      </c>
      <c r="X80" s="475">
        <f>Sandbox!BI98</f>
        <v>0</v>
      </c>
      <c r="Y80" s="37" t="s">
        <v>2293</v>
      </c>
      <c r="Z80" s="111" t="s">
        <v>817</v>
      </c>
      <c r="AG80" s="24"/>
      <c r="AH80" s="24"/>
    </row>
    <row r="81" spans="1:34" x14ac:dyDescent="0.25">
      <c r="A81" s="474" t="str">
        <f>IF(Sandbox!AX99="","",Sandbox!AX99)</f>
        <v/>
      </c>
      <c r="B81" s="39" t="str">
        <f>IF(Sandbox!$BH$79="",Sandbox!$AX$79,Sandbox!$BH$79)</f>
        <v>Custom Purview 4</v>
      </c>
      <c r="C81" s="470" t="str">
        <f>IF(Sandbox!AY99="","",Sandbox!AY99)</f>
        <v/>
      </c>
      <c r="D81" s="470" t="str">
        <f>Sandbox!AZ99</f>
        <v>None</v>
      </c>
      <c r="E81" s="37">
        <f t="shared" si="9"/>
        <v>0</v>
      </c>
      <c r="F81" s="470" t="str">
        <f>Sandbox!BA99</f>
        <v>None</v>
      </c>
      <c r="G81" s="37">
        <f t="shared" si="10"/>
        <v>0</v>
      </c>
      <c r="H81" s="37" t="str">
        <f>IF(Sandbox!BC99="No","None",Sandbox!$BH$4)</f>
        <v>None</v>
      </c>
      <c r="I81" s="37">
        <f t="shared" si="11"/>
        <v>0</v>
      </c>
      <c r="J81" s="37" t="str">
        <f>Sandbox!BD99</f>
        <v>No</v>
      </c>
      <c r="K81" s="37">
        <f t="shared" si="12"/>
        <v>0</v>
      </c>
      <c r="L81" s="37" t="str">
        <f>Sandbox!BB99</f>
        <v>None</v>
      </c>
      <c r="M81" s="37">
        <f t="shared" si="13"/>
        <v>0</v>
      </c>
      <c r="N81" s="470" t="str">
        <f>IF(Sandbox!BE99="Roll","Yes","No")</f>
        <v>No</v>
      </c>
      <c r="O81" s="470">
        <f t="shared" si="14"/>
        <v>0</v>
      </c>
      <c r="P81" s="37" t="str">
        <f t="shared" si="15"/>
        <v>None</v>
      </c>
      <c r="Q81" s="470" t="str">
        <f>Sandbox!BF99</f>
        <v>Yes</v>
      </c>
      <c r="R81" s="37">
        <f t="shared" si="16"/>
        <v>0</v>
      </c>
      <c r="S81" s="470" t="str">
        <f>IF(Sandbox!BE99="Add","Yes","No")</f>
        <v>No</v>
      </c>
      <c r="T81" s="470">
        <f t="shared" si="17"/>
        <v>0</v>
      </c>
      <c r="U81" s="470" t="str">
        <f>Sandbox!BG99</f>
        <v>Yes</v>
      </c>
      <c r="V81" s="111">
        <f>IF(OR(F81="none",G81="V"),0,VLOOKUP(F81,'Purchased Boons'!$AR$4:$AS$27,2,FALSE))</f>
        <v>0</v>
      </c>
      <c r="W81" s="475">
        <f>Sandbox!BH99</f>
        <v>0</v>
      </c>
      <c r="X81" s="475">
        <f>Sandbox!BI99</f>
        <v>0</v>
      </c>
      <c r="Y81" s="37" t="s">
        <v>2293</v>
      </c>
      <c r="Z81" s="111" t="s">
        <v>817</v>
      </c>
      <c r="AG81" s="24"/>
      <c r="AH81" s="24"/>
    </row>
    <row r="82" spans="1:34" x14ac:dyDescent="0.25">
      <c r="A82" s="474" t="str">
        <f>IF(Sandbox!AX100="","",Sandbox!AX100)</f>
        <v/>
      </c>
      <c r="B82" s="39" t="str">
        <f>IF(Sandbox!$BH$79="",Sandbox!$AX$79,Sandbox!$BH$79)</f>
        <v>Custom Purview 4</v>
      </c>
      <c r="C82" s="470" t="str">
        <f>IF(Sandbox!AY100="","",Sandbox!AY100)</f>
        <v/>
      </c>
      <c r="D82" s="470" t="str">
        <f>Sandbox!AZ100</f>
        <v>None</v>
      </c>
      <c r="E82" s="37">
        <f t="shared" si="9"/>
        <v>0</v>
      </c>
      <c r="F82" s="470" t="str">
        <f>Sandbox!BA100</f>
        <v>None</v>
      </c>
      <c r="G82" s="37">
        <f t="shared" si="10"/>
        <v>0</v>
      </c>
      <c r="H82" s="37" t="str">
        <f>IF(Sandbox!BC100="No","None",Sandbox!$BH$4)</f>
        <v>None</v>
      </c>
      <c r="I82" s="37">
        <f t="shared" si="11"/>
        <v>0</v>
      </c>
      <c r="J82" s="37" t="str">
        <f>Sandbox!BD100</f>
        <v>No</v>
      </c>
      <c r="K82" s="37">
        <f t="shared" si="12"/>
        <v>0</v>
      </c>
      <c r="L82" s="37" t="str">
        <f>Sandbox!BB100</f>
        <v>None</v>
      </c>
      <c r="M82" s="37">
        <f t="shared" si="13"/>
        <v>0</v>
      </c>
      <c r="N82" s="470" t="str">
        <f>IF(Sandbox!BE100="Roll","Yes","No")</f>
        <v>No</v>
      </c>
      <c r="O82" s="470">
        <f t="shared" si="14"/>
        <v>0</v>
      </c>
      <c r="P82" s="37" t="str">
        <f t="shared" si="15"/>
        <v>None</v>
      </c>
      <c r="Q82" s="470" t="str">
        <f>Sandbox!BF100</f>
        <v>Yes</v>
      </c>
      <c r="R82" s="37">
        <f t="shared" si="16"/>
        <v>0</v>
      </c>
      <c r="S82" s="470" t="str">
        <f>IF(Sandbox!BE100="Add","Yes","No")</f>
        <v>No</v>
      </c>
      <c r="T82" s="470">
        <f t="shared" si="17"/>
        <v>0</v>
      </c>
      <c r="U82" s="470" t="str">
        <f>Sandbox!BG100</f>
        <v>Yes</v>
      </c>
      <c r="V82" s="111">
        <f>IF(OR(F82="none",G82="V"),0,VLOOKUP(F82,'Purchased Boons'!$AR$4:$AS$27,2,FALSE))</f>
        <v>0</v>
      </c>
      <c r="W82" s="475">
        <f>Sandbox!BH100</f>
        <v>0</v>
      </c>
      <c r="X82" s="475">
        <f>Sandbox!BI100</f>
        <v>0</v>
      </c>
      <c r="Y82" s="37" t="s">
        <v>2293</v>
      </c>
      <c r="Z82" s="111" t="s">
        <v>817</v>
      </c>
      <c r="AG82" s="24"/>
      <c r="AH82" s="24"/>
    </row>
    <row r="83" spans="1:34" x14ac:dyDescent="0.25">
      <c r="A83" s="474" t="str">
        <f>IF(Sandbox!AX101="","",Sandbox!AX101)</f>
        <v/>
      </c>
      <c r="B83" s="39" t="str">
        <f>IF(Sandbox!$BH$79="",Sandbox!$AX$79,Sandbox!$BH$79)</f>
        <v>Custom Purview 4</v>
      </c>
      <c r="C83" s="470" t="str">
        <f>IF(Sandbox!AY101="","",Sandbox!AY101)</f>
        <v/>
      </c>
      <c r="D83" s="470" t="str">
        <f>Sandbox!AZ101</f>
        <v>None</v>
      </c>
      <c r="E83" s="37">
        <f t="shared" si="9"/>
        <v>0</v>
      </c>
      <c r="F83" s="470" t="str">
        <f>Sandbox!BA101</f>
        <v>None</v>
      </c>
      <c r="G83" s="37">
        <f t="shared" si="10"/>
        <v>0</v>
      </c>
      <c r="H83" s="37" t="str">
        <f>IF(Sandbox!BC101="No","None",Sandbox!$BH$4)</f>
        <v>None</v>
      </c>
      <c r="I83" s="37">
        <f t="shared" si="11"/>
        <v>0</v>
      </c>
      <c r="J83" s="37" t="str">
        <f>Sandbox!BD101</f>
        <v>No</v>
      </c>
      <c r="K83" s="37">
        <f t="shared" si="12"/>
        <v>0</v>
      </c>
      <c r="L83" s="37" t="str">
        <f>Sandbox!BB101</f>
        <v>None</v>
      </c>
      <c r="M83" s="37">
        <f t="shared" si="13"/>
        <v>0</v>
      </c>
      <c r="N83" s="470" t="str">
        <f>IF(Sandbox!BE101="Roll","Yes","No")</f>
        <v>No</v>
      </c>
      <c r="O83" s="470">
        <f t="shared" si="14"/>
        <v>0</v>
      </c>
      <c r="P83" s="37" t="str">
        <f t="shared" si="15"/>
        <v>None</v>
      </c>
      <c r="Q83" s="470" t="str">
        <f>Sandbox!BF101</f>
        <v>Yes</v>
      </c>
      <c r="R83" s="37">
        <f t="shared" si="16"/>
        <v>0</v>
      </c>
      <c r="S83" s="470" t="str">
        <f>IF(Sandbox!BE101="Add","Yes","No")</f>
        <v>No</v>
      </c>
      <c r="T83" s="470">
        <f t="shared" si="17"/>
        <v>0</v>
      </c>
      <c r="U83" s="470" t="str">
        <f>Sandbox!BG101</f>
        <v>Yes</v>
      </c>
      <c r="V83" s="111">
        <f>IF(OR(F83="none",G83="V"),0,VLOOKUP(F83,'Purchased Boons'!$AR$4:$AS$27,2,FALSE))</f>
        <v>0</v>
      </c>
      <c r="W83" s="475">
        <f>Sandbox!BH101</f>
        <v>0</v>
      </c>
      <c r="X83" s="475">
        <f>Sandbox!BI101</f>
        <v>0</v>
      </c>
      <c r="Y83" s="37" t="s">
        <v>2293</v>
      </c>
      <c r="Z83" s="111" t="s">
        <v>817</v>
      </c>
      <c r="AG83" s="24"/>
      <c r="AH83" s="24"/>
    </row>
    <row r="84" spans="1:34" x14ac:dyDescent="0.25">
      <c r="A84" s="474" t="str">
        <f>IF(Sandbox!AX102="","",Sandbox!AX102)</f>
        <v/>
      </c>
      <c r="B84" s="39" t="str">
        <f>IF(Sandbox!$BH$79="",Sandbox!$AX$79,Sandbox!$BH$79)</f>
        <v>Custom Purview 4</v>
      </c>
      <c r="C84" s="470" t="str">
        <f>IF(Sandbox!AY102="","",Sandbox!AY102)</f>
        <v/>
      </c>
      <c r="D84" s="470" t="str">
        <f>Sandbox!AZ102</f>
        <v>None</v>
      </c>
      <c r="E84" s="37">
        <f t="shared" si="9"/>
        <v>0</v>
      </c>
      <c r="F84" s="470" t="str">
        <f>Sandbox!BA102</f>
        <v>None</v>
      </c>
      <c r="G84" s="37">
        <f t="shared" si="10"/>
        <v>0</v>
      </c>
      <c r="H84" s="37" t="str">
        <f>IF(Sandbox!BC102="No","None",Sandbox!$BH$4)</f>
        <v>None</v>
      </c>
      <c r="I84" s="37">
        <f t="shared" si="11"/>
        <v>0</v>
      </c>
      <c r="J84" s="37" t="str">
        <f>Sandbox!BD102</f>
        <v>No</v>
      </c>
      <c r="K84" s="37">
        <f t="shared" si="12"/>
        <v>0</v>
      </c>
      <c r="L84" s="37" t="str">
        <f>Sandbox!BB102</f>
        <v>None</v>
      </c>
      <c r="M84" s="37">
        <f t="shared" si="13"/>
        <v>0</v>
      </c>
      <c r="N84" s="470" t="str">
        <f>IF(Sandbox!BE102="Roll","Yes","No")</f>
        <v>No</v>
      </c>
      <c r="O84" s="470">
        <f t="shared" si="14"/>
        <v>0</v>
      </c>
      <c r="P84" s="37" t="str">
        <f t="shared" si="15"/>
        <v>None</v>
      </c>
      <c r="Q84" s="470" t="str">
        <f>Sandbox!BF102</f>
        <v>Yes</v>
      </c>
      <c r="R84" s="37">
        <f t="shared" si="16"/>
        <v>0</v>
      </c>
      <c r="S84" s="470" t="str">
        <f>IF(Sandbox!BE102="Add","Yes","No")</f>
        <v>No</v>
      </c>
      <c r="T84" s="470">
        <f t="shared" si="17"/>
        <v>0</v>
      </c>
      <c r="U84" s="470" t="str">
        <f>Sandbox!BG102</f>
        <v>Yes</v>
      </c>
      <c r="V84" s="111">
        <f>IF(OR(F84="none",G84="V"),0,VLOOKUP(F84,'Purchased Boons'!$AR$4:$AS$27,2,FALSE))</f>
        <v>0</v>
      </c>
      <c r="W84" s="475">
        <f>Sandbox!BH102</f>
        <v>0</v>
      </c>
      <c r="X84" s="475">
        <f>Sandbox!BI102</f>
        <v>0</v>
      </c>
      <c r="Y84" s="37" t="s">
        <v>2293</v>
      </c>
      <c r="Z84" s="111" t="s">
        <v>817</v>
      </c>
      <c r="AG84" s="24"/>
      <c r="AH84" s="24"/>
    </row>
    <row r="85" spans="1:34" x14ac:dyDescent="0.25">
      <c r="A85" s="474" t="str">
        <f>IF(Sandbox!AX103="","",Sandbox!AX103)</f>
        <v/>
      </c>
      <c r="B85" s="39" t="str">
        <f>IF(Sandbox!$BH$79="",Sandbox!$AX$79,Sandbox!$BH$79)</f>
        <v>Custom Purview 4</v>
      </c>
      <c r="C85" s="470" t="str">
        <f>IF(Sandbox!AY103="","",Sandbox!AY103)</f>
        <v/>
      </c>
      <c r="D85" s="470" t="str">
        <f>Sandbox!AZ103</f>
        <v>None</v>
      </c>
      <c r="E85" s="37">
        <f t="shared" si="9"/>
        <v>0</v>
      </c>
      <c r="F85" s="470" t="str">
        <f>Sandbox!BA103</f>
        <v>None</v>
      </c>
      <c r="G85" s="37">
        <f t="shared" si="10"/>
        <v>0</v>
      </c>
      <c r="H85" s="37" t="str">
        <f>IF(Sandbox!BC103="No","None",Sandbox!$BH$4)</f>
        <v>None</v>
      </c>
      <c r="I85" s="37">
        <f t="shared" si="11"/>
        <v>0</v>
      </c>
      <c r="J85" s="37" t="str">
        <f>Sandbox!BD103</f>
        <v>No</v>
      </c>
      <c r="K85" s="37">
        <f t="shared" si="12"/>
        <v>0</v>
      </c>
      <c r="L85" s="37" t="str">
        <f>Sandbox!BB103</f>
        <v>None</v>
      </c>
      <c r="M85" s="37">
        <f t="shared" si="13"/>
        <v>0</v>
      </c>
      <c r="N85" s="470" t="str">
        <f>IF(Sandbox!BE103="Roll","Yes","No")</f>
        <v>No</v>
      </c>
      <c r="O85" s="470">
        <f t="shared" si="14"/>
        <v>0</v>
      </c>
      <c r="P85" s="37" t="str">
        <f t="shared" si="15"/>
        <v>None</v>
      </c>
      <c r="Q85" s="470" t="str">
        <f>Sandbox!BF103</f>
        <v>Yes</v>
      </c>
      <c r="R85" s="37">
        <f t="shared" si="16"/>
        <v>0</v>
      </c>
      <c r="S85" s="470" t="str">
        <f>IF(Sandbox!BE103="Add","Yes","No")</f>
        <v>No</v>
      </c>
      <c r="T85" s="470">
        <f t="shared" si="17"/>
        <v>0</v>
      </c>
      <c r="U85" s="470" t="str">
        <f>Sandbox!BG103</f>
        <v>Yes</v>
      </c>
      <c r="V85" s="111">
        <f>IF(OR(F85="none",G85="V"),0,VLOOKUP(F85,'Purchased Boons'!$AR$4:$AS$27,2,FALSE))</f>
        <v>0</v>
      </c>
      <c r="W85" s="475">
        <f>Sandbox!BH103</f>
        <v>0</v>
      </c>
      <c r="X85" s="475">
        <f>Sandbox!BI103</f>
        <v>0</v>
      </c>
      <c r="Y85" s="37" t="s">
        <v>2293</v>
      </c>
      <c r="Z85" s="111" t="s">
        <v>817</v>
      </c>
      <c r="AG85" s="24"/>
      <c r="AH85" s="24"/>
    </row>
    <row r="86" spans="1:34" x14ac:dyDescent="0.25">
      <c r="A86" s="474" t="str">
        <f>IF(Sandbox!AX108="","",Sandbox!AX108)</f>
        <v/>
      </c>
      <c r="B86" s="39" t="str">
        <f>IF(Sandbox!$BH$104="",Sandbox!$AX$104,Sandbox!$BH$104)</f>
        <v>Custom Purview 5</v>
      </c>
      <c r="C86" s="470" t="str">
        <f>IF(Sandbox!AY108="","",Sandbox!AY108)</f>
        <v/>
      </c>
      <c r="D86" s="470" t="str">
        <f>Sandbox!AZ108</f>
        <v>None</v>
      </c>
      <c r="E86" s="37">
        <f t="shared" si="9"/>
        <v>0</v>
      </c>
      <c r="F86" s="470" t="str">
        <f>Sandbox!BA108</f>
        <v>None</v>
      </c>
      <c r="G86" s="37">
        <f t="shared" si="10"/>
        <v>0</v>
      </c>
      <c r="H86" s="37" t="str">
        <f>IF(Sandbox!BC108="No","None",Sandbox!$BH$4)</f>
        <v>None</v>
      </c>
      <c r="I86" s="37">
        <f t="shared" si="11"/>
        <v>0</v>
      </c>
      <c r="J86" s="37" t="str">
        <f>Sandbox!BD108</f>
        <v>No</v>
      </c>
      <c r="K86" s="37">
        <f t="shared" si="12"/>
        <v>0</v>
      </c>
      <c r="L86" s="37" t="str">
        <f>Sandbox!BB108</f>
        <v>None</v>
      </c>
      <c r="M86" s="37">
        <f t="shared" si="13"/>
        <v>0</v>
      </c>
      <c r="N86" s="470" t="str">
        <f>IF(Sandbox!BE108="Roll","Yes","No")</f>
        <v>No</v>
      </c>
      <c r="O86" s="470">
        <f t="shared" si="14"/>
        <v>0</v>
      </c>
      <c r="P86" s="37" t="str">
        <f t="shared" si="15"/>
        <v>None</v>
      </c>
      <c r="Q86" s="470" t="str">
        <f>Sandbox!BF108</f>
        <v>Yes</v>
      </c>
      <c r="R86" s="37">
        <f t="shared" si="16"/>
        <v>0</v>
      </c>
      <c r="S86" s="470" t="str">
        <f>IF(Sandbox!BE108="Add","Yes","No")</f>
        <v>No</v>
      </c>
      <c r="T86" s="470">
        <f t="shared" si="17"/>
        <v>0</v>
      </c>
      <c r="U86" s="470" t="str">
        <f>Sandbox!BG108</f>
        <v>Yes</v>
      </c>
      <c r="V86" s="111">
        <f>IF(OR(F86="none",G86="V"),0,VLOOKUP(F86,'Purchased Boons'!$AR$4:$AS$27,2,FALSE))</f>
        <v>0</v>
      </c>
      <c r="W86" s="475">
        <f>Sandbox!BH108</f>
        <v>0</v>
      </c>
      <c r="X86" s="475">
        <f>Sandbox!BI108</f>
        <v>0</v>
      </c>
      <c r="Y86" s="37" t="s">
        <v>2293</v>
      </c>
      <c r="Z86" s="111" t="s">
        <v>817</v>
      </c>
      <c r="AG86" s="24"/>
      <c r="AH86" s="24"/>
    </row>
    <row r="87" spans="1:34" x14ac:dyDescent="0.25">
      <c r="A87" s="474" t="str">
        <f>IF(Sandbox!AX109="","",Sandbox!AX109)</f>
        <v/>
      </c>
      <c r="B87" s="39" t="str">
        <f>IF(Sandbox!$BH$104="",Sandbox!$AX$104,Sandbox!$BH$104)</f>
        <v>Custom Purview 5</v>
      </c>
      <c r="C87" s="470" t="str">
        <f>IF(Sandbox!AY109="","",Sandbox!AY109)</f>
        <v/>
      </c>
      <c r="D87" s="470" t="str">
        <f>Sandbox!AZ109</f>
        <v>None</v>
      </c>
      <c r="E87" s="37">
        <f t="shared" si="9"/>
        <v>0</v>
      </c>
      <c r="F87" s="470" t="str">
        <f>Sandbox!BA109</f>
        <v>None</v>
      </c>
      <c r="G87" s="37">
        <f t="shared" si="10"/>
        <v>0</v>
      </c>
      <c r="H87" s="37" t="str">
        <f>IF(Sandbox!BC109="No","None",Sandbox!$BH$4)</f>
        <v>None</v>
      </c>
      <c r="I87" s="37">
        <f t="shared" si="11"/>
        <v>0</v>
      </c>
      <c r="J87" s="37" t="str">
        <f>Sandbox!BD109</f>
        <v>No</v>
      </c>
      <c r="K87" s="37">
        <f t="shared" si="12"/>
        <v>0</v>
      </c>
      <c r="L87" s="37" t="str">
        <f>Sandbox!BB109</f>
        <v>None</v>
      </c>
      <c r="M87" s="37">
        <f t="shared" si="13"/>
        <v>0</v>
      </c>
      <c r="N87" s="470" t="str">
        <f>IF(Sandbox!BE109="Roll","Yes","No")</f>
        <v>No</v>
      </c>
      <c r="O87" s="470">
        <f t="shared" si="14"/>
        <v>0</v>
      </c>
      <c r="P87" s="37" t="str">
        <f t="shared" si="15"/>
        <v>None</v>
      </c>
      <c r="Q87" s="470" t="str">
        <f>Sandbox!BF109</f>
        <v>Yes</v>
      </c>
      <c r="R87" s="37">
        <f t="shared" si="16"/>
        <v>0</v>
      </c>
      <c r="S87" s="470" t="str">
        <f>IF(Sandbox!BE109="Add","Yes","No")</f>
        <v>No</v>
      </c>
      <c r="T87" s="470">
        <f t="shared" si="17"/>
        <v>0</v>
      </c>
      <c r="U87" s="470" t="str">
        <f>Sandbox!BG109</f>
        <v>Yes</v>
      </c>
      <c r="V87" s="111">
        <f>IF(OR(F87="none",G87="V"),0,VLOOKUP(F87,'Purchased Boons'!$AR$4:$AS$27,2,FALSE))</f>
        <v>0</v>
      </c>
      <c r="W87" s="475">
        <f>Sandbox!BH109</f>
        <v>0</v>
      </c>
      <c r="X87" s="475">
        <f>Sandbox!BI109</f>
        <v>0</v>
      </c>
      <c r="Y87" s="37" t="s">
        <v>2293</v>
      </c>
      <c r="Z87" s="111" t="s">
        <v>817</v>
      </c>
      <c r="AG87" s="24"/>
      <c r="AH87" s="24"/>
    </row>
    <row r="88" spans="1:34" x14ac:dyDescent="0.25">
      <c r="A88" s="474" t="str">
        <f>IF(Sandbox!AX110="","",Sandbox!AX110)</f>
        <v/>
      </c>
      <c r="B88" s="39" t="str">
        <f>IF(Sandbox!$BH$104="",Sandbox!$AX$104,Sandbox!$BH$104)</f>
        <v>Custom Purview 5</v>
      </c>
      <c r="C88" s="470" t="str">
        <f>IF(Sandbox!AY110="","",Sandbox!AY110)</f>
        <v/>
      </c>
      <c r="D88" s="470" t="str">
        <f>Sandbox!AZ110</f>
        <v>None</v>
      </c>
      <c r="E88" s="37">
        <f t="shared" si="9"/>
        <v>0</v>
      </c>
      <c r="F88" s="470" t="str">
        <f>Sandbox!BA110</f>
        <v>None</v>
      </c>
      <c r="G88" s="37">
        <f t="shared" si="10"/>
        <v>0</v>
      </c>
      <c r="H88" s="37" t="str">
        <f>IF(Sandbox!BC110="No","None",Sandbox!$BH$4)</f>
        <v>None</v>
      </c>
      <c r="I88" s="37">
        <f t="shared" si="11"/>
        <v>0</v>
      </c>
      <c r="J88" s="37" t="str">
        <f>Sandbox!BD110</f>
        <v>No</v>
      </c>
      <c r="K88" s="37">
        <f t="shared" si="12"/>
        <v>0</v>
      </c>
      <c r="L88" s="37" t="str">
        <f>Sandbox!BB110</f>
        <v>None</v>
      </c>
      <c r="M88" s="37">
        <f t="shared" si="13"/>
        <v>0</v>
      </c>
      <c r="N88" s="470" t="str">
        <f>IF(Sandbox!BE110="Roll","Yes","No")</f>
        <v>No</v>
      </c>
      <c r="O88" s="470">
        <f t="shared" si="14"/>
        <v>0</v>
      </c>
      <c r="P88" s="37" t="str">
        <f t="shared" si="15"/>
        <v>None</v>
      </c>
      <c r="Q88" s="470" t="str">
        <f>Sandbox!BF110</f>
        <v>Yes</v>
      </c>
      <c r="R88" s="37">
        <f t="shared" si="16"/>
        <v>0</v>
      </c>
      <c r="S88" s="470" t="str">
        <f>IF(Sandbox!BE110="Add","Yes","No")</f>
        <v>No</v>
      </c>
      <c r="T88" s="470">
        <f t="shared" si="17"/>
        <v>0</v>
      </c>
      <c r="U88" s="470" t="str">
        <f>Sandbox!BG110</f>
        <v>Yes</v>
      </c>
      <c r="V88" s="111">
        <f>IF(OR(F88="none",G88="V"),0,VLOOKUP(F88,'Purchased Boons'!$AR$4:$AS$27,2,FALSE))</f>
        <v>0</v>
      </c>
      <c r="W88" s="475">
        <f>Sandbox!BH110</f>
        <v>0</v>
      </c>
      <c r="X88" s="475">
        <f>Sandbox!BI110</f>
        <v>0</v>
      </c>
      <c r="Y88" s="37" t="s">
        <v>2293</v>
      </c>
      <c r="Z88" s="111" t="s">
        <v>817</v>
      </c>
      <c r="AG88" s="24"/>
      <c r="AH88" s="24"/>
    </row>
    <row r="89" spans="1:34" x14ac:dyDescent="0.25">
      <c r="A89" s="474" t="str">
        <f>IF(Sandbox!AX111="","",Sandbox!AX111)</f>
        <v/>
      </c>
      <c r="B89" s="39" t="str">
        <f>IF(Sandbox!$BH$104="",Sandbox!$AX$104,Sandbox!$BH$104)</f>
        <v>Custom Purview 5</v>
      </c>
      <c r="C89" s="470" t="str">
        <f>IF(Sandbox!AY111="","",Sandbox!AY111)</f>
        <v/>
      </c>
      <c r="D89" s="470" t="str">
        <f>Sandbox!AZ111</f>
        <v>None</v>
      </c>
      <c r="E89" s="37">
        <f t="shared" si="9"/>
        <v>0</v>
      </c>
      <c r="F89" s="470" t="str">
        <f>Sandbox!BA111</f>
        <v>None</v>
      </c>
      <c r="G89" s="37">
        <f t="shared" si="10"/>
        <v>0</v>
      </c>
      <c r="H89" s="37" t="str">
        <f>IF(Sandbox!BC111="No","None",Sandbox!$BH$4)</f>
        <v>None</v>
      </c>
      <c r="I89" s="37">
        <f t="shared" si="11"/>
        <v>0</v>
      </c>
      <c r="J89" s="37" t="str">
        <f>Sandbox!BD111</f>
        <v>No</v>
      </c>
      <c r="K89" s="37">
        <f t="shared" si="12"/>
        <v>0</v>
      </c>
      <c r="L89" s="37" t="str">
        <f>Sandbox!BB111</f>
        <v>None</v>
      </c>
      <c r="M89" s="37">
        <f t="shared" si="13"/>
        <v>0</v>
      </c>
      <c r="N89" s="470" t="str">
        <f>IF(Sandbox!BE111="Roll","Yes","No")</f>
        <v>No</v>
      </c>
      <c r="O89" s="470">
        <f t="shared" si="14"/>
        <v>0</v>
      </c>
      <c r="P89" s="37" t="str">
        <f t="shared" si="15"/>
        <v>None</v>
      </c>
      <c r="Q89" s="470" t="str">
        <f>Sandbox!BF111</f>
        <v>Yes</v>
      </c>
      <c r="R89" s="37">
        <f t="shared" si="16"/>
        <v>0</v>
      </c>
      <c r="S89" s="470" t="str">
        <f>IF(Sandbox!BE111="Add","Yes","No")</f>
        <v>No</v>
      </c>
      <c r="T89" s="470">
        <f t="shared" si="17"/>
        <v>0</v>
      </c>
      <c r="U89" s="470" t="str">
        <f>Sandbox!BG111</f>
        <v>Yes</v>
      </c>
      <c r="V89" s="111">
        <f>IF(OR(F89="none",G89="V"),0,VLOOKUP(F89,'Purchased Boons'!$AR$4:$AS$27,2,FALSE))</f>
        <v>0</v>
      </c>
      <c r="W89" s="475">
        <f>Sandbox!BH111</f>
        <v>0</v>
      </c>
      <c r="X89" s="475">
        <f>Sandbox!BI111</f>
        <v>0</v>
      </c>
      <c r="Y89" s="37" t="s">
        <v>2293</v>
      </c>
      <c r="Z89" s="111" t="s">
        <v>817</v>
      </c>
      <c r="AG89" s="24"/>
      <c r="AH89" s="24"/>
    </row>
    <row r="90" spans="1:34" x14ac:dyDescent="0.25">
      <c r="A90" s="474" t="str">
        <f>IF(Sandbox!AX112="","",Sandbox!AX112)</f>
        <v/>
      </c>
      <c r="B90" s="39" t="str">
        <f>IF(Sandbox!$BH$104="",Sandbox!$AX$104,Sandbox!$BH$104)</f>
        <v>Custom Purview 5</v>
      </c>
      <c r="C90" s="470" t="str">
        <f>IF(Sandbox!AY112="","",Sandbox!AY112)</f>
        <v/>
      </c>
      <c r="D90" s="470" t="str">
        <f>Sandbox!AZ112</f>
        <v>None</v>
      </c>
      <c r="E90" s="37">
        <f t="shared" si="9"/>
        <v>0</v>
      </c>
      <c r="F90" s="470" t="str">
        <f>Sandbox!BA112</f>
        <v>None</v>
      </c>
      <c r="G90" s="37">
        <f t="shared" si="10"/>
        <v>0</v>
      </c>
      <c r="H90" s="37" t="str">
        <f>IF(Sandbox!BC112="No","None",Sandbox!$BH$4)</f>
        <v>None</v>
      </c>
      <c r="I90" s="37">
        <f t="shared" si="11"/>
        <v>0</v>
      </c>
      <c r="J90" s="37" t="str">
        <f>Sandbox!BD112</f>
        <v>No</v>
      </c>
      <c r="K90" s="37">
        <f t="shared" si="12"/>
        <v>0</v>
      </c>
      <c r="L90" s="37" t="str">
        <f>Sandbox!BB112</f>
        <v>None</v>
      </c>
      <c r="M90" s="37">
        <f t="shared" si="13"/>
        <v>0</v>
      </c>
      <c r="N90" s="470" t="str">
        <f>IF(Sandbox!BE112="Roll","Yes","No")</f>
        <v>No</v>
      </c>
      <c r="O90" s="470">
        <f t="shared" si="14"/>
        <v>0</v>
      </c>
      <c r="P90" s="37" t="str">
        <f t="shared" si="15"/>
        <v>None</v>
      </c>
      <c r="Q90" s="470" t="str">
        <f>Sandbox!BF112</f>
        <v>Yes</v>
      </c>
      <c r="R90" s="37">
        <f t="shared" si="16"/>
        <v>0</v>
      </c>
      <c r="S90" s="470" t="str">
        <f>IF(Sandbox!BE112="Add","Yes","No")</f>
        <v>No</v>
      </c>
      <c r="T90" s="470">
        <f t="shared" si="17"/>
        <v>0</v>
      </c>
      <c r="U90" s="470" t="str">
        <f>Sandbox!BG112</f>
        <v>Yes</v>
      </c>
      <c r="V90" s="111">
        <f>IF(OR(F90="none",G90="V"),0,VLOOKUP(F90,'Purchased Boons'!$AR$4:$AS$27,2,FALSE))</f>
        <v>0</v>
      </c>
      <c r="W90" s="475">
        <f>Sandbox!BH112</f>
        <v>0</v>
      </c>
      <c r="X90" s="475">
        <f>Sandbox!BI112</f>
        <v>0</v>
      </c>
      <c r="Y90" s="37" t="s">
        <v>2293</v>
      </c>
      <c r="Z90" s="111" t="s">
        <v>817</v>
      </c>
      <c r="AG90" s="24"/>
      <c r="AH90" s="24"/>
    </row>
    <row r="91" spans="1:34" x14ac:dyDescent="0.25">
      <c r="A91" s="474" t="str">
        <f>IF(Sandbox!AX113="","",Sandbox!AX113)</f>
        <v/>
      </c>
      <c r="B91" s="39" t="str">
        <f>IF(Sandbox!$BH$104="",Sandbox!$AX$104,Sandbox!$BH$104)</f>
        <v>Custom Purview 5</v>
      </c>
      <c r="C91" s="470" t="str">
        <f>IF(Sandbox!AY113="","",Sandbox!AY113)</f>
        <v/>
      </c>
      <c r="D91" s="470" t="str">
        <f>Sandbox!AZ113</f>
        <v>None</v>
      </c>
      <c r="E91" s="37">
        <f t="shared" si="9"/>
        <v>0</v>
      </c>
      <c r="F91" s="470" t="str">
        <f>Sandbox!BA113</f>
        <v>None</v>
      </c>
      <c r="G91" s="37">
        <f t="shared" si="10"/>
        <v>0</v>
      </c>
      <c r="H91" s="37" t="str">
        <f>IF(Sandbox!BC113="No","None",Sandbox!$BH$4)</f>
        <v>None</v>
      </c>
      <c r="I91" s="37">
        <f t="shared" si="11"/>
        <v>0</v>
      </c>
      <c r="J91" s="37" t="str">
        <f>Sandbox!BD113</f>
        <v>No</v>
      </c>
      <c r="K91" s="37">
        <f t="shared" si="12"/>
        <v>0</v>
      </c>
      <c r="L91" s="37" t="str">
        <f>Sandbox!BB113</f>
        <v>None</v>
      </c>
      <c r="M91" s="37">
        <f t="shared" si="13"/>
        <v>0</v>
      </c>
      <c r="N91" s="470" t="str">
        <f>IF(Sandbox!BE113="Roll","Yes","No")</f>
        <v>No</v>
      </c>
      <c r="O91" s="470">
        <f t="shared" si="14"/>
        <v>0</v>
      </c>
      <c r="P91" s="37" t="str">
        <f t="shared" si="15"/>
        <v>None</v>
      </c>
      <c r="Q91" s="470" t="str">
        <f>Sandbox!BF113</f>
        <v>Yes</v>
      </c>
      <c r="R91" s="37">
        <f t="shared" si="16"/>
        <v>0</v>
      </c>
      <c r="S91" s="470" t="str">
        <f>IF(Sandbox!BE113="Add","Yes","No")</f>
        <v>No</v>
      </c>
      <c r="T91" s="470">
        <f t="shared" si="17"/>
        <v>0</v>
      </c>
      <c r="U91" s="470" t="str">
        <f>Sandbox!BG113</f>
        <v>Yes</v>
      </c>
      <c r="V91" s="111">
        <f>IF(OR(F91="none",G91="V"),0,VLOOKUP(F91,'Purchased Boons'!$AR$4:$AS$27,2,FALSE))</f>
        <v>0</v>
      </c>
      <c r="W91" s="475">
        <f>Sandbox!BH113</f>
        <v>0</v>
      </c>
      <c r="X91" s="475">
        <f>Sandbox!BI113</f>
        <v>0</v>
      </c>
      <c r="Y91" s="37" t="s">
        <v>2293</v>
      </c>
      <c r="Z91" s="111" t="s">
        <v>817</v>
      </c>
      <c r="AG91" s="24"/>
      <c r="AH91" s="24"/>
    </row>
    <row r="92" spans="1:34" x14ac:dyDescent="0.25">
      <c r="A92" s="474" t="str">
        <f>IF(Sandbox!AX114="","",Sandbox!AX114)</f>
        <v/>
      </c>
      <c r="B92" s="39" t="str">
        <f>IF(Sandbox!$BH$104="",Sandbox!$AX$104,Sandbox!$BH$104)</f>
        <v>Custom Purview 5</v>
      </c>
      <c r="C92" s="470" t="str">
        <f>IF(Sandbox!AY114="","",Sandbox!AY114)</f>
        <v/>
      </c>
      <c r="D92" s="470" t="str">
        <f>Sandbox!AZ114</f>
        <v>None</v>
      </c>
      <c r="E92" s="37">
        <f t="shared" si="9"/>
        <v>0</v>
      </c>
      <c r="F92" s="470" t="str">
        <f>Sandbox!BA114</f>
        <v>None</v>
      </c>
      <c r="G92" s="37">
        <f t="shared" si="10"/>
        <v>0</v>
      </c>
      <c r="H92" s="37" t="str">
        <f>IF(Sandbox!BC114="No","None",Sandbox!$BH$4)</f>
        <v>None</v>
      </c>
      <c r="I92" s="37">
        <f t="shared" si="11"/>
        <v>0</v>
      </c>
      <c r="J92" s="37" t="str">
        <f>Sandbox!BD114</f>
        <v>No</v>
      </c>
      <c r="K92" s="37">
        <f t="shared" si="12"/>
        <v>0</v>
      </c>
      <c r="L92" s="37" t="str">
        <f>Sandbox!BB114</f>
        <v>None</v>
      </c>
      <c r="M92" s="37">
        <f t="shared" si="13"/>
        <v>0</v>
      </c>
      <c r="N92" s="470" t="str">
        <f>IF(Sandbox!BE114="Roll","Yes","No")</f>
        <v>No</v>
      </c>
      <c r="O92" s="470">
        <f t="shared" si="14"/>
        <v>0</v>
      </c>
      <c r="P92" s="37" t="str">
        <f t="shared" si="15"/>
        <v>None</v>
      </c>
      <c r="Q92" s="470" t="str">
        <f>Sandbox!BF114</f>
        <v>Yes</v>
      </c>
      <c r="R92" s="37">
        <f t="shared" si="16"/>
        <v>0</v>
      </c>
      <c r="S92" s="470" t="str">
        <f>IF(Sandbox!BE114="Add","Yes","No")</f>
        <v>No</v>
      </c>
      <c r="T92" s="470">
        <f t="shared" si="17"/>
        <v>0</v>
      </c>
      <c r="U92" s="470" t="str">
        <f>Sandbox!BG114</f>
        <v>Yes</v>
      </c>
      <c r="V92" s="111">
        <f>IF(OR(F92="none",G92="V"),0,VLOOKUP(F92,'Purchased Boons'!$AR$4:$AS$27,2,FALSE))</f>
        <v>0</v>
      </c>
      <c r="W92" s="475">
        <f>Sandbox!BH114</f>
        <v>0</v>
      </c>
      <c r="X92" s="475">
        <f>Sandbox!BI114</f>
        <v>0</v>
      </c>
      <c r="Y92" s="37" t="s">
        <v>2293</v>
      </c>
      <c r="Z92" s="111" t="s">
        <v>817</v>
      </c>
      <c r="AG92" s="24"/>
      <c r="AH92" s="24"/>
    </row>
    <row r="93" spans="1:34" x14ac:dyDescent="0.25">
      <c r="A93" s="474" t="str">
        <f>IF(Sandbox!AX115="","",Sandbox!AX115)</f>
        <v/>
      </c>
      <c r="B93" s="39" t="str">
        <f>IF(Sandbox!$BH$104="",Sandbox!$AX$104,Sandbox!$BH$104)</f>
        <v>Custom Purview 5</v>
      </c>
      <c r="C93" s="470" t="str">
        <f>IF(Sandbox!AY115="","",Sandbox!AY115)</f>
        <v/>
      </c>
      <c r="D93" s="470" t="str">
        <f>Sandbox!AZ115</f>
        <v>None</v>
      </c>
      <c r="E93" s="37">
        <f t="shared" si="9"/>
        <v>0</v>
      </c>
      <c r="F93" s="470" t="str">
        <f>Sandbox!BA115</f>
        <v>None</v>
      </c>
      <c r="G93" s="37">
        <f t="shared" si="10"/>
        <v>0</v>
      </c>
      <c r="H93" s="37" t="str">
        <f>IF(Sandbox!BC115="No","None",Sandbox!$BH$4)</f>
        <v>None</v>
      </c>
      <c r="I93" s="37">
        <f t="shared" si="11"/>
        <v>0</v>
      </c>
      <c r="J93" s="37" t="str">
        <f>Sandbox!BD115</f>
        <v>No</v>
      </c>
      <c r="K93" s="37">
        <f t="shared" si="12"/>
        <v>0</v>
      </c>
      <c r="L93" s="37" t="str">
        <f>Sandbox!BB115</f>
        <v>None</v>
      </c>
      <c r="M93" s="37">
        <f t="shared" si="13"/>
        <v>0</v>
      </c>
      <c r="N93" s="470" t="str">
        <f>IF(Sandbox!BE115="Roll","Yes","No")</f>
        <v>No</v>
      </c>
      <c r="O93" s="470">
        <f t="shared" si="14"/>
        <v>0</v>
      </c>
      <c r="P93" s="37" t="str">
        <f t="shared" si="15"/>
        <v>None</v>
      </c>
      <c r="Q93" s="470" t="str">
        <f>Sandbox!BF115</f>
        <v>Yes</v>
      </c>
      <c r="R93" s="37">
        <f t="shared" si="16"/>
        <v>0</v>
      </c>
      <c r="S93" s="470" t="str">
        <f>IF(Sandbox!BE115="Add","Yes","No")</f>
        <v>No</v>
      </c>
      <c r="T93" s="470">
        <f t="shared" si="17"/>
        <v>0</v>
      </c>
      <c r="U93" s="470" t="str">
        <f>Sandbox!BG115</f>
        <v>Yes</v>
      </c>
      <c r="V93" s="111">
        <f>IF(OR(F93="none",G93="V"),0,VLOOKUP(F93,'Purchased Boons'!$AR$4:$AS$27,2,FALSE))</f>
        <v>0</v>
      </c>
      <c r="W93" s="475">
        <f>Sandbox!BH115</f>
        <v>0</v>
      </c>
      <c r="X93" s="475">
        <f>Sandbox!BI115</f>
        <v>0</v>
      </c>
      <c r="Y93" s="37" t="s">
        <v>2293</v>
      </c>
      <c r="Z93" s="111" t="s">
        <v>817</v>
      </c>
      <c r="AG93" s="24"/>
      <c r="AH93" s="24"/>
    </row>
    <row r="94" spans="1:34" x14ac:dyDescent="0.25">
      <c r="A94" s="474" t="str">
        <f>IF(Sandbox!AX116="","",Sandbox!AX116)</f>
        <v/>
      </c>
      <c r="B94" s="39" t="str">
        <f>IF(Sandbox!$BH$104="",Sandbox!$AX$104,Sandbox!$BH$104)</f>
        <v>Custom Purview 5</v>
      </c>
      <c r="C94" s="470" t="str">
        <f>IF(Sandbox!AY116="","",Sandbox!AY116)</f>
        <v/>
      </c>
      <c r="D94" s="470" t="str">
        <f>Sandbox!AZ116</f>
        <v>None</v>
      </c>
      <c r="E94" s="37">
        <f t="shared" si="9"/>
        <v>0</v>
      </c>
      <c r="F94" s="470" t="str">
        <f>Sandbox!BA116</f>
        <v>None</v>
      </c>
      <c r="G94" s="37">
        <f t="shared" si="10"/>
        <v>0</v>
      </c>
      <c r="H94" s="37" t="str">
        <f>IF(Sandbox!BC116="No","None",Sandbox!$BH$4)</f>
        <v>None</v>
      </c>
      <c r="I94" s="37">
        <f t="shared" si="11"/>
        <v>0</v>
      </c>
      <c r="J94" s="37" t="str">
        <f>Sandbox!BD116</f>
        <v>No</v>
      </c>
      <c r="K94" s="37">
        <f t="shared" si="12"/>
        <v>0</v>
      </c>
      <c r="L94" s="37" t="str">
        <f>Sandbox!BB116</f>
        <v>None</v>
      </c>
      <c r="M94" s="37">
        <f t="shared" si="13"/>
        <v>0</v>
      </c>
      <c r="N94" s="470" t="str">
        <f>IF(Sandbox!BE116="Roll","Yes","No")</f>
        <v>No</v>
      </c>
      <c r="O94" s="470">
        <f t="shared" si="14"/>
        <v>0</v>
      </c>
      <c r="P94" s="37" t="str">
        <f t="shared" si="15"/>
        <v>None</v>
      </c>
      <c r="Q94" s="470" t="str">
        <f>Sandbox!BF116</f>
        <v>Yes</v>
      </c>
      <c r="R94" s="37">
        <f t="shared" si="16"/>
        <v>0</v>
      </c>
      <c r="S94" s="470" t="str">
        <f>IF(Sandbox!BE116="Add","Yes","No")</f>
        <v>No</v>
      </c>
      <c r="T94" s="470">
        <f t="shared" si="17"/>
        <v>0</v>
      </c>
      <c r="U94" s="470" t="str">
        <f>Sandbox!BG116</f>
        <v>Yes</v>
      </c>
      <c r="V94" s="111">
        <f>IF(OR(F94="none",G94="V"),0,VLOOKUP(F94,'Purchased Boons'!$AR$4:$AS$27,2,FALSE))</f>
        <v>0</v>
      </c>
      <c r="W94" s="475">
        <f>Sandbox!BH116</f>
        <v>0</v>
      </c>
      <c r="X94" s="475">
        <f>Sandbox!BI116</f>
        <v>0</v>
      </c>
      <c r="Y94" s="37" t="s">
        <v>2293</v>
      </c>
      <c r="Z94" s="111" t="s">
        <v>817</v>
      </c>
      <c r="AG94" s="24"/>
      <c r="AH94" s="24"/>
    </row>
    <row r="95" spans="1:34" x14ac:dyDescent="0.25">
      <c r="A95" s="474" t="str">
        <f>IF(Sandbox!AX117="","",Sandbox!AX117)</f>
        <v/>
      </c>
      <c r="B95" s="39" t="str">
        <f>IF(Sandbox!$BH$104="",Sandbox!$AX$104,Sandbox!$BH$104)</f>
        <v>Custom Purview 5</v>
      </c>
      <c r="C95" s="470" t="str">
        <f>IF(Sandbox!AY117="","",Sandbox!AY117)</f>
        <v/>
      </c>
      <c r="D95" s="470" t="str">
        <f>Sandbox!AZ117</f>
        <v>None</v>
      </c>
      <c r="E95" s="37">
        <f t="shared" si="9"/>
        <v>0</v>
      </c>
      <c r="F95" s="470" t="str">
        <f>Sandbox!BA117</f>
        <v>None</v>
      </c>
      <c r="G95" s="37">
        <f t="shared" si="10"/>
        <v>0</v>
      </c>
      <c r="H95" s="37" t="str">
        <f>IF(Sandbox!BC117="No","None",Sandbox!$BH$4)</f>
        <v>None</v>
      </c>
      <c r="I95" s="37">
        <f t="shared" si="11"/>
        <v>0</v>
      </c>
      <c r="J95" s="37" t="str">
        <f>Sandbox!BD117</f>
        <v>No</v>
      </c>
      <c r="K95" s="37">
        <f t="shared" si="12"/>
        <v>0</v>
      </c>
      <c r="L95" s="37" t="str">
        <f>Sandbox!BB117</f>
        <v>None</v>
      </c>
      <c r="M95" s="37">
        <f t="shared" si="13"/>
        <v>0</v>
      </c>
      <c r="N95" s="470" t="str">
        <f>IF(Sandbox!BE117="Roll","Yes","No")</f>
        <v>No</v>
      </c>
      <c r="O95" s="470">
        <f t="shared" si="14"/>
        <v>0</v>
      </c>
      <c r="P95" s="37" t="str">
        <f t="shared" si="15"/>
        <v>None</v>
      </c>
      <c r="Q95" s="470" t="str">
        <f>Sandbox!BF117</f>
        <v>Yes</v>
      </c>
      <c r="R95" s="37">
        <f t="shared" si="16"/>
        <v>0</v>
      </c>
      <c r="S95" s="470" t="str">
        <f>IF(Sandbox!BE117="Add","Yes","No")</f>
        <v>No</v>
      </c>
      <c r="T95" s="470">
        <f t="shared" si="17"/>
        <v>0</v>
      </c>
      <c r="U95" s="470" t="str">
        <f>Sandbox!BG117</f>
        <v>Yes</v>
      </c>
      <c r="V95" s="111">
        <f>IF(OR(F95="none",G95="V"),0,VLOOKUP(F95,'Purchased Boons'!$AR$4:$AS$27,2,FALSE))</f>
        <v>0</v>
      </c>
      <c r="W95" s="475">
        <f>Sandbox!BH117</f>
        <v>0</v>
      </c>
      <c r="X95" s="475">
        <f>Sandbox!BI117</f>
        <v>0</v>
      </c>
      <c r="Y95" s="37" t="s">
        <v>2293</v>
      </c>
      <c r="Z95" s="111" t="s">
        <v>817</v>
      </c>
      <c r="AG95" s="24"/>
      <c r="AH95" s="24"/>
    </row>
    <row r="96" spans="1:34" x14ac:dyDescent="0.25">
      <c r="A96" s="474" t="str">
        <f>IF(Sandbox!AX118="","",Sandbox!AX118)</f>
        <v/>
      </c>
      <c r="B96" s="39" t="str">
        <f>IF(Sandbox!$BH$104="",Sandbox!$AX$104,Sandbox!$BH$104)</f>
        <v>Custom Purview 5</v>
      </c>
      <c r="C96" s="470" t="str">
        <f>IF(Sandbox!AY118="","",Sandbox!AY118)</f>
        <v/>
      </c>
      <c r="D96" s="470" t="str">
        <f>Sandbox!AZ118</f>
        <v>None</v>
      </c>
      <c r="E96" s="37">
        <f t="shared" si="9"/>
        <v>0</v>
      </c>
      <c r="F96" s="470" t="str">
        <f>Sandbox!BA118</f>
        <v>None</v>
      </c>
      <c r="G96" s="37">
        <f t="shared" si="10"/>
        <v>0</v>
      </c>
      <c r="H96" s="37" t="str">
        <f>IF(Sandbox!BC118="No","None",Sandbox!$BH$4)</f>
        <v>None</v>
      </c>
      <c r="I96" s="37">
        <f t="shared" si="11"/>
        <v>0</v>
      </c>
      <c r="J96" s="37" t="str">
        <f>Sandbox!BD118</f>
        <v>No</v>
      </c>
      <c r="K96" s="37">
        <f t="shared" si="12"/>
        <v>0</v>
      </c>
      <c r="L96" s="37" t="str">
        <f>Sandbox!BB118</f>
        <v>None</v>
      </c>
      <c r="M96" s="37">
        <f t="shared" si="13"/>
        <v>0</v>
      </c>
      <c r="N96" s="470" t="str">
        <f>IF(Sandbox!BE118="Roll","Yes","No")</f>
        <v>No</v>
      </c>
      <c r="O96" s="470">
        <f t="shared" si="14"/>
        <v>0</v>
      </c>
      <c r="P96" s="37" t="str">
        <f t="shared" si="15"/>
        <v>None</v>
      </c>
      <c r="Q96" s="470" t="str">
        <f>Sandbox!BF118</f>
        <v>Yes</v>
      </c>
      <c r="R96" s="37">
        <f t="shared" si="16"/>
        <v>0</v>
      </c>
      <c r="S96" s="470" t="str">
        <f>IF(Sandbox!BE118="Add","Yes","No")</f>
        <v>No</v>
      </c>
      <c r="T96" s="470">
        <f t="shared" si="17"/>
        <v>0</v>
      </c>
      <c r="U96" s="470" t="str">
        <f>Sandbox!BG118</f>
        <v>Yes</v>
      </c>
      <c r="V96" s="111">
        <f>IF(OR(F96="none",G96="V"),0,VLOOKUP(F96,'Purchased Boons'!$AR$4:$AS$27,2,FALSE))</f>
        <v>0</v>
      </c>
      <c r="W96" s="475">
        <f>Sandbox!BH118</f>
        <v>0</v>
      </c>
      <c r="X96" s="475">
        <f>Sandbox!BI118</f>
        <v>0</v>
      </c>
      <c r="Y96" s="37" t="s">
        <v>2293</v>
      </c>
      <c r="Z96" s="111" t="s">
        <v>817</v>
      </c>
      <c r="AG96" s="24"/>
      <c r="AH96" s="24"/>
    </row>
    <row r="97" spans="1:34" x14ac:dyDescent="0.25">
      <c r="A97" s="474" t="str">
        <f>IF(Sandbox!AX119="","",Sandbox!AX119)</f>
        <v/>
      </c>
      <c r="B97" s="39" t="str">
        <f>IF(Sandbox!$BH$104="",Sandbox!$AX$104,Sandbox!$BH$104)</f>
        <v>Custom Purview 5</v>
      </c>
      <c r="C97" s="470" t="str">
        <f>IF(Sandbox!AY119="","",Sandbox!AY119)</f>
        <v/>
      </c>
      <c r="D97" s="470" t="str">
        <f>Sandbox!AZ119</f>
        <v>None</v>
      </c>
      <c r="E97" s="37">
        <f t="shared" si="9"/>
        <v>0</v>
      </c>
      <c r="F97" s="470" t="str">
        <f>Sandbox!BA119</f>
        <v>None</v>
      </c>
      <c r="G97" s="37">
        <f t="shared" si="10"/>
        <v>0</v>
      </c>
      <c r="H97" s="37" t="str">
        <f>IF(Sandbox!BC119="No","None",Sandbox!$BH$4)</f>
        <v>None</v>
      </c>
      <c r="I97" s="37">
        <f t="shared" si="11"/>
        <v>0</v>
      </c>
      <c r="J97" s="37" t="str">
        <f>Sandbox!BD119</f>
        <v>No</v>
      </c>
      <c r="K97" s="37">
        <f t="shared" si="12"/>
        <v>0</v>
      </c>
      <c r="L97" s="37" t="str">
        <f>Sandbox!BB119</f>
        <v>None</v>
      </c>
      <c r="M97" s="37">
        <f t="shared" si="13"/>
        <v>0</v>
      </c>
      <c r="N97" s="470" t="str">
        <f>IF(Sandbox!BE119="Roll","Yes","No")</f>
        <v>No</v>
      </c>
      <c r="O97" s="470">
        <f t="shared" si="14"/>
        <v>0</v>
      </c>
      <c r="P97" s="37" t="str">
        <f t="shared" si="15"/>
        <v>None</v>
      </c>
      <c r="Q97" s="470" t="str">
        <f>Sandbox!BF119</f>
        <v>Yes</v>
      </c>
      <c r="R97" s="37">
        <f t="shared" si="16"/>
        <v>0</v>
      </c>
      <c r="S97" s="470" t="str">
        <f>IF(Sandbox!BE119="Add","Yes","No")</f>
        <v>No</v>
      </c>
      <c r="T97" s="470">
        <f t="shared" si="17"/>
        <v>0</v>
      </c>
      <c r="U97" s="470" t="str">
        <f>Sandbox!BG119</f>
        <v>Yes</v>
      </c>
      <c r="V97" s="111">
        <f>IF(OR(F97="none",G97="V"),0,VLOOKUP(F97,'Purchased Boons'!$AR$4:$AS$27,2,FALSE))</f>
        <v>0</v>
      </c>
      <c r="W97" s="475">
        <f>Sandbox!BH119</f>
        <v>0</v>
      </c>
      <c r="X97" s="475">
        <f>Sandbox!BI119</f>
        <v>0</v>
      </c>
      <c r="Y97" s="37" t="s">
        <v>2293</v>
      </c>
      <c r="Z97" s="111" t="s">
        <v>817</v>
      </c>
      <c r="AG97" s="24"/>
      <c r="AH97" s="24"/>
    </row>
    <row r="98" spans="1:34" x14ac:dyDescent="0.25">
      <c r="A98" s="474" t="str">
        <f>IF(Sandbox!AX120="","",Sandbox!AX120)</f>
        <v/>
      </c>
      <c r="B98" s="39" t="str">
        <f>IF(Sandbox!$BH$104="",Sandbox!$AX$104,Sandbox!$BH$104)</f>
        <v>Custom Purview 5</v>
      </c>
      <c r="C98" s="470" t="str">
        <f>IF(Sandbox!AY120="","",Sandbox!AY120)</f>
        <v/>
      </c>
      <c r="D98" s="470" t="str">
        <f>Sandbox!AZ120</f>
        <v>None</v>
      </c>
      <c r="E98" s="37">
        <f t="shared" si="9"/>
        <v>0</v>
      </c>
      <c r="F98" s="470" t="str">
        <f>Sandbox!BA120</f>
        <v>None</v>
      </c>
      <c r="G98" s="37">
        <f t="shared" si="10"/>
        <v>0</v>
      </c>
      <c r="H98" s="37" t="str">
        <f>IF(Sandbox!BC120="No","None",Sandbox!$BH$4)</f>
        <v>None</v>
      </c>
      <c r="I98" s="37">
        <f t="shared" si="11"/>
        <v>0</v>
      </c>
      <c r="J98" s="37" t="str">
        <f>Sandbox!BD120</f>
        <v>No</v>
      </c>
      <c r="K98" s="37">
        <f t="shared" si="12"/>
        <v>0</v>
      </c>
      <c r="L98" s="37" t="str">
        <f>Sandbox!BB120</f>
        <v>None</v>
      </c>
      <c r="M98" s="37">
        <f t="shared" si="13"/>
        <v>0</v>
      </c>
      <c r="N98" s="470" t="str">
        <f>IF(Sandbox!BE120="Roll","Yes","No")</f>
        <v>No</v>
      </c>
      <c r="O98" s="470">
        <f t="shared" si="14"/>
        <v>0</v>
      </c>
      <c r="P98" s="37" t="str">
        <f t="shared" si="15"/>
        <v>None</v>
      </c>
      <c r="Q98" s="470" t="str">
        <f>Sandbox!BF120</f>
        <v>Yes</v>
      </c>
      <c r="R98" s="37">
        <f t="shared" si="16"/>
        <v>0</v>
      </c>
      <c r="S98" s="470" t="str">
        <f>IF(Sandbox!BE120="Add","Yes","No")</f>
        <v>No</v>
      </c>
      <c r="T98" s="470">
        <f t="shared" si="17"/>
        <v>0</v>
      </c>
      <c r="U98" s="470" t="str">
        <f>Sandbox!BG120</f>
        <v>Yes</v>
      </c>
      <c r="V98" s="111">
        <f>IF(OR(F98="none",G98="V"),0,VLOOKUP(F98,'Purchased Boons'!$AR$4:$AS$27,2,FALSE))</f>
        <v>0</v>
      </c>
      <c r="W98" s="475">
        <f>Sandbox!BH120</f>
        <v>0</v>
      </c>
      <c r="X98" s="475">
        <f>Sandbox!BI120</f>
        <v>0</v>
      </c>
      <c r="Y98" s="37" t="s">
        <v>2293</v>
      </c>
      <c r="Z98" s="111" t="s">
        <v>817</v>
      </c>
      <c r="AG98" s="24"/>
      <c r="AH98" s="24"/>
    </row>
    <row r="99" spans="1:34" x14ac:dyDescent="0.25">
      <c r="A99" s="474" t="str">
        <f>IF(Sandbox!AX121="","",Sandbox!AX121)</f>
        <v/>
      </c>
      <c r="B99" s="39" t="str">
        <f>IF(Sandbox!$BH$104="",Sandbox!$AX$104,Sandbox!$BH$104)</f>
        <v>Custom Purview 5</v>
      </c>
      <c r="C99" s="470" t="str">
        <f>IF(Sandbox!AY121="","",Sandbox!AY121)</f>
        <v/>
      </c>
      <c r="D99" s="470" t="str">
        <f>Sandbox!AZ121</f>
        <v>None</v>
      </c>
      <c r="E99" s="37">
        <f t="shared" si="9"/>
        <v>0</v>
      </c>
      <c r="F99" s="470" t="str">
        <f>Sandbox!BA121</f>
        <v>None</v>
      </c>
      <c r="G99" s="37">
        <f t="shared" si="10"/>
        <v>0</v>
      </c>
      <c r="H99" s="37" t="str">
        <f>IF(Sandbox!BC121="No","None",Sandbox!$BH$4)</f>
        <v>None</v>
      </c>
      <c r="I99" s="37">
        <f t="shared" si="11"/>
        <v>0</v>
      </c>
      <c r="J99" s="37" t="str">
        <f>Sandbox!BD121</f>
        <v>No</v>
      </c>
      <c r="K99" s="37">
        <f t="shared" si="12"/>
        <v>0</v>
      </c>
      <c r="L99" s="37" t="str">
        <f>Sandbox!BB121</f>
        <v>None</v>
      </c>
      <c r="M99" s="37">
        <f t="shared" si="13"/>
        <v>0</v>
      </c>
      <c r="N99" s="470" t="str">
        <f>IF(Sandbox!BE121="Roll","Yes","No")</f>
        <v>No</v>
      </c>
      <c r="O99" s="470">
        <f t="shared" si="14"/>
        <v>0</v>
      </c>
      <c r="P99" s="37" t="str">
        <f t="shared" si="15"/>
        <v>None</v>
      </c>
      <c r="Q99" s="470" t="str">
        <f>Sandbox!BF121</f>
        <v>Yes</v>
      </c>
      <c r="R99" s="37">
        <f t="shared" si="16"/>
        <v>0</v>
      </c>
      <c r="S99" s="470" t="str">
        <f>IF(Sandbox!BE121="Add","Yes","No")</f>
        <v>No</v>
      </c>
      <c r="T99" s="470">
        <f t="shared" si="17"/>
        <v>0</v>
      </c>
      <c r="U99" s="470" t="str">
        <f>Sandbox!BG121</f>
        <v>Yes</v>
      </c>
      <c r="V99" s="111">
        <f>IF(OR(F99="none",G99="V"),0,VLOOKUP(F99,'Purchased Boons'!$AR$4:$AS$27,2,FALSE))</f>
        <v>0</v>
      </c>
      <c r="W99" s="475">
        <f>Sandbox!BH121</f>
        <v>0</v>
      </c>
      <c r="X99" s="475">
        <f>Sandbox!BI121</f>
        <v>0</v>
      </c>
      <c r="Y99" s="37" t="s">
        <v>2293</v>
      </c>
      <c r="Z99" s="111" t="s">
        <v>817</v>
      </c>
      <c r="AG99" s="24"/>
      <c r="AH99" s="24"/>
    </row>
    <row r="100" spans="1:34" x14ac:dyDescent="0.25">
      <c r="A100" s="474" t="str">
        <f>IF(Sandbox!AX122="","",Sandbox!AX122)</f>
        <v/>
      </c>
      <c r="B100" s="39" t="str">
        <f>IF(Sandbox!$BH$104="",Sandbox!$AX$104,Sandbox!$BH$104)</f>
        <v>Custom Purview 5</v>
      </c>
      <c r="C100" s="470" t="str">
        <f>IF(Sandbox!AY122="","",Sandbox!AY122)</f>
        <v/>
      </c>
      <c r="D100" s="470" t="str">
        <f>Sandbox!AZ122</f>
        <v>None</v>
      </c>
      <c r="E100" s="37">
        <f t="shared" si="9"/>
        <v>0</v>
      </c>
      <c r="F100" s="470" t="str">
        <f>Sandbox!BA122</f>
        <v>None</v>
      </c>
      <c r="G100" s="37">
        <f t="shared" si="10"/>
        <v>0</v>
      </c>
      <c r="H100" s="37" t="str">
        <f>IF(Sandbox!BC122="No","None",Sandbox!$BH$4)</f>
        <v>None</v>
      </c>
      <c r="I100" s="37">
        <f t="shared" si="11"/>
        <v>0</v>
      </c>
      <c r="J100" s="37" t="str">
        <f>Sandbox!BD122</f>
        <v>No</v>
      </c>
      <c r="K100" s="37">
        <f t="shared" si="12"/>
        <v>0</v>
      </c>
      <c r="L100" s="37" t="str">
        <f>Sandbox!BB122</f>
        <v>None</v>
      </c>
      <c r="M100" s="37">
        <f t="shared" si="13"/>
        <v>0</v>
      </c>
      <c r="N100" s="470" t="str">
        <f>IF(Sandbox!BE122="Roll","Yes","No")</f>
        <v>No</v>
      </c>
      <c r="O100" s="470">
        <f t="shared" si="14"/>
        <v>0</v>
      </c>
      <c r="P100" s="37" t="str">
        <f t="shared" si="15"/>
        <v>None</v>
      </c>
      <c r="Q100" s="470" t="str">
        <f>Sandbox!BF122</f>
        <v>Yes</v>
      </c>
      <c r="R100" s="37">
        <f t="shared" si="16"/>
        <v>0</v>
      </c>
      <c r="S100" s="470" t="str">
        <f>IF(Sandbox!BE122="Add","Yes","No")</f>
        <v>No</v>
      </c>
      <c r="T100" s="470">
        <f t="shared" si="17"/>
        <v>0</v>
      </c>
      <c r="U100" s="470" t="str">
        <f>Sandbox!BG122</f>
        <v>Yes</v>
      </c>
      <c r="V100" s="111">
        <f>IF(OR(F100="none",G100="V"),0,VLOOKUP(F100,'Purchased Boons'!$AR$4:$AS$27,2,FALSE))</f>
        <v>0</v>
      </c>
      <c r="W100" s="475">
        <f>Sandbox!BH122</f>
        <v>0</v>
      </c>
      <c r="X100" s="475">
        <f>Sandbox!BI122</f>
        <v>0</v>
      </c>
      <c r="Y100" s="37" t="s">
        <v>2293</v>
      </c>
      <c r="Z100" s="111" t="s">
        <v>817</v>
      </c>
      <c r="AG100" s="24"/>
      <c r="AH100" s="24"/>
    </row>
    <row r="101" spans="1:34" x14ac:dyDescent="0.25">
      <c r="A101" s="474" t="str">
        <f>IF(Sandbox!AX123="","",Sandbox!AX123)</f>
        <v/>
      </c>
      <c r="B101" s="39" t="str">
        <f>IF(Sandbox!$BH$104="",Sandbox!$AX$104,Sandbox!$BH$104)</f>
        <v>Custom Purview 5</v>
      </c>
      <c r="C101" s="470" t="str">
        <f>IF(Sandbox!AY123="","",Sandbox!AY123)</f>
        <v/>
      </c>
      <c r="D101" s="470" t="str">
        <f>Sandbox!AZ123</f>
        <v>None</v>
      </c>
      <c r="E101" s="37">
        <f t="shared" si="9"/>
        <v>0</v>
      </c>
      <c r="F101" s="470" t="str">
        <f>Sandbox!BA123</f>
        <v>None</v>
      </c>
      <c r="G101" s="37">
        <f t="shared" si="10"/>
        <v>0</v>
      </c>
      <c r="H101" s="37" t="str">
        <f>IF(Sandbox!BC123="No","None",Sandbox!$BH$4)</f>
        <v>None</v>
      </c>
      <c r="I101" s="37">
        <f t="shared" si="11"/>
        <v>0</v>
      </c>
      <c r="J101" s="37" t="str">
        <f>Sandbox!BD123</f>
        <v>No</v>
      </c>
      <c r="K101" s="37">
        <f t="shared" si="12"/>
        <v>0</v>
      </c>
      <c r="L101" s="37" t="str">
        <f>Sandbox!BB123</f>
        <v>None</v>
      </c>
      <c r="M101" s="37">
        <f t="shared" si="13"/>
        <v>0</v>
      </c>
      <c r="N101" s="470" t="str">
        <f>IF(Sandbox!BE123="Roll","Yes","No")</f>
        <v>No</v>
      </c>
      <c r="O101" s="470">
        <f t="shared" si="14"/>
        <v>0</v>
      </c>
      <c r="P101" s="37" t="str">
        <f t="shared" si="15"/>
        <v>None</v>
      </c>
      <c r="Q101" s="470" t="str">
        <f>Sandbox!BF123</f>
        <v>Yes</v>
      </c>
      <c r="R101" s="37">
        <f t="shared" si="16"/>
        <v>0</v>
      </c>
      <c r="S101" s="470" t="str">
        <f>IF(Sandbox!BE123="Add","Yes","No")</f>
        <v>No</v>
      </c>
      <c r="T101" s="470">
        <f t="shared" si="17"/>
        <v>0</v>
      </c>
      <c r="U101" s="470" t="str">
        <f>Sandbox!BG123</f>
        <v>Yes</v>
      </c>
      <c r="V101" s="111">
        <f>IF(OR(F101="none",G101="V"),0,VLOOKUP(F101,'Purchased Boons'!$AR$4:$AS$27,2,FALSE))</f>
        <v>0</v>
      </c>
      <c r="W101" s="475">
        <f>Sandbox!BH123</f>
        <v>0</v>
      </c>
      <c r="X101" s="475">
        <f>Sandbox!BI123</f>
        <v>0</v>
      </c>
      <c r="Y101" s="37" t="s">
        <v>2293</v>
      </c>
      <c r="Z101" s="111" t="s">
        <v>817</v>
      </c>
      <c r="AG101" s="24"/>
      <c r="AH101" s="24"/>
    </row>
    <row r="102" spans="1:34" x14ac:dyDescent="0.25">
      <c r="A102" s="474" t="str">
        <f>IF(Sandbox!AX124="","",Sandbox!AX124)</f>
        <v/>
      </c>
      <c r="B102" s="39" t="str">
        <f>IF(Sandbox!$BH$104="",Sandbox!$AX$104,Sandbox!$BH$104)</f>
        <v>Custom Purview 5</v>
      </c>
      <c r="C102" s="470" t="str">
        <f>IF(Sandbox!AY124="","",Sandbox!AY124)</f>
        <v/>
      </c>
      <c r="D102" s="470" t="str">
        <f>Sandbox!AZ124</f>
        <v>None</v>
      </c>
      <c r="E102" s="37">
        <f t="shared" si="9"/>
        <v>0</v>
      </c>
      <c r="F102" s="470" t="str">
        <f>Sandbox!BA124</f>
        <v>None</v>
      </c>
      <c r="G102" s="37">
        <f t="shared" si="10"/>
        <v>0</v>
      </c>
      <c r="H102" s="37" t="str">
        <f>IF(Sandbox!BC124="No","None",Sandbox!$BH$4)</f>
        <v>None</v>
      </c>
      <c r="I102" s="37">
        <f t="shared" si="11"/>
        <v>0</v>
      </c>
      <c r="J102" s="37" t="str">
        <f>Sandbox!BD124</f>
        <v>No</v>
      </c>
      <c r="K102" s="37">
        <f t="shared" si="12"/>
        <v>0</v>
      </c>
      <c r="L102" s="37" t="str">
        <f>Sandbox!BB124</f>
        <v>None</v>
      </c>
      <c r="M102" s="37">
        <f t="shared" si="13"/>
        <v>0</v>
      </c>
      <c r="N102" s="470" t="str">
        <f>IF(Sandbox!BE124="Roll","Yes","No")</f>
        <v>No</v>
      </c>
      <c r="O102" s="470">
        <f t="shared" si="14"/>
        <v>0</v>
      </c>
      <c r="P102" s="37" t="str">
        <f t="shared" si="15"/>
        <v>None</v>
      </c>
      <c r="Q102" s="470" t="str">
        <f>Sandbox!BF124</f>
        <v>Yes</v>
      </c>
      <c r="R102" s="37">
        <f t="shared" si="16"/>
        <v>0</v>
      </c>
      <c r="S102" s="470" t="str">
        <f>IF(Sandbox!BE124="Add","Yes","No")</f>
        <v>No</v>
      </c>
      <c r="T102" s="470">
        <f t="shared" si="17"/>
        <v>0</v>
      </c>
      <c r="U102" s="470" t="str">
        <f>Sandbox!BG124</f>
        <v>Yes</v>
      </c>
      <c r="V102" s="111">
        <f>IF(OR(F102="none",G102="V"),0,VLOOKUP(F102,'Purchased Boons'!$AR$4:$AS$27,2,FALSE))</f>
        <v>0</v>
      </c>
      <c r="W102" s="475">
        <f>Sandbox!BH124</f>
        <v>0</v>
      </c>
      <c r="X102" s="475">
        <f>Sandbox!BI124</f>
        <v>0</v>
      </c>
      <c r="Y102" s="37" t="s">
        <v>2293</v>
      </c>
      <c r="Z102" s="111" t="s">
        <v>817</v>
      </c>
      <c r="AG102" s="24"/>
      <c r="AH102" s="24"/>
    </row>
    <row r="103" spans="1:34" x14ac:dyDescent="0.25">
      <c r="A103" s="474" t="str">
        <f>IF(Sandbox!AX125="","",Sandbox!AX125)</f>
        <v/>
      </c>
      <c r="B103" s="39" t="str">
        <f>IF(Sandbox!$BH$104="",Sandbox!$AX$104,Sandbox!$BH$104)</f>
        <v>Custom Purview 5</v>
      </c>
      <c r="C103" s="470" t="str">
        <f>IF(Sandbox!AY125="","",Sandbox!AY125)</f>
        <v/>
      </c>
      <c r="D103" s="470" t="str">
        <f>Sandbox!AZ125</f>
        <v>None</v>
      </c>
      <c r="E103" s="37">
        <f t="shared" si="9"/>
        <v>0</v>
      </c>
      <c r="F103" s="470" t="str">
        <f>Sandbox!BA125</f>
        <v>None</v>
      </c>
      <c r="G103" s="37">
        <f t="shared" si="10"/>
        <v>0</v>
      </c>
      <c r="H103" s="37" t="str">
        <f>IF(Sandbox!BC125="No","None",Sandbox!$BH$4)</f>
        <v>None</v>
      </c>
      <c r="I103" s="37">
        <f t="shared" si="11"/>
        <v>0</v>
      </c>
      <c r="J103" s="37" t="str">
        <f>Sandbox!BD125</f>
        <v>No</v>
      </c>
      <c r="K103" s="37">
        <f t="shared" si="12"/>
        <v>0</v>
      </c>
      <c r="L103" s="37" t="str">
        <f>Sandbox!BB125</f>
        <v>None</v>
      </c>
      <c r="M103" s="37">
        <f t="shared" si="13"/>
        <v>0</v>
      </c>
      <c r="N103" s="470" t="str">
        <f>IF(Sandbox!BE125="Roll","Yes","No")</f>
        <v>No</v>
      </c>
      <c r="O103" s="470">
        <f t="shared" si="14"/>
        <v>0</v>
      </c>
      <c r="P103" s="37" t="str">
        <f t="shared" si="15"/>
        <v>None</v>
      </c>
      <c r="Q103" s="470" t="str">
        <f>Sandbox!BF125</f>
        <v>Yes</v>
      </c>
      <c r="R103" s="37">
        <f t="shared" si="16"/>
        <v>0</v>
      </c>
      <c r="S103" s="470" t="str">
        <f>IF(Sandbox!BE125="Add","Yes","No")</f>
        <v>No</v>
      </c>
      <c r="T103" s="470">
        <f t="shared" si="17"/>
        <v>0</v>
      </c>
      <c r="U103" s="470" t="str">
        <f>Sandbox!BG125</f>
        <v>Yes</v>
      </c>
      <c r="V103" s="111">
        <f>IF(OR(F103="none",G103="V"),0,VLOOKUP(F103,'Purchased Boons'!$AR$4:$AS$27,2,FALSE))</f>
        <v>0</v>
      </c>
      <c r="W103" s="475">
        <f>Sandbox!BH125</f>
        <v>0</v>
      </c>
      <c r="X103" s="475">
        <f>Sandbox!BI125</f>
        <v>0</v>
      </c>
      <c r="Y103" s="37" t="s">
        <v>2293</v>
      </c>
      <c r="Z103" s="111" t="s">
        <v>817</v>
      </c>
      <c r="AG103" s="24"/>
      <c r="AH103" s="24"/>
    </row>
    <row r="104" spans="1:34" x14ac:dyDescent="0.25">
      <c r="A104" s="474" t="str">
        <f>IF(Sandbox!AX126="","",Sandbox!AX126)</f>
        <v/>
      </c>
      <c r="B104" s="39" t="str">
        <f>IF(Sandbox!$BH$104="",Sandbox!$AX$104,Sandbox!$BH$104)</f>
        <v>Custom Purview 5</v>
      </c>
      <c r="C104" s="470" t="str">
        <f>IF(Sandbox!AY126="","",Sandbox!AY126)</f>
        <v/>
      </c>
      <c r="D104" s="470" t="str">
        <f>Sandbox!AZ126</f>
        <v>None</v>
      </c>
      <c r="E104" s="37">
        <f t="shared" si="9"/>
        <v>0</v>
      </c>
      <c r="F104" s="470" t="str">
        <f>Sandbox!BA126</f>
        <v>None</v>
      </c>
      <c r="G104" s="37">
        <f t="shared" si="10"/>
        <v>0</v>
      </c>
      <c r="H104" s="37" t="str">
        <f>IF(Sandbox!BC126="No","None",Sandbox!$BH$4)</f>
        <v>None</v>
      </c>
      <c r="I104" s="37">
        <f t="shared" si="11"/>
        <v>0</v>
      </c>
      <c r="J104" s="37" t="str">
        <f>Sandbox!BD126</f>
        <v>No</v>
      </c>
      <c r="K104" s="37">
        <f t="shared" si="12"/>
        <v>0</v>
      </c>
      <c r="L104" s="37" t="str">
        <f>Sandbox!BB126</f>
        <v>None</v>
      </c>
      <c r="M104" s="37">
        <f t="shared" si="13"/>
        <v>0</v>
      </c>
      <c r="N104" s="470" t="str">
        <f>IF(Sandbox!BE126="Roll","Yes","No")</f>
        <v>No</v>
      </c>
      <c r="O104" s="470">
        <f t="shared" si="14"/>
        <v>0</v>
      </c>
      <c r="P104" s="37" t="str">
        <f t="shared" si="15"/>
        <v>None</v>
      </c>
      <c r="Q104" s="470" t="str">
        <f>Sandbox!BF126</f>
        <v>Yes</v>
      </c>
      <c r="R104" s="37">
        <f t="shared" si="16"/>
        <v>0</v>
      </c>
      <c r="S104" s="470" t="str">
        <f>IF(Sandbox!BE126="Add","Yes","No")</f>
        <v>No</v>
      </c>
      <c r="T104" s="470">
        <f t="shared" si="17"/>
        <v>0</v>
      </c>
      <c r="U104" s="470" t="str">
        <f>Sandbox!BG126</f>
        <v>Yes</v>
      </c>
      <c r="V104" s="111">
        <f>IF(OR(F104="none",G104="V"),0,VLOOKUP(F104,'Purchased Boons'!$AR$4:$AS$27,2,FALSE))</f>
        <v>0</v>
      </c>
      <c r="W104" s="475">
        <f>Sandbox!BH126</f>
        <v>0</v>
      </c>
      <c r="X104" s="475">
        <f>Sandbox!BI126</f>
        <v>0</v>
      </c>
      <c r="Y104" s="37" t="s">
        <v>2293</v>
      </c>
      <c r="Z104" s="111" t="s">
        <v>817</v>
      </c>
      <c r="AG104" s="24"/>
      <c r="AH104" s="24"/>
    </row>
    <row r="105" spans="1:34" x14ac:dyDescent="0.25">
      <c r="A105" s="474" t="str">
        <f>IF(Sandbox!AX127="","",Sandbox!AX127)</f>
        <v/>
      </c>
      <c r="B105" s="39" t="str">
        <f>IF(Sandbox!$BH$104="",Sandbox!$AX$104,Sandbox!$BH$104)</f>
        <v>Custom Purview 5</v>
      </c>
      <c r="C105" s="470" t="str">
        <f>IF(Sandbox!AY127="","",Sandbox!AY127)</f>
        <v/>
      </c>
      <c r="D105" s="470" t="str">
        <f>Sandbox!AZ127</f>
        <v>None</v>
      </c>
      <c r="E105" s="37">
        <f t="shared" si="9"/>
        <v>0</v>
      </c>
      <c r="F105" s="470" t="str">
        <f>Sandbox!BA127</f>
        <v>None</v>
      </c>
      <c r="G105" s="37">
        <f t="shared" si="10"/>
        <v>0</v>
      </c>
      <c r="H105" s="37" t="str">
        <f>IF(Sandbox!BC127="No","None",Sandbox!$BH$4)</f>
        <v>None</v>
      </c>
      <c r="I105" s="37">
        <f t="shared" si="11"/>
        <v>0</v>
      </c>
      <c r="J105" s="37" t="str">
        <f>Sandbox!BD127</f>
        <v>No</v>
      </c>
      <c r="K105" s="37">
        <f t="shared" si="12"/>
        <v>0</v>
      </c>
      <c r="L105" s="37" t="str">
        <f>Sandbox!BB127</f>
        <v>None</v>
      </c>
      <c r="M105" s="37">
        <f t="shared" si="13"/>
        <v>0</v>
      </c>
      <c r="N105" s="470" t="str">
        <f>IF(Sandbox!BE127="Roll","Yes","No")</f>
        <v>No</v>
      </c>
      <c r="O105" s="470">
        <f t="shared" si="14"/>
        <v>0</v>
      </c>
      <c r="P105" s="37" t="str">
        <f t="shared" si="15"/>
        <v>None</v>
      </c>
      <c r="Q105" s="470" t="str">
        <f>Sandbox!BF127</f>
        <v>Yes</v>
      </c>
      <c r="R105" s="37">
        <f t="shared" si="16"/>
        <v>0</v>
      </c>
      <c r="S105" s="470" t="str">
        <f>IF(Sandbox!BE127="Add","Yes","No")</f>
        <v>No</v>
      </c>
      <c r="T105" s="470">
        <f t="shared" si="17"/>
        <v>0</v>
      </c>
      <c r="U105" s="470" t="str">
        <f>Sandbox!BG127</f>
        <v>Yes</v>
      </c>
      <c r="V105" s="111">
        <f>IF(OR(F105="none",G105="V"),0,VLOOKUP(F105,'Purchased Boons'!$AR$4:$AS$27,2,FALSE))</f>
        <v>0</v>
      </c>
      <c r="W105" s="475">
        <f>Sandbox!BH127</f>
        <v>0</v>
      </c>
      <c r="X105" s="475">
        <f>Sandbox!BI127</f>
        <v>0</v>
      </c>
      <c r="Y105" s="37" t="s">
        <v>2293</v>
      </c>
      <c r="Z105" s="111" t="s">
        <v>817</v>
      </c>
      <c r="AG105" s="24"/>
      <c r="AH105" s="24"/>
    </row>
    <row r="106" spans="1:34" x14ac:dyDescent="0.25">
      <c r="A106" s="474" t="str">
        <f>IF(Sandbox!AX128="","",Sandbox!AX128)</f>
        <v/>
      </c>
      <c r="B106" s="39" t="str">
        <f>IF(Sandbox!$BH$104="",Sandbox!$AX$104,Sandbox!$BH$104)</f>
        <v>Custom Purview 5</v>
      </c>
      <c r="C106" s="470" t="str">
        <f>IF(Sandbox!AY128="","",Sandbox!AY128)</f>
        <v/>
      </c>
      <c r="D106" s="470" t="str">
        <f>Sandbox!AZ128</f>
        <v>None</v>
      </c>
      <c r="E106" s="37">
        <f t="shared" si="9"/>
        <v>0</v>
      </c>
      <c r="F106" s="470" t="str">
        <f>Sandbox!BA128</f>
        <v>None</v>
      </c>
      <c r="G106" s="37">
        <f t="shared" si="10"/>
        <v>0</v>
      </c>
      <c r="H106" s="37" t="str">
        <f>IF(Sandbox!BC128="No","None",Sandbox!$BH$4)</f>
        <v>None</v>
      </c>
      <c r="I106" s="37">
        <f t="shared" si="11"/>
        <v>0</v>
      </c>
      <c r="J106" s="37" t="str">
        <f>Sandbox!BD128</f>
        <v>No</v>
      </c>
      <c r="K106" s="37">
        <f t="shared" si="12"/>
        <v>0</v>
      </c>
      <c r="L106" s="37" t="str">
        <f>Sandbox!BB128</f>
        <v>None</v>
      </c>
      <c r="M106" s="37">
        <f t="shared" si="13"/>
        <v>0</v>
      </c>
      <c r="N106" s="470" t="str">
        <f>IF(Sandbox!BE128="Roll","Yes","No")</f>
        <v>No</v>
      </c>
      <c r="O106" s="470">
        <f t="shared" si="14"/>
        <v>0</v>
      </c>
      <c r="P106" s="37" t="str">
        <f t="shared" si="15"/>
        <v>None</v>
      </c>
      <c r="Q106" s="470" t="str">
        <f>Sandbox!BF128</f>
        <v>Yes</v>
      </c>
      <c r="R106" s="37">
        <f t="shared" si="16"/>
        <v>0</v>
      </c>
      <c r="S106" s="470" t="str">
        <f>IF(Sandbox!BE128="Add","Yes","No")</f>
        <v>No</v>
      </c>
      <c r="T106" s="470">
        <f t="shared" si="17"/>
        <v>0</v>
      </c>
      <c r="U106" s="470" t="str">
        <f>Sandbox!BG128</f>
        <v>Yes</v>
      </c>
      <c r="V106" s="111">
        <f>IF(OR(F106="none",G106="V"),0,VLOOKUP(F106,'Purchased Boons'!$AR$4:$AS$27,2,FALSE))</f>
        <v>0</v>
      </c>
      <c r="W106" s="475">
        <f>Sandbox!BH128</f>
        <v>0</v>
      </c>
      <c r="X106" s="475">
        <f>Sandbox!BI128</f>
        <v>0</v>
      </c>
      <c r="Y106" s="37" t="s">
        <v>2293</v>
      </c>
      <c r="Z106" s="111" t="s">
        <v>817</v>
      </c>
      <c r="AG106" s="24"/>
      <c r="AH106" s="24"/>
    </row>
    <row r="107" spans="1:34" x14ac:dyDescent="0.25">
      <c r="A107" s="474" t="str">
        <f>IF(Sandbox!BL6="","",Sandbox!BL6)</f>
        <v/>
      </c>
      <c r="B107" s="39" t="str">
        <f>Sandbox!BM6</f>
        <v>Select</v>
      </c>
      <c r="C107" s="470" t="str">
        <f>IF(Sandbox!BN6="","",Sandbox!BN6)</f>
        <v/>
      </c>
      <c r="D107" s="470" t="str">
        <f>Sandbox!BO6</f>
        <v>None</v>
      </c>
      <c r="E107" s="37">
        <f t="shared" si="9"/>
        <v>0</v>
      </c>
      <c r="F107" s="470" t="str">
        <f>Sandbox!BP6</f>
        <v>None</v>
      </c>
      <c r="G107" s="37">
        <f t="shared" si="10"/>
        <v>0</v>
      </c>
      <c r="H107" s="37" t="str">
        <f>IF(Sandbox!BR6="Yes",Sandbox!BM6,"None")</f>
        <v>None</v>
      </c>
      <c r="I107" s="37">
        <f t="shared" si="11"/>
        <v>0</v>
      </c>
      <c r="J107" s="37" t="str">
        <f>Sandbox!BS6</f>
        <v>No</v>
      </c>
      <c r="K107" s="37">
        <f t="shared" si="12"/>
        <v>0</v>
      </c>
      <c r="L107" s="37" t="str">
        <f>Sandbox!BQ6</f>
        <v>None</v>
      </c>
      <c r="M107" s="37">
        <f t="shared" si="13"/>
        <v>0</v>
      </c>
      <c r="N107" s="470" t="str">
        <f>IF(Sandbox!BT6="Roll","Yes","No")</f>
        <v>No</v>
      </c>
      <c r="O107" s="470">
        <f t="shared" si="14"/>
        <v>0</v>
      </c>
      <c r="P107" s="37" t="str">
        <f t="shared" si="15"/>
        <v>None</v>
      </c>
      <c r="Q107" s="470" t="str">
        <f>Sandbox!BU6</f>
        <v>Yes</v>
      </c>
      <c r="R107" s="37">
        <f t="shared" si="16"/>
        <v>0</v>
      </c>
      <c r="S107" s="470" t="str">
        <f>IF(Sandbox!BT6="Add","Yes","No")</f>
        <v>No</v>
      </c>
      <c r="T107" s="470">
        <f t="shared" si="17"/>
        <v>0</v>
      </c>
      <c r="U107" s="470" t="str">
        <f>Sandbox!BV6</f>
        <v>Yes</v>
      </c>
      <c r="V107" s="111">
        <f>IF(OR(F107="none",G107="V"),0,VLOOKUP(F107,'Purchased Boons'!$AR$4:$AS$27,2,FALSE))</f>
        <v>0</v>
      </c>
      <c r="W107" s="475">
        <f>Sandbox!BW6</f>
        <v>0</v>
      </c>
      <c r="X107" s="475">
        <f>Sandbox!BX6</f>
        <v>0</v>
      </c>
      <c r="Y107" s="37" t="s">
        <v>2293</v>
      </c>
      <c r="Z107" s="111" t="s">
        <v>817</v>
      </c>
      <c r="AG107" s="24"/>
      <c r="AH107" s="24"/>
    </row>
    <row r="108" spans="1:34" x14ac:dyDescent="0.25">
      <c r="A108" s="474" t="str">
        <f>IF(Sandbox!BL7="","",Sandbox!BL7)</f>
        <v/>
      </c>
      <c r="B108" s="39" t="str">
        <f>Sandbox!BM7</f>
        <v>Select</v>
      </c>
      <c r="C108" s="470" t="str">
        <f>IF(Sandbox!BN7="","",Sandbox!BN7)</f>
        <v/>
      </c>
      <c r="D108" s="470" t="str">
        <f>Sandbox!BO7</f>
        <v>None</v>
      </c>
      <c r="E108" s="37">
        <f t="shared" si="9"/>
        <v>0</v>
      </c>
      <c r="F108" s="470" t="str">
        <f>Sandbox!BP7</f>
        <v>None</v>
      </c>
      <c r="G108" s="37">
        <f t="shared" si="10"/>
        <v>0</v>
      </c>
      <c r="H108" s="37" t="str">
        <f>IF(Sandbox!BR7="Yes",Sandbox!BM7,"None")</f>
        <v>None</v>
      </c>
      <c r="I108" s="37">
        <f t="shared" si="11"/>
        <v>0</v>
      </c>
      <c r="J108" s="37" t="str">
        <f>Sandbox!BS7</f>
        <v>No</v>
      </c>
      <c r="K108" s="37">
        <f t="shared" si="12"/>
        <v>0</v>
      </c>
      <c r="L108" s="37" t="str">
        <f>Sandbox!BQ7</f>
        <v>None</v>
      </c>
      <c r="M108" s="37">
        <f t="shared" si="13"/>
        <v>0</v>
      </c>
      <c r="N108" s="470" t="str">
        <f>IF(Sandbox!BT7="Roll","Yes","No")</f>
        <v>No</v>
      </c>
      <c r="O108" s="470">
        <f t="shared" si="14"/>
        <v>0</v>
      </c>
      <c r="P108" s="37" t="str">
        <f t="shared" si="15"/>
        <v>None</v>
      </c>
      <c r="Q108" s="470" t="str">
        <f>Sandbox!BU7</f>
        <v>Yes</v>
      </c>
      <c r="R108" s="37">
        <f t="shared" si="16"/>
        <v>0</v>
      </c>
      <c r="S108" s="470" t="str">
        <f>IF(Sandbox!BT7="Add","Yes","No")</f>
        <v>No</v>
      </c>
      <c r="T108" s="470">
        <f t="shared" si="17"/>
        <v>0</v>
      </c>
      <c r="U108" s="470" t="str">
        <f>Sandbox!BV7</f>
        <v>Yes</v>
      </c>
      <c r="V108" s="111">
        <f>IF(OR(F108="none",G108="V"),0,VLOOKUP(F108,'Purchased Boons'!$AR$4:$AS$27,2,FALSE))</f>
        <v>0</v>
      </c>
      <c r="W108" s="475">
        <f>Sandbox!BW7</f>
        <v>0</v>
      </c>
      <c r="X108" s="475">
        <f>Sandbox!BX7</f>
        <v>0</v>
      </c>
      <c r="Y108" s="37" t="s">
        <v>2293</v>
      </c>
      <c r="Z108" s="111" t="s">
        <v>817</v>
      </c>
      <c r="AG108" s="24"/>
      <c r="AH108" s="24"/>
    </row>
    <row r="109" spans="1:34" x14ac:dyDescent="0.25">
      <c r="A109" s="474" t="str">
        <f>IF(Sandbox!BL8="","",Sandbox!BL8)</f>
        <v/>
      </c>
      <c r="B109" s="39" t="str">
        <f>Sandbox!BM8</f>
        <v>Select</v>
      </c>
      <c r="C109" s="470" t="str">
        <f>IF(Sandbox!BN8="","",Sandbox!BN8)</f>
        <v/>
      </c>
      <c r="D109" s="470" t="str">
        <f>Sandbox!BO8</f>
        <v>None</v>
      </c>
      <c r="E109" s="37">
        <f t="shared" si="9"/>
        <v>0</v>
      </c>
      <c r="F109" s="470" t="str">
        <f>Sandbox!BP8</f>
        <v>None</v>
      </c>
      <c r="G109" s="37">
        <f t="shared" si="10"/>
        <v>0</v>
      </c>
      <c r="H109" s="37" t="str">
        <f>IF(Sandbox!BR8="Yes",Sandbox!BM8,"None")</f>
        <v>None</v>
      </c>
      <c r="I109" s="37">
        <f t="shared" si="11"/>
        <v>0</v>
      </c>
      <c r="J109" s="37" t="str">
        <f>Sandbox!BS8</f>
        <v>No</v>
      </c>
      <c r="K109" s="37">
        <f t="shared" si="12"/>
        <v>0</v>
      </c>
      <c r="L109" s="37" t="str">
        <f>Sandbox!BQ8</f>
        <v>None</v>
      </c>
      <c r="M109" s="37">
        <f t="shared" si="13"/>
        <v>0</v>
      </c>
      <c r="N109" s="470" t="str">
        <f>IF(Sandbox!BT8="Roll","Yes","No")</f>
        <v>No</v>
      </c>
      <c r="O109" s="470">
        <f t="shared" si="14"/>
        <v>0</v>
      </c>
      <c r="P109" s="37" t="str">
        <f t="shared" si="15"/>
        <v>None</v>
      </c>
      <c r="Q109" s="470" t="str">
        <f>Sandbox!BU8</f>
        <v>Yes</v>
      </c>
      <c r="R109" s="37">
        <f t="shared" si="16"/>
        <v>0</v>
      </c>
      <c r="S109" s="470" t="str">
        <f>IF(Sandbox!BT8="Add","Yes","No")</f>
        <v>No</v>
      </c>
      <c r="T109" s="470">
        <f t="shared" si="17"/>
        <v>0</v>
      </c>
      <c r="U109" s="470" t="str">
        <f>Sandbox!BV8</f>
        <v>Yes</v>
      </c>
      <c r="V109" s="111">
        <f>IF(OR(F109="none",G109="V"),0,VLOOKUP(F109,'Purchased Boons'!$AR$4:$AS$27,2,FALSE))</f>
        <v>0</v>
      </c>
      <c r="W109" s="475">
        <f>Sandbox!BW8</f>
        <v>0</v>
      </c>
      <c r="X109" s="475">
        <f>Sandbox!BX8</f>
        <v>0</v>
      </c>
      <c r="Y109" s="37" t="s">
        <v>2293</v>
      </c>
      <c r="Z109" s="111" t="s">
        <v>817</v>
      </c>
      <c r="AG109" s="24"/>
      <c r="AH109" s="24"/>
    </row>
    <row r="110" spans="1:34" x14ac:dyDescent="0.25">
      <c r="A110" s="474" t="str">
        <f>IF(Sandbox!BL9="","",Sandbox!BL9)</f>
        <v/>
      </c>
      <c r="B110" s="39" t="str">
        <f>Sandbox!BM9</f>
        <v>Select</v>
      </c>
      <c r="C110" s="470" t="str">
        <f>IF(Sandbox!BN9="","",Sandbox!BN9)</f>
        <v/>
      </c>
      <c r="D110" s="470" t="str">
        <f>Sandbox!BO9</f>
        <v>None</v>
      </c>
      <c r="E110" s="37">
        <f t="shared" si="9"/>
        <v>0</v>
      </c>
      <c r="F110" s="470" t="str">
        <f>Sandbox!BP9</f>
        <v>None</v>
      </c>
      <c r="G110" s="37">
        <f t="shared" si="10"/>
        <v>0</v>
      </c>
      <c r="H110" s="37" t="str">
        <f>IF(Sandbox!BR9="Yes",Sandbox!BM9,"None")</f>
        <v>None</v>
      </c>
      <c r="I110" s="37">
        <f t="shared" si="11"/>
        <v>0</v>
      </c>
      <c r="J110" s="37" t="str">
        <f>Sandbox!BS9</f>
        <v>No</v>
      </c>
      <c r="K110" s="37">
        <f t="shared" si="12"/>
        <v>0</v>
      </c>
      <c r="L110" s="37" t="str">
        <f>Sandbox!BQ9</f>
        <v>None</v>
      </c>
      <c r="M110" s="37">
        <f t="shared" si="13"/>
        <v>0</v>
      </c>
      <c r="N110" s="470" t="str">
        <f>IF(Sandbox!BT9="Roll","Yes","No")</f>
        <v>No</v>
      </c>
      <c r="O110" s="470">
        <f t="shared" si="14"/>
        <v>0</v>
      </c>
      <c r="P110" s="37" t="str">
        <f t="shared" si="15"/>
        <v>None</v>
      </c>
      <c r="Q110" s="470" t="str">
        <f>Sandbox!BU9</f>
        <v>Yes</v>
      </c>
      <c r="R110" s="37">
        <f t="shared" si="16"/>
        <v>0</v>
      </c>
      <c r="S110" s="470" t="str">
        <f>IF(Sandbox!BT9="Add","Yes","No")</f>
        <v>No</v>
      </c>
      <c r="T110" s="470">
        <f t="shared" si="17"/>
        <v>0</v>
      </c>
      <c r="U110" s="470" t="str">
        <f>Sandbox!BV9</f>
        <v>Yes</v>
      </c>
      <c r="V110" s="111">
        <f>IF(OR(F110="none",G110="V"),0,VLOOKUP(F110,'Purchased Boons'!$AR$4:$AS$27,2,FALSE))</f>
        <v>0</v>
      </c>
      <c r="W110" s="475">
        <f>Sandbox!BW9</f>
        <v>0</v>
      </c>
      <c r="X110" s="475">
        <f>Sandbox!BX9</f>
        <v>0</v>
      </c>
      <c r="Y110" s="37" t="s">
        <v>2293</v>
      </c>
      <c r="Z110" s="111" t="s">
        <v>817</v>
      </c>
      <c r="AG110" s="24"/>
      <c r="AH110" s="24"/>
    </row>
    <row r="111" spans="1:34" x14ac:dyDescent="0.25">
      <c r="A111" s="474" t="str">
        <f>IF(Sandbox!BL10="","",Sandbox!BL10)</f>
        <v/>
      </c>
      <c r="B111" s="39" t="str">
        <f>Sandbox!BM10</f>
        <v>Select</v>
      </c>
      <c r="C111" s="470" t="str">
        <f>IF(Sandbox!BN10="","",Sandbox!BN10)</f>
        <v/>
      </c>
      <c r="D111" s="470" t="str">
        <f>Sandbox!BO10</f>
        <v>None</v>
      </c>
      <c r="E111" s="37">
        <f t="shared" si="9"/>
        <v>0</v>
      </c>
      <c r="F111" s="470" t="str">
        <f>Sandbox!BP10</f>
        <v>None</v>
      </c>
      <c r="G111" s="37">
        <f t="shared" si="10"/>
        <v>0</v>
      </c>
      <c r="H111" s="37" t="str">
        <f>IF(Sandbox!BR10="Yes",Sandbox!BM10,"None")</f>
        <v>None</v>
      </c>
      <c r="I111" s="37">
        <f t="shared" si="11"/>
        <v>0</v>
      </c>
      <c r="J111" s="37" t="str">
        <f>Sandbox!BS10</f>
        <v>No</v>
      </c>
      <c r="K111" s="37">
        <f t="shared" si="12"/>
        <v>0</v>
      </c>
      <c r="L111" s="37" t="str">
        <f>Sandbox!BQ10</f>
        <v>None</v>
      </c>
      <c r="M111" s="37">
        <f t="shared" si="13"/>
        <v>0</v>
      </c>
      <c r="N111" s="470" t="str">
        <f>IF(Sandbox!BT10="Roll","Yes","No")</f>
        <v>No</v>
      </c>
      <c r="O111" s="470">
        <f t="shared" si="14"/>
        <v>0</v>
      </c>
      <c r="P111" s="37" t="str">
        <f t="shared" si="15"/>
        <v>None</v>
      </c>
      <c r="Q111" s="470" t="str">
        <f>Sandbox!BU10</f>
        <v>Yes</v>
      </c>
      <c r="R111" s="37">
        <f t="shared" si="16"/>
        <v>0</v>
      </c>
      <c r="S111" s="470" t="str">
        <f>IF(Sandbox!BT10="Add","Yes","No")</f>
        <v>No</v>
      </c>
      <c r="T111" s="470">
        <f t="shared" si="17"/>
        <v>0</v>
      </c>
      <c r="U111" s="470" t="str">
        <f>Sandbox!BV10</f>
        <v>Yes</v>
      </c>
      <c r="V111" s="111">
        <f>IF(OR(F111="none",G111="V"),0,VLOOKUP(F111,'Purchased Boons'!$AR$4:$AS$27,2,FALSE))</f>
        <v>0</v>
      </c>
      <c r="W111" s="475">
        <f>Sandbox!BW10</f>
        <v>0</v>
      </c>
      <c r="X111" s="475">
        <f>Sandbox!BX10</f>
        <v>0</v>
      </c>
      <c r="Y111" s="37" t="s">
        <v>2293</v>
      </c>
      <c r="Z111" s="111" t="s">
        <v>817</v>
      </c>
      <c r="AG111" s="24"/>
      <c r="AH111" s="24"/>
    </row>
    <row r="112" spans="1:34" x14ac:dyDescent="0.25">
      <c r="A112" s="474" t="str">
        <f>IF(Sandbox!BL11="","",Sandbox!BL11)</f>
        <v/>
      </c>
      <c r="B112" s="39" t="str">
        <f>Sandbox!BM11</f>
        <v>Select</v>
      </c>
      <c r="C112" s="470" t="str">
        <f>IF(Sandbox!BN11="","",Sandbox!BN11)</f>
        <v/>
      </c>
      <c r="D112" s="470" t="str">
        <f>Sandbox!BO11</f>
        <v>None</v>
      </c>
      <c r="E112" s="37">
        <f t="shared" si="9"/>
        <v>0</v>
      </c>
      <c r="F112" s="470" t="str">
        <f>Sandbox!BP11</f>
        <v>None</v>
      </c>
      <c r="G112" s="37">
        <f t="shared" si="10"/>
        <v>0</v>
      </c>
      <c r="H112" s="37" t="str">
        <f>IF(Sandbox!BR11="Yes",Sandbox!BM11,"None")</f>
        <v>None</v>
      </c>
      <c r="I112" s="37">
        <f t="shared" si="11"/>
        <v>0</v>
      </c>
      <c r="J112" s="37" t="str">
        <f>Sandbox!BS11</f>
        <v>No</v>
      </c>
      <c r="K112" s="37">
        <f t="shared" si="12"/>
        <v>0</v>
      </c>
      <c r="L112" s="37" t="str">
        <f>Sandbox!BQ11</f>
        <v>None</v>
      </c>
      <c r="M112" s="37">
        <f t="shared" si="13"/>
        <v>0</v>
      </c>
      <c r="N112" s="470" t="str">
        <f>IF(Sandbox!BT11="Roll","Yes","No")</f>
        <v>No</v>
      </c>
      <c r="O112" s="470">
        <f t="shared" si="14"/>
        <v>0</v>
      </c>
      <c r="P112" s="37" t="str">
        <f t="shared" si="15"/>
        <v>None</v>
      </c>
      <c r="Q112" s="470" t="str">
        <f>Sandbox!BU11</f>
        <v>Yes</v>
      </c>
      <c r="R112" s="37">
        <f t="shared" si="16"/>
        <v>0</v>
      </c>
      <c r="S112" s="470" t="str">
        <f>IF(Sandbox!BT11="Add","Yes","No")</f>
        <v>No</v>
      </c>
      <c r="T112" s="470">
        <f t="shared" si="17"/>
        <v>0</v>
      </c>
      <c r="U112" s="470" t="str">
        <f>Sandbox!BV11</f>
        <v>Yes</v>
      </c>
      <c r="V112" s="111">
        <f>IF(OR(F112="none",G112="V"),0,VLOOKUP(F112,'Purchased Boons'!$AR$4:$AS$27,2,FALSE))</f>
        <v>0</v>
      </c>
      <c r="W112" s="475">
        <f>Sandbox!BW11</f>
        <v>0</v>
      </c>
      <c r="X112" s="475">
        <f>Sandbox!BX11</f>
        <v>0</v>
      </c>
      <c r="Y112" s="37" t="s">
        <v>2293</v>
      </c>
      <c r="Z112" s="111" t="s">
        <v>817</v>
      </c>
      <c r="AG112" s="24"/>
      <c r="AH112" s="24"/>
    </row>
    <row r="113" spans="1:34" x14ac:dyDescent="0.25">
      <c r="A113" s="474" t="str">
        <f>IF(Sandbox!BL12="","",Sandbox!BL12)</f>
        <v/>
      </c>
      <c r="B113" s="39" t="str">
        <f>Sandbox!BM12</f>
        <v>Select</v>
      </c>
      <c r="C113" s="470" t="str">
        <f>IF(Sandbox!BN12="","",Sandbox!BN12)</f>
        <v/>
      </c>
      <c r="D113" s="470" t="str">
        <f>Sandbox!BO12</f>
        <v>None</v>
      </c>
      <c r="E113" s="37">
        <f t="shared" si="9"/>
        <v>0</v>
      </c>
      <c r="F113" s="470" t="str">
        <f>Sandbox!BP12</f>
        <v>None</v>
      </c>
      <c r="G113" s="37">
        <f t="shared" si="10"/>
        <v>0</v>
      </c>
      <c r="H113" s="37" t="str">
        <f>IF(Sandbox!BR12="Yes",Sandbox!BM12,"None")</f>
        <v>None</v>
      </c>
      <c r="I113" s="37">
        <f t="shared" si="11"/>
        <v>0</v>
      </c>
      <c r="J113" s="37" t="str">
        <f>Sandbox!BS12</f>
        <v>No</v>
      </c>
      <c r="K113" s="37">
        <f t="shared" si="12"/>
        <v>0</v>
      </c>
      <c r="L113" s="37" t="str">
        <f>Sandbox!BQ12</f>
        <v>None</v>
      </c>
      <c r="M113" s="37">
        <f t="shared" si="13"/>
        <v>0</v>
      </c>
      <c r="N113" s="470" t="str">
        <f>IF(Sandbox!BT12="Roll","Yes","No")</f>
        <v>No</v>
      </c>
      <c r="O113" s="470">
        <f t="shared" si="14"/>
        <v>0</v>
      </c>
      <c r="P113" s="37" t="str">
        <f t="shared" si="15"/>
        <v>None</v>
      </c>
      <c r="Q113" s="470" t="str">
        <f>Sandbox!BU12</f>
        <v>Yes</v>
      </c>
      <c r="R113" s="37">
        <f t="shared" si="16"/>
        <v>0</v>
      </c>
      <c r="S113" s="470" t="str">
        <f>IF(Sandbox!BT12="Add","Yes","No")</f>
        <v>No</v>
      </c>
      <c r="T113" s="470">
        <f t="shared" si="17"/>
        <v>0</v>
      </c>
      <c r="U113" s="470" t="str">
        <f>Sandbox!BV12</f>
        <v>Yes</v>
      </c>
      <c r="V113" s="111">
        <f>IF(OR(F113="none",G113="V"),0,VLOOKUP(F113,'Purchased Boons'!$AR$4:$AS$27,2,FALSE))</f>
        <v>0</v>
      </c>
      <c r="W113" s="475">
        <f>Sandbox!BW12</f>
        <v>0</v>
      </c>
      <c r="X113" s="475">
        <f>Sandbox!BX12</f>
        <v>0</v>
      </c>
      <c r="Y113" s="37" t="s">
        <v>2293</v>
      </c>
      <c r="Z113" s="111" t="s">
        <v>817</v>
      </c>
      <c r="AG113" s="24"/>
      <c r="AH113" s="24"/>
    </row>
    <row r="114" spans="1:34" x14ac:dyDescent="0.25">
      <c r="A114" s="474" t="str">
        <f>IF(Sandbox!BL13="","",Sandbox!BL13)</f>
        <v/>
      </c>
      <c r="B114" s="39" t="str">
        <f>Sandbox!BM13</f>
        <v>Select</v>
      </c>
      <c r="C114" s="470" t="str">
        <f>IF(Sandbox!BN13="","",Sandbox!BN13)</f>
        <v/>
      </c>
      <c r="D114" s="470" t="str">
        <f>Sandbox!BO13</f>
        <v>None</v>
      </c>
      <c r="E114" s="37">
        <f t="shared" si="9"/>
        <v>0</v>
      </c>
      <c r="F114" s="470" t="str">
        <f>Sandbox!BP13</f>
        <v>None</v>
      </c>
      <c r="G114" s="37">
        <f t="shared" si="10"/>
        <v>0</v>
      </c>
      <c r="H114" s="37" t="str">
        <f>IF(Sandbox!BR13="Yes",Sandbox!BM13,"None")</f>
        <v>None</v>
      </c>
      <c r="I114" s="37">
        <f t="shared" si="11"/>
        <v>0</v>
      </c>
      <c r="J114" s="37" t="str">
        <f>Sandbox!BS13</f>
        <v>No</v>
      </c>
      <c r="K114" s="37">
        <f t="shared" si="12"/>
        <v>0</v>
      </c>
      <c r="L114" s="37" t="str">
        <f>Sandbox!BQ13</f>
        <v>None</v>
      </c>
      <c r="M114" s="37">
        <f t="shared" si="13"/>
        <v>0</v>
      </c>
      <c r="N114" s="470" t="str">
        <f>IF(Sandbox!BT13="Roll","Yes","No")</f>
        <v>No</v>
      </c>
      <c r="O114" s="470">
        <f t="shared" si="14"/>
        <v>0</v>
      </c>
      <c r="P114" s="37" t="str">
        <f t="shared" si="15"/>
        <v>None</v>
      </c>
      <c r="Q114" s="470" t="str">
        <f>Sandbox!BU13</f>
        <v>Yes</v>
      </c>
      <c r="R114" s="37">
        <f t="shared" si="16"/>
        <v>0</v>
      </c>
      <c r="S114" s="470" t="str">
        <f>IF(Sandbox!BT13="Add","Yes","No")</f>
        <v>No</v>
      </c>
      <c r="T114" s="470">
        <f t="shared" si="17"/>
        <v>0</v>
      </c>
      <c r="U114" s="470" t="str">
        <f>Sandbox!BV13</f>
        <v>Yes</v>
      </c>
      <c r="V114" s="111">
        <f>IF(OR(F114="none",G114="V"),0,VLOOKUP(F114,'Purchased Boons'!$AR$4:$AS$27,2,FALSE))</f>
        <v>0</v>
      </c>
      <c r="W114" s="475">
        <f>Sandbox!BW13</f>
        <v>0</v>
      </c>
      <c r="X114" s="475">
        <f>Sandbox!BX13</f>
        <v>0</v>
      </c>
      <c r="Y114" s="37" t="s">
        <v>2293</v>
      </c>
      <c r="Z114" s="111" t="s">
        <v>817</v>
      </c>
      <c r="AG114" s="24"/>
      <c r="AH114" s="24"/>
    </row>
    <row r="115" spans="1:34" x14ac:dyDescent="0.25">
      <c r="A115" s="474" t="str">
        <f>IF(Sandbox!BL14="","",Sandbox!BL14)</f>
        <v/>
      </c>
      <c r="B115" s="39" t="str">
        <f>Sandbox!BM14</f>
        <v>Select</v>
      </c>
      <c r="C115" s="470" t="str">
        <f>IF(Sandbox!BN14="","",Sandbox!BN14)</f>
        <v/>
      </c>
      <c r="D115" s="470" t="str">
        <f>Sandbox!BO14</f>
        <v>None</v>
      </c>
      <c r="E115" s="37">
        <f t="shared" si="9"/>
        <v>0</v>
      </c>
      <c r="F115" s="470" t="str">
        <f>Sandbox!BP14</f>
        <v>None</v>
      </c>
      <c r="G115" s="37">
        <f t="shared" si="10"/>
        <v>0</v>
      </c>
      <c r="H115" s="37" t="str">
        <f>IF(Sandbox!BR14="Yes",Sandbox!BM14,"None")</f>
        <v>None</v>
      </c>
      <c r="I115" s="37">
        <f t="shared" si="11"/>
        <v>0</v>
      </c>
      <c r="J115" s="37" t="str">
        <f>Sandbox!BS14</f>
        <v>No</v>
      </c>
      <c r="K115" s="37">
        <f t="shared" si="12"/>
        <v>0</v>
      </c>
      <c r="L115" s="37" t="str">
        <f>Sandbox!BQ14</f>
        <v>None</v>
      </c>
      <c r="M115" s="37">
        <f t="shared" si="13"/>
        <v>0</v>
      </c>
      <c r="N115" s="470" t="str">
        <f>IF(Sandbox!BT14="Roll","Yes","No")</f>
        <v>No</v>
      </c>
      <c r="O115" s="470">
        <f t="shared" si="14"/>
        <v>0</v>
      </c>
      <c r="P115" s="37" t="str">
        <f t="shared" si="15"/>
        <v>None</v>
      </c>
      <c r="Q115" s="470" t="str">
        <f>Sandbox!BU14</f>
        <v>Yes</v>
      </c>
      <c r="R115" s="37">
        <f t="shared" si="16"/>
        <v>0</v>
      </c>
      <c r="S115" s="470" t="str">
        <f>IF(Sandbox!BT14="Add","Yes","No")</f>
        <v>No</v>
      </c>
      <c r="T115" s="470">
        <f t="shared" si="17"/>
        <v>0</v>
      </c>
      <c r="U115" s="470" t="str">
        <f>Sandbox!BV14</f>
        <v>Yes</v>
      </c>
      <c r="V115" s="111">
        <f>IF(OR(F115="none",G115="V"),0,VLOOKUP(F115,'Purchased Boons'!$AR$4:$AS$27,2,FALSE))</f>
        <v>0</v>
      </c>
      <c r="W115" s="475">
        <f>Sandbox!BW14</f>
        <v>0</v>
      </c>
      <c r="X115" s="475">
        <f>Sandbox!BX14</f>
        <v>0</v>
      </c>
      <c r="Y115" s="37" t="s">
        <v>2293</v>
      </c>
      <c r="Z115" s="111" t="s">
        <v>817</v>
      </c>
      <c r="AG115" s="24"/>
      <c r="AH115" s="24"/>
    </row>
    <row r="116" spans="1:34" x14ac:dyDescent="0.25">
      <c r="A116" s="474" t="str">
        <f>IF(Sandbox!BL15="","",Sandbox!BL15)</f>
        <v/>
      </c>
      <c r="B116" s="39" t="str">
        <f>Sandbox!BM15</f>
        <v>Select</v>
      </c>
      <c r="C116" s="470" t="str">
        <f>IF(Sandbox!BN15="","",Sandbox!BN15)</f>
        <v/>
      </c>
      <c r="D116" s="470" t="str">
        <f>Sandbox!BO15</f>
        <v>None</v>
      </c>
      <c r="E116" s="37">
        <f t="shared" si="9"/>
        <v>0</v>
      </c>
      <c r="F116" s="470" t="str">
        <f>Sandbox!BP15</f>
        <v>None</v>
      </c>
      <c r="G116" s="37">
        <f t="shared" si="10"/>
        <v>0</v>
      </c>
      <c r="H116" s="37" t="str">
        <f>IF(Sandbox!BR15="Yes",Sandbox!BM15,"None")</f>
        <v>None</v>
      </c>
      <c r="I116" s="37">
        <f t="shared" si="11"/>
        <v>0</v>
      </c>
      <c r="J116" s="37" t="str">
        <f>Sandbox!BS15</f>
        <v>No</v>
      </c>
      <c r="K116" s="37">
        <f t="shared" si="12"/>
        <v>0</v>
      </c>
      <c r="L116" s="37" t="str">
        <f>Sandbox!BQ15</f>
        <v>None</v>
      </c>
      <c r="M116" s="37">
        <f t="shared" si="13"/>
        <v>0</v>
      </c>
      <c r="N116" s="470" t="str">
        <f>IF(Sandbox!BT15="Roll","Yes","No")</f>
        <v>No</v>
      </c>
      <c r="O116" s="470">
        <f t="shared" si="14"/>
        <v>0</v>
      </c>
      <c r="P116" s="37" t="str">
        <f t="shared" si="15"/>
        <v>None</v>
      </c>
      <c r="Q116" s="470" t="str">
        <f>Sandbox!BU15</f>
        <v>Yes</v>
      </c>
      <c r="R116" s="37">
        <f t="shared" si="16"/>
        <v>0</v>
      </c>
      <c r="S116" s="470" t="str">
        <f>IF(Sandbox!BT15="Add","Yes","No")</f>
        <v>No</v>
      </c>
      <c r="T116" s="470">
        <f t="shared" si="17"/>
        <v>0</v>
      </c>
      <c r="U116" s="470" t="str">
        <f>Sandbox!BV15</f>
        <v>Yes</v>
      </c>
      <c r="V116" s="111">
        <f>IF(OR(F116="none",G116="V"),0,VLOOKUP(F116,'Purchased Boons'!$AR$4:$AS$27,2,FALSE))</f>
        <v>0</v>
      </c>
      <c r="W116" s="475">
        <f>Sandbox!BW15</f>
        <v>0</v>
      </c>
      <c r="X116" s="475">
        <f>Sandbox!BX15</f>
        <v>0</v>
      </c>
      <c r="Y116" s="37" t="s">
        <v>2293</v>
      </c>
      <c r="Z116" s="111" t="s">
        <v>817</v>
      </c>
      <c r="AG116" s="24"/>
      <c r="AH116" s="24"/>
    </row>
    <row r="117" spans="1:34" x14ac:dyDescent="0.25">
      <c r="A117" s="474" t="str">
        <f>IF(Sandbox!BL16="","",Sandbox!BL16)</f>
        <v/>
      </c>
      <c r="B117" s="39" t="str">
        <f>Sandbox!BM16</f>
        <v>Select</v>
      </c>
      <c r="C117" s="470" t="str">
        <f>IF(Sandbox!BN16="","",Sandbox!BN16)</f>
        <v/>
      </c>
      <c r="D117" s="470" t="str">
        <f>Sandbox!BO16</f>
        <v>None</v>
      </c>
      <c r="E117" s="37">
        <f t="shared" si="9"/>
        <v>0</v>
      </c>
      <c r="F117" s="470" t="str">
        <f>Sandbox!BP16</f>
        <v>None</v>
      </c>
      <c r="G117" s="37">
        <f t="shared" si="10"/>
        <v>0</v>
      </c>
      <c r="H117" s="37" t="str">
        <f>IF(Sandbox!BR16="Yes",Sandbox!BM16,"None")</f>
        <v>None</v>
      </c>
      <c r="I117" s="37">
        <f t="shared" si="11"/>
        <v>0</v>
      </c>
      <c r="J117" s="37" t="str">
        <f>Sandbox!BS16</f>
        <v>No</v>
      </c>
      <c r="K117" s="37">
        <f t="shared" si="12"/>
        <v>0</v>
      </c>
      <c r="L117" s="37" t="str">
        <f>Sandbox!BQ16</f>
        <v>None</v>
      </c>
      <c r="M117" s="37">
        <f t="shared" si="13"/>
        <v>0</v>
      </c>
      <c r="N117" s="470" t="str">
        <f>IF(Sandbox!BT16="Roll","Yes","No")</f>
        <v>No</v>
      </c>
      <c r="O117" s="470">
        <f t="shared" si="14"/>
        <v>0</v>
      </c>
      <c r="P117" s="37" t="str">
        <f t="shared" si="15"/>
        <v>None</v>
      </c>
      <c r="Q117" s="470" t="str">
        <f>Sandbox!BU16</f>
        <v>Yes</v>
      </c>
      <c r="R117" s="37">
        <f t="shared" si="16"/>
        <v>0</v>
      </c>
      <c r="S117" s="470" t="str">
        <f>IF(Sandbox!BT16="Add","Yes","No")</f>
        <v>No</v>
      </c>
      <c r="T117" s="470">
        <f t="shared" si="17"/>
        <v>0</v>
      </c>
      <c r="U117" s="470" t="str">
        <f>Sandbox!BV16</f>
        <v>Yes</v>
      </c>
      <c r="V117" s="111">
        <f>IF(OR(F117="none",G117="V"),0,VLOOKUP(F117,'Purchased Boons'!$AR$4:$AS$27,2,FALSE))</f>
        <v>0</v>
      </c>
      <c r="W117" s="475">
        <f>Sandbox!BW16</f>
        <v>0</v>
      </c>
      <c r="X117" s="475">
        <f>Sandbox!BX16</f>
        <v>0</v>
      </c>
      <c r="Y117" s="37" t="s">
        <v>2293</v>
      </c>
      <c r="Z117" s="111" t="s">
        <v>817</v>
      </c>
      <c r="AG117" s="24"/>
      <c r="AH117" s="24"/>
    </row>
    <row r="118" spans="1:34" x14ac:dyDescent="0.25">
      <c r="A118" s="474" t="str">
        <f>IF(Sandbox!BL17="","",Sandbox!BL17)</f>
        <v/>
      </c>
      <c r="B118" s="39" t="str">
        <f>Sandbox!BM17</f>
        <v>Select</v>
      </c>
      <c r="C118" s="470" t="str">
        <f>IF(Sandbox!BN17="","",Sandbox!BN17)</f>
        <v/>
      </c>
      <c r="D118" s="470" t="str">
        <f>Sandbox!BO17</f>
        <v>None</v>
      </c>
      <c r="E118" s="37">
        <f t="shared" si="9"/>
        <v>0</v>
      </c>
      <c r="F118" s="470" t="str">
        <f>Sandbox!BP17</f>
        <v>None</v>
      </c>
      <c r="G118" s="37">
        <f t="shared" si="10"/>
        <v>0</v>
      </c>
      <c r="H118" s="37" t="str">
        <f>IF(Sandbox!BR17="Yes",Sandbox!BM17,"None")</f>
        <v>None</v>
      </c>
      <c r="I118" s="37">
        <f t="shared" si="11"/>
        <v>0</v>
      </c>
      <c r="J118" s="37" t="str">
        <f>Sandbox!BS17</f>
        <v>No</v>
      </c>
      <c r="K118" s="37">
        <f t="shared" si="12"/>
        <v>0</v>
      </c>
      <c r="L118" s="37" t="str">
        <f>Sandbox!BQ17</f>
        <v>None</v>
      </c>
      <c r="M118" s="37">
        <f t="shared" si="13"/>
        <v>0</v>
      </c>
      <c r="N118" s="470" t="str">
        <f>IF(Sandbox!BT17="Roll","Yes","No")</f>
        <v>No</v>
      </c>
      <c r="O118" s="470">
        <f t="shared" si="14"/>
        <v>0</v>
      </c>
      <c r="P118" s="37" t="str">
        <f t="shared" si="15"/>
        <v>None</v>
      </c>
      <c r="Q118" s="470" t="str">
        <f>Sandbox!BU17</f>
        <v>Yes</v>
      </c>
      <c r="R118" s="37">
        <f t="shared" si="16"/>
        <v>0</v>
      </c>
      <c r="S118" s="470" t="str">
        <f>IF(Sandbox!BT17="Add","Yes","No")</f>
        <v>No</v>
      </c>
      <c r="T118" s="470">
        <f t="shared" si="17"/>
        <v>0</v>
      </c>
      <c r="U118" s="470" t="str">
        <f>Sandbox!BV17</f>
        <v>Yes</v>
      </c>
      <c r="V118" s="111">
        <f>IF(OR(F118="none",G118="V"),0,VLOOKUP(F118,'Purchased Boons'!$AR$4:$AS$27,2,FALSE))</f>
        <v>0</v>
      </c>
      <c r="W118" s="475">
        <f>Sandbox!BW17</f>
        <v>0</v>
      </c>
      <c r="X118" s="475">
        <f>Sandbox!BX17</f>
        <v>0</v>
      </c>
      <c r="Y118" s="37" t="s">
        <v>2293</v>
      </c>
      <c r="Z118" s="111" t="s">
        <v>817</v>
      </c>
      <c r="AG118" s="24"/>
      <c r="AH118" s="24"/>
    </row>
    <row r="119" spans="1:34" x14ac:dyDescent="0.25">
      <c r="A119" s="474" t="str">
        <f>IF(Sandbox!BL18="","",Sandbox!BL18)</f>
        <v/>
      </c>
      <c r="B119" s="39" t="str">
        <f>Sandbox!BM18</f>
        <v>Select</v>
      </c>
      <c r="C119" s="470" t="str">
        <f>IF(Sandbox!BN18="","",Sandbox!BN18)</f>
        <v/>
      </c>
      <c r="D119" s="470" t="str">
        <f>Sandbox!BO18</f>
        <v>None</v>
      </c>
      <c r="E119" s="37">
        <f t="shared" si="9"/>
        <v>0</v>
      </c>
      <c r="F119" s="470" t="str">
        <f>Sandbox!BP18</f>
        <v>None</v>
      </c>
      <c r="G119" s="37">
        <f t="shared" si="10"/>
        <v>0</v>
      </c>
      <c r="H119" s="37" t="str">
        <f>IF(Sandbox!BR18="Yes",Sandbox!BM18,"None")</f>
        <v>None</v>
      </c>
      <c r="I119" s="37">
        <f t="shared" si="11"/>
        <v>0</v>
      </c>
      <c r="J119" s="37" t="str">
        <f>Sandbox!BS18</f>
        <v>No</v>
      </c>
      <c r="K119" s="37">
        <f t="shared" si="12"/>
        <v>0</v>
      </c>
      <c r="L119" s="37" t="str">
        <f>Sandbox!BQ18</f>
        <v>None</v>
      </c>
      <c r="M119" s="37">
        <f t="shared" si="13"/>
        <v>0</v>
      </c>
      <c r="N119" s="470" t="str">
        <f>IF(Sandbox!BT18="Roll","Yes","No")</f>
        <v>No</v>
      </c>
      <c r="O119" s="470">
        <f t="shared" si="14"/>
        <v>0</v>
      </c>
      <c r="P119" s="37" t="str">
        <f t="shared" si="15"/>
        <v>None</v>
      </c>
      <c r="Q119" s="470" t="str">
        <f>Sandbox!BU18</f>
        <v>Yes</v>
      </c>
      <c r="R119" s="37">
        <f t="shared" si="16"/>
        <v>0</v>
      </c>
      <c r="S119" s="470" t="str">
        <f>IF(Sandbox!BT18="Add","Yes","No")</f>
        <v>No</v>
      </c>
      <c r="T119" s="470">
        <f t="shared" si="17"/>
        <v>0</v>
      </c>
      <c r="U119" s="470" t="str">
        <f>Sandbox!BV18</f>
        <v>Yes</v>
      </c>
      <c r="V119" s="111">
        <f>IF(OR(F119="none",G119="V"),0,VLOOKUP(F119,'Purchased Boons'!$AR$4:$AS$27,2,FALSE))</f>
        <v>0</v>
      </c>
      <c r="W119" s="475">
        <f>Sandbox!BW18</f>
        <v>0</v>
      </c>
      <c r="X119" s="475">
        <f>Sandbox!BX18</f>
        <v>0</v>
      </c>
      <c r="Y119" s="37" t="s">
        <v>2293</v>
      </c>
      <c r="Z119" s="111" t="s">
        <v>817</v>
      </c>
      <c r="AG119" s="24"/>
      <c r="AH119" s="24"/>
    </row>
    <row r="120" spans="1:34" x14ac:dyDescent="0.25">
      <c r="A120" s="474" t="str">
        <f>IF(Sandbox!BL19="","",Sandbox!BL19)</f>
        <v/>
      </c>
      <c r="B120" s="39" t="str">
        <f>Sandbox!BM19</f>
        <v>Select</v>
      </c>
      <c r="C120" s="470" t="str">
        <f>IF(Sandbox!BN19="","",Sandbox!BN19)</f>
        <v/>
      </c>
      <c r="D120" s="470" t="str">
        <f>Sandbox!BO19</f>
        <v>None</v>
      </c>
      <c r="E120" s="37">
        <f t="shared" si="9"/>
        <v>0</v>
      </c>
      <c r="F120" s="470" t="str">
        <f>Sandbox!BP19</f>
        <v>None</v>
      </c>
      <c r="G120" s="37">
        <f t="shared" si="10"/>
        <v>0</v>
      </c>
      <c r="H120" s="37" t="str">
        <f>IF(Sandbox!BR19="Yes",Sandbox!BM19,"None")</f>
        <v>None</v>
      </c>
      <c r="I120" s="37">
        <f t="shared" si="11"/>
        <v>0</v>
      </c>
      <c r="J120" s="37" t="str">
        <f>Sandbox!BS19</f>
        <v>No</v>
      </c>
      <c r="K120" s="37">
        <f t="shared" si="12"/>
        <v>0</v>
      </c>
      <c r="L120" s="37" t="str">
        <f>Sandbox!BQ19</f>
        <v>None</v>
      </c>
      <c r="M120" s="37">
        <f t="shared" si="13"/>
        <v>0</v>
      </c>
      <c r="N120" s="470" t="str">
        <f>IF(Sandbox!BT19="Roll","Yes","No")</f>
        <v>No</v>
      </c>
      <c r="O120" s="470">
        <f t="shared" si="14"/>
        <v>0</v>
      </c>
      <c r="P120" s="37" t="str">
        <f t="shared" si="15"/>
        <v>None</v>
      </c>
      <c r="Q120" s="470" t="str">
        <f>Sandbox!BU19</f>
        <v>Yes</v>
      </c>
      <c r="R120" s="37">
        <f t="shared" si="16"/>
        <v>0</v>
      </c>
      <c r="S120" s="470" t="str">
        <f>IF(Sandbox!BT19="Add","Yes","No")</f>
        <v>No</v>
      </c>
      <c r="T120" s="470">
        <f t="shared" si="17"/>
        <v>0</v>
      </c>
      <c r="U120" s="470" t="str">
        <f>Sandbox!BV19</f>
        <v>Yes</v>
      </c>
      <c r="V120" s="111">
        <f>IF(OR(F120="none",G120="V"),0,VLOOKUP(F120,'Purchased Boons'!$AR$4:$AS$27,2,FALSE))</f>
        <v>0</v>
      </c>
      <c r="W120" s="475">
        <f>Sandbox!BW19</f>
        <v>0</v>
      </c>
      <c r="X120" s="475">
        <f>Sandbox!BX19</f>
        <v>0</v>
      </c>
      <c r="Y120" s="37" t="s">
        <v>2293</v>
      </c>
      <c r="Z120" s="111" t="s">
        <v>817</v>
      </c>
      <c r="AG120" s="24"/>
      <c r="AH120" s="24"/>
    </row>
    <row r="121" spans="1:34" x14ac:dyDescent="0.25">
      <c r="A121" s="474" t="str">
        <f>IF(Sandbox!BL20="","",Sandbox!BL20)</f>
        <v/>
      </c>
      <c r="B121" s="39" t="str">
        <f>Sandbox!BM20</f>
        <v>Select</v>
      </c>
      <c r="C121" s="470" t="str">
        <f>IF(Sandbox!BN20="","",Sandbox!BN20)</f>
        <v/>
      </c>
      <c r="D121" s="470" t="str">
        <f>Sandbox!BO20</f>
        <v>None</v>
      </c>
      <c r="E121" s="37">
        <f t="shared" si="9"/>
        <v>0</v>
      </c>
      <c r="F121" s="470" t="str">
        <f>Sandbox!BP20</f>
        <v>None</v>
      </c>
      <c r="G121" s="37">
        <f t="shared" si="10"/>
        <v>0</v>
      </c>
      <c r="H121" s="37" t="str">
        <f>IF(Sandbox!BR20="Yes",Sandbox!BM20,"None")</f>
        <v>None</v>
      </c>
      <c r="I121" s="37">
        <f t="shared" si="11"/>
        <v>0</v>
      </c>
      <c r="J121" s="37" t="str">
        <f>Sandbox!BS20</f>
        <v>No</v>
      </c>
      <c r="K121" s="37">
        <f t="shared" si="12"/>
        <v>0</v>
      </c>
      <c r="L121" s="37" t="str">
        <f>Sandbox!BQ20</f>
        <v>None</v>
      </c>
      <c r="M121" s="37">
        <f t="shared" si="13"/>
        <v>0</v>
      </c>
      <c r="N121" s="470" t="str">
        <f>IF(Sandbox!BT20="Roll","Yes","No")</f>
        <v>No</v>
      </c>
      <c r="O121" s="470">
        <f t="shared" si="14"/>
        <v>0</v>
      </c>
      <c r="P121" s="37" t="str">
        <f t="shared" si="15"/>
        <v>None</v>
      </c>
      <c r="Q121" s="470" t="str">
        <f>Sandbox!BU20</f>
        <v>Yes</v>
      </c>
      <c r="R121" s="37">
        <f t="shared" si="16"/>
        <v>0</v>
      </c>
      <c r="S121" s="470" t="str">
        <f>IF(Sandbox!BT20="Add","Yes","No")</f>
        <v>No</v>
      </c>
      <c r="T121" s="470">
        <f t="shared" si="17"/>
        <v>0</v>
      </c>
      <c r="U121" s="470" t="str">
        <f>Sandbox!BV20</f>
        <v>Yes</v>
      </c>
      <c r="V121" s="111">
        <f>IF(OR(F121="none",G121="V"),0,VLOOKUP(F121,'Purchased Boons'!$AR$4:$AS$27,2,FALSE))</f>
        <v>0</v>
      </c>
      <c r="W121" s="475">
        <f>Sandbox!BW20</f>
        <v>0</v>
      </c>
      <c r="X121" s="475">
        <f>Sandbox!BX20</f>
        <v>0</v>
      </c>
      <c r="Y121" s="37" t="s">
        <v>2293</v>
      </c>
      <c r="Z121" s="111" t="s">
        <v>817</v>
      </c>
      <c r="AG121" s="24"/>
      <c r="AH121" s="24"/>
    </row>
    <row r="122" spans="1:34" x14ac:dyDescent="0.25">
      <c r="A122" s="474" t="str">
        <f>IF(Sandbox!BL21="","",Sandbox!BL21)</f>
        <v/>
      </c>
      <c r="B122" s="39" t="str">
        <f>Sandbox!BM21</f>
        <v>Select</v>
      </c>
      <c r="C122" s="470" t="str">
        <f>IF(Sandbox!BN21="","",Sandbox!BN21)</f>
        <v/>
      </c>
      <c r="D122" s="470" t="str">
        <f>Sandbox!BO21</f>
        <v>None</v>
      </c>
      <c r="E122" s="37">
        <f t="shared" si="9"/>
        <v>0</v>
      </c>
      <c r="F122" s="470" t="str">
        <f>Sandbox!BP21</f>
        <v>None</v>
      </c>
      <c r="G122" s="37">
        <f t="shared" si="10"/>
        <v>0</v>
      </c>
      <c r="H122" s="37" t="str">
        <f>IF(Sandbox!BR21="Yes",Sandbox!BM21,"None")</f>
        <v>None</v>
      </c>
      <c r="I122" s="37">
        <f t="shared" si="11"/>
        <v>0</v>
      </c>
      <c r="J122" s="37" t="str">
        <f>Sandbox!BS21</f>
        <v>No</v>
      </c>
      <c r="K122" s="37">
        <f t="shared" si="12"/>
        <v>0</v>
      </c>
      <c r="L122" s="37" t="str">
        <f>Sandbox!BQ21</f>
        <v>None</v>
      </c>
      <c r="M122" s="37">
        <f t="shared" si="13"/>
        <v>0</v>
      </c>
      <c r="N122" s="470" t="str">
        <f>IF(Sandbox!BT21="Roll","Yes","No")</f>
        <v>No</v>
      </c>
      <c r="O122" s="470">
        <f t="shared" si="14"/>
        <v>0</v>
      </c>
      <c r="P122" s="37" t="str">
        <f t="shared" si="15"/>
        <v>None</v>
      </c>
      <c r="Q122" s="470" t="str">
        <f>Sandbox!BU21</f>
        <v>Yes</v>
      </c>
      <c r="R122" s="37">
        <f t="shared" si="16"/>
        <v>0</v>
      </c>
      <c r="S122" s="470" t="str">
        <f>IF(Sandbox!BT21="Add","Yes","No")</f>
        <v>No</v>
      </c>
      <c r="T122" s="470">
        <f t="shared" si="17"/>
        <v>0</v>
      </c>
      <c r="U122" s="470" t="str">
        <f>Sandbox!BV21</f>
        <v>Yes</v>
      </c>
      <c r="V122" s="111">
        <f>IF(OR(F122="none",G122="V"),0,VLOOKUP(F122,'Purchased Boons'!$AR$4:$AS$27,2,FALSE))</f>
        <v>0</v>
      </c>
      <c r="W122" s="475">
        <f>Sandbox!BW21</f>
        <v>0</v>
      </c>
      <c r="X122" s="475">
        <f>Sandbox!BX21</f>
        <v>0</v>
      </c>
      <c r="Y122" s="37" t="s">
        <v>2293</v>
      </c>
      <c r="Z122" s="111" t="s">
        <v>817</v>
      </c>
      <c r="AG122" s="24"/>
      <c r="AH122" s="24"/>
    </row>
    <row r="123" spans="1:34" x14ac:dyDescent="0.25">
      <c r="A123" s="474" t="str">
        <f>IF(Sandbox!BL22="","",Sandbox!BL22)</f>
        <v/>
      </c>
      <c r="B123" s="39" t="str">
        <f>Sandbox!BM22</f>
        <v>Select</v>
      </c>
      <c r="C123" s="470" t="str">
        <f>IF(Sandbox!BN22="","",Sandbox!BN22)</f>
        <v/>
      </c>
      <c r="D123" s="470" t="str">
        <f>Sandbox!BO22</f>
        <v>None</v>
      </c>
      <c r="E123" s="37">
        <f t="shared" si="9"/>
        <v>0</v>
      </c>
      <c r="F123" s="470" t="str">
        <f>Sandbox!BP22</f>
        <v>None</v>
      </c>
      <c r="G123" s="37">
        <f t="shared" si="10"/>
        <v>0</v>
      </c>
      <c r="H123" s="37" t="str">
        <f>IF(Sandbox!BR22="Yes",Sandbox!BM22,"None")</f>
        <v>None</v>
      </c>
      <c r="I123" s="37">
        <f t="shared" si="11"/>
        <v>0</v>
      </c>
      <c r="J123" s="37" t="str">
        <f>Sandbox!BS22</f>
        <v>No</v>
      </c>
      <c r="K123" s="37">
        <f t="shared" si="12"/>
        <v>0</v>
      </c>
      <c r="L123" s="37" t="str">
        <f>Sandbox!BQ22</f>
        <v>None</v>
      </c>
      <c r="M123" s="37">
        <f t="shared" si="13"/>
        <v>0</v>
      </c>
      <c r="N123" s="470" t="str">
        <f>IF(Sandbox!BT22="Roll","Yes","No")</f>
        <v>No</v>
      </c>
      <c r="O123" s="470">
        <f t="shared" si="14"/>
        <v>0</v>
      </c>
      <c r="P123" s="37" t="str">
        <f t="shared" si="15"/>
        <v>None</v>
      </c>
      <c r="Q123" s="470" t="str">
        <f>Sandbox!BU22</f>
        <v>Yes</v>
      </c>
      <c r="R123" s="37">
        <f t="shared" si="16"/>
        <v>0</v>
      </c>
      <c r="S123" s="470" t="str">
        <f>IF(Sandbox!BT22="Add","Yes","No")</f>
        <v>No</v>
      </c>
      <c r="T123" s="470">
        <f t="shared" si="17"/>
        <v>0</v>
      </c>
      <c r="U123" s="470" t="str">
        <f>Sandbox!BV22</f>
        <v>Yes</v>
      </c>
      <c r="V123" s="111">
        <f>IF(OR(F123="none",G123="V"),0,VLOOKUP(F123,'Purchased Boons'!$AR$4:$AS$27,2,FALSE))</f>
        <v>0</v>
      </c>
      <c r="W123" s="475">
        <f>Sandbox!BW22</f>
        <v>0</v>
      </c>
      <c r="X123" s="475">
        <f>Sandbox!BX22</f>
        <v>0</v>
      </c>
      <c r="Y123" s="37" t="s">
        <v>2293</v>
      </c>
      <c r="Z123" s="111" t="s">
        <v>817</v>
      </c>
      <c r="AG123" s="24"/>
      <c r="AH123" s="24"/>
    </row>
    <row r="124" spans="1:34" x14ac:dyDescent="0.25">
      <c r="A124" s="474" t="str">
        <f>IF(Sandbox!BL23="","",Sandbox!BL23)</f>
        <v/>
      </c>
      <c r="B124" s="39" t="str">
        <f>Sandbox!BM23</f>
        <v>Select</v>
      </c>
      <c r="C124" s="470" t="str">
        <f>IF(Sandbox!BN23="","",Sandbox!BN23)</f>
        <v/>
      </c>
      <c r="D124" s="470" t="str">
        <f>Sandbox!BO23</f>
        <v>None</v>
      </c>
      <c r="E124" s="37">
        <f t="shared" si="9"/>
        <v>0</v>
      </c>
      <c r="F124" s="470" t="str">
        <f>Sandbox!BP23</f>
        <v>None</v>
      </c>
      <c r="G124" s="37">
        <f t="shared" si="10"/>
        <v>0</v>
      </c>
      <c r="H124" s="37" t="str">
        <f>IF(Sandbox!BR23="Yes",Sandbox!BM23,"None")</f>
        <v>None</v>
      </c>
      <c r="I124" s="37">
        <f t="shared" si="11"/>
        <v>0</v>
      </c>
      <c r="J124" s="37" t="str">
        <f>Sandbox!BS23</f>
        <v>No</v>
      </c>
      <c r="K124" s="37">
        <f t="shared" si="12"/>
        <v>0</v>
      </c>
      <c r="L124" s="37" t="str">
        <f>Sandbox!BQ23</f>
        <v>None</v>
      </c>
      <c r="M124" s="37">
        <f t="shared" si="13"/>
        <v>0</v>
      </c>
      <c r="N124" s="470" t="str">
        <f>IF(Sandbox!BT23="Roll","Yes","No")</f>
        <v>No</v>
      </c>
      <c r="O124" s="470">
        <f t="shared" si="14"/>
        <v>0</v>
      </c>
      <c r="P124" s="37" t="str">
        <f t="shared" si="15"/>
        <v>None</v>
      </c>
      <c r="Q124" s="470" t="str">
        <f>Sandbox!BU23</f>
        <v>Yes</v>
      </c>
      <c r="R124" s="37">
        <f t="shared" si="16"/>
        <v>0</v>
      </c>
      <c r="S124" s="470" t="str">
        <f>IF(Sandbox!BT23="Add","Yes","No")</f>
        <v>No</v>
      </c>
      <c r="T124" s="470">
        <f t="shared" si="17"/>
        <v>0</v>
      </c>
      <c r="U124" s="470" t="str">
        <f>Sandbox!BV23</f>
        <v>Yes</v>
      </c>
      <c r="V124" s="111">
        <f>IF(OR(F124="none",G124="V"),0,VLOOKUP(F124,'Purchased Boons'!$AR$4:$AS$27,2,FALSE))</f>
        <v>0</v>
      </c>
      <c r="W124" s="475">
        <f>Sandbox!BW23</f>
        <v>0</v>
      </c>
      <c r="X124" s="475">
        <f>Sandbox!BX23</f>
        <v>0</v>
      </c>
      <c r="Y124" s="37" t="s">
        <v>2293</v>
      </c>
      <c r="Z124" s="111" t="s">
        <v>817</v>
      </c>
      <c r="AG124" s="24"/>
      <c r="AH124" s="24"/>
    </row>
    <row r="125" spans="1:34" x14ac:dyDescent="0.25">
      <c r="A125" s="474" t="str">
        <f>IF(Sandbox!BL24="","",Sandbox!BL24)</f>
        <v/>
      </c>
      <c r="B125" s="39" t="str">
        <f>Sandbox!BM24</f>
        <v>Select</v>
      </c>
      <c r="C125" s="470" t="str">
        <f>IF(Sandbox!BN24="","",Sandbox!BN24)</f>
        <v/>
      </c>
      <c r="D125" s="470" t="str">
        <f>Sandbox!BO24</f>
        <v>None</v>
      </c>
      <c r="E125" s="37">
        <f t="shared" si="9"/>
        <v>0</v>
      </c>
      <c r="F125" s="470" t="str">
        <f>Sandbox!BP24</f>
        <v>None</v>
      </c>
      <c r="G125" s="37">
        <f t="shared" si="10"/>
        <v>0</v>
      </c>
      <c r="H125" s="37" t="str">
        <f>IF(Sandbox!BR24="Yes",Sandbox!BM24,"None")</f>
        <v>None</v>
      </c>
      <c r="I125" s="37">
        <f t="shared" si="11"/>
        <v>0</v>
      </c>
      <c r="J125" s="37" t="str">
        <f>Sandbox!BS24</f>
        <v>No</v>
      </c>
      <c r="K125" s="37">
        <f t="shared" si="12"/>
        <v>0</v>
      </c>
      <c r="L125" s="37" t="str">
        <f>Sandbox!BQ24</f>
        <v>None</v>
      </c>
      <c r="M125" s="37">
        <f t="shared" si="13"/>
        <v>0</v>
      </c>
      <c r="N125" s="470" t="str">
        <f>IF(Sandbox!BT24="Roll","Yes","No")</f>
        <v>No</v>
      </c>
      <c r="O125" s="470">
        <f t="shared" si="14"/>
        <v>0</v>
      </c>
      <c r="P125" s="37" t="str">
        <f t="shared" si="15"/>
        <v>None</v>
      </c>
      <c r="Q125" s="470" t="str">
        <f>Sandbox!BU24</f>
        <v>Yes</v>
      </c>
      <c r="R125" s="37">
        <f t="shared" si="16"/>
        <v>0</v>
      </c>
      <c r="S125" s="470" t="str">
        <f>IF(Sandbox!BT24="Add","Yes","No")</f>
        <v>No</v>
      </c>
      <c r="T125" s="470">
        <f t="shared" si="17"/>
        <v>0</v>
      </c>
      <c r="U125" s="470" t="str">
        <f>Sandbox!BV24</f>
        <v>Yes</v>
      </c>
      <c r="V125" s="111">
        <f>IF(OR(F125="none",G125="V"),0,VLOOKUP(F125,'Purchased Boons'!$AR$4:$AS$27,2,FALSE))</f>
        <v>0</v>
      </c>
      <c r="W125" s="475">
        <f>Sandbox!BW24</f>
        <v>0</v>
      </c>
      <c r="X125" s="475">
        <f>Sandbox!BX24</f>
        <v>0</v>
      </c>
      <c r="Y125" s="37" t="s">
        <v>2293</v>
      </c>
      <c r="Z125" s="111" t="s">
        <v>817</v>
      </c>
      <c r="AG125" s="24"/>
      <c r="AH125" s="24"/>
    </row>
    <row r="126" spans="1:34" x14ac:dyDescent="0.25">
      <c r="A126" s="474" t="str">
        <f>IF(Sandbox!BL25="","",Sandbox!BL25)</f>
        <v/>
      </c>
      <c r="B126" s="39" t="str">
        <f>Sandbox!BM25</f>
        <v>Select</v>
      </c>
      <c r="C126" s="470" t="str">
        <f>IF(Sandbox!BN25="","",Sandbox!BN25)</f>
        <v/>
      </c>
      <c r="D126" s="470" t="str">
        <f>Sandbox!BO25</f>
        <v>None</v>
      </c>
      <c r="E126" s="37">
        <f t="shared" si="9"/>
        <v>0</v>
      </c>
      <c r="F126" s="470" t="str">
        <f>Sandbox!BP25</f>
        <v>None</v>
      </c>
      <c r="G126" s="37">
        <f t="shared" si="10"/>
        <v>0</v>
      </c>
      <c r="H126" s="37" t="str">
        <f>IF(Sandbox!BR25="Yes",Sandbox!BM25,"None")</f>
        <v>None</v>
      </c>
      <c r="I126" s="37">
        <f t="shared" si="11"/>
        <v>0</v>
      </c>
      <c r="J126" s="37" t="str">
        <f>Sandbox!BS25</f>
        <v>No</v>
      </c>
      <c r="K126" s="37">
        <f t="shared" si="12"/>
        <v>0</v>
      </c>
      <c r="L126" s="37" t="str">
        <f>Sandbox!BQ25</f>
        <v>None</v>
      </c>
      <c r="M126" s="37">
        <f t="shared" si="13"/>
        <v>0</v>
      </c>
      <c r="N126" s="470" t="str">
        <f>IF(Sandbox!BT25="Roll","Yes","No")</f>
        <v>No</v>
      </c>
      <c r="O126" s="470">
        <f t="shared" si="14"/>
        <v>0</v>
      </c>
      <c r="P126" s="37" t="str">
        <f t="shared" si="15"/>
        <v>None</v>
      </c>
      <c r="Q126" s="470" t="str">
        <f>Sandbox!BU25</f>
        <v>Yes</v>
      </c>
      <c r="R126" s="37">
        <f t="shared" si="16"/>
        <v>0</v>
      </c>
      <c r="S126" s="470" t="str">
        <f>IF(Sandbox!BT25="Add","Yes","No")</f>
        <v>No</v>
      </c>
      <c r="T126" s="470">
        <f t="shared" si="17"/>
        <v>0</v>
      </c>
      <c r="U126" s="470" t="str">
        <f>Sandbox!BV25</f>
        <v>Yes</v>
      </c>
      <c r="V126" s="111">
        <f>IF(OR(F126="none",G126="V"),0,VLOOKUP(F126,'Purchased Boons'!$AR$4:$AS$27,2,FALSE))</f>
        <v>0</v>
      </c>
      <c r="W126" s="475">
        <f>Sandbox!BW25</f>
        <v>0</v>
      </c>
      <c r="X126" s="475">
        <f>Sandbox!BX25</f>
        <v>0</v>
      </c>
      <c r="Y126" s="37" t="s">
        <v>2293</v>
      </c>
      <c r="Z126" s="111" t="s">
        <v>817</v>
      </c>
      <c r="AG126" s="24"/>
      <c r="AH126" s="24"/>
    </row>
    <row r="127" spans="1:34" x14ac:dyDescent="0.25">
      <c r="A127" s="474" t="str">
        <f>IF(Sandbox!BL26="","",Sandbox!BL26)</f>
        <v/>
      </c>
      <c r="B127" s="39" t="str">
        <f>Sandbox!BM26</f>
        <v>Select</v>
      </c>
      <c r="C127" s="470" t="str">
        <f>IF(Sandbox!BN26="","",Sandbox!BN26)</f>
        <v/>
      </c>
      <c r="D127" s="470" t="str">
        <f>Sandbox!BO26</f>
        <v>None</v>
      </c>
      <c r="E127" s="37">
        <f t="shared" si="9"/>
        <v>0</v>
      </c>
      <c r="F127" s="470" t="str">
        <f>Sandbox!BP26</f>
        <v>None</v>
      </c>
      <c r="G127" s="37">
        <f t="shared" si="10"/>
        <v>0</v>
      </c>
      <c r="H127" s="37" t="str">
        <f>IF(Sandbox!BR26="Yes",Sandbox!BM26,"None")</f>
        <v>None</v>
      </c>
      <c r="I127" s="37">
        <f t="shared" si="11"/>
        <v>0</v>
      </c>
      <c r="J127" s="37" t="str">
        <f>Sandbox!BS26</f>
        <v>No</v>
      </c>
      <c r="K127" s="37">
        <f t="shared" si="12"/>
        <v>0</v>
      </c>
      <c r="L127" s="37" t="str">
        <f>Sandbox!BQ26</f>
        <v>None</v>
      </c>
      <c r="M127" s="37">
        <f t="shared" si="13"/>
        <v>0</v>
      </c>
      <c r="N127" s="470" t="str">
        <f>IF(Sandbox!BT26="Roll","Yes","No")</f>
        <v>No</v>
      </c>
      <c r="O127" s="470">
        <f t="shared" si="14"/>
        <v>0</v>
      </c>
      <c r="P127" s="37" t="str">
        <f t="shared" si="15"/>
        <v>None</v>
      </c>
      <c r="Q127" s="470" t="str">
        <f>Sandbox!BU26</f>
        <v>Yes</v>
      </c>
      <c r="R127" s="37">
        <f t="shared" si="16"/>
        <v>0</v>
      </c>
      <c r="S127" s="470" t="str">
        <f>IF(Sandbox!BT26="Add","Yes","No")</f>
        <v>No</v>
      </c>
      <c r="T127" s="470">
        <f t="shared" si="17"/>
        <v>0</v>
      </c>
      <c r="U127" s="470" t="str">
        <f>Sandbox!BV26</f>
        <v>Yes</v>
      </c>
      <c r="V127" s="111">
        <f>IF(OR(F127="none",G127="V"),0,VLOOKUP(F127,'Purchased Boons'!$AR$4:$AS$27,2,FALSE))</f>
        <v>0</v>
      </c>
      <c r="W127" s="475">
        <f>Sandbox!BW26</f>
        <v>0</v>
      </c>
      <c r="X127" s="475">
        <f>Sandbox!BX26</f>
        <v>0</v>
      </c>
      <c r="Y127" s="37" t="s">
        <v>2293</v>
      </c>
      <c r="Z127" s="111" t="s">
        <v>817</v>
      </c>
      <c r="AG127" s="24"/>
      <c r="AH127" s="24"/>
    </row>
    <row r="128" spans="1:34" x14ac:dyDescent="0.25">
      <c r="A128" s="474" t="str">
        <f>IF(Sandbox!BL27="","",Sandbox!BL27)</f>
        <v/>
      </c>
      <c r="B128" s="39" t="str">
        <f>Sandbox!BM27</f>
        <v>Select</v>
      </c>
      <c r="C128" s="470" t="str">
        <f>IF(Sandbox!BN27="","",Sandbox!BN27)</f>
        <v/>
      </c>
      <c r="D128" s="470" t="str">
        <f>Sandbox!BO27</f>
        <v>None</v>
      </c>
      <c r="E128" s="37">
        <f t="shared" si="9"/>
        <v>0</v>
      </c>
      <c r="F128" s="470" t="str">
        <f>Sandbox!BP27</f>
        <v>None</v>
      </c>
      <c r="G128" s="37">
        <f t="shared" si="10"/>
        <v>0</v>
      </c>
      <c r="H128" s="37" t="str">
        <f>IF(Sandbox!BR27="Yes",Sandbox!BM27,"None")</f>
        <v>None</v>
      </c>
      <c r="I128" s="37">
        <f t="shared" si="11"/>
        <v>0</v>
      </c>
      <c r="J128" s="37" t="str">
        <f>Sandbox!BS27</f>
        <v>No</v>
      </c>
      <c r="K128" s="37">
        <f t="shared" si="12"/>
        <v>0</v>
      </c>
      <c r="L128" s="37" t="str">
        <f>Sandbox!BQ27</f>
        <v>None</v>
      </c>
      <c r="M128" s="37">
        <f t="shared" si="13"/>
        <v>0</v>
      </c>
      <c r="N128" s="470" t="str">
        <f>IF(Sandbox!BT27="Roll","Yes","No")</f>
        <v>No</v>
      </c>
      <c r="O128" s="470">
        <f t="shared" si="14"/>
        <v>0</v>
      </c>
      <c r="P128" s="37" t="str">
        <f t="shared" si="15"/>
        <v>None</v>
      </c>
      <c r="Q128" s="470" t="str">
        <f>Sandbox!BU27</f>
        <v>Yes</v>
      </c>
      <c r="R128" s="37">
        <f t="shared" si="16"/>
        <v>0</v>
      </c>
      <c r="S128" s="470" t="str">
        <f>IF(Sandbox!BT27="Add","Yes","No")</f>
        <v>No</v>
      </c>
      <c r="T128" s="470">
        <f t="shared" si="17"/>
        <v>0</v>
      </c>
      <c r="U128" s="470" t="str">
        <f>Sandbox!BV27</f>
        <v>Yes</v>
      </c>
      <c r="V128" s="111">
        <f>IF(OR(F128="none",G128="V"),0,VLOOKUP(F128,'Purchased Boons'!$AR$4:$AS$27,2,FALSE))</f>
        <v>0</v>
      </c>
      <c r="W128" s="475">
        <f>Sandbox!BW27</f>
        <v>0</v>
      </c>
      <c r="X128" s="475">
        <f>Sandbox!BX27</f>
        <v>0</v>
      </c>
      <c r="Y128" s="37" t="s">
        <v>2293</v>
      </c>
      <c r="Z128" s="111" t="s">
        <v>817</v>
      </c>
      <c r="AG128" s="24"/>
      <c r="AH128" s="24"/>
    </row>
    <row r="129" spans="1:34" x14ac:dyDescent="0.25">
      <c r="A129" s="474" t="str">
        <f>IF(Sandbox!BL28="","",Sandbox!BL28)</f>
        <v/>
      </c>
      <c r="B129" s="39" t="str">
        <f>Sandbox!BM28</f>
        <v>Select</v>
      </c>
      <c r="C129" s="470" t="str">
        <f>IF(Sandbox!BN28="","",Sandbox!BN28)</f>
        <v/>
      </c>
      <c r="D129" s="470" t="str">
        <f>Sandbox!BO28</f>
        <v>None</v>
      </c>
      <c r="E129" s="37">
        <f t="shared" si="9"/>
        <v>0</v>
      </c>
      <c r="F129" s="470" t="str">
        <f>Sandbox!BP28</f>
        <v>None</v>
      </c>
      <c r="G129" s="37">
        <f t="shared" si="10"/>
        <v>0</v>
      </c>
      <c r="H129" s="37" t="str">
        <f>IF(Sandbox!BR28="Yes",Sandbox!BM28,"None")</f>
        <v>None</v>
      </c>
      <c r="I129" s="37">
        <f t="shared" si="11"/>
        <v>0</v>
      </c>
      <c r="J129" s="37" t="str">
        <f>Sandbox!BS28</f>
        <v>No</v>
      </c>
      <c r="K129" s="37">
        <f t="shared" si="12"/>
        <v>0</v>
      </c>
      <c r="L129" s="37" t="str">
        <f>Sandbox!BQ28</f>
        <v>None</v>
      </c>
      <c r="M129" s="37">
        <f t="shared" si="13"/>
        <v>0</v>
      </c>
      <c r="N129" s="470" t="str">
        <f>IF(Sandbox!BT28="Roll","Yes","No")</f>
        <v>No</v>
      </c>
      <c r="O129" s="470">
        <f t="shared" si="14"/>
        <v>0</v>
      </c>
      <c r="P129" s="37" t="str">
        <f t="shared" si="15"/>
        <v>None</v>
      </c>
      <c r="Q129" s="470" t="str">
        <f>Sandbox!BU28</f>
        <v>Yes</v>
      </c>
      <c r="R129" s="37">
        <f t="shared" si="16"/>
        <v>0</v>
      </c>
      <c r="S129" s="470" t="str">
        <f>IF(Sandbox!BT28="Add","Yes","No")</f>
        <v>No</v>
      </c>
      <c r="T129" s="470">
        <f t="shared" si="17"/>
        <v>0</v>
      </c>
      <c r="U129" s="470" t="str">
        <f>Sandbox!BV28</f>
        <v>Yes</v>
      </c>
      <c r="V129" s="111">
        <f>IF(OR(F129="none",G129="V"),0,VLOOKUP(F129,'Purchased Boons'!$AR$4:$AS$27,2,FALSE))</f>
        <v>0</v>
      </c>
      <c r="W129" s="475">
        <f>Sandbox!BW28</f>
        <v>0</v>
      </c>
      <c r="X129" s="475">
        <f>Sandbox!BX28</f>
        <v>0</v>
      </c>
      <c r="Y129" s="37" t="s">
        <v>2293</v>
      </c>
      <c r="Z129" s="111" t="s">
        <v>817</v>
      </c>
      <c r="AG129" s="24"/>
      <c r="AH129" s="24"/>
    </row>
    <row r="130" spans="1:34" x14ac:dyDescent="0.25">
      <c r="A130" s="474" t="str">
        <f>IF(Sandbox!BL29="","",Sandbox!BL29)</f>
        <v/>
      </c>
      <c r="B130" s="39" t="str">
        <f>Sandbox!BM29</f>
        <v>Select</v>
      </c>
      <c r="C130" s="470" t="str">
        <f>IF(Sandbox!BN29="","",Sandbox!BN29)</f>
        <v/>
      </c>
      <c r="D130" s="470" t="str">
        <f>Sandbox!BO29</f>
        <v>None</v>
      </c>
      <c r="E130" s="37">
        <f t="shared" ref="E130:E423" si="18">VLOOKUP(D130,$AC$2:$AD$12,2,FALSE)</f>
        <v>0</v>
      </c>
      <c r="F130" s="470" t="str">
        <f>Sandbox!BP29</f>
        <v>None</v>
      </c>
      <c r="G130" s="37">
        <f t="shared" ref="G130:G423" si="19">VLOOKUP(F130,$AF$2:$AH$27,2,FALSE)</f>
        <v>0</v>
      </c>
      <c r="H130" s="37" t="str">
        <f>IF(Sandbox!BR29="Yes",Sandbox!BM29,"None")</f>
        <v>None</v>
      </c>
      <c r="I130" s="37">
        <f t="shared" ref="I130:I423" si="20">VLOOKUP(H130,$AI$2:$AJ$42,2,FALSE)</f>
        <v>0</v>
      </c>
      <c r="J130" s="37" t="str">
        <f>Sandbox!BS29</f>
        <v>No</v>
      </c>
      <c r="K130" s="37">
        <f t="shared" ref="K130:K423" si="21">IF(J130="Yes",$AJ$56,0)</f>
        <v>0</v>
      </c>
      <c r="L130" s="37" t="str">
        <f>Sandbox!BQ29</f>
        <v>None</v>
      </c>
      <c r="M130" s="37">
        <f t="shared" ref="M130:M423" si="22">VLOOKUP(L130,$AI$43:$AJ$55,2,FALSE)</f>
        <v>0</v>
      </c>
      <c r="N130" s="470" t="str">
        <f>IF(Sandbox!BT29="Roll","Yes","No")</f>
        <v>No</v>
      </c>
      <c r="O130" s="470">
        <f t="shared" ref="O130:O423" si="23">IF(N130="Yes",$AJ$57,0)</f>
        <v>0</v>
      </c>
      <c r="P130" s="37" t="str">
        <f t="shared" ref="P130:P423" si="24">IF(OR(D130="Varies",F130="Varies",H130="Varies",L130="Varies"),"Varies",IF(AND(D130="None",F130="None",H130="None",L130="None",J130="No",N130="No"),"None",CONCATENATE(E130+G130+V130+I130+K130+M130+O130," + ",R130+T130)))</f>
        <v>None</v>
      </c>
      <c r="Q130" s="470" t="str">
        <f>Sandbox!BU29</f>
        <v>Yes</v>
      </c>
      <c r="R130" s="37">
        <f t="shared" ref="R130:R423" si="25">IF(Q130="Yes",VLOOKUP(D130,$AC$2:$AE$12,3,FALSE),0)</f>
        <v>0</v>
      </c>
      <c r="S130" s="470" t="str">
        <f>IF(Sandbox!BT29="Add","Yes","No")</f>
        <v>No</v>
      </c>
      <c r="T130" s="470">
        <f t="shared" ref="T130:T423" si="26">IF(S130="Yes",$AJ$57,0)</f>
        <v>0</v>
      </c>
      <c r="U130" s="470" t="str">
        <f>Sandbox!BV29</f>
        <v>Yes</v>
      </c>
      <c r="V130" s="111">
        <f>IF(OR(F130="none",G130="V"),0,VLOOKUP(F130,'Purchased Boons'!$AR$4:$AS$27,2,FALSE))</f>
        <v>0</v>
      </c>
      <c r="W130" s="475">
        <f>Sandbox!BW29</f>
        <v>0</v>
      </c>
      <c r="X130" s="475">
        <f>Sandbox!BX29</f>
        <v>0</v>
      </c>
      <c r="Y130" s="37" t="s">
        <v>2293</v>
      </c>
      <c r="Z130" s="111" t="s">
        <v>817</v>
      </c>
      <c r="AG130" s="24"/>
      <c r="AH130" s="24"/>
    </row>
    <row r="131" spans="1:34" x14ac:dyDescent="0.25">
      <c r="A131" s="474" t="str">
        <f>IF(Sandbox!BL30="","",Sandbox!BL30)</f>
        <v/>
      </c>
      <c r="B131" s="39" t="str">
        <f>Sandbox!BM30</f>
        <v>Select</v>
      </c>
      <c r="C131" s="470" t="str">
        <f>IF(Sandbox!BN30="","",Sandbox!BN30)</f>
        <v/>
      </c>
      <c r="D131" s="470" t="str">
        <f>Sandbox!BO30</f>
        <v>None</v>
      </c>
      <c r="E131" s="37">
        <f t="shared" si="18"/>
        <v>0</v>
      </c>
      <c r="F131" s="470" t="str">
        <f>Sandbox!BP30</f>
        <v>None</v>
      </c>
      <c r="G131" s="37">
        <f t="shared" si="19"/>
        <v>0</v>
      </c>
      <c r="H131" s="37" t="str">
        <f>IF(Sandbox!BR30="Yes",Sandbox!BM30,"None")</f>
        <v>None</v>
      </c>
      <c r="I131" s="37">
        <f t="shared" si="20"/>
        <v>0</v>
      </c>
      <c r="J131" s="37" t="str">
        <f>Sandbox!BS30</f>
        <v>No</v>
      </c>
      <c r="K131" s="37">
        <f t="shared" si="21"/>
        <v>0</v>
      </c>
      <c r="L131" s="37" t="str">
        <f>Sandbox!BQ30</f>
        <v>None</v>
      </c>
      <c r="M131" s="37">
        <f t="shared" si="22"/>
        <v>0</v>
      </c>
      <c r="N131" s="470" t="str">
        <f>IF(Sandbox!BT30="Roll","Yes","No")</f>
        <v>No</v>
      </c>
      <c r="O131" s="470">
        <f t="shared" si="23"/>
        <v>0</v>
      </c>
      <c r="P131" s="37" t="str">
        <f t="shared" si="24"/>
        <v>None</v>
      </c>
      <c r="Q131" s="470" t="str">
        <f>Sandbox!BU30</f>
        <v>Yes</v>
      </c>
      <c r="R131" s="37">
        <f t="shared" si="25"/>
        <v>0</v>
      </c>
      <c r="S131" s="470" t="str">
        <f>IF(Sandbox!BT30="Add","Yes","No")</f>
        <v>No</v>
      </c>
      <c r="T131" s="470">
        <f t="shared" si="26"/>
        <v>0</v>
      </c>
      <c r="U131" s="470" t="str">
        <f>Sandbox!BV30</f>
        <v>Yes</v>
      </c>
      <c r="V131" s="111">
        <f>IF(OR(F131="none",G131="V"),0,VLOOKUP(F131,'Purchased Boons'!$AR$4:$AS$27,2,FALSE))</f>
        <v>0</v>
      </c>
      <c r="W131" s="475">
        <f>Sandbox!BW30</f>
        <v>0</v>
      </c>
      <c r="X131" s="475">
        <f>Sandbox!BX30</f>
        <v>0</v>
      </c>
      <c r="Y131" s="37" t="s">
        <v>2293</v>
      </c>
      <c r="Z131" s="111" t="s">
        <v>817</v>
      </c>
      <c r="AG131" s="24"/>
      <c r="AH131" s="24"/>
    </row>
    <row r="132" spans="1:34" x14ac:dyDescent="0.25">
      <c r="A132" s="474" t="str">
        <f>IF(Sandbox!BL31="","",Sandbox!BL31)</f>
        <v/>
      </c>
      <c r="B132" s="39" t="str">
        <f>Sandbox!BM31</f>
        <v>Select</v>
      </c>
      <c r="C132" s="470" t="str">
        <f>IF(Sandbox!BN31="","",Sandbox!BN31)</f>
        <v/>
      </c>
      <c r="D132" s="470" t="str">
        <f>Sandbox!BO31</f>
        <v>None</v>
      </c>
      <c r="E132" s="37">
        <f t="shared" si="18"/>
        <v>0</v>
      </c>
      <c r="F132" s="470" t="str">
        <f>Sandbox!BP31</f>
        <v>None</v>
      </c>
      <c r="G132" s="37">
        <f t="shared" si="19"/>
        <v>0</v>
      </c>
      <c r="H132" s="37" t="str">
        <f>IF(Sandbox!BR31="Yes",Sandbox!BM31,"None")</f>
        <v>None</v>
      </c>
      <c r="I132" s="37">
        <f t="shared" si="20"/>
        <v>0</v>
      </c>
      <c r="J132" s="37" t="str">
        <f>Sandbox!BS31</f>
        <v>No</v>
      </c>
      <c r="K132" s="37">
        <f t="shared" si="21"/>
        <v>0</v>
      </c>
      <c r="L132" s="37" t="str">
        <f>Sandbox!BQ31</f>
        <v>None</v>
      </c>
      <c r="M132" s="37">
        <f t="shared" si="22"/>
        <v>0</v>
      </c>
      <c r="N132" s="470" t="str">
        <f>IF(Sandbox!BT31="Roll","Yes","No")</f>
        <v>No</v>
      </c>
      <c r="O132" s="470">
        <f t="shared" si="23"/>
        <v>0</v>
      </c>
      <c r="P132" s="37" t="str">
        <f t="shared" si="24"/>
        <v>None</v>
      </c>
      <c r="Q132" s="470" t="str">
        <f>Sandbox!BU31</f>
        <v>Yes</v>
      </c>
      <c r="R132" s="37">
        <f t="shared" si="25"/>
        <v>0</v>
      </c>
      <c r="S132" s="470" t="str">
        <f>IF(Sandbox!BT31="Add","Yes","No")</f>
        <v>No</v>
      </c>
      <c r="T132" s="470">
        <f t="shared" si="26"/>
        <v>0</v>
      </c>
      <c r="U132" s="470" t="str">
        <f>Sandbox!BV31</f>
        <v>Yes</v>
      </c>
      <c r="V132" s="111">
        <f>IF(OR(F132="none",G132="V"),0,VLOOKUP(F132,'Purchased Boons'!$AR$4:$AS$27,2,FALSE))</f>
        <v>0</v>
      </c>
      <c r="W132" s="475">
        <f>Sandbox!BW31</f>
        <v>0</v>
      </c>
      <c r="X132" s="475">
        <f>Sandbox!BX31</f>
        <v>0</v>
      </c>
      <c r="Y132" s="37" t="s">
        <v>2293</v>
      </c>
      <c r="Z132" s="111" t="s">
        <v>817</v>
      </c>
      <c r="AG132" s="24"/>
      <c r="AH132" s="24"/>
    </row>
    <row r="133" spans="1:34" x14ac:dyDescent="0.25">
      <c r="A133" s="474" t="str">
        <f>IF(Sandbox!BL32="","",Sandbox!BL32)</f>
        <v/>
      </c>
      <c r="B133" s="39" t="str">
        <f>Sandbox!BM32</f>
        <v>Select</v>
      </c>
      <c r="C133" s="470" t="str">
        <f>IF(Sandbox!BN32="","",Sandbox!BN32)</f>
        <v/>
      </c>
      <c r="D133" s="470" t="str">
        <f>Sandbox!BO32</f>
        <v>None</v>
      </c>
      <c r="E133" s="37">
        <f t="shared" si="18"/>
        <v>0</v>
      </c>
      <c r="F133" s="470" t="str">
        <f>Sandbox!BP32</f>
        <v>None</v>
      </c>
      <c r="G133" s="37">
        <f t="shared" si="19"/>
        <v>0</v>
      </c>
      <c r="H133" s="37" t="str">
        <f>IF(Sandbox!BR32="Yes",Sandbox!BM32,"None")</f>
        <v>None</v>
      </c>
      <c r="I133" s="37">
        <f t="shared" si="20"/>
        <v>0</v>
      </c>
      <c r="J133" s="37" t="str">
        <f>Sandbox!BS32</f>
        <v>No</v>
      </c>
      <c r="K133" s="37">
        <f t="shared" si="21"/>
        <v>0</v>
      </c>
      <c r="L133" s="37" t="str">
        <f>Sandbox!BQ32</f>
        <v>None</v>
      </c>
      <c r="M133" s="37">
        <f t="shared" si="22"/>
        <v>0</v>
      </c>
      <c r="N133" s="470" t="str">
        <f>IF(Sandbox!BT32="Roll","Yes","No")</f>
        <v>No</v>
      </c>
      <c r="O133" s="470">
        <f t="shared" si="23"/>
        <v>0</v>
      </c>
      <c r="P133" s="37" t="str">
        <f t="shared" si="24"/>
        <v>None</v>
      </c>
      <c r="Q133" s="470" t="str">
        <f>Sandbox!BU32</f>
        <v>Yes</v>
      </c>
      <c r="R133" s="37">
        <f t="shared" si="25"/>
        <v>0</v>
      </c>
      <c r="S133" s="470" t="str">
        <f>IF(Sandbox!BT32="Add","Yes","No")</f>
        <v>No</v>
      </c>
      <c r="T133" s="470">
        <f t="shared" si="26"/>
        <v>0</v>
      </c>
      <c r="U133" s="470" t="str">
        <f>Sandbox!BV32</f>
        <v>Yes</v>
      </c>
      <c r="V133" s="111">
        <f>IF(OR(F133="none",G133="V"),0,VLOOKUP(F133,'Purchased Boons'!$AR$4:$AS$27,2,FALSE))</f>
        <v>0</v>
      </c>
      <c r="W133" s="475">
        <f>Sandbox!BW32</f>
        <v>0</v>
      </c>
      <c r="X133" s="475">
        <f>Sandbox!BX32</f>
        <v>0</v>
      </c>
      <c r="Y133" s="37" t="s">
        <v>2293</v>
      </c>
      <c r="Z133" s="111" t="s">
        <v>817</v>
      </c>
      <c r="AG133" s="24"/>
      <c r="AH133" s="24"/>
    </row>
    <row r="134" spans="1:34" x14ac:dyDescent="0.25">
      <c r="A134" s="474" t="str">
        <f>IF(Sandbox!BL33="","",Sandbox!BL33)</f>
        <v/>
      </c>
      <c r="B134" s="39" t="str">
        <f>Sandbox!BM33</f>
        <v>Select</v>
      </c>
      <c r="C134" s="470" t="str">
        <f>IF(Sandbox!BN33="","",Sandbox!BN33)</f>
        <v/>
      </c>
      <c r="D134" s="470" t="str">
        <f>Sandbox!BO33</f>
        <v>None</v>
      </c>
      <c r="E134" s="37">
        <f t="shared" si="18"/>
        <v>0</v>
      </c>
      <c r="F134" s="470" t="str">
        <f>Sandbox!BP33</f>
        <v>None</v>
      </c>
      <c r="G134" s="37">
        <f t="shared" si="19"/>
        <v>0</v>
      </c>
      <c r="H134" s="37" t="str">
        <f>IF(Sandbox!BR33="Yes",Sandbox!BM33,"None")</f>
        <v>None</v>
      </c>
      <c r="I134" s="37">
        <f t="shared" si="20"/>
        <v>0</v>
      </c>
      <c r="J134" s="37" t="str">
        <f>Sandbox!BS33</f>
        <v>No</v>
      </c>
      <c r="K134" s="37">
        <f t="shared" si="21"/>
        <v>0</v>
      </c>
      <c r="L134" s="37" t="str">
        <f>Sandbox!BQ33</f>
        <v>None</v>
      </c>
      <c r="M134" s="37">
        <f t="shared" si="22"/>
        <v>0</v>
      </c>
      <c r="N134" s="470" t="str">
        <f>IF(Sandbox!BT33="Roll","Yes","No")</f>
        <v>No</v>
      </c>
      <c r="O134" s="470">
        <f t="shared" si="23"/>
        <v>0</v>
      </c>
      <c r="P134" s="37" t="str">
        <f t="shared" si="24"/>
        <v>None</v>
      </c>
      <c r="Q134" s="470" t="str">
        <f>Sandbox!BU33</f>
        <v>Yes</v>
      </c>
      <c r="R134" s="37">
        <f t="shared" si="25"/>
        <v>0</v>
      </c>
      <c r="S134" s="470" t="str">
        <f>IF(Sandbox!BT33="Add","Yes","No")</f>
        <v>No</v>
      </c>
      <c r="T134" s="470">
        <f t="shared" si="26"/>
        <v>0</v>
      </c>
      <c r="U134" s="470" t="str">
        <f>Sandbox!BV33</f>
        <v>Yes</v>
      </c>
      <c r="V134" s="111">
        <f>IF(OR(F134="none",G134="V"),0,VLOOKUP(F134,'Purchased Boons'!$AR$4:$AS$27,2,FALSE))</f>
        <v>0</v>
      </c>
      <c r="W134" s="475">
        <f>Sandbox!BW33</f>
        <v>0</v>
      </c>
      <c r="X134" s="475">
        <f>Sandbox!BX33</f>
        <v>0</v>
      </c>
      <c r="Y134" s="37" t="s">
        <v>2293</v>
      </c>
      <c r="Z134" s="111" t="s">
        <v>817</v>
      </c>
      <c r="AG134" s="24"/>
      <c r="AH134" s="24"/>
    </row>
    <row r="135" spans="1:34" x14ac:dyDescent="0.25">
      <c r="A135" s="474" t="str">
        <f>IF(Sandbox!BL34="","",Sandbox!BL34)</f>
        <v/>
      </c>
      <c r="B135" s="39" t="str">
        <f>Sandbox!BM34</f>
        <v>Select</v>
      </c>
      <c r="C135" s="470" t="str">
        <f>IF(Sandbox!BN34="","",Sandbox!BN34)</f>
        <v/>
      </c>
      <c r="D135" s="470" t="str">
        <f>Sandbox!BO34</f>
        <v>None</v>
      </c>
      <c r="E135" s="37">
        <f t="shared" si="18"/>
        <v>0</v>
      </c>
      <c r="F135" s="470" t="str">
        <f>Sandbox!BP34</f>
        <v>None</v>
      </c>
      <c r="G135" s="37">
        <f t="shared" si="19"/>
        <v>0</v>
      </c>
      <c r="H135" s="37" t="str">
        <f>IF(Sandbox!BR34="Yes",Sandbox!BM34,"None")</f>
        <v>None</v>
      </c>
      <c r="I135" s="37">
        <f t="shared" si="20"/>
        <v>0</v>
      </c>
      <c r="J135" s="37" t="str">
        <f>Sandbox!BS34</f>
        <v>No</v>
      </c>
      <c r="K135" s="37">
        <f t="shared" si="21"/>
        <v>0</v>
      </c>
      <c r="L135" s="37" t="str">
        <f>Sandbox!BQ34</f>
        <v>None</v>
      </c>
      <c r="M135" s="37">
        <f t="shared" si="22"/>
        <v>0</v>
      </c>
      <c r="N135" s="470" t="str">
        <f>IF(Sandbox!BT34="Roll","Yes","No")</f>
        <v>No</v>
      </c>
      <c r="O135" s="470">
        <f t="shared" si="23"/>
        <v>0</v>
      </c>
      <c r="P135" s="37" t="str">
        <f t="shared" si="24"/>
        <v>None</v>
      </c>
      <c r="Q135" s="470" t="str">
        <f>Sandbox!BU34</f>
        <v>Yes</v>
      </c>
      <c r="R135" s="37">
        <f t="shared" si="25"/>
        <v>0</v>
      </c>
      <c r="S135" s="470" t="str">
        <f>IF(Sandbox!BT34="Add","Yes","No")</f>
        <v>No</v>
      </c>
      <c r="T135" s="470">
        <f t="shared" si="26"/>
        <v>0</v>
      </c>
      <c r="U135" s="470" t="str">
        <f>Sandbox!BV34</f>
        <v>Yes</v>
      </c>
      <c r="V135" s="111">
        <f>IF(OR(F135="none",G135="V"),0,VLOOKUP(F135,'Purchased Boons'!$AR$4:$AS$27,2,FALSE))</f>
        <v>0</v>
      </c>
      <c r="W135" s="475">
        <f>Sandbox!BW34</f>
        <v>0</v>
      </c>
      <c r="X135" s="475">
        <f>Sandbox!BX34</f>
        <v>0</v>
      </c>
      <c r="Y135" s="37" t="s">
        <v>2293</v>
      </c>
      <c r="Z135" s="111" t="s">
        <v>817</v>
      </c>
      <c r="AG135" s="24"/>
      <c r="AH135" s="24"/>
    </row>
    <row r="136" spans="1:34" x14ac:dyDescent="0.25">
      <c r="A136" s="474" t="str">
        <f>IF(Sandbox!BL35="","",Sandbox!BL35)</f>
        <v/>
      </c>
      <c r="B136" s="39" t="str">
        <f>Sandbox!BM35</f>
        <v>Select</v>
      </c>
      <c r="C136" s="470" t="str">
        <f>IF(Sandbox!BN35="","",Sandbox!BN35)</f>
        <v/>
      </c>
      <c r="D136" s="470" t="str">
        <f>Sandbox!BO35</f>
        <v>None</v>
      </c>
      <c r="E136" s="37">
        <f t="shared" si="18"/>
        <v>0</v>
      </c>
      <c r="F136" s="470" t="str">
        <f>Sandbox!BP35</f>
        <v>None</v>
      </c>
      <c r="G136" s="37">
        <f t="shared" si="19"/>
        <v>0</v>
      </c>
      <c r="H136" s="37" t="str">
        <f>IF(Sandbox!BR35="Yes",Sandbox!BM35,"None")</f>
        <v>None</v>
      </c>
      <c r="I136" s="37">
        <f t="shared" si="20"/>
        <v>0</v>
      </c>
      <c r="J136" s="37" t="str">
        <f>Sandbox!BS35</f>
        <v>No</v>
      </c>
      <c r="K136" s="37">
        <f t="shared" si="21"/>
        <v>0</v>
      </c>
      <c r="L136" s="37" t="str">
        <f>Sandbox!BQ35</f>
        <v>None</v>
      </c>
      <c r="M136" s="37">
        <f t="shared" si="22"/>
        <v>0</v>
      </c>
      <c r="N136" s="470" t="str">
        <f>IF(Sandbox!BT35="Roll","Yes","No")</f>
        <v>No</v>
      </c>
      <c r="O136" s="470">
        <f t="shared" si="23"/>
        <v>0</v>
      </c>
      <c r="P136" s="37" t="str">
        <f t="shared" si="24"/>
        <v>None</v>
      </c>
      <c r="Q136" s="470" t="str">
        <f>Sandbox!BU35</f>
        <v>Yes</v>
      </c>
      <c r="R136" s="37">
        <f t="shared" si="25"/>
        <v>0</v>
      </c>
      <c r="S136" s="470" t="str">
        <f>IF(Sandbox!BT35="Add","Yes","No")</f>
        <v>No</v>
      </c>
      <c r="T136" s="470">
        <f t="shared" si="26"/>
        <v>0</v>
      </c>
      <c r="U136" s="470" t="str">
        <f>Sandbox!BV35</f>
        <v>Yes</v>
      </c>
      <c r="V136" s="111">
        <f>IF(OR(F136="none",G136="V"),0,VLOOKUP(F136,'Purchased Boons'!$AR$4:$AS$27,2,FALSE))</f>
        <v>0</v>
      </c>
      <c r="W136" s="475">
        <f>Sandbox!BW35</f>
        <v>0</v>
      </c>
      <c r="X136" s="475">
        <f>Sandbox!BX35</f>
        <v>0</v>
      </c>
      <c r="Y136" s="37" t="s">
        <v>2293</v>
      </c>
      <c r="Z136" s="111" t="s">
        <v>817</v>
      </c>
      <c r="AG136" s="24"/>
      <c r="AH136" s="24"/>
    </row>
    <row r="137" spans="1:34" x14ac:dyDescent="0.25">
      <c r="A137" s="474" t="str">
        <f>IF(Sandbox!BL36="","",Sandbox!BL36)</f>
        <v/>
      </c>
      <c r="B137" s="39" t="str">
        <f>Sandbox!BM36</f>
        <v>Select</v>
      </c>
      <c r="C137" s="470" t="str">
        <f>IF(Sandbox!BN36="","",Sandbox!BN36)</f>
        <v/>
      </c>
      <c r="D137" s="470" t="str">
        <f>Sandbox!BO36</f>
        <v>None</v>
      </c>
      <c r="E137" s="37">
        <f t="shared" si="18"/>
        <v>0</v>
      </c>
      <c r="F137" s="470" t="str">
        <f>Sandbox!BP36</f>
        <v>None</v>
      </c>
      <c r="G137" s="37">
        <f t="shared" si="19"/>
        <v>0</v>
      </c>
      <c r="H137" s="37" t="str">
        <f>IF(Sandbox!BR36="Yes",Sandbox!BM36,"None")</f>
        <v>None</v>
      </c>
      <c r="I137" s="37">
        <f t="shared" si="20"/>
        <v>0</v>
      </c>
      <c r="J137" s="37" t="str">
        <f>Sandbox!BS36</f>
        <v>No</v>
      </c>
      <c r="K137" s="37">
        <f t="shared" si="21"/>
        <v>0</v>
      </c>
      <c r="L137" s="37" t="str">
        <f>Sandbox!BQ36</f>
        <v>None</v>
      </c>
      <c r="M137" s="37">
        <f t="shared" si="22"/>
        <v>0</v>
      </c>
      <c r="N137" s="470" t="str">
        <f>IF(Sandbox!BT36="Roll","Yes","No")</f>
        <v>No</v>
      </c>
      <c r="O137" s="470">
        <f t="shared" si="23"/>
        <v>0</v>
      </c>
      <c r="P137" s="37" t="str">
        <f t="shared" si="24"/>
        <v>None</v>
      </c>
      <c r="Q137" s="470" t="str">
        <f>Sandbox!BU36</f>
        <v>Yes</v>
      </c>
      <c r="R137" s="37">
        <f t="shared" si="25"/>
        <v>0</v>
      </c>
      <c r="S137" s="470" t="str">
        <f>IF(Sandbox!BT36="Add","Yes","No")</f>
        <v>No</v>
      </c>
      <c r="T137" s="470">
        <f t="shared" si="26"/>
        <v>0</v>
      </c>
      <c r="U137" s="470" t="str">
        <f>Sandbox!BV36</f>
        <v>Yes</v>
      </c>
      <c r="V137" s="111">
        <f>IF(OR(F137="none",G137="V"),0,VLOOKUP(F137,'Purchased Boons'!$AR$4:$AS$27,2,FALSE))</f>
        <v>0</v>
      </c>
      <c r="W137" s="475">
        <f>Sandbox!BW36</f>
        <v>0</v>
      </c>
      <c r="X137" s="475">
        <f>Sandbox!BX36</f>
        <v>0</v>
      </c>
      <c r="Y137" s="37" t="s">
        <v>2293</v>
      </c>
      <c r="Z137" s="111" t="s">
        <v>817</v>
      </c>
      <c r="AG137" s="24"/>
      <c r="AH137" s="24"/>
    </row>
    <row r="138" spans="1:34" x14ac:dyDescent="0.25">
      <c r="A138" s="474" t="str">
        <f>IF(Sandbox!BL37="","",Sandbox!BL37)</f>
        <v/>
      </c>
      <c r="B138" s="39" t="str">
        <f>Sandbox!BM37</f>
        <v>Select</v>
      </c>
      <c r="C138" s="470" t="str">
        <f>IF(Sandbox!BN37="","",Sandbox!BN37)</f>
        <v/>
      </c>
      <c r="D138" s="470" t="str">
        <f>Sandbox!BO37</f>
        <v>None</v>
      </c>
      <c r="E138" s="37">
        <f t="shared" si="18"/>
        <v>0</v>
      </c>
      <c r="F138" s="470" t="str">
        <f>Sandbox!BP37</f>
        <v>None</v>
      </c>
      <c r="G138" s="37">
        <f t="shared" si="19"/>
        <v>0</v>
      </c>
      <c r="H138" s="37" t="str">
        <f>IF(Sandbox!BR37="Yes",Sandbox!BM37,"None")</f>
        <v>None</v>
      </c>
      <c r="I138" s="37">
        <f t="shared" si="20"/>
        <v>0</v>
      </c>
      <c r="J138" s="37" t="str">
        <f>Sandbox!BS37</f>
        <v>No</v>
      </c>
      <c r="K138" s="37">
        <f t="shared" si="21"/>
        <v>0</v>
      </c>
      <c r="L138" s="37" t="str">
        <f>Sandbox!BQ37</f>
        <v>None</v>
      </c>
      <c r="M138" s="37">
        <f t="shared" si="22"/>
        <v>0</v>
      </c>
      <c r="N138" s="470" t="str">
        <f>IF(Sandbox!BT37="Roll","Yes","No")</f>
        <v>No</v>
      </c>
      <c r="O138" s="470">
        <f t="shared" si="23"/>
        <v>0</v>
      </c>
      <c r="P138" s="37" t="str">
        <f t="shared" si="24"/>
        <v>None</v>
      </c>
      <c r="Q138" s="470" t="str">
        <f>Sandbox!BU37</f>
        <v>Yes</v>
      </c>
      <c r="R138" s="37">
        <f t="shared" si="25"/>
        <v>0</v>
      </c>
      <c r="S138" s="470" t="str">
        <f>IF(Sandbox!BT37="Add","Yes","No")</f>
        <v>No</v>
      </c>
      <c r="T138" s="470">
        <f t="shared" si="26"/>
        <v>0</v>
      </c>
      <c r="U138" s="470" t="str">
        <f>Sandbox!BV37</f>
        <v>Yes</v>
      </c>
      <c r="V138" s="111">
        <f>IF(OR(F138="none",G138="V"),0,VLOOKUP(F138,'Purchased Boons'!$AR$4:$AS$27,2,FALSE))</f>
        <v>0</v>
      </c>
      <c r="W138" s="475">
        <f>Sandbox!BW37</f>
        <v>0</v>
      </c>
      <c r="X138" s="475">
        <f>Sandbox!BX37</f>
        <v>0</v>
      </c>
      <c r="Y138" s="37" t="s">
        <v>2293</v>
      </c>
      <c r="Z138" s="111" t="s">
        <v>817</v>
      </c>
      <c r="AG138" s="24"/>
      <c r="AH138" s="24"/>
    </row>
    <row r="139" spans="1:34" x14ac:dyDescent="0.25">
      <c r="A139" s="474" t="str">
        <f>IF(Sandbox!BL38="","",Sandbox!BL38)</f>
        <v/>
      </c>
      <c r="B139" s="39" t="str">
        <f>Sandbox!BM38</f>
        <v>Select</v>
      </c>
      <c r="C139" s="470" t="str">
        <f>IF(Sandbox!BN38="","",Sandbox!BN38)</f>
        <v/>
      </c>
      <c r="D139" s="470" t="str">
        <f>Sandbox!BO38</f>
        <v>None</v>
      </c>
      <c r="E139" s="37">
        <f t="shared" si="18"/>
        <v>0</v>
      </c>
      <c r="F139" s="470" t="str">
        <f>Sandbox!BP38</f>
        <v>None</v>
      </c>
      <c r="G139" s="37">
        <f t="shared" si="19"/>
        <v>0</v>
      </c>
      <c r="H139" s="37" t="str">
        <f>IF(Sandbox!BR38="Yes",Sandbox!BM38,"None")</f>
        <v>None</v>
      </c>
      <c r="I139" s="37">
        <f t="shared" si="20"/>
        <v>0</v>
      </c>
      <c r="J139" s="37" t="str">
        <f>Sandbox!BS38</f>
        <v>No</v>
      </c>
      <c r="K139" s="37">
        <f t="shared" si="21"/>
        <v>0</v>
      </c>
      <c r="L139" s="37" t="str">
        <f>Sandbox!BQ38</f>
        <v>None</v>
      </c>
      <c r="M139" s="37">
        <f t="shared" si="22"/>
        <v>0</v>
      </c>
      <c r="N139" s="470" t="str">
        <f>IF(Sandbox!BT38="Roll","Yes","No")</f>
        <v>No</v>
      </c>
      <c r="O139" s="470">
        <f t="shared" si="23"/>
        <v>0</v>
      </c>
      <c r="P139" s="37" t="str">
        <f t="shared" si="24"/>
        <v>None</v>
      </c>
      <c r="Q139" s="470" t="str">
        <f>Sandbox!BU38</f>
        <v>Yes</v>
      </c>
      <c r="R139" s="37">
        <f t="shared" si="25"/>
        <v>0</v>
      </c>
      <c r="S139" s="470" t="str">
        <f>IF(Sandbox!BT38="Add","Yes","No")</f>
        <v>No</v>
      </c>
      <c r="T139" s="470">
        <f t="shared" si="26"/>
        <v>0</v>
      </c>
      <c r="U139" s="470" t="str">
        <f>Sandbox!BV38</f>
        <v>Yes</v>
      </c>
      <c r="V139" s="111">
        <f>IF(OR(F139="none",G139="V"),0,VLOOKUP(F139,'Purchased Boons'!$AR$4:$AS$27,2,FALSE))</f>
        <v>0</v>
      </c>
      <c r="W139" s="475">
        <f>Sandbox!BW38</f>
        <v>0</v>
      </c>
      <c r="X139" s="475">
        <f>Sandbox!BX38</f>
        <v>0</v>
      </c>
      <c r="Y139" s="37" t="s">
        <v>2293</v>
      </c>
      <c r="Z139" s="111" t="s">
        <v>817</v>
      </c>
      <c r="AG139" s="24"/>
      <c r="AH139" s="24"/>
    </row>
    <row r="140" spans="1:34" x14ac:dyDescent="0.25">
      <c r="A140" s="474" t="str">
        <f>IF(Sandbox!BL39="","",Sandbox!BL39)</f>
        <v/>
      </c>
      <c r="B140" s="39" t="str">
        <f>Sandbox!BM39</f>
        <v>Select</v>
      </c>
      <c r="C140" s="470" t="str">
        <f>IF(Sandbox!BN39="","",Sandbox!BN39)</f>
        <v/>
      </c>
      <c r="D140" s="470" t="str">
        <f>Sandbox!BO39</f>
        <v>None</v>
      </c>
      <c r="E140" s="37">
        <f t="shared" si="18"/>
        <v>0</v>
      </c>
      <c r="F140" s="470" t="str">
        <f>Sandbox!BP39</f>
        <v>None</v>
      </c>
      <c r="G140" s="37">
        <f t="shared" si="19"/>
        <v>0</v>
      </c>
      <c r="H140" s="37" t="str">
        <f>IF(Sandbox!BR39="Yes",Sandbox!BM39,"None")</f>
        <v>None</v>
      </c>
      <c r="I140" s="37">
        <f t="shared" si="20"/>
        <v>0</v>
      </c>
      <c r="J140" s="37" t="str">
        <f>Sandbox!BS39</f>
        <v>No</v>
      </c>
      <c r="K140" s="37">
        <f t="shared" si="21"/>
        <v>0</v>
      </c>
      <c r="L140" s="37" t="str">
        <f>Sandbox!BQ39</f>
        <v>None</v>
      </c>
      <c r="M140" s="37">
        <f t="shared" si="22"/>
        <v>0</v>
      </c>
      <c r="N140" s="470" t="str">
        <f>IF(Sandbox!BT39="Roll","Yes","No")</f>
        <v>No</v>
      </c>
      <c r="O140" s="470">
        <f t="shared" si="23"/>
        <v>0</v>
      </c>
      <c r="P140" s="37" t="str">
        <f t="shared" si="24"/>
        <v>None</v>
      </c>
      <c r="Q140" s="470" t="str">
        <f>Sandbox!BU39</f>
        <v>Yes</v>
      </c>
      <c r="R140" s="37">
        <f t="shared" si="25"/>
        <v>0</v>
      </c>
      <c r="S140" s="470" t="str">
        <f>IF(Sandbox!BT39="Add","Yes","No")</f>
        <v>No</v>
      </c>
      <c r="T140" s="470">
        <f t="shared" si="26"/>
        <v>0</v>
      </c>
      <c r="U140" s="470" t="str">
        <f>Sandbox!BV39</f>
        <v>Yes</v>
      </c>
      <c r="V140" s="111">
        <f>IF(OR(F140="none",G140="V"),0,VLOOKUP(F140,'Purchased Boons'!$AR$4:$AS$27,2,FALSE))</f>
        <v>0</v>
      </c>
      <c r="W140" s="475">
        <f>Sandbox!BW39</f>
        <v>0</v>
      </c>
      <c r="X140" s="475">
        <f>Sandbox!BX39</f>
        <v>0</v>
      </c>
      <c r="Y140" s="37" t="s">
        <v>2293</v>
      </c>
      <c r="Z140" s="111" t="s">
        <v>817</v>
      </c>
      <c r="AG140" s="24"/>
      <c r="AH140" s="24"/>
    </row>
    <row r="141" spans="1:34" x14ac:dyDescent="0.25">
      <c r="A141" s="474" t="str">
        <f>IF(Sandbox!BL40="","",Sandbox!BL40)</f>
        <v/>
      </c>
      <c r="B141" s="39" t="str">
        <f>Sandbox!BM40</f>
        <v>Select</v>
      </c>
      <c r="C141" s="470" t="str">
        <f>IF(Sandbox!BN40="","",Sandbox!BN40)</f>
        <v/>
      </c>
      <c r="D141" s="470" t="str">
        <f>Sandbox!BO40</f>
        <v>None</v>
      </c>
      <c r="E141" s="37">
        <f t="shared" si="18"/>
        <v>0</v>
      </c>
      <c r="F141" s="470" t="str">
        <f>Sandbox!BP40</f>
        <v>None</v>
      </c>
      <c r="G141" s="37">
        <f t="shared" si="19"/>
        <v>0</v>
      </c>
      <c r="H141" s="37" t="str">
        <f>IF(Sandbox!BR40="Yes",Sandbox!BM40,"None")</f>
        <v>None</v>
      </c>
      <c r="I141" s="37">
        <f t="shared" si="20"/>
        <v>0</v>
      </c>
      <c r="J141" s="37" t="str">
        <f>Sandbox!BS40</f>
        <v>No</v>
      </c>
      <c r="K141" s="37">
        <f t="shared" si="21"/>
        <v>0</v>
      </c>
      <c r="L141" s="37" t="str">
        <f>Sandbox!BQ40</f>
        <v>None</v>
      </c>
      <c r="M141" s="37">
        <f t="shared" si="22"/>
        <v>0</v>
      </c>
      <c r="N141" s="470" t="str">
        <f>IF(Sandbox!BT40="Roll","Yes","No")</f>
        <v>No</v>
      </c>
      <c r="O141" s="470">
        <f t="shared" si="23"/>
        <v>0</v>
      </c>
      <c r="P141" s="37" t="str">
        <f t="shared" si="24"/>
        <v>None</v>
      </c>
      <c r="Q141" s="470" t="str">
        <f>Sandbox!BU40</f>
        <v>Yes</v>
      </c>
      <c r="R141" s="37">
        <f t="shared" si="25"/>
        <v>0</v>
      </c>
      <c r="S141" s="470" t="str">
        <f>IF(Sandbox!BT40="Add","Yes","No")</f>
        <v>No</v>
      </c>
      <c r="T141" s="470">
        <f t="shared" si="26"/>
        <v>0</v>
      </c>
      <c r="U141" s="470" t="str">
        <f>Sandbox!BV40</f>
        <v>Yes</v>
      </c>
      <c r="V141" s="111">
        <f>IF(OR(F141="none",G141="V"),0,VLOOKUP(F141,'Purchased Boons'!$AR$4:$AS$27,2,FALSE))</f>
        <v>0</v>
      </c>
      <c r="W141" s="475">
        <f>Sandbox!BW40</f>
        <v>0</v>
      </c>
      <c r="X141" s="475">
        <f>Sandbox!BX40</f>
        <v>0</v>
      </c>
      <c r="Y141" s="37" t="s">
        <v>2293</v>
      </c>
      <c r="Z141" s="111" t="s">
        <v>817</v>
      </c>
      <c r="AG141" s="24"/>
      <c r="AH141" s="24"/>
    </row>
    <row r="142" spans="1:34" x14ac:dyDescent="0.25">
      <c r="A142" s="474" t="str">
        <f>IF(Sandbox!BL41="","",Sandbox!BL41)</f>
        <v/>
      </c>
      <c r="B142" s="39" t="str">
        <f>Sandbox!BM41</f>
        <v>Select</v>
      </c>
      <c r="C142" s="470" t="str">
        <f>IF(Sandbox!BN41="","",Sandbox!BN41)</f>
        <v/>
      </c>
      <c r="D142" s="470" t="str">
        <f>Sandbox!BO41</f>
        <v>None</v>
      </c>
      <c r="E142" s="37">
        <f t="shared" si="18"/>
        <v>0</v>
      </c>
      <c r="F142" s="470" t="str">
        <f>Sandbox!BP41</f>
        <v>None</v>
      </c>
      <c r="G142" s="37">
        <f t="shared" si="19"/>
        <v>0</v>
      </c>
      <c r="H142" s="37" t="str">
        <f>IF(Sandbox!BR41="Yes",Sandbox!BM41,"None")</f>
        <v>None</v>
      </c>
      <c r="I142" s="37">
        <f t="shared" si="20"/>
        <v>0</v>
      </c>
      <c r="J142" s="37" t="str">
        <f>Sandbox!BS41</f>
        <v>No</v>
      </c>
      <c r="K142" s="37">
        <f t="shared" si="21"/>
        <v>0</v>
      </c>
      <c r="L142" s="37" t="str">
        <f>Sandbox!BQ41</f>
        <v>None</v>
      </c>
      <c r="M142" s="37">
        <f t="shared" si="22"/>
        <v>0</v>
      </c>
      <c r="N142" s="470" t="str">
        <f>IF(Sandbox!BT41="Roll","Yes","No")</f>
        <v>No</v>
      </c>
      <c r="O142" s="470">
        <f t="shared" si="23"/>
        <v>0</v>
      </c>
      <c r="P142" s="37" t="str">
        <f t="shared" si="24"/>
        <v>None</v>
      </c>
      <c r="Q142" s="470" t="str">
        <f>Sandbox!BU41</f>
        <v>Yes</v>
      </c>
      <c r="R142" s="37">
        <f t="shared" si="25"/>
        <v>0</v>
      </c>
      <c r="S142" s="470" t="str">
        <f>IF(Sandbox!BT41="Add","Yes","No")</f>
        <v>No</v>
      </c>
      <c r="T142" s="470">
        <f t="shared" si="26"/>
        <v>0</v>
      </c>
      <c r="U142" s="470" t="str">
        <f>Sandbox!BV41</f>
        <v>Yes</v>
      </c>
      <c r="V142" s="111">
        <f>IF(OR(F142="none",G142="V"),0,VLOOKUP(F142,'Purchased Boons'!$AR$4:$AS$27,2,FALSE))</f>
        <v>0</v>
      </c>
      <c r="W142" s="475">
        <f>Sandbox!BW41</f>
        <v>0</v>
      </c>
      <c r="X142" s="475">
        <f>Sandbox!BX41</f>
        <v>0</v>
      </c>
      <c r="Y142" s="37" t="s">
        <v>2293</v>
      </c>
      <c r="Z142" s="111" t="s">
        <v>817</v>
      </c>
      <c r="AG142" s="24"/>
      <c r="AH142" s="24"/>
    </row>
    <row r="143" spans="1:34" x14ac:dyDescent="0.25">
      <c r="A143" s="474" t="str">
        <f>IF(Sandbox!BL42="","",Sandbox!BL42)</f>
        <v/>
      </c>
      <c r="B143" s="39" t="str">
        <f>Sandbox!BM42</f>
        <v>Select</v>
      </c>
      <c r="C143" s="470" t="str">
        <f>IF(Sandbox!BN42="","",Sandbox!BN42)</f>
        <v/>
      </c>
      <c r="D143" s="470" t="str">
        <f>Sandbox!BO42</f>
        <v>None</v>
      </c>
      <c r="E143" s="37">
        <f t="shared" si="18"/>
        <v>0</v>
      </c>
      <c r="F143" s="470" t="str">
        <f>Sandbox!BP42</f>
        <v>None</v>
      </c>
      <c r="G143" s="37">
        <f t="shared" si="19"/>
        <v>0</v>
      </c>
      <c r="H143" s="37" t="str">
        <f>IF(Sandbox!BR42="Yes",Sandbox!BM42,"None")</f>
        <v>None</v>
      </c>
      <c r="I143" s="37">
        <f t="shared" si="20"/>
        <v>0</v>
      </c>
      <c r="J143" s="37" t="str">
        <f>Sandbox!BS42</f>
        <v>No</v>
      </c>
      <c r="K143" s="37">
        <f t="shared" si="21"/>
        <v>0</v>
      </c>
      <c r="L143" s="37" t="str">
        <f>Sandbox!BQ42</f>
        <v>None</v>
      </c>
      <c r="M143" s="37">
        <f t="shared" si="22"/>
        <v>0</v>
      </c>
      <c r="N143" s="470" t="str">
        <f>IF(Sandbox!BT42="Roll","Yes","No")</f>
        <v>No</v>
      </c>
      <c r="O143" s="470">
        <f t="shared" si="23"/>
        <v>0</v>
      </c>
      <c r="P143" s="37" t="str">
        <f t="shared" si="24"/>
        <v>None</v>
      </c>
      <c r="Q143" s="470" t="str">
        <f>Sandbox!BU42</f>
        <v>Yes</v>
      </c>
      <c r="R143" s="37">
        <f t="shared" si="25"/>
        <v>0</v>
      </c>
      <c r="S143" s="470" t="str">
        <f>IF(Sandbox!BT42="Add","Yes","No")</f>
        <v>No</v>
      </c>
      <c r="T143" s="470">
        <f t="shared" si="26"/>
        <v>0</v>
      </c>
      <c r="U143" s="470" t="str">
        <f>Sandbox!BV42</f>
        <v>Yes</v>
      </c>
      <c r="V143" s="111">
        <f>IF(OR(F143="none",G143="V"),0,VLOOKUP(F143,'Purchased Boons'!$AR$4:$AS$27,2,FALSE))</f>
        <v>0</v>
      </c>
      <c r="W143" s="475">
        <f>Sandbox!BW42</f>
        <v>0</v>
      </c>
      <c r="X143" s="475">
        <f>Sandbox!BX42</f>
        <v>0</v>
      </c>
      <c r="Y143" s="37" t="s">
        <v>2293</v>
      </c>
      <c r="Z143" s="111" t="s">
        <v>817</v>
      </c>
      <c r="AG143" s="24"/>
      <c r="AH143" s="24"/>
    </row>
    <row r="144" spans="1:34" x14ac:dyDescent="0.25">
      <c r="A144" s="474" t="str">
        <f>IF(Sandbox!BL43="","",Sandbox!BL43)</f>
        <v/>
      </c>
      <c r="B144" s="39" t="str">
        <f>Sandbox!BM43</f>
        <v>Select</v>
      </c>
      <c r="C144" s="470" t="str">
        <f>IF(Sandbox!BN43="","",Sandbox!BN43)</f>
        <v/>
      </c>
      <c r="D144" s="470" t="str">
        <f>Sandbox!BO43</f>
        <v>None</v>
      </c>
      <c r="E144" s="37">
        <f t="shared" si="18"/>
        <v>0</v>
      </c>
      <c r="F144" s="470" t="str">
        <f>Sandbox!BP43</f>
        <v>None</v>
      </c>
      <c r="G144" s="37">
        <f t="shared" si="19"/>
        <v>0</v>
      </c>
      <c r="H144" s="37" t="str">
        <f>IF(Sandbox!BR43="Yes",Sandbox!BM43,"None")</f>
        <v>None</v>
      </c>
      <c r="I144" s="37">
        <f t="shared" si="20"/>
        <v>0</v>
      </c>
      <c r="J144" s="37" t="str">
        <f>Sandbox!BS43</f>
        <v>No</v>
      </c>
      <c r="K144" s="37">
        <f t="shared" si="21"/>
        <v>0</v>
      </c>
      <c r="L144" s="37" t="str">
        <f>Sandbox!BQ43</f>
        <v>None</v>
      </c>
      <c r="M144" s="37">
        <f t="shared" si="22"/>
        <v>0</v>
      </c>
      <c r="N144" s="470" t="str">
        <f>IF(Sandbox!BT43="Roll","Yes","No")</f>
        <v>No</v>
      </c>
      <c r="O144" s="470">
        <f t="shared" si="23"/>
        <v>0</v>
      </c>
      <c r="P144" s="37" t="str">
        <f t="shared" si="24"/>
        <v>None</v>
      </c>
      <c r="Q144" s="470" t="str">
        <f>Sandbox!BU43</f>
        <v>Yes</v>
      </c>
      <c r="R144" s="37">
        <f t="shared" si="25"/>
        <v>0</v>
      </c>
      <c r="S144" s="470" t="str">
        <f>IF(Sandbox!BT43="Add","Yes","No")</f>
        <v>No</v>
      </c>
      <c r="T144" s="470">
        <f t="shared" si="26"/>
        <v>0</v>
      </c>
      <c r="U144" s="470" t="str">
        <f>Sandbox!BV43</f>
        <v>Yes</v>
      </c>
      <c r="V144" s="111">
        <f>IF(OR(F144="none",G144="V"),0,VLOOKUP(F144,'Purchased Boons'!$AR$4:$AS$27,2,FALSE))</f>
        <v>0</v>
      </c>
      <c r="W144" s="475">
        <f>Sandbox!BW43</f>
        <v>0</v>
      </c>
      <c r="X144" s="475">
        <f>Sandbox!BX43</f>
        <v>0</v>
      </c>
      <c r="Y144" s="37" t="s">
        <v>2293</v>
      </c>
      <c r="Z144" s="111" t="s">
        <v>817</v>
      </c>
      <c r="AG144" s="24"/>
      <c r="AH144" s="24"/>
    </row>
    <row r="145" spans="1:34" x14ac:dyDescent="0.25">
      <c r="A145" s="474" t="str">
        <f>IF(Sandbox!BL44="","",Sandbox!BL44)</f>
        <v/>
      </c>
      <c r="B145" s="39" t="str">
        <f>Sandbox!BM44</f>
        <v>Select</v>
      </c>
      <c r="C145" s="470" t="str">
        <f>IF(Sandbox!BN44="","",Sandbox!BN44)</f>
        <v/>
      </c>
      <c r="D145" s="470" t="str">
        <f>Sandbox!BO44</f>
        <v>None</v>
      </c>
      <c r="E145" s="37">
        <f t="shared" si="18"/>
        <v>0</v>
      </c>
      <c r="F145" s="470" t="str">
        <f>Sandbox!BP44</f>
        <v>None</v>
      </c>
      <c r="G145" s="37">
        <f t="shared" si="19"/>
        <v>0</v>
      </c>
      <c r="H145" s="37" t="str">
        <f>IF(Sandbox!BR44="Yes",Sandbox!BM44,"None")</f>
        <v>None</v>
      </c>
      <c r="I145" s="37">
        <f t="shared" si="20"/>
        <v>0</v>
      </c>
      <c r="J145" s="37" t="str">
        <f>Sandbox!BS44</f>
        <v>No</v>
      </c>
      <c r="K145" s="37">
        <f t="shared" si="21"/>
        <v>0</v>
      </c>
      <c r="L145" s="37" t="str">
        <f>Sandbox!BQ44</f>
        <v>None</v>
      </c>
      <c r="M145" s="37">
        <f t="shared" si="22"/>
        <v>0</v>
      </c>
      <c r="N145" s="470" t="str">
        <f>IF(Sandbox!BT44="Roll","Yes","No")</f>
        <v>No</v>
      </c>
      <c r="O145" s="470">
        <f t="shared" si="23"/>
        <v>0</v>
      </c>
      <c r="P145" s="37" t="str">
        <f t="shared" si="24"/>
        <v>None</v>
      </c>
      <c r="Q145" s="470" t="str">
        <f>Sandbox!BU44</f>
        <v>Yes</v>
      </c>
      <c r="R145" s="37">
        <f t="shared" si="25"/>
        <v>0</v>
      </c>
      <c r="S145" s="470" t="str">
        <f>IF(Sandbox!BT44="Add","Yes","No")</f>
        <v>No</v>
      </c>
      <c r="T145" s="470">
        <f t="shared" si="26"/>
        <v>0</v>
      </c>
      <c r="U145" s="470" t="str">
        <f>Sandbox!BV44</f>
        <v>Yes</v>
      </c>
      <c r="V145" s="111">
        <f>IF(OR(F145="none",G145="V"),0,VLOOKUP(F145,'Purchased Boons'!$AR$4:$AS$27,2,FALSE))</f>
        <v>0</v>
      </c>
      <c r="W145" s="475">
        <f>Sandbox!BW44</f>
        <v>0</v>
      </c>
      <c r="X145" s="475">
        <f>Sandbox!BX44</f>
        <v>0</v>
      </c>
      <c r="Y145" s="37" t="s">
        <v>2293</v>
      </c>
      <c r="Z145" s="111" t="s">
        <v>817</v>
      </c>
      <c r="AG145" s="24"/>
      <c r="AH145" s="24"/>
    </row>
    <row r="146" spans="1:34" x14ac:dyDescent="0.25">
      <c r="A146" s="474" t="str">
        <f>IF(Sandbox!BL45="","",Sandbox!BL45)</f>
        <v/>
      </c>
      <c r="B146" s="39" t="str">
        <f>Sandbox!BM45</f>
        <v>Select</v>
      </c>
      <c r="C146" s="470" t="str">
        <f>IF(Sandbox!BN45="","",Sandbox!BN45)</f>
        <v/>
      </c>
      <c r="D146" s="470" t="str">
        <f>Sandbox!BO45</f>
        <v>None</v>
      </c>
      <c r="E146" s="37">
        <f t="shared" si="18"/>
        <v>0</v>
      </c>
      <c r="F146" s="470" t="str">
        <f>Sandbox!BP45</f>
        <v>None</v>
      </c>
      <c r="G146" s="37">
        <f t="shared" si="19"/>
        <v>0</v>
      </c>
      <c r="H146" s="37" t="str">
        <f>IF(Sandbox!BR45="Yes",Sandbox!BM45,"None")</f>
        <v>None</v>
      </c>
      <c r="I146" s="37">
        <f t="shared" si="20"/>
        <v>0</v>
      </c>
      <c r="J146" s="37" t="str">
        <f>Sandbox!BS45</f>
        <v>No</v>
      </c>
      <c r="K146" s="37">
        <f t="shared" si="21"/>
        <v>0</v>
      </c>
      <c r="L146" s="37" t="str">
        <f>Sandbox!BQ45</f>
        <v>None</v>
      </c>
      <c r="M146" s="37">
        <f t="shared" si="22"/>
        <v>0</v>
      </c>
      <c r="N146" s="470" t="str">
        <f>IF(Sandbox!BT45="Roll","Yes","No")</f>
        <v>No</v>
      </c>
      <c r="O146" s="470">
        <f t="shared" si="23"/>
        <v>0</v>
      </c>
      <c r="P146" s="37" t="str">
        <f t="shared" si="24"/>
        <v>None</v>
      </c>
      <c r="Q146" s="470" t="str">
        <f>Sandbox!BU45</f>
        <v>Yes</v>
      </c>
      <c r="R146" s="37">
        <f t="shared" si="25"/>
        <v>0</v>
      </c>
      <c r="S146" s="470" t="str">
        <f>IF(Sandbox!BT45="Add","Yes","No")</f>
        <v>No</v>
      </c>
      <c r="T146" s="470">
        <f t="shared" si="26"/>
        <v>0</v>
      </c>
      <c r="U146" s="470" t="str">
        <f>Sandbox!BV45</f>
        <v>Yes</v>
      </c>
      <c r="V146" s="111">
        <f>IF(OR(F146="none",G146="V"),0,VLOOKUP(F146,'Purchased Boons'!$AR$4:$AS$27,2,FALSE))</f>
        <v>0</v>
      </c>
      <c r="W146" s="475">
        <f>Sandbox!BW45</f>
        <v>0</v>
      </c>
      <c r="X146" s="475">
        <f>Sandbox!BX45</f>
        <v>0</v>
      </c>
      <c r="Y146" s="37" t="s">
        <v>2293</v>
      </c>
      <c r="Z146" s="111" t="s">
        <v>817</v>
      </c>
      <c r="AG146" s="24"/>
      <c r="AH146" s="24"/>
    </row>
    <row r="147" spans="1:34" x14ac:dyDescent="0.25">
      <c r="A147" s="474" t="str">
        <f>IF(Sandbox!BL46="","",Sandbox!BL46)</f>
        <v/>
      </c>
      <c r="B147" s="39" t="str">
        <f>Sandbox!BM46</f>
        <v>Select</v>
      </c>
      <c r="C147" s="470" t="str">
        <f>IF(Sandbox!BN46="","",Sandbox!BN46)</f>
        <v/>
      </c>
      <c r="D147" s="470" t="str">
        <f>Sandbox!BO46</f>
        <v>None</v>
      </c>
      <c r="E147" s="37">
        <f t="shared" si="18"/>
        <v>0</v>
      </c>
      <c r="F147" s="470" t="str">
        <f>Sandbox!BP46</f>
        <v>None</v>
      </c>
      <c r="G147" s="37">
        <f t="shared" si="19"/>
        <v>0</v>
      </c>
      <c r="H147" s="37" t="str">
        <f>IF(Sandbox!BR46="Yes",Sandbox!BM46,"None")</f>
        <v>None</v>
      </c>
      <c r="I147" s="37">
        <f t="shared" si="20"/>
        <v>0</v>
      </c>
      <c r="J147" s="37" t="str">
        <f>Sandbox!BS46</f>
        <v>No</v>
      </c>
      <c r="K147" s="37">
        <f t="shared" si="21"/>
        <v>0</v>
      </c>
      <c r="L147" s="37" t="str">
        <f>Sandbox!BQ46</f>
        <v>None</v>
      </c>
      <c r="M147" s="37">
        <f t="shared" si="22"/>
        <v>0</v>
      </c>
      <c r="N147" s="470" t="str">
        <f>IF(Sandbox!BT46="Roll","Yes","No")</f>
        <v>No</v>
      </c>
      <c r="O147" s="470">
        <f t="shared" si="23"/>
        <v>0</v>
      </c>
      <c r="P147" s="37" t="str">
        <f t="shared" si="24"/>
        <v>None</v>
      </c>
      <c r="Q147" s="470" t="str">
        <f>Sandbox!BU46</f>
        <v>Yes</v>
      </c>
      <c r="R147" s="37">
        <f t="shared" si="25"/>
        <v>0</v>
      </c>
      <c r="S147" s="470" t="str">
        <f>IF(Sandbox!BT46="Add","Yes","No")</f>
        <v>No</v>
      </c>
      <c r="T147" s="470">
        <f t="shared" si="26"/>
        <v>0</v>
      </c>
      <c r="U147" s="470" t="str">
        <f>Sandbox!BV46</f>
        <v>Yes</v>
      </c>
      <c r="V147" s="111">
        <f>IF(OR(F147="none",G147="V"),0,VLOOKUP(F147,'Purchased Boons'!$AR$4:$AS$27,2,FALSE))</f>
        <v>0</v>
      </c>
      <c r="W147" s="475">
        <f>Sandbox!BW46</f>
        <v>0</v>
      </c>
      <c r="X147" s="475">
        <f>Sandbox!BX46</f>
        <v>0</v>
      </c>
      <c r="Y147" s="37" t="s">
        <v>2293</v>
      </c>
      <c r="Z147" s="111" t="s">
        <v>817</v>
      </c>
      <c r="AG147" s="24"/>
      <c r="AH147" s="24"/>
    </row>
    <row r="148" spans="1:34" x14ac:dyDescent="0.25">
      <c r="A148" s="474" t="str">
        <f>IF(Sandbox!BL47="","",Sandbox!BL47)</f>
        <v/>
      </c>
      <c r="B148" s="39" t="str">
        <f>Sandbox!BM47</f>
        <v>Select</v>
      </c>
      <c r="C148" s="470" t="str">
        <f>IF(Sandbox!BN47="","",Sandbox!BN47)</f>
        <v/>
      </c>
      <c r="D148" s="470" t="str">
        <f>Sandbox!BO47</f>
        <v>None</v>
      </c>
      <c r="E148" s="37">
        <f t="shared" si="18"/>
        <v>0</v>
      </c>
      <c r="F148" s="470" t="str">
        <f>Sandbox!BP47</f>
        <v>None</v>
      </c>
      <c r="G148" s="37">
        <f t="shared" si="19"/>
        <v>0</v>
      </c>
      <c r="H148" s="37" t="str">
        <f>IF(Sandbox!BR47="Yes",Sandbox!BM47,"None")</f>
        <v>None</v>
      </c>
      <c r="I148" s="37">
        <f t="shared" si="20"/>
        <v>0</v>
      </c>
      <c r="J148" s="37" t="str">
        <f>Sandbox!BS47</f>
        <v>No</v>
      </c>
      <c r="K148" s="37">
        <f t="shared" si="21"/>
        <v>0</v>
      </c>
      <c r="L148" s="37" t="str">
        <f>Sandbox!BQ47</f>
        <v>None</v>
      </c>
      <c r="M148" s="37">
        <f t="shared" si="22"/>
        <v>0</v>
      </c>
      <c r="N148" s="470" t="str">
        <f>IF(Sandbox!BT47="Roll","Yes","No")</f>
        <v>No</v>
      </c>
      <c r="O148" s="470">
        <f t="shared" si="23"/>
        <v>0</v>
      </c>
      <c r="P148" s="37" t="str">
        <f t="shared" si="24"/>
        <v>None</v>
      </c>
      <c r="Q148" s="470" t="str">
        <f>Sandbox!BU47</f>
        <v>Yes</v>
      </c>
      <c r="R148" s="37">
        <f t="shared" si="25"/>
        <v>0</v>
      </c>
      <c r="S148" s="470" t="str">
        <f>IF(Sandbox!BT47="Add","Yes","No")</f>
        <v>No</v>
      </c>
      <c r="T148" s="470">
        <f t="shared" si="26"/>
        <v>0</v>
      </c>
      <c r="U148" s="470" t="str">
        <f>Sandbox!BV47</f>
        <v>Yes</v>
      </c>
      <c r="V148" s="111">
        <f>IF(OR(F148="none",G148="V"),0,VLOOKUP(F148,'Purchased Boons'!$AR$4:$AS$27,2,FALSE))</f>
        <v>0</v>
      </c>
      <c r="W148" s="475">
        <f>Sandbox!BW47</f>
        <v>0</v>
      </c>
      <c r="X148" s="475">
        <f>Sandbox!BX47</f>
        <v>0</v>
      </c>
      <c r="Y148" s="37" t="s">
        <v>2293</v>
      </c>
      <c r="Z148" s="111" t="s">
        <v>817</v>
      </c>
      <c r="AG148" s="24"/>
      <c r="AH148" s="24"/>
    </row>
    <row r="149" spans="1:34" x14ac:dyDescent="0.25">
      <c r="A149" s="474" t="str">
        <f>IF(Sandbox!BL48="","",Sandbox!BL48)</f>
        <v/>
      </c>
      <c r="B149" s="39" t="str">
        <f>Sandbox!BM48</f>
        <v>Select</v>
      </c>
      <c r="C149" s="470" t="str">
        <f>IF(Sandbox!BN48="","",Sandbox!BN48)</f>
        <v/>
      </c>
      <c r="D149" s="470" t="str">
        <f>Sandbox!BO48</f>
        <v>None</v>
      </c>
      <c r="E149" s="37">
        <f t="shared" si="18"/>
        <v>0</v>
      </c>
      <c r="F149" s="470" t="str">
        <f>Sandbox!BP48</f>
        <v>None</v>
      </c>
      <c r="G149" s="37">
        <f t="shared" si="19"/>
        <v>0</v>
      </c>
      <c r="H149" s="37" t="str">
        <f>IF(Sandbox!BR48="Yes",Sandbox!BM48,"None")</f>
        <v>None</v>
      </c>
      <c r="I149" s="37">
        <f t="shared" si="20"/>
        <v>0</v>
      </c>
      <c r="J149" s="37" t="str">
        <f>Sandbox!BS48</f>
        <v>No</v>
      </c>
      <c r="K149" s="37">
        <f t="shared" si="21"/>
        <v>0</v>
      </c>
      <c r="L149" s="37" t="str">
        <f>Sandbox!BQ48</f>
        <v>None</v>
      </c>
      <c r="M149" s="37">
        <f t="shared" si="22"/>
        <v>0</v>
      </c>
      <c r="N149" s="470" t="str">
        <f>IF(Sandbox!BT48="Roll","Yes","No")</f>
        <v>No</v>
      </c>
      <c r="O149" s="470">
        <f t="shared" si="23"/>
        <v>0</v>
      </c>
      <c r="P149" s="37" t="str">
        <f t="shared" si="24"/>
        <v>None</v>
      </c>
      <c r="Q149" s="470" t="str">
        <f>Sandbox!BU48</f>
        <v>Yes</v>
      </c>
      <c r="R149" s="37">
        <f t="shared" si="25"/>
        <v>0</v>
      </c>
      <c r="S149" s="470" t="str">
        <f>IF(Sandbox!BT48="Add","Yes","No")</f>
        <v>No</v>
      </c>
      <c r="T149" s="470">
        <f t="shared" si="26"/>
        <v>0</v>
      </c>
      <c r="U149" s="470" t="str">
        <f>Sandbox!BV48</f>
        <v>Yes</v>
      </c>
      <c r="V149" s="111">
        <f>IF(OR(F149="none",G149="V"),0,VLOOKUP(F149,'Purchased Boons'!$AR$4:$AS$27,2,FALSE))</f>
        <v>0</v>
      </c>
      <c r="W149" s="475">
        <f>Sandbox!BW48</f>
        <v>0</v>
      </c>
      <c r="X149" s="475">
        <f>Sandbox!BX48</f>
        <v>0</v>
      </c>
      <c r="Y149" s="37" t="s">
        <v>2293</v>
      </c>
      <c r="Z149" s="111" t="s">
        <v>817</v>
      </c>
      <c r="AG149" s="24"/>
      <c r="AH149" s="24"/>
    </row>
    <row r="150" spans="1:34" x14ac:dyDescent="0.25">
      <c r="A150" s="474" t="str">
        <f>IF(Sandbox!BL49="","",Sandbox!BL49)</f>
        <v/>
      </c>
      <c r="B150" s="39" t="str">
        <f>Sandbox!BM49</f>
        <v>Select</v>
      </c>
      <c r="C150" s="470" t="str">
        <f>IF(Sandbox!BN49="","",Sandbox!BN49)</f>
        <v/>
      </c>
      <c r="D150" s="470" t="str">
        <f>Sandbox!BO49</f>
        <v>None</v>
      </c>
      <c r="E150" s="37">
        <f t="shared" si="18"/>
        <v>0</v>
      </c>
      <c r="F150" s="470" t="str">
        <f>Sandbox!BP49</f>
        <v>None</v>
      </c>
      <c r="G150" s="37">
        <f t="shared" si="19"/>
        <v>0</v>
      </c>
      <c r="H150" s="37" t="str">
        <f>IF(Sandbox!BR49="Yes",Sandbox!BM49,"None")</f>
        <v>None</v>
      </c>
      <c r="I150" s="37">
        <f t="shared" si="20"/>
        <v>0</v>
      </c>
      <c r="J150" s="37" t="str">
        <f>Sandbox!BS49</f>
        <v>No</v>
      </c>
      <c r="K150" s="37">
        <f t="shared" si="21"/>
        <v>0</v>
      </c>
      <c r="L150" s="37" t="str">
        <f>Sandbox!BQ49</f>
        <v>None</v>
      </c>
      <c r="M150" s="37">
        <f t="shared" si="22"/>
        <v>0</v>
      </c>
      <c r="N150" s="470" t="str">
        <f>IF(Sandbox!BT49="Roll","Yes","No")</f>
        <v>No</v>
      </c>
      <c r="O150" s="470">
        <f t="shared" si="23"/>
        <v>0</v>
      </c>
      <c r="P150" s="37" t="str">
        <f t="shared" si="24"/>
        <v>None</v>
      </c>
      <c r="Q150" s="470" t="str">
        <f>Sandbox!BU49</f>
        <v>Yes</v>
      </c>
      <c r="R150" s="37">
        <f t="shared" si="25"/>
        <v>0</v>
      </c>
      <c r="S150" s="470" t="str">
        <f>IF(Sandbox!BT49="Add","Yes","No")</f>
        <v>No</v>
      </c>
      <c r="T150" s="470">
        <f t="shared" si="26"/>
        <v>0</v>
      </c>
      <c r="U150" s="470" t="str">
        <f>Sandbox!BV49</f>
        <v>Yes</v>
      </c>
      <c r="V150" s="111">
        <f>IF(OR(F150="none",G150="V"),0,VLOOKUP(F150,'Purchased Boons'!$AR$4:$AS$27,2,FALSE))</f>
        <v>0</v>
      </c>
      <c r="W150" s="475">
        <f>Sandbox!BW49</f>
        <v>0</v>
      </c>
      <c r="X150" s="475">
        <f>Sandbox!BX49</f>
        <v>0</v>
      </c>
      <c r="Y150" s="37" t="s">
        <v>2293</v>
      </c>
      <c r="Z150" s="111" t="s">
        <v>817</v>
      </c>
      <c r="AG150" s="24"/>
      <c r="AH150" s="24"/>
    </row>
    <row r="151" spans="1:34" x14ac:dyDescent="0.25">
      <c r="A151" s="474" t="str">
        <f>IF(Sandbox!BL50="","",Sandbox!BL50)</f>
        <v/>
      </c>
      <c r="B151" s="39" t="str">
        <f>Sandbox!BM50</f>
        <v>Select</v>
      </c>
      <c r="C151" s="470" t="str">
        <f>IF(Sandbox!BN50="","",Sandbox!BN50)</f>
        <v/>
      </c>
      <c r="D151" s="470" t="str">
        <f>Sandbox!BO50</f>
        <v>None</v>
      </c>
      <c r="E151" s="37">
        <f t="shared" si="18"/>
        <v>0</v>
      </c>
      <c r="F151" s="470" t="str">
        <f>Sandbox!BP50</f>
        <v>None</v>
      </c>
      <c r="G151" s="37">
        <f t="shared" si="19"/>
        <v>0</v>
      </c>
      <c r="H151" s="37" t="str">
        <f>IF(Sandbox!BR50="Yes",Sandbox!BM50,"None")</f>
        <v>None</v>
      </c>
      <c r="I151" s="37">
        <f t="shared" si="20"/>
        <v>0</v>
      </c>
      <c r="J151" s="37" t="str">
        <f>Sandbox!BS50</f>
        <v>No</v>
      </c>
      <c r="K151" s="37">
        <f t="shared" si="21"/>
        <v>0</v>
      </c>
      <c r="L151" s="37" t="str">
        <f>Sandbox!BQ50</f>
        <v>None</v>
      </c>
      <c r="M151" s="37">
        <f t="shared" si="22"/>
        <v>0</v>
      </c>
      <c r="N151" s="470" t="str">
        <f>IF(Sandbox!BT50="Roll","Yes","No")</f>
        <v>No</v>
      </c>
      <c r="O151" s="470">
        <f t="shared" si="23"/>
        <v>0</v>
      </c>
      <c r="P151" s="37" t="str">
        <f t="shared" si="24"/>
        <v>None</v>
      </c>
      <c r="Q151" s="470" t="str">
        <f>Sandbox!BU50</f>
        <v>Yes</v>
      </c>
      <c r="R151" s="37">
        <f t="shared" si="25"/>
        <v>0</v>
      </c>
      <c r="S151" s="470" t="str">
        <f>IF(Sandbox!BT50="Add","Yes","No")</f>
        <v>No</v>
      </c>
      <c r="T151" s="470">
        <f t="shared" si="26"/>
        <v>0</v>
      </c>
      <c r="U151" s="470" t="str">
        <f>Sandbox!BV50</f>
        <v>Yes</v>
      </c>
      <c r="V151" s="111">
        <f>IF(OR(F151="none",G151="V"),0,VLOOKUP(F151,'Purchased Boons'!$AR$4:$AS$27,2,FALSE))</f>
        <v>0</v>
      </c>
      <c r="W151" s="475">
        <f>Sandbox!BW50</f>
        <v>0</v>
      </c>
      <c r="X151" s="475">
        <f>Sandbox!BX50</f>
        <v>0</v>
      </c>
      <c r="Y151" s="37" t="s">
        <v>2293</v>
      </c>
      <c r="Z151" s="111" t="s">
        <v>817</v>
      </c>
      <c r="AG151" s="24"/>
      <c r="AH151" s="24"/>
    </row>
    <row r="152" spans="1:34" x14ac:dyDescent="0.25">
      <c r="A152" s="474" t="str">
        <f>IF(Sandbox!BL51="","",Sandbox!BL51)</f>
        <v/>
      </c>
      <c r="B152" s="39" t="str">
        <f>Sandbox!BM51</f>
        <v>Select</v>
      </c>
      <c r="C152" s="470" t="str">
        <f>IF(Sandbox!BN51="","",Sandbox!BN51)</f>
        <v/>
      </c>
      <c r="D152" s="470" t="str">
        <f>Sandbox!BO51</f>
        <v>None</v>
      </c>
      <c r="E152" s="37">
        <f t="shared" si="18"/>
        <v>0</v>
      </c>
      <c r="F152" s="470" t="str">
        <f>Sandbox!BP51</f>
        <v>None</v>
      </c>
      <c r="G152" s="37">
        <f t="shared" si="19"/>
        <v>0</v>
      </c>
      <c r="H152" s="37" t="str">
        <f>IF(Sandbox!BR51="Yes",Sandbox!BM51,"None")</f>
        <v>None</v>
      </c>
      <c r="I152" s="37">
        <f t="shared" si="20"/>
        <v>0</v>
      </c>
      <c r="J152" s="37" t="str">
        <f>Sandbox!BS51</f>
        <v>No</v>
      </c>
      <c r="K152" s="37">
        <f t="shared" si="21"/>
        <v>0</v>
      </c>
      <c r="L152" s="37" t="str">
        <f>Sandbox!BQ51</f>
        <v>None</v>
      </c>
      <c r="M152" s="37">
        <f t="shared" si="22"/>
        <v>0</v>
      </c>
      <c r="N152" s="470" t="str">
        <f>IF(Sandbox!BT51="Roll","Yes","No")</f>
        <v>No</v>
      </c>
      <c r="O152" s="470">
        <f t="shared" si="23"/>
        <v>0</v>
      </c>
      <c r="P152" s="37" t="str">
        <f t="shared" si="24"/>
        <v>None</v>
      </c>
      <c r="Q152" s="470" t="str">
        <f>Sandbox!BU51</f>
        <v>Yes</v>
      </c>
      <c r="R152" s="37">
        <f t="shared" si="25"/>
        <v>0</v>
      </c>
      <c r="S152" s="470" t="str">
        <f>IF(Sandbox!BT51="Add","Yes","No")</f>
        <v>No</v>
      </c>
      <c r="T152" s="470">
        <f t="shared" si="26"/>
        <v>0</v>
      </c>
      <c r="U152" s="470" t="str">
        <f>Sandbox!BV51</f>
        <v>Yes</v>
      </c>
      <c r="V152" s="111">
        <f>IF(OR(F152="none",G152="V"),0,VLOOKUP(F152,'Purchased Boons'!$AR$4:$AS$27,2,FALSE))</f>
        <v>0</v>
      </c>
      <c r="W152" s="475">
        <f>Sandbox!BW51</f>
        <v>0</v>
      </c>
      <c r="X152" s="475">
        <f>Sandbox!BX51</f>
        <v>0</v>
      </c>
      <c r="Y152" s="37" t="s">
        <v>2293</v>
      </c>
      <c r="Z152" s="111" t="s">
        <v>817</v>
      </c>
      <c r="AG152" s="24"/>
      <c r="AH152" s="24"/>
    </row>
    <row r="153" spans="1:34" x14ac:dyDescent="0.25">
      <c r="A153" s="474" t="str">
        <f>IF(Sandbox!BL52="","",Sandbox!BL52)</f>
        <v/>
      </c>
      <c r="B153" s="39" t="str">
        <f>Sandbox!BM52</f>
        <v>Select</v>
      </c>
      <c r="C153" s="470" t="str">
        <f>IF(Sandbox!BN52="","",Sandbox!BN52)</f>
        <v/>
      </c>
      <c r="D153" s="470" t="str">
        <f>Sandbox!BO52</f>
        <v>None</v>
      </c>
      <c r="E153" s="37">
        <f t="shared" si="18"/>
        <v>0</v>
      </c>
      <c r="F153" s="470" t="str">
        <f>Sandbox!BP52</f>
        <v>None</v>
      </c>
      <c r="G153" s="37">
        <f t="shared" si="19"/>
        <v>0</v>
      </c>
      <c r="H153" s="37" t="str">
        <f>IF(Sandbox!BR52="Yes",Sandbox!BM52,"None")</f>
        <v>None</v>
      </c>
      <c r="I153" s="37">
        <f t="shared" si="20"/>
        <v>0</v>
      </c>
      <c r="J153" s="37" t="str">
        <f>Sandbox!BS52</f>
        <v>No</v>
      </c>
      <c r="K153" s="37">
        <f t="shared" si="21"/>
        <v>0</v>
      </c>
      <c r="L153" s="37" t="str">
        <f>Sandbox!BQ52</f>
        <v>None</v>
      </c>
      <c r="M153" s="37">
        <f t="shared" si="22"/>
        <v>0</v>
      </c>
      <c r="N153" s="470" t="str">
        <f>IF(Sandbox!BT52="Roll","Yes","No")</f>
        <v>No</v>
      </c>
      <c r="O153" s="470">
        <f t="shared" si="23"/>
        <v>0</v>
      </c>
      <c r="P153" s="37" t="str">
        <f t="shared" si="24"/>
        <v>None</v>
      </c>
      <c r="Q153" s="470" t="str">
        <f>Sandbox!BU52</f>
        <v>Yes</v>
      </c>
      <c r="R153" s="37">
        <f t="shared" si="25"/>
        <v>0</v>
      </c>
      <c r="S153" s="470" t="str">
        <f>IF(Sandbox!BT52="Add","Yes","No")</f>
        <v>No</v>
      </c>
      <c r="T153" s="470">
        <f t="shared" si="26"/>
        <v>0</v>
      </c>
      <c r="U153" s="470" t="str">
        <f>Sandbox!BV52</f>
        <v>Yes</v>
      </c>
      <c r="V153" s="111">
        <f>IF(OR(F153="none",G153="V"),0,VLOOKUP(F153,'Purchased Boons'!$AR$4:$AS$27,2,FALSE))</f>
        <v>0</v>
      </c>
      <c r="W153" s="475">
        <f>Sandbox!BW52</f>
        <v>0</v>
      </c>
      <c r="X153" s="475">
        <f>Sandbox!BX52</f>
        <v>0</v>
      </c>
      <c r="Y153" s="37" t="s">
        <v>2293</v>
      </c>
      <c r="Z153" s="111" t="s">
        <v>817</v>
      </c>
      <c r="AG153" s="24"/>
      <c r="AH153" s="24"/>
    </row>
    <row r="154" spans="1:34" x14ac:dyDescent="0.25">
      <c r="A154" s="474" t="str">
        <f>IF(Sandbox!BL53="","",Sandbox!BL53)</f>
        <v/>
      </c>
      <c r="B154" s="39" t="str">
        <f>Sandbox!BM53</f>
        <v>Select</v>
      </c>
      <c r="C154" s="470" t="str">
        <f>IF(Sandbox!BN53="","",Sandbox!BN53)</f>
        <v/>
      </c>
      <c r="D154" s="470" t="str">
        <f>Sandbox!BO53</f>
        <v>None</v>
      </c>
      <c r="E154" s="37">
        <f t="shared" si="18"/>
        <v>0</v>
      </c>
      <c r="F154" s="470" t="str">
        <f>Sandbox!BP53</f>
        <v>None</v>
      </c>
      <c r="G154" s="37">
        <f t="shared" si="19"/>
        <v>0</v>
      </c>
      <c r="H154" s="37" t="str">
        <f>IF(Sandbox!BR53="Yes",Sandbox!BM53,"None")</f>
        <v>None</v>
      </c>
      <c r="I154" s="37">
        <f t="shared" si="20"/>
        <v>0</v>
      </c>
      <c r="J154" s="37" t="str">
        <f>Sandbox!BS53</f>
        <v>No</v>
      </c>
      <c r="K154" s="37">
        <f t="shared" si="21"/>
        <v>0</v>
      </c>
      <c r="L154" s="37" t="str">
        <f>Sandbox!BQ53</f>
        <v>None</v>
      </c>
      <c r="M154" s="37">
        <f t="shared" si="22"/>
        <v>0</v>
      </c>
      <c r="N154" s="470" t="str">
        <f>IF(Sandbox!BT53="Roll","Yes","No")</f>
        <v>No</v>
      </c>
      <c r="O154" s="470">
        <f t="shared" si="23"/>
        <v>0</v>
      </c>
      <c r="P154" s="37" t="str">
        <f t="shared" si="24"/>
        <v>None</v>
      </c>
      <c r="Q154" s="470" t="str">
        <f>Sandbox!BU53</f>
        <v>Yes</v>
      </c>
      <c r="R154" s="37">
        <f t="shared" si="25"/>
        <v>0</v>
      </c>
      <c r="S154" s="470" t="str">
        <f>IF(Sandbox!BT53="Add","Yes","No")</f>
        <v>No</v>
      </c>
      <c r="T154" s="470">
        <f t="shared" si="26"/>
        <v>0</v>
      </c>
      <c r="U154" s="470" t="str">
        <f>Sandbox!BV53</f>
        <v>Yes</v>
      </c>
      <c r="V154" s="111">
        <f>IF(OR(F154="none",G154="V"),0,VLOOKUP(F154,'Purchased Boons'!$AR$4:$AS$27,2,FALSE))</f>
        <v>0</v>
      </c>
      <c r="W154" s="475">
        <f>Sandbox!BW53</f>
        <v>0</v>
      </c>
      <c r="X154" s="475">
        <f>Sandbox!BX53</f>
        <v>0</v>
      </c>
      <c r="Y154" s="37" t="s">
        <v>2293</v>
      </c>
      <c r="Z154" s="111" t="s">
        <v>817</v>
      </c>
      <c r="AG154" s="24"/>
      <c r="AH154" s="24"/>
    </row>
    <row r="155" spans="1:34" x14ac:dyDescent="0.25">
      <c r="A155" s="474" t="str">
        <f>IF(Sandbox!BL54="","",Sandbox!BL54)</f>
        <v/>
      </c>
      <c r="B155" s="39" t="str">
        <f>Sandbox!BM54</f>
        <v>Select</v>
      </c>
      <c r="C155" s="470" t="str">
        <f>IF(Sandbox!BN54="","",Sandbox!BN54)</f>
        <v/>
      </c>
      <c r="D155" s="470" t="str">
        <f>Sandbox!BO54</f>
        <v>None</v>
      </c>
      <c r="E155" s="37">
        <f t="shared" si="18"/>
        <v>0</v>
      </c>
      <c r="F155" s="470" t="str">
        <f>Sandbox!BP54</f>
        <v>None</v>
      </c>
      <c r="G155" s="37">
        <f t="shared" si="19"/>
        <v>0</v>
      </c>
      <c r="H155" s="37" t="str">
        <f>IF(Sandbox!BR54="Yes",Sandbox!BM54,"None")</f>
        <v>None</v>
      </c>
      <c r="I155" s="37">
        <f t="shared" si="20"/>
        <v>0</v>
      </c>
      <c r="J155" s="37" t="str">
        <f>Sandbox!BS54</f>
        <v>No</v>
      </c>
      <c r="K155" s="37">
        <f t="shared" si="21"/>
        <v>0</v>
      </c>
      <c r="L155" s="37" t="str">
        <f>Sandbox!BQ54</f>
        <v>None</v>
      </c>
      <c r="M155" s="37">
        <f t="shared" si="22"/>
        <v>0</v>
      </c>
      <c r="N155" s="470" t="str">
        <f>IF(Sandbox!BT54="Roll","Yes","No")</f>
        <v>No</v>
      </c>
      <c r="O155" s="470">
        <f t="shared" si="23"/>
        <v>0</v>
      </c>
      <c r="P155" s="37" t="str">
        <f t="shared" si="24"/>
        <v>None</v>
      </c>
      <c r="Q155" s="470" t="str">
        <f>Sandbox!BU54</f>
        <v>Yes</v>
      </c>
      <c r="R155" s="37">
        <f t="shared" si="25"/>
        <v>0</v>
      </c>
      <c r="S155" s="470" t="str">
        <f>IF(Sandbox!BT54="Add","Yes","No")</f>
        <v>No</v>
      </c>
      <c r="T155" s="470">
        <f t="shared" si="26"/>
        <v>0</v>
      </c>
      <c r="U155" s="470" t="str">
        <f>Sandbox!BV54</f>
        <v>Yes</v>
      </c>
      <c r="V155" s="111">
        <f>IF(OR(F155="none",G155="V"),0,VLOOKUP(F155,'Purchased Boons'!$AR$4:$AS$27,2,FALSE))</f>
        <v>0</v>
      </c>
      <c r="W155" s="475">
        <f>Sandbox!BW54</f>
        <v>0</v>
      </c>
      <c r="X155" s="475">
        <f>Sandbox!BX54</f>
        <v>0</v>
      </c>
      <c r="Y155" s="37" t="s">
        <v>2293</v>
      </c>
      <c r="Z155" s="111" t="s">
        <v>817</v>
      </c>
      <c r="AG155" s="24"/>
      <c r="AH155" s="24"/>
    </row>
    <row r="156" spans="1:34" x14ac:dyDescent="0.25">
      <c r="A156" s="474" t="str">
        <f>IF(Sandbox!BL55="","",Sandbox!BL55)</f>
        <v/>
      </c>
      <c r="B156" s="39" t="str">
        <f>Sandbox!BM55</f>
        <v>Select</v>
      </c>
      <c r="C156" s="470" t="str">
        <f>IF(Sandbox!BN55="","",Sandbox!BN55)</f>
        <v/>
      </c>
      <c r="D156" s="470" t="str">
        <f>Sandbox!BO55</f>
        <v>None</v>
      </c>
      <c r="E156" s="37">
        <f t="shared" si="18"/>
        <v>0</v>
      </c>
      <c r="F156" s="470" t="str">
        <f>Sandbox!BP55</f>
        <v>None</v>
      </c>
      <c r="G156" s="37">
        <f t="shared" si="19"/>
        <v>0</v>
      </c>
      <c r="H156" s="37" t="str">
        <f>IF(Sandbox!BR55="Yes",Sandbox!BM55,"None")</f>
        <v>None</v>
      </c>
      <c r="I156" s="37">
        <f t="shared" si="20"/>
        <v>0</v>
      </c>
      <c r="J156" s="37" t="str">
        <f>Sandbox!BS55</f>
        <v>No</v>
      </c>
      <c r="K156" s="37">
        <f t="shared" si="21"/>
        <v>0</v>
      </c>
      <c r="L156" s="37" t="str">
        <f>Sandbox!BQ55</f>
        <v>None</v>
      </c>
      <c r="M156" s="37">
        <f t="shared" si="22"/>
        <v>0</v>
      </c>
      <c r="N156" s="470" t="str">
        <f>IF(Sandbox!BT55="Roll","Yes","No")</f>
        <v>No</v>
      </c>
      <c r="O156" s="470">
        <f t="shared" si="23"/>
        <v>0</v>
      </c>
      <c r="P156" s="37" t="str">
        <f t="shared" si="24"/>
        <v>None</v>
      </c>
      <c r="Q156" s="470" t="str">
        <f>Sandbox!BU55</f>
        <v>Yes</v>
      </c>
      <c r="R156" s="37">
        <f t="shared" si="25"/>
        <v>0</v>
      </c>
      <c r="S156" s="470" t="str">
        <f>IF(Sandbox!BT55="Add","Yes","No")</f>
        <v>No</v>
      </c>
      <c r="T156" s="470">
        <f t="shared" si="26"/>
        <v>0</v>
      </c>
      <c r="U156" s="470" t="str">
        <f>Sandbox!BV55</f>
        <v>Yes</v>
      </c>
      <c r="V156" s="111">
        <f>IF(OR(F156="none",G156="V"),0,VLOOKUP(F156,'Purchased Boons'!$AR$4:$AS$27,2,FALSE))</f>
        <v>0</v>
      </c>
      <c r="W156" s="475">
        <f>Sandbox!BW55</f>
        <v>0</v>
      </c>
      <c r="X156" s="475">
        <f>Sandbox!BX55</f>
        <v>0</v>
      </c>
      <c r="Y156" s="37" t="s">
        <v>2293</v>
      </c>
      <c r="Z156" s="111" t="s">
        <v>817</v>
      </c>
      <c r="AG156" s="24"/>
      <c r="AH156" s="24"/>
    </row>
    <row r="157" spans="1:34" x14ac:dyDescent="0.25">
      <c r="A157" s="468" t="s">
        <v>1384</v>
      </c>
      <c r="B157" s="36" t="s">
        <v>354</v>
      </c>
      <c r="C157" s="469">
        <v>4</v>
      </c>
      <c r="D157" s="470" t="s">
        <v>494</v>
      </c>
      <c r="E157" s="37">
        <f t="shared" si="18"/>
        <v>0</v>
      </c>
      <c r="F157" s="470" t="s">
        <v>494</v>
      </c>
      <c r="G157" s="37">
        <f t="shared" si="19"/>
        <v>0</v>
      </c>
      <c r="H157" s="37" t="s">
        <v>494</v>
      </c>
      <c r="I157" s="37">
        <f t="shared" si="20"/>
        <v>0</v>
      </c>
      <c r="J157" s="37" t="s">
        <v>347</v>
      </c>
      <c r="K157" s="37">
        <f t="shared" si="21"/>
        <v>0</v>
      </c>
      <c r="L157" s="37" t="s">
        <v>494</v>
      </c>
      <c r="M157" s="37">
        <f t="shared" si="22"/>
        <v>0</v>
      </c>
      <c r="N157" s="470" t="s">
        <v>347</v>
      </c>
      <c r="O157" s="470">
        <f t="shared" si="23"/>
        <v>0</v>
      </c>
      <c r="P157" s="37" t="str">
        <f t="shared" si="24"/>
        <v>None</v>
      </c>
      <c r="Q157" s="470" t="s">
        <v>346</v>
      </c>
      <c r="R157" s="37">
        <f t="shared" si="25"/>
        <v>0</v>
      </c>
      <c r="S157" s="470" t="s">
        <v>347</v>
      </c>
      <c r="T157" s="470">
        <f t="shared" si="26"/>
        <v>0</v>
      </c>
      <c r="U157" s="470" t="s">
        <v>346</v>
      </c>
      <c r="V157" s="111">
        <f>IF(OR(F157="none",G157="V"),0,VLOOKUP(F157,'Purchased Boons'!$AR$4:$AS$27,2,FALSE))</f>
        <v>0</v>
      </c>
      <c r="W157" s="39" t="s">
        <v>1054</v>
      </c>
      <c r="X157" s="37" t="s">
        <v>494</v>
      </c>
      <c r="Y157" s="37" t="s">
        <v>1046</v>
      </c>
      <c r="Z157" s="111">
        <v>72</v>
      </c>
      <c r="AG157" s="24"/>
      <c r="AH157" s="24"/>
    </row>
    <row r="158" spans="1:34" x14ac:dyDescent="0.25">
      <c r="A158" s="468" t="s">
        <v>1165</v>
      </c>
      <c r="B158" s="36" t="s">
        <v>357</v>
      </c>
      <c r="C158" s="469">
        <v>6</v>
      </c>
      <c r="D158" s="470" t="s">
        <v>14</v>
      </c>
      <c r="E158" s="37">
        <f t="shared" si="18"/>
        <v>1</v>
      </c>
      <c r="F158" s="470" t="s">
        <v>53</v>
      </c>
      <c r="G158" s="37">
        <f t="shared" si="19"/>
        <v>0</v>
      </c>
      <c r="H158" s="37" t="s">
        <v>494</v>
      </c>
      <c r="I158" s="37">
        <f t="shared" si="20"/>
        <v>0</v>
      </c>
      <c r="J158" s="37" t="s">
        <v>347</v>
      </c>
      <c r="K158" s="37">
        <f t="shared" si="21"/>
        <v>0</v>
      </c>
      <c r="L158" s="37" t="s">
        <v>494</v>
      </c>
      <c r="M158" s="37">
        <f t="shared" si="22"/>
        <v>0</v>
      </c>
      <c r="N158" s="470" t="s">
        <v>347</v>
      </c>
      <c r="O158" s="470">
        <f t="shared" si="23"/>
        <v>0</v>
      </c>
      <c r="P158" s="37" t="str">
        <f t="shared" si="24"/>
        <v>1 + 0</v>
      </c>
      <c r="Q158" s="470" t="s">
        <v>346</v>
      </c>
      <c r="R158" s="37">
        <f t="shared" si="25"/>
        <v>0</v>
      </c>
      <c r="S158" s="470" t="s">
        <v>347</v>
      </c>
      <c r="T158" s="470">
        <f t="shared" si="26"/>
        <v>0</v>
      </c>
      <c r="U158" s="470" t="s">
        <v>346</v>
      </c>
      <c r="V158" s="111">
        <f>IF(OR(F158="none",G158="V"),0,VLOOKUP(F158,'Purchased Boons'!$AR$4:$AS$27,2,FALSE))</f>
        <v>0</v>
      </c>
      <c r="W158" s="39" t="s">
        <v>1558</v>
      </c>
      <c r="X158" s="37" t="s">
        <v>1529</v>
      </c>
      <c r="Y158" s="37" t="s">
        <v>1045</v>
      </c>
      <c r="Z158" s="111">
        <v>76</v>
      </c>
      <c r="AG158" s="24"/>
      <c r="AH158" s="24"/>
    </row>
    <row r="159" spans="1:34" x14ac:dyDescent="0.25">
      <c r="A159" s="468" t="s">
        <v>1086</v>
      </c>
      <c r="B159" s="36" t="s">
        <v>359</v>
      </c>
      <c r="C159" s="469">
        <v>2</v>
      </c>
      <c r="D159" s="470" t="s">
        <v>14</v>
      </c>
      <c r="E159" s="37">
        <f t="shared" si="18"/>
        <v>1</v>
      </c>
      <c r="F159" s="470" t="s">
        <v>42</v>
      </c>
      <c r="G159" s="37">
        <f t="shared" si="19"/>
        <v>0</v>
      </c>
      <c r="H159" s="37" t="s">
        <v>494</v>
      </c>
      <c r="I159" s="37">
        <f t="shared" si="20"/>
        <v>0</v>
      </c>
      <c r="J159" s="37" t="s">
        <v>347</v>
      </c>
      <c r="K159" s="37">
        <f t="shared" si="21"/>
        <v>0</v>
      </c>
      <c r="L159" s="37" t="s">
        <v>494</v>
      </c>
      <c r="M159" s="37">
        <f t="shared" si="22"/>
        <v>0</v>
      </c>
      <c r="N159" s="470" t="s">
        <v>347</v>
      </c>
      <c r="O159" s="470">
        <f t="shared" si="23"/>
        <v>0</v>
      </c>
      <c r="P159" s="37" t="str">
        <f t="shared" si="24"/>
        <v>1 + 0</v>
      </c>
      <c r="Q159" s="470" t="s">
        <v>346</v>
      </c>
      <c r="R159" s="37">
        <f t="shared" si="25"/>
        <v>0</v>
      </c>
      <c r="S159" s="470" t="s">
        <v>347</v>
      </c>
      <c r="T159" s="470">
        <f t="shared" si="26"/>
        <v>0</v>
      </c>
      <c r="U159" s="470" t="s">
        <v>346</v>
      </c>
      <c r="V159" s="111">
        <f>IF(OR(F159="none",G159="V"),0,VLOOKUP(F159,'Purchased Boons'!$AR$4:$AS$27,2,FALSE))</f>
        <v>0</v>
      </c>
      <c r="W159" s="39" t="s">
        <v>1603</v>
      </c>
      <c r="X159" s="37" t="s">
        <v>1530</v>
      </c>
      <c r="Y159" s="37" t="s">
        <v>133</v>
      </c>
      <c r="Z159" s="111">
        <v>144</v>
      </c>
      <c r="AG159" s="24"/>
      <c r="AH159" s="24"/>
    </row>
    <row r="160" spans="1:34" x14ac:dyDescent="0.25">
      <c r="A160" s="468" t="s">
        <v>1383</v>
      </c>
      <c r="B160" s="36" t="s">
        <v>354</v>
      </c>
      <c r="C160" s="469">
        <v>2</v>
      </c>
      <c r="D160" s="470" t="s">
        <v>17</v>
      </c>
      <c r="E160" s="37">
        <f t="shared" si="18"/>
        <v>1</v>
      </c>
      <c r="F160" s="470" t="s">
        <v>41</v>
      </c>
      <c r="G160" s="37">
        <f t="shared" si="19"/>
        <v>0</v>
      </c>
      <c r="H160" s="37" t="s">
        <v>494</v>
      </c>
      <c r="I160" s="37">
        <f t="shared" si="20"/>
        <v>0</v>
      </c>
      <c r="J160" s="37" t="s">
        <v>347</v>
      </c>
      <c r="K160" s="37">
        <f t="shared" si="21"/>
        <v>0</v>
      </c>
      <c r="L160" s="37" t="s">
        <v>494</v>
      </c>
      <c r="M160" s="37">
        <f t="shared" si="22"/>
        <v>0</v>
      </c>
      <c r="N160" s="470" t="s">
        <v>347</v>
      </c>
      <c r="O160" s="470">
        <f t="shared" si="23"/>
        <v>0</v>
      </c>
      <c r="P160" s="37" t="str">
        <f t="shared" si="24"/>
        <v>1 + 0</v>
      </c>
      <c r="Q160" s="470" t="s">
        <v>346</v>
      </c>
      <c r="R160" s="37">
        <f t="shared" si="25"/>
        <v>0</v>
      </c>
      <c r="S160" s="470" t="s">
        <v>347</v>
      </c>
      <c r="T160" s="470">
        <f t="shared" si="26"/>
        <v>0</v>
      </c>
      <c r="U160" s="470" t="s">
        <v>346</v>
      </c>
      <c r="V160" s="111">
        <f>IF(OR(F160="none",G160="V"),0,VLOOKUP(F160,'Purchased Boons'!$AR$4:$AS$27,2,FALSE))</f>
        <v>0</v>
      </c>
      <c r="W160" s="39" t="s">
        <v>1050</v>
      </c>
      <c r="X160" s="37" t="s">
        <v>1599</v>
      </c>
      <c r="Y160" s="37" t="s">
        <v>1046</v>
      </c>
      <c r="Z160" s="111">
        <v>72</v>
      </c>
      <c r="AG160" s="24"/>
      <c r="AH160" s="24"/>
    </row>
    <row r="161" spans="1:34" x14ac:dyDescent="0.25">
      <c r="A161" s="468" t="s">
        <v>1461</v>
      </c>
      <c r="B161" s="36" t="s">
        <v>182</v>
      </c>
      <c r="C161" s="469">
        <v>10</v>
      </c>
      <c r="D161" s="470" t="s">
        <v>20</v>
      </c>
      <c r="E161" s="37">
        <f t="shared" si="18"/>
        <v>1</v>
      </c>
      <c r="F161" s="470" t="s">
        <v>40</v>
      </c>
      <c r="G161" s="37">
        <f t="shared" si="19"/>
        <v>0</v>
      </c>
      <c r="H161" s="37" t="s">
        <v>494</v>
      </c>
      <c r="I161" s="37">
        <f t="shared" si="20"/>
        <v>0</v>
      </c>
      <c r="J161" s="37" t="s">
        <v>347</v>
      </c>
      <c r="K161" s="37">
        <f t="shared" si="21"/>
        <v>0</v>
      </c>
      <c r="L161" s="37" t="s">
        <v>494</v>
      </c>
      <c r="M161" s="37">
        <f t="shared" si="22"/>
        <v>0</v>
      </c>
      <c r="N161" s="470" t="s">
        <v>347</v>
      </c>
      <c r="O161" s="470">
        <f t="shared" si="23"/>
        <v>0</v>
      </c>
      <c r="P161" s="37" t="str">
        <f t="shared" si="24"/>
        <v>1 + 0</v>
      </c>
      <c r="Q161" s="470" t="s">
        <v>346</v>
      </c>
      <c r="R161" s="37">
        <f t="shared" si="25"/>
        <v>0</v>
      </c>
      <c r="S161" s="470" t="s">
        <v>347</v>
      </c>
      <c r="T161" s="470">
        <f t="shared" si="26"/>
        <v>0</v>
      </c>
      <c r="U161" s="470" t="s">
        <v>346</v>
      </c>
      <c r="V161" s="111">
        <f>IF(OR(F161="none",G161="V"),0,VLOOKUP(F161,'Purchased Boons'!$AR$4:$AS$27,2,FALSE))</f>
        <v>0</v>
      </c>
      <c r="W161" s="39" t="s">
        <v>1707</v>
      </c>
      <c r="X161" s="37" t="s">
        <v>1701</v>
      </c>
      <c r="Y161" s="37" t="s">
        <v>1046</v>
      </c>
      <c r="Z161" s="111">
        <v>246</v>
      </c>
      <c r="AG161" s="24"/>
      <c r="AH161" s="24"/>
    </row>
    <row r="162" spans="1:34" x14ac:dyDescent="0.25">
      <c r="A162" s="468" t="s">
        <v>1467</v>
      </c>
      <c r="B162" s="39" t="s">
        <v>180</v>
      </c>
      <c r="C162" s="469">
        <v>8</v>
      </c>
      <c r="D162" s="470" t="s">
        <v>494</v>
      </c>
      <c r="E162" s="37">
        <f t="shared" si="18"/>
        <v>0</v>
      </c>
      <c r="F162" s="470" t="s">
        <v>43</v>
      </c>
      <c r="G162" s="37">
        <f t="shared" si="19"/>
        <v>0</v>
      </c>
      <c r="H162" s="37" t="s">
        <v>494</v>
      </c>
      <c r="I162" s="37">
        <f t="shared" si="20"/>
        <v>0</v>
      </c>
      <c r="J162" s="37" t="s">
        <v>347</v>
      </c>
      <c r="K162" s="37">
        <f t="shared" si="21"/>
        <v>0</v>
      </c>
      <c r="L162" s="37" t="s">
        <v>494</v>
      </c>
      <c r="M162" s="37">
        <f t="shared" si="22"/>
        <v>0</v>
      </c>
      <c r="N162" s="470" t="s">
        <v>3573</v>
      </c>
      <c r="O162" s="470">
        <f t="shared" si="23"/>
        <v>2</v>
      </c>
      <c r="P162" s="37" t="str">
        <f t="shared" si="24"/>
        <v>2 + 0</v>
      </c>
      <c r="Q162" s="470" t="s">
        <v>346</v>
      </c>
      <c r="R162" s="37">
        <f t="shared" si="25"/>
        <v>0</v>
      </c>
      <c r="S162" s="470" t="s">
        <v>347</v>
      </c>
      <c r="T162" s="470">
        <f t="shared" si="26"/>
        <v>0</v>
      </c>
      <c r="U162" s="470" t="s">
        <v>346</v>
      </c>
      <c r="V162" s="111">
        <f>IF(OR(F162="none",G162="V"),0,VLOOKUP(F162,'Purchased Boons'!$AR$4:$AS$27,2,FALSE))</f>
        <v>0</v>
      </c>
      <c r="W162" s="39" t="s">
        <v>1053</v>
      </c>
      <c r="X162" s="37" t="s">
        <v>1668</v>
      </c>
      <c r="Y162" s="37" t="s">
        <v>1462</v>
      </c>
      <c r="Z162" s="111">
        <v>15</v>
      </c>
      <c r="AG162" s="24"/>
      <c r="AH162" s="24"/>
    </row>
    <row r="163" spans="1:34" x14ac:dyDescent="0.25">
      <c r="A163" s="468" t="s">
        <v>1466</v>
      </c>
      <c r="B163" s="39" t="s">
        <v>180</v>
      </c>
      <c r="C163" s="469">
        <v>4</v>
      </c>
      <c r="D163" s="470" t="s">
        <v>16</v>
      </c>
      <c r="E163" s="37">
        <f t="shared" si="18"/>
        <v>1</v>
      </c>
      <c r="F163" s="470" t="s">
        <v>43</v>
      </c>
      <c r="G163" s="37">
        <f t="shared" si="19"/>
        <v>0</v>
      </c>
      <c r="H163" s="37" t="s">
        <v>494</v>
      </c>
      <c r="I163" s="37">
        <f t="shared" si="20"/>
        <v>0</v>
      </c>
      <c r="J163" s="37" t="s">
        <v>347</v>
      </c>
      <c r="K163" s="37">
        <f t="shared" si="21"/>
        <v>0</v>
      </c>
      <c r="L163" s="37" t="s">
        <v>494</v>
      </c>
      <c r="M163" s="37">
        <f t="shared" si="22"/>
        <v>0</v>
      </c>
      <c r="N163" s="470" t="s">
        <v>347</v>
      </c>
      <c r="O163" s="470">
        <f t="shared" si="23"/>
        <v>0</v>
      </c>
      <c r="P163" s="37" t="str">
        <f t="shared" si="24"/>
        <v>1 + 0</v>
      </c>
      <c r="Q163" s="470" t="s">
        <v>346</v>
      </c>
      <c r="R163" s="37">
        <f t="shared" si="25"/>
        <v>0</v>
      </c>
      <c r="S163" s="470" t="s">
        <v>347</v>
      </c>
      <c r="T163" s="470">
        <f t="shared" si="26"/>
        <v>0</v>
      </c>
      <c r="U163" s="470" t="s">
        <v>346</v>
      </c>
      <c r="V163" s="111">
        <f>IF(OR(F163="none",G163="V"),0,VLOOKUP(F163,'Purchased Boons'!$AR$4:$AS$27,2,FALSE))</f>
        <v>0</v>
      </c>
      <c r="W163" s="39" t="s">
        <v>1608</v>
      </c>
      <c r="X163" s="37" t="s">
        <v>1667</v>
      </c>
      <c r="Y163" s="37" t="s">
        <v>1462</v>
      </c>
      <c r="Z163" s="111">
        <v>15</v>
      </c>
      <c r="AG163" s="24"/>
      <c r="AH163" s="24"/>
    </row>
    <row r="164" spans="1:34" x14ac:dyDescent="0.25">
      <c r="A164" s="468" t="s">
        <v>1468</v>
      </c>
      <c r="B164" s="39" t="s">
        <v>180</v>
      </c>
      <c r="C164" s="469">
        <v>5</v>
      </c>
      <c r="D164" s="470" t="s">
        <v>16</v>
      </c>
      <c r="E164" s="37">
        <f t="shared" si="18"/>
        <v>1</v>
      </c>
      <c r="F164" s="470" t="s">
        <v>43</v>
      </c>
      <c r="G164" s="37">
        <f t="shared" si="19"/>
        <v>0</v>
      </c>
      <c r="H164" s="37" t="s">
        <v>494</v>
      </c>
      <c r="I164" s="37">
        <f t="shared" si="20"/>
        <v>0</v>
      </c>
      <c r="J164" s="37" t="s">
        <v>347</v>
      </c>
      <c r="K164" s="37">
        <f t="shared" si="21"/>
        <v>0</v>
      </c>
      <c r="L164" s="37" t="s">
        <v>494</v>
      </c>
      <c r="M164" s="37">
        <f t="shared" si="22"/>
        <v>0</v>
      </c>
      <c r="N164" s="470" t="s">
        <v>347</v>
      </c>
      <c r="O164" s="470">
        <f t="shared" si="23"/>
        <v>0</v>
      </c>
      <c r="P164" s="37" t="str">
        <f t="shared" si="24"/>
        <v>1 + 0</v>
      </c>
      <c r="Q164" s="470" t="s">
        <v>346</v>
      </c>
      <c r="R164" s="37">
        <f t="shared" si="25"/>
        <v>0</v>
      </c>
      <c r="S164" s="470" t="s">
        <v>347</v>
      </c>
      <c r="T164" s="470">
        <f t="shared" si="26"/>
        <v>0</v>
      </c>
      <c r="U164" s="470" t="s">
        <v>346</v>
      </c>
      <c r="V164" s="111">
        <f>IF(OR(F164="none",G164="V"),0,VLOOKUP(F164,'Purchased Boons'!$AR$4:$AS$27,2,FALSE))</f>
        <v>0</v>
      </c>
      <c r="W164" s="39" t="s">
        <v>1608</v>
      </c>
      <c r="X164" s="37" t="s">
        <v>1667</v>
      </c>
      <c r="Y164" s="37" t="s">
        <v>1462</v>
      </c>
      <c r="Z164" s="111">
        <v>15</v>
      </c>
      <c r="AG164" s="24"/>
      <c r="AH164" s="24"/>
    </row>
    <row r="165" spans="1:34" x14ac:dyDescent="0.25">
      <c r="A165" s="468" t="s">
        <v>1469</v>
      </c>
      <c r="B165" s="39" t="s">
        <v>180</v>
      </c>
      <c r="C165" s="469">
        <v>6</v>
      </c>
      <c r="D165" s="470" t="s">
        <v>16</v>
      </c>
      <c r="E165" s="37">
        <f t="shared" si="18"/>
        <v>1</v>
      </c>
      <c r="F165" s="470" t="s">
        <v>43</v>
      </c>
      <c r="G165" s="37">
        <f t="shared" si="19"/>
        <v>0</v>
      </c>
      <c r="H165" s="37" t="s">
        <v>494</v>
      </c>
      <c r="I165" s="37">
        <f t="shared" si="20"/>
        <v>0</v>
      </c>
      <c r="J165" s="37" t="s">
        <v>347</v>
      </c>
      <c r="K165" s="37">
        <f t="shared" si="21"/>
        <v>0</v>
      </c>
      <c r="L165" s="37" t="s">
        <v>494</v>
      </c>
      <c r="M165" s="37">
        <f t="shared" si="22"/>
        <v>0</v>
      </c>
      <c r="N165" s="470" t="s">
        <v>347</v>
      </c>
      <c r="O165" s="470">
        <f t="shared" si="23"/>
        <v>0</v>
      </c>
      <c r="P165" s="37" t="str">
        <f t="shared" si="24"/>
        <v>1 + 0</v>
      </c>
      <c r="Q165" s="470" t="s">
        <v>346</v>
      </c>
      <c r="R165" s="37">
        <f t="shared" si="25"/>
        <v>0</v>
      </c>
      <c r="S165" s="470" t="s">
        <v>347</v>
      </c>
      <c r="T165" s="470">
        <f t="shared" si="26"/>
        <v>0</v>
      </c>
      <c r="U165" s="470" t="s">
        <v>346</v>
      </c>
      <c r="V165" s="111">
        <f>IF(OR(F165="none",G165="V"),0,VLOOKUP(F165,'Purchased Boons'!$AR$4:$AS$27,2,FALSE))</f>
        <v>0</v>
      </c>
      <c r="W165" s="39" t="s">
        <v>1608</v>
      </c>
      <c r="X165" s="37" t="s">
        <v>1667</v>
      </c>
      <c r="Y165" s="37" t="s">
        <v>1462</v>
      </c>
      <c r="Z165" s="111">
        <v>15</v>
      </c>
      <c r="AG165" s="24"/>
      <c r="AH165" s="24"/>
    </row>
    <row r="166" spans="1:34" x14ac:dyDescent="0.25">
      <c r="A166" s="468" t="s">
        <v>1470</v>
      </c>
      <c r="B166" s="39" t="s">
        <v>180</v>
      </c>
      <c r="C166" s="469">
        <v>7</v>
      </c>
      <c r="D166" s="470" t="s">
        <v>16</v>
      </c>
      <c r="E166" s="37">
        <f t="shared" si="18"/>
        <v>1</v>
      </c>
      <c r="F166" s="470" t="s">
        <v>43</v>
      </c>
      <c r="G166" s="37">
        <f t="shared" si="19"/>
        <v>0</v>
      </c>
      <c r="H166" s="37" t="s">
        <v>494</v>
      </c>
      <c r="I166" s="37">
        <f t="shared" si="20"/>
        <v>0</v>
      </c>
      <c r="J166" s="37" t="s">
        <v>347</v>
      </c>
      <c r="K166" s="37">
        <f t="shared" si="21"/>
        <v>0</v>
      </c>
      <c r="L166" s="37" t="s">
        <v>494</v>
      </c>
      <c r="M166" s="37">
        <f t="shared" si="22"/>
        <v>0</v>
      </c>
      <c r="N166" s="470" t="s">
        <v>347</v>
      </c>
      <c r="O166" s="470">
        <f t="shared" si="23"/>
        <v>0</v>
      </c>
      <c r="P166" s="37" t="str">
        <f t="shared" si="24"/>
        <v>1 + 0</v>
      </c>
      <c r="Q166" s="470" t="s">
        <v>346</v>
      </c>
      <c r="R166" s="37">
        <f t="shared" si="25"/>
        <v>0</v>
      </c>
      <c r="S166" s="470" t="s">
        <v>347</v>
      </c>
      <c r="T166" s="470">
        <f t="shared" si="26"/>
        <v>0</v>
      </c>
      <c r="U166" s="470" t="s">
        <v>346</v>
      </c>
      <c r="V166" s="111">
        <f>IF(OR(F166="none",G166="V"),0,VLOOKUP(F166,'Purchased Boons'!$AR$4:$AS$27,2,FALSE))</f>
        <v>0</v>
      </c>
      <c r="W166" s="39" t="s">
        <v>1608</v>
      </c>
      <c r="X166" s="37" t="s">
        <v>1667</v>
      </c>
      <c r="Y166" s="37" t="s">
        <v>1462</v>
      </c>
      <c r="Z166" s="111">
        <v>15</v>
      </c>
      <c r="AG166" s="24"/>
      <c r="AH166" s="24"/>
    </row>
    <row r="167" spans="1:34" x14ac:dyDescent="0.25">
      <c r="A167" s="468" t="s">
        <v>1066</v>
      </c>
      <c r="B167" s="36" t="s">
        <v>352</v>
      </c>
      <c r="C167" s="469">
        <v>3</v>
      </c>
      <c r="D167" s="470" t="s">
        <v>14</v>
      </c>
      <c r="E167" s="37">
        <f t="shared" si="18"/>
        <v>1</v>
      </c>
      <c r="F167" s="470" t="s">
        <v>36</v>
      </c>
      <c r="G167" s="37">
        <f t="shared" si="19"/>
        <v>0</v>
      </c>
      <c r="H167" s="37" t="s">
        <v>494</v>
      </c>
      <c r="I167" s="37">
        <f t="shared" si="20"/>
        <v>0</v>
      </c>
      <c r="J167" s="37" t="s">
        <v>347</v>
      </c>
      <c r="K167" s="37">
        <f t="shared" si="21"/>
        <v>0</v>
      </c>
      <c r="L167" s="37" t="s">
        <v>494</v>
      </c>
      <c r="M167" s="37">
        <f t="shared" si="22"/>
        <v>0</v>
      </c>
      <c r="N167" s="470" t="s">
        <v>347</v>
      </c>
      <c r="O167" s="470">
        <f t="shared" si="23"/>
        <v>0</v>
      </c>
      <c r="P167" s="37" t="str">
        <f t="shared" si="24"/>
        <v>1 + 0</v>
      </c>
      <c r="Q167" s="470" t="s">
        <v>346</v>
      </c>
      <c r="R167" s="37">
        <f t="shared" si="25"/>
        <v>0</v>
      </c>
      <c r="S167" s="470" t="s">
        <v>347</v>
      </c>
      <c r="T167" s="470">
        <f t="shared" si="26"/>
        <v>0</v>
      </c>
      <c r="U167" s="470" t="s">
        <v>346</v>
      </c>
      <c r="V167" s="111">
        <f>IF(OR(F167="none",G167="V"),0,VLOOKUP(F167,'Purchased Boons'!$AR$4:$AS$27,2,FALSE))</f>
        <v>0</v>
      </c>
      <c r="W167" s="39" t="s">
        <v>1518</v>
      </c>
      <c r="X167" s="37" t="s">
        <v>1519</v>
      </c>
      <c r="Y167" s="37" t="s">
        <v>133</v>
      </c>
      <c r="Z167" s="111">
        <v>140</v>
      </c>
      <c r="AG167" s="24"/>
      <c r="AH167" s="24"/>
    </row>
    <row r="168" spans="1:34" x14ac:dyDescent="0.25">
      <c r="A168" s="468" t="s">
        <v>1065</v>
      </c>
      <c r="B168" s="36" t="s">
        <v>352</v>
      </c>
      <c r="C168" s="469">
        <v>2</v>
      </c>
      <c r="D168" s="470" t="s">
        <v>16</v>
      </c>
      <c r="E168" s="37">
        <f t="shared" si="18"/>
        <v>1</v>
      </c>
      <c r="F168" s="470" t="s">
        <v>36</v>
      </c>
      <c r="G168" s="37">
        <f t="shared" si="19"/>
        <v>0</v>
      </c>
      <c r="H168" s="37" t="s">
        <v>494</v>
      </c>
      <c r="I168" s="37">
        <f t="shared" si="20"/>
        <v>0</v>
      </c>
      <c r="J168" s="37" t="s">
        <v>347</v>
      </c>
      <c r="K168" s="37">
        <f t="shared" si="21"/>
        <v>0</v>
      </c>
      <c r="L168" s="37" t="s">
        <v>494</v>
      </c>
      <c r="M168" s="37">
        <f t="shared" si="22"/>
        <v>0</v>
      </c>
      <c r="N168" s="470" t="s">
        <v>347</v>
      </c>
      <c r="O168" s="470">
        <f t="shared" si="23"/>
        <v>0</v>
      </c>
      <c r="P168" s="37" t="str">
        <f t="shared" si="24"/>
        <v>1 + 0</v>
      </c>
      <c r="Q168" s="470" t="s">
        <v>346</v>
      </c>
      <c r="R168" s="37">
        <f t="shared" si="25"/>
        <v>0</v>
      </c>
      <c r="S168" s="470" t="s">
        <v>347</v>
      </c>
      <c r="T168" s="470">
        <f t="shared" si="26"/>
        <v>0</v>
      </c>
      <c r="U168" s="470" t="s">
        <v>346</v>
      </c>
      <c r="V168" s="111">
        <f>IF(OR(F168="none",G168="V"),0,VLOOKUP(F168,'Purchased Boons'!$AR$4:$AS$27,2,FALSE))</f>
        <v>0</v>
      </c>
      <c r="W168" s="39" t="s">
        <v>1601</v>
      </c>
      <c r="X168" s="37" t="s">
        <v>1517</v>
      </c>
      <c r="Y168" s="37" t="s">
        <v>133</v>
      </c>
      <c r="Z168" s="111">
        <v>139</v>
      </c>
      <c r="AG168" s="24"/>
      <c r="AH168" s="24"/>
    </row>
    <row r="169" spans="1:34" x14ac:dyDescent="0.25">
      <c r="A169" s="468" t="s">
        <v>1064</v>
      </c>
      <c r="B169" s="36" t="s">
        <v>352</v>
      </c>
      <c r="C169" s="469">
        <v>1</v>
      </c>
      <c r="D169" s="470" t="s">
        <v>20</v>
      </c>
      <c r="E169" s="37">
        <f t="shared" si="18"/>
        <v>1</v>
      </c>
      <c r="F169" s="470" t="s">
        <v>36</v>
      </c>
      <c r="G169" s="37">
        <f t="shared" si="19"/>
        <v>0</v>
      </c>
      <c r="H169" s="37" t="s">
        <v>494</v>
      </c>
      <c r="I169" s="37">
        <f t="shared" si="20"/>
        <v>0</v>
      </c>
      <c r="J169" s="37" t="s">
        <v>347</v>
      </c>
      <c r="K169" s="37">
        <f t="shared" si="21"/>
        <v>0</v>
      </c>
      <c r="L169" s="37" t="s">
        <v>494</v>
      </c>
      <c r="M169" s="37">
        <f t="shared" si="22"/>
        <v>0</v>
      </c>
      <c r="N169" s="470" t="s">
        <v>347</v>
      </c>
      <c r="O169" s="470">
        <f t="shared" si="23"/>
        <v>0</v>
      </c>
      <c r="P169" s="37" t="str">
        <f t="shared" si="24"/>
        <v>1 + 0</v>
      </c>
      <c r="Q169" s="470" t="s">
        <v>346</v>
      </c>
      <c r="R169" s="37">
        <f t="shared" si="25"/>
        <v>0</v>
      </c>
      <c r="S169" s="470" t="s">
        <v>347</v>
      </c>
      <c r="T169" s="470">
        <f t="shared" si="26"/>
        <v>0</v>
      </c>
      <c r="U169" s="470" t="s">
        <v>346</v>
      </c>
      <c r="V169" s="111">
        <f>IF(OR(F169="none",G169="V"),0,VLOOKUP(F169,'Purchased Boons'!$AR$4:$AS$27,2,FALSE))</f>
        <v>0</v>
      </c>
      <c r="W169" s="39" t="s">
        <v>494</v>
      </c>
      <c r="X169" s="37" t="s">
        <v>1516</v>
      </c>
      <c r="Y169" s="37" t="s">
        <v>133</v>
      </c>
      <c r="Z169" s="111">
        <v>139</v>
      </c>
      <c r="AG169" s="24"/>
      <c r="AH169" s="24"/>
    </row>
    <row r="170" spans="1:34" x14ac:dyDescent="0.25">
      <c r="A170" s="468" t="s">
        <v>1144</v>
      </c>
      <c r="B170" s="36" t="s">
        <v>352</v>
      </c>
      <c r="C170" s="469">
        <v>5</v>
      </c>
      <c r="D170" s="470" t="s">
        <v>14</v>
      </c>
      <c r="E170" s="37">
        <f t="shared" si="18"/>
        <v>1</v>
      </c>
      <c r="F170" s="470" t="s">
        <v>36</v>
      </c>
      <c r="G170" s="37">
        <f t="shared" si="19"/>
        <v>0</v>
      </c>
      <c r="H170" s="37" t="s">
        <v>494</v>
      </c>
      <c r="I170" s="37">
        <f t="shared" si="20"/>
        <v>0</v>
      </c>
      <c r="J170" s="37" t="s">
        <v>347</v>
      </c>
      <c r="K170" s="37">
        <f t="shared" si="21"/>
        <v>0</v>
      </c>
      <c r="L170" s="37" t="s">
        <v>494</v>
      </c>
      <c r="M170" s="37">
        <f t="shared" si="22"/>
        <v>0</v>
      </c>
      <c r="N170" s="470" t="s">
        <v>347</v>
      </c>
      <c r="O170" s="470">
        <f t="shared" si="23"/>
        <v>0</v>
      </c>
      <c r="P170" s="37" t="str">
        <f t="shared" si="24"/>
        <v>1 + 0</v>
      </c>
      <c r="Q170" s="470" t="s">
        <v>346</v>
      </c>
      <c r="R170" s="37">
        <f t="shared" si="25"/>
        <v>0</v>
      </c>
      <c r="S170" s="470" t="s">
        <v>347</v>
      </c>
      <c r="T170" s="470">
        <f t="shared" si="26"/>
        <v>0</v>
      </c>
      <c r="U170" s="470" t="s">
        <v>346</v>
      </c>
      <c r="V170" s="111">
        <f>IF(OR(F170="none",G170="V"),0,VLOOKUP(F170,'Purchased Boons'!$AR$4:$AS$27,2,FALSE))</f>
        <v>0</v>
      </c>
      <c r="W170" s="39" t="s">
        <v>1606</v>
      </c>
      <c r="X170" s="37" t="s">
        <v>1519</v>
      </c>
      <c r="Y170" s="37" t="s">
        <v>1045</v>
      </c>
      <c r="Z170" s="111">
        <v>70</v>
      </c>
      <c r="AG170" s="24"/>
      <c r="AH170" s="24"/>
    </row>
    <row r="171" spans="1:34" x14ac:dyDescent="0.25">
      <c r="A171" s="468" t="s">
        <v>1145</v>
      </c>
      <c r="B171" s="36" t="s">
        <v>352</v>
      </c>
      <c r="C171" s="469">
        <v>6</v>
      </c>
      <c r="D171" s="470" t="s">
        <v>14</v>
      </c>
      <c r="E171" s="37">
        <f t="shared" si="18"/>
        <v>1</v>
      </c>
      <c r="F171" s="470" t="s">
        <v>36</v>
      </c>
      <c r="G171" s="37">
        <f t="shared" si="19"/>
        <v>0</v>
      </c>
      <c r="H171" s="37" t="s">
        <v>494</v>
      </c>
      <c r="I171" s="37">
        <f t="shared" si="20"/>
        <v>0</v>
      </c>
      <c r="J171" s="37" t="s">
        <v>347</v>
      </c>
      <c r="K171" s="37">
        <f t="shared" si="21"/>
        <v>0</v>
      </c>
      <c r="L171" s="37" t="s">
        <v>494</v>
      </c>
      <c r="M171" s="37">
        <f t="shared" si="22"/>
        <v>0</v>
      </c>
      <c r="N171" s="470" t="s">
        <v>347</v>
      </c>
      <c r="O171" s="470">
        <f t="shared" si="23"/>
        <v>0</v>
      </c>
      <c r="P171" s="37" t="str">
        <f t="shared" si="24"/>
        <v>1 + 0</v>
      </c>
      <c r="Q171" s="470" t="s">
        <v>346</v>
      </c>
      <c r="R171" s="37">
        <f t="shared" si="25"/>
        <v>0</v>
      </c>
      <c r="S171" s="470" t="s">
        <v>347</v>
      </c>
      <c r="T171" s="470">
        <f t="shared" si="26"/>
        <v>0</v>
      </c>
      <c r="U171" s="470" t="s">
        <v>346</v>
      </c>
      <c r="V171" s="111">
        <f>IF(OR(F171="none",G171="V"),0,VLOOKUP(F171,'Purchased Boons'!$AR$4:$AS$27,2,FALSE))</f>
        <v>0</v>
      </c>
      <c r="W171" s="39" t="s">
        <v>1602</v>
      </c>
      <c r="X171" s="37" t="s">
        <v>1519</v>
      </c>
      <c r="Y171" s="37" t="s">
        <v>1045</v>
      </c>
      <c r="Z171" s="111">
        <v>70</v>
      </c>
      <c r="AG171" s="24"/>
      <c r="AH171" s="24"/>
    </row>
    <row r="172" spans="1:34" x14ac:dyDescent="0.25">
      <c r="A172" s="468" t="s">
        <v>1376</v>
      </c>
      <c r="B172" s="36" t="s">
        <v>1343</v>
      </c>
      <c r="C172" s="469">
        <v>8</v>
      </c>
      <c r="D172" s="470" t="s">
        <v>494</v>
      </c>
      <c r="E172" s="37">
        <f t="shared" si="18"/>
        <v>0</v>
      </c>
      <c r="F172" s="470" t="s">
        <v>494</v>
      </c>
      <c r="G172" s="37">
        <f t="shared" si="19"/>
        <v>0</v>
      </c>
      <c r="H172" s="37" t="s">
        <v>494</v>
      </c>
      <c r="I172" s="37">
        <f t="shared" si="20"/>
        <v>0</v>
      </c>
      <c r="J172" s="37" t="s">
        <v>347</v>
      </c>
      <c r="K172" s="37">
        <f t="shared" si="21"/>
        <v>0</v>
      </c>
      <c r="L172" s="37" t="s">
        <v>494</v>
      </c>
      <c r="M172" s="37">
        <f t="shared" si="22"/>
        <v>0</v>
      </c>
      <c r="N172" s="470" t="s">
        <v>347</v>
      </c>
      <c r="O172" s="470">
        <f t="shared" si="23"/>
        <v>0</v>
      </c>
      <c r="P172" s="37" t="str">
        <f t="shared" si="24"/>
        <v>None</v>
      </c>
      <c r="Q172" s="470" t="s">
        <v>346</v>
      </c>
      <c r="R172" s="37">
        <f t="shared" si="25"/>
        <v>0</v>
      </c>
      <c r="S172" s="470" t="s">
        <v>347</v>
      </c>
      <c r="T172" s="470">
        <f t="shared" si="26"/>
        <v>0</v>
      </c>
      <c r="U172" s="470" t="s">
        <v>346</v>
      </c>
      <c r="V172" s="111">
        <f>IF(OR(F172="none",G172="V"),0,VLOOKUP(F172,'Purchased Boons'!$AR$4:$AS$27,2,FALSE))</f>
        <v>0</v>
      </c>
      <c r="W172" s="39" t="s">
        <v>1053</v>
      </c>
      <c r="X172" s="37" t="s">
        <v>494</v>
      </c>
      <c r="Y172" s="37" t="s">
        <v>1046</v>
      </c>
      <c r="Z172" s="111">
        <v>70</v>
      </c>
      <c r="AG172" s="24"/>
      <c r="AH172" s="24"/>
    </row>
    <row r="173" spans="1:34" x14ac:dyDescent="0.25">
      <c r="A173" s="468" t="s">
        <v>1396</v>
      </c>
      <c r="B173" s="36" t="s">
        <v>108</v>
      </c>
      <c r="C173" s="469">
        <v>4</v>
      </c>
      <c r="D173" s="470" t="s">
        <v>20</v>
      </c>
      <c r="E173" s="37">
        <f t="shared" si="18"/>
        <v>1</v>
      </c>
      <c r="F173" s="470" t="s">
        <v>47</v>
      </c>
      <c r="G173" s="37">
        <f t="shared" si="19"/>
        <v>0</v>
      </c>
      <c r="H173" s="37" t="s">
        <v>494</v>
      </c>
      <c r="I173" s="37">
        <f t="shared" si="20"/>
        <v>0</v>
      </c>
      <c r="J173" s="37" t="s">
        <v>347</v>
      </c>
      <c r="K173" s="37">
        <f t="shared" si="21"/>
        <v>0</v>
      </c>
      <c r="L173" s="37" t="s">
        <v>494</v>
      </c>
      <c r="M173" s="37">
        <f t="shared" si="22"/>
        <v>0</v>
      </c>
      <c r="N173" s="470" t="s">
        <v>347</v>
      </c>
      <c r="O173" s="470">
        <f t="shared" si="23"/>
        <v>0</v>
      </c>
      <c r="P173" s="37" t="str">
        <f t="shared" si="24"/>
        <v>1 + 0</v>
      </c>
      <c r="Q173" s="470" t="s">
        <v>346</v>
      </c>
      <c r="R173" s="37">
        <f t="shared" si="25"/>
        <v>0</v>
      </c>
      <c r="S173" s="470" t="s">
        <v>347</v>
      </c>
      <c r="T173" s="470">
        <f t="shared" si="26"/>
        <v>0</v>
      </c>
      <c r="U173" s="470" t="s">
        <v>346</v>
      </c>
      <c r="V173" s="111">
        <f>IF(OR(F173="none",G173="V"),0,VLOOKUP(F173,'Purchased Boons'!$AR$4:$AS$27,2,FALSE))</f>
        <v>0</v>
      </c>
      <c r="W173" s="39" t="s">
        <v>1050</v>
      </c>
      <c r="X173" s="37" t="s">
        <v>1585</v>
      </c>
      <c r="Y173" s="37" t="s">
        <v>1046</v>
      </c>
      <c r="Z173" s="111">
        <v>75</v>
      </c>
      <c r="AG173" s="24"/>
      <c r="AH173" s="24"/>
    </row>
    <row r="174" spans="1:34" x14ac:dyDescent="0.25">
      <c r="A174" s="468" t="s">
        <v>1271</v>
      </c>
      <c r="B174" s="36" t="s">
        <v>359</v>
      </c>
      <c r="C174" s="469">
        <v>8</v>
      </c>
      <c r="D174" s="470" t="s">
        <v>19</v>
      </c>
      <c r="E174" s="37">
        <f t="shared" si="18"/>
        <v>1</v>
      </c>
      <c r="F174" s="470" t="s">
        <v>41</v>
      </c>
      <c r="G174" s="37">
        <f t="shared" si="19"/>
        <v>0</v>
      </c>
      <c r="H174" s="37" t="s">
        <v>494</v>
      </c>
      <c r="I174" s="37">
        <f t="shared" si="20"/>
        <v>0</v>
      </c>
      <c r="J174" s="37" t="s">
        <v>347</v>
      </c>
      <c r="K174" s="37">
        <f t="shared" si="21"/>
        <v>0</v>
      </c>
      <c r="L174" s="37" t="s">
        <v>494</v>
      </c>
      <c r="M174" s="37">
        <f t="shared" si="22"/>
        <v>0</v>
      </c>
      <c r="N174" s="470" t="s">
        <v>347</v>
      </c>
      <c r="O174" s="470">
        <f t="shared" si="23"/>
        <v>0</v>
      </c>
      <c r="P174" s="37" t="str">
        <f t="shared" si="24"/>
        <v>1 + 0</v>
      </c>
      <c r="Q174" s="470" t="s">
        <v>346</v>
      </c>
      <c r="R174" s="37">
        <f t="shared" si="25"/>
        <v>0</v>
      </c>
      <c r="S174" s="470" t="s">
        <v>347</v>
      </c>
      <c r="T174" s="470">
        <f t="shared" si="26"/>
        <v>0</v>
      </c>
      <c r="U174" s="470" t="s">
        <v>346</v>
      </c>
      <c r="V174" s="111">
        <f>IF(OR(F174="none",G174="V"),0,VLOOKUP(F174,'Purchased Boons'!$AR$4:$AS$27,2,FALSE))</f>
        <v>0</v>
      </c>
      <c r="W174" s="39" t="s">
        <v>1630</v>
      </c>
      <c r="X174" s="37" t="s">
        <v>1525</v>
      </c>
      <c r="Y174" s="37" t="s">
        <v>5</v>
      </c>
      <c r="Z174" s="111">
        <v>91</v>
      </c>
      <c r="AG174" s="24"/>
      <c r="AH174" s="24"/>
    </row>
    <row r="175" spans="1:34" x14ac:dyDescent="0.25">
      <c r="A175" s="39" t="s">
        <v>2388</v>
      </c>
      <c r="B175" s="36" t="s">
        <v>87</v>
      </c>
      <c r="C175" s="469">
        <v>1</v>
      </c>
      <c r="D175" s="470" t="s">
        <v>494</v>
      </c>
      <c r="E175" s="37">
        <f t="shared" si="18"/>
        <v>0</v>
      </c>
      <c r="F175" s="470" t="s">
        <v>494</v>
      </c>
      <c r="G175" s="37">
        <f t="shared" si="19"/>
        <v>0</v>
      </c>
      <c r="H175" s="37" t="s">
        <v>494</v>
      </c>
      <c r="I175" s="37">
        <f t="shared" si="20"/>
        <v>0</v>
      </c>
      <c r="J175" s="37" t="s">
        <v>347</v>
      </c>
      <c r="K175" s="37">
        <f t="shared" si="21"/>
        <v>0</v>
      </c>
      <c r="L175" s="37" t="s">
        <v>494</v>
      </c>
      <c r="M175" s="37">
        <f t="shared" si="22"/>
        <v>0</v>
      </c>
      <c r="N175" s="470" t="s">
        <v>347</v>
      </c>
      <c r="O175" s="470">
        <f t="shared" si="23"/>
        <v>0</v>
      </c>
      <c r="P175" s="37" t="str">
        <f t="shared" si="24"/>
        <v>None</v>
      </c>
      <c r="Q175" s="470" t="s">
        <v>347</v>
      </c>
      <c r="R175" s="37">
        <f t="shared" si="25"/>
        <v>0</v>
      </c>
      <c r="S175" s="470" t="s">
        <v>347</v>
      </c>
      <c r="T175" s="470">
        <f t="shared" si="26"/>
        <v>0</v>
      </c>
      <c r="U175" s="470" t="s">
        <v>347</v>
      </c>
      <c r="V175" s="111">
        <f>IF(OR(F175="none",G175="V"),0,VLOOKUP(F175,'Purchased Boons'!$AR$4:$AS$27,2,FALSE))</f>
        <v>0</v>
      </c>
      <c r="W175" s="39" t="s">
        <v>1764</v>
      </c>
      <c r="X175" s="37" t="s">
        <v>1764</v>
      </c>
      <c r="Y175" s="37" t="s">
        <v>133</v>
      </c>
      <c r="Z175" s="111">
        <v>149</v>
      </c>
      <c r="AG175" s="24"/>
      <c r="AH175" s="24"/>
    </row>
    <row r="176" spans="1:34" x14ac:dyDescent="0.25">
      <c r="A176" s="39" t="s">
        <v>2398</v>
      </c>
      <c r="B176" s="36" t="s">
        <v>87</v>
      </c>
      <c r="C176" s="469">
        <v>1</v>
      </c>
      <c r="D176" s="470" t="s">
        <v>494</v>
      </c>
      <c r="E176" s="37">
        <f t="shared" si="18"/>
        <v>0</v>
      </c>
      <c r="F176" s="470" t="s">
        <v>494</v>
      </c>
      <c r="G176" s="37">
        <f t="shared" si="19"/>
        <v>0</v>
      </c>
      <c r="H176" s="37" t="s">
        <v>494</v>
      </c>
      <c r="I176" s="37">
        <f t="shared" si="20"/>
        <v>0</v>
      </c>
      <c r="J176" s="37" t="s">
        <v>347</v>
      </c>
      <c r="K176" s="37">
        <f t="shared" si="21"/>
        <v>0</v>
      </c>
      <c r="L176" s="37" t="s">
        <v>494</v>
      </c>
      <c r="M176" s="37">
        <f t="shared" si="22"/>
        <v>0</v>
      </c>
      <c r="N176" s="470" t="s">
        <v>347</v>
      </c>
      <c r="O176" s="470">
        <f t="shared" si="23"/>
        <v>0</v>
      </c>
      <c r="P176" s="37" t="str">
        <f t="shared" si="24"/>
        <v>None</v>
      </c>
      <c r="Q176" s="470" t="s">
        <v>347</v>
      </c>
      <c r="R176" s="37">
        <f t="shared" si="25"/>
        <v>0</v>
      </c>
      <c r="S176" s="470" t="s">
        <v>347</v>
      </c>
      <c r="T176" s="470">
        <f t="shared" si="26"/>
        <v>0</v>
      </c>
      <c r="U176" s="470" t="s">
        <v>347</v>
      </c>
      <c r="V176" s="111">
        <f>IF(OR(F176="none",G176="V"),0,VLOOKUP(F176,'Purchased Boons'!$AR$4:$AS$27,2,FALSE))</f>
        <v>0</v>
      </c>
      <c r="W176" s="39" t="s">
        <v>1764</v>
      </c>
      <c r="X176" s="37" t="s">
        <v>1764</v>
      </c>
      <c r="Y176" s="37" t="s">
        <v>133</v>
      </c>
      <c r="Z176" s="111">
        <v>149</v>
      </c>
      <c r="AG176" s="24"/>
      <c r="AH176" s="24"/>
    </row>
    <row r="177" spans="1:34" x14ac:dyDescent="0.25">
      <c r="A177" s="39" t="s">
        <v>2588</v>
      </c>
      <c r="B177" s="36" t="s">
        <v>87</v>
      </c>
      <c r="C177" s="469">
        <v>1</v>
      </c>
      <c r="D177" s="470" t="s">
        <v>494</v>
      </c>
      <c r="E177" s="37">
        <f t="shared" si="18"/>
        <v>0</v>
      </c>
      <c r="F177" s="470" t="s">
        <v>494</v>
      </c>
      <c r="G177" s="37">
        <f t="shared" si="19"/>
        <v>0</v>
      </c>
      <c r="H177" s="37" t="s">
        <v>494</v>
      </c>
      <c r="I177" s="37">
        <f t="shared" si="20"/>
        <v>0</v>
      </c>
      <c r="J177" s="37" t="s">
        <v>347</v>
      </c>
      <c r="K177" s="37">
        <f t="shared" si="21"/>
        <v>0</v>
      </c>
      <c r="L177" s="37" t="s">
        <v>494</v>
      </c>
      <c r="M177" s="37">
        <f t="shared" si="22"/>
        <v>0</v>
      </c>
      <c r="N177" s="470" t="s">
        <v>347</v>
      </c>
      <c r="O177" s="470">
        <f t="shared" si="23"/>
        <v>0</v>
      </c>
      <c r="P177" s="37" t="str">
        <f t="shared" si="24"/>
        <v>None</v>
      </c>
      <c r="Q177" s="470" t="s">
        <v>347</v>
      </c>
      <c r="R177" s="37">
        <f t="shared" si="25"/>
        <v>0</v>
      </c>
      <c r="S177" s="470" t="s">
        <v>347</v>
      </c>
      <c r="T177" s="470">
        <f t="shared" si="26"/>
        <v>0</v>
      </c>
      <c r="U177" s="470" t="s">
        <v>347</v>
      </c>
      <c r="V177" s="111">
        <f>IF(OR(F177="none",G177="V"),0,VLOOKUP(F177,'Purchased Boons'!$AR$4:$AS$27,2,FALSE))</f>
        <v>0</v>
      </c>
      <c r="W177" s="39" t="s">
        <v>1764</v>
      </c>
      <c r="X177" s="37" t="s">
        <v>1764</v>
      </c>
      <c r="Y177" s="37" t="s">
        <v>133</v>
      </c>
      <c r="Z177" s="111">
        <v>149</v>
      </c>
      <c r="AG177" s="24"/>
      <c r="AH177" s="24"/>
    </row>
    <row r="178" spans="1:34" x14ac:dyDescent="0.25">
      <c r="A178" s="39" t="s">
        <v>2408</v>
      </c>
      <c r="B178" s="36" t="s">
        <v>87</v>
      </c>
      <c r="C178" s="469">
        <v>1</v>
      </c>
      <c r="D178" s="470" t="s">
        <v>494</v>
      </c>
      <c r="E178" s="37">
        <f t="shared" si="18"/>
        <v>0</v>
      </c>
      <c r="F178" s="470" t="s">
        <v>494</v>
      </c>
      <c r="G178" s="37">
        <f t="shared" si="19"/>
        <v>0</v>
      </c>
      <c r="H178" s="37" t="s">
        <v>494</v>
      </c>
      <c r="I178" s="37">
        <f t="shared" si="20"/>
        <v>0</v>
      </c>
      <c r="J178" s="37" t="s">
        <v>347</v>
      </c>
      <c r="K178" s="37">
        <f t="shared" si="21"/>
        <v>0</v>
      </c>
      <c r="L178" s="37" t="s">
        <v>494</v>
      </c>
      <c r="M178" s="37">
        <f t="shared" si="22"/>
        <v>0</v>
      </c>
      <c r="N178" s="470" t="s">
        <v>347</v>
      </c>
      <c r="O178" s="470">
        <f t="shared" si="23"/>
        <v>0</v>
      </c>
      <c r="P178" s="37" t="str">
        <f t="shared" si="24"/>
        <v>None</v>
      </c>
      <c r="Q178" s="470" t="s">
        <v>347</v>
      </c>
      <c r="R178" s="37">
        <f t="shared" si="25"/>
        <v>0</v>
      </c>
      <c r="S178" s="470" t="s">
        <v>347</v>
      </c>
      <c r="T178" s="470">
        <f t="shared" si="26"/>
        <v>0</v>
      </c>
      <c r="U178" s="470" t="s">
        <v>347</v>
      </c>
      <c r="V178" s="111">
        <f>IF(OR(F178="none",G178="V"),0,VLOOKUP(F178,'Purchased Boons'!$AR$4:$AS$27,2,FALSE))</f>
        <v>0</v>
      </c>
      <c r="W178" s="39" t="s">
        <v>1764</v>
      </c>
      <c r="X178" s="37" t="s">
        <v>1764</v>
      </c>
      <c r="Y178" s="37" t="s">
        <v>133</v>
      </c>
      <c r="Z178" s="111">
        <v>149</v>
      </c>
      <c r="AG178" s="24"/>
      <c r="AH178" s="24"/>
    </row>
    <row r="179" spans="1:34" x14ac:dyDescent="0.25">
      <c r="A179" s="39" t="s">
        <v>2418</v>
      </c>
      <c r="B179" s="36" t="s">
        <v>87</v>
      </c>
      <c r="C179" s="469">
        <v>1</v>
      </c>
      <c r="D179" s="470" t="s">
        <v>494</v>
      </c>
      <c r="E179" s="37">
        <f t="shared" si="18"/>
        <v>0</v>
      </c>
      <c r="F179" s="470" t="s">
        <v>494</v>
      </c>
      <c r="G179" s="37">
        <f t="shared" si="19"/>
        <v>0</v>
      </c>
      <c r="H179" s="37" t="s">
        <v>494</v>
      </c>
      <c r="I179" s="37">
        <f t="shared" si="20"/>
        <v>0</v>
      </c>
      <c r="J179" s="37" t="s">
        <v>347</v>
      </c>
      <c r="K179" s="37">
        <f t="shared" si="21"/>
        <v>0</v>
      </c>
      <c r="L179" s="37" t="s">
        <v>494</v>
      </c>
      <c r="M179" s="37">
        <f t="shared" si="22"/>
        <v>0</v>
      </c>
      <c r="N179" s="470" t="s">
        <v>347</v>
      </c>
      <c r="O179" s="470">
        <f t="shared" si="23"/>
        <v>0</v>
      </c>
      <c r="P179" s="37" t="str">
        <f t="shared" si="24"/>
        <v>None</v>
      </c>
      <c r="Q179" s="470" t="s">
        <v>347</v>
      </c>
      <c r="R179" s="37">
        <f t="shared" si="25"/>
        <v>0</v>
      </c>
      <c r="S179" s="470" t="s">
        <v>347</v>
      </c>
      <c r="T179" s="470">
        <f t="shared" si="26"/>
        <v>0</v>
      </c>
      <c r="U179" s="470" t="s">
        <v>347</v>
      </c>
      <c r="V179" s="111">
        <f>IF(OR(F179="none",G179="V"),0,VLOOKUP(F179,'Purchased Boons'!$AR$4:$AS$27,2,FALSE))</f>
        <v>0</v>
      </c>
      <c r="W179" s="39" t="s">
        <v>1764</v>
      </c>
      <c r="X179" s="37" t="s">
        <v>1764</v>
      </c>
      <c r="Y179" s="37" t="s">
        <v>133</v>
      </c>
      <c r="Z179" s="111">
        <v>149</v>
      </c>
      <c r="AG179" s="24"/>
      <c r="AH179" s="24"/>
    </row>
    <row r="180" spans="1:34" x14ac:dyDescent="0.25">
      <c r="A180" s="39" t="s">
        <v>2428</v>
      </c>
      <c r="B180" s="36" t="s">
        <v>87</v>
      </c>
      <c r="C180" s="469">
        <v>1</v>
      </c>
      <c r="D180" s="470" t="s">
        <v>494</v>
      </c>
      <c r="E180" s="37">
        <f t="shared" si="18"/>
        <v>0</v>
      </c>
      <c r="F180" s="470" t="s">
        <v>494</v>
      </c>
      <c r="G180" s="37">
        <f t="shared" si="19"/>
        <v>0</v>
      </c>
      <c r="H180" s="37" t="s">
        <v>494</v>
      </c>
      <c r="I180" s="37">
        <f t="shared" si="20"/>
        <v>0</v>
      </c>
      <c r="J180" s="37" t="s">
        <v>347</v>
      </c>
      <c r="K180" s="37">
        <f t="shared" si="21"/>
        <v>0</v>
      </c>
      <c r="L180" s="37" t="s">
        <v>494</v>
      </c>
      <c r="M180" s="37">
        <f t="shared" si="22"/>
        <v>0</v>
      </c>
      <c r="N180" s="470" t="s">
        <v>347</v>
      </c>
      <c r="O180" s="470">
        <f t="shared" si="23"/>
        <v>0</v>
      </c>
      <c r="P180" s="37" t="str">
        <f t="shared" si="24"/>
        <v>None</v>
      </c>
      <c r="Q180" s="470" t="s">
        <v>347</v>
      </c>
      <c r="R180" s="37">
        <f t="shared" si="25"/>
        <v>0</v>
      </c>
      <c r="S180" s="470" t="s">
        <v>347</v>
      </c>
      <c r="T180" s="470">
        <f t="shared" si="26"/>
        <v>0</v>
      </c>
      <c r="U180" s="470" t="s">
        <v>347</v>
      </c>
      <c r="V180" s="111">
        <f>IF(OR(F180="none",G180="V"),0,VLOOKUP(F180,'Purchased Boons'!$AR$4:$AS$27,2,FALSE))</f>
        <v>0</v>
      </c>
      <c r="W180" s="39" t="s">
        <v>1764</v>
      </c>
      <c r="X180" s="37" t="s">
        <v>1764</v>
      </c>
      <c r="Y180" s="37" t="s">
        <v>133</v>
      </c>
      <c r="Z180" s="111">
        <v>149</v>
      </c>
      <c r="AG180" s="24"/>
      <c r="AH180" s="24"/>
    </row>
    <row r="181" spans="1:34" x14ac:dyDescent="0.25">
      <c r="A181" s="39" t="s">
        <v>2438</v>
      </c>
      <c r="B181" s="36" t="s">
        <v>87</v>
      </c>
      <c r="C181" s="469">
        <v>1</v>
      </c>
      <c r="D181" s="470" t="s">
        <v>494</v>
      </c>
      <c r="E181" s="37">
        <f t="shared" si="18"/>
        <v>0</v>
      </c>
      <c r="F181" s="470" t="s">
        <v>494</v>
      </c>
      <c r="G181" s="37">
        <f t="shared" si="19"/>
        <v>0</v>
      </c>
      <c r="H181" s="37" t="s">
        <v>494</v>
      </c>
      <c r="I181" s="37">
        <f t="shared" si="20"/>
        <v>0</v>
      </c>
      <c r="J181" s="37" t="s">
        <v>347</v>
      </c>
      <c r="K181" s="37">
        <f t="shared" si="21"/>
        <v>0</v>
      </c>
      <c r="L181" s="37" t="s">
        <v>494</v>
      </c>
      <c r="M181" s="37">
        <f t="shared" si="22"/>
        <v>0</v>
      </c>
      <c r="N181" s="470" t="s">
        <v>347</v>
      </c>
      <c r="O181" s="470">
        <f t="shared" si="23"/>
        <v>0</v>
      </c>
      <c r="P181" s="37" t="str">
        <f t="shared" si="24"/>
        <v>None</v>
      </c>
      <c r="Q181" s="470" t="s">
        <v>347</v>
      </c>
      <c r="R181" s="37">
        <f t="shared" si="25"/>
        <v>0</v>
      </c>
      <c r="S181" s="470" t="s">
        <v>347</v>
      </c>
      <c r="T181" s="470">
        <f t="shared" si="26"/>
        <v>0</v>
      </c>
      <c r="U181" s="470" t="s">
        <v>347</v>
      </c>
      <c r="V181" s="111">
        <f>IF(OR(F181="none",G181="V"),0,VLOOKUP(F181,'Purchased Boons'!$AR$4:$AS$27,2,FALSE))</f>
        <v>0</v>
      </c>
      <c r="W181" s="39" t="s">
        <v>1764</v>
      </c>
      <c r="X181" s="37" t="s">
        <v>1764</v>
      </c>
      <c r="Y181" s="37" t="s">
        <v>133</v>
      </c>
      <c r="Z181" s="111">
        <v>149</v>
      </c>
      <c r="AG181" s="24"/>
      <c r="AH181" s="24"/>
    </row>
    <row r="182" spans="1:34" x14ac:dyDescent="0.25">
      <c r="A182" s="39" t="s">
        <v>2598</v>
      </c>
      <c r="B182" s="36" t="s">
        <v>87</v>
      </c>
      <c r="C182" s="469">
        <v>1</v>
      </c>
      <c r="D182" s="470" t="s">
        <v>494</v>
      </c>
      <c r="E182" s="37">
        <f t="shared" si="18"/>
        <v>0</v>
      </c>
      <c r="F182" s="470" t="s">
        <v>494</v>
      </c>
      <c r="G182" s="37">
        <f t="shared" si="19"/>
        <v>0</v>
      </c>
      <c r="H182" s="37" t="s">
        <v>494</v>
      </c>
      <c r="I182" s="37">
        <f t="shared" si="20"/>
        <v>0</v>
      </c>
      <c r="J182" s="37" t="s">
        <v>347</v>
      </c>
      <c r="K182" s="37">
        <f t="shared" si="21"/>
        <v>0</v>
      </c>
      <c r="L182" s="37" t="s">
        <v>494</v>
      </c>
      <c r="M182" s="37">
        <f t="shared" si="22"/>
        <v>0</v>
      </c>
      <c r="N182" s="470" t="s">
        <v>347</v>
      </c>
      <c r="O182" s="470">
        <f t="shared" si="23"/>
        <v>0</v>
      </c>
      <c r="P182" s="37" t="str">
        <f t="shared" si="24"/>
        <v>None</v>
      </c>
      <c r="Q182" s="470" t="s">
        <v>347</v>
      </c>
      <c r="R182" s="37">
        <f t="shared" si="25"/>
        <v>0</v>
      </c>
      <c r="S182" s="470" t="s">
        <v>347</v>
      </c>
      <c r="T182" s="470">
        <f t="shared" si="26"/>
        <v>0</v>
      </c>
      <c r="U182" s="470" t="s">
        <v>347</v>
      </c>
      <c r="V182" s="111">
        <f>IF(OR(F182="none",G182="V"),0,VLOOKUP(F182,'Purchased Boons'!$AR$4:$AS$27,2,FALSE))</f>
        <v>0</v>
      </c>
      <c r="W182" s="39" t="s">
        <v>1764</v>
      </c>
      <c r="X182" s="37" t="s">
        <v>1764</v>
      </c>
      <c r="Y182" s="37" t="s">
        <v>133</v>
      </c>
      <c r="Z182" s="111">
        <v>149</v>
      </c>
      <c r="AG182" s="24"/>
      <c r="AH182" s="24"/>
    </row>
    <row r="183" spans="1:34" x14ac:dyDescent="0.25">
      <c r="A183" s="39" t="s">
        <v>2608</v>
      </c>
      <c r="B183" s="36" t="s">
        <v>87</v>
      </c>
      <c r="C183" s="469">
        <v>1</v>
      </c>
      <c r="D183" s="470" t="s">
        <v>494</v>
      </c>
      <c r="E183" s="37">
        <f t="shared" si="18"/>
        <v>0</v>
      </c>
      <c r="F183" s="470" t="s">
        <v>494</v>
      </c>
      <c r="G183" s="37">
        <f t="shared" si="19"/>
        <v>0</v>
      </c>
      <c r="H183" s="37" t="s">
        <v>494</v>
      </c>
      <c r="I183" s="37">
        <f t="shared" si="20"/>
        <v>0</v>
      </c>
      <c r="J183" s="37" t="s">
        <v>347</v>
      </c>
      <c r="K183" s="37">
        <f t="shared" si="21"/>
        <v>0</v>
      </c>
      <c r="L183" s="37" t="s">
        <v>494</v>
      </c>
      <c r="M183" s="37">
        <f t="shared" si="22"/>
        <v>0</v>
      </c>
      <c r="N183" s="470" t="s">
        <v>347</v>
      </c>
      <c r="O183" s="470">
        <f t="shared" si="23"/>
        <v>0</v>
      </c>
      <c r="P183" s="37" t="str">
        <f t="shared" si="24"/>
        <v>None</v>
      </c>
      <c r="Q183" s="470" t="s">
        <v>347</v>
      </c>
      <c r="R183" s="37">
        <f t="shared" si="25"/>
        <v>0</v>
      </c>
      <c r="S183" s="470" t="s">
        <v>347</v>
      </c>
      <c r="T183" s="470">
        <f t="shared" si="26"/>
        <v>0</v>
      </c>
      <c r="U183" s="470" t="s">
        <v>347</v>
      </c>
      <c r="V183" s="111">
        <f>IF(OR(F183="none",G183="V"),0,VLOOKUP(F183,'Purchased Boons'!$AR$4:$AS$27,2,FALSE))</f>
        <v>0</v>
      </c>
      <c r="W183" s="39" t="s">
        <v>1764</v>
      </c>
      <c r="X183" s="37" t="s">
        <v>1764</v>
      </c>
      <c r="Y183" s="37" t="s">
        <v>133</v>
      </c>
      <c r="Z183" s="111">
        <v>149</v>
      </c>
      <c r="AG183" s="24"/>
      <c r="AH183" s="24"/>
    </row>
    <row r="184" spans="1:34" x14ac:dyDescent="0.25">
      <c r="A184" s="39" t="s">
        <v>2448</v>
      </c>
      <c r="B184" s="36" t="s">
        <v>87</v>
      </c>
      <c r="C184" s="469">
        <v>1</v>
      </c>
      <c r="D184" s="470" t="s">
        <v>494</v>
      </c>
      <c r="E184" s="37">
        <f t="shared" si="18"/>
        <v>0</v>
      </c>
      <c r="F184" s="470" t="s">
        <v>494</v>
      </c>
      <c r="G184" s="37">
        <f t="shared" si="19"/>
        <v>0</v>
      </c>
      <c r="H184" s="37" t="s">
        <v>494</v>
      </c>
      <c r="I184" s="37">
        <f t="shared" si="20"/>
        <v>0</v>
      </c>
      <c r="J184" s="37" t="s">
        <v>347</v>
      </c>
      <c r="K184" s="37">
        <f t="shared" si="21"/>
        <v>0</v>
      </c>
      <c r="L184" s="37" t="s">
        <v>494</v>
      </c>
      <c r="M184" s="37">
        <f t="shared" si="22"/>
        <v>0</v>
      </c>
      <c r="N184" s="470" t="s">
        <v>347</v>
      </c>
      <c r="O184" s="470">
        <f t="shared" si="23"/>
        <v>0</v>
      </c>
      <c r="P184" s="37" t="str">
        <f t="shared" si="24"/>
        <v>None</v>
      </c>
      <c r="Q184" s="470" t="s">
        <v>347</v>
      </c>
      <c r="R184" s="37">
        <f t="shared" si="25"/>
        <v>0</v>
      </c>
      <c r="S184" s="470" t="s">
        <v>347</v>
      </c>
      <c r="T184" s="470">
        <f t="shared" si="26"/>
        <v>0</v>
      </c>
      <c r="U184" s="470" t="s">
        <v>347</v>
      </c>
      <c r="V184" s="111">
        <f>IF(OR(F184="none",G184="V"),0,VLOOKUP(F184,'Purchased Boons'!$AR$4:$AS$27,2,FALSE))</f>
        <v>0</v>
      </c>
      <c r="W184" s="39" t="s">
        <v>1764</v>
      </c>
      <c r="X184" s="37" t="s">
        <v>1764</v>
      </c>
      <c r="Y184" s="37" t="s">
        <v>133</v>
      </c>
      <c r="Z184" s="111">
        <v>149</v>
      </c>
      <c r="AG184" s="24"/>
      <c r="AH184" s="24"/>
    </row>
    <row r="185" spans="1:34" x14ac:dyDescent="0.25">
      <c r="A185" s="39" t="s">
        <v>2458</v>
      </c>
      <c r="B185" s="36" t="s">
        <v>87</v>
      </c>
      <c r="C185" s="469">
        <v>1</v>
      </c>
      <c r="D185" s="470" t="s">
        <v>494</v>
      </c>
      <c r="E185" s="37">
        <f t="shared" si="18"/>
        <v>0</v>
      </c>
      <c r="F185" s="470" t="s">
        <v>494</v>
      </c>
      <c r="G185" s="37">
        <f t="shared" si="19"/>
        <v>0</v>
      </c>
      <c r="H185" s="37" t="s">
        <v>494</v>
      </c>
      <c r="I185" s="37">
        <f t="shared" si="20"/>
        <v>0</v>
      </c>
      <c r="J185" s="37" t="s">
        <v>347</v>
      </c>
      <c r="K185" s="37">
        <f t="shared" si="21"/>
        <v>0</v>
      </c>
      <c r="L185" s="37" t="s">
        <v>494</v>
      </c>
      <c r="M185" s="37">
        <f t="shared" si="22"/>
        <v>0</v>
      </c>
      <c r="N185" s="470" t="s">
        <v>347</v>
      </c>
      <c r="O185" s="470">
        <f t="shared" si="23"/>
        <v>0</v>
      </c>
      <c r="P185" s="37" t="str">
        <f t="shared" si="24"/>
        <v>None</v>
      </c>
      <c r="Q185" s="470" t="s">
        <v>347</v>
      </c>
      <c r="R185" s="37">
        <f t="shared" si="25"/>
        <v>0</v>
      </c>
      <c r="S185" s="470" t="s">
        <v>347</v>
      </c>
      <c r="T185" s="470">
        <f t="shared" si="26"/>
        <v>0</v>
      </c>
      <c r="U185" s="470" t="s">
        <v>347</v>
      </c>
      <c r="V185" s="111">
        <f>IF(OR(F185="none",G185="V"),0,VLOOKUP(F185,'Purchased Boons'!$AR$4:$AS$27,2,FALSE))</f>
        <v>0</v>
      </c>
      <c r="W185" s="39" t="s">
        <v>1764</v>
      </c>
      <c r="X185" s="37" t="s">
        <v>1764</v>
      </c>
      <c r="Y185" s="37" t="s">
        <v>133</v>
      </c>
      <c r="Z185" s="111">
        <v>149</v>
      </c>
      <c r="AG185" s="24"/>
      <c r="AH185" s="24"/>
    </row>
    <row r="186" spans="1:34" x14ac:dyDescent="0.25">
      <c r="A186" s="39" t="s">
        <v>2468</v>
      </c>
      <c r="B186" s="36" t="s">
        <v>87</v>
      </c>
      <c r="C186" s="469">
        <v>1</v>
      </c>
      <c r="D186" s="470" t="s">
        <v>494</v>
      </c>
      <c r="E186" s="37">
        <f t="shared" si="18"/>
        <v>0</v>
      </c>
      <c r="F186" s="470" t="s">
        <v>494</v>
      </c>
      <c r="G186" s="37">
        <f t="shared" si="19"/>
        <v>0</v>
      </c>
      <c r="H186" s="37" t="s">
        <v>494</v>
      </c>
      <c r="I186" s="37">
        <f t="shared" si="20"/>
        <v>0</v>
      </c>
      <c r="J186" s="37" t="s">
        <v>347</v>
      </c>
      <c r="K186" s="37">
        <f t="shared" si="21"/>
        <v>0</v>
      </c>
      <c r="L186" s="37" t="s">
        <v>494</v>
      </c>
      <c r="M186" s="37">
        <f t="shared" si="22"/>
        <v>0</v>
      </c>
      <c r="N186" s="470" t="s">
        <v>347</v>
      </c>
      <c r="O186" s="470">
        <f t="shared" si="23"/>
        <v>0</v>
      </c>
      <c r="P186" s="37" t="str">
        <f t="shared" si="24"/>
        <v>None</v>
      </c>
      <c r="Q186" s="470" t="s">
        <v>347</v>
      </c>
      <c r="R186" s="37">
        <f t="shared" si="25"/>
        <v>0</v>
      </c>
      <c r="S186" s="470" t="s">
        <v>347</v>
      </c>
      <c r="T186" s="470">
        <f t="shared" si="26"/>
        <v>0</v>
      </c>
      <c r="U186" s="470" t="s">
        <v>347</v>
      </c>
      <c r="V186" s="111">
        <f>IF(OR(F186="none",G186="V"),0,VLOOKUP(F186,'Purchased Boons'!$AR$4:$AS$27,2,FALSE))</f>
        <v>0</v>
      </c>
      <c r="W186" s="39" t="s">
        <v>1764</v>
      </c>
      <c r="X186" s="37" t="s">
        <v>1764</v>
      </c>
      <c r="Y186" s="37" t="s">
        <v>133</v>
      </c>
      <c r="Z186" s="111">
        <v>149</v>
      </c>
      <c r="AG186" s="24"/>
      <c r="AH186" s="24"/>
    </row>
    <row r="187" spans="1:34" x14ac:dyDescent="0.25">
      <c r="A187" s="39" t="s">
        <v>2478</v>
      </c>
      <c r="B187" s="36" t="s">
        <v>87</v>
      </c>
      <c r="C187" s="469">
        <v>1</v>
      </c>
      <c r="D187" s="470" t="s">
        <v>494</v>
      </c>
      <c r="E187" s="37">
        <f t="shared" si="18"/>
        <v>0</v>
      </c>
      <c r="F187" s="470" t="s">
        <v>494</v>
      </c>
      <c r="G187" s="37">
        <f t="shared" si="19"/>
        <v>0</v>
      </c>
      <c r="H187" s="37" t="s">
        <v>494</v>
      </c>
      <c r="I187" s="37">
        <f t="shared" si="20"/>
        <v>0</v>
      </c>
      <c r="J187" s="37" t="s">
        <v>347</v>
      </c>
      <c r="K187" s="37">
        <f t="shared" si="21"/>
        <v>0</v>
      </c>
      <c r="L187" s="37" t="s">
        <v>494</v>
      </c>
      <c r="M187" s="37">
        <f t="shared" si="22"/>
        <v>0</v>
      </c>
      <c r="N187" s="470" t="s">
        <v>347</v>
      </c>
      <c r="O187" s="470">
        <f t="shared" si="23"/>
        <v>0</v>
      </c>
      <c r="P187" s="37" t="str">
        <f t="shared" si="24"/>
        <v>None</v>
      </c>
      <c r="Q187" s="470" t="s">
        <v>347</v>
      </c>
      <c r="R187" s="37">
        <f t="shared" si="25"/>
        <v>0</v>
      </c>
      <c r="S187" s="470" t="s">
        <v>347</v>
      </c>
      <c r="T187" s="470">
        <f t="shared" si="26"/>
        <v>0</v>
      </c>
      <c r="U187" s="470" t="s">
        <v>347</v>
      </c>
      <c r="V187" s="111">
        <f>IF(OR(F187="none",G187="V"),0,VLOOKUP(F187,'Purchased Boons'!$AR$4:$AS$27,2,FALSE))</f>
        <v>0</v>
      </c>
      <c r="W187" s="39" t="s">
        <v>1764</v>
      </c>
      <c r="X187" s="37" t="s">
        <v>1764</v>
      </c>
      <c r="Y187" s="37" t="s">
        <v>133</v>
      </c>
      <c r="Z187" s="111">
        <v>149</v>
      </c>
      <c r="AG187" s="24"/>
      <c r="AH187" s="24"/>
    </row>
    <row r="188" spans="1:34" x14ac:dyDescent="0.25">
      <c r="A188" s="39" t="s">
        <v>2488</v>
      </c>
      <c r="B188" s="36" t="s">
        <v>87</v>
      </c>
      <c r="C188" s="469">
        <v>1</v>
      </c>
      <c r="D188" s="470" t="s">
        <v>494</v>
      </c>
      <c r="E188" s="37">
        <f t="shared" si="18"/>
        <v>0</v>
      </c>
      <c r="F188" s="470" t="s">
        <v>494</v>
      </c>
      <c r="G188" s="37">
        <f t="shared" si="19"/>
        <v>0</v>
      </c>
      <c r="H188" s="37" t="s">
        <v>494</v>
      </c>
      <c r="I188" s="37">
        <f t="shared" si="20"/>
        <v>0</v>
      </c>
      <c r="J188" s="37" t="s">
        <v>347</v>
      </c>
      <c r="K188" s="37">
        <f t="shared" si="21"/>
        <v>0</v>
      </c>
      <c r="L188" s="37" t="s">
        <v>494</v>
      </c>
      <c r="M188" s="37">
        <f t="shared" si="22"/>
        <v>0</v>
      </c>
      <c r="N188" s="470" t="s">
        <v>347</v>
      </c>
      <c r="O188" s="470">
        <f t="shared" si="23"/>
        <v>0</v>
      </c>
      <c r="P188" s="37" t="str">
        <f t="shared" si="24"/>
        <v>None</v>
      </c>
      <c r="Q188" s="470" t="s">
        <v>347</v>
      </c>
      <c r="R188" s="37">
        <f t="shared" si="25"/>
        <v>0</v>
      </c>
      <c r="S188" s="470" t="s">
        <v>347</v>
      </c>
      <c r="T188" s="470">
        <f t="shared" si="26"/>
        <v>0</v>
      </c>
      <c r="U188" s="470" t="s">
        <v>347</v>
      </c>
      <c r="V188" s="111">
        <f>IF(OR(F188="none",G188="V"),0,VLOOKUP(F188,'Purchased Boons'!$AR$4:$AS$27,2,FALSE))</f>
        <v>0</v>
      </c>
      <c r="W188" s="39" t="s">
        <v>1764</v>
      </c>
      <c r="X188" s="37" t="s">
        <v>1764</v>
      </c>
      <c r="Y188" s="37" t="s">
        <v>133</v>
      </c>
      <c r="Z188" s="111">
        <v>149</v>
      </c>
      <c r="AG188" s="24"/>
      <c r="AH188" s="24"/>
    </row>
    <row r="189" spans="1:34" x14ac:dyDescent="0.25">
      <c r="A189" s="39" t="s">
        <v>2498</v>
      </c>
      <c r="B189" s="36" t="s">
        <v>87</v>
      </c>
      <c r="C189" s="469">
        <v>1</v>
      </c>
      <c r="D189" s="470" t="s">
        <v>494</v>
      </c>
      <c r="E189" s="37">
        <f t="shared" si="18"/>
        <v>0</v>
      </c>
      <c r="F189" s="470" t="s">
        <v>494</v>
      </c>
      <c r="G189" s="37">
        <f t="shared" si="19"/>
        <v>0</v>
      </c>
      <c r="H189" s="37" t="s">
        <v>494</v>
      </c>
      <c r="I189" s="37">
        <f t="shared" si="20"/>
        <v>0</v>
      </c>
      <c r="J189" s="37" t="s">
        <v>347</v>
      </c>
      <c r="K189" s="37">
        <f t="shared" si="21"/>
        <v>0</v>
      </c>
      <c r="L189" s="37" t="s">
        <v>494</v>
      </c>
      <c r="M189" s="37">
        <f t="shared" si="22"/>
        <v>0</v>
      </c>
      <c r="N189" s="470" t="s">
        <v>347</v>
      </c>
      <c r="O189" s="470">
        <f t="shared" si="23"/>
        <v>0</v>
      </c>
      <c r="P189" s="37" t="str">
        <f t="shared" si="24"/>
        <v>None</v>
      </c>
      <c r="Q189" s="470" t="s">
        <v>347</v>
      </c>
      <c r="R189" s="37">
        <f t="shared" si="25"/>
        <v>0</v>
      </c>
      <c r="S189" s="470" t="s">
        <v>347</v>
      </c>
      <c r="T189" s="470">
        <f t="shared" si="26"/>
        <v>0</v>
      </c>
      <c r="U189" s="470" t="s">
        <v>347</v>
      </c>
      <c r="V189" s="111">
        <f>IF(OR(F189="none",G189="V"),0,VLOOKUP(F189,'Purchased Boons'!$AR$4:$AS$27,2,FALSE))</f>
        <v>0</v>
      </c>
      <c r="W189" s="39" t="s">
        <v>1764</v>
      </c>
      <c r="X189" s="37" t="s">
        <v>1764</v>
      </c>
      <c r="Y189" s="37" t="s">
        <v>133</v>
      </c>
      <c r="Z189" s="111">
        <v>149</v>
      </c>
      <c r="AG189" s="24"/>
      <c r="AH189" s="24"/>
    </row>
    <row r="190" spans="1:34" x14ac:dyDescent="0.25">
      <c r="A190" s="39" t="s">
        <v>2508</v>
      </c>
      <c r="B190" s="36" t="s">
        <v>87</v>
      </c>
      <c r="C190" s="469">
        <v>1</v>
      </c>
      <c r="D190" s="470" t="s">
        <v>494</v>
      </c>
      <c r="E190" s="37">
        <f t="shared" si="18"/>
        <v>0</v>
      </c>
      <c r="F190" s="470" t="s">
        <v>494</v>
      </c>
      <c r="G190" s="37">
        <f t="shared" si="19"/>
        <v>0</v>
      </c>
      <c r="H190" s="37" t="s">
        <v>494</v>
      </c>
      <c r="I190" s="37">
        <f t="shared" si="20"/>
        <v>0</v>
      </c>
      <c r="J190" s="37" t="s">
        <v>347</v>
      </c>
      <c r="K190" s="37">
        <f t="shared" si="21"/>
        <v>0</v>
      </c>
      <c r="L190" s="37" t="s">
        <v>494</v>
      </c>
      <c r="M190" s="37">
        <f t="shared" si="22"/>
        <v>0</v>
      </c>
      <c r="N190" s="470" t="s">
        <v>347</v>
      </c>
      <c r="O190" s="470">
        <f t="shared" si="23"/>
        <v>0</v>
      </c>
      <c r="P190" s="37" t="str">
        <f t="shared" si="24"/>
        <v>None</v>
      </c>
      <c r="Q190" s="470" t="s">
        <v>347</v>
      </c>
      <c r="R190" s="37">
        <f t="shared" si="25"/>
        <v>0</v>
      </c>
      <c r="S190" s="470" t="s">
        <v>347</v>
      </c>
      <c r="T190" s="470">
        <f t="shared" si="26"/>
        <v>0</v>
      </c>
      <c r="U190" s="470" t="s">
        <v>347</v>
      </c>
      <c r="V190" s="111">
        <f>IF(OR(F190="none",G190="V"),0,VLOOKUP(F190,'Purchased Boons'!$AR$4:$AS$27,2,FALSE))</f>
        <v>0</v>
      </c>
      <c r="W190" s="39" t="s">
        <v>1764</v>
      </c>
      <c r="X190" s="37" t="s">
        <v>1764</v>
      </c>
      <c r="Y190" s="37" t="s">
        <v>133</v>
      </c>
      <c r="Z190" s="111">
        <v>149</v>
      </c>
      <c r="AG190" s="24"/>
      <c r="AH190" s="24"/>
    </row>
    <row r="191" spans="1:34" x14ac:dyDescent="0.25">
      <c r="A191" s="39" t="s">
        <v>2518</v>
      </c>
      <c r="B191" s="36" t="s">
        <v>87</v>
      </c>
      <c r="C191" s="469">
        <v>1</v>
      </c>
      <c r="D191" s="470" t="s">
        <v>494</v>
      </c>
      <c r="E191" s="37">
        <f t="shared" si="18"/>
        <v>0</v>
      </c>
      <c r="F191" s="470" t="s">
        <v>494</v>
      </c>
      <c r="G191" s="37">
        <f t="shared" si="19"/>
        <v>0</v>
      </c>
      <c r="H191" s="37" t="s">
        <v>494</v>
      </c>
      <c r="I191" s="37">
        <f t="shared" si="20"/>
        <v>0</v>
      </c>
      <c r="J191" s="37" t="s">
        <v>347</v>
      </c>
      <c r="K191" s="37">
        <f t="shared" si="21"/>
        <v>0</v>
      </c>
      <c r="L191" s="37" t="s">
        <v>494</v>
      </c>
      <c r="M191" s="37">
        <f t="shared" si="22"/>
        <v>0</v>
      </c>
      <c r="N191" s="470" t="s">
        <v>347</v>
      </c>
      <c r="O191" s="470">
        <f t="shared" si="23"/>
        <v>0</v>
      </c>
      <c r="P191" s="37" t="str">
        <f t="shared" si="24"/>
        <v>None</v>
      </c>
      <c r="Q191" s="470" t="s">
        <v>347</v>
      </c>
      <c r="R191" s="37">
        <f t="shared" si="25"/>
        <v>0</v>
      </c>
      <c r="S191" s="470" t="s">
        <v>347</v>
      </c>
      <c r="T191" s="470">
        <f t="shared" si="26"/>
        <v>0</v>
      </c>
      <c r="U191" s="470" t="s">
        <v>347</v>
      </c>
      <c r="V191" s="111">
        <f>IF(OR(F191="none",G191="V"),0,VLOOKUP(F191,'Purchased Boons'!$AR$4:$AS$27,2,FALSE))</f>
        <v>0</v>
      </c>
      <c r="W191" s="39" t="s">
        <v>1764</v>
      </c>
      <c r="X191" s="37" t="s">
        <v>1764</v>
      </c>
      <c r="Y191" s="37" t="s">
        <v>133</v>
      </c>
      <c r="Z191" s="111">
        <v>149</v>
      </c>
      <c r="AG191" s="24"/>
      <c r="AH191" s="24"/>
    </row>
    <row r="192" spans="1:34" x14ac:dyDescent="0.25">
      <c r="A192" s="39" t="s">
        <v>2528</v>
      </c>
      <c r="B192" s="36" t="s">
        <v>87</v>
      </c>
      <c r="C192" s="469">
        <v>1</v>
      </c>
      <c r="D192" s="470" t="s">
        <v>494</v>
      </c>
      <c r="E192" s="37">
        <f t="shared" si="18"/>
        <v>0</v>
      </c>
      <c r="F192" s="470" t="s">
        <v>494</v>
      </c>
      <c r="G192" s="37">
        <f t="shared" si="19"/>
        <v>0</v>
      </c>
      <c r="H192" s="37" t="s">
        <v>494</v>
      </c>
      <c r="I192" s="37">
        <f t="shared" si="20"/>
        <v>0</v>
      </c>
      <c r="J192" s="37" t="s">
        <v>347</v>
      </c>
      <c r="K192" s="37">
        <f t="shared" si="21"/>
        <v>0</v>
      </c>
      <c r="L192" s="37" t="s">
        <v>494</v>
      </c>
      <c r="M192" s="37">
        <f t="shared" si="22"/>
        <v>0</v>
      </c>
      <c r="N192" s="470" t="s">
        <v>347</v>
      </c>
      <c r="O192" s="470">
        <f t="shared" si="23"/>
        <v>0</v>
      </c>
      <c r="P192" s="37" t="str">
        <f t="shared" si="24"/>
        <v>None</v>
      </c>
      <c r="Q192" s="470" t="s">
        <v>347</v>
      </c>
      <c r="R192" s="37">
        <f t="shared" si="25"/>
        <v>0</v>
      </c>
      <c r="S192" s="470" t="s">
        <v>347</v>
      </c>
      <c r="T192" s="470">
        <f t="shared" si="26"/>
        <v>0</v>
      </c>
      <c r="U192" s="470" t="s">
        <v>347</v>
      </c>
      <c r="V192" s="111">
        <f>IF(OR(F192="none",G192="V"),0,VLOOKUP(F192,'Purchased Boons'!$AR$4:$AS$27,2,FALSE))</f>
        <v>0</v>
      </c>
      <c r="W192" s="39" t="s">
        <v>1764</v>
      </c>
      <c r="X192" s="37" t="s">
        <v>1764</v>
      </c>
      <c r="Y192" s="37" t="s">
        <v>133</v>
      </c>
      <c r="Z192" s="111">
        <v>149</v>
      </c>
      <c r="AG192" s="24"/>
      <c r="AH192" s="24"/>
    </row>
    <row r="193" spans="1:34" x14ac:dyDescent="0.25">
      <c r="A193" s="39" t="s">
        <v>2538</v>
      </c>
      <c r="B193" s="36" t="s">
        <v>87</v>
      </c>
      <c r="C193" s="469">
        <v>1</v>
      </c>
      <c r="D193" s="470" t="s">
        <v>494</v>
      </c>
      <c r="E193" s="37">
        <f t="shared" si="18"/>
        <v>0</v>
      </c>
      <c r="F193" s="470" t="s">
        <v>494</v>
      </c>
      <c r="G193" s="37">
        <f t="shared" si="19"/>
        <v>0</v>
      </c>
      <c r="H193" s="37" t="s">
        <v>494</v>
      </c>
      <c r="I193" s="37">
        <f t="shared" si="20"/>
        <v>0</v>
      </c>
      <c r="J193" s="37" t="s">
        <v>347</v>
      </c>
      <c r="K193" s="37">
        <f t="shared" si="21"/>
        <v>0</v>
      </c>
      <c r="L193" s="37" t="s">
        <v>494</v>
      </c>
      <c r="M193" s="37">
        <f t="shared" si="22"/>
        <v>0</v>
      </c>
      <c r="N193" s="470" t="s">
        <v>347</v>
      </c>
      <c r="O193" s="470">
        <f t="shared" si="23"/>
        <v>0</v>
      </c>
      <c r="P193" s="37" t="str">
        <f t="shared" si="24"/>
        <v>None</v>
      </c>
      <c r="Q193" s="470" t="s">
        <v>347</v>
      </c>
      <c r="R193" s="37">
        <f t="shared" si="25"/>
        <v>0</v>
      </c>
      <c r="S193" s="470" t="s">
        <v>347</v>
      </c>
      <c r="T193" s="470">
        <f t="shared" si="26"/>
        <v>0</v>
      </c>
      <c r="U193" s="470" t="s">
        <v>347</v>
      </c>
      <c r="V193" s="111">
        <f>IF(OR(F193="none",G193="V"),0,VLOOKUP(F193,'Purchased Boons'!$AR$4:$AS$27,2,FALSE))</f>
        <v>0</v>
      </c>
      <c r="W193" s="39" t="s">
        <v>1764</v>
      </c>
      <c r="X193" s="37" t="s">
        <v>1764</v>
      </c>
      <c r="Y193" s="37" t="s">
        <v>133</v>
      </c>
      <c r="Z193" s="111">
        <v>149</v>
      </c>
      <c r="AG193" s="24"/>
      <c r="AH193" s="24"/>
    </row>
    <row r="194" spans="1:34" x14ac:dyDescent="0.25">
      <c r="A194" s="39" t="s">
        <v>2548</v>
      </c>
      <c r="B194" s="36" t="s">
        <v>87</v>
      </c>
      <c r="C194" s="469">
        <v>1</v>
      </c>
      <c r="D194" s="470" t="s">
        <v>494</v>
      </c>
      <c r="E194" s="37">
        <f t="shared" si="18"/>
        <v>0</v>
      </c>
      <c r="F194" s="470" t="s">
        <v>494</v>
      </c>
      <c r="G194" s="37">
        <f t="shared" si="19"/>
        <v>0</v>
      </c>
      <c r="H194" s="37" t="s">
        <v>494</v>
      </c>
      <c r="I194" s="37">
        <f t="shared" si="20"/>
        <v>0</v>
      </c>
      <c r="J194" s="37" t="s">
        <v>347</v>
      </c>
      <c r="K194" s="37">
        <f t="shared" si="21"/>
        <v>0</v>
      </c>
      <c r="L194" s="37" t="s">
        <v>494</v>
      </c>
      <c r="M194" s="37">
        <f t="shared" si="22"/>
        <v>0</v>
      </c>
      <c r="N194" s="470" t="s">
        <v>347</v>
      </c>
      <c r="O194" s="470">
        <f t="shared" si="23"/>
        <v>0</v>
      </c>
      <c r="P194" s="37" t="str">
        <f t="shared" si="24"/>
        <v>None</v>
      </c>
      <c r="Q194" s="470" t="s">
        <v>347</v>
      </c>
      <c r="R194" s="37">
        <f t="shared" si="25"/>
        <v>0</v>
      </c>
      <c r="S194" s="470" t="s">
        <v>347</v>
      </c>
      <c r="T194" s="470">
        <f t="shared" si="26"/>
        <v>0</v>
      </c>
      <c r="U194" s="470" t="s">
        <v>347</v>
      </c>
      <c r="V194" s="111">
        <f>IF(OR(F194="none",G194="V"),0,VLOOKUP(F194,'Purchased Boons'!$AR$4:$AS$27,2,FALSE))</f>
        <v>0</v>
      </c>
      <c r="W194" s="39" t="s">
        <v>1764</v>
      </c>
      <c r="X194" s="37" t="s">
        <v>1764</v>
      </c>
      <c r="Y194" s="37" t="s">
        <v>133</v>
      </c>
      <c r="Z194" s="111">
        <v>149</v>
      </c>
      <c r="AG194" s="24"/>
      <c r="AH194" s="24"/>
    </row>
    <row r="195" spans="1:34" x14ac:dyDescent="0.25">
      <c r="A195" s="39" t="s">
        <v>2618</v>
      </c>
      <c r="B195" s="36" t="s">
        <v>87</v>
      </c>
      <c r="C195" s="469">
        <v>1</v>
      </c>
      <c r="D195" s="470" t="s">
        <v>494</v>
      </c>
      <c r="E195" s="37">
        <f t="shared" si="18"/>
        <v>0</v>
      </c>
      <c r="F195" s="470" t="s">
        <v>494</v>
      </c>
      <c r="G195" s="37">
        <f t="shared" si="19"/>
        <v>0</v>
      </c>
      <c r="H195" s="37" t="s">
        <v>494</v>
      </c>
      <c r="I195" s="37">
        <f t="shared" si="20"/>
        <v>0</v>
      </c>
      <c r="J195" s="37" t="s">
        <v>347</v>
      </c>
      <c r="K195" s="37">
        <f t="shared" si="21"/>
        <v>0</v>
      </c>
      <c r="L195" s="37" t="s">
        <v>494</v>
      </c>
      <c r="M195" s="37">
        <f t="shared" si="22"/>
        <v>0</v>
      </c>
      <c r="N195" s="470" t="s">
        <v>347</v>
      </c>
      <c r="O195" s="470">
        <f t="shared" si="23"/>
        <v>0</v>
      </c>
      <c r="P195" s="37" t="str">
        <f t="shared" si="24"/>
        <v>None</v>
      </c>
      <c r="Q195" s="470" t="s">
        <v>347</v>
      </c>
      <c r="R195" s="37">
        <f t="shared" si="25"/>
        <v>0</v>
      </c>
      <c r="S195" s="470" t="s">
        <v>347</v>
      </c>
      <c r="T195" s="470">
        <f t="shared" si="26"/>
        <v>0</v>
      </c>
      <c r="U195" s="470" t="s">
        <v>347</v>
      </c>
      <c r="V195" s="111">
        <f>IF(OR(F195="none",G195="V"),0,VLOOKUP(F195,'Purchased Boons'!$AR$4:$AS$27,2,FALSE))</f>
        <v>0</v>
      </c>
      <c r="W195" s="39" t="s">
        <v>1764</v>
      </c>
      <c r="X195" s="37" t="s">
        <v>1764</v>
      </c>
      <c r="Y195" s="37" t="s">
        <v>133</v>
      </c>
      <c r="Z195" s="111">
        <v>149</v>
      </c>
      <c r="AG195" s="24"/>
      <c r="AH195" s="24"/>
    </row>
    <row r="196" spans="1:34" x14ac:dyDescent="0.25">
      <c r="A196" s="39" t="s">
        <v>2558</v>
      </c>
      <c r="B196" s="36" t="s">
        <v>87</v>
      </c>
      <c r="C196" s="469">
        <v>1</v>
      </c>
      <c r="D196" s="470" t="s">
        <v>494</v>
      </c>
      <c r="E196" s="37">
        <f t="shared" si="18"/>
        <v>0</v>
      </c>
      <c r="F196" s="470" t="s">
        <v>494</v>
      </c>
      <c r="G196" s="37">
        <f t="shared" si="19"/>
        <v>0</v>
      </c>
      <c r="H196" s="37" t="s">
        <v>494</v>
      </c>
      <c r="I196" s="37">
        <f t="shared" si="20"/>
        <v>0</v>
      </c>
      <c r="J196" s="37" t="s">
        <v>347</v>
      </c>
      <c r="K196" s="37">
        <f t="shared" si="21"/>
        <v>0</v>
      </c>
      <c r="L196" s="37" t="s">
        <v>494</v>
      </c>
      <c r="M196" s="37">
        <f t="shared" si="22"/>
        <v>0</v>
      </c>
      <c r="N196" s="470" t="s">
        <v>347</v>
      </c>
      <c r="O196" s="470">
        <f t="shared" si="23"/>
        <v>0</v>
      </c>
      <c r="P196" s="37" t="str">
        <f t="shared" si="24"/>
        <v>None</v>
      </c>
      <c r="Q196" s="470" t="s">
        <v>347</v>
      </c>
      <c r="R196" s="37">
        <f t="shared" si="25"/>
        <v>0</v>
      </c>
      <c r="S196" s="470" t="s">
        <v>347</v>
      </c>
      <c r="T196" s="470">
        <f t="shared" si="26"/>
        <v>0</v>
      </c>
      <c r="U196" s="470" t="s">
        <v>347</v>
      </c>
      <c r="V196" s="111">
        <f>IF(OR(F196="none",G196="V"),0,VLOOKUP(F196,'Purchased Boons'!$AR$4:$AS$27,2,FALSE))</f>
        <v>0</v>
      </c>
      <c r="W196" s="39" t="s">
        <v>1764</v>
      </c>
      <c r="X196" s="37" t="s">
        <v>1764</v>
      </c>
      <c r="Y196" s="37" t="s">
        <v>133</v>
      </c>
      <c r="Z196" s="111">
        <v>149</v>
      </c>
      <c r="AG196" s="24"/>
      <c r="AH196" s="24"/>
    </row>
    <row r="197" spans="1:34" x14ac:dyDescent="0.25">
      <c r="A197" s="39" t="s">
        <v>2568</v>
      </c>
      <c r="B197" s="36" t="s">
        <v>87</v>
      </c>
      <c r="C197" s="469">
        <v>1</v>
      </c>
      <c r="D197" s="470" t="s">
        <v>494</v>
      </c>
      <c r="E197" s="37">
        <f t="shared" si="18"/>
        <v>0</v>
      </c>
      <c r="F197" s="470" t="s">
        <v>494</v>
      </c>
      <c r="G197" s="37">
        <f t="shared" si="19"/>
        <v>0</v>
      </c>
      <c r="H197" s="37" t="s">
        <v>494</v>
      </c>
      <c r="I197" s="37">
        <f t="shared" si="20"/>
        <v>0</v>
      </c>
      <c r="J197" s="37" t="s">
        <v>347</v>
      </c>
      <c r="K197" s="37">
        <f t="shared" si="21"/>
        <v>0</v>
      </c>
      <c r="L197" s="37" t="s">
        <v>494</v>
      </c>
      <c r="M197" s="37">
        <f t="shared" si="22"/>
        <v>0</v>
      </c>
      <c r="N197" s="470" t="s">
        <v>347</v>
      </c>
      <c r="O197" s="470">
        <f t="shared" si="23"/>
        <v>0</v>
      </c>
      <c r="P197" s="37" t="str">
        <f t="shared" si="24"/>
        <v>None</v>
      </c>
      <c r="Q197" s="470" t="s">
        <v>347</v>
      </c>
      <c r="R197" s="37">
        <f t="shared" si="25"/>
        <v>0</v>
      </c>
      <c r="S197" s="470" t="s">
        <v>347</v>
      </c>
      <c r="T197" s="470">
        <f t="shared" si="26"/>
        <v>0</v>
      </c>
      <c r="U197" s="470" t="s">
        <v>347</v>
      </c>
      <c r="V197" s="111">
        <f>IF(OR(F197="none",G197="V"),0,VLOOKUP(F197,'Purchased Boons'!$AR$4:$AS$27,2,FALSE))</f>
        <v>0</v>
      </c>
      <c r="W197" s="39" t="s">
        <v>1764</v>
      </c>
      <c r="X197" s="37" t="s">
        <v>1764</v>
      </c>
      <c r="Y197" s="37" t="s">
        <v>133</v>
      </c>
      <c r="Z197" s="111">
        <v>149</v>
      </c>
      <c r="AG197" s="24"/>
      <c r="AH197" s="24"/>
    </row>
    <row r="198" spans="1:34" x14ac:dyDescent="0.25">
      <c r="A198" s="39" t="s">
        <v>2578</v>
      </c>
      <c r="B198" s="36" t="s">
        <v>87</v>
      </c>
      <c r="C198" s="469">
        <v>1</v>
      </c>
      <c r="D198" s="470" t="s">
        <v>494</v>
      </c>
      <c r="E198" s="37">
        <f t="shared" si="18"/>
        <v>0</v>
      </c>
      <c r="F198" s="470" t="s">
        <v>494</v>
      </c>
      <c r="G198" s="37">
        <f t="shared" si="19"/>
        <v>0</v>
      </c>
      <c r="H198" s="37" t="s">
        <v>494</v>
      </c>
      <c r="I198" s="37">
        <f t="shared" si="20"/>
        <v>0</v>
      </c>
      <c r="J198" s="37" t="s">
        <v>347</v>
      </c>
      <c r="K198" s="37">
        <f t="shared" si="21"/>
        <v>0</v>
      </c>
      <c r="L198" s="37" t="s">
        <v>494</v>
      </c>
      <c r="M198" s="37">
        <f t="shared" si="22"/>
        <v>0</v>
      </c>
      <c r="N198" s="470" t="s">
        <v>347</v>
      </c>
      <c r="O198" s="470">
        <f t="shared" si="23"/>
        <v>0</v>
      </c>
      <c r="P198" s="37" t="str">
        <f t="shared" si="24"/>
        <v>None</v>
      </c>
      <c r="Q198" s="470" t="s">
        <v>347</v>
      </c>
      <c r="R198" s="37">
        <f t="shared" si="25"/>
        <v>0</v>
      </c>
      <c r="S198" s="470" t="s">
        <v>347</v>
      </c>
      <c r="T198" s="470">
        <f t="shared" si="26"/>
        <v>0</v>
      </c>
      <c r="U198" s="470" t="s">
        <v>347</v>
      </c>
      <c r="V198" s="111">
        <f>IF(OR(F198="none",G198="V"),0,VLOOKUP(F198,'Purchased Boons'!$AR$4:$AS$27,2,FALSE))</f>
        <v>0</v>
      </c>
      <c r="W198" s="39" t="s">
        <v>1764</v>
      </c>
      <c r="X198" s="37" t="s">
        <v>1764</v>
      </c>
      <c r="Y198" s="37" t="s">
        <v>133</v>
      </c>
      <c r="Z198" s="111">
        <v>149</v>
      </c>
      <c r="AG198" s="24"/>
      <c r="AH198" s="24"/>
    </row>
    <row r="199" spans="1:34" x14ac:dyDescent="0.25">
      <c r="A199" s="39" t="s">
        <v>2397</v>
      </c>
      <c r="B199" s="36" t="s">
        <v>87</v>
      </c>
      <c r="C199" s="469">
        <v>10</v>
      </c>
      <c r="D199" s="470" t="s">
        <v>494</v>
      </c>
      <c r="E199" s="37">
        <f t="shared" si="18"/>
        <v>0</v>
      </c>
      <c r="F199" s="470" t="s">
        <v>494</v>
      </c>
      <c r="G199" s="37">
        <f t="shared" si="19"/>
        <v>0</v>
      </c>
      <c r="H199" s="37" t="s">
        <v>494</v>
      </c>
      <c r="I199" s="37">
        <f t="shared" si="20"/>
        <v>0</v>
      </c>
      <c r="J199" s="37" t="s">
        <v>347</v>
      </c>
      <c r="K199" s="37">
        <f t="shared" si="21"/>
        <v>0</v>
      </c>
      <c r="L199" s="37" t="s">
        <v>494</v>
      </c>
      <c r="M199" s="37">
        <f t="shared" si="22"/>
        <v>0</v>
      </c>
      <c r="N199" s="470" t="s">
        <v>347</v>
      </c>
      <c r="O199" s="470">
        <f t="shared" si="23"/>
        <v>0</v>
      </c>
      <c r="P199" s="37" t="str">
        <f t="shared" si="24"/>
        <v>None</v>
      </c>
      <c r="Q199" s="470" t="s">
        <v>347</v>
      </c>
      <c r="R199" s="37">
        <f t="shared" si="25"/>
        <v>0</v>
      </c>
      <c r="S199" s="470" t="s">
        <v>347</v>
      </c>
      <c r="T199" s="470">
        <f t="shared" si="26"/>
        <v>0</v>
      </c>
      <c r="U199" s="470" t="s">
        <v>347</v>
      </c>
      <c r="V199" s="111">
        <f>IF(OR(F199="none",G199="V"),0,VLOOKUP(F199,'Purchased Boons'!$AR$4:$AS$27,2,FALSE))</f>
        <v>0</v>
      </c>
      <c r="W199" s="39" t="s">
        <v>1764</v>
      </c>
      <c r="X199" s="37" t="s">
        <v>1764</v>
      </c>
      <c r="Y199" s="37" t="s">
        <v>5</v>
      </c>
      <c r="Z199" s="111">
        <v>104</v>
      </c>
      <c r="AG199" s="24"/>
      <c r="AH199" s="24"/>
    </row>
    <row r="200" spans="1:34" x14ac:dyDescent="0.25">
      <c r="A200" s="39" t="s">
        <v>2407</v>
      </c>
      <c r="B200" s="36" t="s">
        <v>87</v>
      </c>
      <c r="C200" s="469">
        <v>10</v>
      </c>
      <c r="D200" s="470" t="s">
        <v>494</v>
      </c>
      <c r="E200" s="37">
        <f t="shared" si="18"/>
        <v>0</v>
      </c>
      <c r="F200" s="470" t="s">
        <v>494</v>
      </c>
      <c r="G200" s="37">
        <f t="shared" si="19"/>
        <v>0</v>
      </c>
      <c r="H200" s="37" t="s">
        <v>494</v>
      </c>
      <c r="I200" s="37">
        <f t="shared" si="20"/>
        <v>0</v>
      </c>
      <c r="J200" s="37" t="s">
        <v>347</v>
      </c>
      <c r="K200" s="37">
        <f t="shared" si="21"/>
        <v>0</v>
      </c>
      <c r="L200" s="37" t="s">
        <v>494</v>
      </c>
      <c r="M200" s="37">
        <f t="shared" si="22"/>
        <v>0</v>
      </c>
      <c r="N200" s="470" t="s">
        <v>347</v>
      </c>
      <c r="O200" s="470">
        <f t="shared" si="23"/>
        <v>0</v>
      </c>
      <c r="P200" s="37" t="str">
        <f t="shared" si="24"/>
        <v>None</v>
      </c>
      <c r="Q200" s="470" t="s">
        <v>347</v>
      </c>
      <c r="R200" s="37">
        <f t="shared" si="25"/>
        <v>0</v>
      </c>
      <c r="S200" s="470" t="s">
        <v>347</v>
      </c>
      <c r="T200" s="470">
        <f t="shared" si="26"/>
        <v>0</v>
      </c>
      <c r="U200" s="470" t="s">
        <v>347</v>
      </c>
      <c r="V200" s="111">
        <f>IF(OR(F200="none",G200="V"),0,VLOOKUP(F200,'Purchased Boons'!$AR$4:$AS$27,2,FALSE))</f>
        <v>0</v>
      </c>
      <c r="W200" s="39" t="s">
        <v>1764</v>
      </c>
      <c r="X200" s="37" t="s">
        <v>1764</v>
      </c>
      <c r="Y200" s="37" t="s">
        <v>5</v>
      </c>
      <c r="Z200" s="111">
        <v>104</v>
      </c>
      <c r="AG200" s="24"/>
      <c r="AH200" s="24"/>
    </row>
    <row r="201" spans="1:34" x14ac:dyDescent="0.25">
      <c r="A201" s="39" t="s">
        <v>2597</v>
      </c>
      <c r="B201" s="36" t="s">
        <v>87</v>
      </c>
      <c r="C201" s="469">
        <v>10</v>
      </c>
      <c r="D201" s="470" t="s">
        <v>494</v>
      </c>
      <c r="E201" s="37">
        <f t="shared" si="18"/>
        <v>0</v>
      </c>
      <c r="F201" s="470" t="s">
        <v>494</v>
      </c>
      <c r="G201" s="37">
        <f t="shared" si="19"/>
        <v>0</v>
      </c>
      <c r="H201" s="37" t="s">
        <v>494</v>
      </c>
      <c r="I201" s="37">
        <f t="shared" si="20"/>
        <v>0</v>
      </c>
      <c r="J201" s="37" t="s">
        <v>347</v>
      </c>
      <c r="K201" s="37">
        <f t="shared" si="21"/>
        <v>0</v>
      </c>
      <c r="L201" s="37" t="s">
        <v>494</v>
      </c>
      <c r="M201" s="37">
        <f t="shared" si="22"/>
        <v>0</v>
      </c>
      <c r="N201" s="470" t="s">
        <v>347</v>
      </c>
      <c r="O201" s="470">
        <f t="shared" si="23"/>
        <v>0</v>
      </c>
      <c r="P201" s="37" t="str">
        <f t="shared" si="24"/>
        <v>None</v>
      </c>
      <c r="Q201" s="470" t="s">
        <v>347</v>
      </c>
      <c r="R201" s="37">
        <f t="shared" si="25"/>
        <v>0</v>
      </c>
      <c r="S201" s="470" t="s">
        <v>347</v>
      </c>
      <c r="T201" s="470">
        <f t="shared" si="26"/>
        <v>0</v>
      </c>
      <c r="U201" s="470" t="s">
        <v>347</v>
      </c>
      <c r="V201" s="111">
        <f>IF(OR(F201="none",G201="V"),0,VLOOKUP(F201,'Purchased Boons'!$AR$4:$AS$27,2,FALSE))</f>
        <v>0</v>
      </c>
      <c r="W201" s="39" t="s">
        <v>1764</v>
      </c>
      <c r="X201" s="37" t="s">
        <v>1764</v>
      </c>
      <c r="Y201" s="37" t="s">
        <v>5</v>
      </c>
      <c r="Z201" s="111">
        <v>104</v>
      </c>
      <c r="AG201" s="24"/>
      <c r="AH201" s="24"/>
    </row>
    <row r="202" spans="1:34" x14ac:dyDescent="0.25">
      <c r="A202" s="39" t="s">
        <v>2417</v>
      </c>
      <c r="B202" s="36" t="s">
        <v>87</v>
      </c>
      <c r="C202" s="469">
        <v>10</v>
      </c>
      <c r="D202" s="470" t="s">
        <v>494</v>
      </c>
      <c r="E202" s="37">
        <f t="shared" si="18"/>
        <v>0</v>
      </c>
      <c r="F202" s="470" t="s">
        <v>494</v>
      </c>
      <c r="G202" s="37">
        <f t="shared" si="19"/>
        <v>0</v>
      </c>
      <c r="H202" s="37" t="s">
        <v>494</v>
      </c>
      <c r="I202" s="37">
        <f t="shared" si="20"/>
        <v>0</v>
      </c>
      <c r="J202" s="37" t="s">
        <v>347</v>
      </c>
      <c r="K202" s="37">
        <f t="shared" si="21"/>
        <v>0</v>
      </c>
      <c r="L202" s="37" t="s">
        <v>494</v>
      </c>
      <c r="M202" s="37">
        <f t="shared" si="22"/>
        <v>0</v>
      </c>
      <c r="N202" s="470" t="s">
        <v>347</v>
      </c>
      <c r="O202" s="470">
        <f t="shared" si="23"/>
        <v>0</v>
      </c>
      <c r="P202" s="37" t="str">
        <f t="shared" si="24"/>
        <v>None</v>
      </c>
      <c r="Q202" s="470" t="s">
        <v>347</v>
      </c>
      <c r="R202" s="37">
        <f t="shared" si="25"/>
        <v>0</v>
      </c>
      <c r="S202" s="470" t="s">
        <v>347</v>
      </c>
      <c r="T202" s="470">
        <f t="shared" si="26"/>
        <v>0</v>
      </c>
      <c r="U202" s="470" t="s">
        <v>347</v>
      </c>
      <c r="V202" s="111">
        <f>IF(OR(F202="none",G202="V"),0,VLOOKUP(F202,'Purchased Boons'!$AR$4:$AS$27,2,FALSE))</f>
        <v>0</v>
      </c>
      <c r="W202" s="39" t="s">
        <v>1764</v>
      </c>
      <c r="X202" s="37" t="s">
        <v>1764</v>
      </c>
      <c r="Y202" s="37" t="s">
        <v>5</v>
      </c>
      <c r="Z202" s="111">
        <v>104</v>
      </c>
      <c r="AG202" s="24"/>
      <c r="AH202" s="24"/>
    </row>
    <row r="203" spans="1:34" x14ac:dyDescent="0.25">
      <c r="A203" s="39" t="s">
        <v>2427</v>
      </c>
      <c r="B203" s="36" t="s">
        <v>87</v>
      </c>
      <c r="C203" s="469">
        <v>10</v>
      </c>
      <c r="D203" s="470" t="s">
        <v>494</v>
      </c>
      <c r="E203" s="37">
        <f t="shared" si="18"/>
        <v>0</v>
      </c>
      <c r="F203" s="470" t="s">
        <v>494</v>
      </c>
      <c r="G203" s="37">
        <f t="shared" si="19"/>
        <v>0</v>
      </c>
      <c r="H203" s="37" t="s">
        <v>494</v>
      </c>
      <c r="I203" s="37">
        <f t="shared" si="20"/>
        <v>0</v>
      </c>
      <c r="J203" s="37" t="s">
        <v>347</v>
      </c>
      <c r="K203" s="37">
        <f t="shared" si="21"/>
        <v>0</v>
      </c>
      <c r="L203" s="37" t="s">
        <v>494</v>
      </c>
      <c r="M203" s="37">
        <f t="shared" si="22"/>
        <v>0</v>
      </c>
      <c r="N203" s="470" t="s">
        <v>347</v>
      </c>
      <c r="O203" s="470">
        <f t="shared" si="23"/>
        <v>0</v>
      </c>
      <c r="P203" s="37" t="str">
        <f t="shared" si="24"/>
        <v>None</v>
      </c>
      <c r="Q203" s="470" t="s">
        <v>347</v>
      </c>
      <c r="R203" s="37">
        <f t="shared" si="25"/>
        <v>0</v>
      </c>
      <c r="S203" s="470" t="s">
        <v>347</v>
      </c>
      <c r="T203" s="470">
        <f t="shared" si="26"/>
        <v>0</v>
      </c>
      <c r="U203" s="470" t="s">
        <v>347</v>
      </c>
      <c r="V203" s="111">
        <f>IF(OR(F203="none",G203="V"),0,VLOOKUP(F203,'Purchased Boons'!$AR$4:$AS$27,2,FALSE))</f>
        <v>0</v>
      </c>
      <c r="W203" s="39" t="s">
        <v>1764</v>
      </c>
      <c r="X203" s="37" t="s">
        <v>1764</v>
      </c>
      <c r="Y203" s="37" t="s">
        <v>5</v>
      </c>
      <c r="Z203" s="111">
        <v>104</v>
      </c>
      <c r="AG203" s="24"/>
      <c r="AH203" s="24"/>
    </row>
    <row r="204" spans="1:34" x14ac:dyDescent="0.25">
      <c r="A204" s="39" t="s">
        <v>2437</v>
      </c>
      <c r="B204" s="36" t="s">
        <v>87</v>
      </c>
      <c r="C204" s="469">
        <v>10</v>
      </c>
      <c r="D204" s="470" t="s">
        <v>494</v>
      </c>
      <c r="E204" s="37">
        <f t="shared" si="18"/>
        <v>0</v>
      </c>
      <c r="F204" s="470" t="s">
        <v>494</v>
      </c>
      <c r="G204" s="37">
        <f t="shared" si="19"/>
        <v>0</v>
      </c>
      <c r="H204" s="37" t="s">
        <v>494</v>
      </c>
      <c r="I204" s="37">
        <f t="shared" si="20"/>
        <v>0</v>
      </c>
      <c r="J204" s="37" t="s">
        <v>347</v>
      </c>
      <c r="K204" s="37">
        <f t="shared" si="21"/>
        <v>0</v>
      </c>
      <c r="L204" s="37" t="s">
        <v>494</v>
      </c>
      <c r="M204" s="37">
        <f t="shared" si="22"/>
        <v>0</v>
      </c>
      <c r="N204" s="470" t="s">
        <v>347</v>
      </c>
      <c r="O204" s="470">
        <f t="shared" si="23"/>
        <v>0</v>
      </c>
      <c r="P204" s="37" t="str">
        <f t="shared" si="24"/>
        <v>None</v>
      </c>
      <c r="Q204" s="470" t="s">
        <v>347</v>
      </c>
      <c r="R204" s="37">
        <f t="shared" si="25"/>
        <v>0</v>
      </c>
      <c r="S204" s="470" t="s">
        <v>347</v>
      </c>
      <c r="T204" s="470">
        <f t="shared" si="26"/>
        <v>0</v>
      </c>
      <c r="U204" s="470" t="s">
        <v>347</v>
      </c>
      <c r="V204" s="111">
        <f>IF(OR(F204="none",G204="V"),0,VLOOKUP(F204,'Purchased Boons'!$AR$4:$AS$27,2,FALSE))</f>
        <v>0</v>
      </c>
      <c r="W204" s="39" t="s">
        <v>1764</v>
      </c>
      <c r="X204" s="37" t="s">
        <v>1764</v>
      </c>
      <c r="Y204" s="37" t="s">
        <v>5</v>
      </c>
      <c r="Z204" s="111">
        <v>104</v>
      </c>
      <c r="AG204" s="24"/>
      <c r="AH204" s="24"/>
    </row>
    <row r="205" spans="1:34" x14ac:dyDescent="0.25">
      <c r="A205" s="39" t="s">
        <v>2447</v>
      </c>
      <c r="B205" s="36" t="s">
        <v>87</v>
      </c>
      <c r="C205" s="469">
        <v>10</v>
      </c>
      <c r="D205" s="470" t="s">
        <v>494</v>
      </c>
      <c r="E205" s="37">
        <f t="shared" si="18"/>
        <v>0</v>
      </c>
      <c r="F205" s="470" t="s">
        <v>494</v>
      </c>
      <c r="G205" s="37">
        <f t="shared" si="19"/>
        <v>0</v>
      </c>
      <c r="H205" s="37" t="s">
        <v>494</v>
      </c>
      <c r="I205" s="37">
        <f t="shared" si="20"/>
        <v>0</v>
      </c>
      <c r="J205" s="37" t="s">
        <v>347</v>
      </c>
      <c r="K205" s="37">
        <f t="shared" si="21"/>
        <v>0</v>
      </c>
      <c r="L205" s="37" t="s">
        <v>494</v>
      </c>
      <c r="M205" s="37">
        <f t="shared" si="22"/>
        <v>0</v>
      </c>
      <c r="N205" s="470" t="s">
        <v>347</v>
      </c>
      <c r="O205" s="470">
        <f t="shared" si="23"/>
        <v>0</v>
      </c>
      <c r="P205" s="37" t="str">
        <f t="shared" si="24"/>
        <v>None</v>
      </c>
      <c r="Q205" s="470" t="s">
        <v>347</v>
      </c>
      <c r="R205" s="37">
        <f t="shared" si="25"/>
        <v>0</v>
      </c>
      <c r="S205" s="470" t="s">
        <v>347</v>
      </c>
      <c r="T205" s="470">
        <f t="shared" si="26"/>
        <v>0</v>
      </c>
      <c r="U205" s="470" t="s">
        <v>347</v>
      </c>
      <c r="V205" s="111">
        <f>IF(OR(F205="none",G205="V"),0,VLOOKUP(F205,'Purchased Boons'!$AR$4:$AS$27,2,FALSE))</f>
        <v>0</v>
      </c>
      <c r="W205" s="39" t="s">
        <v>1764</v>
      </c>
      <c r="X205" s="37" t="s">
        <v>1764</v>
      </c>
      <c r="Y205" s="37" t="s">
        <v>5</v>
      </c>
      <c r="Z205" s="111">
        <v>104</v>
      </c>
      <c r="AG205" s="24"/>
      <c r="AH205" s="24"/>
    </row>
    <row r="206" spans="1:34" x14ac:dyDescent="0.25">
      <c r="A206" s="39" t="s">
        <v>2607</v>
      </c>
      <c r="B206" s="36" t="s">
        <v>87</v>
      </c>
      <c r="C206" s="469">
        <v>10</v>
      </c>
      <c r="D206" s="470" t="s">
        <v>494</v>
      </c>
      <c r="E206" s="37">
        <f t="shared" si="18"/>
        <v>0</v>
      </c>
      <c r="F206" s="470" t="s">
        <v>494</v>
      </c>
      <c r="G206" s="37">
        <f t="shared" si="19"/>
        <v>0</v>
      </c>
      <c r="H206" s="37" t="s">
        <v>494</v>
      </c>
      <c r="I206" s="37">
        <f t="shared" si="20"/>
        <v>0</v>
      </c>
      <c r="J206" s="37" t="s">
        <v>347</v>
      </c>
      <c r="K206" s="37">
        <f t="shared" si="21"/>
        <v>0</v>
      </c>
      <c r="L206" s="37" t="s">
        <v>494</v>
      </c>
      <c r="M206" s="37">
        <f t="shared" si="22"/>
        <v>0</v>
      </c>
      <c r="N206" s="470" t="s">
        <v>347</v>
      </c>
      <c r="O206" s="470">
        <f t="shared" si="23"/>
        <v>0</v>
      </c>
      <c r="P206" s="37" t="str">
        <f t="shared" si="24"/>
        <v>None</v>
      </c>
      <c r="Q206" s="470" t="s">
        <v>347</v>
      </c>
      <c r="R206" s="37">
        <f t="shared" si="25"/>
        <v>0</v>
      </c>
      <c r="S206" s="470" t="s">
        <v>347</v>
      </c>
      <c r="T206" s="470">
        <f t="shared" si="26"/>
        <v>0</v>
      </c>
      <c r="U206" s="470" t="s">
        <v>347</v>
      </c>
      <c r="V206" s="111">
        <f>IF(OR(F206="none",G206="V"),0,VLOOKUP(F206,'Purchased Boons'!$AR$4:$AS$27,2,FALSE))</f>
        <v>0</v>
      </c>
      <c r="W206" s="39" t="s">
        <v>1764</v>
      </c>
      <c r="X206" s="37" t="s">
        <v>1764</v>
      </c>
      <c r="Y206" s="37" t="s">
        <v>5</v>
      </c>
      <c r="Z206" s="111">
        <v>104</v>
      </c>
      <c r="AG206" s="24"/>
      <c r="AH206" s="24"/>
    </row>
    <row r="207" spans="1:34" x14ac:dyDescent="0.25">
      <c r="A207" s="39" t="s">
        <v>2617</v>
      </c>
      <c r="B207" s="36" t="s">
        <v>87</v>
      </c>
      <c r="C207" s="469">
        <v>10</v>
      </c>
      <c r="D207" s="470" t="s">
        <v>494</v>
      </c>
      <c r="E207" s="37">
        <f t="shared" si="18"/>
        <v>0</v>
      </c>
      <c r="F207" s="470" t="s">
        <v>494</v>
      </c>
      <c r="G207" s="37">
        <f t="shared" si="19"/>
        <v>0</v>
      </c>
      <c r="H207" s="37" t="s">
        <v>494</v>
      </c>
      <c r="I207" s="37">
        <f t="shared" si="20"/>
        <v>0</v>
      </c>
      <c r="J207" s="37" t="s">
        <v>347</v>
      </c>
      <c r="K207" s="37">
        <f t="shared" si="21"/>
        <v>0</v>
      </c>
      <c r="L207" s="37" t="s">
        <v>494</v>
      </c>
      <c r="M207" s="37">
        <f t="shared" si="22"/>
        <v>0</v>
      </c>
      <c r="N207" s="470" t="s">
        <v>347</v>
      </c>
      <c r="O207" s="470">
        <f t="shared" si="23"/>
        <v>0</v>
      </c>
      <c r="P207" s="37" t="str">
        <f t="shared" si="24"/>
        <v>None</v>
      </c>
      <c r="Q207" s="470" t="s">
        <v>347</v>
      </c>
      <c r="R207" s="37">
        <f t="shared" si="25"/>
        <v>0</v>
      </c>
      <c r="S207" s="470" t="s">
        <v>347</v>
      </c>
      <c r="T207" s="470">
        <f t="shared" si="26"/>
        <v>0</v>
      </c>
      <c r="U207" s="470" t="s">
        <v>347</v>
      </c>
      <c r="V207" s="111">
        <f>IF(OR(F207="none",G207="V"),0,VLOOKUP(F207,'Purchased Boons'!$AR$4:$AS$27,2,FALSE))</f>
        <v>0</v>
      </c>
      <c r="W207" s="39" t="s">
        <v>1764</v>
      </c>
      <c r="X207" s="37" t="s">
        <v>1764</v>
      </c>
      <c r="Y207" s="37" t="s">
        <v>5</v>
      </c>
      <c r="Z207" s="111">
        <v>104</v>
      </c>
      <c r="AG207" s="24"/>
      <c r="AH207" s="24"/>
    </row>
    <row r="208" spans="1:34" x14ac:dyDescent="0.25">
      <c r="A208" s="39" t="s">
        <v>2457</v>
      </c>
      <c r="B208" s="36" t="s">
        <v>87</v>
      </c>
      <c r="C208" s="469">
        <v>10</v>
      </c>
      <c r="D208" s="470" t="s">
        <v>494</v>
      </c>
      <c r="E208" s="37">
        <f t="shared" si="18"/>
        <v>0</v>
      </c>
      <c r="F208" s="470" t="s">
        <v>494</v>
      </c>
      <c r="G208" s="37">
        <f t="shared" si="19"/>
        <v>0</v>
      </c>
      <c r="H208" s="37" t="s">
        <v>494</v>
      </c>
      <c r="I208" s="37">
        <f t="shared" si="20"/>
        <v>0</v>
      </c>
      <c r="J208" s="37" t="s">
        <v>347</v>
      </c>
      <c r="K208" s="37">
        <f t="shared" si="21"/>
        <v>0</v>
      </c>
      <c r="L208" s="37" t="s">
        <v>494</v>
      </c>
      <c r="M208" s="37">
        <f t="shared" si="22"/>
        <v>0</v>
      </c>
      <c r="N208" s="470" t="s">
        <v>347</v>
      </c>
      <c r="O208" s="470">
        <f t="shared" si="23"/>
        <v>0</v>
      </c>
      <c r="P208" s="37" t="str">
        <f t="shared" si="24"/>
        <v>None</v>
      </c>
      <c r="Q208" s="470" t="s">
        <v>347</v>
      </c>
      <c r="R208" s="37">
        <f t="shared" si="25"/>
        <v>0</v>
      </c>
      <c r="S208" s="470" t="s">
        <v>347</v>
      </c>
      <c r="T208" s="470">
        <f t="shared" si="26"/>
        <v>0</v>
      </c>
      <c r="U208" s="470" t="s">
        <v>347</v>
      </c>
      <c r="V208" s="111">
        <f>IF(OR(F208="none",G208="V"),0,VLOOKUP(F208,'Purchased Boons'!$AR$4:$AS$27,2,FALSE))</f>
        <v>0</v>
      </c>
      <c r="W208" s="39" t="s">
        <v>1764</v>
      </c>
      <c r="X208" s="37" t="s">
        <v>1764</v>
      </c>
      <c r="Y208" s="37" t="s">
        <v>5</v>
      </c>
      <c r="Z208" s="111">
        <v>104</v>
      </c>
      <c r="AG208" s="24"/>
      <c r="AH208" s="24"/>
    </row>
    <row r="209" spans="1:34" x14ac:dyDescent="0.25">
      <c r="A209" s="39" t="s">
        <v>2467</v>
      </c>
      <c r="B209" s="36" t="s">
        <v>87</v>
      </c>
      <c r="C209" s="469">
        <v>10</v>
      </c>
      <c r="D209" s="470" t="s">
        <v>494</v>
      </c>
      <c r="E209" s="37">
        <f t="shared" si="18"/>
        <v>0</v>
      </c>
      <c r="F209" s="470" t="s">
        <v>494</v>
      </c>
      <c r="G209" s="37">
        <f t="shared" si="19"/>
        <v>0</v>
      </c>
      <c r="H209" s="37" t="s">
        <v>494</v>
      </c>
      <c r="I209" s="37">
        <f t="shared" si="20"/>
        <v>0</v>
      </c>
      <c r="J209" s="37" t="s">
        <v>347</v>
      </c>
      <c r="K209" s="37">
        <f t="shared" si="21"/>
        <v>0</v>
      </c>
      <c r="L209" s="37" t="s">
        <v>494</v>
      </c>
      <c r="M209" s="37">
        <f t="shared" si="22"/>
        <v>0</v>
      </c>
      <c r="N209" s="470" t="s">
        <v>347</v>
      </c>
      <c r="O209" s="470">
        <f t="shared" si="23"/>
        <v>0</v>
      </c>
      <c r="P209" s="37" t="str">
        <f t="shared" si="24"/>
        <v>None</v>
      </c>
      <c r="Q209" s="470" t="s">
        <v>347</v>
      </c>
      <c r="R209" s="37">
        <f t="shared" si="25"/>
        <v>0</v>
      </c>
      <c r="S209" s="470" t="s">
        <v>347</v>
      </c>
      <c r="T209" s="470">
        <f t="shared" si="26"/>
        <v>0</v>
      </c>
      <c r="U209" s="470" t="s">
        <v>347</v>
      </c>
      <c r="V209" s="111">
        <f>IF(OR(F209="none",G209="V"),0,VLOOKUP(F209,'Purchased Boons'!$AR$4:$AS$27,2,FALSE))</f>
        <v>0</v>
      </c>
      <c r="W209" s="39" t="s">
        <v>1764</v>
      </c>
      <c r="X209" s="37" t="s">
        <v>1764</v>
      </c>
      <c r="Y209" s="37" t="s">
        <v>5</v>
      </c>
      <c r="Z209" s="111">
        <v>104</v>
      </c>
      <c r="AG209" s="24"/>
      <c r="AH209" s="24"/>
    </row>
    <row r="210" spans="1:34" x14ac:dyDescent="0.25">
      <c r="A210" s="39" t="s">
        <v>2477</v>
      </c>
      <c r="B210" s="36" t="s">
        <v>87</v>
      </c>
      <c r="C210" s="469">
        <v>10</v>
      </c>
      <c r="D210" s="470" t="s">
        <v>494</v>
      </c>
      <c r="E210" s="37">
        <f t="shared" si="18"/>
        <v>0</v>
      </c>
      <c r="F210" s="470" t="s">
        <v>494</v>
      </c>
      <c r="G210" s="37">
        <f t="shared" si="19"/>
        <v>0</v>
      </c>
      <c r="H210" s="37" t="s">
        <v>494</v>
      </c>
      <c r="I210" s="37">
        <f t="shared" si="20"/>
        <v>0</v>
      </c>
      <c r="J210" s="37" t="s">
        <v>347</v>
      </c>
      <c r="K210" s="37">
        <f t="shared" si="21"/>
        <v>0</v>
      </c>
      <c r="L210" s="37" t="s">
        <v>494</v>
      </c>
      <c r="M210" s="37">
        <f t="shared" si="22"/>
        <v>0</v>
      </c>
      <c r="N210" s="470" t="s">
        <v>347</v>
      </c>
      <c r="O210" s="470">
        <f t="shared" si="23"/>
        <v>0</v>
      </c>
      <c r="P210" s="37" t="str">
        <f t="shared" si="24"/>
        <v>None</v>
      </c>
      <c r="Q210" s="470" t="s">
        <v>347</v>
      </c>
      <c r="R210" s="37">
        <f t="shared" si="25"/>
        <v>0</v>
      </c>
      <c r="S210" s="470" t="s">
        <v>347</v>
      </c>
      <c r="T210" s="470">
        <f t="shared" si="26"/>
        <v>0</v>
      </c>
      <c r="U210" s="470" t="s">
        <v>347</v>
      </c>
      <c r="V210" s="111">
        <f>IF(OR(F210="none",G210="V"),0,VLOOKUP(F210,'Purchased Boons'!$AR$4:$AS$27,2,FALSE))</f>
        <v>0</v>
      </c>
      <c r="W210" s="39" t="s">
        <v>1764</v>
      </c>
      <c r="X210" s="37" t="s">
        <v>1764</v>
      </c>
      <c r="Y210" s="37" t="s">
        <v>5</v>
      </c>
      <c r="Z210" s="111">
        <v>104</v>
      </c>
      <c r="AG210" s="24"/>
      <c r="AH210" s="24"/>
    </row>
    <row r="211" spans="1:34" x14ac:dyDescent="0.25">
      <c r="A211" s="39" t="s">
        <v>2487</v>
      </c>
      <c r="B211" s="36" t="s">
        <v>87</v>
      </c>
      <c r="C211" s="469">
        <v>10</v>
      </c>
      <c r="D211" s="470" t="s">
        <v>494</v>
      </c>
      <c r="E211" s="37">
        <f t="shared" si="18"/>
        <v>0</v>
      </c>
      <c r="F211" s="470" t="s">
        <v>494</v>
      </c>
      <c r="G211" s="37">
        <f t="shared" si="19"/>
        <v>0</v>
      </c>
      <c r="H211" s="37" t="s">
        <v>494</v>
      </c>
      <c r="I211" s="37">
        <f t="shared" si="20"/>
        <v>0</v>
      </c>
      <c r="J211" s="37" t="s">
        <v>347</v>
      </c>
      <c r="K211" s="37">
        <f t="shared" si="21"/>
        <v>0</v>
      </c>
      <c r="L211" s="37" t="s">
        <v>494</v>
      </c>
      <c r="M211" s="37">
        <f t="shared" si="22"/>
        <v>0</v>
      </c>
      <c r="N211" s="470" t="s">
        <v>347</v>
      </c>
      <c r="O211" s="470">
        <f t="shared" si="23"/>
        <v>0</v>
      </c>
      <c r="P211" s="37" t="str">
        <f t="shared" si="24"/>
        <v>None</v>
      </c>
      <c r="Q211" s="470" t="s">
        <v>347</v>
      </c>
      <c r="R211" s="37">
        <f t="shared" si="25"/>
        <v>0</v>
      </c>
      <c r="S211" s="470" t="s">
        <v>347</v>
      </c>
      <c r="T211" s="470">
        <f t="shared" si="26"/>
        <v>0</v>
      </c>
      <c r="U211" s="470" t="s">
        <v>347</v>
      </c>
      <c r="V211" s="111">
        <f>IF(OR(F211="none",G211="V"),0,VLOOKUP(F211,'Purchased Boons'!$AR$4:$AS$27,2,FALSE))</f>
        <v>0</v>
      </c>
      <c r="W211" s="39" t="s">
        <v>1764</v>
      </c>
      <c r="X211" s="37" t="s">
        <v>1764</v>
      </c>
      <c r="Y211" s="37" t="s">
        <v>5</v>
      </c>
      <c r="Z211" s="111">
        <v>104</v>
      </c>
      <c r="AG211" s="24"/>
      <c r="AH211" s="24"/>
    </row>
    <row r="212" spans="1:34" x14ac:dyDescent="0.25">
      <c r="A212" s="39" t="s">
        <v>2497</v>
      </c>
      <c r="B212" s="36" t="s">
        <v>87</v>
      </c>
      <c r="C212" s="469">
        <v>10</v>
      </c>
      <c r="D212" s="470" t="s">
        <v>494</v>
      </c>
      <c r="E212" s="37">
        <f t="shared" si="18"/>
        <v>0</v>
      </c>
      <c r="F212" s="470" t="s">
        <v>494</v>
      </c>
      <c r="G212" s="37">
        <f t="shared" si="19"/>
        <v>0</v>
      </c>
      <c r="H212" s="37" t="s">
        <v>494</v>
      </c>
      <c r="I212" s="37">
        <f t="shared" si="20"/>
        <v>0</v>
      </c>
      <c r="J212" s="37" t="s">
        <v>347</v>
      </c>
      <c r="K212" s="37">
        <f t="shared" si="21"/>
        <v>0</v>
      </c>
      <c r="L212" s="37" t="s">
        <v>494</v>
      </c>
      <c r="M212" s="37">
        <f t="shared" si="22"/>
        <v>0</v>
      </c>
      <c r="N212" s="470" t="s">
        <v>347</v>
      </c>
      <c r="O212" s="470">
        <f t="shared" si="23"/>
        <v>0</v>
      </c>
      <c r="P212" s="37" t="str">
        <f t="shared" si="24"/>
        <v>None</v>
      </c>
      <c r="Q212" s="470" t="s">
        <v>347</v>
      </c>
      <c r="R212" s="37">
        <f t="shared" si="25"/>
        <v>0</v>
      </c>
      <c r="S212" s="470" t="s">
        <v>347</v>
      </c>
      <c r="T212" s="470">
        <f t="shared" si="26"/>
        <v>0</v>
      </c>
      <c r="U212" s="470" t="s">
        <v>347</v>
      </c>
      <c r="V212" s="111">
        <f>IF(OR(F212="none",G212="V"),0,VLOOKUP(F212,'Purchased Boons'!$AR$4:$AS$27,2,FALSE))</f>
        <v>0</v>
      </c>
      <c r="W212" s="39" t="s">
        <v>1764</v>
      </c>
      <c r="X212" s="37" t="s">
        <v>1764</v>
      </c>
      <c r="Y212" s="37" t="s">
        <v>5</v>
      </c>
      <c r="Z212" s="111">
        <v>104</v>
      </c>
      <c r="AG212" s="24"/>
      <c r="AH212" s="24"/>
    </row>
    <row r="213" spans="1:34" x14ac:dyDescent="0.25">
      <c r="A213" s="39" t="s">
        <v>2507</v>
      </c>
      <c r="B213" s="36" t="s">
        <v>87</v>
      </c>
      <c r="C213" s="469">
        <v>10</v>
      </c>
      <c r="D213" s="470" t="s">
        <v>494</v>
      </c>
      <c r="E213" s="37">
        <f t="shared" si="18"/>
        <v>0</v>
      </c>
      <c r="F213" s="470" t="s">
        <v>494</v>
      </c>
      <c r="G213" s="37">
        <f t="shared" si="19"/>
        <v>0</v>
      </c>
      <c r="H213" s="37" t="s">
        <v>494</v>
      </c>
      <c r="I213" s="37">
        <f t="shared" si="20"/>
        <v>0</v>
      </c>
      <c r="J213" s="37" t="s">
        <v>347</v>
      </c>
      <c r="K213" s="37">
        <f t="shared" si="21"/>
        <v>0</v>
      </c>
      <c r="L213" s="37" t="s">
        <v>494</v>
      </c>
      <c r="M213" s="37">
        <f t="shared" si="22"/>
        <v>0</v>
      </c>
      <c r="N213" s="470" t="s">
        <v>347</v>
      </c>
      <c r="O213" s="470">
        <f t="shared" si="23"/>
        <v>0</v>
      </c>
      <c r="P213" s="37" t="str">
        <f t="shared" si="24"/>
        <v>None</v>
      </c>
      <c r="Q213" s="470" t="s">
        <v>347</v>
      </c>
      <c r="R213" s="37">
        <f t="shared" si="25"/>
        <v>0</v>
      </c>
      <c r="S213" s="470" t="s">
        <v>347</v>
      </c>
      <c r="T213" s="470">
        <f t="shared" si="26"/>
        <v>0</v>
      </c>
      <c r="U213" s="470" t="s">
        <v>347</v>
      </c>
      <c r="V213" s="111">
        <f>IF(OR(F213="none",G213="V"),0,VLOOKUP(F213,'Purchased Boons'!$AR$4:$AS$27,2,FALSE))</f>
        <v>0</v>
      </c>
      <c r="W213" s="39" t="s">
        <v>1764</v>
      </c>
      <c r="X213" s="37" t="s">
        <v>1764</v>
      </c>
      <c r="Y213" s="37" t="s">
        <v>5</v>
      </c>
      <c r="Z213" s="111">
        <v>104</v>
      </c>
      <c r="AG213" s="24"/>
      <c r="AH213" s="24"/>
    </row>
    <row r="214" spans="1:34" x14ac:dyDescent="0.25">
      <c r="A214" s="39" t="s">
        <v>2517</v>
      </c>
      <c r="B214" s="36" t="s">
        <v>87</v>
      </c>
      <c r="C214" s="469">
        <v>10</v>
      </c>
      <c r="D214" s="470" t="s">
        <v>494</v>
      </c>
      <c r="E214" s="37">
        <f t="shared" si="18"/>
        <v>0</v>
      </c>
      <c r="F214" s="470" t="s">
        <v>494</v>
      </c>
      <c r="G214" s="37">
        <f t="shared" si="19"/>
        <v>0</v>
      </c>
      <c r="H214" s="37" t="s">
        <v>494</v>
      </c>
      <c r="I214" s="37">
        <f t="shared" si="20"/>
        <v>0</v>
      </c>
      <c r="J214" s="37" t="s">
        <v>347</v>
      </c>
      <c r="K214" s="37">
        <f t="shared" si="21"/>
        <v>0</v>
      </c>
      <c r="L214" s="37" t="s">
        <v>494</v>
      </c>
      <c r="M214" s="37">
        <f t="shared" si="22"/>
        <v>0</v>
      </c>
      <c r="N214" s="470" t="s">
        <v>347</v>
      </c>
      <c r="O214" s="470">
        <f t="shared" si="23"/>
        <v>0</v>
      </c>
      <c r="P214" s="37" t="str">
        <f t="shared" si="24"/>
        <v>None</v>
      </c>
      <c r="Q214" s="470" t="s">
        <v>347</v>
      </c>
      <c r="R214" s="37">
        <f t="shared" si="25"/>
        <v>0</v>
      </c>
      <c r="S214" s="470" t="s">
        <v>347</v>
      </c>
      <c r="T214" s="470">
        <f t="shared" si="26"/>
        <v>0</v>
      </c>
      <c r="U214" s="470" t="s">
        <v>347</v>
      </c>
      <c r="V214" s="111">
        <f>IF(OR(F214="none",G214="V"),0,VLOOKUP(F214,'Purchased Boons'!$AR$4:$AS$27,2,FALSE))</f>
        <v>0</v>
      </c>
      <c r="W214" s="39" t="s">
        <v>1764</v>
      </c>
      <c r="X214" s="37" t="s">
        <v>1764</v>
      </c>
      <c r="Y214" s="37" t="s">
        <v>5</v>
      </c>
      <c r="Z214" s="111">
        <v>104</v>
      </c>
      <c r="AG214" s="24"/>
      <c r="AH214" s="24"/>
    </row>
    <row r="215" spans="1:34" x14ac:dyDescent="0.25">
      <c r="A215" s="39" t="s">
        <v>2527</v>
      </c>
      <c r="B215" s="36" t="s">
        <v>87</v>
      </c>
      <c r="C215" s="469">
        <v>10</v>
      </c>
      <c r="D215" s="470" t="s">
        <v>494</v>
      </c>
      <c r="E215" s="37">
        <f t="shared" si="18"/>
        <v>0</v>
      </c>
      <c r="F215" s="470" t="s">
        <v>494</v>
      </c>
      <c r="G215" s="37">
        <f t="shared" si="19"/>
        <v>0</v>
      </c>
      <c r="H215" s="37" t="s">
        <v>494</v>
      </c>
      <c r="I215" s="37">
        <f t="shared" si="20"/>
        <v>0</v>
      </c>
      <c r="J215" s="37" t="s">
        <v>347</v>
      </c>
      <c r="K215" s="37">
        <f t="shared" si="21"/>
        <v>0</v>
      </c>
      <c r="L215" s="37" t="s">
        <v>494</v>
      </c>
      <c r="M215" s="37">
        <f t="shared" si="22"/>
        <v>0</v>
      </c>
      <c r="N215" s="470" t="s">
        <v>347</v>
      </c>
      <c r="O215" s="470">
        <f t="shared" si="23"/>
        <v>0</v>
      </c>
      <c r="P215" s="37" t="str">
        <f t="shared" si="24"/>
        <v>None</v>
      </c>
      <c r="Q215" s="470" t="s">
        <v>347</v>
      </c>
      <c r="R215" s="37">
        <f t="shared" si="25"/>
        <v>0</v>
      </c>
      <c r="S215" s="470" t="s">
        <v>347</v>
      </c>
      <c r="T215" s="470">
        <f t="shared" si="26"/>
        <v>0</v>
      </c>
      <c r="U215" s="470" t="s">
        <v>347</v>
      </c>
      <c r="V215" s="111">
        <f>IF(OR(F215="none",G215="V"),0,VLOOKUP(F215,'Purchased Boons'!$AR$4:$AS$27,2,FALSE))</f>
        <v>0</v>
      </c>
      <c r="W215" s="39" t="s">
        <v>1764</v>
      </c>
      <c r="X215" s="37" t="s">
        <v>1764</v>
      </c>
      <c r="Y215" s="37" t="s">
        <v>5</v>
      </c>
      <c r="Z215" s="111">
        <v>104</v>
      </c>
      <c r="AG215" s="24"/>
      <c r="AH215" s="24"/>
    </row>
    <row r="216" spans="1:34" x14ac:dyDescent="0.25">
      <c r="A216" s="39" t="s">
        <v>2537</v>
      </c>
      <c r="B216" s="36" t="s">
        <v>87</v>
      </c>
      <c r="C216" s="469">
        <v>10</v>
      </c>
      <c r="D216" s="470" t="s">
        <v>494</v>
      </c>
      <c r="E216" s="37">
        <f t="shared" si="18"/>
        <v>0</v>
      </c>
      <c r="F216" s="470" t="s">
        <v>494</v>
      </c>
      <c r="G216" s="37">
        <f t="shared" si="19"/>
        <v>0</v>
      </c>
      <c r="H216" s="37" t="s">
        <v>494</v>
      </c>
      <c r="I216" s="37">
        <f t="shared" si="20"/>
        <v>0</v>
      </c>
      <c r="J216" s="37" t="s">
        <v>347</v>
      </c>
      <c r="K216" s="37">
        <f t="shared" si="21"/>
        <v>0</v>
      </c>
      <c r="L216" s="37" t="s">
        <v>494</v>
      </c>
      <c r="M216" s="37">
        <f t="shared" si="22"/>
        <v>0</v>
      </c>
      <c r="N216" s="470" t="s">
        <v>347</v>
      </c>
      <c r="O216" s="470">
        <f t="shared" si="23"/>
        <v>0</v>
      </c>
      <c r="P216" s="37" t="str">
        <f t="shared" si="24"/>
        <v>None</v>
      </c>
      <c r="Q216" s="470" t="s">
        <v>347</v>
      </c>
      <c r="R216" s="37">
        <f t="shared" si="25"/>
        <v>0</v>
      </c>
      <c r="S216" s="470" t="s">
        <v>347</v>
      </c>
      <c r="T216" s="470">
        <f t="shared" si="26"/>
        <v>0</v>
      </c>
      <c r="U216" s="470" t="s">
        <v>347</v>
      </c>
      <c r="V216" s="111">
        <f>IF(OR(F216="none",G216="V"),0,VLOOKUP(F216,'Purchased Boons'!$AR$4:$AS$27,2,FALSE))</f>
        <v>0</v>
      </c>
      <c r="W216" s="39" t="s">
        <v>1764</v>
      </c>
      <c r="X216" s="37" t="s">
        <v>1764</v>
      </c>
      <c r="Y216" s="37" t="s">
        <v>5</v>
      </c>
      <c r="Z216" s="111">
        <v>104</v>
      </c>
      <c r="AG216" s="24"/>
      <c r="AH216" s="24"/>
    </row>
    <row r="217" spans="1:34" x14ac:dyDescent="0.25">
      <c r="A217" s="39" t="s">
        <v>2547</v>
      </c>
      <c r="B217" s="36" t="s">
        <v>87</v>
      </c>
      <c r="C217" s="469">
        <v>10</v>
      </c>
      <c r="D217" s="470" t="s">
        <v>494</v>
      </c>
      <c r="E217" s="37">
        <f t="shared" si="18"/>
        <v>0</v>
      </c>
      <c r="F217" s="470" t="s">
        <v>494</v>
      </c>
      <c r="G217" s="37">
        <f t="shared" si="19"/>
        <v>0</v>
      </c>
      <c r="H217" s="37" t="s">
        <v>494</v>
      </c>
      <c r="I217" s="37">
        <f t="shared" si="20"/>
        <v>0</v>
      </c>
      <c r="J217" s="37" t="s">
        <v>347</v>
      </c>
      <c r="K217" s="37">
        <f t="shared" si="21"/>
        <v>0</v>
      </c>
      <c r="L217" s="37" t="s">
        <v>494</v>
      </c>
      <c r="M217" s="37">
        <f t="shared" si="22"/>
        <v>0</v>
      </c>
      <c r="N217" s="470" t="s">
        <v>347</v>
      </c>
      <c r="O217" s="470">
        <f t="shared" si="23"/>
        <v>0</v>
      </c>
      <c r="P217" s="37" t="str">
        <f t="shared" si="24"/>
        <v>None</v>
      </c>
      <c r="Q217" s="470" t="s">
        <v>347</v>
      </c>
      <c r="R217" s="37">
        <f t="shared" si="25"/>
        <v>0</v>
      </c>
      <c r="S217" s="470" t="s">
        <v>347</v>
      </c>
      <c r="T217" s="470">
        <f t="shared" si="26"/>
        <v>0</v>
      </c>
      <c r="U217" s="470" t="s">
        <v>347</v>
      </c>
      <c r="V217" s="111">
        <f>IF(OR(F217="none",G217="V"),0,VLOOKUP(F217,'Purchased Boons'!$AR$4:$AS$27,2,FALSE))</f>
        <v>0</v>
      </c>
      <c r="W217" s="39" t="s">
        <v>1764</v>
      </c>
      <c r="X217" s="37" t="s">
        <v>1764</v>
      </c>
      <c r="Y217" s="37" t="s">
        <v>5</v>
      </c>
      <c r="Z217" s="111">
        <v>104</v>
      </c>
      <c r="AG217" s="24"/>
      <c r="AH217" s="24"/>
    </row>
    <row r="218" spans="1:34" x14ac:dyDescent="0.25">
      <c r="A218" s="39" t="s">
        <v>2557</v>
      </c>
      <c r="B218" s="36" t="s">
        <v>87</v>
      </c>
      <c r="C218" s="469">
        <v>10</v>
      </c>
      <c r="D218" s="470" t="s">
        <v>494</v>
      </c>
      <c r="E218" s="37">
        <f t="shared" si="18"/>
        <v>0</v>
      </c>
      <c r="F218" s="470" t="s">
        <v>494</v>
      </c>
      <c r="G218" s="37">
        <f t="shared" si="19"/>
        <v>0</v>
      </c>
      <c r="H218" s="37" t="s">
        <v>494</v>
      </c>
      <c r="I218" s="37">
        <f t="shared" si="20"/>
        <v>0</v>
      </c>
      <c r="J218" s="37" t="s">
        <v>347</v>
      </c>
      <c r="K218" s="37">
        <f t="shared" si="21"/>
        <v>0</v>
      </c>
      <c r="L218" s="37" t="s">
        <v>494</v>
      </c>
      <c r="M218" s="37">
        <f t="shared" si="22"/>
        <v>0</v>
      </c>
      <c r="N218" s="470" t="s">
        <v>347</v>
      </c>
      <c r="O218" s="470">
        <f t="shared" si="23"/>
        <v>0</v>
      </c>
      <c r="P218" s="37" t="str">
        <f t="shared" si="24"/>
        <v>None</v>
      </c>
      <c r="Q218" s="470" t="s">
        <v>347</v>
      </c>
      <c r="R218" s="37">
        <f t="shared" si="25"/>
        <v>0</v>
      </c>
      <c r="S218" s="470" t="s">
        <v>347</v>
      </c>
      <c r="T218" s="470">
        <f t="shared" si="26"/>
        <v>0</v>
      </c>
      <c r="U218" s="470" t="s">
        <v>347</v>
      </c>
      <c r="V218" s="111">
        <f>IF(OR(F218="none",G218="V"),0,VLOOKUP(F218,'Purchased Boons'!$AR$4:$AS$27,2,FALSE))</f>
        <v>0</v>
      </c>
      <c r="W218" s="39" t="s">
        <v>1764</v>
      </c>
      <c r="X218" s="37" t="s">
        <v>1764</v>
      </c>
      <c r="Y218" s="37" t="s">
        <v>5</v>
      </c>
      <c r="Z218" s="111">
        <v>104</v>
      </c>
      <c r="AG218" s="24"/>
      <c r="AH218" s="24"/>
    </row>
    <row r="219" spans="1:34" x14ac:dyDescent="0.25">
      <c r="A219" s="39" t="s">
        <v>2627</v>
      </c>
      <c r="B219" s="36" t="s">
        <v>87</v>
      </c>
      <c r="C219" s="469">
        <v>10</v>
      </c>
      <c r="D219" s="470" t="s">
        <v>494</v>
      </c>
      <c r="E219" s="37">
        <f t="shared" si="18"/>
        <v>0</v>
      </c>
      <c r="F219" s="470" t="s">
        <v>494</v>
      </c>
      <c r="G219" s="37">
        <f t="shared" si="19"/>
        <v>0</v>
      </c>
      <c r="H219" s="37" t="s">
        <v>494</v>
      </c>
      <c r="I219" s="37">
        <f t="shared" si="20"/>
        <v>0</v>
      </c>
      <c r="J219" s="37" t="s">
        <v>347</v>
      </c>
      <c r="K219" s="37">
        <f t="shared" si="21"/>
        <v>0</v>
      </c>
      <c r="L219" s="37" t="s">
        <v>494</v>
      </c>
      <c r="M219" s="37">
        <f t="shared" si="22"/>
        <v>0</v>
      </c>
      <c r="N219" s="470" t="s">
        <v>347</v>
      </c>
      <c r="O219" s="470">
        <f t="shared" si="23"/>
        <v>0</v>
      </c>
      <c r="P219" s="37" t="str">
        <f t="shared" si="24"/>
        <v>None</v>
      </c>
      <c r="Q219" s="470" t="s">
        <v>347</v>
      </c>
      <c r="R219" s="37">
        <f t="shared" si="25"/>
        <v>0</v>
      </c>
      <c r="S219" s="470" t="s">
        <v>347</v>
      </c>
      <c r="T219" s="470">
        <f t="shared" si="26"/>
        <v>0</v>
      </c>
      <c r="U219" s="470" t="s">
        <v>347</v>
      </c>
      <c r="V219" s="111">
        <f>IF(OR(F219="none",G219="V"),0,VLOOKUP(F219,'Purchased Boons'!$AR$4:$AS$27,2,FALSE))</f>
        <v>0</v>
      </c>
      <c r="W219" s="39" t="s">
        <v>1764</v>
      </c>
      <c r="X219" s="37" t="s">
        <v>1764</v>
      </c>
      <c r="Y219" s="37" t="s">
        <v>5</v>
      </c>
      <c r="Z219" s="111">
        <v>104</v>
      </c>
      <c r="AG219" s="24"/>
      <c r="AH219" s="24"/>
    </row>
    <row r="220" spans="1:34" x14ac:dyDescent="0.25">
      <c r="A220" s="39" t="s">
        <v>2567</v>
      </c>
      <c r="B220" s="36" t="s">
        <v>87</v>
      </c>
      <c r="C220" s="469">
        <v>10</v>
      </c>
      <c r="D220" s="470" t="s">
        <v>494</v>
      </c>
      <c r="E220" s="37">
        <f t="shared" si="18"/>
        <v>0</v>
      </c>
      <c r="F220" s="470" t="s">
        <v>494</v>
      </c>
      <c r="G220" s="37">
        <f t="shared" si="19"/>
        <v>0</v>
      </c>
      <c r="H220" s="37" t="s">
        <v>494</v>
      </c>
      <c r="I220" s="37">
        <f t="shared" si="20"/>
        <v>0</v>
      </c>
      <c r="J220" s="37" t="s">
        <v>347</v>
      </c>
      <c r="K220" s="37">
        <f t="shared" si="21"/>
        <v>0</v>
      </c>
      <c r="L220" s="37" t="s">
        <v>494</v>
      </c>
      <c r="M220" s="37">
        <f t="shared" si="22"/>
        <v>0</v>
      </c>
      <c r="N220" s="470" t="s">
        <v>347</v>
      </c>
      <c r="O220" s="470">
        <f t="shared" si="23"/>
        <v>0</v>
      </c>
      <c r="P220" s="37" t="str">
        <f t="shared" si="24"/>
        <v>None</v>
      </c>
      <c r="Q220" s="470" t="s">
        <v>347</v>
      </c>
      <c r="R220" s="37">
        <f t="shared" si="25"/>
        <v>0</v>
      </c>
      <c r="S220" s="470" t="s">
        <v>347</v>
      </c>
      <c r="T220" s="470">
        <f t="shared" si="26"/>
        <v>0</v>
      </c>
      <c r="U220" s="470" t="s">
        <v>347</v>
      </c>
      <c r="V220" s="111">
        <f>IF(OR(F220="none",G220="V"),0,VLOOKUP(F220,'Purchased Boons'!$AR$4:$AS$27,2,FALSE))</f>
        <v>0</v>
      </c>
      <c r="W220" s="39" t="s">
        <v>1764</v>
      </c>
      <c r="X220" s="37" t="s">
        <v>1764</v>
      </c>
      <c r="Y220" s="37" t="s">
        <v>5</v>
      </c>
      <c r="Z220" s="111">
        <v>104</v>
      </c>
      <c r="AG220" s="24"/>
      <c r="AH220" s="24"/>
    </row>
    <row r="221" spans="1:34" x14ac:dyDescent="0.25">
      <c r="A221" s="39" t="s">
        <v>2577</v>
      </c>
      <c r="B221" s="36" t="s">
        <v>87</v>
      </c>
      <c r="C221" s="469">
        <v>10</v>
      </c>
      <c r="D221" s="470" t="s">
        <v>494</v>
      </c>
      <c r="E221" s="37">
        <f t="shared" si="18"/>
        <v>0</v>
      </c>
      <c r="F221" s="470" t="s">
        <v>494</v>
      </c>
      <c r="G221" s="37">
        <f t="shared" si="19"/>
        <v>0</v>
      </c>
      <c r="H221" s="37" t="s">
        <v>494</v>
      </c>
      <c r="I221" s="37">
        <f t="shared" si="20"/>
        <v>0</v>
      </c>
      <c r="J221" s="37" t="s">
        <v>347</v>
      </c>
      <c r="K221" s="37">
        <f t="shared" si="21"/>
        <v>0</v>
      </c>
      <c r="L221" s="37" t="s">
        <v>494</v>
      </c>
      <c r="M221" s="37">
        <f t="shared" si="22"/>
        <v>0</v>
      </c>
      <c r="N221" s="470" t="s">
        <v>347</v>
      </c>
      <c r="O221" s="470">
        <f t="shared" si="23"/>
        <v>0</v>
      </c>
      <c r="P221" s="37" t="str">
        <f t="shared" si="24"/>
        <v>None</v>
      </c>
      <c r="Q221" s="470" t="s">
        <v>347</v>
      </c>
      <c r="R221" s="37">
        <f t="shared" si="25"/>
        <v>0</v>
      </c>
      <c r="S221" s="470" t="s">
        <v>347</v>
      </c>
      <c r="T221" s="470">
        <f t="shared" si="26"/>
        <v>0</v>
      </c>
      <c r="U221" s="470" t="s">
        <v>347</v>
      </c>
      <c r="V221" s="111">
        <f>IF(OR(F221="none",G221="V"),0,VLOOKUP(F221,'Purchased Boons'!$AR$4:$AS$27,2,FALSE))</f>
        <v>0</v>
      </c>
      <c r="W221" s="39" t="s">
        <v>1764</v>
      </c>
      <c r="X221" s="37" t="s">
        <v>1764</v>
      </c>
      <c r="Y221" s="37" t="s">
        <v>5</v>
      </c>
      <c r="Z221" s="111">
        <v>104</v>
      </c>
      <c r="AG221" s="24"/>
      <c r="AH221" s="24"/>
    </row>
    <row r="222" spans="1:34" x14ac:dyDescent="0.25">
      <c r="A222" s="39" t="s">
        <v>2587</v>
      </c>
      <c r="B222" s="36" t="s">
        <v>87</v>
      </c>
      <c r="C222" s="469">
        <v>10</v>
      </c>
      <c r="D222" s="470" t="s">
        <v>494</v>
      </c>
      <c r="E222" s="37">
        <f t="shared" si="18"/>
        <v>0</v>
      </c>
      <c r="F222" s="470" t="s">
        <v>494</v>
      </c>
      <c r="G222" s="37">
        <f t="shared" si="19"/>
        <v>0</v>
      </c>
      <c r="H222" s="37" t="s">
        <v>494</v>
      </c>
      <c r="I222" s="37">
        <f t="shared" si="20"/>
        <v>0</v>
      </c>
      <c r="J222" s="37" t="s">
        <v>347</v>
      </c>
      <c r="K222" s="37">
        <f t="shared" si="21"/>
        <v>0</v>
      </c>
      <c r="L222" s="37" t="s">
        <v>494</v>
      </c>
      <c r="M222" s="37">
        <f t="shared" si="22"/>
        <v>0</v>
      </c>
      <c r="N222" s="470" t="s">
        <v>347</v>
      </c>
      <c r="O222" s="470">
        <f t="shared" si="23"/>
        <v>0</v>
      </c>
      <c r="P222" s="37" t="str">
        <f t="shared" si="24"/>
        <v>None</v>
      </c>
      <c r="Q222" s="470" t="s">
        <v>347</v>
      </c>
      <c r="R222" s="37">
        <f t="shared" si="25"/>
        <v>0</v>
      </c>
      <c r="S222" s="470" t="s">
        <v>347</v>
      </c>
      <c r="T222" s="470">
        <f t="shared" si="26"/>
        <v>0</v>
      </c>
      <c r="U222" s="470" t="s">
        <v>347</v>
      </c>
      <c r="V222" s="111">
        <f>IF(OR(F222="none",G222="V"),0,VLOOKUP(F222,'Purchased Boons'!$AR$4:$AS$27,2,FALSE))</f>
        <v>0</v>
      </c>
      <c r="W222" s="39" t="s">
        <v>1764</v>
      </c>
      <c r="X222" s="37" t="s">
        <v>1764</v>
      </c>
      <c r="Y222" s="37" t="s">
        <v>5</v>
      </c>
      <c r="Z222" s="111">
        <v>104</v>
      </c>
      <c r="AG222" s="24"/>
      <c r="AH222" s="24"/>
    </row>
    <row r="223" spans="1:34" x14ac:dyDescent="0.25">
      <c r="A223" s="39" t="s">
        <v>2389</v>
      </c>
      <c r="B223" s="36" t="s">
        <v>87</v>
      </c>
      <c r="C223" s="469">
        <v>2</v>
      </c>
      <c r="D223" s="470" t="s">
        <v>494</v>
      </c>
      <c r="E223" s="37">
        <f t="shared" si="18"/>
        <v>0</v>
      </c>
      <c r="F223" s="470" t="s">
        <v>494</v>
      </c>
      <c r="G223" s="37">
        <f t="shared" si="19"/>
        <v>0</v>
      </c>
      <c r="H223" s="37" t="s">
        <v>494</v>
      </c>
      <c r="I223" s="37">
        <f t="shared" si="20"/>
        <v>0</v>
      </c>
      <c r="J223" s="37" t="s">
        <v>347</v>
      </c>
      <c r="K223" s="37">
        <f t="shared" si="21"/>
        <v>0</v>
      </c>
      <c r="L223" s="37" t="s">
        <v>494</v>
      </c>
      <c r="M223" s="37">
        <f t="shared" si="22"/>
        <v>0</v>
      </c>
      <c r="N223" s="470" t="s">
        <v>347</v>
      </c>
      <c r="O223" s="470">
        <f t="shared" si="23"/>
        <v>0</v>
      </c>
      <c r="P223" s="37" t="str">
        <f t="shared" si="24"/>
        <v>None</v>
      </c>
      <c r="Q223" s="470" t="s">
        <v>347</v>
      </c>
      <c r="R223" s="37">
        <f t="shared" si="25"/>
        <v>0</v>
      </c>
      <c r="S223" s="470" t="s">
        <v>347</v>
      </c>
      <c r="T223" s="470">
        <f t="shared" si="26"/>
        <v>0</v>
      </c>
      <c r="U223" s="470" t="s">
        <v>347</v>
      </c>
      <c r="V223" s="111">
        <f>IF(OR(F223="none",G223="V"),0,VLOOKUP(F223,'Purchased Boons'!$AR$4:$AS$27,2,FALSE))</f>
        <v>0</v>
      </c>
      <c r="W223" s="39" t="s">
        <v>1764</v>
      </c>
      <c r="X223" s="37" t="s">
        <v>1764</v>
      </c>
      <c r="Y223" s="37" t="s">
        <v>133</v>
      </c>
      <c r="Z223" s="111">
        <v>149</v>
      </c>
      <c r="AG223" s="24"/>
      <c r="AH223" s="24"/>
    </row>
    <row r="224" spans="1:34" x14ac:dyDescent="0.25">
      <c r="A224" s="39" t="s">
        <v>2399</v>
      </c>
      <c r="B224" s="36" t="s">
        <v>87</v>
      </c>
      <c r="C224" s="469">
        <v>2</v>
      </c>
      <c r="D224" s="470" t="s">
        <v>494</v>
      </c>
      <c r="E224" s="37">
        <f t="shared" si="18"/>
        <v>0</v>
      </c>
      <c r="F224" s="470" t="s">
        <v>494</v>
      </c>
      <c r="G224" s="37">
        <f t="shared" si="19"/>
        <v>0</v>
      </c>
      <c r="H224" s="37" t="s">
        <v>494</v>
      </c>
      <c r="I224" s="37">
        <f t="shared" si="20"/>
        <v>0</v>
      </c>
      <c r="J224" s="37" t="s">
        <v>347</v>
      </c>
      <c r="K224" s="37">
        <f t="shared" si="21"/>
        <v>0</v>
      </c>
      <c r="L224" s="37" t="s">
        <v>494</v>
      </c>
      <c r="M224" s="37">
        <f t="shared" si="22"/>
        <v>0</v>
      </c>
      <c r="N224" s="470" t="s">
        <v>347</v>
      </c>
      <c r="O224" s="470">
        <f t="shared" si="23"/>
        <v>0</v>
      </c>
      <c r="P224" s="37" t="str">
        <f t="shared" si="24"/>
        <v>None</v>
      </c>
      <c r="Q224" s="470" t="s">
        <v>347</v>
      </c>
      <c r="R224" s="37">
        <f t="shared" si="25"/>
        <v>0</v>
      </c>
      <c r="S224" s="470" t="s">
        <v>347</v>
      </c>
      <c r="T224" s="470">
        <f t="shared" si="26"/>
        <v>0</v>
      </c>
      <c r="U224" s="470" t="s">
        <v>347</v>
      </c>
      <c r="V224" s="111">
        <f>IF(OR(F224="none",G224="V"),0,VLOOKUP(F224,'Purchased Boons'!$AR$4:$AS$27,2,FALSE))</f>
        <v>0</v>
      </c>
      <c r="W224" s="39" t="s">
        <v>1764</v>
      </c>
      <c r="X224" s="37" t="s">
        <v>1764</v>
      </c>
      <c r="Y224" s="37" t="s">
        <v>133</v>
      </c>
      <c r="Z224" s="111">
        <v>149</v>
      </c>
      <c r="AG224" s="24"/>
      <c r="AH224" s="24"/>
    </row>
    <row r="225" spans="1:34" x14ac:dyDescent="0.25">
      <c r="A225" s="39" t="s">
        <v>2589</v>
      </c>
      <c r="B225" s="36" t="s">
        <v>87</v>
      </c>
      <c r="C225" s="469">
        <v>2</v>
      </c>
      <c r="D225" s="470" t="s">
        <v>494</v>
      </c>
      <c r="E225" s="37">
        <f t="shared" si="18"/>
        <v>0</v>
      </c>
      <c r="F225" s="470" t="s">
        <v>494</v>
      </c>
      <c r="G225" s="37">
        <f t="shared" si="19"/>
        <v>0</v>
      </c>
      <c r="H225" s="37" t="s">
        <v>494</v>
      </c>
      <c r="I225" s="37">
        <f t="shared" si="20"/>
        <v>0</v>
      </c>
      <c r="J225" s="37" t="s">
        <v>347</v>
      </c>
      <c r="K225" s="37">
        <f t="shared" si="21"/>
        <v>0</v>
      </c>
      <c r="L225" s="37" t="s">
        <v>494</v>
      </c>
      <c r="M225" s="37">
        <f t="shared" si="22"/>
        <v>0</v>
      </c>
      <c r="N225" s="470" t="s">
        <v>347</v>
      </c>
      <c r="O225" s="470">
        <f t="shared" si="23"/>
        <v>0</v>
      </c>
      <c r="P225" s="37" t="str">
        <f t="shared" si="24"/>
        <v>None</v>
      </c>
      <c r="Q225" s="470" t="s">
        <v>347</v>
      </c>
      <c r="R225" s="37">
        <f t="shared" si="25"/>
        <v>0</v>
      </c>
      <c r="S225" s="470" t="s">
        <v>347</v>
      </c>
      <c r="T225" s="470">
        <f t="shared" si="26"/>
        <v>0</v>
      </c>
      <c r="U225" s="470" t="s">
        <v>347</v>
      </c>
      <c r="V225" s="111">
        <f>IF(OR(F225="none",G225="V"),0,VLOOKUP(F225,'Purchased Boons'!$AR$4:$AS$27,2,FALSE))</f>
        <v>0</v>
      </c>
      <c r="W225" s="39" t="s">
        <v>1764</v>
      </c>
      <c r="X225" s="37" t="s">
        <v>1764</v>
      </c>
      <c r="Y225" s="37" t="s">
        <v>133</v>
      </c>
      <c r="Z225" s="111">
        <v>149</v>
      </c>
      <c r="AG225" s="24"/>
      <c r="AH225" s="24"/>
    </row>
    <row r="226" spans="1:34" x14ac:dyDescent="0.25">
      <c r="A226" s="39" t="s">
        <v>2409</v>
      </c>
      <c r="B226" s="36" t="s">
        <v>87</v>
      </c>
      <c r="C226" s="469">
        <v>2</v>
      </c>
      <c r="D226" s="470" t="s">
        <v>494</v>
      </c>
      <c r="E226" s="37">
        <f t="shared" si="18"/>
        <v>0</v>
      </c>
      <c r="F226" s="470" t="s">
        <v>494</v>
      </c>
      <c r="G226" s="37">
        <f t="shared" si="19"/>
        <v>0</v>
      </c>
      <c r="H226" s="37" t="s">
        <v>494</v>
      </c>
      <c r="I226" s="37">
        <f t="shared" si="20"/>
        <v>0</v>
      </c>
      <c r="J226" s="37" t="s">
        <v>347</v>
      </c>
      <c r="K226" s="37">
        <f t="shared" si="21"/>
        <v>0</v>
      </c>
      <c r="L226" s="37" t="s">
        <v>494</v>
      </c>
      <c r="M226" s="37">
        <f t="shared" si="22"/>
        <v>0</v>
      </c>
      <c r="N226" s="470" t="s">
        <v>347</v>
      </c>
      <c r="O226" s="470">
        <f t="shared" si="23"/>
        <v>0</v>
      </c>
      <c r="P226" s="37" t="str">
        <f t="shared" si="24"/>
        <v>None</v>
      </c>
      <c r="Q226" s="470" t="s">
        <v>347</v>
      </c>
      <c r="R226" s="37">
        <f t="shared" si="25"/>
        <v>0</v>
      </c>
      <c r="S226" s="470" t="s">
        <v>347</v>
      </c>
      <c r="T226" s="470">
        <f t="shared" si="26"/>
        <v>0</v>
      </c>
      <c r="U226" s="470" t="s">
        <v>347</v>
      </c>
      <c r="V226" s="111">
        <f>IF(OR(F226="none",G226="V"),0,VLOOKUP(F226,'Purchased Boons'!$AR$4:$AS$27,2,FALSE))</f>
        <v>0</v>
      </c>
      <c r="W226" s="39" t="s">
        <v>1764</v>
      </c>
      <c r="X226" s="37" t="s">
        <v>1764</v>
      </c>
      <c r="Y226" s="37" t="s">
        <v>133</v>
      </c>
      <c r="Z226" s="111">
        <v>149</v>
      </c>
      <c r="AG226" s="24"/>
      <c r="AH226" s="24"/>
    </row>
    <row r="227" spans="1:34" x14ac:dyDescent="0.25">
      <c r="A227" s="39" t="s">
        <v>2419</v>
      </c>
      <c r="B227" s="36" t="s">
        <v>87</v>
      </c>
      <c r="C227" s="469">
        <v>2</v>
      </c>
      <c r="D227" s="470" t="s">
        <v>494</v>
      </c>
      <c r="E227" s="37">
        <f t="shared" si="18"/>
        <v>0</v>
      </c>
      <c r="F227" s="470" t="s">
        <v>494</v>
      </c>
      <c r="G227" s="37">
        <f t="shared" si="19"/>
        <v>0</v>
      </c>
      <c r="H227" s="37" t="s">
        <v>494</v>
      </c>
      <c r="I227" s="37">
        <f t="shared" si="20"/>
        <v>0</v>
      </c>
      <c r="J227" s="37" t="s">
        <v>347</v>
      </c>
      <c r="K227" s="37">
        <f t="shared" si="21"/>
        <v>0</v>
      </c>
      <c r="L227" s="37" t="s">
        <v>494</v>
      </c>
      <c r="M227" s="37">
        <f t="shared" si="22"/>
        <v>0</v>
      </c>
      <c r="N227" s="470" t="s">
        <v>347</v>
      </c>
      <c r="O227" s="470">
        <f t="shared" si="23"/>
        <v>0</v>
      </c>
      <c r="P227" s="37" t="str">
        <f t="shared" si="24"/>
        <v>None</v>
      </c>
      <c r="Q227" s="470" t="s">
        <v>347</v>
      </c>
      <c r="R227" s="37">
        <f t="shared" si="25"/>
        <v>0</v>
      </c>
      <c r="S227" s="470" t="s">
        <v>347</v>
      </c>
      <c r="T227" s="470">
        <f t="shared" si="26"/>
        <v>0</v>
      </c>
      <c r="U227" s="470" t="s">
        <v>347</v>
      </c>
      <c r="V227" s="111">
        <f>IF(OR(F227="none",G227="V"),0,VLOOKUP(F227,'Purchased Boons'!$AR$4:$AS$27,2,FALSE))</f>
        <v>0</v>
      </c>
      <c r="W227" s="39" t="s">
        <v>1764</v>
      </c>
      <c r="X227" s="37" t="s">
        <v>1764</v>
      </c>
      <c r="Y227" s="37" t="s">
        <v>133</v>
      </c>
      <c r="Z227" s="111">
        <v>149</v>
      </c>
      <c r="AG227" s="24"/>
      <c r="AH227" s="24"/>
    </row>
    <row r="228" spans="1:34" x14ac:dyDescent="0.25">
      <c r="A228" s="39" t="s">
        <v>2429</v>
      </c>
      <c r="B228" s="36" t="s">
        <v>87</v>
      </c>
      <c r="C228" s="469">
        <v>2</v>
      </c>
      <c r="D228" s="470" t="s">
        <v>494</v>
      </c>
      <c r="E228" s="37">
        <f t="shared" si="18"/>
        <v>0</v>
      </c>
      <c r="F228" s="470" t="s">
        <v>494</v>
      </c>
      <c r="G228" s="37">
        <f t="shared" si="19"/>
        <v>0</v>
      </c>
      <c r="H228" s="37" t="s">
        <v>494</v>
      </c>
      <c r="I228" s="37">
        <f t="shared" si="20"/>
        <v>0</v>
      </c>
      <c r="J228" s="37" t="s">
        <v>347</v>
      </c>
      <c r="K228" s="37">
        <f t="shared" si="21"/>
        <v>0</v>
      </c>
      <c r="L228" s="37" t="s">
        <v>494</v>
      </c>
      <c r="M228" s="37">
        <f t="shared" si="22"/>
        <v>0</v>
      </c>
      <c r="N228" s="470" t="s">
        <v>347</v>
      </c>
      <c r="O228" s="470">
        <f t="shared" si="23"/>
        <v>0</v>
      </c>
      <c r="P228" s="37" t="str">
        <f t="shared" si="24"/>
        <v>None</v>
      </c>
      <c r="Q228" s="470" t="s">
        <v>347</v>
      </c>
      <c r="R228" s="37">
        <f t="shared" si="25"/>
        <v>0</v>
      </c>
      <c r="S228" s="470" t="s">
        <v>347</v>
      </c>
      <c r="T228" s="470">
        <f t="shared" si="26"/>
        <v>0</v>
      </c>
      <c r="U228" s="470" t="s">
        <v>347</v>
      </c>
      <c r="V228" s="111">
        <f>IF(OR(F228="none",G228="V"),0,VLOOKUP(F228,'Purchased Boons'!$AR$4:$AS$27,2,FALSE))</f>
        <v>0</v>
      </c>
      <c r="W228" s="39" t="s">
        <v>1764</v>
      </c>
      <c r="X228" s="37" t="s">
        <v>1764</v>
      </c>
      <c r="Y228" s="37" t="s">
        <v>133</v>
      </c>
      <c r="Z228" s="111">
        <v>149</v>
      </c>
      <c r="AG228" s="24"/>
      <c r="AH228" s="24"/>
    </row>
    <row r="229" spans="1:34" x14ac:dyDescent="0.25">
      <c r="A229" s="39" t="s">
        <v>2439</v>
      </c>
      <c r="B229" s="36" t="s">
        <v>87</v>
      </c>
      <c r="C229" s="469">
        <v>2</v>
      </c>
      <c r="D229" s="470" t="s">
        <v>494</v>
      </c>
      <c r="E229" s="37">
        <f t="shared" si="18"/>
        <v>0</v>
      </c>
      <c r="F229" s="470" t="s">
        <v>494</v>
      </c>
      <c r="G229" s="37">
        <f t="shared" si="19"/>
        <v>0</v>
      </c>
      <c r="H229" s="37" t="s">
        <v>494</v>
      </c>
      <c r="I229" s="37">
        <f t="shared" si="20"/>
        <v>0</v>
      </c>
      <c r="J229" s="37" t="s">
        <v>347</v>
      </c>
      <c r="K229" s="37">
        <f t="shared" si="21"/>
        <v>0</v>
      </c>
      <c r="L229" s="37" t="s">
        <v>494</v>
      </c>
      <c r="M229" s="37">
        <f t="shared" si="22"/>
        <v>0</v>
      </c>
      <c r="N229" s="470" t="s">
        <v>347</v>
      </c>
      <c r="O229" s="470">
        <f t="shared" si="23"/>
        <v>0</v>
      </c>
      <c r="P229" s="37" t="str">
        <f t="shared" si="24"/>
        <v>None</v>
      </c>
      <c r="Q229" s="470" t="s">
        <v>347</v>
      </c>
      <c r="R229" s="37">
        <f t="shared" si="25"/>
        <v>0</v>
      </c>
      <c r="S229" s="470" t="s">
        <v>347</v>
      </c>
      <c r="T229" s="470">
        <f t="shared" si="26"/>
        <v>0</v>
      </c>
      <c r="U229" s="470" t="s">
        <v>347</v>
      </c>
      <c r="V229" s="111">
        <f>IF(OR(F229="none",G229="V"),0,VLOOKUP(F229,'Purchased Boons'!$AR$4:$AS$27,2,FALSE))</f>
        <v>0</v>
      </c>
      <c r="W229" s="39" t="s">
        <v>1764</v>
      </c>
      <c r="X229" s="37" t="s">
        <v>1764</v>
      </c>
      <c r="Y229" s="37" t="s">
        <v>133</v>
      </c>
      <c r="Z229" s="111">
        <v>149</v>
      </c>
      <c r="AG229" s="24"/>
      <c r="AH229" s="24"/>
    </row>
    <row r="230" spans="1:34" x14ac:dyDescent="0.25">
      <c r="A230" s="39" t="s">
        <v>2599</v>
      </c>
      <c r="B230" s="36" t="s">
        <v>87</v>
      </c>
      <c r="C230" s="469">
        <v>2</v>
      </c>
      <c r="D230" s="470" t="s">
        <v>494</v>
      </c>
      <c r="E230" s="37">
        <f t="shared" si="18"/>
        <v>0</v>
      </c>
      <c r="F230" s="470" t="s">
        <v>494</v>
      </c>
      <c r="G230" s="37">
        <f t="shared" si="19"/>
        <v>0</v>
      </c>
      <c r="H230" s="37" t="s">
        <v>494</v>
      </c>
      <c r="I230" s="37">
        <f t="shared" si="20"/>
        <v>0</v>
      </c>
      <c r="J230" s="37" t="s">
        <v>347</v>
      </c>
      <c r="K230" s="37">
        <f t="shared" si="21"/>
        <v>0</v>
      </c>
      <c r="L230" s="37" t="s">
        <v>494</v>
      </c>
      <c r="M230" s="37">
        <f t="shared" si="22"/>
        <v>0</v>
      </c>
      <c r="N230" s="470" t="s">
        <v>347</v>
      </c>
      <c r="O230" s="470">
        <f t="shared" si="23"/>
        <v>0</v>
      </c>
      <c r="P230" s="37" t="str">
        <f t="shared" si="24"/>
        <v>None</v>
      </c>
      <c r="Q230" s="470" t="s">
        <v>347</v>
      </c>
      <c r="R230" s="37">
        <f t="shared" si="25"/>
        <v>0</v>
      </c>
      <c r="S230" s="470" t="s">
        <v>347</v>
      </c>
      <c r="T230" s="470">
        <f t="shared" si="26"/>
        <v>0</v>
      </c>
      <c r="U230" s="470" t="s">
        <v>347</v>
      </c>
      <c r="V230" s="111">
        <f>IF(OR(F230="none",G230="V"),0,VLOOKUP(F230,'Purchased Boons'!$AR$4:$AS$27,2,FALSE))</f>
        <v>0</v>
      </c>
      <c r="W230" s="39" t="s">
        <v>1764</v>
      </c>
      <c r="X230" s="37" t="s">
        <v>1764</v>
      </c>
      <c r="Y230" s="37" t="s">
        <v>133</v>
      </c>
      <c r="Z230" s="111">
        <v>149</v>
      </c>
      <c r="AG230" s="24"/>
      <c r="AH230" s="24"/>
    </row>
    <row r="231" spans="1:34" x14ac:dyDescent="0.25">
      <c r="A231" s="39" t="s">
        <v>2609</v>
      </c>
      <c r="B231" s="36" t="s">
        <v>87</v>
      </c>
      <c r="C231" s="469">
        <v>2</v>
      </c>
      <c r="D231" s="470" t="s">
        <v>494</v>
      </c>
      <c r="E231" s="37">
        <f t="shared" si="18"/>
        <v>0</v>
      </c>
      <c r="F231" s="470" t="s">
        <v>494</v>
      </c>
      <c r="G231" s="37">
        <f t="shared" si="19"/>
        <v>0</v>
      </c>
      <c r="H231" s="37" t="s">
        <v>494</v>
      </c>
      <c r="I231" s="37">
        <f t="shared" si="20"/>
        <v>0</v>
      </c>
      <c r="J231" s="37" t="s">
        <v>347</v>
      </c>
      <c r="K231" s="37">
        <f t="shared" si="21"/>
        <v>0</v>
      </c>
      <c r="L231" s="37" t="s">
        <v>494</v>
      </c>
      <c r="M231" s="37">
        <f t="shared" si="22"/>
        <v>0</v>
      </c>
      <c r="N231" s="470" t="s">
        <v>347</v>
      </c>
      <c r="O231" s="470">
        <f t="shared" si="23"/>
        <v>0</v>
      </c>
      <c r="P231" s="37" t="str">
        <f t="shared" si="24"/>
        <v>None</v>
      </c>
      <c r="Q231" s="470" t="s">
        <v>347</v>
      </c>
      <c r="R231" s="37">
        <f t="shared" si="25"/>
        <v>0</v>
      </c>
      <c r="S231" s="470" t="s">
        <v>347</v>
      </c>
      <c r="T231" s="470">
        <f t="shared" si="26"/>
        <v>0</v>
      </c>
      <c r="U231" s="470" t="s">
        <v>347</v>
      </c>
      <c r="V231" s="111">
        <f>IF(OR(F231="none",G231="V"),0,VLOOKUP(F231,'Purchased Boons'!$AR$4:$AS$27,2,FALSE))</f>
        <v>0</v>
      </c>
      <c r="W231" s="39" t="s">
        <v>1764</v>
      </c>
      <c r="X231" s="37" t="s">
        <v>1764</v>
      </c>
      <c r="Y231" s="37" t="s">
        <v>133</v>
      </c>
      <c r="Z231" s="111">
        <v>149</v>
      </c>
      <c r="AG231" s="24"/>
      <c r="AH231" s="24"/>
    </row>
    <row r="232" spans="1:34" x14ac:dyDescent="0.25">
      <c r="A232" s="39" t="s">
        <v>2449</v>
      </c>
      <c r="B232" s="36" t="s">
        <v>87</v>
      </c>
      <c r="C232" s="469">
        <v>2</v>
      </c>
      <c r="D232" s="470" t="s">
        <v>494</v>
      </c>
      <c r="E232" s="37">
        <f t="shared" si="18"/>
        <v>0</v>
      </c>
      <c r="F232" s="470" t="s">
        <v>494</v>
      </c>
      <c r="G232" s="37">
        <f t="shared" si="19"/>
        <v>0</v>
      </c>
      <c r="H232" s="37" t="s">
        <v>494</v>
      </c>
      <c r="I232" s="37">
        <f t="shared" si="20"/>
        <v>0</v>
      </c>
      <c r="J232" s="37" t="s">
        <v>347</v>
      </c>
      <c r="K232" s="37">
        <f t="shared" si="21"/>
        <v>0</v>
      </c>
      <c r="L232" s="37" t="s">
        <v>494</v>
      </c>
      <c r="M232" s="37">
        <f t="shared" si="22"/>
        <v>0</v>
      </c>
      <c r="N232" s="470" t="s">
        <v>347</v>
      </c>
      <c r="O232" s="470">
        <f t="shared" si="23"/>
        <v>0</v>
      </c>
      <c r="P232" s="37" t="str">
        <f t="shared" si="24"/>
        <v>None</v>
      </c>
      <c r="Q232" s="470" t="s">
        <v>347</v>
      </c>
      <c r="R232" s="37">
        <f t="shared" si="25"/>
        <v>0</v>
      </c>
      <c r="S232" s="470" t="s">
        <v>347</v>
      </c>
      <c r="T232" s="470">
        <f t="shared" si="26"/>
        <v>0</v>
      </c>
      <c r="U232" s="470" t="s">
        <v>347</v>
      </c>
      <c r="V232" s="111">
        <f>IF(OR(F232="none",G232="V"),0,VLOOKUP(F232,'Purchased Boons'!$AR$4:$AS$27,2,FALSE))</f>
        <v>0</v>
      </c>
      <c r="W232" s="39" t="s">
        <v>1764</v>
      </c>
      <c r="X232" s="37" t="s">
        <v>1764</v>
      </c>
      <c r="Y232" s="37" t="s">
        <v>133</v>
      </c>
      <c r="Z232" s="111">
        <v>149</v>
      </c>
      <c r="AG232" s="24"/>
      <c r="AH232" s="24"/>
    </row>
    <row r="233" spans="1:34" x14ac:dyDescent="0.25">
      <c r="A233" s="39" t="s">
        <v>2459</v>
      </c>
      <c r="B233" s="36" t="s">
        <v>87</v>
      </c>
      <c r="C233" s="469">
        <v>2</v>
      </c>
      <c r="D233" s="470" t="s">
        <v>494</v>
      </c>
      <c r="E233" s="37">
        <f t="shared" si="18"/>
        <v>0</v>
      </c>
      <c r="F233" s="470" t="s">
        <v>494</v>
      </c>
      <c r="G233" s="37">
        <f t="shared" si="19"/>
        <v>0</v>
      </c>
      <c r="H233" s="37" t="s">
        <v>494</v>
      </c>
      <c r="I233" s="37">
        <f t="shared" si="20"/>
        <v>0</v>
      </c>
      <c r="J233" s="37" t="s">
        <v>347</v>
      </c>
      <c r="K233" s="37">
        <f t="shared" si="21"/>
        <v>0</v>
      </c>
      <c r="L233" s="37" t="s">
        <v>494</v>
      </c>
      <c r="M233" s="37">
        <f t="shared" si="22"/>
        <v>0</v>
      </c>
      <c r="N233" s="470" t="s">
        <v>347</v>
      </c>
      <c r="O233" s="470">
        <f t="shared" si="23"/>
        <v>0</v>
      </c>
      <c r="P233" s="37" t="str">
        <f t="shared" si="24"/>
        <v>None</v>
      </c>
      <c r="Q233" s="470" t="s">
        <v>347</v>
      </c>
      <c r="R233" s="37">
        <f t="shared" si="25"/>
        <v>0</v>
      </c>
      <c r="S233" s="470" t="s">
        <v>347</v>
      </c>
      <c r="T233" s="470">
        <f t="shared" si="26"/>
        <v>0</v>
      </c>
      <c r="U233" s="470" t="s">
        <v>347</v>
      </c>
      <c r="V233" s="111">
        <f>IF(OR(F233="none",G233="V"),0,VLOOKUP(F233,'Purchased Boons'!$AR$4:$AS$27,2,FALSE))</f>
        <v>0</v>
      </c>
      <c r="W233" s="39" t="s">
        <v>1764</v>
      </c>
      <c r="X233" s="37" t="s">
        <v>1764</v>
      </c>
      <c r="Y233" s="37" t="s">
        <v>133</v>
      </c>
      <c r="Z233" s="111">
        <v>149</v>
      </c>
      <c r="AG233" s="24"/>
      <c r="AH233" s="24"/>
    </row>
    <row r="234" spans="1:34" x14ac:dyDescent="0.25">
      <c r="A234" s="39" t="s">
        <v>2469</v>
      </c>
      <c r="B234" s="36" t="s">
        <v>87</v>
      </c>
      <c r="C234" s="469">
        <v>2</v>
      </c>
      <c r="D234" s="470" t="s">
        <v>494</v>
      </c>
      <c r="E234" s="37">
        <f t="shared" si="18"/>
        <v>0</v>
      </c>
      <c r="F234" s="470" t="s">
        <v>494</v>
      </c>
      <c r="G234" s="37">
        <f t="shared" si="19"/>
        <v>0</v>
      </c>
      <c r="H234" s="37" t="s">
        <v>494</v>
      </c>
      <c r="I234" s="37">
        <f t="shared" si="20"/>
        <v>0</v>
      </c>
      <c r="J234" s="37" t="s">
        <v>347</v>
      </c>
      <c r="K234" s="37">
        <f t="shared" si="21"/>
        <v>0</v>
      </c>
      <c r="L234" s="37" t="s">
        <v>494</v>
      </c>
      <c r="M234" s="37">
        <f t="shared" si="22"/>
        <v>0</v>
      </c>
      <c r="N234" s="470" t="s">
        <v>347</v>
      </c>
      <c r="O234" s="470">
        <f t="shared" si="23"/>
        <v>0</v>
      </c>
      <c r="P234" s="37" t="str">
        <f t="shared" si="24"/>
        <v>None</v>
      </c>
      <c r="Q234" s="470" t="s">
        <v>347</v>
      </c>
      <c r="R234" s="37">
        <f t="shared" si="25"/>
        <v>0</v>
      </c>
      <c r="S234" s="470" t="s">
        <v>347</v>
      </c>
      <c r="T234" s="470">
        <f t="shared" si="26"/>
        <v>0</v>
      </c>
      <c r="U234" s="470" t="s">
        <v>347</v>
      </c>
      <c r="V234" s="111">
        <f>IF(OR(F234="none",G234="V"),0,VLOOKUP(F234,'Purchased Boons'!$AR$4:$AS$27,2,FALSE))</f>
        <v>0</v>
      </c>
      <c r="W234" s="39" t="s">
        <v>1764</v>
      </c>
      <c r="X234" s="37" t="s">
        <v>1764</v>
      </c>
      <c r="Y234" s="37" t="s">
        <v>133</v>
      </c>
      <c r="Z234" s="111">
        <v>149</v>
      </c>
      <c r="AG234" s="24"/>
      <c r="AH234" s="24"/>
    </row>
    <row r="235" spans="1:34" x14ac:dyDescent="0.25">
      <c r="A235" s="39" t="s">
        <v>2479</v>
      </c>
      <c r="B235" s="36" t="s">
        <v>87</v>
      </c>
      <c r="C235" s="469">
        <v>2</v>
      </c>
      <c r="D235" s="470" t="s">
        <v>494</v>
      </c>
      <c r="E235" s="37">
        <f t="shared" si="18"/>
        <v>0</v>
      </c>
      <c r="F235" s="470" t="s">
        <v>494</v>
      </c>
      <c r="G235" s="37">
        <f t="shared" si="19"/>
        <v>0</v>
      </c>
      <c r="H235" s="37" t="s">
        <v>494</v>
      </c>
      <c r="I235" s="37">
        <f t="shared" si="20"/>
        <v>0</v>
      </c>
      <c r="J235" s="37" t="s">
        <v>347</v>
      </c>
      <c r="K235" s="37">
        <f t="shared" si="21"/>
        <v>0</v>
      </c>
      <c r="L235" s="37" t="s">
        <v>494</v>
      </c>
      <c r="M235" s="37">
        <f t="shared" si="22"/>
        <v>0</v>
      </c>
      <c r="N235" s="470" t="s">
        <v>347</v>
      </c>
      <c r="O235" s="470">
        <f t="shared" si="23"/>
        <v>0</v>
      </c>
      <c r="P235" s="37" t="str">
        <f t="shared" si="24"/>
        <v>None</v>
      </c>
      <c r="Q235" s="470" t="s">
        <v>347</v>
      </c>
      <c r="R235" s="37">
        <f t="shared" si="25"/>
        <v>0</v>
      </c>
      <c r="S235" s="470" t="s">
        <v>347</v>
      </c>
      <c r="T235" s="470">
        <f t="shared" si="26"/>
        <v>0</v>
      </c>
      <c r="U235" s="470" t="s">
        <v>347</v>
      </c>
      <c r="V235" s="111">
        <f>IF(OR(F235="none",G235="V"),0,VLOOKUP(F235,'Purchased Boons'!$AR$4:$AS$27,2,FALSE))</f>
        <v>0</v>
      </c>
      <c r="W235" s="39" t="s">
        <v>1764</v>
      </c>
      <c r="X235" s="37" t="s">
        <v>1764</v>
      </c>
      <c r="Y235" s="37" t="s">
        <v>133</v>
      </c>
      <c r="Z235" s="111">
        <v>149</v>
      </c>
      <c r="AG235" s="24"/>
      <c r="AH235" s="24"/>
    </row>
    <row r="236" spans="1:34" x14ac:dyDescent="0.25">
      <c r="A236" s="39" t="s">
        <v>2489</v>
      </c>
      <c r="B236" s="36" t="s">
        <v>87</v>
      </c>
      <c r="C236" s="469">
        <v>2</v>
      </c>
      <c r="D236" s="470" t="s">
        <v>494</v>
      </c>
      <c r="E236" s="37">
        <f t="shared" si="18"/>
        <v>0</v>
      </c>
      <c r="F236" s="470" t="s">
        <v>494</v>
      </c>
      <c r="G236" s="37">
        <f t="shared" si="19"/>
        <v>0</v>
      </c>
      <c r="H236" s="37" t="s">
        <v>494</v>
      </c>
      <c r="I236" s="37">
        <f t="shared" si="20"/>
        <v>0</v>
      </c>
      <c r="J236" s="37" t="s">
        <v>347</v>
      </c>
      <c r="K236" s="37">
        <f t="shared" si="21"/>
        <v>0</v>
      </c>
      <c r="L236" s="37" t="s">
        <v>494</v>
      </c>
      <c r="M236" s="37">
        <f t="shared" si="22"/>
        <v>0</v>
      </c>
      <c r="N236" s="470" t="s">
        <v>347</v>
      </c>
      <c r="O236" s="470">
        <f t="shared" si="23"/>
        <v>0</v>
      </c>
      <c r="P236" s="37" t="str">
        <f t="shared" si="24"/>
        <v>None</v>
      </c>
      <c r="Q236" s="470" t="s">
        <v>347</v>
      </c>
      <c r="R236" s="37">
        <f t="shared" si="25"/>
        <v>0</v>
      </c>
      <c r="S236" s="470" t="s">
        <v>347</v>
      </c>
      <c r="T236" s="470">
        <f t="shared" si="26"/>
        <v>0</v>
      </c>
      <c r="U236" s="470" t="s">
        <v>347</v>
      </c>
      <c r="V236" s="111">
        <f>IF(OR(F236="none",G236="V"),0,VLOOKUP(F236,'Purchased Boons'!$AR$4:$AS$27,2,FALSE))</f>
        <v>0</v>
      </c>
      <c r="W236" s="39" t="s">
        <v>1764</v>
      </c>
      <c r="X236" s="37" t="s">
        <v>1764</v>
      </c>
      <c r="Y236" s="37" t="s">
        <v>133</v>
      </c>
      <c r="Z236" s="111">
        <v>149</v>
      </c>
      <c r="AG236" s="24"/>
      <c r="AH236" s="24"/>
    </row>
    <row r="237" spans="1:34" x14ac:dyDescent="0.25">
      <c r="A237" s="39" t="s">
        <v>2499</v>
      </c>
      <c r="B237" s="36" t="s">
        <v>87</v>
      </c>
      <c r="C237" s="469">
        <v>2</v>
      </c>
      <c r="D237" s="470" t="s">
        <v>494</v>
      </c>
      <c r="E237" s="37">
        <f t="shared" si="18"/>
        <v>0</v>
      </c>
      <c r="F237" s="470" t="s">
        <v>494</v>
      </c>
      <c r="G237" s="37">
        <f t="shared" si="19"/>
        <v>0</v>
      </c>
      <c r="H237" s="37" t="s">
        <v>494</v>
      </c>
      <c r="I237" s="37">
        <f t="shared" si="20"/>
        <v>0</v>
      </c>
      <c r="J237" s="37" t="s">
        <v>347</v>
      </c>
      <c r="K237" s="37">
        <f t="shared" si="21"/>
        <v>0</v>
      </c>
      <c r="L237" s="37" t="s">
        <v>494</v>
      </c>
      <c r="M237" s="37">
        <f t="shared" si="22"/>
        <v>0</v>
      </c>
      <c r="N237" s="470" t="s">
        <v>347</v>
      </c>
      <c r="O237" s="470">
        <f t="shared" si="23"/>
        <v>0</v>
      </c>
      <c r="P237" s="37" t="str">
        <f t="shared" si="24"/>
        <v>None</v>
      </c>
      <c r="Q237" s="470" t="s">
        <v>347</v>
      </c>
      <c r="R237" s="37">
        <f t="shared" si="25"/>
        <v>0</v>
      </c>
      <c r="S237" s="470" t="s">
        <v>347</v>
      </c>
      <c r="T237" s="470">
        <f t="shared" si="26"/>
        <v>0</v>
      </c>
      <c r="U237" s="470" t="s">
        <v>347</v>
      </c>
      <c r="V237" s="111">
        <f>IF(OR(F237="none",G237="V"),0,VLOOKUP(F237,'Purchased Boons'!$AR$4:$AS$27,2,FALSE))</f>
        <v>0</v>
      </c>
      <c r="W237" s="39" t="s">
        <v>1764</v>
      </c>
      <c r="X237" s="37" t="s">
        <v>1764</v>
      </c>
      <c r="Y237" s="37" t="s">
        <v>133</v>
      </c>
      <c r="Z237" s="111">
        <v>149</v>
      </c>
      <c r="AG237" s="24"/>
      <c r="AH237" s="24"/>
    </row>
    <row r="238" spans="1:34" x14ac:dyDescent="0.25">
      <c r="A238" s="39" t="s">
        <v>2509</v>
      </c>
      <c r="B238" s="36" t="s">
        <v>87</v>
      </c>
      <c r="C238" s="469">
        <v>2</v>
      </c>
      <c r="D238" s="470" t="s">
        <v>494</v>
      </c>
      <c r="E238" s="37">
        <f t="shared" si="18"/>
        <v>0</v>
      </c>
      <c r="F238" s="470" t="s">
        <v>494</v>
      </c>
      <c r="G238" s="37">
        <f t="shared" si="19"/>
        <v>0</v>
      </c>
      <c r="H238" s="37" t="s">
        <v>494</v>
      </c>
      <c r="I238" s="37">
        <f t="shared" si="20"/>
        <v>0</v>
      </c>
      <c r="J238" s="37" t="s">
        <v>347</v>
      </c>
      <c r="K238" s="37">
        <f t="shared" si="21"/>
        <v>0</v>
      </c>
      <c r="L238" s="37" t="s">
        <v>494</v>
      </c>
      <c r="M238" s="37">
        <f t="shared" si="22"/>
        <v>0</v>
      </c>
      <c r="N238" s="470" t="s">
        <v>347</v>
      </c>
      <c r="O238" s="470">
        <f t="shared" si="23"/>
        <v>0</v>
      </c>
      <c r="P238" s="37" t="str">
        <f t="shared" si="24"/>
        <v>None</v>
      </c>
      <c r="Q238" s="470" t="s">
        <v>347</v>
      </c>
      <c r="R238" s="37">
        <f t="shared" si="25"/>
        <v>0</v>
      </c>
      <c r="S238" s="470" t="s">
        <v>347</v>
      </c>
      <c r="T238" s="470">
        <f t="shared" si="26"/>
        <v>0</v>
      </c>
      <c r="U238" s="470" t="s">
        <v>347</v>
      </c>
      <c r="V238" s="111">
        <f>IF(OR(F238="none",G238="V"),0,VLOOKUP(F238,'Purchased Boons'!$AR$4:$AS$27,2,FALSE))</f>
        <v>0</v>
      </c>
      <c r="W238" s="39" t="s">
        <v>1764</v>
      </c>
      <c r="X238" s="37" t="s">
        <v>1764</v>
      </c>
      <c r="Y238" s="37" t="s">
        <v>133</v>
      </c>
      <c r="Z238" s="111">
        <v>149</v>
      </c>
      <c r="AG238" s="24"/>
      <c r="AH238" s="24"/>
    </row>
    <row r="239" spans="1:34" x14ac:dyDescent="0.25">
      <c r="A239" s="39" t="s">
        <v>2519</v>
      </c>
      <c r="B239" s="36" t="s">
        <v>87</v>
      </c>
      <c r="C239" s="469">
        <v>2</v>
      </c>
      <c r="D239" s="470" t="s">
        <v>494</v>
      </c>
      <c r="E239" s="37">
        <f t="shared" si="18"/>
        <v>0</v>
      </c>
      <c r="F239" s="470" t="s">
        <v>494</v>
      </c>
      <c r="G239" s="37">
        <f t="shared" si="19"/>
        <v>0</v>
      </c>
      <c r="H239" s="37" t="s">
        <v>494</v>
      </c>
      <c r="I239" s="37">
        <f t="shared" si="20"/>
        <v>0</v>
      </c>
      <c r="J239" s="37" t="s">
        <v>347</v>
      </c>
      <c r="K239" s="37">
        <f t="shared" si="21"/>
        <v>0</v>
      </c>
      <c r="L239" s="37" t="s">
        <v>494</v>
      </c>
      <c r="M239" s="37">
        <f t="shared" si="22"/>
        <v>0</v>
      </c>
      <c r="N239" s="470" t="s">
        <v>347</v>
      </c>
      <c r="O239" s="470">
        <f t="shared" si="23"/>
        <v>0</v>
      </c>
      <c r="P239" s="37" t="str">
        <f t="shared" si="24"/>
        <v>None</v>
      </c>
      <c r="Q239" s="470" t="s">
        <v>347</v>
      </c>
      <c r="R239" s="37">
        <f t="shared" si="25"/>
        <v>0</v>
      </c>
      <c r="S239" s="470" t="s">
        <v>347</v>
      </c>
      <c r="T239" s="470">
        <f t="shared" si="26"/>
        <v>0</v>
      </c>
      <c r="U239" s="470" t="s">
        <v>347</v>
      </c>
      <c r="V239" s="111">
        <f>IF(OR(F239="none",G239="V"),0,VLOOKUP(F239,'Purchased Boons'!$AR$4:$AS$27,2,FALSE))</f>
        <v>0</v>
      </c>
      <c r="W239" s="39" t="s">
        <v>1764</v>
      </c>
      <c r="X239" s="37" t="s">
        <v>1764</v>
      </c>
      <c r="Y239" s="37" t="s">
        <v>133</v>
      </c>
      <c r="Z239" s="111">
        <v>149</v>
      </c>
      <c r="AG239" s="24"/>
      <c r="AH239" s="24"/>
    </row>
    <row r="240" spans="1:34" x14ac:dyDescent="0.25">
      <c r="A240" s="39" t="s">
        <v>2529</v>
      </c>
      <c r="B240" s="36" t="s">
        <v>87</v>
      </c>
      <c r="C240" s="469">
        <v>2</v>
      </c>
      <c r="D240" s="470" t="s">
        <v>494</v>
      </c>
      <c r="E240" s="37">
        <f t="shared" si="18"/>
        <v>0</v>
      </c>
      <c r="F240" s="470" t="s">
        <v>494</v>
      </c>
      <c r="G240" s="37">
        <f t="shared" si="19"/>
        <v>0</v>
      </c>
      <c r="H240" s="37" t="s">
        <v>494</v>
      </c>
      <c r="I240" s="37">
        <f t="shared" si="20"/>
        <v>0</v>
      </c>
      <c r="J240" s="37" t="s">
        <v>347</v>
      </c>
      <c r="K240" s="37">
        <f t="shared" si="21"/>
        <v>0</v>
      </c>
      <c r="L240" s="37" t="s">
        <v>494</v>
      </c>
      <c r="M240" s="37">
        <f t="shared" si="22"/>
        <v>0</v>
      </c>
      <c r="N240" s="470" t="s">
        <v>347</v>
      </c>
      <c r="O240" s="470">
        <f t="shared" si="23"/>
        <v>0</v>
      </c>
      <c r="P240" s="37" t="str">
        <f t="shared" si="24"/>
        <v>None</v>
      </c>
      <c r="Q240" s="470" t="s">
        <v>347</v>
      </c>
      <c r="R240" s="37">
        <f t="shared" si="25"/>
        <v>0</v>
      </c>
      <c r="S240" s="470" t="s">
        <v>347</v>
      </c>
      <c r="T240" s="470">
        <f t="shared" si="26"/>
        <v>0</v>
      </c>
      <c r="U240" s="470" t="s">
        <v>347</v>
      </c>
      <c r="V240" s="111">
        <f>IF(OR(F240="none",G240="V"),0,VLOOKUP(F240,'Purchased Boons'!$AR$4:$AS$27,2,FALSE))</f>
        <v>0</v>
      </c>
      <c r="W240" s="39" t="s">
        <v>1764</v>
      </c>
      <c r="X240" s="37" t="s">
        <v>1764</v>
      </c>
      <c r="Y240" s="37" t="s">
        <v>133</v>
      </c>
      <c r="Z240" s="111">
        <v>149</v>
      </c>
      <c r="AG240" s="24"/>
      <c r="AH240" s="24"/>
    </row>
    <row r="241" spans="1:34" x14ac:dyDescent="0.25">
      <c r="A241" s="39" t="s">
        <v>2539</v>
      </c>
      <c r="B241" s="36" t="s">
        <v>87</v>
      </c>
      <c r="C241" s="469">
        <v>2</v>
      </c>
      <c r="D241" s="470" t="s">
        <v>494</v>
      </c>
      <c r="E241" s="37">
        <f t="shared" si="18"/>
        <v>0</v>
      </c>
      <c r="F241" s="470" t="s">
        <v>494</v>
      </c>
      <c r="G241" s="37">
        <f t="shared" si="19"/>
        <v>0</v>
      </c>
      <c r="H241" s="37" t="s">
        <v>494</v>
      </c>
      <c r="I241" s="37">
        <f t="shared" si="20"/>
        <v>0</v>
      </c>
      <c r="J241" s="37" t="s">
        <v>347</v>
      </c>
      <c r="K241" s="37">
        <f t="shared" si="21"/>
        <v>0</v>
      </c>
      <c r="L241" s="37" t="s">
        <v>494</v>
      </c>
      <c r="M241" s="37">
        <f t="shared" si="22"/>
        <v>0</v>
      </c>
      <c r="N241" s="470" t="s">
        <v>347</v>
      </c>
      <c r="O241" s="470">
        <f t="shared" si="23"/>
        <v>0</v>
      </c>
      <c r="P241" s="37" t="str">
        <f t="shared" si="24"/>
        <v>None</v>
      </c>
      <c r="Q241" s="470" t="s">
        <v>347</v>
      </c>
      <c r="R241" s="37">
        <f t="shared" si="25"/>
        <v>0</v>
      </c>
      <c r="S241" s="470" t="s">
        <v>347</v>
      </c>
      <c r="T241" s="470">
        <f t="shared" si="26"/>
        <v>0</v>
      </c>
      <c r="U241" s="470" t="s">
        <v>347</v>
      </c>
      <c r="V241" s="111">
        <f>IF(OR(F241="none",G241="V"),0,VLOOKUP(F241,'Purchased Boons'!$AR$4:$AS$27,2,FALSE))</f>
        <v>0</v>
      </c>
      <c r="W241" s="39" t="s">
        <v>1764</v>
      </c>
      <c r="X241" s="37" t="s">
        <v>1764</v>
      </c>
      <c r="Y241" s="37" t="s">
        <v>133</v>
      </c>
      <c r="Z241" s="111">
        <v>149</v>
      </c>
      <c r="AG241" s="24"/>
      <c r="AH241" s="24"/>
    </row>
    <row r="242" spans="1:34" x14ac:dyDescent="0.25">
      <c r="A242" s="39" t="s">
        <v>2549</v>
      </c>
      <c r="B242" s="36" t="s">
        <v>87</v>
      </c>
      <c r="C242" s="469">
        <v>2</v>
      </c>
      <c r="D242" s="470" t="s">
        <v>494</v>
      </c>
      <c r="E242" s="37">
        <f t="shared" si="18"/>
        <v>0</v>
      </c>
      <c r="F242" s="470" t="s">
        <v>494</v>
      </c>
      <c r="G242" s="37">
        <f t="shared" si="19"/>
        <v>0</v>
      </c>
      <c r="H242" s="37" t="s">
        <v>494</v>
      </c>
      <c r="I242" s="37">
        <f t="shared" si="20"/>
        <v>0</v>
      </c>
      <c r="J242" s="37" t="s">
        <v>347</v>
      </c>
      <c r="K242" s="37">
        <f t="shared" si="21"/>
        <v>0</v>
      </c>
      <c r="L242" s="37" t="s">
        <v>494</v>
      </c>
      <c r="M242" s="37">
        <f t="shared" si="22"/>
        <v>0</v>
      </c>
      <c r="N242" s="470" t="s">
        <v>347</v>
      </c>
      <c r="O242" s="470">
        <f t="shared" si="23"/>
        <v>0</v>
      </c>
      <c r="P242" s="37" t="str">
        <f t="shared" si="24"/>
        <v>None</v>
      </c>
      <c r="Q242" s="470" t="s">
        <v>347</v>
      </c>
      <c r="R242" s="37">
        <f t="shared" si="25"/>
        <v>0</v>
      </c>
      <c r="S242" s="470" t="s">
        <v>347</v>
      </c>
      <c r="T242" s="470">
        <f t="shared" si="26"/>
        <v>0</v>
      </c>
      <c r="U242" s="470" t="s">
        <v>347</v>
      </c>
      <c r="V242" s="111">
        <f>IF(OR(F242="none",G242="V"),0,VLOOKUP(F242,'Purchased Boons'!$AR$4:$AS$27,2,FALSE))</f>
        <v>0</v>
      </c>
      <c r="W242" s="39" t="s">
        <v>1764</v>
      </c>
      <c r="X242" s="37" t="s">
        <v>1764</v>
      </c>
      <c r="Y242" s="37" t="s">
        <v>133</v>
      </c>
      <c r="Z242" s="111">
        <v>149</v>
      </c>
      <c r="AG242" s="24"/>
      <c r="AH242" s="24"/>
    </row>
    <row r="243" spans="1:34" x14ac:dyDescent="0.25">
      <c r="A243" s="39" t="s">
        <v>2619</v>
      </c>
      <c r="B243" s="36" t="s">
        <v>87</v>
      </c>
      <c r="C243" s="469">
        <v>2</v>
      </c>
      <c r="D243" s="470" t="s">
        <v>494</v>
      </c>
      <c r="E243" s="37">
        <f t="shared" si="18"/>
        <v>0</v>
      </c>
      <c r="F243" s="470" t="s">
        <v>494</v>
      </c>
      <c r="G243" s="37">
        <f t="shared" si="19"/>
        <v>0</v>
      </c>
      <c r="H243" s="37" t="s">
        <v>494</v>
      </c>
      <c r="I243" s="37">
        <f t="shared" si="20"/>
        <v>0</v>
      </c>
      <c r="J243" s="37" t="s">
        <v>347</v>
      </c>
      <c r="K243" s="37">
        <f t="shared" si="21"/>
        <v>0</v>
      </c>
      <c r="L243" s="37" t="s">
        <v>494</v>
      </c>
      <c r="M243" s="37">
        <f t="shared" si="22"/>
        <v>0</v>
      </c>
      <c r="N243" s="470" t="s">
        <v>347</v>
      </c>
      <c r="O243" s="470">
        <f t="shared" si="23"/>
        <v>0</v>
      </c>
      <c r="P243" s="37" t="str">
        <f t="shared" si="24"/>
        <v>None</v>
      </c>
      <c r="Q243" s="470" t="s">
        <v>347</v>
      </c>
      <c r="R243" s="37">
        <f t="shared" si="25"/>
        <v>0</v>
      </c>
      <c r="S243" s="470" t="s">
        <v>347</v>
      </c>
      <c r="T243" s="470">
        <f t="shared" si="26"/>
        <v>0</v>
      </c>
      <c r="U243" s="470" t="s">
        <v>347</v>
      </c>
      <c r="V243" s="111">
        <f>IF(OR(F243="none",G243="V"),0,VLOOKUP(F243,'Purchased Boons'!$AR$4:$AS$27,2,FALSE))</f>
        <v>0</v>
      </c>
      <c r="W243" s="39" t="s">
        <v>1764</v>
      </c>
      <c r="X243" s="37" t="s">
        <v>1764</v>
      </c>
      <c r="Y243" s="37" t="s">
        <v>133</v>
      </c>
      <c r="Z243" s="111">
        <v>149</v>
      </c>
      <c r="AG243" s="24"/>
      <c r="AH243" s="24"/>
    </row>
    <row r="244" spans="1:34" x14ac:dyDescent="0.25">
      <c r="A244" s="39" t="s">
        <v>2559</v>
      </c>
      <c r="B244" s="36" t="s">
        <v>87</v>
      </c>
      <c r="C244" s="469">
        <v>2</v>
      </c>
      <c r="D244" s="470" t="s">
        <v>494</v>
      </c>
      <c r="E244" s="37">
        <f t="shared" si="18"/>
        <v>0</v>
      </c>
      <c r="F244" s="470" t="s">
        <v>494</v>
      </c>
      <c r="G244" s="37">
        <f t="shared" si="19"/>
        <v>0</v>
      </c>
      <c r="H244" s="37" t="s">
        <v>494</v>
      </c>
      <c r="I244" s="37">
        <f t="shared" si="20"/>
        <v>0</v>
      </c>
      <c r="J244" s="37" t="s">
        <v>347</v>
      </c>
      <c r="K244" s="37">
        <f t="shared" si="21"/>
        <v>0</v>
      </c>
      <c r="L244" s="37" t="s">
        <v>494</v>
      </c>
      <c r="M244" s="37">
        <f t="shared" si="22"/>
        <v>0</v>
      </c>
      <c r="N244" s="470" t="s">
        <v>347</v>
      </c>
      <c r="O244" s="470">
        <f t="shared" si="23"/>
        <v>0</v>
      </c>
      <c r="P244" s="37" t="str">
        <f t="shared" si="24"/>
        <v>None</v>
      </c>
      <c r="Q244" s="470" t="s">
        <v>347</v>
      </c>
      <c r="R244" s="37">
        <f t="shared" si="25"/>
        <v>0</v>
      </c>
      <c r="S244" s="470" t="s">
        <v>347</v>
      </c>
      <c r="T244" s="470">
        <f t="shared" si="26"/>
        <v>0</v>
      </c>
      <c r="U244" s="470" t="s">
        <v>347</v>
      </c>
      <c r="V244" s="111">
        <f>IF(OR(F244="none",G244="V"),0,VLOOKUP(F244,'Purchased Boons'!$AR$4:$AS$27,2,FALSE))</f>
        <v>0</v>
      </c>
      <c r="W244" s="39" t="s">
        <v>1764</v>
      </c>
      <c r="X244" s="37" t="s">
        <v>1764</v>
      </c>
      <c r="Y244" s="37" t="s">
        <v>133</v>
      </c>
      <c r="Z244" s="111">
        <v>149</v>
      </c>
      <c r="AG244" s="24"/>
      <c r="AH244" s="24"/>
    </row>
    <row r="245" spans="1:34" x14ac:dyDescent="0.25">
      <c r="A245" s="39" t="s">
        <v>2569</v>
      </c>
      <c r="B245" s="36" t="s">
        <v>87</v>
      </c>
      <c r="C245" s="469">
        <v>2</v>
      </c>
      <c r="D245" s="470" t="s">
        <v>494</v>
      </c>
      <c r="E245" s="37">
        <f t="shared" si="18"/>
        <v>0</v>
      </c>
      <c r="F245" s="470" t="s">
        <v>494</v>
      </c>
      <c r="G245" s="37">
        <f t="shared" si="19"/>
        <v>0</v>
      </c>
      <c r="H245" s="37" t="s">
        <v>494</v>
      </c>
      <c r="I245" s="37">
        <f t="shared" si="20"/>
        <v>0</v>
      </c>
      <c r="J245" s="37" t="s">
        <v>347</v>
      </c>
      <c r="K245" s="37">
        <f t="shared" si="21"/>
        <v>0</v>
      </c>
      <c r="L245" s="37" t="s">
        <v>494</v>
      </c>
      <c r="M245" s="37">
        <f t="shared" si="22"/>
        <v>0</v>
      </c>
      <c r="N245" s="470" t="s">
        <v>347</v>
      </c>
      <c r="O245" s="470">
        <f t="shared" si="23"/>
        <v>0</v>
      </c>
      <c r="P245" s="37" t="str">
        <f t="shared" si="24"/>
        <v>None</v>
      </c>
      <c r="Q245" s="470" t="s">
        <v>347</v>
      </c>
      <c r="R245" s="37">
        <f t="shared" si="25"/>
        <v>0</v>
      </c>
      <c r="S245" s="470" t="s">
        <v>347</v>
      </c>
      <c r="T245" s="470">
        <f t="shared" si="26"/>
        <v>0</v>
      </c>
      <c r="U245" s="470" t="s">
        <v>347</v>
      </c>
      <c r="V245" s="111">
        <f>IF(OR(F245="none",G245="V"),0,VLOOKUP(F245,'Purchased Boons'!$AR$4:$AS$27,2,FALSE))</f>
        <v>0</v>
      </c>
      <c r="W245" s="39" t="s">
        <v>1764</v>
      </c>
      <c r="X245" s="37" t="s">
        <v>1764</v>
      </c>
      <c r="Y245" s="37" t="s">
        <v>133</v>
      </c>
      <c r="Z245" s="111">
        <v>149</v>
      </c>
      <c r="AG245" s="24"/>
      <c r="AH245" s="24"/>
    </row>
    <row r="246" spans="1:34" x14ac:dyDescent="0.25">
      <c r="A246" s="39" t="s">
        <v>2579</v>
      </c>
      <c r="B246" s="36" t="s">
        <v>87</v>
      </c>
      <c r="C246" s="469">
        <v>2</v>
      </c>
      <c r="D246" s="470" t="s">
        <v>494</v>
      </c>
      <c r="E246" s="37">
        <f t="shared" si="18"/>
        <v>0</v>
      </c>
      <c r="F246" s="470" t="s">
        <v>494</v>
      </c>
      <c r="G246" s="37">
        <f t="shared" si="19"/>
        <v>0</v>
      </c>
      <c r="H246" s="37" t="s">
        <v>494</v>
      </c>
      <c r="I246" s="37">
        <f t="shared" si="20"/>
        <v>0</v>
      </c>
      <c r="J246" s="37" t="s">
        <v>347</v>
      </c>
      <c r="K246" s="37">
        <f t="shared" si="21"/>
        <v>0</v>
      </c>
      <c r="L246" s="37" t="s">
        <v>494</v>
      </c>
      <c r="M246" s="37">
        <f t="shared" si="22"/>
        <v>0</v>
      </c>
      <c r="N246" s="470" t="s">
        <v>347</v>
      </c>
      <c r="O246" s="470">
        <f t="shared" si="23"/>
        <v>0</v>
      </c>
      <c r="P246" s="37" t="str">
        <f t="shared" si="24"/>
        <v>None</v>
      </c>
      <c r="Q246" s="470" t="s">
        <v>347</v>
      </c>
      <c r="R246" s="37">
        <f t="shared" si="25"/>
        <v>0</v>
      </c>
      <c r="S246" s="470" t="s">
        <v>347</v>
      </c>
      <c r="T246" s="470">
        <f t="shared" si="26"/>
        <v>0</v>
      </c>
      <c r="U246" s="470" t="s">
        <v>347</v>
      </c>
      <c r="V246" s="111">
        <f>IF(OR(F246="none",G246="V"),0,VLOOKUP(F246,'Purchased Boons'!$AR$4:$AS$27,2,FALSE))</f>
        <v>0</v>
      </c>
      <c r="W246" s="39" t="s">
        <v>1764</v>
      </c>
      <c r="X246" s="37" t="s">
        <v>1764</v>
      </c>
      <c r="Y246" s="37" t="s">
        <v>133</v>
      </c>
      <c r="Z246" s="111">
        <v>149</v>
      </c>
      <c r="AG246" s="24"/>
      <c r="AH246" s="24"/>
    </row>
    <row r="247" spans="1:34" x14ac:dyDescent="0.25">
      <c r="A247" s="39" t="s">
        <v>2390</v>
      </c>
      <c r="B247" s="36" t="s">
        <v>87</v>
      </c>
      <c r="C247" s="469">
        <v>3</v>
      </c>
      <c r="D247" s="470" t="s">
        <v>494</v>
      </c>
      <c r="E247" s="37">
        <f t="shared" si="18"/>
        <v>0</v>
      </c>
      <c r="F247" s="470" t="s">
        <v>494</v>
      </c>
      <c r="G247" s="37">
        <f t="shared" si="19"/>
        <v>0</v>
      </c>
      <c r="H247" s="37" t="s">
        <v>494</v>
      </c>
      <c r="I247" s="37">
        <f t="shared" si="20"/>
        <v>0</v>
      </c>
      <c r="J247" s="37" t="s">
        <v>347</v>
      </c>
      <c r="K247" s="37">
        <f t="shared" si="21"/>
        <v>0</v>
      </c>
      <c r="L247" s="37" t="s">
        <v>494</v>
      </c>
      <c r="M247" s="37">
        <f t="shared" si="22"/>
        <v>0</v>
      </c>
      <c r="N247" s="470" t="s">
        <v>347</v>
      </c>
      <c r="O247" s="470">
        <f t="shared" si="23"/>
        <v>0</v>
      </c>
      <c r="P247" s="37" t="str">
        <f t="shared" si="24"/>
        <v>None</v>
      </c>
      <c r="Q247" s="470" t="s">
        <v>347</v>
      </c>
      <c r="R247" s="37">
        <f t="shared" si="25"/>
        <v>0</v>
      </c>
      <c r="S247" s="470" t="s">
        <v>347</v>
      </c>
      <c r="T247" s="470">
        <f t="shared" si="26"/>
        <v>0</v>
      </c>
      <c r="U247" s="470" t="s">
        <v>347</v>
      </c>
      <c r="V247" s="111">
        <f>IF(OR(F247="none",G247="V"),0,VLOOKUP(F247,'Purchased Boons'!$AR$4:$AS$27,2,FALSE))</f>
        <v>0</v>
      </c>
      <c r="W247" s="39" t="s">
        <v>1764</v>
      </c>
      <c r="X247" s="37" t="s">
        <v>1764</v>
      </c>
      <c r="Y247" s="37" t="s">
        <v>133</v>
      </c>
      <c r="Z247" s="111">
        <v>149</v>
      </c>
      <c r="AG247" s="24"/>
      <c r="AH247" s="24"/>
    </row>
    <row r="248" spans="1:34" x14ac:dyDescent="0.25">
      <c r="A248" s="39" t="s">
        <v>2400</v>
      </c>
      <c r="B248" s="36" t="s">
        <v>87</v>
      </c>
      <c r="C248" s="469">
        <v>3</v>
      </c>
      <c r="D248" s="470" t="s">
        <v>494</v>
      </c>
      <c r="E248" s="37">
        <f t="shared" si="18"/>
        <v>0</v>
      </c>
      <c r="F248" s="470" t="s">
        <v>494</v>
      </c>
      <c r="G248" s="37">
        <f t="shared" si="19"/>
        <v>0</v>
      </c>
      <c r="H248" s="37" t="s">
        <v>494</v>
      </c>
      <c r="I248" s="37">
        <f t="shared" si="20"/>
        <v>0</v>
      </c>
      <c r="J248" s="37" t="s">
        <v>347</v>
      </c>
      <c r="K248" s="37">
        <f t="shared" si="21"/>
        <v>0</v>
      </c>
      <c r="L248" s="37" t="s">
        <v>494</v>
      </c>
      <c r="M248" s="37">
        <f t="shared" si="22"/>
        <v>0</v>
      </c>
      <c r="N248" s="470" t="s">
        <v>347</v>
      </c>
      <c r="O248" s="470">
        <f t="shared" si="23"/>
        <v>0</v>
      </c>
      <c r="P248" s="37" t="str">
        <f t="shared" si="24"/>
        <v>None</v>
      </c>
      <c r="Q248" s="470" t="s">
        <v>347</v>
      </c>
      <c r="R248" s="37">
        <f t="shared" si="25"/>
        <v>0</v>
      </c>
      <c r="S248" s="470" t="s">
        <v>347</v>
      </c>
      <c r="T248" s="470">
        <f t="shared" si="26"/>
        <v>0</v>
      </c>
      <c r="U248" s="470" t="s">
        <v>347</v>
      </c>
      <c r="V248" s="111">
        <f>IF(OR(F248="none",G248="V"),0,VLOOKUP(F248,'Purchased Boons'!$AR$4:$AS$27,2,FALSE))</f>
        <v>0</v>
      </c>
      <c r="W248" s="39" t="s">
        <v>1764</v>
      </c>
      <c r="X248" s="37" t="s">
        <v>1764</v>
      </c>
      <c r="Y248" s="37" t="s">
        <v>133</v>
      </c>
      <c r="Z248" s="111">
        <v>149</v>
      </c>
      <c r="AG248" s="24"/>
      <c r="AH248" s="24"/>
    </row>
    <row r="249" spans="1:34" x14ac:dyDescent="0.25">
      <c r="A249" s="39" t="s">
        <v>2590</v>
      </c>
      <c r="B249" s="36" t="s">
        <v>87</v>
      </c>
      <c r="C249" s="469">
        <v>3</v>
      </c>
      <c r="D249" s="470" t="s">
        <v>494</v>
      </c>
      <c r="E249" s="37">
        <f t="shared" si="18"/>
        <v>0</v>
      </c>
      <c r="F249" s="470" t="s">
        <v>494</v>
      </c>
      <c r="G249" s="37">
        <f t="shared" si="19"/>
        <v>0</v>
      </c>
      <c r="H249" s="37" t="s">
        <v>494</v>
      </c>
      <c r="I249" s="37">
        <f t="shared" si="20"/>
        <v>0</v>
      </c>
      <c r="J249" s="37" t="s">
        <v>347</v>
      </c>
      <c r="K249" s="37">
        <f t="shared" si="21"/>
        <v>0</v>
      </c>
      <c r="L249" s="37" t="s">
        <v>494</v>
      </c>
      <c r="M249" s="37">
        <f t="shared" si="22"/>
        <v>0</v>
      </c>
      <c r="N249" s="470" t="s">
        <v>347</v>
      </c>
      <c r="O249" s="470">
        <f t="shared" si="23"/>
        <v>0</v>
      </c>
      <c r="P249" s="37" t="str">
        <f t="shared" si="24"/>
        <v>None</v>
      </c>
      <c r="Q249" s="470" t="s">
        <v>347</v>
      </c>
      <c r="R249" s="37">
        <f t="shared" si="25"/>
        <v>0</v>
      </c>
      <c r="S249" s="470" t="s">
        <v>347</v>
      </c>
      <c r="T249" s="470">
        <f t="shared" si="26"/>
        <v>0</v>
      </c>
      <c r="U249" s="470" t="s">
        <v>347</v>
      </c>
      <c r="V249" s="111">
        <f>IF(OR(F249="none",G249="V"),0,VLOOKUP(F249,'Purchased Boons'!$AR$4:$AS$27,2,FALSE))</f>
        <v>0</v>
      </c>
      <c r="W249" s="39" t="s">
        <v>1764</v>
      </c>
      <c r="X249" s="37" t="s">
        <v>1764</v>
      </c>
      <c r="Y249" s="37" t="s">
        <v>133</v>
      </c>
      <c r="Z249" s="111">
        <v>149</v>
      </c>
      <c r="AG249" s="24"/>
      <c r="AH249" s="24"/>
    </row>
    <row r="250" spans="1:34" x14ac:dyDescent="0.25">
      <c r="A250" s="39" t="s">
        <v>2410</v>
      </c>
      <c r="B250" s="36" t="s">
        <v>87</v>
      </c>
      <c r="C250" s="469">
        <v>3</v>
      </c>
      <c r="D250" s="470" t="s">
        <v>494</v>
      </c>
      <c r="E250" s="37">
        <f t="shared" si="18"/>
        <v>0</v>
      </c>
      <c r="F250" s="470" t="s">
        <v>494</v>
      </c>
      <c r="G250" s="37">
        <f t="shared" si="19"/>
        <v>0</v>
      </c>
      <c r="H250" s="37" t="s">
        <v>494</v>
      </c>
      <c r="I250" s="37">
        <f t="shared" si="20"/>
        <v>0</v>
      </c>
      <c r="J250" s="37" t="s">
        <v>347</v>
      </c>
      <c r="K250" s="37">
        <f t="shared" si="21"/>
        <v>0</v>
      </c>
      <c r="L250" s="37" t="s">
        <v>494</v>
      </c>
      <c r="M250" s="37">
        <f t="shared" si="22"/>
        <v>0</v>
      </c>
      <c r="N250" s="470" t="s">
        <v>347</v>
      </c>
      <c r="O250" s="470">
        <f t="shared" si="23"/>
        <v>0</v>
      </c>
      <c r="P250" s="37" t="str">
        <f t="shared" si="24"/>
        <v>None</v>
      </c>
      <c r="Q250" s="470" t="s">
        <v>347</v>
      </c>
      <c r="R250" s="37">
        <f t="shared" si="25"/>
        <v>0</v>
      </c>
      <c r="S250" s="470" t="s">
        <v>347</v>
      </c>
      <c r="T250" s="470">
        <f t="shared" si="26"/>
        <v>0</v>
      </c>
      <c r="U250" s="470" t="s">
        <v>347</v>
      </c>
      <c r="V250" s="111">
        <f>IF(OR(F250="none",G250="V"),0,VLOOKUP(F250,'Purchased Boons'!$AR$4:$AS$27,2,FALSE))</f>
        <v>0</v>
      </c>
      <c r="W250" s="39" t="s">
        <v>1764</v>
      </c>
      <c r="X250" s="37" t="s">
        <v>1764</v>
      </c>
      <c r="Y250" s="37" t="s">
        <v>133</v>
      </c>
      <c r="Z250" s="111">
        <v>149</v>
      </c>
      <c r="AG250" s="24"/>
      <c r="AH250" s="24"/>
    </row>
    <row r="251" spans="1:34" x14ac:dyDescent="0.25">
      <c r="A251" s="39" t="s">
        <v>2420</v>
      </c>
      <c r="B251" s="36" t="s">
        <v>87</v>
      </c>
      <c r="C251" s="469">
        <v>3</v>
      </c>
      <c r="D251" s="470" t="s">
        <v>494</v>
      </c>
      <c r="E251" s="37">
        <f t="shared" si="18"/>
        <v>0</v>
      </c>
      <c r="F251" s="470" t="s">
        <v>494</v>
      </c>
      <c r="G251" s="37">
        <f t="shared" si="19"/>
        <v>0</v>
      </c>
      <c r="H251" s="37" t="s">
        <v>494</v>
      </c>
      <c r="I251" s="37">
        <f t="shared" si="20"/>
        <v>0</v>
      </c>
      <c r="J251" s="37" t="s">
        <v>347</v>
      </c>
      <c r="K251" s="37">
        <f t="shared" si="21"/>
        <v>0</v>
      </c>
      <c r="L251" s="37" t="s">
        <v>494</v>
      </c>
      <c r="M251" s="37">
        <f t="shared" si="22"/>
        <v>0</v>
      </c>
      <c r="N251" s="470" t="s">
        <v>347</v>
      </c>
      <c r="O251" s="470">
        <f t="shared" si="23"/>
        <v>0</v>
      </c>
      <c r="P251" s="37" t="str">
        <f t="shared" si="24"/>
        <v>None</v>
      </c>
      <c r="Q251" s="470" t="s">
        <v>347</v>
      </c>
      <c r="R251" s="37">
        <f t="shared" si="25"/>
        <v>0</v>
      </c>
      <c r="S251" s="470" t="s">
        <v>347</v>
      </c>
      <c r="T251" s="470">
        <f t="shared" si="26"/>
        <v>0</v>
      </c>
      <c r="U251" s="470" t="s">
        <v>347</v>
      </c>
      <c r="V251" s="111">
        <f>IF(OR(F251="none",G251="V"),0,VLOOKUP(F251,'Purchased Boons'!$AR$4:$AS$27,2,FALSE))</f>
        <v>0</v>
      </c>
      <c r="W251" s="39" t="s">
        <v>1764</v>
      </c>
      <c r="X251" s="37" t="s">
        <v>1764</v>
      </c>
      <c r="Y251" s="37" t="s">
        <v>133</v>
      </c>
      <c r="Z251" s="111">
        <v>149</v>
      </c>
      <c r="AG251" s="24"/>
      <c r="AH251" s="24"/>
    </row>
    <row r="252" spans="1:34" x14ac:dyDescent="0.25">
      <c r="A252" s="39" t="s">
        <v>2430</v>
      </c>
      <c r="B252" s="36" t="s">
        <v>87</v>
      </c>
      <c r="C252" s="469">
        <v>3</v>
      </c>
      <c r="D252" s="470" t="s">
        <v>494</v>
      </c>
      <c r="E252" s="37">
        <f t="shared" si="18"/>
        <v>0</v>
      </c>
      <c r="F252" s="470" t="s">
        <v>494</v>
      </c>
      <c r="G252" s="37">
        <f t="shared" si="19"/>
        <v>0</v>
      </c>
      <c r="H252" s="37" t="s">
        <v>494</v>
      </c>
      <c r="I252" s="37">
        <f t="shared" si="20"/>
        <v>0</v>
      </c>
      <c r="J252" s="37" t="s">
        <v>347</v>
      </c>
      <c r="K252" s="37">
        <f t="shared" si="21"/>
        <v>0</v>
      </c>
      <c r="L252" s="37" t="s">
        <v>494</v>
      </c>
      <c r="M252" s="37">
        <f t="shared" si="22"/>
        <v>0</v>
      </c>
      <c r="N252" s="470" t="s">
        <v>347</v>
      </c>
      <c r="O252" s="470">
        <f t="shared" si="23"/>
        <v>0</v>
      </c>
      <c r="P252" s="37" t="str">
        <f t="shared" si="24"/>
        <v>None</v>
      </c>
      <c r="Q252" s="470" t="s">
        <v>347</v>
      </c>
      <c r="R252" s="37">
        <f t="shared" si="25"/>
        <v>0</v>
      </c>
      <c r="S252" s="470" t="s">
        <v>347</v>
      </c>
      <c r="T252" s="470">
        <f t="shared" si="26"/>
        <v>0</v>
      </c>
      <c r="U252" s="470" t="s">
        <v>347</v>
      </c>
      <c r="V252" s="111">
        <f>IF(OR(F252="none",G252="V"),0,VLOOKUP(F252,'Purchased Boons'!$AR$4:$AS$27,2,FALSE))</f>
        <v>0</v>
      </c>
      <c r="W252" s="39" t="s">
        <v>1764</v>
      </c>
      <c r="X252" s="37" t="s">
        <v>1764</v>
      </c>
      <c r="Y252" s="37" t="s">
        <v>133</v>
      </c>
      <c r="Z252" s="111">
        <v>149</v>
      </c>
      <c r="AG252" s="24"/>
      <c r="AH252" s="24"/>
    </row>
    <row r="253" spans="1:34" x14ac:dyDescent="0.25">
      <c r="A253" s="39" t="s">
        <v>2440</v>
      </c>
      <c r="B253" s="36" t="s">
        <v>87</v>
      </c>
      <c r="C253" s="469">
        <v>3</v>
      </c>
      <c r="D253" s="470" t="s">
        <v>494</v>
      </c>
      <c r="E253" s="37">
        <f t="shared" si="18"/>
        <v>0</v>
      </c>
      <c r="F253" s="470" t="s">
        <v>494</v>
      </c>
      <c r="G253" s="37">
        <f t="shared" si="19"/>
        <v>0</v>
      </c>
      <c r="H253" s="37" t="s">
        <v>494</v>
      </c>
      <c r="I253" s="37">
        <f t="shared" si="20"/>
        <v>0</v>
      </c>
      <c r="J253" s="37" t="s">
        <v>347</v>
      </c>
      <c r="K253" s="37">
        <f t="shared" si="21"/>
        <v>0</v>
      </c>
      <c r="L253" s="37" t="s">
        <v>494</v>
      </c>
      <c r="M253" s="37">
        <f t="shared" si="22"/>
        <v>0</v>
      </c>
      <c r="N253" s="470" t="s">
        <v>347</v>
      </c>
      <c r="O253" s="470">
        <f t="shared" si="23"/>
        <v>0</v>
      </c>
      <c r="P253" s="37" t="str">
        <f t="shared" si="24"/>
        <v>None</v>
      </c>
      <c r="Q253" s="470" t="s">
        <v>347</v>
      </c>
      <c r="R253" s="37">
        <f t="shared" si="25"/>
        <v>0</v>
      </c>
      <c r="S253" s="470" t="s">
        <v>347</v>
      </c>
      <c r="T253" s="470">
        <f t="shared" si="26"/>
        <v>0</v>
      </c>
      <c r="U253" s="470" t="s">
        <v>347</v>
      </c>
      <c r="V253" s="111">
        <f>IF(OR(F253="none",G253="V"),0,VLOOKUP(F253,'Purchased Boons'!$AR$4:$AS$27,2,FALSE))</f>
        <v>0</v>
      </c>
      <c r="W253" s="39" t="s">
        <v>1764</v>
      </c>
      <c r="X253" s="37" t="s">
        <v>1764</v>
      </c>
      <c r="Y253" s="37" t="s">
        <v>133</v>
      </c>
      <c r="Z253" s="111">
        <v>149</v>
      </c>
      <c r="AG253" s="24"/>
      <c r="AH253" s="24"/>
    </row>
    <row r="254" spans="1:34" x14ac:dyDescent="0.25">
      <c r="A254" s="39" t="s">
        <v>2600</v>
      </c>
      <c r="B254" s="36" t="s">
        <v>87</v>
      </c>
      <c r="C254" s="469">
        <v>3</v>
      </c>
      <c r="D254" s="470" t="s">
        <v>494</v>
      </c>
      <c r="E254" s="37">
        <f t="shared" si="18"/>
        <v>0</v>
      </c>
      <c r="F254" s="470" t="s">
        <v>494</v>
      </c>
      <c r="G254" s="37">
        <f t="shared" si="19"/>
        <v>0</v>
      </c>
      <c r="H254" s="37" t="s">
        <v>494</v>
      </c>
      <c r="I254" s="37">
        <f t="shared" si="20"/>
        <v>0</v>
      </c>
      <c r="J254" s="37" t="s">
        <v>347</v>
      </c>
      <c r="K254" s="37">
        <f t="shared" si="21"/>
        <v>0</v>
      </c>
      <c r="L254" s="37" t="s">
        <v>494</v>
      </c>
      <c r="M254" s="37">
        <f t="shared" si="22"/>
        <v>0</v>
      </c>
      <c r="N254" s="470" t="s">
        <v>347</v>
      </c>
      <c r="O254" s="470">
        <f t="shared" si="23"/>
        <v>0</v>
      </c>
      <c r="P254" s="37" t="str">
        <f t="shared" si="24"/>
        <v>None</v>
      </c>
      <c r="Q254" s="470" t="s">
        <v>347</v>
      </c>
      <c r="R254" s="37">
        <f t="shared" si="25"/>
        <v>0</v>
      </c>
      <c r="S254" s="470" t="s">
        <v>347</v>
      </c>
      <c r="T254" s="470">
        <f t="shared" si="26"/>
        <v>0</v>
      </c>
      <c r="U254" s="470" t="s">
        <v>347</v>
      </c>
      <c r="V254" s="111">
        <f>IF(OR(F254="none",G254="V"),0,VLOOKUP(F254,'Purchased Boons'!$AR$4:$AS$27,2,FALSE))</f>
        <v>0</v>
      </c>
      <c r="W254" s="39" t="s">
        <v>1764</v>
      </c>
      <c r="X254" s="37" t="s">
        <v>1764</v>
      </c>
      <c r="Y254" s="37" t="s">
        <v>133</v>
      </c>
      <c r="Z254" s="111">
        <v>149</v>
      </c>
      <c r="AG254" s="24"/>
      <c r="AH254" s="24"/>
    </row>
    <row r="255" spans="1:34" x14ac:dyDescent="0.25">
      <c r="A255" s="39" t="s">
        <v>2610</v>
      </c>
      <c r="B255" s="36" t="s">
        <v>87</v>
      </c>
      <c r="C255" s="469">
        <v>3</v>
      </c>
      <c r="D255" s="470" t="s">
        <v>494</v>
      </c>
      <c r="E255" s="37">
        <f t="shared" si="18"/>
        <v>0</v>
      </c>
      <c r="F255" s="470" t="s">
        <v>494</v>
      </c>
      <c r="G255" s="37">
        <f t="shared" si="19"/>
        <v>0</v>
      </c>
      <c r="H255" s="37" t="s">
        <v>494</v>
      </c>
      <c r="I255" s="37">
        <f t="shared" si="20"/>
        <v>0</v>
      </c>
      <c r="J255" s="37" t="s">
        <v>347</v>
      </c>
      <c r="K255" s="37">
        <f t="shared" si="21"/>
        <v>0</v>
      </c>
      <c r="L255" s="37" t="s">
        <v>494</v>
      </c>
      <c r="M255" s="37">
        <f t="shared" si="22"/>
        <v>0</v>
      </c>
      <c r="N255" s="470" t="s">
        <v>347</v>
      </c>
      <c r="O255" s="470">
        <f t="shared" si="23"/>
        <v>0</v>
      </c>
      <c r="P255" s="37" t="str">
        <f t="shared" si="24"/>
        <v>None</v>
      </c>
      <c r="Q255" s="470" t="s">
        <v>347</v>
      </c>
      <c r="R255" s="37">
        <f t="shared" si="25"/>
        <v>0</v>
      </c>
      <c r="S255" s="470" t="s">
        <v>347</v>
      </c>
      <c r="T255" s="470">
        <f t="shared" si="26"/>
        <v>0</v>
      </c>
      <c r="U255" s="470" t="s">
        <v>347</v>
      </c>
      <c r="V255" s="111">
        <f>IF(OR(F255="none",G255="V"),0,VLOOKUP(F255,'Purchased Boons'!$AR$4:$AS$27,2,FALSE))</f>
        <v>0</v>
      </c>
      <c r="W255" s="39" t="s">
        <v>1764</v>
      </c>
      <c r="X255" s="37" t="s">
        <v>1764</v>
      </c>
      <c r="Y255" s="37" t="s">
        <v>133</v>
      </c>
      <c r="Z255" s="111">
        <v>149</v>
      </c>
      <c r="AG255" s="24"/>
      <c r="AH255" s="24"/>
    </row>
    <row r="256" spans="1:34" x14ac:dyDescent="0.25">
      <c r="A256" s="39" t="s">
        <v>2450</v>
      </c>
      <c r="B256" s="36" t="s">
        <v>87</v>
      </c>
      <c r="C256" s="469">
        <v>3</v>
      </c>
      <c r="D256" s="470" t="s">
        <v>494</v>
      </c>
      <c r="E256" s="37">
        <f t="shared" si="18"/>
        <v>0</v>
      </c>
      <c r="F256" s="470" t="s">
        <v>494</v>
      </c>
      <c r="G256" s="37">
        <f t="shared" si="19"/>
        <v>0</v>
      </c>
      <c r="H256" s="37" t="s">
        <v>494</v>
      </c>
      <c r="I256" s="37">
        <f t="shared" si="20"/>
        <v>0</v>
      </c>
      <c r="J256" s="37" t="s">
        <v>347</v>
      </c>
      <c r="K256" s="37">
        <f t="shared" si="21"/>
        <v>0</v>
      </c>
      <c r="L256" s="37" t="s">
        <v>494</v>
      </c>
      <c r="M256" s="37">
        <f t="shared" si="22"/>
        <v>0</v>
      </c>
      <c r="N256" s="470" t="s">
        <v>347</v>
      </c>
      <c r="O256" s="470">
        <f t="shared" si="23"/>
        <v>0</v>
      </c>
      <c r="P256" s="37" t="str">
        <f t="shared" si="24"/>
        <v>None</v>
      </c>
      <c r="Q256" s="470" t="s">
        <v>347</v>
      </c>
      <c r="R256" s="37">
        <f t="shared" si="25"/>
        <v>0</v>
      </c>
      <c r="S256" s="470" t="s">
        <v>347</v>
      </c>
      <c r="T256" s="470">
        <f t="shared" si="26"/>
        <v>0</v>
      </c>
      <c r="U256" s="470" t="s">
        <v>347</v>
      </c>
      <c r="V256" s="111">
        <f>IF(OR(F256="none",G256="V"),0,VLOOKUP(F256,'Purchased Boons'!$AR$4:$AS$27,2,FALSE))</f>
        <v>0</v>
      </c>
      <c r="W256" s="39" t="s">
        <v>1764</v>
      </c>
      <c r="X256" s="37" t="s">
        <v>1764</v>
      </c>
      <c r="Y256" s="37" t="s">
        <v>133</v>
      </c>
      <c r="Z256" s="111">
        <v>149</v>
      </c>
      <c r="AG256" s="24"/>
      <c r="AH256" s="24"/>
    </row>
    <row r="257" spans="1:34" x14ac:dyDescent="0.25">
      <c r="A257" s="39" t="s">
        <v>2460</v>
      </c>
      <c r="B257" s="36" t="s">
        <v>87</v>
      </c>
      <c r="C257" s="469">
        <v>3</v>
      </c>
      <c r="D257" s="470" t="s">
        <v>494</v>
      </c>
      <c r="E257" s="37">
        <f t="shared" si="18"/>
        <v>0</v>
      </c>
      <c r="F257" s="470" t="s">
        <v>494</v>
      </c>
      <c r="G257" s="37">
        <f t="shared" si="19"/>
        <v>0</v>
      </c>
      <c r="H257" s="37" t="s">
        <v>494</v>
      </c>
      <c r="I257" s="37">
        <f t="shared" si="20"/>
        <v>0</v>
      </c>
      <c r="J257" s="37" t="s">
        <v>347</v>
      </c>
      <c r="K257" s="37">
        <f t="shared" si="21"/>
        <v>0</v>
      </c>
      <c r="L257" s="37" t="s">
        <v>494</v>
      </c>
      <c r="M257" s="37">
        <f t="shared" si="22"/>
        <v>0</v>
      </c>
      <c r="N257" s="470" t="s">
        <v>347</v>
      </c>
      <c r="O257" s="470">
        <f t="shared" si="23"/>
        <v>0</v>
      </c>
      <c r="P257" s="37" t="str">
        <f t="shared" si="24"/>
        <v>None</v>
      </c>
      <c r="Q257" s="470" t="s">
        <v>347</v>
      </c>
      <c r="R257" s="37">
        <f t="shared" si="25"/>
        <v>0</v>
      </c>
      <c r="S257" s="470" t="s">
        <v>347</v>
      </c>
      <c r="T257" s="470">
        <f t="shared" si="26"/>
        <v>0</v>
      </c>
      <c r="U257" s="470" t="s">
        <v>347</v>
      </c>
      <c r="V257" s="111">
        <f>IF(OR(F257="none",G257="V"),0,VLOOKUP(F257,'Purchased Boons'!$AR$4:$AS$27,2,FALSE))</f>
        <v>0</v>
      </c>
      <c r="W257" s="39" t="s">
        <v>1764</v>
      </c>
      <c r="X257" s="37" t="s">
        <v>1764</v>
      </c>
      <c r="Y257" s="37" t="s">
        <v>133</v>
      </c>
      <c r="Z257" s="111">
        <v>149</v>
      </c>
      <c r="AG257" s="24"/>
      <c r="AH257" s="24"/>
    </row>
    <row r="258" spans="1:34" x14ac:dyDescent="0.25">
      <c r="A258" s="39" t="s">
        <v>2470</v>
      </c>
      <c r="B258" s="36" t="s">
        <v>87</v>
      </c>
      <c r="C258" s="469">
        <v>3</v>
      </c>
      <c r="D258" s="470" t="s">
        <v>494</v>
      </c>
      <c r="E258" s="37">
        <f t="shared" si="18"/>
        <v>0</v>
      </c>
      <c r="F258" s="470" t="s">
        <v>494</v>
      </c>
      <c r="G258" s="37">
        <f t="shared" si="19"/>
        <v>0</v>
      </c>
      <c r="H258" s="37" t="s">
        <v>494</v>
      </c>
      <c r="I258" s="37">
        <f t="shared" si="20"/>
        <v>0</v>
      </c>
      <c r="J258" s="37" t="s">
        <v>347</v>
      </c>
      <c r="K258" s="37">
        <f t="shared" si="21"/>
        <v>0</v>
      </c>
      <c r="L258" s="37" t="s">
        <v>494</v>
      </c>
      <c r="M258" s="37">
        <f t="shared" si="22"/>
        <v>0</v>
      </c>
      <c r="N258" s="470" t="s">
        <v>347</v>
      </c>
      <c r="O258" s="470">
        <f t="shared" si="23"/>
        <v>0</v>
      </c>
      <c r="P258" s="37" t="str">
        <f t="shared" si="24"/>
        <v>None</v>
      </c>
      <c r="Q258" s="470" t="s">
        <v>347</v>
      </c>
      <c r="R258" s="37">
        <f t="shared" si="25"/>
        <v>0</v>
      </c>
      <c r="S258" s="470" t="s">
        <v>347</v>
      </c>
      <c r="T258" s="470">
        <f t="shared" si="26"/>
        <v>0</v>
      </c>
      <c r="U258" s="470" t="s">
        <v>347</v>
      </c>
      <c r="V258" s="111">
        <f>IF(OR(F258="none",G258="V"),0,VLOOKUP(F258,'Purchased Boons'!$AR$4:$AS$27,2,FALSE))</f>
        <v>0</v>
      </c>
      <c r="W258" s="39" t="s">
        <v>1764</v>
      </c>
      <c r="X258" s="37" t="s">
        <v>1764</v>
      </c>
      <c r="Y258" s="37" t="s">
        <v>133</v>
      </c>
      <c r="Z258" s="111">
        <v>149</v>
      </c>
      <c r="AG258" s="24"/>
      <c r="AH258" s="24"/>
    </row>
    <row r="259" spans="1:34" x14ac:dyDescent="0.25">
      <c r="A259" s="39" t="s">
        <v>2480</v>
      </c>
      <c r="B259" s="36" t="s">
        <v>87</v>
      </c>
      <c r="C259" s="469">
        <v>3</v>
      </c>
      <c r="D259" s="470" t="s">
        <v>494</v>
      </c>
      <c r="E259" s="37">
        <f t="shared" si="18"/>
        <v>0</v>
      </c>
      <c r="F259" s="470" t="s">
        <v>494</v>
      </c>
      <c r="G259" s="37">
        <f t="shared" si="19"/>
        <v>0</v>
      </c>
      <c r="H259" s="37" t="s">
        <v>494</v>
      </c>
      <c r="I259" s="37">
        <f t="shared" si="20"/>
        <v>0</v>
      </c>
      <c r="J259" s="37" t="s">
        <v>347</v>
      </c>
      <c r="K259" s="37">
        <f t="shared" si="21"/>
        <v>0</v>
      </c>
      <c r="L259" s="37" t="s">
        <v>494</v>
      </c>
      <c r="M259" s="37">
        <f t="shared" si="22"/>
        <v>0</v>
      </c>
      <c r="N259" s="470" t="s">
        <v>347</v>
      </c>
      <c r="O259" s="470">
        <f t="shared" si="23"/>
        <v>0</v>
      </c>
      <c r="P259" s="37" t="str">
        <f t="shared" si="24"/>
        <v>None</v>
      </c>
      <c r="Q259" s="470" t="s">
        <v>347</v>
      </c>
      <c r="R259" s="37">
        <f t="shared" si="25"/>
        <v>0</v>
      </c>
      <c r="S259" s="470" t="s">
        <v>347</v>
      </c>
      <c r="T259" s="470">
        <f t="shared" si="26"/>
        <v>0</v>
      </c>
      <c r="U259" s="470" t="s">
        <v>347</v>
      </c>
      <c r="V259" s="111">
        <f>IF(OR(F259="none",G259="V"),0,VLOOKUP(F259,'Purchased Boons'!$AR$4:$AS$27,2,FALSE))</f>
        <v>0</v>
      </c>
      <c r="W259" s="39" t="s">
        <v>1764</v>
      </c>
      <c r="X259" s="37" t="s">
        <v>1764</v>
      </c>
      <c r="Y259" s="37" t="s">
        <v>133</v>
      </c>
      <c r="Z259" s="111">
        <v>149</v>
      </c>
      <c r="AG259" s="24"/>
      <c r="AH259" s="24"/>
    </row>
    <row r="260" spans="1:34" x14ac:dyDescent="0.25">
      <c r="A260" s="39" t="s">
        <v>2490</v>
      </c>
      <c r="B260" s="36" t="s">
        <v>87</v>
      </c>
      <c r="C260" s="469">
        <v>3</v>
      </c>
      <c r="D260" s="470" t="s">
        <v>494</v>
      </c>
      <c r="E260" s="37">
        <f t="shared" si="18"/>
        <v>0</v>
      </c>
      <c r="F260" s="470" t="s">
        <v>494</v>
      </c>
      <c r="G260" s="37">
        <f t="shared" si="19"/>
        <v>0</v>
      </c>
      <c r="H260" s="37" t="s">
        <v>494</v>
      </c>
      <c r="I260" s="37">
        <f t="shared" si="20"/>
        <v>0</v>
      </c>
      <c r="J260" s="37" t="s">
        <v>347</v>
      </c>
      <c r="K260" s="37">
        <f t="shared" si="21"/>
        <v>0</v>
      </c>
      <c r="L260" s="37" t="s">
        <v>494</v>
      </c>
      <c r="M260" s="37">
        <f t="shared" si="22"/>
        <v>0</v>
      </c>
      <c r="N260" s="470" t="s">
        <v>347</v>
      </c>
      <c r="O260" s="470">
        <f t="shared" si="23"/>
        <v>0</v>
      </c>
      <c r="P260" s="37" t="str">
        <f t="shared" si="24"/>
        <v>None</v>
      </c>
      <c r="Q260" s="470" t="s">
        <v>347</v>
      </c>
      <c r="R260" s="37">
        <f t="shared" si="25"/>
        <v>0</v>
      </c>
      <c r="S260" s="470" t="s">
        <v>347</v>
      </c>
      <c r="T260" s="470">
        <f t="shared" si="26"/>
        <v>0</v>
      </c>
      <c r="U260" s="470" t="s">
        <v>347</v>
      </c>
      <c r="V260" s="111">
        <f>IF(OR(F260="none",G260="V"),0,VLOOKUP(F260,'Purchased Boons'!$AR$4:$AS$27,2,FALSE))</f>
        <v>0</v>
      </c>
      <c r="W260" s="39" t="s">
        <v>1764</v>
      </c>
      <c r="X260" s="37" t="s">
        <v>1764</v>
      </c>
      <c r="Y260" s="37" t="s">
        <v>133</v>
      </c>
      <c r="Z260" s="111">
        <v>149</v>
      </c>
      <c r="AG260" s="24"/>
      <c r="AH260" s="24"/>
    </row>
    <row r="261" spans="1:34" x14ac:dyDescent="0.25">
      <c r="A261" s="39" t="s">
        <v>2500</v>
      </c>
      <c r="B261" s="36" t="s">
        <v>87</v>
      </c>
      <c r="C261" s="469">
        <v>3</v>
      </c>
      <c r="D261" s="470" t="s">
        <v>494</v>
      </c>
      <c r="E261" s="37">
        <f t="shared" si="18"/>
        <v>0</v>
      </c>
      <c r="F261" s="470" t="s">
        <v>494</v>
      </c>
      <c r="G261" s="37">
        <f t="shared" si="19"/>
        <v>0</v>
      </c>
      <c r="H261" s="37" t="s">
        <v>494</v>
      </c>
      <c r="I261" s="37">
        <f t="shared" si="20"/>
        <v>0</v>
      </c>
      <c r="J261" s="37" t="s">
        <v>347</v>
      </c>
      <c r="K261" s="37">
        <f t="shared" si="21"/>
        <v>0</v>
      </c>
      <c r="L261" s="37" t="s">
        <v>494</v>
      </c>
      <c r="M261" s="37">
        <f t="shared" si="22"/>
        <v>0</v>
      </c>
      <c r="N261" s="470" t="s">
        <v>347</v>
      </c>
      <c r="O261" s="470">
        <f t="shared" si="23"/>
        <v>0</v>
      </c>
      <c r="P261" s="37" t="str">
        <f t="shared" si="24"/>
        <v>None</v>
      </c>
      <c r="Q261" s="470" t="s">
        <v>347</v>
      </c>
      <c r="R261" s="37">
        <f t="shared" si="25"/>
        <v>0</v>
      </c>
      <c r="S261" s="470" t="s">
        <v>347</v>
      </c>
      <c r="T261" s="470">
        <f t="shared" si="26"/>
        <v>0</v>
      </c>
      <c r="U261" s="470" t="s">
        <v>347</v>
      </c>
      <c r="V261" s="111">
        <f>IF(OR(F261="none",G261="V"),0,VLOOKUP(F261,'Purchased Boons'!$AR$4:$AS$27,2,FALSE))</f>
        <v>0</v>
      </c>
      <c r="W261" s="39" t="s">
        <v>1764</v>
      </c>
      <c r="X261" s="37" t="s">
        <v>1764</v>
      </c>
      <c r="Y261" s="37" t="s">
        <v>133</v>
      </c>
      <c r="Z261" s="111">
        <v>149</v>
      </c>
      <c r="AG261" s="24"/>
      <c r="AH261" s="24"/>
    </row>
    <row r="262" spans="1:34" x14ac:dyDescent="0.25">
      <c r="A262" s="39" t="s">
        <v>2510</v>
      </c>
      <c r="B262" s="36" t="s">
        <v>87</v>
      </c>
      <c r="C262" s="469">
        <v>3</v>
      </c>
      <c r="D262" s="470" t="s">
        <v>494</v>
      </c>
      <c r="E262" s="37">
        <f t="shared" si="18"/>
        <v>0</v>
      </c>
      <c r="F262" s="470" t="s">
        <v>494</v>
      </c>
      <c r="G262" s="37">
        <f t="shared" si="19"/>
        <v>0</v>
      </c>
      <c r="H262" s="37" t="s">
        <v>494</v>
      </c>
      <c r="I262" s="37">
        <f t="shared" si="20"/>
        <v>0</v>
      </c>
      <c r="J262" s="37" t="s">
        <v>347</v>
      </c>
      <c r="K262" s="37">
        <f t="shared" si="21"/>
        <v>0</v>
      </c>
      <c r="L262" s="37" t="s">
        <v>494</v>
      </c>
      <c r="M262" s="37">
        <f t="shared" si="22"/>
        <v>0</v>
      </c>
      <c r="N262" s="470" t="s">
        <v>347</v>
      </c>
      <c r="O262" s="470">
        <f t="shared" si="23"/>
        <v>0</v>
      </c>
      <c r="P262" s="37" t="str">
        <f t="shared" si="24"/>
        <v>None</v>
      </c>
      <c r="Q262" s="470" t="s">
        <v>347</v>
      </c>
      <c r="R262" s="37">
        <f t="shared" si="25"/>
        <v>0</v>
      </c>
      <c r="S262" s="470" t="s">
        <v>347</v>
      </c>
      <c r="T262" s="470">
        <f t="shared" si="26"/>
        <v>0</v>
      </c>
      <c r="U262" s="470" t="s">
        <v>347</v>
      </c>
      <c r="V262" s="111">
        <f>IF(OR(F262="none",G262="V"),0,VLOOKUP(F262,'Purchased Boons'!$AR$4:$AS$27,2,FALSE))</f>
        <v>0</v>
      </c>
      <c r="W262" s="39" t="s">
        <v>1764</v>
      </c>
      <c r="X262" s="37" t="s">
        <v>1764</v>
      </c>
      <c r="Y262" s="37" t="s">
        <v>133</v>
      </c>
      <c r="Z262" s="111">
        <v>149</v>
      </c>
      <c r="AG262" s="24"/>
      <c r="AH262" s="24"/>
    </row>
    <row r="263" spans="1:34" x14ac:dyDescent="0.25">
      <c r="A263" s="39" t="s">
        <v>2520</v>
      </c>
      <c r="B263" s="36" t="s">
        <v>87</v>
      </c>
      <c r="C263" s="469">
        <v>3</v>
      </c>
      <c r="D263" s="470" t="s">
        <v>494</v>
      </c>
      <c r="E263" s="37">
        <f t="shared" si="18"/>
        <v>0</v>
      </c>
      <c r="F263" s="470" t="s">
        <v>494</v>
      </c>
      <c r="G263" s="37">
        <f t="shared" si="19"/>
        <v>0</v>
      </c>
      <c r="H263" s="37" t="s">
        <v>494</v>
      </c>
      <c r="I263" s="37">
        <f t="shared" si="20"/>
        <v>0</v>
      </c>
      <c r="J263" s="37" t="s">
        <v>347</v>
      </c>
      <c r="K263" s="37">
        <f t="shared" si="21"/>
        <v>0</v>
      </c>
      <c r="L263" s="37" t="s">
        <v>494</v>
      </c>
      <c r="M263" s="37">
        <f t="shared" si="22"/>
        <v>0</v>
      </c>
      <c r="N263" s="470" t="s">
        <v>347</v>
      </c>
      <c r="O263" s="470">
        <f t="shared" si="23"/>
        <v>0</v>
      </c>
      <c r="P263" s="37" t="str">
        <f t="shared" si="24"/>
        <v>None</v>
      </c>
      <c r="Q263" s="470" t="s">
        <v>347</v>
      </c>
      <c r="R263" s="37">
        <f t="shared" si="25"/>
        <v>0</v>
      </c>
      <c r="S263" s="470" t="s">
        <v>347</v>
      </c>
      <c r="T263" s="470">
        <f t="shared" si="26"/>
        <v>0</v>
      </c>
      <c r="U263" s="470" t="s">
        <v>347</v>
      </c>
      <c r="V263" s="111">
        <f>IF(OR(F263="none",G263="V"),0,VLOOKUP(F263,'Purchased Boons'!$AR$4:$AS$27,2,FALSE))</f>
        <v>0</v>
      </c>
      <c r="W263" s="39" t="s">
        <v>1764</v>
      </c>
      <c r="X263" s="37" t="s">
        <v>1764</v>
      </c>
      <c r="Y263" s="37" t="s">
        <v>133</v>
      </c>
      <c r="Z263" s="111">
        <v>149</v>
      </c>
      <c r="AG263" s="24"/>
      <c r="AH263" s="24"/>
    </row>
    <row r="264" spans="1:34" x14ac:dyDescent="0.25">
      <c r="A264" s="39" t="s">
        <v>2530</v>
      </c>
      <c r="B264" s="36" t="s">
        <v>87</v>
      </c>
      <c r="C264" s="469">
        <v>3</v>
      </c>
      <c r="D264" s="470" t="s">
        <v>494</v>
      </c>
      <c r="E264" s="37">
        <f t="shared" si="18"/>
        <v>0</v>
      </c>
      <c r="F264" s="470" t="s">
        <v>494</v>
      </c>
      <c r="G264" s="37">
        <f t="shared" si="19"/>
        <v>0</v>
      </c>
      <c r="H264" s="37" t="s">
        <v>494</v>
      </c>
      <c r="I264" s="37">
        <f t="shared" si="20"/>
        <v>0</v>
      </c>
      <c r="J264" s="37" t="s">
        <v>347</v>
      </c>
      <c r="K264" s="37">
        <f t="shared" si="21"/>
        <v>0</v>
      </c>
      <c r="L264" s="37" t="s">
        <v>494</v>
      </c>
      <c r="M264" s="37">
        <f t="shared" si="22"/>
        <v>0</v>
      </c>
      <c r="N264" s="470" t="s">
        <v>347</v>
      </c>
      <c r="O264" s="470">
        <f t="shared" si="23"/>
        <v>0</v>
      </c>
      <c r="P264" s="37" t="str">
        <f t="shared" si="24"/>
        <v>None</v>
      </c>
      <c r="Q264" s="470" t="s">
        <v>347</v>
      </c>
      <c r="R264" s="37">
        <f t="shared" si="25"/>
        <v>0</v>
      </c>
      <c r="S264" s="470" t="s">
        <v>347</v>
      </c>
      <c r="T264" s="470">
        <f t="shared" si="26"/>
        <v>0</v>
      </c>
      <c r="U264" s="470" t="s">
        <v>347</v>
      </c>
      <c r="V264" s="111">
        <f>IF(OR(F264="none",G264="V"),0,VLOOKUP(F264,'Purchased Boons'!$AR$4:$AS$27,2,FALSE))</f>
        <v>0</v>
      </c>
      <c r="W264" s="39" t="s">
        <v>1764</v>
      </c>
      <c r="X264" s="37" t="s">
        <v>1764</v>
      </c>
      <c r="Y264" s="37" t="s">
        <v>133</v>
      </c>
      <c r="Z264" s="111">
        <v>149</v>
      </c>
      <c r="AG264" s="24"/>
      <c r="AH264" s="24"/>
    </row>
    <row r="265" spans="1:34" x14ac:dyDescent="0.25">
      <c r="A265" s="39" t="s">
        <v>2540</v>
      </c>
      <c r="B265" s="36" t="s">
        <v>87</v>
      </c>
      <c r="C265" s="469">
        <v>3</v>
      </c>
      <c r="D265" s="470" t="s">
        <v>494</v>
      </c>
      <c r="E265" s="37">
        <f t="shared" si="18"/>
        <v>0</v>
      </c>
      <c r="F265" s="470" t="s">
        <v>494</v>
      </c>
      <c r="G265" s="37">
        <f t="shared" si="19"/>
        <v>0</v>
      </c>
      <c r="H265" s="37" t="s">
        <v>494</v>
      </c>
      <c r="I265" s="37">
        <f t="shared" si="20"/>
        <v>0</v>
      </c>
      <c r="J265" s="37" t="s">
        <v>347</v>
      </c>
      <c r="K265" s="37">
        <f t="shared" si="21"/>
        <v>0</v>
      </c>
      <c r="L265" s="37" t="s">
        <v>494</v>
      </c>
      <c r="M265" s="37">
        <f t="shared" si="22"/>
        <v>0</v>
      </c>
      <c r="N265" s="470" t="s">
        <v>347</v>
      </c>
      <c r="O265" s="470">
        <f t="shared" si="23"/>
        <v>0</v>
      </c>
      <c r="P265" s="37" t="str">
        <f t="shared" si="24"/>
        <v>None</v>
      </c>
      <c r="Q265" s="470" t="s">
        <v>347</v>
      </c>
      <c r="R265" s="37">
        <f t="shared" si="25"/>
        <v>0</v>
      </c>
      <c r="S265" s="470" t="s">
        <v>347</v>
      </c>
      <c r="T265" s="470">
        <f t="shared" si="26"/>
        <v>0</v>
      </c>
      <c r="U265" s="470" t="s">
        <v>347</v>
      </c>
      <c r="V265" s="111">
        <f>IF(OR(F265="none",G265="V"),0,VLOOKUP(F265,'Purchased Boons'!$AR$4:$AS$27,2,FALSE))</f>
        <v>0</v>
      </c>
      <c r="W265" s="39" t="s">
        <v>1764</v>
      </c>
      <c r="X265" s="37" t="s">
        <v>1764</v>
      </c>
      <c r="Y265" s="37" t="s">
        <v>133</v>
      </c>
      <c r="Z265" s="111">
        <v>149</v>
      </c>
      <c r="AG265" s="24"/>
      <c r="AH265" s="24"/>
    </row>
    <row r="266" spans="1:34" x14ac:dyDescent="0.25">
      <c r="A266" s="39" t="s">
        <v>2550</v>
      </c>
      <c r="B266" s="36" t="s">
        <v>87</v>
      </c>
      <c r="C266" s="469">
        <v>3</v>
      </c>
      <c r="D266" s="470" t="s">
        <v>494</v>
      </c>
      <c r="E266" s="37">
        <f t="shared" si="18"/>
        <v>0</v>
      </c>
      <c r="F266" s="470" t="s">
        <v>494</v>
      </c>
      <c r="G266" s="37">
        <f t="shared" si="19"/>
        <v>0</v>
      </c>
      <c r="H266" s="37" t="s">
        <v>494</v>
      </c>
      <c r="I266" s="37">
        <f t="shared" si="20"/>
        <v>0</v>
      </c>
      <c r="J266" s="37" t="s">
        <v>347</v>
      </c>
      <c r="K266" s="37">
        <f t="shared" si="21"/>
        <v>0</v>
      </c>
      <c r="L266" s="37" t="s">
        <v>494</v>
      </c>
      <c r="M266" s="37">
        <f t="shared" si="22"/>
        <v>0</v>
      </c>
      <c r="N266" s="470" t="s">
        <v>347</v>
      </c>
      <c r="O266" s="470">
        <f t="shared" si="23"/>
        <v>0</v>
      </c>
      <c r="P266" s="37" t="str">
        <f t="shared" si="24"/>
        <v>None</v>
      </c>
      <c r="Q266" s="470" t="s">
        <v>347</v>
      </c>
      <c r="R266" s="37">
        <f t="shared" si="25"/>
        <v>0</v>
      </c>
      <c r="S266" s="470" t="s">
        <v>347</v>
      </c>
      <c r="T266" s="470">
        <f t="shared" si="26"/>
        <v>0</v>
      </c>
      <c r="U266" s="470" t="s">
        <v>347</v>
      </c>
      <c r="V266" s="111">
        <f>IF(OR(F266="none",G266="V"),0,VLOOKUP(F266,'Purchased Boons'!$AR$4:$AS$27,2,FALSE))</f>
        <v>0</v>
      </c>
      <c r="W266" s="39" t="s">
        <v>1764</v>
      </c>
      <c r="X266" s="37" t="s">
        <v>1764</v>
      </c>
      <c r="Y266" s="37" t="s">
        <v>133</v>
      </c>
      <c r="Z266" s="111">
        <v>149</v>
      </c>
      <c r="AG266" s="24"/>
      <c r="AH266" s="24"/>
    </row>
    <row r="267" spans="1:34" x14ac:dyDescent="0.25">
      <c r="A267" s="39" t="s">
        <v>2620</v>
      </c>
      <c r="B267" s="36" t="s">
        <v>87</v>
      </c>
      <c r="C267" s="469">
        <v>3</v>
      </c>
      <c r="D267" s="470" t="s">
        <v>494</v>
      </c>
      <c r="E267" s="37">
        <f t="shared" si="18"/>
        <v>0</v>
      </c>
      <c r="F267" s="470" t="s">
        <v>494</v>
      </c>
      <c r="G267" s="37">
        <f t="shared" si="19"/>
        <v>0</v>
      </c>
      <c r="H267" s="37" t="s">
        <v>494</v>
      </c>
      <c r="I267" s="37">
        <f t="shared" si="20"/>
        <v>0</v>
      </c>
      <c r="J267" s="37" t="s">
        <v>347</v>
      </c>
      <c r="K267" s="37">
        <f t="shared" si="21"/>
        <v>0</v>
      </c>
      <c r="L267" s="37" t="s">
        <v>494</v>
      </c>
      <c r="M267" s="37">
        <f t="shared" si="22"/>
        <v>0</v>
      </c>
      <c r="N267" s="470" t="s">
        <v>347</v>
      </c>
      <c r="O267" s="470">
        <f t="shared" si="23"/>
        <v>0</v>
      </c>
      <c r="P267" s="37" t="str">
        <f t="shared" si="24"/>
        <v>None</v>
      </c>
      <c r="Q267" s="470" t="s">
        <v>347</v>
      </c>
      <c r="R267" s="37">
        <f t="shared" si="25"/>
        <v>0</v>
      </c>
      <c r="S267" s="470" t="s">
        <v>347</v>
      </c>
      <c r="T267" s="470">
        <f t="shared" si="26"/>
        <v>0</v>
      </c>
      <c r="U267" s="470" t="s">
        <v>347</v>
      </c>
      <c r="V267" s="111">
        <f>IF(OR(F267="none",G267="V"),0,VLOOKUP(F267,'Purchased Boons'!$AR$4:$AS$27,2,FALSE))</f>
        <v>0</v>
      </c>
      <c r="W267" s="39" t="s">
        <v>1764</v>
      </c>
      <c r="X267" s="37" t="s">
        <v>1764</v>
      </c>
      <c r="Y267" s="37" t="s">
        <v>133</v>
      </c>
      <c r="Z267" s="111">
        <v>149</v>
      </c>
      <c r="AG267" s="24"/>
      <c r="AH267" s="24"/>
    </row>
    <row r="268" spans="1:34" x14ac:dyDescent="0.25">
      <c r="A268" s="39" t="s">
        <v>2560</v>
      </c>
      <c r="B268" s="36" t="s">
        <v>87</v>
      </c>
      <c r="C268" s="469">
        <v>3</v>
      </c>
      <c r="D268" s="470" t="s">
        <v>494</v>
      </c>
      <c r="E268" s="37">
        <f t="shared" si="18"/>
        <v>0</v>
      </c>
      <c r="F268" s="470" t="s">
        <v>494</v>
      </c>
      <c r="G268" s="37">
        <f t="shared" si="19"/>
        <v>0</v>
      </c>
      <c r="H268" s="37" t="s">
        <v>494</v>
      </c>
      <c r="I268" s="37">
        <f t="shared" si="20"/>
        <v>0</v>
      </c>
      <c r="J268" s="37" t="s">
        <v>347</v>
      </c>
      <c r="K268" s="37">
        <f t="shared" si="21"/>
        <v>0</v>
      </c>
      <c r="L268" s="37" t="s">
        <v>494</v>
      </c>
      <c r="M268" s="37">
        <f t="shared" si="22"/>
        <v>0</v>
      </c>
      <c r="N268" s="470" t="s">
        <v>347</v>
      </c>
      <c r="O268" s="470">
        <f t="shared" si="23"/>
        <v>0</v>
      </c>
      <c r="P268" s="37" t="str">
        <f t="shared" si="24"/>
        <v>None</v>
      </c>
      <c r="Q268" s="470" t="s">
        <v>347</v>
      </c>
      <c r="R268" s="37">
        <f t="shared" si="25"/>
        <v>0</v>
      </c>
      <c r="S268" s="470" t="s">
        <v>347</v>
      </c>
      <c r="T268" s="470">
        <f t="shared" si="26"/>
        <v>0</v>
      </c>
      <c r="U268" s="470" t="s">
        <v>347</v>
      </c>
      <c r="V268" s="111">
        <f>IF(OR(F268="none",G268="V"),0,VLOOKUP(F268,'Purchased Boons'!$AR$4:$AS$27,2,FALSE))</f>
        <v>0</v>
      </c>
      <c r="W268" s="39" t="s">
        <v>1764</v>
      </c>
      <c r="X268" s="37" t="s">
        <v>1764</v>
      </c>
      <c r="Y268" s="37" t="s">
        <v>133</v>
      </c>
      <c r="Z268" s="111">
        <v>149</v>
      </c>
      <c r="AG268" s="24"/>
      <c r="AH268" s="24"/>
    </row>
    <row r="269" spans="1:34" x14ac:dyDescent="0.25">
      <c r="A269" s="39" t="s">
        <v>2570</v>
      </c>
      <c r="B269" s="36" t="s">
        <v>87</v>
      </c>
      <c r="C269" s="469">
        <v>3</v>
      </c>
      <c r="D269" s="470" t="s">
        <v>494</v>
      </c>
      <c r="E269" s="37">
        <f t="shared" si="18"/>
        <v>0</v>
      </c>
      <c r="F269" s="470" t="s">
        <v>494</v>
      </c>
      <c r="G269" s="37">
        <f t="shared" si="19"/>
        <v>0</v>
      </c>
      <c r="H269" s="37" t="s">
        <v>494</v>
      </c>
      <c r="I269" s="37">
        <f t="shared" si="20"/>
        <v>0</v>
      </c>
      <c r="J269" s="37" t="s">
        <v>347</v>
      </c>
      <c r="K269" s="37">
        <f t="shared" si="21"/>
        <v>0</v>
      </c>
      <c r="L269" s="37" t="s">
        <v>494</v>
      </c>
      <c r="M269" s="37">
        <f t="shared" si="22"/>
        <v>0</v>
      </c>
      <c r="N269" s="470" t="s">
        <v>347</v>
      </c>
      <c r="O269" s="470">
        <f t="shared" si="23"/>
        <v>0</v>
      </c>
      <c r="P269" s="37" t="str">
        <f t="shared" si="24"/>
        <v>None</v>
      </c>
      <c r="Q269" s="470" t="s">
        <v>347</v>
      </c>
      <c r="R269" s="37">
        <f t="shared" si="25"/>
        <v>0</v>
      </c>
      <c r="S269" s="470" t="s">
        <v>347</v>
      </c>
      <c r="T269" s="470">
        <f t="shared" si="26"/>
        <v>0</v>
      </c>
      <c r="U269" s="470" t="s">
        <v>347</v>
      </c>
      <c r="V269" s="111">
        <f>IF(OR(F269="none",G269="V"),0,VLOOKUP(F269,'Purchased Boons'!$AR$4:$AS$27,2,FALSE))</f>
        <v>0</v>
      </c>
      <c r="W269" s="39" t="s">
        <v>1764</v>
      </c>
      <c r="X269" s="37" t="s">
        <v>1764</v>
      </c>
      <c r="Y269" s="37" t="s">
        <v>133</v>
      </c>
      <c r="Z269" s="111">
        <v>149</v>
      </c>
      <c r="AG269" s="24"/>
      <c r="AH269" s="24"/>
    </row>
    <row r="270" spans="1:34" x14ac:dyDescent="0.25">
      <c r="A270" s="39" t="s">
        <v>2580</v>
      </c>
      <c r="B270" s="36" t="s">
        <v>87</v>
      </c>
      <c r="C270" s="469">
        <v>3</v>
      </c>
      <c r="D270" s="470" t="s">
        <v>494</v>
      </c>
      <c r="E270" s="37">
        <f t="shared" si="18"/>
        <v>0</v>
      </c>
      <c r="F270" s="470" t="s">
        <v>494</v>
      </c>
      <c r="G270" s="37">
        <f t="shared" si="19"/>
        <v>0</v>
      </c>
      <c r="H270" s="37" t="s">
        <v>494</v>
      </c>
      <c r="I270" s="37">
        <f t="shared" si="20"/>
        <v>0</v>
      </c>
      <c r="J270" s="37" t="s">
        <v>347</v>
      </c>
      <c r="K270" s="37">
        <f t="shared" si="21"/>
        <v>0</v>
      </c>
      <c r="L270" s="37" t="s">
        <v>494</v>
      </c>
      <c r="M270" s="37">
        <f t="shared" si="22"/>
        <v>0</v>
      </c>
      <c r="N270" s="470" t="s">
        <v>347</v>
      </c>
      <c r="O270" s="470">
        <f t="shared" si="23"/>
        <v>0</v>
      </c>
      <c r="P270" s="37" t="str">
        <f t="shared" si="24"/>
        <v>None</v>
      </c>
      <c r="Q270" s="470" t="s">
        <v>347</v>
      </c>
      <c r="R270" s="37">
        <f t="shared" si="25"/>
        <v>0</v>
      </c>
      <c r="S270" s="470" t="s">
        <v>347</v>
      </c>
      <c r="T270" s="470">
        <f t="shared" si="26"/>
        <v>0</v>
      </c>
      <c r="U270" s="470" t="s">
        <v>347</v>
      </c>
      <c r="V270" s="111">
        <f>IF(OR(F270="none",G270="V"),0,VLOOKUP(F270,'Purchased Boons'!$AR$4:$AS$27,2,FALSE))</f>
        <v>0</v>
      </c>
      <c r="W270" s="39" t="s">
        <v>1764</v>
      </c>
      <c r="X270" s="37" t="s">
        <v>1764</v>
      </c>
      <c r="Y270" s="37" t="s">
        <v>133</v>
      </c>
      <c r="Z270" s="111">
        <v>149</v>
      </c>
      <c r="AG270" s="24"/>
      <c r="AH270" s="24"/>
    </row>
    <row r="271" spans="1:34" x14ac:dyDescent="0.25">
      <c r="A271" s="39" t="s">
        <v>2391</v>
      </c>
      <c r="B271" s="36" t="s">
        <v>87</v>
      </c>
      <c r="C271" s="469">
        <v>4</v>
      </c>
      <c r="D271" s="470" t="s">
        <v>494</v>
      </c>
      <c r="E271" s="37">
        <f t="shared" si="18"/>
        <v>0</v>
      </c>
      <c r="F271" s="470" t="s">
        <v>494</v>
      </c>
      <c r="G271" s="37">
        <f t="shared" si="19"/>
        <v>0</v>
      </c>
      <c r="H271" s="37" t="s">
        <v>494</v>
      </c>
      <c r="I271" s="37">
        <f t="shared" si="20"/>
        <v>0</v>
      </c>
      <c r="J271" s="37" t="s">
        <v>347</v>
      </c>
      <c r="K271" s="37">
        <f t="shared" si="21"/>
        <v>0</v>
      </c>
      <c r="L271" s="37" t="s">
        <v>494</v>
      </c>
      <c r="M271" s="37">
        <f t="shared" si="22"/>
        <v>0</v>
      </c>
      <c r="N271" s="470" t="s">
        <v>347</v>
      </c>
      <c r="O271" s="470">
        <f t="shared" si="23"/>
        <v>0</v>
      </c>
      <c r="P271" s="37" t="str">
        <f t="shared" si="24"/>
        <v>None</v>
      </c>
      <c r="Q271" s="470" t="s">
        <v>347</v>
      </c>
      <c r="R271" s="37">
        <f t="shared" si="25"/>
        <v>0</v>
      </c>
      <c r="S271" s="470" t="s">
        <v>347</v>
      </c>
      <c r="T271" s="470">
        <f t="shared" si="26"/>
        <v>0</v>
      </c>
      <c r="U271" s="470" t="s">
        <v>347</v>
      </c>
      <c r="V271" s="111">
        <f>IF(OR(F271="none",G271="V"),0,VLOOKUP(F271,'Purchased Boons'!$AR$4:$AS$27,2,FALSE))</f>
        <v>0</v>
      </c>
      <c r="W271" s="39" t="s">
        <v>1764</v>
      </c>
      <c r="X271" s="37" t="s">
        <v>1764</v>
      </c>
      <c r="Y271" s="37" t="s">
        <v>1045</v>
      </c>
      <c r="Z271" s="111">
        <v>91</v>
      </c>
      <c r="AG271" s="24"/>
      <c r="AH271" s="24"/>
    </row>
    <row r="272" spans="1:34" x14ac:dyDescent="0.25">
      <c r="A272" s="39" t="s">
        <v>2401</v>
      </c>
      <c r="B272" s="36" t="s">
        <v>87</v>
      </c>
      <c r="C272" s="469">
        <v>4</v>
      </c>
      <c r="D272" s="470" t="s">
        <v>494</v>
      </c>
      <c r="E272" s="37">
        <f t="shared" si="18"/>
        <v>0</v>
      </c>
      <c r="F272" s="470" t="s">
        <v>494</v>
      </c>
      <c r="G272" s="37">
        <f t="shared" si="19"/>
        <v>0</v>
      </c>
      <c r="H272" s="37" t="s">
        <v>494</v>
      </c>
      <c r="I272" s="37">
        <f t="shared" si="20"/>
        <v>0</v>
      </c>
      <c r="J272" s="37" t="s">
        <v>347</v>
      </c>
      <c r="K272" s="37">
        <f t="shared" si="21"/>
        <v>0</v>
      </c>
      <c r="L272" s="37" t="s">
        <v>494</v>
      </c>
      <c r="M272" s="37">
        <f t="shared" si="22"/>
        <v>0</v>
      </c>
      <c r="N272" s="470" t="s">
        <v>347</v>
      </c>
      <c r="O272" s="470">
        <f t="shared" si="23"/>
        <v>0</v>
      </c>
      <c r="P272" s="37" t="str">
        <f t="shared" si="24"/>
        <v>None</v>
      </c>
      <c r="Q272" s="470" t="s">
        <v>347</v>
      </c>
      <c r="R272" s="37">
        <f t="shared" si="25"/>
        <v>0</v>
      </c>
      <c r="S272" s="470" t="s">
        <v>347</v>
      </c>
      <c r="T272" s="470">
        <f t="shared" si="26"/>
        <v>0</v>
      </c>
      <c r="U272" s="470" t="s">
        <v>347</v>
      </c>
      <c r="V272" s="111">
        <f>IF(OR(F272="none",G272="V"),0,VLOOKUP(F272,'Purchased Boons'!$AR$4:$AS$27,2,FALSE))</f>
        <v>0</v>
      </c>
      <c r="W272" s="39" t="s">
        <v>1764</v>
      </c>
      <c r="X272" s="37" t="s">
        <v>1764</v>
      </c>
      <c r="Y272" s="37" t="s">
        <v>1045</v>
      </c>
      <c r="Z272" s="111">
        <v>91</v>
      </c>
      <c r="AG272" s="24"/>
      <c r="AH272" s="24"/>
    </row>
    <row r="273" spans="1:34" x14ac:dyDescent="0.25">
      <c r="A273" s="39" t="s">
        <v>2591</v>
      </c>
      <c r="B273" s="36" t="s">
        <v>87</v>
      </c>
      <c r="C273" s="469">
        <v>4</v>
      </c>
      <c r="D273" s="470" t="s">
        <v>494</v>
      </c>
      <c r="E273" s="37">
        <f t="shared" si="18"/>
        <v>0</v>
      </c>
      <c r="F273" s="470" t="s">
        <v>494</v>
      </c>
      <c r="G273" s="37">
        <f t="shared" si="19"/>
        <v>0</v>
      </c>
      <c r="H273" s="37" t="s">
        <v>494</v>
      </c>
      <c r="I273" s="37">
        <f t="shared" si="20"/>
        <v>0</v>
      </c>
      <c r="J273" s="37" t="s">
        <v>347</v>
      </c>
      <c r="K273" s="37">
        <f t="shared" si="21"/>
        <v>0</v>
      </c>
      <c r="L273" s="37" t="s">
        <v>494</v>
      </c>
      <c r="M273" s="37">
        <f t="shared" si="22"/>
        <v>0</v>
      </c>
      <c r="N273" s="470" t="s">
        <v>347</v>
      </c>
      <c r="O273" s="470">
        <f t="shared" si="23"/>
        <v>0</v>
      </c>
      <c r="P273" s="37" t="str">
        <f t="shared" si="24"/>
        <v>None</v>
      </c>
      <c r="Q273" s="470" t="s">
        <v>347</v>
      </c>
      <c r="R273" s="37">
        <f t="shared" si="25"/>
        <v>0</v>
      </c>
      <c r="S273" s="470" t="s">
        <v>347</v>
      </c>
      <c r="T273" s="470">
        <f t="shared" si="26"/>
        <v>0</v>
      </c>
      <c r="U273" s="470" t="s">
        <v>347</v>
      </c>
      <c r="V273" s="111">
        <f>IF(OR(F273="none",G273="V"),0,VLOOKUP(F273,'Purchased Boons'!$AR$4:$AS$27,2,FALSE))</f>
        <v>0</v>
      </c>
      <c r="W273" s="39" t="s">
        <v>1764</v>
      </c>
      <c r="X273" s="37" t="s">
        <v>1764</v>
      </c>
      <c r="Y273" s="37" t="s">
        <v>1045</v>
      </c>
      <c r="Z273" s="111">
        <v>91</v>
      </c>
      <c r="AG273" s="24"/>
      <c r="AH273" s="24"/>
    </row>
    <row r="274" spans="1:34" x14ac:dyDescent="0.25">
      <c r="A274" s="39" t="s">
        <v>2411</v>
      </c>
      <c r="B274" s="36" t="s">
        <v>87</v>
      </c>
      <c r="C274" s="469">
        <v>4</v>
      </c>
      <c r="D274" s="470" t="s">
        <v>494</v>
      </c>
      <c r="E274" s="37">
        <f t="shared" si="18"/>
        <v>0</v>
      </c>
      <c r="F274" s="470" t="s">
        <v>494</v>
      </c>
      <c r="G274" s="37">
        <f t="shared" si="19"/>
        <v>0</v>
      </c>
      <c r="H274" s="37" t="s">
        <v>494</v>
      </c>
      <c r="I274" s="37">
        <f t="shared" si="20"/>
        <v>0</v>
      </c>
      <c r="J274" s="37" t="s">
        <v>347</v>
      </c>
      <c r="K274" s="37">
        <f t="shared" si="21"/>
        <v>0</v>
      </c>
      <c r="L274" s="37" t="s">
        <v>494</v>
      </c>
      <c r="M274" s="37">
        <f t="shared" si="22"/>
        <v>0</v>
      </c>
      <c r="N274" s="470" t="s">
        <v>347</v>
      </c>
      <c r="O274" s="470">
        <f t="shared" si="23"/>
        <v>0</v>
      </c>
      <c r="P274" s="37" t="str">
        <f t="shared" si="24"/>
        <v>None</v>
      </c>
      <c r="Q274" s="470" t="s">
        <v>347</v>
      </c>
      <c r="R274" s="37">
        <f t="shared" si="25"/>
        <v>0</v>
      </c>
      <c r="S274" s="470" t="s">
        <v>347</v>
      </c>
      <c r="T274" s="470">
        <f t="shared" si="26"/>
        <v>0</v>
      </c>
      <c r="U274" s="470" t="s">
        <v>347</v>
      </c>
      <c r="V274" s="111">
        <f>IF(OR(F274="none",G274="V"),0,VLOOKUP(F274,'Purchased Boons'!$AR$4:$AS$27,2,FALSE))</f>
        <v>0</v>
      </c>
      <c r="W274" s="39" t="s">
        <v>1764</v>
      </c>
      <c r="X274" s="37" t="s">
        <v>1764</v>
      </c>
      <c r="Y274" s="37" t="s">
        <v>1045</v>
      </c>
      <c r="Z274" s="111">
        <v>91</v>
      </c>
      <c r="AG274" s="24"/>
      <c r="AH274" s="24"/>
    </row>
    <row r="275" spans="1:34" x14ac:dyDescent="0.25">
      <c r="A275" s="39" t="s">
        <v>2421</v>
      </c>
      <c r="B275" s="36" t="s">
        <v>87</v>
      </c>
      <c r="C275" s="469">
        <v>4</v>
      </c>
      <c r="D275" s="470" t="s">
        <v>494</v>
      </c>
      <c r="E275" s="37">
        <f t="shared" si="18"/>
        <v>0</v>
      </c>
      <c r="F275" s="470" t="s">
        <v>494</v>
      </c>
      <c r="G275" s="37">
        <f t="shared" si="19"/>
        <v>0</v>
      </c>
      <c r="H275" s="37" t="s">
        <v>494</v>
      </c>
      <c r="I275" s="37">
        <f t="shared" si="20"/>
        <v>0</v>
      </c>
      <c r="J275" s="37" t="s">
        <v>347</v>
      </c>
      <c r="K275" s="37">
        <f t="shared" si="21"/>
        <v>0</v>
      </c>
      <c r="L275" s="37" t="s">
        <v>494</v>
      </c>
      <c r="M275" s="37">
        <f t="shared" si="22"/>
        <v>0</v>
      </c>
      <c r="N275" s="470" t="s">
        <v>347</v>
      </c>
      <c r="O275" s="470">
        <f t="shared" si="23"/>
        <v>0</v>
      </c>
      <c r="P275" s="37" t="str">
        <f t="shared" si="24"/>
        <v>None</v>
      </c>
      <c r="Q275" s="470" t="s">
        <v>347</v>
      </c>
      <c r="R275" s="37">
        <f t="shared" si="25"/>
        <v>0</v>
      </c>
      <c r="S275" s="470" t="s">
        <v>347</v>
      </c>
      <c r="T275" s="470">
        <f t="shared" si="26"/>
        <v>0</v>
      </c>
      <c r="U275" s="470" t="s">
        <v>347</v>
      </c>
      <c r="V275" s="111">
        <f>IF(OR(F275="none",G275="V"),0,VLOOKUP(F275,'Purchased Boons'!$AR$4:$AS$27,2,FALSE))</f>
        <v>0</v>
      </c>
      <c r="W275" s="39" t="s">
        <v>1764</v>
      </c>
      <c r="X275" s="37" t="s">
        <v>1764</v>
      </c>
      <c r="Y275" s="37" t="s">
        <v>1045</v>
      </c>
      <c r="Z275" s="111">
        <v>91</v>
      </c>
      <c r="AG275" s="24"/>
      <c r="AH275" s="24"/>
    </row>
    <row r="276" spans="1:34" x14ac:dyDescent="0.25">
      <c r="A276" s="39" t="s">
        <v>2431</v>
      </c>
      <c r="B276" s="36" t="s">
        <v>87</v>
      </c>
      <c r="C276" s="469">
        <v>4</v>
      </c>
      <c r="D276" s="470" t="s">
        <v>494</v>
      </c>
      <c r="E276" s="37">
        <f t="shared" si="18"/>
        <v>0</v>
      </c>
      <c r="F276" s="470" t="s">
        <v>494</v>
      </c>
      <c r="G276" s="37">
        <f t="shared" si="19"/>
        <v>0</v>
      </c>
      <c r="H276" s="37" t="s">
        <v>494</v>
      </c>
      <c r="I276" s="37">
        <f t="shared" si="20"/>
        <v>0</v>
      </c>
      <c r="J276" s="37" t="s">
        <v>347</v>
      </c>
      <c r="K276" s="37">
        <f t="shared" si="21"/>
        <v>0</v>
      </c>
      <c r="L276" s="37" t="s">
        <v>494</v>
      </c>
      <c r="M276" s="37">
        <f t="shared" si="22"/>
        <v>0</v>
      </c>
      <c r="N276" s="470" t="s">
        <v>347</v>
      </c>
      <c r="O276" s="470">
        <f t="shared" si="23"/>
        <v>0</v>
      </c>
      <c r="P276" s="37" t="str">
        <f t="shared" si="24"/>
        <v>None</v>
      </c>
      <c r="Q276" s="470" t="s">
        <v>347</v>
      </c>
      <c r="R276" s="37">
        <f t="shared" si="25"/>
        <v>0</v>
      </c>
      <c r="S276" s="470" t="s">
        <v>347</v>
      </c>
      <c r="T276" s="470">
        <f t="shared" si="26"/>
        <v>0</v>
      </c>
      <c r="U276" s="470" t="s">
        <v>347</v>
      </c>
      <c r="V276" s="111">
        <f>IF(OR(F276="none",G276="V"),0,VLOOKUP(F276,'Purchased Boons'!$AR$4:$AS$27,2,FALSE))</f>
        <v>0</v>
      </c>
      <c r="W276" s="39" t="s">
        <v>1764</v>
      </c>
      <c r="X276" s="37" t="s">
        <v>1764</v>
      </c>
      <c r="Y276" s="37" t="s">
        <v>1045</v>
      </c>
      <c r="Z276" s="111">
        <v>91</v>
      </c>
      <c r="AG276" s="24"/>
      <c r="AH276" s="24"/>
    </row>
    <row r="277" spans="1:34" x14ac:dyDescent="0.25">
      <c r="A277" s="39" t="s">
        <v>2441</v>
      </c>
      <c r="B277" s="36" t="s">
        <v>87</v>
      </c>
      <c r="C277" s="469">
        <v>4</v>
      </c>
      <c r="D277" s="470" t="s">
        <v>494</v>
      </c>
      <c r="E277" s="37">
        <f t="shared" si="18"/>
        <v>0</v>
      </c>
      <c r="F277" s="470" t="s">
        <v>494</v>
      </c>
      <c r="G277" s="37">
        <f t="shared" si="19"/>
        <v>0</v>
      </c>
      <c r="H277" s="37" t="s">
        <v>494</v>
      </c>
      <c r="I277" s="37">
        <f t="shared" si="20"/>
        <v>0</v>
      </c>
      <c r="J277" s="37" t="s">
        <v>347</v>
      </c>
      <c r="K277" s="37">
        <f t="shared" si="21"/>
        <v>0</v>
      </c>
      <c r="L277" s="37" t="s">
        <v>494</v>
      </c>
      <c r="M277" s="37">
        <f t="shared" si="22"/>
        <v>0</v>
      </c>
      <c r="N277" s="470" t="s">
        <v>347</v>
      </c>
      <c r="O277" s="470">
        <f t="shared" si="23"/>
        <v>0</v>
      </c>
      <c r="P277" s="37" t="str">
        <f t="shared" si="24"/>
        <v>None</v>
      </c>
      <c r="Q277" s="470" t="s">
        <v>347</v>
      </c>
      <c r="R277" s="37">
        <f t="shared" si="25"/>
        <v>0</v>
      </c>
      <c r="S277" s="470" t="s">
        <v>347</v>
      </c>
      <c r="T277" s="470">
        <f t="shared" si="26"/>
        <v>0</v>
      </c>
      <c r="U277" s="470" t="s">
        <v>347</v>
      </c>
      <c r="V277" s="111">
        <f>IF(OR(F277="none",G277="V"),0,VLOOKUP(F277,'Purchased Boons'!$AR$4:$AS$27,2,FALSE))</f>
        <v>0</v>
      </c>
      <c r="W277" s="39" t="s">
        <v>1764</v>
      </c>
      <c r="X277" s="37" t="s">
        <v>1764</v>
      </c>
      <c r="Y277" s="37" t="s">
        <v>1045</v>
      </c>
      <c r="Z277" s="111">
        <v>91</v>
      </c>
      <c r="AG277" s="24"/>
      <c r="AH277" s="24"/>
    </row>
    <row r="278" spans="1:34" x14ac:dyDescent="0.25">
      <c r="A278" s="39" t="s">
        <v>2601</v>
      </c>
      <c r="B278" s="36" t="s">
        <v>87</v>
      </c>
      <c r="C278" s="469">
        <v>4</v>
      </c>
      <c r="D278" s="470" t="s">
        <v>494</v>
      </c>
      <c r="E278" s="37">
        <f t="shared" si="18"/>
        <v>0</v>
      </c>
      <c r="F278" s="470" t="s">
        <v>494</v>
      </c>
      <c r="G278" s="37">
        <f t="shared" si="19"/>
        <v>0</v>
      </c>
      <c r="H278" s="37" t="s">
        <v>494</v>
      </c>
      <c r="I278" s="37">
        <f t="shared" si="20"/>
        <v>0</v>
      </c>
      <c r="J278" s="37" t="s">
        <v>347</v>
      </c>
      <c r="K278" s="37">
        <f t="shared" si="21"/>
        <v>0</v>
      </c>
      <c r="L278" s="37" t="s">
        <v>494</v>
      </c>
      <c r="M278" s="37">
        <f t="shared" si="22"/>
        <v>0</v>
      </c>
      <c r="N278" s="470" t="s">
        <v>347</v>
      </c>
      <c r="O278" s="470">
        <f t="shared" si="23"/>
        <v>0</v>
      </c>
      <c r="P278" s="37" t="str">
        <f t="shared" si="24"/>
        <v>None</v>
      </c>
      <c r="Q278" s="470" t="s">
        <v>347</v>
      </c>
      <c r="R278" s="37">
        <f t="shared" si="25"/>
        <v>0</v>
      </c>
      <c r="S278" s="470" t="s">
        <v>347</v>
      </c>
      <c r="T278" s="470">
        <f t="shared" si="26"/>
        <v>0</v>
      </c>
      <c r="U278" s="470" t="s">
        <v>347</v>
      </c>
      <c r="V278" s="111">
        <f>IF(OR(F278="none",G278="V"),0,VLOOKUP(F278,'Purchased Boons'!$AR$4:$AS$27,2,FALSE))</f>
        <v>0</v>
      </c>
      <c r="W278" s="39" t="s">
        <v>1764</v>
      </c>
      <c r="X278" s="37" t="s">
        <v>1764</v>
      </c>
      <c r="Y278" s="37" t="s">
        <v>1045</v>
      </c>
      <c r="Z278" s="111">
        <v>91</v>
      </c>
      <c r="AG278" s="24"/>
      <c r="AH278" s="24"/>
    </row>
    <row r="279" spans="1:34" x14ac:dyDescent="0.25">
      <c r="A279" s="39" t="s">
        <v>2611</v>
      </c>
      <c r="B279" s="36" t="s">
        <v>87</v>
      </c>
      <c r="C279" s="469">
        <v>4</v>
      </c>
      <c r="D279" s="470" t="s">
        <v>494</v>
      </c>
      <c r="E279" s="37">
        <f t="shared" si="18"/>
        <v>0</v>
      </c>
      <c r="F279" s="470" t="s">
        <v>494</v>
      </c>
      <c r="G279" s="37">
        <f t="shared" si="19"/>
        <v>0</v>
      </c>
      <c r="H279" s="37" t="s">
        <v>494</v>
      </c>
      <c r="I279" s="37">
        <f t="shared" si="20"/>
        <v>0</v>
      </c>
      <c r="J279" s="37" t="s">
        <v>347</v>
      </c>
      <c r="K279" s="37">
        <f t="shared" si="21"/>
        <v>0</v>
      </c>
      <c r="L279" s="37" t="s">
        <v>494</v>
      </c>
      <c r="M279" s="37">
        <f t="shared" si="22"/>
        <v>0</v>
      </c>
      <c r="N279" s="470" t="s">
        <v>347</v>
      </c>
      <c r="O279" s="470">
        <f t="shared" si="23"/>
        <v>0</v>
      </c>
      <c r="P279" s="37" t="str">
        <f t="shared" si="24"/>
        <v>None</v>
      </c>
      <c r="Q279" s="470" t="s">
        <v>347</v>
      </c>
      <c r="R279" s="37">
        <f t="shared" si="25"/>
        <v>0</v>
      </c>
      <c r="S279" s="470" t="s">
        <v>347</v>
      </c>
      <c r="T279" s="470">
        <f t="shared" si="26"/>
        <v>0</v>
      </c>
      <c r="U279" s="470" t="s">
        <v>347</v>
      </c>
      <c r="V279" s="111">
        <f>IF(OR(F279="none",G279="V"),0,VLOOKUP(F279,'Purchased Boons'!$AR$4:$AS$27,2,FALSE))</f>
        <v>0</v>
      </c>
      <c r="W279" s="39" t="s">
        <v>1764</v>
      </c>
      <c r="X279" s="37" t="s">
        <v>1764</v>
      </c>
      <c r="Y279" s="37" t="s">
        <v>1045</v>
      </c>
      <c r="Z279" s="111">
        <v>91</v>
      </c>
      <c r="AG279" s="24"/>
      <c r="AH279" s="24"/>
    </row>
    <row r="280" spans="1:34" x14ac:dyDescent="0.25">
      <c r="A280" s="39" t="s">
        <v>2451</v>
      </c>
      <c r="B280" s="36" t="s">
        <v>87</v>
      </c>
      <c r="C280" s="469">
        <v>4</v>
      </c>
      <c r="D280" s="470" t="s">
        <v>494</v>
      </c>
      <c r="E280" s="37">
        <f t="shared" si="18"/>
        <v>0</v>
      </c>
      <c r="F280" s="470" t="s">
        <v>494</v>
      </c>
      <c r="G280" s="37">
        <f t="shared" si="19"/>
        <v>0</v>
      </c>
      <c r="H280" s="37" t="s">
        <v>494</v>
      </c>
      <c r="I280" s="37">
        <f t="shared" si="20"/>
        <v>0</v>
      </c>
      <c r="J280" s="37" t="s">
        <v>347</v>
      </c>
      <c r="K280" s="37">
        <f t="shared" si="21"/>
        <v>0</v>
      </c>
      <c r="L280" s="37" t="s">
        <v>494</v>
      </c>
      <c r="M280" s="37">
        <f t="shared" si="22"/>
        <v>0</v>
      </c>
      <c r="N280" s="470" t="s">
        <v>347</v>
      </c>
      <c r="O280" s="470">
        <f t="shared" si="23"/>
        <v>0</v>
      </c>
      <c r="P280" s="37" t="str">
        <f t="shared" si="24"/>
        <v>None</v>
      </c>
      <c r="Q280" s="470" t="s">
        <v>347</v>
      </c>
      <c r="R280" s="37">
        <f t="shared" si="25"/>
        <v>0</v>
      </c>
      <c r="S280" s="470" t="s">
        <v>347</v>
      </c>
      <c r="T280" s="470">
        <f t="shared" si="26"/>
        <v>0</v>
      </c>
      <c r="U280" s="470" t="s">
        <v>347</v>
      </c>
      <c r="V280" s="111">
        <f>IF(OR(F280="none",G280="V"),0,VLOOKUP(F280,'Purchased Boons'!$AR$4:$AS$27,2,FALSE))</f>
        <v>0</v>
      </c>
      <c r="W280" s="39" t="s">
        <v>1764</v>
      </c>
      <c r="X280" s="37" t="s">
        <v>1764</v>
      </c>
      <c r="Y280" s="37" t="s">
        <v>1045</v>
      </c>
      <c r="Z280" s="111">
        <v>91</v>
      </c>
      <c r="AG280" s="24"/>
      <c r="AH280" s="24"/>
    </row>
    <row r="281" spans="1:34" x14ac:dyDescent="0.25">
      <c r="A281" s="39" t="s">
        <v>2461</v>
      </c>
      <c r="B281" s="36" t="s">
        <v>87</v>
      </c>
      <c r="C281" s="469">
        <v>4</v>
      </c>
      <c r="D281" s="470" t="s">
        <v>494</v>
      </c>
      <c r="E281" s="37">
        <f t="shared" si="18"/>
        <v>0</v>
      </c>
      <c r="F281" s="470" t="s">
        <v>494</v>
      </c>
      <c r="G281" s="37">
        <f t="shared" si="19"/>
        <v>0</v>
      </c>
      <c r="H281" s="37" t="s">
        <v>494</v>
      </c>
      <c r="I281" s="37">
        <f t="shared" si="20"/>
        <v>0</v>
      </c>
      <c r="J281" s="37" t="s">
        <v>347</v>
      </c>
      <c r="K281" s="37">
        <f t="shared" si="21"/>
        <v>0</v>
      </c>
      <c r="L281" s="37" t="s">
        <v>494</v>
      </c>
      <c r="M281" s="37">
        <f t="shared" si="22"/>
        <v>0</v>
      </c>
      <c r="N281" s="470" t="s">
        <v>347</v>
      </c>
      <c r="O281" s="470">
        <f t="shared" si="23"/>
        <v>0</v>
      </c>
      <c r="P281" s="37" t="str">
        <f t="shared" si="24"/>
        <v>None</v>
      </c>
      <c r="Q281" s="470" t="s">
        <v>347</v>
      </c>
      <c r="R281" s="37">
        <f t="shared" si="25"/>
        <v>0</v>
      </c>
      <c r="S281" s="470" t="s">
        <v>347</v>
      </c>
      <c r="T281" s="470">
        <f t="shared" si="26"/>
        <v>0</v>
      </c>
      <c r="U281" s="470" t="s">
        <v>347</v>
      </c>
      <c r="V281" s="111">
        <f>IF(OR(F281="none",G281="V"),0,VLOOKUP(F281,'Purchased Boons'!$AR$4:$AS$27,2,FALSE))</f>
        <v>0</v>
      </c>
      <c r="W281" s="39" t="s">
        <v>1764</v>
      </c>
      <c r="X281" s="37" t="s">
        <v>1764</v>
      </c>
      <c r="Y281" s="37" t="s">
        <v>1045</v>
      </c>
      <c r="Z281" s="111">
        <v>91</v>
      </c>
      <c r="AG281" s="24"/>
      <c r="AH281" s="24"/>
    </row>
    <row r="282" spans="1:34" x14ac:dyDescent="0.25">
      <c r="A282" s="39" t="s">
        <v>2471</v>
      </c>
      <c r="B282" s="36" t="s">
        <v>87</v>
      </c>
      <c r="C282" s="469">
        <v>4</v>
      </c>
      <c r="D282" s="470" t="s">
        <v>494</v>
      </c>
      <c r="E282" s="37">
        <f t="shared" si="18"/>
        <v>0</v>
      </c>
      <c r="F282" s="470" t="s">
        <v>494</v>
      </c>
      <c r="G282" s="37">
        <f t="shared" si="19"/>
        <v>0</v>
      </c>
      <c r="H282" s="37" t="s">
        <v>494</v>
      </c>
      <c r="I282" s="37">
        <f t="shared" si="20"/>
        <v>0</v>
      </c>
      <c r="J282" s="37" t="s">
        <v>347</v>
      </c>
      <c r="K282" s="37">
        <f t="shared" si="21"/>
        <v>0</v>
      </c>
      <c r="L282" s="37" t="s">
        <v>494</v>
      </c>
      <c r="M282" s="37">
        <f t="shared" si="22"/>
        <v>0</v>
      </c>
      <c r="N282" s="470" t="s">
        <v>347</v>
      </c>
      <c r="O282" s="470">
        <f t="shared" si="23"/>
        <v>0</v>
      </c>
      <c r="P282" s="37" t="str">
        <f t="shared" si="24"/>
        <v>None</v>
      </c>
      <c r="Q282" s="470" t="s">
        <v>347</v>
      </c>
      <c r="R282" s="37">
        <f t="shared" si="25"/>
        <v>0</v>
      </c>
      <c r="S282" s="470" t="s">
        <v>347</v>
      </c>
      <c r="T282" s="470">
        <f t="shared" si="26"/>
        <v>0</v>
      </c>
      <c r="U282" s="470" t="s">
        <v>347</v>
      </c>
      <c r="V282" s="111">
        <f>IF(OR(F282="none",G282="V"),0,VLOOKUP(F282,'Purchased Boons'!$AR$4:$AS$27,2,FALSE))</f>
        <v>0</v>
      </c>
      <c r="W282" s="39" t="s">
        <v>1764</v>
      </c>
      <c r="X282" s="37" t="s">
        <v>1764</v>
      </c>
      <c r="Y282" s="37" t="s">
        <v>1045</v>
      </c>
      <c r="Z282" s="111">
        <v>91</v>
      </c>
      <c r="AG282" s="24"/>
      <c r="AH282" s="24"/>
    </row>
    <row r="283" spans="1:34" x14ac:dyDescent="0.25">
      <c r="A283" s="39" t="s">
        <v>2481</v>
      </c>
      <c r="B283" s="36" t="s">
        <v>87</v>
      </c>
      <c r="C283" s="469">
        <v>4</v>
      </c>
      <c r="D283" s="470" t="s">
        <v>494</v>
      </c>
      <c r="E283" s="37">
        <f t="shared" si="18"/>
        <v>0</v>
      </c>
      <c r="F283" s="470" t="s">
        <v>494</v>
      </c>
      <c r="G283" s="37">
        <f t="shared" si="19"/>
        <v>0</v>
      </c>
      <c r="H283" s="37" t="s">
        <v>494</v>
      </c>
      <c r="I283" s="37">
        <f t="shared" si="20"/>
        <v>0</v>
      </c>
      <c r="J283" s="37" t="s">
        <v>347</v>
      </c>
      <c r="K283" s="37">
        <f t="shared" si="21"/>
        <v>0</v>
      </c>
      <c r="L283" s="37" t="s">
        <v>494</v>
      </c>
      <c r="M283" s="37">
        <f t="shared" si="22"/>
        <v>0</v>
      </c>
      <c r="N283" s="470" t="s">
        <v>347</v>
      </c>
      <c r="O283" s="470">
        <f t="shared" si="23"/>
        <v>0</v>
      </c>
      <c r="P283" s="37" t="str">
        <f t="shared" si="24"/>
        <v>None</v>
      </c>
      <c r="Q283" s="470" t="s">
        <v>347</v>
      </c>
      <c r="R283" s="37">
        <f t="shared" si="25"/>
        <v>0</v>
      </c>
      <c r="S283" s="470" t="s">
        <v>347</v>
      </c>
      <c r="T283" s="470">
        <f t="shared" si="26"/>
        <v>0</v>
      </c>
      <c r="U283" s="470" t="s">
        <v>347</v>
      </c>
      <c r="V283" s="111">
        <f>IF(OR(F283="none",G283="V"),0,VLOOKUP(F283,'Purchased Boons'!$AR$4:$AS$27,2,FALSE))</f>
        <v>0</v>
      </c>
      <c r="W283" s="39" t="s">
        <v>1764</v>
      </c>
      <c r="X283" s="37" t="s">
        <v>1764</v>
      </c>
      <c r="Y283" s="37" t="s">
        <v>1045</v>
      </c>
      <c r="Z283" s="111">
        <v>91</v>
      </c>
      <c r="AG283" s="24"/>
      <c r="AH283" s="24"/>
    </row>
    <row r="284" spans="1:34" x14ac:dyDescent="0.25">
      <c r="A284" s="39" t="s">
        <v>2491</v>
      </c>
      <c r="B284" s="36" t="s">
        <v>87</v>
      </c>
      <c r="C284" s="469">
        <v>4</v>
      </c>
      <c r="D284" s="470" t="s">
        <v>494</v>
      </c>
      <c r="E284" s="37">
        <f t="shared" si="18"/>
        <v>0</v>
      </c>
      <c r="F284" s="470" t="s">
        <v>494</v>
      </c>
      <c r="G284" s="37">
        <f t="shared" si="19"/>
        <v>0</v>
      </c>
      <c r="H284" s="37" t="s">
        <v>494</v>
      </c>
      <c r="I284" s="37">
        <f t="shared" si="20"/>
        <v>0</v>
      </c>
      <c r="J284" s="37" t="s">
        <v>347</v>
      </c>
      <c r="K284" s="37">
        <f t="shared" si="21"/>
        <v>0</v>
      </c>
      <c r="L284" s="37" t="s">
        <v>494</v>
      </c>
      <c r="M284" s="37">
        <f t="shared" si="22"/>
        <v>0</v>
      </c>
      <c r="N284" s="470" t="s">
        <v>347</v>
      </c>
      <c r="O284" s="470">
        <f t="shared" si="23"/>
        <v>0</v>
      </c>
      <c r="P284" s="37" t="str">
        <f t="shared" si="24"/>
        <v>None</v>
      </c>
      <c r="Q284" s="470" t="s">
        <v>347</v>
      </c>
      <c r="R284" s="37">
        <f t="shared" si="25"/>
        <v>0</v>
      </c>
      <c r="S284" s="470" t="s">
        <v>347</v>
      </c>
      <c r="T284" s="470">
        <f t="shared" si="26"/>
        <v>0</v>
      </c>
      <c r="U284" s="470" t="s">
        <v>347</v>
      </c>
      <c r="V284" s="111">
        <f>IF(OR(F284="none",G284="V"),0,VLOOKUP(F284,'Purchased Boons'!$AR$4:$AS$27,2,FALSE))</f>
        <v>0</v>
      </c>
      <c r="W284" s="39" t="s">
        <v>1764</v>
      </c>
      <c r="X284" s="37" t="s">
        <v>1764</v>
      </c>
      <c r="Y284" s="37" t="s">
        <v>1045</v>
      </c>
      <c r="Z284" s="111">
        <v>91</v>
      </c>
      <c r="AG284" s="24"/>
      <c r="AH284" s="24"/>
    </row>
    <row r="285" spans="1:34" x14ac:dyDescent="0.25">
      <c r="A285" s="39" t="s">
        <v>2501</v>
      </c>
      <c r="B285" s="36" t="s">
        <v>87</v>
      </c>
      <c r="C285" s="469">
        <v>4</v>
      </c>
      <c r="D285" s="470" t="s">
        <v>494</v>
      </c>
      <c r="E285" s="37">
        <f t="shared" si="18"/>
        <v>0</v>
      </c>
      <c r="F285" s="470" t="s">
        <v>494</v>
      </c>
      <c r="G285" s="37">
        <f t="shared" si="19"/>
        <v>0</v>
      </c>
      <c r="H285" s="37" t="s">
        <v>494</v>
      </c>
      <c r="I285" s="37">
        <f t="shared" si="20"/>
        <v>0</v>
      </c>
      <c r="J285" s="37" t="s">
        <v>347</v>
      </c>
      <c r="K285" s="37">
        <f t="shared" si="21"/>
        <v>0</v>
      </c>
      <c r="L285" s="37" t="s">
        <v>494</v>
      </c>
      <c r="M285" s="37">
        <f t="shared" si="22"/>
        <v>0</v>
      </c>
      <c r="N285" s="470" t="s">
        <v>347</v>
      </c>
      <c r="O285" s="470">
        <f t="shared" si="23"/>
        <v>0</v>
      </c>
      <c r="P285" s="37" t="str">
        <f t="shared" si="24"/>
        <v>None</v>
      </c>
      <c r="Q285" s="470" t="s">
        <v>347</v>
      </c>
      <c r="R285" s="37">
        <f t="shared" si="25"/>
        <v>0</v>
      </c>
      <c r="S285" s="470" t="s">
        <v>347</v>
      </c>
      <c r="T285" s="470">
        <f t="shared" si="26"/>
        <v>0</v>
      </c>
      <c r="U285" s="470" t="s">
        <v>347</v>
      </c>
      <c r="V285" s="111">
        <f>IF(OR(F285="none",G285="V"),0,VLOOKUP(F285,'Purchased Boons'!$AR$4:$AS$27,2,FALSE))</f>
        <v>0</v>
      </c>
      <c r="W285" s="39" t="s">
        <v>1764</v>
      </c>
      <c r="X285" s="37" t="s">
        <v>1764</v>
      </c>
      <c r="Y285" s="37" t="s">
        <v>1045</v>
      </c>
      <c r="Z285" s="111">
        <v>91</v>
      </c>
      <c r="AG285" s="24"/>
      <c r="AH285" s="24"/>
    </row>
    <row r="286" spans="1:34" x14ac:dyDescent="0.25">
      <c r="A286" s="39" t="s">
        <v>2511</v>
      </c>
      <c r="B286" s="36" t="s">
        <v>87</v>
      </c>
      <c r="C286" s="469">
        <v>4</v>
      </c>
      <c r="D286" s="470" t="s">
        <v>494</v>
      </c>
      <c r="E286" s="37">
        <f t="shared" si="18"/>
        <v>0</v>
      </c>
      <c r="F286" s="470" t="s">
        <v>494</v>
      </c>
      <c r="G286" s="37">
        <f t="shared" si="19"/>
        <v>0</v>
      </c>
      <c r="H286" s="37" t="s">
        <v>494</v>
      </c>
      <c r="I286" s="37">
        <f t="shared" si="20"/>
        <v>0</v>
      </c>
      <c r="J286" s="37" t="s">
        <v>347</v>
      </c>
      <c r="K286" s="37">
        <f t="shared" si="21"/>
        <v>0</v>
      </c>
      <c r="L286" s="37" t="s">
        <v>494</v>
      </c>
      <c r="M286" s="37">
        <f t="shared" si="22"/>
        <v>0</v>
      </c>
      <c r="N286" s="470" t="s">
        <v>347</v>
      </c>
      <c r="O286" s="470">
        <f t="shared" si="23"/>
        <v>0</v>
      </c>
      <c r="P286" s="37" t="str">
        <f t="shared" si="24"/>
        <v>None</v>
      </c>
      <c r="Q286" s="470" t="s">
        <v>347</v>
      </c>
      <c r="R286" s="37">
        <f t="shared" si="25"/>
        <v>0</v>
      </c>
      <c r="S286" s="470" t="s">
        <v>347</v>
      </c>
      <c r="T286" s="470">
        <f t="shared" si="26"/>
        <v>0</v>
      </c>
      <c r="U286" s="470" t="s">
        <v>347</v>
      </c>
      <c r="V286" s="111">
        <f>IF(OR(F286="none",G286="V"),0,VLOOKUP(F286,'Purchased Boons'!$AR$4:$AS$27,2,FALSE))</f>
        <v>0</v>
      </c>
      <c r="W286" s="39" t="s">
        <v>1764</v>
      </c>
      <c r="X286" s="37" t="s">
        <v>1764</v>
      </c>
      <c r="Y286" s="37" t="s">
        <v>1045</v>
      </c>
      <c r="Z286" s="111">
        <v>91</v>
      </c>
      <c r="AG286" s="24"/>
      <c r="AH286" s="24"/>
    </row>
    <row r="287" spans="1:34" x14ac:dyDescent="0.25">
      <c r="A287" s="39" t="s">
        <v>2521</v>
      </c>
      <c r="B287" s="36" t="s">
        <v>87</v>
      </c>
      <c r="C287" s="469">
        <v>4</v>
      </c>
      <c r="D287" s="470" t="s">
        <v>494</v>
      </c>
      <c r="E287" s="37">
        <f t="shared" si="18"/>
        <v>0</v>
      </c>
      <c r="F287" s="470" t="s">
        <v>494</v>
      </c>
      <c r="G287" s="37">
        <f t="shared" si="19"/>
        <v>0</v>
      </c>
      <c r="H287" s="37" t="s">
        <v>494</v>
      </c>
      <c r="I287" s="37">
        <f t="shared" si="20"/>
        <v>0</v>
      </c>
      <c r="J287" s="37" t="s">
        <v>347</v>
      </c>
      <c r="K287" s="37">
        <f t="shared" si="21"/>
        <v>0</v>
      </c>
      <c r="L287" s="37" t="s">
        <v>494</v>
      </c>
      <c r="M287" s="37">
        <f t="shared" si="22"/>
        <v>0</v>
      </c>
      <c r="N287" s="470" t="s">
        <v>347</v>
      </c>
      <c r="O287" s="470">
        <f t="shared" si="23"/>
        <v>0</v>
      </c>
      <c r="P287" s="37" t="str">
        <f t="shared" si="24"/>
        <v>None</v>
      </c>
      <c r="Q287" s="470" t="s">
        <v>347</v>
      </c>
      <c r="R287" s="37">
        <f t="shared" si="25"/>
        <v>0</v>
      </c>
      <c r="S287" s="470" t="s">
        <v>347</v>
      </c>
      <c r="T287" s="470">
        <f t="shared" si="26"/>
        <v>0</v>
      </c>
      <c r="U287" s="470" t="s">
        <v>347</v>
      </c>
      <c r="V287" s="111">
        <f>IF(OR(F287="none",G287="V"),0,VLOOKUP(F287,'Purchased Boons'!$AR$4:$AS$27,2,FALSE))</f>
        <v>0</v>
      </c>
      <c r="W287" s="39" t="s">
        <v>1764</v>
      </c>
      <c r="X287" s="37" t="s">
        <v>1764</v>
      </c>
      <c r="Y287" s="37" t="s">
        <v>1045</v>
      </c>
      <c r="Z287" s="111">
        <v>91</v>
      </c>
      <c r="AG287" s="24"/>
      <c r="AH287" s="24"/>
    </row>
    <row r="288" spans="1:34" x14ac:dyDescent="0.25">
      <c r="A288" s="39" t="s">
        <v>2531</v>
      </c>
      <c r="B288" s="36" t="s">
        <v>87</v>
      </c>
      <c r="C288" s="469">
        <v>4</v>
      </c>
      <c r="D288" s="470" t="s">
        <v>494</v>
      </c>
      <c r="E288" s="37">
        <f t="shared" si="18"/>
        <v>0</v>
      </c>
      <c r="F288" s="470" t="s">
        <v>494</v>
      </c>
      <c r="G288" s="37">
        <f t="shared" si="19"/>
        <v>0</v>
      </c>
      <c r="H288" s="37" t="s">
        <v>494</v>
      </c>
      <c r="I288" s="37">
        <f t="shared" si="20"/>
        <v>0</v>
      </c>
      <c r="J288" s="37" t="s">
        <v>347</v>
      </c>
      <c r="K288" s="37">
        <f t="shared" si="21"/>
        <v>0</v>
      </c>
      <c r="L288" s="37" t="s">
        <v>494</v>
      </c>
      <c r="M288" s="37">
        <f t="shared" si="22"/>
        <v>0</v>
      </c>
      <c r="N288" s="470" t="s">
        <v>347</v>
      </c>
      <c r="O288" s="470">
        <f t="shared" si="23"/>
        <v>0</v>
      </c>
      <c r="P288" s="37" t="str">
        <f t="shared" si="24"/>
        <v>None</v>
      </c>
      <c r="Q288" s="470" t="s">
        <v>347</v>
      </c>
      <c r="R288" s="37">
        <f t="shared" si="25"/>
        <v>0</v>
      </c>
      <c r="S288" s="470" t="s">
        <v>347</v>
      </c>
      <c r="T288" s="470">
        <f t="shared" si="26"/>
        <v>0</v>
      </c>
      <c r="U288" s="470" t="s">
        <v>347</v>
      </c>
      <c r="V288" s="111">
        <f>IF(OR(F288="none",G288="V"),0,VLOOKUP(F288,'Purchased Boons'!$AR$4:$AS$27,2,FALSE))</f>
        <v>0</v>
      </c>
      <c r="W288" s="39" t="s">
        <v>1764</v>
      </c>
      <c r="X288" s="37" t="s">
        <v>1764</v>
      </c>
      <c r="Y288" s="37" t="s">
        <v>1045</v>
      </c>
      <c r="Z288" s="111">
        <v>91</v>
      </c>
      <c r="AG288" s="24"/>
      <c r="AH288" s="24"/>
    </row>
    <row r="289" spans="1:34" x14ac:dyDescent="0.25">
      <c r="A289" s="39" t="s">
        <v>2541</v>
      </c>
      <c r="B289" s="36" t="s">
        <v>87</v>
      </c>
      <c r="C289" s="469">
        <v>4</v>
      </c>
      <c r="D289" s="470" t="s">
        <v>494</v>
      </c>
      <c r="E289" s="37">
        <f t="shared" si="18"/>
        <v>0</v>
      </c>
      <c r="F289" s="470" t="s">
        <v>494</v>
      </c>
      <c r="G289" s="37">
        <f t="shared" si="19"/>
        <v>0</v>
      </c>
      <c r="H289" s="37" t="s">
        <v>494</v>
      </c>
      <c r="I289" s="37">
        <f t="shared" si="20"/>
        <v>0</v>
      </c>
      <c r="J289" s="37" t="s">
        <v>347</v>
      </c>
      <c r="K289" s="37">
        <f t="shared" si="21"/>
        <v>0</v>
      </c>
      <c r="L289" s="37" t="s">
        <v>494</v>
      </c>
      <c r="M289" s="37">
        <f t="shared" si="22"/>
        <v>0</v>
      </c>
      <c r="N289" s="470" t="s">
        <v>347</v>
      </c>
      <c r="O289" s="470">
        <f t="shared" si="23"/>
        <v>0</v>
      </c>
      <c r="P289" s="37" t="str">
        <f t="shared" si="24"/>
        <v>None</v>
      </c>
      <c r="Q289" s="470" t="s">
        <v>347</v>
      </c>
      <c r="R289" s="37">
        <f t="shared" si="25"/>
        <v>0</v>
      </c>
      <c r="S289" s="470" t="s">
        <v>347</v>
      </c>
      <c r="T289" s="470">
        <f t="shared" si="26"/>
        <v>0</v>
      </c>
      <c r="U289" s="470" t="s">
        <v>347</v>
      </c>
      <c r="V289" s="111">
        <f>IF(OR(F289="none",G289="V"),0,VLOOKUP(F289,'Purchased Boons'!$AR$4:$AS$27,2,FALSE))</f>
        <v>0</v>
      </c>
      <c r="W289" s="39" t="s">
        <v>1764</v>
      </c>
      <c r="X289" s="37" t="s">
        <v>1764</v>
      </c>
      <c r="Y289" s="37" t="s">
        <v>1045</v>
      </c>
      <c r="Z289" s="111">
        <v>91</v>
      </c>
      <c r="AG289" s="24"/>
      <c r="AH289" s="24"/>
    </row>
    <row r="290" spans="1:34" x14ac:dyDescent="0.25">
      <c r="A290" s="39" t="s">
        <v>2551</v>
      </c>
      <c r="B290" s="36" t="s">
        <v>87</v>
      </c>
      <c r="C290" s="469">
        <v>4</v>
      </c>
      <c r="D290" s="470" t="s">
        <v>494</v>
      </c>
      <c r="E290" s="37">
        <f t="shared" si="18"/>
        <v>0</v>
      </c>
      <c r="F290" s="470" t="s">
        <v>494</v>
      </c>
      <c r="G290" s="37">
        <f t="shared" si="19"/>
        <v>0</v>
      </c>
      <c r="H290" s="37" t="s">
        <v>494</v>
      </c>
      <c r="I290" s="37">
        <f t="shared" si="20"/>
        <v>0</v>
      </c>
      <c r="J290" s="37" t="s">
        <v>347</v>
      </c>
      <c r="K290" s="37">
        <f t="shared" si="21"/>
        <v>0</v>
      </c>
      <c r="L290" s="37" t="s">
        <v>494</v>
      </c>
      <c r="M290" s="37">
        <f t="shared" si="22"/>
        <v>0</v>
      </c>
      <c r="N290" s="470" t="s">
        <v>347</v>
      </c>
      <c r="O290" s="470">
        <f t="shared" si="23"/>
        <v>0</v>
      </c>
      <c r="P290" s="37" t="str">
        <f t="shared" si="24"/>
        <v>None</v>
      </c>
      <c r="Q290" s="470" t="s">
        <v>347</v>
      </c>
      <c r="R290" s="37">
        <f t="shared" si="25"/>
        <v>0</v>
      </c>
      <c r="S290" s="470" t="s">
        <v>347</v>
      </c>
      <c r="T290" s="470">
        <f t="shared" si="26"/>
        <v>0</v>
      </c>
      <c r="U290" s="470" t="s">
        <v>347</v>
      </c>
      <c r="V290" s="111">
        <f>IF(OR(F290="none",G290="V"),0,VLOOKUP(F290,'Purchased Boons'!$AR$4:$AS$27,2,FALSE))</f>
        <v>0</v>
      </c>
      <c r="W290" s="39" t="s">
        <v>1764</v>
      </c>
      <c r="X290" s="37" t="s">
        <v>1764</v>
      </c>
      <c r="Y290" s="37" t="s">
        <v>1045</v>
      </c>
      <c r="Z290" s="111">
        <v>91</v>
      </c>
      <c r="AG290" s="24"/>
      <c r="AH290" s="24"/>
    </row>
    <row r="291" spans="1:34" x14ac:dyDescent="0.25">
      <c r="A291" s="39" t="s">
        <v>2621</v>
      </c>
      <c r="B291" s="36" t="s">
        <v>87</v>
      </c>
      <c r="C291" s="469">
        <v>4</v>
      </c>
      <c r="D291" s="470" t="s">
        <v>494</v>
      </c>
      <c r="E291" s="37">
        <f t="shared" si="18"/>
        <v>0</v>
      </c>
      <c r="F291" s="470" t="s">
        <v>494</v>
      </c>
      <c r="G291" s="37">
        <f t="shared" si="19"/>
        <v>0</v>
      </c>
      <c r="H291" s="37" t="s">
        <v>494</v>
      </c>
      <c r="I291" s="37">
        <f t="shared" si="20"/>
        <v>0</v>
      </c>
      <c r="J291" s="37" t="s">
        <v>347</v>
      </c>
      <c r="K291" s="37">
        <f t="shared" si="21"/>
        <v>0</v>
      </c>
      <c r="L291" s="37" t="s">
        <v>494</v>
      </c>
      <c r="M291" s="37">
        <f t="shared" si="22"/>
        <v>0</v>
      </c>
      <c r="N291" s="470" t="s">
        <v>347</v>
      </c>
      <c r="O291" s="470">
        <f t="shared" si="23"/>
        <v>0</v>
      </c>
      <c r="P291" s="37" t="str">
        <f t="shared" si="24"/>
        <v>None</v>
      </c>
      <c r="Q291" s="470" t="s">
        <v>347</v>
      </c>
      <c r="R291" s="37">
        <f t="shared" si="25"/>
        <v>0</v>
      </c>
      <c r="S291" s="470" t="s">
        <v>347</v>
      </c>
      <c r="T291" s="470">
        <f t="shared" si="26"/>
        <v>0</v>
      </c>
      <c r="U291" s="470" t="s">
        <v>347</v>
      </c>
      <c r="V291" s="111">
        <f>IF(OR(F291="none",G291="V"),0,VLOOKUP(F291,'Purchased Boons'!$AR$4:$AS$27,2,FALSE))</f>
        <v>0</v>
      </c>
      <c r="W291" s="39" t="s">
        <v>1764</v>
      </c>
      <c r="X291" s="37" t="s">
        <v>1764</v>
      </c>
      <c r="Y291" s="37" t="s">
        <v>1045</v>
      </c>
      <c r="Z291" s="111">
        <v>91</v>
      </c>
      <c r="AG291" s="24"/>
      <c r="AH291" s="24"/>
    </row>
    <row r="292" spans="1:34" x14ac:dyDescent="0.25">
      <c r="A292" s="39" t="s">
        <v>2561</v>
      </c>
      <c r="B292" s="36" t="s">
        <v>87</v>
      </c>
      <c r="C292" s="469">
        <v>4</v>
      </c>
      <c r="D292" s="470" t="s">
        <v>494</v>
      </c>
      <c r="E292" s="37">
        <f t="shared" si="18"/>
        <v>0</v>
      </c>
      <c r="F292" s="470" t="s">
        <v>494</v>
      </c>
      <c r="G292" s="37">
        <f t="shared" si="19"/>
        <v>0</v>
      </c>
      <c r="H292" s="37" t="s">
        <v>494</v>
      </c>
      <c r="I292" s="37">
        <f t="shared" si="20"/>
        <v>0</v>
      </c>
      <c r="J292" s="37" t="s">
        <v>347</v>
      </c>
      <c r="K292" s="37">
        <f t="shared" si="21"/>
        <v>0</v>
      </c>
      <c r="L292" s="37" t="s">
        <v>494</v>
      </c>
      <c r="M292" s="37">
        <f t="shared" si="22"/>
        <v>0</v>
      </c>
      <c r="N292" s="470" t="s">
        <v>347</v>
      </c>
      <c r="O292" s="470">
        <f t="shared" si="23"/>
        <v>0</v>
      </c>
      <c r="P292" s="37" t="str">
        <f t="shared" si="24"/>
        <v>None</v>
      </c>
      <c r="Q292" s="470" t="s">
        <v>347</v>
      </c>
      <c r="R292" s="37">
        <f t="shared" si="25"/>
        <v>0</v>
      </c>
      <c r="S292" s="470" t="s">
        <v>347</v>
      </c>
      <c r="T292" s="470">
        <f t="shared" si="26"/>
        <v>0</v>
      </c>
      <c r="U292" s="470" t="s">
        <v>347</v>
      </c>
      <c r="V292" s="111">
        <f>IF(OR(F292="none",G292="V"),0,VLOOKUP(F292,'Purchased Boons'!$AR$4:$AS$27,2,FALSE))</f>
        <v>0</v>
      </c>
      <c r="W292" s="39" t="s">
        <v>1764</v>
      </c>
      <c r="X292" s="37" t="s">
        <v>1764</v>
      </c>
      <c r="Y292" s="37" t="s">
        <v>1045</v>
      </c>
      <c r="Z292" s="111">
        <v>91</v>
      </c>
      <c r="AG292" s="24"/>
      <c r="AH292" s="24"/>
    </row>
    <row r="293" spans="1:34" x14ac:dyDescent="0.25">
      <c r="A293" s="39" t="s">
        <v>2571</v>
      </c>
      <c r="B293" s="36" t="s">
        <v>87</v>
      </c>
      <c r="C293" s="469">
        <v>4</v>
      </c>
      <c r="D293" s="470" t="s">
        <v>494</v>
      </c>
      <c r="E293" s="37">
        <f t="shared" si="18"/>
        <v>0</v>
      </c>
      <c r="F293" s="470" t="s">
        <v>494</v>
      </c>
      <c r="G293" s="37">
        <f t="shared" si="19"/>
        <v>0</v>
      </c>
      <c r="H293" s="37" t="s">
        <v>494</v>
      </c>
      <c r="I293" s="37">
        <f t="shared" si="20"/>
        <v>0</v>
      </c>
      <c r="J293" s="37" t="s">
        <v>347</v>
      </c>
      <c r="K293" s="37">
        <f t="shared" si="21"/>
        <v>0</v>
      </c>
      <c r="L293" s="37" t="s">
        <v>494</v>
      </c>
      <c r="M293" s="37">
        <f t="shared" si="22"/>
        <v>0</v>
      </c>
      <c r="N293" s="470" t="s">
        <v>347</v>
      </c>
      <c r="O293" s="470">
        <f t="shared" si="23"/>
        <v>0</v>
      </c>
      <c r="P293" s="37" t="str">
        <f t="shared" si="24"/>
        <v>None</v>
      </c>
      <c r="Q293" s="470" t="s">
        <v>347</v>
      </c>
      <c r="R293" s="37">
        <f t="shared" si="25"/>
        <v>0</v>
      </c>
      <c r="S293" s="470" t="s">
        <v>347</v>
      </c>
      <c r="T293" s="470">
        <f t="shared" si="26"/>
        <v>0</v>
      </c>
      <c r="U293" s="470" t="s">
        <v>347</v>
      </c>
      <c r="V293" s="111">
        <f>IF(OR(F293="none",G293="V"),0,VLOOKUP(F293,'Purchased Boons'!$AR$4:$AS$27,2,FALSE))</f>
        <v>0</v>
      </c>
      <c r="W293" s="39" t="s">
        <v>1764</v>
      </c>
      <c r="X293" s="37" t="s">
        <v>1764</v>
      </c>
      <c r="Y293" s="37" t="s">
        <v>1045</v>
      </c>
      <c r="Z293" s="111">
        <v>91</v>
      </c>
      <c r="AG293" s="24"/>
      <c r="AH293" s="24"/>
    </row>
    <row r="294" spans="1:34" x14ac:dyDescent="0.25">
      <c r="A294" s="39" t="s">
        <v>2581</v>
      </c>
      <c r="B294" s="36" t="s">
        <v>87</v>
      </c>
      <c r="C294" s="469">
        <v>4</v>
      </c>
      <c r="D294" s="470" t="s">
        <v>494</v>
      </c>
      <c r="E294" s="37">
        <f t="shared" si="18"/>
        <v>0</v>
      </c>
      <c r="F294" s="470" t="s">
        <v>494</v>
      </c>
      <c r="G294" s="37">
        <f t="shared" si="19"/>
        <v>0</v>
      </c>
      <c r="H294" s="37" t="s">
        <v>494</v>
      </c>
      <c r="I294" s="37">
        <f t="shared" si="20"/>
        <v>0</v>
      </c>
      <c r="J294" s="37" t="s">
        <v>347</v>
      </c>
      <c r="K294" s="37">
        <f t="shared" si="21"/>
        <v>0</v>
      </c>
      <c r="L294" s="37" t="s">
        <v>494</v>
      </c>
      <c r="M294" s="37">
        <f t="shared" si="22"/>
        <v>0</v>
      </c>
      <c r="N294" s="470" t="s">
        <v>347</v>
      </c>
      <c r="O294" s="470">
        <f t="shared" si="23"/>
        <v>0</v>
      </c>
      <c r="P294" s="37" t="str">
        <f t="shared" si="24"/>
        <v>None</v>
      </c>
      <c r="Q294" s="470" t="s">
        <v>347</v>
      </c>
      <c r="R294" s="37">
        <f t="shared" si="25"/>
        <v>0</v>
      </c>
      <c r="S294" s="470" t="s">
        <v>347</v>
      </c>
      <c r="T294" s="470">
        <f t="shared" si="26"/>
        <v>0</v>
      </c>
      <c r="U294" s="470" t="s">
        <v>347</v>
      </c>
      <c r="V294" s="111">
        <f>IF(OR(F294="none",G294="V"),0,VLOOKUP(F294,'Purchased Boons'!$AR$4:$AS$27,2,FALSE))</f>
        <v>0</v>
      </c>
      <c r="W294" s="39" t="s">
        <v>1764</v>
      </c>
      <c r="X294" s="37" t="s">
        <v>1764</v>
      </c>
      <c r="Y294" s="37" t="s">
        <v>1045</v>
      </c>
      <c r="Z294" s="111">
        <v>91</v>
      </c>
      <c r="AG294" s="24"/>
      <c r="AH294" s="24"/>
    </row>
    <row r="295" spans="1:34" x14ac:dyDescent="0.25">
      <c r="A295" s="39" t="s">
        <v>2392</v>
      </c>
      <c r="B295" s="36" t="s">
        <v>87</v>
      </c>
      <c r="C295" s="469">
        <v>5</v>
      </c>
      <c r="D295" s="470" t="s">
        <v>494</v>
      </c>
      <c r="E295" s="37">
        <f t="shared" si="18"/>
        <v>0</v>
      </c>
      <c r="F295" s="470" t="s">
        <v>494</v>
      </c>
      <c r="G295" s="37">
        <f t="shared" si="19"/>
        <v>0</v>
      </c>
      <c r="H295" s="37" t="s">
        <v>494</v>
      </c>
      <c r="I295" s="37">
        <f t="shared" si="20"/>
        <v>0</v>
      </c>
      <c r="J295" s="37" t="s">
        <v>347</v>
      </c>
      <c r="K295" s="37">
        <f t="shared" si="21"/>
        <v>0</v>
      </c>
      <c r="L295" s="37" t="s">
        <v>494</v>
      </c>
      <c r="M295" s="37">
        <f t="shared" si="22"/>
        <v>0</v>
      </c>
      <c r="N295" s="470" t="s">
        <v>347</v>
      </c>
      <c r="O295" s="470">
        <f t="shared" si="23"/>
        <v>0</v>
      </c>
      <c r="P295" s="37" t="str">
        <f t="shared" si="24"/>
        <v>None</v>
      </c>
      <c r="Q295" s="470" t="s">
        <v>347</v>
      </c>
      <c r="R295" s="37">
        <f t="shared" si="25"/>
        <v>0</v>
      </c>
      <c r="S295" s="470" t="s">
        <v>347</v>
      </c>
      <c r="T295" s="470">
        <f t="shared" si="26"/>
        <v>0</v>
      </c>
      <c r="U295" s="470" t="s">
        <v>347</v>
      </c>
      <c r="V295" s="111">
        <f>IF(OR(F295="none",G295="V"),0,VLOOKUP(F295,'Purchased Boons'!$AR$4:$AS$27,2,FALSE))</f>
        <v>0</v>
      </c>
      <c r="W295" s="39" t="s">
        <v>1764</v>
      </c>
      <c r="X295" s="37" t="s">
        <v>1764</v>
      </c>
      <c r="Y295" s="37" t="s">
        <v>1045</v>
      </c>
      <c r="Z295" s="111">
        <v>91</v>
      </c>
      <c r="AG295" s="24"/>
      <c r="AH295" s="24"/>
    </row>
    <row r="296" spans="1:34" x14ac:dyDescent="0.25">
      <c r="A296" s="39" t="s">
        <v>2402</v>
      </c>
      <c r="B296" s="36" t="s">
        <v>87</v>
      </c>
      <c r="C296" s="469">
        <v>5</v>
      </c>
      <c r="D296" s="470" t="s">
        <v>494</v>
      </c>
      <c r="E296" s="37">
        <f t="shared" si="18"/>
        <v>0</v>
      </c>
      <c r="F296" s="470" t="s">
        <v>494</v>
      </c>
      <c r="G296" s="37">
        <f t="shared" si="19"/>
        <v>0</v>
      </c>
      <c r="H296" s="37" t="s">
        <v>494</v>
      </c>
      <c r="I296" s="37">
        <f t="shared" si="20"/>
        <v>0</v>
      </c>
      <c r="J296" s="37" t="s">
        <v>347</v>
      </c>
      <c r="K296" s="37">
        <f t="shared" si="21"/>
        <v>0</v>
      </c>
      <c r="L296" s="37" t="s">
        <v>494</v>
      </c>
      <c r="M296" s="37">
        <f t="shared" si="22"/>
        <v>0</v>
      </c>
      <c r="N296" s="470" t="s">
        <v>347</v>
      </c>
      <c r="O296" s="470">
        <f t="shared" si="23"/>
        <v>0</v>
      </c>
      <c r="P296" s="37" t="str">
        <f t="shared" si="24"/>
        <v>None</v>
      </c>
      <c r="Q296" s="470" t="s">
        <v>347</v>
      </c>
      <c r="R296" s="37">
        <f t="shared" si="25"/>
        <v>0</v>
      </c>
      <c r="S296" s="470" t="s">
        <v>347</v>
      </c>
      <c r="T296" s="470">
        <f t="shared" si="26"/>
        <v>0</v>
      </c>
      <c r="U296" s="470" t="s">
        <v>347</v>
      </c>
      <c r="V296" s="111">
        <f>IF(OR(F296="none",G296="V"),0,VLOOKUP(F296,'Purchased Boons'!$AR$4:$AS$27,2,FALSE))</f>
        <v>0</v>
      </c>
      <c r="W296" s="39" t="s">
        <v>1764</v>
      </c>
      <c r="X296" s="37" t="s">
        <v>1764</v>
      </c>
      <c r="Y296" s="37" t="s">
        <v>1045</v>
      </c>
      <c r="Z296" s="111">
        <v>91</v>
      </c>
      <c r="AG296" s="24"/>
      <c r="AH296" s="24"/>
    </row>
    <row r="297" spans="1:34" x14ac:dyDescent="0.25">
      <c r="A297" s="39" t="s">
        <v>2592</v>
      </c>
      <c r="B297" s="36" t="s">
        <v>87</v>
      </c>
      <c r="C297" s="469">
        <v>5</v>
      </c>
      <c r="D297" s="470" t="s">
        <v>494</v>
      </c>
      <c r="E297" s="37">
        <f t="shared" si="18"/>
        <v>0</v>
      </c>
      <c r="F297" s="470" t="s">
        <v>494</v>
      </c>
      <c r="G297" s="37">
        <f t="shared" si="19"/>
        <v>0</v>
      </c>
      <c r="H297" s="37" t="s">
        <v>494</v>
      </c>
      <c r="I297" s="37">
        <f t="shared" si="20"/>
        <v>0</v>
      </c>
      <c r="J297" s="37" t="s">
        <v>347</v>
      </c>
      <c r="K297" s="37">
        <f t="shared" si="21"/>
        <v>0</v>
      </c>
      <c r="L297" s="37" t="s">
        <v>494</v>
      </c>
      <c r="M297" s="37">
        <f t="shared" si="22"/>
        <v>0</v>
      </c>
      <c r="N297" s="470" t="s">
        <v>347</v>
      </c>
      <c r="O297" s="470">
        <f t="shared" si="23"/>
        <v>0</v>
      </c>
      <c r="P297" s="37" t="str">
        <f t="shared" si="24"/>
        <v>None</v>
      </c>
      <c r="Q297" s="470" t="s">
        <v>347</v>
      </c>
      <c r="R297" s="37">
        <f t="shared" si="25"/>
        <v>0</v>
      </c>
      <c r="S297" s="470" t="s">
        <v>347</v>
      </c>
      <c r="T297" s="470">
        <f t="shared" si="26"/>
        <v>0</v>
      </c>
      <c r="U297" s="470" t="s">
        <v>347</v>
      </c>
      <c r="V297" s="111">
        <f>IF(OR(F297="none",G297="V"),0,VLOOKUP(F297,'Purchased Boons'!$AR$4:$AS$27,2,FALSE))</f>
        <v>0</v>
      </c>
      <c r="W297" s="39" t="s">
        <v>1764</v>
      </c>
      <c r="X297" s="37" t="s">
        <v>1764</v>
      </c>
      <c r="Y297" s="37" t="s">
        <v>1045</v>
      </c>
      <c r="Z297" s="111">
        <v>91</v>
      </c>
      <c r="AG297" s="24"/>
      <c r="AH297" s="24"/>
    </row>
    <row r="298" spans="1:34" x14ac:dyDescent="0.25">
      <c r="A298" s="39" t="s">
        <v>2412</v>
      </c>
      <c r="B298" s="36" t="s">
        <v>87</v>
      </c>
      <c r="C298" s="469">
        <v>5</v>
      </c>
      <c r="D298" s="470" t="s">
        <v>494</v>
      </c>
      <c r="E298" s="37">
        <f t="shared" si="18"/>
        <v>0</v>
      </c>
      <c r="F298" s="470" t="s">
        <v>494</v>
      </c>
      <c r="G298" s="37">
        <f t="shared" si="19"/>
        <v>0</v>
      </c>
      <c r="H298" s="37" t="s">
        <v>494</v>
      </c>
      <c r="I298" s="37">
        <f t="shared" si="20"/>
        <v>0</v>
      </c>
      <c r="J298" s="37" t="s">
        <v>347</v>
      </c>
      <c r="K298" s="37">
        <f t="shared" si="21"/>
        <v>0</v>
      </c>
      <c r="L298" s="37" t="s">
        <v>494</v>
      </c>
      <c r="M298" s="37">
        <f t="shared" si="22"/>
        <v>0</v>
      </c>
      <c r="N298" s="470" t="s">
        <v>347</v>
      </c>
      <c r="O298" s="470">
        <f t="shared" si="23"/>
        <v>0</v>
      </c>
      <c r="P298" s="37" t="str">
        <f t="shared" si="24"/>
        <v>None</v>
      </c>
      <c r="Q298" s="470" t="s">
        <v>347</v>
      </c>
      <c r="R298" s="37">
        <f t="shared" si="25"/>
        <v>0</v>
      </c>
      <c r="S298" s="470" t="s">
        <v>347</v>
      </c>
      <c r="T298" s="470">
        <f t="shared" si="26"/>
        <v>0</v>
      </c>
      <c r="U298" s="470" t="s">
        <v>347</v>
      </c>
      <c r="V298" s="111">
        <f>IF(OR(F298="none",G298="V"),0,VLOOKUP(F298,'Purchased Boons'!$AR$4:$AS$27,2,FALSE))</f>
        <v>0</v>
      </c>
      <c r="W298" s="39" t="s">
        <v>1764</v>
      </c>
      <c r="X298" s="37" t="s">
        <v>1764</v>
      </c>
      <c r="Y298" s="37" t="s">
        <v>1045</v>
      </c>
      <c r="Z298" s="111">
        <v>91</v>
      </c>
      <c r="AG298" s="24"/>
      <c r="AH298" s="24"/>
    </row>
    <row r="299" spans="1:34" x14ac:dyDescent="0.25">
      <c r="A299" s="39" t="s">
        <v>2422</v>
      </c>
      <c r="B299" s="36" t="s">
        <v>87</v>
      </c>
      <c r="C299" s="469">
        <v>5</v>
      </c>
      <c r="D299" s="470" t="s">
        <v>494</v>
      </c>
      <c r="E299" s="37">
        <f t="shared" si="18"/>
        <v>0</v>
      </c>
      <c r="F299" s="470" t="s">
        <v>494</v>
      </c>
      <c r="G299" s="37">
        <f t="shared" si="19"/>
        <v>0</v>
      </c>
      <c r="H299" s="37" t="s">
        <v>494</v>
      </c>
      <c r="I299" s="37">
        <f t="shared" si="20"/>
        <v>0</v>
      </c>
      <c r="J299" s="37" t="s">
        <v>347</v>
      </c>
      <c r="K299" s="37">
        <f t="shared" si="21"/>
        <v>0</v>
      </c>
      <c r="L299" s="37" t="s">
        <v>494</v>
      </c>
      <c r="M299" s="37">
        <f t="shared" si="22"/>
        <v>0</v>
      </c>
      <c r="N299" s="470" t="s">
        <v>347</v>
      </c>
      <c r="O299" s="470">
        <f t="shared" si="23"/>
        <v>0</v>
      </c>
      <c r="P299" s="37" t="str">
        <f t="shared" si="24"/>
        <v>None</v>
      </c>
      <c r="Q299" s="470" t="s">
        <v>347</v>
      </c>
      <c r="R299" s="37">
        <f t="shared" si="25"/>
        <v>0</v>
      </c>
      <c r="S299" s="470" t="s">
        <v>347</v>
      </c>
      <c r="T299" s="470">
        <f t="shared" si="26"/>
        <v>0</v>
      </c>
      <c r="U299" s="470" t="s">
        <v>347</v>
      </c>
      <c r="V299" s="111">
        <f>IF(OR(F299="none",G299="V"),0,VLOOKUP(F299,'Purchased Boons'!$AR$4:$AS$27,2,FALSE))</f>
        <v>0</v>
      </c>
      <c r="W299" s="39" t="s">
        <v>1764</v>
      </c>
      <c r="X299" s="37" t="s">
        <v>1764</v>
      </c>
      <c r="Y299" s="37" t="s">
        <v>1045</v>
      </c>
      <c r="Z299" s="111">
        <v>91</v>
      </c>
      <c r="AG299" s="24"/>
      <c r="AH299" s="24"/>
    </row>
    <row r="300" spans="1:34" x14ac:dyDescent="0.25">
      <c r="A300" s="39" t="s">
        <v>2432</v>
      </c>
      <c r="B300" s="36" t="s">
        <v>87</v>
      </c>
      <c r="C300" s="469">
        <v>5</v>
      </c>
      <c r="D300" s="470" t="s">
        <v>494</v>
      </c>
      <c r="E300" s="37">
        <f t="shared" si="18"/>
        <v>0</v>
      </c>
      <c r="F300" s="470" t="s">
        <v>494</v>
      </c>
      <c r="G300" s="37">
        <f t="shared" si="19"/>
        <v>0</v>
      </c>
      <c r="H300" s="37" t="s">
        <v>494</v>
      </c>
      <c r="I300" s="37">
        <f t="shared" si="20"/>
        <v>0</v>
      </c>
      <c r="J300" s="37" t="s">
        <v>347</v>
      </c>
      <c r="K300" s="37">
        <f t="shared" si="21"/>
        <v>0</v>
      </c>
      <c r="L300" s="37" t="s">
        <v>494</v>
      </c>
      <c r="M300" s="37">
        <f t="shared" si="22"/>
        <v>0</v>
      </c>
      <c r="N300" s="470" t="s">
        <v>347</v>
      </c>
      <c r="O300" s="470">
        <f t="shared" si="23"/>
        <v>0</v>
      </c>
      <c r="P300" s="37" t="str">
        <f t="shared" si="24"/>
        <v>None</v>
      </c>
      <c r="Q300" s="470" t="s">
        <v>347</v>
      </c>
      <c r="R300" s="37">
        <f t="shared" si="25"/>
        <v>0</v>
      </c>
      <c r="S300" s="470" t="s">
        <v>347</v>
      </c>
      <c r="T300" s="470">
        <f t="shared" si="26"/>
        <v>0</v>
      </c>
      <c r="U300" s="470" t="s">
        <v>347</v>
      </c>
      <c r="V300" s="111">
        <f>IF(OR(F300="none",G300="V"),0,VLOOKUP(F300,'Purchased Boons'!$AR$4:$AS$27,2,FALSE))</f>
        <v>0</v>
      </c>
      <c r="W300" s="39" t="s">
        <v>1764</v>
      </c>
      <c r="X300" s="37" t="s">
        <v>1764</v>
      </c>
      <c r="Y300" s="37" t="s">
        <v>1045</v>
      </c>
      <c r="Z300" s="111">
        <v>91</v>
      </c>
      <c r="AG300" s="24"/>
      <c r="AH300" s="24"/>
    </row>
    <row r="301" spans="1:34" x14ac:dyDescent="0.25">
      <c r="A301" s="39" t="s">
        <v>2442</v>
      </c>
      <c r="B301" s="36" t="s">
        <v>87</v>
      </c>
      <c r="C301" s="469">
        <v>5</v>
      </c>
      <c r="D301" s="470" t="s">
        <v>494</v>
      </c>
      <c r="E301" s="37">
        <f t="shared" si="18"/>
        <v>0</v>
      </c>
      <c r="F301" s="470" t="s">
        <v>494</v>
      </c>
      <c r="G301" s="37">
        <f t="shared" si="19"/>
        <v>0</v>
      </c>
      <c r="H301" s="37" t="s">
        <v>494</v>
      </c>
      <c r="I301" s="37">
        <f t="shared" si="20"/>
        <v>0</v>
      </c>
      <c r="J301" s="37" t="s">
        <v>347</v>
      </c>
      <c r="K301" s="37">
        <f t="shared" si="21"/>
        <v>0</v>
      </c>
      <c r="L301" s="37" t="s">
        <v>494</v>
      </c>
      <c r="M301" s="37">
        <f t="shared" si="22"/>
        <v>0</v>
      </c>
      <c r="N301" s="470" t="s">
        <v>347</v>
      </c>
      <c r="O301" s="470">
        <f t="shared" si="23"/>
        <v>0</v>
      </c>
      <c r="P301" s="37" t="str">
        <f t="shared" si="24"/>
        <v>None</v>
      </c>
      <c r="Q301" s="470" t="s">
        <v>347</v>
      </c>
      <c r="R301" s="37">
        <f t="shared" si="25"/>
        <v>0</v>
      </c>
      <c r="S301" s="470" t="s">
        <v>347</v>
      </c>
      <c r="T301" s="470">
        <f t="shared" si="26"/>
        <v>0</v>
      </c>
      <c r="U301" s="470" t="s">
        <v>347</v>
      </c>
      <c r="V301" s="111">
        <f>IF(OR(F301="none",G301="V"),0,VLOOKUP(F301,'Purchased Boons'!$AR$4:$AS$27,2,FALSE))</f>
        <v>0</v>
      </c>
      <c r="W301" s="39" t="s">
        <v>1764</v>
      </c>
      <c r="X301" s="37" t="s">
        <v>1764</v>
      </c>
      <c r="Y301" s="37" t="s">
        <v>1045</v>
      </c>
      <c r="Z301" s="111">
        <v>91</v>
      </c>
      <c r="AG301" s="24"/>
      <c r="AH301" s="24"/>
    </row>
    <row r="302" spans="1:34" x14ac:dyDescent="0.25">
      <c r="A302" s="39" t="s">
        <v>2602</v>
      </c>
      <c r="B302" s="36" t="s">
        <v>87</v>
      </c>
      <c r="C302" s="469">
        <v>5</v>
      </c>
      <c r="D302" s="470" t="s">
        <v>494</v>
      </c>
      <c r="E302" s="37">
        <f t="shared" si="18"/>
        <v>0</v>
      </c>
      <c r="F302" s="470" t="s">
        <v>494</v>
      </c>
      <c r="G302" s="37">
        <f t="shared" si="19"/>
        <v>0</v>
      </c>
      <c r="H302" s="37" t="s">
        <v>494</v>
      </c>
      <c r="I302" s="37">
        <f t="shared" si="20"/>
        <v>0</v>
      </c>
      <c r="J302" s="37" t="s">
        <v>347</v>
      </c>
      <c r="K302" s="37">
        <f t="shared" si="21"/>
        <v>0</v>
      </c>
      <c r="L302" s="37" t="s">
        <v>494</v>
      </c>
      <c r="M302" s="37">
        <f t="shared" si="22"/>
        <v>0</v>
      </c>
      <c r="N302" s="470" t="s">
        <v>347</v>
      </c>
      <c r="O302" s="470">
        <f t="shared" si="23"/>
        <v>0</v>
      </c>
      <c r="P302" s="37" t="str">
        <f t="shared" si="24"/>
        <v>None</v>
      </c>
      <c r="Q302" s="470" t="s">
        <v>347</v>
      </c>
      <c r="R302" s="37">
        <f t="shared" si="25"/>
        <v>0</v>
      </c>
      <c r="S302" s="470" t="s">
        <v>347</v>
      </c>
      <c r="T302" s="470">
        <f t="shared" si="26"/>
        <v>0</v>
      </c>
      <c r="U302" s="470" t="s">
        <v>347</v>
      </c>
      <c r="V302" s="111">
        <f>IF(OR(F302="none",G302="V"),0,VLOOKUP(F302,'Purchased Boons'!$AR$4:$AS$27,2,FALSE))</f>
        <v>0</v>
      </c>
      <c r="W302" s="39" t="s">
        <v>1764</v>
      </c>
      <c r="X302" s="37" t="s">
        <v>1764</v>
      </c>
      <c r="Y302" s="37" t="s">
        <v>1045</v>
      </c>
      <c r="Z302" s="111">
        <v>91</v>
      </c>
      <c r="AG302" s="24"/>
      <c r="AH302" s="24"/>
    </row>
    <row r="303" spans="1:34" x14ac:dyDescent="0.25">
      <c r="A303" s="39" t="s">
        <v>2612</v>
      </c>
      <c r="B303" s="36" t="s">
        <v>87</v>
      </c>
      <c r="C303" s="469">
        <v>5</v>
      </c>
      <c r="D303" s="470" t="s">
        <v>494</v>
      </c>
      <c r="E303" s="37">
        <f t="shared" si="18"/>
        <v>0</v>
      </c>
      <c r="F303" s="470" t="s">
        <v>494</v>
      </c>
      <c r="G303" s="37">
        <f t="shared" si="19"/>
        <v>0</v>
      </c>
      <c r="H303" s="37" t="s">
        <v>494</v>
      </c>
      <c r="I303" s="37">
        <f t="shared" si="20"/>
        <v>0</v>
      </c>
      <c r="J303" s="37" t="s">
        <v>347</v>
      </c>
      <c r="K303" s="37">
        <f t="shared" si="21"/>
        <v>0</v>
      </c>
      <c r="L303" s="37" t="s">
        <v>494</v>
      </c>
      <c r="M303" s="37">
        <f t="shared" si="22"/>
        <v>0</v>
      </c>
      <c r="N303" s="470" t="s">
        <v>347</v>
      </c>
      <c r="O303" s="470">
        <f t="shared" si="23"/>
        <v>0</v>
      </c>
      <c r="P303" s="37" t="str">
        <f t="shared" si="24"/>
        <v>None</v>
      </c>
      <c r="Q303" s="470" t="s">
        <v>347</v>
      </c>
      <c r="R303" s="37">
        <f t="shared" si="25"/>
        <v>0</v>
      </c>
      <c r="S303" s="470" t="s">
        <v>347</v>
      </c>
      <c r="T303" s="470">
        <f t="shared" si="26"/>
        <v>0</v>
      </c>
      <c r="U303" s="470" t="s">
        <v>347</v>
      </c>
      <c r="V303" s="111">
        <f>IF(OR(F303="none",G303="V"),0,VLOOKUP(F303,'Purchased Boons'!$AR$4:$AS$27,2,FALSE))</f>
        <v>0</v>
      </c>
      <c r="W303" s="39" t="s">
        <v>1764</v>
      </c>
      <c r="X303" s="37" t="s">
        <v>1764</v>
      </c>
      <c r="Y303" s="37" t="s">
        <v>1045</v>
      </c>
      <c r="Z303" s="111">
        <v>91</v>
      </c>
      <c r="AG303" s="24"/>
      <c r="AH303" s="24"/>
    </row>
    <row r="304" spans="1:34" x14ac:dyDescent="0.25">
      <c r="A304" s="39" t="s">
        <v>2452</v>
      </c>
      <c r="B304" s="36" t="s">
        <v>87</v>
      </c>
      <c r="C304" s="469">
        <v>5</v>
      </c>
      <c r="D304" s="470" t="s">
        <v>494</v>
      </c>
      <c r="E304" s="37">
        <f t="shared" si="18"/>
        <v>0</v>
      </c>
      <c r="F304" s="470" t="s">
        <v>494</v>
      </c>
      <c r="G304" s="37">
        <f t="shared" si="19"/>
        <v>0</v>
      </c>
      <c r="H304" s="37" t="s">
        <v>494</v>
      </c>
      <c r="I304" s="37">
        <f t="shared" si="20"/>
        <v>0</v>
      </c>
      <c r="J304" s="37" t="s">
        <v>347</v>
      </c>
      <c r="K304" s="37">
        <f t="shared" si="21"/>
        <v>0</v>
      </c>
      <c r="L304" s="37" t="s">
        <v>494</v>
      </c>
      <c r="M304" s="37">
        <f t="shared" si="22"/>
        <v>0</v>
      </c>
      <c r="N304" s="470" t="s">
        <v>347</v>
      </c>
      <c r="O304" s="470">
        <f t="shared" si="23"/>
        <v>0</v>
      </c>
      <c r="P304" s="37" t="str">
        <f t="shared" si="24"/>
        <v>None</v>
      </c>
      <c r="Q304" s="470" t="s">
        <v>347</v>
      </c>
      <c r="R304" s="37">
        <f t="shared" si="25"/>
        <v>0</v>
      </c>
      <c r="S304" s="470" t="s">
        <v>347</v>
      </c>
      <c r="T304" s="470">
        <f t="shared" si="26"/>
        <v>0</v>
      </c>
      <c r="U304" s="470" t="s">
        <v>347</v>
      </c>
      <c r="V304" s="111">
        <f>IF(OR(F304="none",G304="V"),0,VLOOKUP(F304,'Purchased Boons'!$AR$4:$AS$27,2,FALSE))</f>
        <v>0</v>
      </c>
      <c r="W304" s="39" t="s">
        <v>1764</v>
      </c>
      <c r="X304" s="37" t="s">
        <v>1764</v>
      </c>
      <c r="Y304" s="37" t="s">
        <v>1045</v>
      </c>
      <c r="Z304" s="111">
        <v>91</v>
      </c>
      <c r="AG304" s="24"/>
      <c r="AH304" s="24"/>
    </row>
    <row r="305" spans="1:34" x14ac:dyDescent="0.25">
      <c r="A305" s="39" t="s">
        <v>2462</v>
      </c>
      <c r="B305" s="36" t="s">
        <v>87</v>
      </c>
      <c r="C305" s="469">
        <v>5</v>
      </c>
      <c r="D305" s="470" t="s">
        <v>494</v>
      </c>
      <c r="E305" s="37">
        <f t="shared" si="18"/>
        <v>0</v>
      </c>
      <c r="F305" s="470" t="s">
        <v>494</v>
      </c>
      <c r="G305" s="37">
        <f t="shared" si="19"/>
        <v>0</v>
      </c>
      <c r="H305" s="37" t="s">
        <v>494</v>
      </c>
      <c r="I305" s="37">
        <f t="shared" si="20"/>
        <v>0</v>
      </c>
      <c r="J305" s="37" t="s">
        <v>347</v>
      </c>
      <c r="K305" s="37">
        <f t="shared" si="21"/>
        <v>0</v>
      </c>
      <c r="L305" s="37" t="s">
        <v>494</v>
      </c>
      <c r="M305" s="37">
        <f t="shared" si="22"/>
        <v>0</v>
      </c>
      <c r="N305" s="470" t="s">
        <v>347</v>
      </c>
      <c r="O305" s="470">
        <f t="shared" si="23"/>
        <v>0</v>
      </c>
      <c r="P305" s="37" t="str">
        <f t="shared" si="24"/>
        <v>None</v>
      </c>
      <c r="Q305" s="470" t="s">
        <v>347</v>
      </c>
      <c r="R305" s="37">
        <f t="shared" si="25"/>
        <v>0</v>
      </c>
      <c r="S305" s="470" t="s">
        <v>347</v>
      </c>
      <c r="T305" s="470">
        <f t="shared" si="26"/>
        <v>0</v>
      </c>
      <c r="U305" s="470" t="s">
        <v>347</v>
      </c>
      <c r="V305" s="111">
        <f>IF(OR(F305="none",G305="V"),0,VLOOKUP(F305,'Purchased Boons'!$AR$4:$AS$27,2,FALSE))</f>
        <v>0</v>
      </c>
      <c r="W305" s="39" t="s">
        <v>1764</v>
      </c>
      <c r="X305" s="37" t="s">
        <v>1764</v>
      </c>
      <c r="Y305" s="37" t="s">
        <v>1045</v>
      </c>
      <c r="Z305" s="111">
        <v>91</v>
      </c>
      <c r="AG305" s="24"/>
      <c r="AH305" s="24"/>
    </row>
    <row r="306" spans="1:34" x14ac:dyDescent="0.25">
      <c r="A306" s="39" t="s">
        <v>2472</v>
      </c>
      <c r="B306" s="36" t="s">
        <v>87</v>
      </c>
      <c r="C306" s="469">
        <v>5</v>
      </c>
      <c r="D306" s="470" t="s">
        <v>494</v>
      </c>
      <c r="E306" s="37">
        <f t="shared" si="18"/>
        <v>0</v>
      </c>
      <c r="F306" s="470" t="s">
        <v>494</v>
      </c>
      <c r="G306" s="37">
        <f t="shared" si="19"/>
        <v>0</v>
      </c>
      <c r="H306" s="37" t="s">
        <v>494</v>
      </c>
      <c r="I306" s="37">
        <f t="shared" si="20"/>
        <v>0</v>
      </c>
      <c r="J306" s="37" t="s">
        <v>347</v>
      </c>
      <c r="K306" s="37">
        <f t="shared" si="21"/>
        <v>0</v>
      </c>
      <c r="L306" s="37" t="s">
        <v>494</v>
      </c>
      <c r="M306" s="37">
        <f t="shared" si="22"/>
        <v>0</v>
      </c>
      <c r="N306" s="470" t="s">
        <v>347</v>
      </c>
      <c r="O306" s="470">
        <f t="shared" si="23"/>
        <v>0</v>
      </c>
      <c r="P306" s="37" t="str">
        <f t="shared" si="24"/>
        <v>None</v>
      </c>
      <c r="Q306" s="470" t="s">
        <v>347</v>
      </c>
      <c r="R306" s="37">
        <f t="shared" si="25"/>
        <v>0</v>
      </c>
      <c r="S306" s="470" t="s">
        <v>347</v>
      </c>
      <c r="T306" s="470">
        <f t="shared" si="26"/>
        <v>0</v>
      </c>
      <c r="U306" s="470" t="s">
        <v>347</v>
      </c>
      <c r="V306" s="111">
        <f>IF(OR(F306="none",G306="V"),0,VLOOKUP(F306,'Purchased Boons'!$AR$4:$AS$27,2,FALSE))</f>
        <v>0</v>
      </c>
      <c r="W306" s="39" t="s">
        <v>1764</v>
      </c>
      <c r="X306" s="37" t="s">
        <v>1764</v>
      </c>
      <c r="Y306" s="37" t="s">
        <v>1045</v>
      </c>
      <c r="Z306" s="111">
        <v>91</v>
      </c>
      <c r="AG306" s="24"/>
      <c r="AH306" s="24"/>
    </row>
    <row r="307" spans="1:34" x14ac:dyDescent="0.25">
      <c r="A307" s="39" t="s">
        <v>2482</v>
      </c>
      <c r="B307" s="36" t="s">
        <v>87</v>
      </c>
      <c r="C307" s="469">
        <v>5</v>
      </c>
      <c r="D307" s="470" t="s">
        <v>494</v>
      </c>
      <c r="E307" s="37">
        <f t="shared" si="18"/>
        <v>0</v>
      </c>
      <c r="F307" s="470" t="s">
        <v>494</v>
      </c>
      <c r="G307" s="37">
        <f t="shared" si="19"/>
        <v>0</v>
      </c>
      <c r="H307" s="37" t="s">
        <v>494</v>
      </c>
      <c r="I307" s="37">
        <f t="shared" si="20"/>
        <v>0</v>
      </c>
      <c r="J307" s="37" t="s">
        <v>347</v>
      </c>
      <c r="K307" s="37">
        <f t="shared" si="21"/>
        <v>0</v>
      </c>
      <c r="L307" s="37" t="s">
        <v>494</v>
      </c>
      <c r="M307" s="37">
        <f t="shared" si="22"/>
        <v>0</v>
      </c>
      <c r="N307" s="470" t="s">
        <v>347</v>
      </c>
      <c r="O307" s="470">
        <f t="shared" si="23"/>
        <v>0</v>
      </c>
      <c r="P307" s="37" t="str">
        <f t="shared" si="24"/>
        <v>None</v>
      </c>
      <c r="Q307" s="470" t="s">
        <v>347</v>
      </c>
      <c r="R307" s="37">
        <f t="shared" si="25"/>
        <v>0</v>
      </c>
      <c r="S307" s="470" t="s">
        <v>347</v>
      </c>
      <c r="T307" s="470">
        <f t="shared" si="26"/>
        <v>0</v>
      </c>
      <c r="U307" s="470" t="s">
        <v>347</v>
      </c>
      <c r="V307" s="111">
        <f>IF(OR(F307="none",G307="V"),0,VLOOKUP(F307,'Purchased Boons'!$AR$4:$AS$27,2,FALSE))</f>
        <v>0</v>
      </c>
      <c r="W307" s="39" t="s">
        <v>1764</v>
      </c>
      <c r="X307" s="37" t="s">
        <v>1764</v>
      </c>
      <c r="Y307" s="37" t="s">
        <v>1045</v>
      </c>
      <c r="Z307" s="111">
        <v>91</v>
      </c>
      <c r="AG307" s="24"/>
      <c r="AH307" s="24"/>
    </row>
    <row r="308" spans="1:34" x14ac:dyDescent="0.25">
      <c r="A308" s="39" t="s">
        <v>2492</v>
      </c>
      <c r="B308" s="36" t="s">
        <v>87</v>
      </c>
      <c r="C308" s="469">
        <v>5</v>
      </c>
      <c r="D308" s="470" t="s">
        <v>494</v>
      </c>
      <c r="E308" s="37">
        <f t="shared" si="18"/>
        <v>0</v>
      </c>
      <c r="F308" s="470" t="s">
        <v>494</v>
      </c>
      <c r="G308" s="37">
        <f t="shared" si="19"/>
        <v>0</v>
      </c>
      <c r="H308" s="37" t="s">
        <v>494</v>
      </c>
      <c r="I308" s="37">
        <f t="shared" si="20"/>
        <v>0</v>
      </c>
      <c r="J308" s="37" t="s">
        <v>347</v>
      </c>
      <c r="K308" s="37">
        <f t="shared" si="21"/>
        <v>0</v>
      </c>
      <c r="L308" s="37" t="s">
        <v>494</v>
      </c>
      <c r="M308" s="37">
        <f t="shared" si="22"/>
        <v>0</v>
      </c>
      <c r="N308" s="470" t="s">
        <v>347</v>
      </c>
      <c r="O308" s="470">
        <f t="shared" si="23"/>
        <v>0</v>
      </c>
      <c r="P308" s="37" t="str">
        <f t="shared" si="24"/>
        <v>None</v>
      </c>
      <c r="Q308" s="470" t="s">
        <v>347</v>
      </c>
      <c r="R308" s="37">
        <f t="shared" si="25"/>
        <v>0</v>
      </c>
      <c r="S308" s="470" t="s">
        <v>347</v>
      </c>
      <c r="T308" s="470">
        <f t="shared" si="26"/>
        <v>0</v>
      </c>
      <c r="U308" s="470" t="s">
        <v>347</v>
      </c>
      <c r="V308" s="111">
        <f>IF(OR(F308="none",G308="V"),0,VLOOKUP(F308,'Purchased Boons'!$AR$4:$AS$27,2,FALSE))</f>
        <v>0</v>
      </c>
      <c r="W308" s="39" t="s">
        <v>1764</v>
      </c>
      <c r="X308" s="37" t="s">
        <v>1764</v>
      </c>
      <c r="Y308" s="37" t="s">
        <v>1045</v>
      </c>
      <c r="Z308" s="111">
        <v>91</v>
      </c>
      <c r="AG308" s="24"/>
      <c r="AH308" s="24"/>
    </row>
    <row r="309" spans="1:34" x14ac:dyDescent="0.25">
      <c r="A309" s="39" t="s">
        <v>2502</v>
      </c>
      <c r="B309" s="36" t="s">
        <v>87</v>
      </c>
      <c r="C309" s="469">
        <v>5</v>
      </c>
      <c r="D309" s="470" t="s">
        <v>494</v>
      </c>
      <c r="E309" s="37">
        <f t="shared" si="18"/>
        <v>0</v>
      </c>
      <c r="F309" s="470" t="s">
        <v>494</v>
      </c>
      <c r="G309" s="37">
        <f t="shared" si="19"/>
        <v>0</v>
      </c>
      <c r="H309" s="37" t="s">
        <v>494</v>
      </c>
      <c r="I309" s="37">
        <f t="shared" si="20"/>
        <v>0</v>
      </c>
      <c r="J309" s="37" t="s">
        <v>347</v>
      </c>
      <c r="K309" s="37">
        <f t="shared" si="21"/>
        <v>0</v>
      </c>
      <c r="L309" s="37" t="s">
        <v>494</v>
      </c>
      <c r="M309" s="37">
        <f t="shared" si="22"/>
        <v>0</v>
      </c>
      <c r="N309" s="470" t="s">
        <v>347</v>
      </c>
      <c r="O309" s="470">
        <f t="shared" si="23"/>
        <v>0</v>
      </c>
      <c r="P309" s="37" t="str">
        <f t="shared" si="24"/>
        <v>None</v>
      </c>
      <c r="Q309" s="470" t="s">
        <v>347</v>
      </c>
      <c r="R309" s="37">
        <f t="shared" si="25"/>
        <v>0</v>
      </c>
      <c r="S309" s="470" t="s">
        <v>347</v>
      </c>
      <c r="T309" s="470">
        <f t="shared" si="26"/>
        <v>0</v>
      </c>
      <c r="U309" s="470" t="s">
        <v>347</v>
      </c>
      <c r="V309" s="111">
        <f>IF(OR(F309="none",G309="V"),0,VLOOKUP(F309,'Purchased Boons'!$AR$4:$AS$27,2,FALSE))</f>
        <v>0</v>
      </c>
      <c r="W309" s="39" t="s">
        <v>1764</v>
      </c>
      <c r="X309" s="37" t="s">
        <v>1764</v>
      </c>
      <c r="Y309" s="37" t="s">
        <v>1045</v>
      </c>
      <c r="Z309" s="111">
        <v>91</v>
      </c>
      <c r="AG309" s="24"/>
      <c r="AH309" s="24"/>
    </row>
    <row r="310" spans="1:34" x14ac:dyDescent="0.25">
      <c r="A310" s="39" t="s">
        <v>2512</v>
      </c>
      <c r="B310" s="36" t="s">
        <v>87</v>
      </c>
      <c r="C310" s="469">
        <v>5</v>
      </c>
      <c r="D310" s="470" t="s">
        <v>494</v>
      </c>
      <c r="E310" s="37">
        <f t="shared" si="18"/>
        <v>0</v>
      </c>
      <c r="F310" s="470" t="s">
        <v>494</v>
      </c>
      <c r="G310" s="37">
        <f t="shared" si="19"/>
        <v>0</v>
      </c>
      <c r="H310" s="37" t="s">
        <v>494</v>
      </c>
      <c r="I310" s="37">
        <f t="shared" si="20"/>
        <v>0</v>
      </c>
      <c r="J310" s="37" t="s">
        <v>347</v>
      </c>
      <c r="K310" s="37">
        <f t="shared" si="21"/>
        <v>0</v>
      </c>
      <c r="L310" s="37" t="s">
        <v>494</v>
      </c>
      <c r="M310" s="37">
        <f t="shared" si="22"/>
        <v>0</v>
      </c>
      <c r="N310" s="470" t="s">
        <v>347</v>
      </c>
      <c r="O310" s="470">
        <f t="shared" si="23"/>
        <v>0</v>
      </c>
      <c r="P310" s="37" t="str">
        <f t="shared" si="24"/>
        <v>None</v>
      </c>
      <c r="Q310" s="470" t="s">
        <v>347</v>
      </c>
      <c r="R310" s="37">
        <f t="shared" si="25"/>
        <v>0</v>
      </c>
      <c r="S310" s="470" t="s">
        <v>347</v>
      </c>
      <c r="T310" s="470">
        <f t="shared" si="26"/>
        <v>0</v>
      </c>
      <c r="U310" s="470" t="s">
        <v>347</v>
      </c>
      <c r="V310" s="111">
        <f>IF(OR(F310="none",G310="V"),0,VLOOKUP(F310,'Purchased Boons'!$AR$4:$AS$27,2,FALSE))</f>
        <v>0</v>
      </c>
      <c r="W310" s="39" t="s">
        <v>1764</v>
      </c>
      <c r="X310" s="37" t="s">
        <v>1764</v>
      </c>
      <c r="Y310" s="37" t="s">
        <v>1045</v>
      </c>
      <c r="Z310" s="111">
        <v>91</v>
      </c>
      <c r="AG310" s="24"/>
      <c r="AH310" s="24"/>
    </row>
    <row r="311" spans="1:34" x14ac:dyDescent="0.25">
      <c r="A311" s="39" t="s">
        <v>2522</v>
      </c>
      <c r="B311" s="36" t="s">
        <v>87</v>
      </c>
      <c r="C311" s="469">
        <v>5</v>
      </c>
      <c r="D311" s="470" t="s">
        <v>494</v>
      </c>
      <c r="E311" s="37">
        <f t="shared" si="18"/>
        <v>0</v>
      </c>
      <c r="F311" s="470" t="s">
        <v>494</v>
      </c>
      <c r="G311" s="37">
        <f t="shared" si="19"/>
        <v>0</v>
      </c>
      <c r="H311" s="37" t="s">
        <v>494</v>
      </c>
      <c r="I311" s="37">
        <f t="shared" si="20"/>
        <v>0</v>
      </c>
      <c r="J311" s="37" t="s">
        <v>347</v>
      </c>
      <c r="K311" s="37">
        <f t="shared" si="21"/>
        <v>0</v>
      </c>
      <c r="L311" s="37" t="s">
        <v>494</v>
      </c>
      <c r="M311" s="37">
        <f t="shared" si="22"/>
        <v>0</v>
      </c>
      <c r="N311" s="470" t="s">
        <v>347</v>
      </c>
      <c r="O311" s="470">
        <f t="shared" si="23"/>
        <v>0</v>
      </c>
      <c r="P311" s="37" t="str">
        <f t="shared" si="24"/>
        <v>None</v>
      </c>
      <c r="Q311" s="470" t="s">
        <v>347</v>
      </c>
      <c r="R311" s="37">
        <f t="shared" si="25"/>
        <v>0</v>
      </c>
      <c r="S311" s="470" t="s">
        <v>347</v>
      </c>
      <c r="T311" s="470">
        <f t="shared" si="26"/>
        <v>0</v>
      </c>
      <c r="U311" s="470" t="s">
        <v>347</v>
      </c>
      <c r="V311" s="111">
        <f>IF(OR(F311="none",G311="V"),0,VLOOKUP(F311,'Purchased Boons'!$AR$4:$AS$27,2,FALSE))</f>
        <v>0</v>
      </c>
      <c r="W311" s="39" t="s">
        <v>1764</v>
      </c>
      <c r="X311" s="37" t="s">
        <v>1764</v>
      </c>
      <c r="Y311" s="37" t="s">
        <v>1045</v>
      </c>
      <c r="Z311" s="111">
        <v>91</v>
      </c>
      <c r="AG311" s="24"/>
      <c r="AH311" s="24"/>
    </row>
    <row r="312" spans="1:34" x14ac:dyDescent="0.25">
      <c r="A312" s="39" t="s">
        <v>2532</v>
      </c>
      <c r="B312" s="36" t="s">
        <v>87</v>
      </c>
      <c r="C312" s="469">
        <v>5</v>
      </c>
      <c r="D312" s="470" t="s">
        <v>494</v>
      </c>
      <c r="E312" s="37">
        <f t="shared" si="18"/>
        <v>0</v>
      </c>
      <c r="F312" s="470" t="s">
        <v>494</v>
      </c>
      <c r="G312" s="37">
        <f t="shared" si="19"/>
        <v>0</v>
      </c>
      <c r="H312" s="37" t="s">
        <v>494</v>
      </c>
      <c r="I312" s="37">
        <f t="shared" si="20"/>
        <v>0</v>
      </c>
      <c r="J312" s="37" t="s">
        <v>347</v>
      </c>
      <c r="K312" s="37">
        <f t="shared" si="21"/>
        <v>0</v>
      </c>
      <c r="L312" s="37" t="s">
        <v>494</v>
      </c>
      <c r="M312" s="37">
        <f t="shared" si="22"/>
        <v>0</v>
      </c>
      <c r="N312" s="470" t="s">
        <v>347</v>
      </c>
      <c r="O312" s="470">
        <f t="shared" si="23"/>
        <v>0</v>
      </c>
      <c r="P312" s="37" t="str">
        <f t="shared" si="24"/>
        <v>None</v>
      </c>
      <c r="Q312" s="470" t="s">
        <v>347</v>
      </c>
      <c r="R312" s="37">
        <f t="shared" si="25"/>
        <v>0</v>
      </c>
      <c r="S312" s="470" t="s">
        <v>347</v>
      </c>
      <c r="T312" s="470">
        <f t="shared" si="26"/>
        <v>0</v>
      </c>
      <c r="U312" s="470" t="s">
        <v>347</v>
      </c>
      <c r="V312" s="111">
        <f>IF(OR(F312="none",G312="V"),0,VLOOKUP(F312,'Purchased Boons'!$AR$4:$AS$27,2,FALSE))</f>
        <v>0</v>
      </c>
      <c r="W312" s="39" t="s">
        <v>1764</v>
      </c>
      <c r="X312" s="37" t="s">
        <v>1764</v>
      </c>
      <c r="Y312" s="37" t="s">
        <v>1045</v>
      </c>
      <c r="Z312" s="111">
        <v>91</v>
      </c>
      <c r="AG312" s="24"/>
      <c r="AH312" s="24"/>
    </row>
    <row r="313" spans="1:34" x14ac:dyDescent="0.25">
      <c r="A313" s="39" t="s">
        <v>2542</v>
      </c>
      <c r="B313" s="36" t="s">
        <v>87</v>
      </c>
      <c r="C313" s="469">
        <v>5</v>
      </c>
      <c r="D313" s="470" t="s">
        <v>494</v>
      </c>
      <c r="E313" s="37">
        <f t="shared" si="18"/>
        <v>0</v>
      </c>
      <c r="F313" s="470" t="s">
        <v>494</v>
      </c>
      <c r="G313" s="37">
        <f t="shared" si="19"/>
        <v>0</v>
      </c>
      <c r="H313" s="37" t="s">
        <v>494</v>
      </c>
      <c r="I313" s="37">
        <f t="shared" si="20"/>
        <v>0</v>
      </c>
      <c r="J313" s="37" t="s">
        <v>347</v>
      </c>
      <c r="K313" s="37">
        <f t="shared" si="21"/>
        <v>0</v>
      </c>
      <c r="L313" s="37" t="s">
        <v>494</v>
      </c>
      <c r="M313" s="37">
        <f t="shared" si="22"/>
        <v>0</v>
      </c>
      <c r="N313" s="470" t="s">
        <v>347</v>
      </c>
      <c r="O313" s="470">
        <f t="shared" si="23"/>
        <v>0</v>
      </c>
      <c r="P313" s="37" t="str">
        <f t="shared" si="24"/>
        <v>None</v>
      </c>
      <c r="Q313" s="470" t="s">
        <v>347</v>
      </c>
      <c r="R313" s="37">
        <f t="shared" si="25"/>
        <v>0</v>
      </c>
      <c r="S313" s="470" t="s">
        <v>347</v>
      </c>
      <c r="T313" s="470">
        <f t="shared" si="26"/>
        <v>0</v>
      </c>
      <c r="U313" s="470" t="s">
        <v>347</v>
      </c>
      <c r="V313" s="111">
        <f>IF(OR(F313="none",G313="V"),0,VLOOKUP(F313,'Purchased Boons'!$AR$4:$AS$27,2,FALSE))</f>
        <v>0</v>
      </c>
      <c r="W313" s="39" t="s">
        <v>1764</v>
      </c>
      <c r="X313" s="37" t="s">
        <v>1764</v>
      </c>
      <c r="Y313" s="37" t="s">
        <v>1045</v>
      </c>
      <c r="Z313" s="111">
        <v>91</v>
      </c>
      <c r="AG313" s="24"/>
      <c r="AH313" s="24"/>
    </row>
    <row r="314" spans="1:34" x14ac:dyDescent="0.25">
      <c r="A314" s="39" t="s">
        <v>2552</v>
      </c>
      <c r="B314" s="36" t="s">
        <v>87</v>
      </c>
      <c r="C314" s="469">
        <v>5</v>
      </c>
      <c r="D314" s="470" t="s">
        <v>494</v>
      </c>
      <c r="E314" s="37">
        <f t="shared" si="18"/>
        <v>0</v>
      </c>
      <c r="F314" s="470" t="s">
        <v>494</v>
      </c>
      <c r="G314" s="37">
        <f t="shared" si="19"/>
        <v>0</v>
      </c>
      <c r="H314" s="37" t="s">
        <v>494</v>
      </c>
      <c r="I314" s="37">
        <f t="shared" si="20"/>
        <v>0</v>
      </c>
      <c r="J314" s="37" t="s">
        <v>347</v>
      </c>
      <c r="K314" s="37">
        <f t="shared" si="21"/>
        <v>0</v>
      </c>
      <c r="L314" s="37" t="s">
        <v>494</v>
      </c>
      <c r="M314" s="37">
        <f t="shared" si="22"/>
        <v>0</v>
      </c>
      <c r="N314" s="470" t="s">
        <v>347</v>
      </c>
      <c r="O314" s="470">
        <f t="shared" si="23"/>
        <v>0</v>
      </c>
      <c r="P314" s="37" t="str">
        <f t="shared" si="24"/>
        <v>None</v>
      </c>
      <c r="Q314" s="470" t="s">
        <v>347</v>
      </c>
      <c r="R314" s="37">
        <f t="shared" si="25"/>
        <v>0</v>
      </c>
      <c r="S314" s="470" t="s">
        <v>347</v>
      </c>
      <c r="T314" s="470">
        <f t="shared" si="26"/>
        <v>0</v>
      </c>
      <c r="U314" s="470" t="s">
        <v>347</v>
      </c>
      <c r="V314" s="111">
        <f>IF(OR(F314="none",G314="V"),0,VLOOKUP(F314,'Purchased Boons'!$AR$4:$AS$27,2,FALSE))</f>
        <v>0</v>
      </c>
      <c r="W314" s="39" t="s">
        <v>1764</v>
      </c>
      <c r="X314" s="37" t="s">
        <v>1764</v>
      </c>
      <c r="Y314" s="37" t="s">
        <v>1045</v>
      </c>
      <c r="Z314" s="111">
        <v>91</v>
      </c>
      <c r="AG314" s="24"/>
      <c r="AH314" s="24"/>
    </row>
    <row r="315" spans="1:34" x14ac:dyDescent="0.25">
      <c r="A315" s="39" t="s">
        <v>2622</v>
      </c>
      <c r="B315" s="36" t="s">
        <v>87</v>
      </c>
      <c r="C315" s="469">
        <v>5</v>
      </c>
      <c r="D315" s="470" t="s">
        <v>494</v>
      </c>
      <c r="E315" s="37">
        <f t="shared" si="18"/>
        <v>0</v>
      </c>
      <c r="F315" s="470" t="s">
        <v>494</v>
      </c>
      <c r="G315" s="37">
        <f t="shared" si="19"/>
        <v>0</v>
      </c>
      <c r="H315" s="37" t="s">
        <v>494</v>
      </c>
      <c r="I315" s="37">
        <f t="shared" si="20"/>
        <v>0</v>
      </c>
      <c r="J315" s="37" t="s">
        <v>347</v>
      </c>
      <c r="K315" s="37">
        <f t="shared" si="21"/>
        <v>0</v>
      </c>
      <c r="L315" s="37" t="s">
        <v>494</v>
      </c>
      <c r="M315" s="37">
        <f t="shared" si="22"/>
        <v>0</v>
      </c>
      <c r="N315" s="470" t="s">
        <v>347</v>
      </c>
      <c r="O315" s="470">
        <f t="shared" si="23"/>
        <v>0</v>
      </c>
      <c r="P315" s="37" t="str">
        <f t="shared" si="24"/>
        <v>None</v>
      </c>
      <c r="Q315" s="470" t="s">
        <v>347</v>
      </c>
      <c r="R315" s="37">
        <f t="shared" si="25"/>
        <v>0</v>
      </c>
      <c r="S315" s="470" t="s">
        <v>347</v>
      </c>
      <c r="T315" s="470">
        <f t="shared" si="26"/>
        <v>0</v>
      </c>
      <c r="U315" s="470" t="s">
        <v>347</v>
      </c>
      <c r="V315" s="111">
        <f>IF(OR(F315="none",G315="V"),0,VLOOKUP(F315,'Purchased Boons'!$AR$4:$AS$27,2,FALSE))</f>
        <v>0</v>
      </c>
      <c r="W315" s="39" t="s">
        <v>1764</v>
      </c>
      <c r="X315" s="37" t="s">
        <v>1764</v>
      </c>
      <c r="Y315" s="37" t="s">
        <v>1045</v>
      </c>
      <c r="Z315" s="111">
        <v>91</v>
      </c>
      <c r="AG315" s="24"/>
      <c r="AH315" s="24"/>
    </row>
    <row r="316" spans="1:34" x14ac:dyDescent="0.25">
      <c r="A316" s="39" t="s">
        <v>2562</v>
      </c>
      <c r="B316" s="36" t="s">
        <v>87</v>
      </c>
      <c r="C316" s="469">
        <v>5</v>
      </c>
      <c r="D316" s="470" t="s">
        <v>494</v>
      </c>
      <c r="E316" s="37">
        <f t="shared" si="18"/>
        <v>0</v>
      </c>
      <c r="F316" s="470" t="s">
        <v>494</v>
      </c>
      <c r="G316" s="37">
        <f t="shared" si="19"/>
        <v>0</v>
      </c>
      <c r="H316" s="37" t="s">
        <v>494</v>
      </c>
      <c r="I316" s="37">
        <f t="shared" si="20"/>
        <v>0</v>
      </c>
      <c r="J316" s="37" t="s">
        <v>347</v>
      </c>
      <c r="K316" s="37">
        <f t="shared" si="21"/>
        <v>0</v>
      </c>
      <c r="L316" s="37" t="s">
        <v>494</v>
      </c>
      <c r="M316" s="37">
        <f t="shared" si="22"/>
        <v>0</v>
      </c>
      <c r="N316" s="470" t="s">
        <v>347</v>
      </c>
      <c r="O316" s="470">
        <f t="shared" si="23"/>
        <v>0</v>
      </c>
      <c r="P316" s="37" t="str">
        <f t="shared" si="24"/>
        <v>None</v>
      </c>
      <c r="Q316" s="470" t="s">
        <v>347</v>
      </c>
      <c r="R316" s="37">
        <f t="shared" si="25"/>
        <v>0</v>
      </c>
      <c r="S316" s="470" t="s">
        <v>347</v>
      </c>
      <c r="T316" s="470">
        <f t="shared" si="26"/>
        <v>0</v>
      </c>
      <c r="U316" s="470" t="s">
        <v>347</v>
      </c>
      <c r="V316" s="111">
        <f>IF(OR(F316="none",G316="V"),0,VLOOKUP(F316,'Purchased Boons'!$AR$4:$AS$27,2,FALSE))</f>
        <v>0</v>
      </c>
      <c r="W316" s="39" t="s">
        <v>1764</v>
      </c>
      <c r="X316" s="37" t="s">
        <v>1764</v>
      </c>
      <c r="Y316" s="37" t="s">
        <v>1045</v>
      </c>
      <c r="Z316" s="111">
        <v>91</v>
      </c>
      <c r="AG316" s="24"/>
      <c r="AH316" s="24"/>
    </row>
    <row r="317" spans="1:34" x14ac:dyDescent="0.25">
      <c r="A317" s="39" t="s">
        <v>2572</v>
      </c>
      <c r="B317" s="36" t="s">
        <v>87</v>
      </c>
      <c r="C317" s="469">
        <v>5</v>
      </c>
      <c r="D317" s="470" t="s">
        <v>494</v>
      </c>
      <c r="E317" s="37">
        <f t="shared" si="18"/>
        <v>0</v>
      </c>
      <c r="F317" s="470" t="s">
        <v>494</v>
      </c>
      <c r="G317" s="37">
        <f t="shared" si="19"/>
        <v>0</v>
      </c>
      <c r="H317" s="37" t="s">
        <v>494</v>
      </c>
      <c r="I317" s="37">
        <f t="shared" si="20"/>
        <v>0</v>
      </c>
      <c r="J317" s="37" t="s">
        <v>347</v>
      </c>
      <c r="K317" s="37">
        <f t="shared" si="21"/>
        <v>0</v>
      </c>
      <c r="L317" s="37" t="s">
        <v>494</v>
      </c>
      <c r="M317" s="37">
        <f t="shared" si="22"/>
        <v>0</v>
      </c>
      <c r="N317" s="470" t="s">
        <v>347</v>
      </c>
      <c r="O317" s="470">
        <f t="shared" si="23"/>
        <v>0</v>
      </c>
      <c r="P317" s="37" t="str">
        <f t="shared" si="24"/>
        <v>None</v>
      </c>
      <c r="Q317" s="470" t="s">
        <v>347</v>
      </c>
      <c r="R317" s="37">
        <f t="shared" si="25"/>
        <v>0</v>
      </c>
      <c r="S317" s="470" t="s">
        <v>347</v>
      </c>
      <c r="T317" s="470">
        <f t="shared" si="26"/>
        <v>0</v>
      </c>
      <c r="U317" s="470" t="s">
        <v>347</v>
      </c>
      <c r="V317" s="111">
        <f>IF(OR(F317="none",G317="V"),0,VLOOKUP(F317,'Purchased Boons'!$AR$4:$AS$27,2,FALSE))</f>
        <v>0</v>
      </c>
      <c r="W317" s="39" t="s">
        <v>1764</v>
      </c>
      <c r="X317" s="37" t="s">
        <v>1764</v>
      </c>
      <c r="Y317" s="37" t="s">
        <v>1045</v>
      </c>
      <c r="Z317" s="111">
        <v>91</v>
      </c>
      <c r="AG317" s="24"/>
      <c r="AH317" s="24"/>
    </row>
    <row r="318" spans="1:34" x14ac:dyDescent="0.25">
      <c r="A318" s="39" t="s">
        <v>2582</v>
      </c>
      <c r="B318" s="36" t="s">
        <v>87</v>
      </c>
      <c r="C318" s="469">
        <v>5</v>
      </c>
      <c r="D318" s="470" t="s">
        <v>494</v>
      </c>
      <c r="E318" s="37">
        <f t="shared" si="18"/>
        <v>0</v>
      </c>
      <c r="F318" s="470" t="s">
        <v>494</v>
      </c>
      <c r="G318" s="37">
        <f t="shared" si="19"/>
        <v>0</v>
      </c>
      <c r="H318" s="37" t="s">
        <v>494</v>
      </c>
      <c r="I318" s="37">
        <f t="shared" si="20"/>
        <v>0</v>
      </c>
      <c r="J318" s="37" t="s">
        <v>347</v>
      </c>
      <c r="K318" s="37">
        <f t="shared" si="21"/>
        <v>0</v>
      </c>
      <c r="L318" s="37" t="s">
        <v>494</v>
      </c>
      <c r="M318" s="37">
        <f t="shared" si="22"/>
        <v>0</v>
      </c>
      <c r="N318" s="470" t="s">
        <v>347</v>
      </c>
      <c r="O318" s="470">
        <f t="shared" si="23"/>
        <v>0</v>
      </c>
      <c r="P318" s="37" t="str">
        <f t="shared" si="24"/>
        <v>None</v>
      </c>
      <c r="Q318" s="470" t="s">
        <v>347</v>
      </c>
      <c r="R318" s="37">
        <f t="shared" si="25"/>
        <v>0</v>
      </c>
      <c r="S318" s="470" t="s">
        <v>347</v>
      </c>
      <c r="T318" s="470">
        <f t="shared" si="26"/>
        <v>0</v>
      </c>
      <c r="U318" s="470" t="s">
        <v>347</v>
      </c>
      <c r="V318" s="111">
        <f>IF(OR(F318="none",G318="V"),0,VLOOKUP(F318,'Purchased Boons'!$AR$4:$AS$27,2,FALSE))</f>
        <v>0</v>
      </c>
      <c r="W318" s="39" t="s">
        <v>1764</v>
      </c>
      <c r="X318" s="37" t="s">
        <v>1764</v>
      </c>
      <c r="Y318" s="37" t="s">
        <v>1045</v>
      </c>
      <c r="Z318" s="111">
        <v>91</v>
      </c>
      <c r="AG318" s="24"/>
      <c r="AH318" s="24"/>
    </row>
    <row r="319" spans="1:34" x14ac:dyDescent="0.25">
      <c r="A319" s="39" t="s">
        <v>2393</v>
      </c>
      <c r="B319" s="36" t="s">
        <v>87</v>
      </c>
      <c r="C319" s="469">
        <v>6</v>
      </c>
      <c r="D319" s="470" t="s">
        <v>494</v>
      </c>
      <c r="E319" s="37">
        <f t="shared" si="18"/>
        <v>0</v>
      </c>
      <c r="F319" s="470" t="s">
        <v>494</v>
      </c>
      <c r="G319" s="37">
        <f t="shared" si="19"/>
        <v>0</v>
      </c>
      <c r="H319" s="37" t="s">
        <v>494</v>
      </c>
      <c r="I319" s="37">
        <f t="shared" si="20"/>
        <v>0</v>
      </c>
      <c r="J319" s="37" t="s">
        <v>347</v>
      </c>
      <c r="K319" s="37">
        <f t="shared" si="21"/>
        <v>0</v>
      </c>
      <c r="L319" s="37" t="s">
        <v>494</v>
      </c>
      <c r="M319" s="37">
        <f t="shared" si="22"/>
        <v>0</v>
      </c>
      <c r="N319" s="470" t="s">
        <v>347</v>
      </c>
      <c r="O319" s="470">
        <f t="shared" si="23"/>
        <v>0</v>
      </c>
      <c r="P319" s="37" t="str">
        <f t="shared" si="24"/>
        <v>None</v>
      </c>
      <c r="Q319" s="470" t="s">
        <v>347</v>
      </c>
      <c r="R319" s="37">
        <f t="shared" si="25"/>
        <v>0</v>
      </c>
      <c r="S319" s="470" t="s">
        <v>347</v>
      </c>
      <c r="T319" s="470">
        <f t="shared" si="26"/>
        <v>0</v>
      </c>
      <c r="U319" s="470" t="s">
        <v>347</v>
      </c>
      <c r="V319" s="111">
        <f>IF(OR(F319="none",G319="V"),0,VLOOKUP(F319,'Purchased Boons'!$AR$4:$AS$27,2,FALSE))</f>
        <v>0</v>
      </c>
      <c r="W319" s="39" t="s">
        <v>1764</v>
      </c>
      <c r="X319" s="37" t="s">
        <v>1764</v>
      </c>
      <c r="Y319" s="37" t="s">
        <v>1045</v>
      </c>
      <c r="Z319" s="111">
        <v>91</v>
      </c>
      <c r="AG319" s="24"/>
      <c r="AH319" s="24"/>
    </row>
    <row r="320" spans="1:34" x14ac:dyDescent="0.25">
      <c r="A320" s="39" t="s">
        <v>2403</v>
      </c>
      <c r="B320" s="36" t="s">
        <v>87</v>
      </c>
      <c r="C320" s="469">
        <v>6</v>
      </c>
      <c r="D320" s="470" t="s">
        <v>494</v>
      </c>
      <c r="E320" s="37">
        <f t="shared" si="18"/>
        <v>0</v>
      </c>
      <c r="F320" s="470" t="s">
        <v>494</v>
      </c>
      <c r="G320" s="37">
        <f t="shared" si="19"/>
        <v>0</v>
      </c>
      <c r="H320" s="37" t="s">
        <v>494</v>
      </c>
      <c r="I320" s="37">
        <f t="shared" si="20"/>
        <v>0</v>
      </c>
      <c r="J320" s="37" t="s">
        <v>347</v>
      </c>
      <c r="K320" s="37">
        <f t="shared" si="21"/>
        <v>0</v>
      </c>
      <c r="L320" s="37" t="s">
        <v>494</v>
      </c>
      <c r="M320" s="37">
        <f t="shared" si="22"/>
        <v>0</v>
      </c>
      <c r="N320" s="470" t="s">
        <v>347</v>
      </c>
      <c r="O320" s="470">
        <f t="shared" si="23"/>
        <v>0</v>
      </c>
      <c r="P320" s="37" t="str">
        <f t="shared" si="24"/>
        <v>None</v>
      </c>
      <c r="Q320" s="470" t="s">
        <v>347</v>
      </c>
      <c r="R320" s="37">
        <f t="shared" si="25"/>
        <v>0</v>
      </c>
      <c r="S320" s="470" t="s">
        <v>347</v>
      </c>
      <c r="T320" s="470">
        <f t="shared" si="26"/>
        <v>0</v>
      </c>
      <c r="U320" s="470" t="s">
        <v>347</v>
      </c>
      <c r="V320" s="111">
        <f>IF(OR(F320="none",G320="V"),0,VLOOKUP(F320,'Purchased Boons'!$AR$4:$AS$27,2,FALSE))</f>
        <v>0</v>
      </c>
      <c r="W320" s="39" t="s">
        <v>1764</v>
      </c>
      <c r="X320" s="37" t="s">
        <v>1764</v>
      </c>
      <c r="Y320" s="37" t="s">
        <v>1045</v>
      </c>
      <c r="Z320" s="111">
        <v>91</v>
      </c>
      <c r="AG320" s="24"/>
      <c r="AH320" s="24"/>
    </row>
    <row r="321" spans="1:34" x14ac:dyDescent="0.25">
      <c r="A321" s="39" t="s">
        <v>2593</v>
      </c>
      <c r="B321" s="36" t="s">
        <v>87</v>
      </c>
      <c r="C321" s="469">
        <v>6</v>
      </c>
      <c r="D321" s="470" t="s">
        <v>494</v>
      </c>
      <c r="E321" s="37">
        <f t="shared" si="18"/>
        <v>0</v>
      </c>
      <c r="F321" s="470" t="s">
        <v>494</v>
      </c>
      <c r="G321" s="37">
        <f t="shared" si="19"/>
        <v>0</v>
      </c>
      <c r="H321" s="37" t="s">
        <v>494</v>
      </c>
      <c r="I321" s="37">
        <f t="shared" si="20"/>
        <v>0</v>
      </c>
      <c r="J321" s="37" t="s">
        <v>347</v>
      </c>
      <c r="K321" s="37">
        <f t="shared" si="21"/>
        <v>0</v>
      </c>
      <c r="L321" s="37" t="s">
        <v>494</v>
      </c>
      <c r="M321" s="37">
        <f t="shared" si="22"/>
        <v>0</v>
      </c>
      <c r="N321" s="470" t="s">
        <v>347</v>
      </c>
      <c r="O321" s="470">
        <f t="shared" si="23"/>
        <v>0</v>
      </c>
      <c r="P321" s="37" t="str">
        <f t="shared" si="24"/>
        <v>None</v>
      </c>
      <c r="Q321" s="470" t="s">
        <v>347</v>
      </c>
      <c r="R321" s="37">
        <f t="shared" si="25"/>
        <v>0</v>
      </c>
      <c r="S321" s="470" t="s">
        <v>347</v>
      </c>
      <c r="T321" s="470">
        <f t="shared" si="26"/>
        <v>0</v>
      </c>
      <c r="U321" s="470" t="s">
        <v>347</v>
      </c>
      <c r="V321" s="111">
        <f>IF(OR(F321="none",G321="V"),0,VLOOKUP(F321,'Purchased Boons'!$AR$4:$AS$27,2,FALSE))</f>
        <v>0</v>
      </c>
      <c r="W321" s="39" t="s">
        <v>1764</v>
      </c>
      <c r="X321" s="37" t="s">
        <v>1764</v>
      </c>
      <c r="Y321" s="37" t="s">
        <v>1045</v>
      </c>
      <c r="Z321" s="111">
        <v>91</v>
      </c>
      <c r="AG321" s="24"/>
      <c r="AH321" s="24"/>
    </row>
    <row r="322" spans="1:34" x14ac:dyDescent="0.25">
      <c r="A322" s="39" t="s">
        <v>2413</v>
      </c>
      <c r="B322" s="36" t="s">
        <v>87</v>
      </c>
      <c r="C322" s="469">
        <v>6</v>
      </c>
      <c r="D322" s="470" t="s">
        <v>494</v>
      </c>
      <c r="E322" s="37">
        <f t="shared" si="18"/>
        <v>0</v>
      </c>
      <c r="F322" s="470" t="s">
        <v>494</v>
      </c>
      <c r="G322" s="37">
        <f t="shared" si="19"/>
        <v>0</v>
      </c>
      <c r="H322" s="37" t="s">
        <v>494</v>
      </c>
      <c r="I322" s="37">
        <f t="shared" si="20"/>
        <v>0</v>
      </c>
      <c r="J322" s="37" t="s">
        <v>347</v>
      </c>
      <c r="K322" s="37">
        <f t="shared" si="21"/>
        <v>0</v>
      </c>
      <c r="L322" s="37" t="s">
        <v>494</v>
      </c>
      <c r="M322" s="37">
        <f t="shared" si="22"/>
        <v>0</v>
      </c>
      <c r="N322" s="470" t="s">
        <v>347</v>
      </c>
      <c r="O322" s="470">
        <f t="shared" si="23"/>
        <v>0</v>
      </c>
      <c r="P322" s="37" t="str">
        <f t="shared" si="24"/>
        <v>None</v>
      </c>
      <c r="Q322" s="470" t="s">
        <v>347</v>
      </c>
      <c r="R322" s="37">
        <f t="shared" si="25"/>
        <v>0</v>
      </c>
      <c r="S322" s="470" t="s">
        <v>347</v>
      </c>
      <c r="T322" s="470">
        <f t="shared" si="26"/>
        <v>0</v>
      </c>
      <c r="U322" s="470" t="s">
        <v>347</v>
      </c>
      <c r="V322" s="111">
        <f>IF(OR(F322="none",G322="V"),0,VLOOKUP(F322,'Purchased Boons'!$AR$4:$AS$27,2,FALSE))</f>
        <v>0</v>
      </c>
      <c r="W322" s="39" t="s">
        <v>1764</v>
      </c>
      <c r="X322" s="37" t="s">
        <v>1764</v>
      </c>
      <c r="Y322" s="37" t="s">
        <v>1045</v>
      </c>
      <c r="Z322" s="111">
        <v>91</v>
      </c>
      <c r="AG322" s="24"/>
      <c r="AH322" s="24"/>
    </row>
    <row r="323" spans="1:34" x14ac:dyDescent="0.25">
      <c r="A323" s="39" t="s">
        <v>2423</v>
      </c>
      <c r="B323" s="36" t="s">
        <v>87</v>
      </c>
      <c r="C323" s="469">
        <v>6</v>
      </c>
      <c r="D323" s="470" t="s">
        <v>494</v>
      </c>
      <c r="E323" s="37">
        <f t="shared" si="18"/>
        <v>0</v>
      </c>
      <c r="F323" s="470" t="s">
        <v>494</v>
      </c>
      <c r="G323" s="37">
        <f t="shared" si="19"/>
        <v>0</v>
      </c>
      <c r="H323" s="37" t="s">
        <v>494</v>
      </c>
      <c r="I323" s="37">
        <f t="shared" si="20"/>
        <v>0</v>
      </c>
      <c r="J323" s="37" t="s">
        <v>347</v>
      </c>
      <c r="K323" s="37">
        <f t="shared" si="21"/>
        <v>0</v>
      </c>
      <c r="L323" s="37" t="s">
        <v>494</v>
      </c>
      <c r="M323" s="37">
        <f t="shared" si="22"/>
        <v>0</v>
      </c>
      <c r="N323" s="470" t="s">
        <v>347</v>
      </c>
      <c r="O323" s="470">
        <f t="shared" si="23"/>
        <v>0</v>
      </c>
      <c r="P323" s="37" t="str">
        <f t="shared" si="24"/>
        <v>None</v>
      </c>
      <c r="Q323" s="470" t="s">
        <v>347</v>
      </c>
      <c r="R323" s="37">
        <f t="shared" si="25"/>
        <v>0</v>
      </c>
      <c r="S323" s="470" t="s">
        <v>347</v>
      </c>
      <c r="T323" s="470">
        <f t="shared" si="26"/>
        <v>0</v>
      </c>
      <c r="U323" s="470" t="s">
        <v>347</v>
      </c>
      <c r="V323" s="111">
        <f>IF(OR(F323="none",G323="V"),0,VLOOKUP(F323,'Purchased Boons'!$AR$4:$AS$27,2,FALSE))</f>
        <v>0</v>
      </c>
      <c r="W323" s="39" t="s">
        <v>1764</v>
      </c>
      <c r="X323" s="37" t="s">
        <v>1764</v>
      </c>
      <c r="Y323" s="37" t="s">
        <v>1045</v>
      </c>
      <c r="Z323" s="111">
        <v>91</v>
      </c>
      <c r="AG323" s="24"/>
      <c r="AH323" s="24"/>
    </row>
    <row r="324" spans="1:34" x14ac:dyDescent="0.25">
      <c r="A324" s="39" t="s">
        <v>2433</v>
      </c>
      <c r="B324" s="36" t="s">
        <v>87</v>
      </c>
      <c r="C324" s="469">
        <v>6</v>
      </c>
      <c r="D324" s="470" t="s">
        <v>494</v>
      </c>
      <c r="E324" s="37">
        <f t="shared" si="18"/>
        <v>0</v>
      </c>
      <c r="F324" s="470" t="s">
        <v>494</v>
      </c>
      <c r="G324" s="37">
        <f t="shared" si="19"/>
        <v>0</v>
      </c>
      <c r="H324" s="37" t="s">
        <v>494</v>
      </c>
      <c r="I324" s="37">
        <f t="shared" si="20"/>
        <v>0</v>
      </c>
      <c r="J324" s="37" t="s">
        <v>347</v>
      </c>
      <c r="K324" s="37">
        <f t="shared" si="21"/>
        <v>0</v>
      </c>
      <c r="L324" s="37" t="s">
        <v>494</v>
      </c>
      <c r="M324" s="37">
        <f t="shared" si="22"/>
        <v>0</v>
      </c>
      <c r="N324" s="470" t="s">
        <v>347</v>
      </c>
      <c r="O324" s="470">
        <f t="shared" si="23"/>
        <v>0</v>
      </c>
      <c r="P324" s="37" t="str">
        <f t="shared" si="24"/>
        <v>None</v>
      </c>
      <c r="Q324" s="470" t="s">
        <v>347</v>
      </c>
      <c r="R324" s="37">
        <f t="shared" si="25"/>
        <v>0</v>
      </c>
      <c r="S324" s="470" t="s">
        <v>347</v>
      </c>
      <c r="T324" s="470">
        <f t="shared" si="26"/>
        <v>0</v>
      </c>
      <c r="U324" s="470" t="s">
        <v>347</v>
      </c>
      <c r="V324" s="111">
        <f>IF(OR(F324="none",G324="V"),0,VLOOKUP(F324,'Purchased Boons'!$AR$4:$AS$27,2,FALSE))</f>
        <v>0</v>
      </c>
      <c r="W324" s="39" t="s">
        <v>1764</v>
      </c>
      <c r="X324" s="37" t="s">
        <v>1764</v>
      </c>
      <c r="Y324" s="37" t="s">
        <v>1045</v>
      </c>
      <c r="Z324" s="111">
        <v>91</v>
      </c>
      <c r="AG324" s="24"/>
      <c r="AH324" s="24"/>
    </row>
    <row r="325" spans="1:34" x14ac:dyDescent="0.25">
      <c r="A325" s="39" t="s">
        <v>2443</v>
      </c>
      <c r="B325" s="36" t="s">
        <v>87</v>
      </c>
      <c r="C325" s="469">
        <v>6</v>
      </c>
      <c r="D325" s="470" t="s">
        <v>494</v>
      </c>
      <c r="E325" s="37">
        <f t="shared" si="18"/>
        <v>0</v>
      </c>
      <c r="F325" s="470" t="s">
        <v>494</v>
      </c>
      <c r="G325" s="37">
        <f t="shared" si="19"/>
        <v>0</v>
      </c>
      <c r="H325" s="37" t="s">
        <v>494</v>
      </c>
      <c r="I325" s="37">
        <f t="shared" si="20"/>
        <v>0</v>
      </c>
      <c r="J325" s="37" t="s">
        <v>347</v>
      </c>
      <c r="K325" s="37">
        <f t="shared" si="21"/>
        <v>0</v>
      </c>
      <c r="L325" s="37" t="s">
        <v>494</v>
      </c>
      <c r="M325" s="37">
        <f t="shared" si="22"/>
        <v>0</v>
      </c>
      <c r="N325" s="470" t="s">
        <v>347</v>
      </c>
      <c r="O325" s="470">
        <f t="shared" si="23"/>
        <v>0</v>
      </c>
      <c r="P325" s="37" t="str">
        <f t="shared" si="24"/>
        <v>None</v>
      </c>
      <c r="Q325" s="470" t="s">
        <v>347</v>
      </c>
      <c r="R325" s="37">
        <f t="shared" si="25"/>
        <v>0</v>
      </c>
      <c r="S325" s="470" t="s">
        <v>347</v>
      </c>
      <c r="T325" s="470">
        <f t="shared" si="26"/>
        <v>0</v>
      </c>
      <c r="U325" s="470" t="s">
        <v>347</v>
      </c>
      <c r="V325" s="111">
        <f>IF(OR(F325="none",G325="V"),0,VLOOKUP(F325,'Purchased Boons'!$AR$4:$AS$27,2,FALSE))</f>
        <v>0</v>
      </c>
      <c r="W325" s="39" t="s">
        <v>1764</v>
      </c>
      <c r="X325" s="37" t="s">
        <v>1764</v>
      </c>
      <c r="Y325" s="37" t="s">
        <v>1045</v>
      </c>
      <c r="Z325" s="111">
        <v>91</v>
      </c>
      <c r="AG325" s="24"/>
      <c r="AH325" s="24"/>
    </row>
    <row r="326" spans="1:34" x14ac:dyDescent="0.25">
      <c r="A326" s="39" t="s">
        <v>2603</v>
      </c>
      <c r="B326" s="36" t="s">
        <v>87</v>
      </c>
      <c r="C326" s="469">
        <v>6</v>
      </c>
      <c r="D326" s="470" t="s">
        <v>494</v>
      </c>
      <c r="E326" s="37">
        <f t="shared" si="18"/>
        <v>0</v>
      </c>
      <c r="F326" s="470" t="s">
        <v>494</v>
      </c>
      <c r="G326" s="37">
        <f t="shared" si="19"/>
        <v>0</v>
      </c>
      <c r="H326" s="37" t="s">
        <v>494</v>
      </c>
      <c r="I326" s="37">
        <f t="shared" si="20"/>
        <v>0</v>
      </c>
      <c r="J326" s="37" t="s">
        <v>347</v>
      </c>
      <c r="K326" s="37">
        <f t="shared" si="21"/>
        <v>0</v>
      </c>
      <c r="L326" s="37" t="s">
        <v>494</v>
      </c>
      <c r="M326" s="37">
        <f t="shared" si="22"/>
        <v>0</v>
      </c>
      <c r="N326" s="470" t="s">
        <v>347</v>
      </c>
      <c r="O326" s="470">
        <f t="shared" si="23"/>
        <v>0</v>
      </c>
      <c r="P326" s="37" t="str">
        <f t="shared" si="24"/>
        <v>None</v>
      </c>
      <c r="Q326" s="470" t="s">
        <v>347</v>
      </c>
      <c r="R326" s="37">
        <f t="shared" si="25"/>
        <v>0</v>
      </c>
      <c r="S326" s="470" t="s">
        <v>347</v>
      </c>
      <c r="T326" s="470">
        <f t="shared" si="26"/>
        <v>0</v>
      </c>
      <c r="U326" s="470" t="s">
        <v>347</v>
      </c>
      <c r="V326" s="111">
        <f>IF(OR(F326="none",G326="V"),0,VLOOKUP(F326,'Purchased Boons'!$AR$4:$AS$27,2,FALSE))</f>
        <v>0</v>
      </c>
      <c r="W326" s="39" t="s">
        <v>1764</v>
      </c>
      <c r="X326" s="37" t="s">
        <v>1764</v>
      </c>
      <c r="Y326" s="37" t="s">
        <v>1045</v>
      </c>
      <c r="Z326" s="111">
        <v>91</v>
      </c>
      <c r="AG326" s="24"/>
      <c r="AH326" s="24"/>
    </row>
    <row r="327" spans="1:34" x14ac:dyDescent="0.25">
      <c r="A327" s="39" t="s">
        <v>2613</v>
      </c>
      <c r="B327" s="36" t="s">
        <v>87</v>
      </c>
      <c r="C327" s="469">
        <v>6</v>
      </c>
      <c r="D327" s="470" t="s">
        <v>494</v>
      </c>
      <c r="E327" s="37">
        <f t="shared" si="18"/>
        <v>0</v>
      </c>
      <c r="F327" s="470" t="s">
        <v>494</v>
      </c>
      <c r="G327" s="37">
        <f t="shared" si="19"/>
        <v>0</v>
      </c>
      <c r="H327" s="37" t="s">
        <v>494</v>
      </c>
      <c r="I327" s="37">
        <f t="shared" si="20"/>
        <v>0</v>
      </c>
      <c r="J327" s="37" t="s">
        <v>347</v>
      </c>
      <c r="K327" s="37">
        <f t="shared" si="21"/>
        <v>0</v>
      </c>
      <c r="L327" s="37" t="s">
        <v>494</v>
      </c>
      <c r="M327" s="37">
        <f t="shared" si="22"/>
        <v>0</v>
      </c>
      <c r="N327" s="470" t="s">
        <v>347</v>
      </c>
      <c r="O327" s="470">
        <f t="shared" si="23"/>
        <v>0</v>
      </c>
      <c r="P327" s="37" t="str">
        <f t="shared" si="24"/>
        <v>None</v>
      </c>
      <c r="Q327" s="470" t="s">
        <v>347</v>
      </c>
      <c r="R327" s="37">
        <f t="shared" si="25"/>
        <v>0</v>
      </c>
      <c r="S327" s="470" t="s">
        <v>347</v>
      </c>
      <c r="T327" s="470">
        <f t="shared" si="26"/>
        <v>0</v>
      </c>
      <c r="U327" s="470" t="s">
        <v>347</v>
      </c>
      <c r="V327" s="111">
        <f>IF(OR(F327="none",G327="V"),0,VLOOKUP(F327,'Purchased Boons'!$AR$4:$AS$27,2,FALSE))</f>
        <v>0</v>
      </c>
      <c r="W327" s="39" t="s">
        <v>1764</v>
      </c>
      <c r="X327" s="37" t="s">
        <v>1764</v>
      </c>
      <c r="Y327" s="37" t="s">
        <v>1045</v>
      </c>
      <c r="Z327" s="111">
        <v>91</v>
      </c>
      <c r="AG327" s="24"/>
      <c r="AH327" s="24"/>
    </row>
    <row r="328" spans="1:34" x14ac:dyDescent="0.25">
      <c r="A328" s="39" t="s">
        <v>2453</v>
      </c>
      <c r="B328" s="36" t="s">
        <v>87</v>
      </c>
      <c r="C328" s="469">
        <v>6</v>
      </c>
      <c r="D328" s="470" t="s">
        <v>494</v>
      </c>
      <c r="E328" s="37">
        <f t="shared" si="18"/>
        <v>0</v>
      </c>
      <c r="F328" s="470" t="s">
        <v>494</v>
      </c>
      <c r="G328" s="37">
        <f t="shared" si="19"/>
        <v>0</v>
      </c>
      <c r="H328" s="37" t="s">
        <v>494</v>
      </c>
      <c r="I328" s="37">
        <f t="shared" si="20"/>
        <v>0</v>
      </c>
      <c r="J328" s="37" t="s">
        <v>347</v>
      </c>
      <c r="K328" s="37">
        <f t="shared" si="21"/>
        <v>0</v>
      </c>
      <c r="L328" s="37" t="s">
        <v>494</v>
      </c>
      <c r="M328" s="37">
        <f t="shared" si="22"/>
        <v>0</v>
      </c>
      <c r="N328" s="470" t="s">
        <v>347</v>
      </c>
      <c r="O328" s="470">
        <f t="shared" si="23"/>
        <v>0</v>
      </c>
      <c r="P328" s="37" t="str">
        <f t="shared" si="24"/>
        <v>None</v>
      </c>
      <c r="Q328" s="470" t="s">
        <v>347</v>
      </c>
      <c r="R328" s="37">
        <f t="shared" si="25"/>
        <v>0</v>
      </c>
      <c r="S328" s="470" t="s">
        <v>347</v>
      </c>
      <c r="T328" s="470">
        <f t="shared" si="26"/>
        <v>0</v>
      </c>
      <c r="U328" s="470" t="s">
        <v>347</v>
      </c>
      <c r="V328" s="111">
        <f>IF(OR(F328="none",G328="V"),0,VLOOKUP(F328,'Purchased Boons'!$AR$4:$AS$27,2,FALSE))</f>
        <v>0</v>
      </c>
      <c r="W328" s="39" t="s">
        <v>1764</v>
      </c>
      <c r="X328" s="37" t="s">
        <v>1764</v>
      </c>
      <c r="Y328" s="37" t="s">
        <v>1045</v>
      </c>
      <c r="Z328" s="111">
        <v>91</v>
      </c>
      <c r="AG328" s="24"/>
      <c r="AH328" s="24"/>
    </row>
    <row r="329" spans="1:34" x14ac:dyDescent="0.25">
      <c r="A329" s="39" t="s">
        <v>2463</v>
      </c>
      <c r="B329" s="36" t="s">
        <v>87</v>
      </c>
      <c r="C329" s="469">
        <v>6</v>
      </c>
      <c r="D329" s="470" t="s">
        <v>494</v>
      </c>
      <c r="E329" s="37">
        <f t="shared" si="18"/>
        <v>0</v>
      </c>
      <c r="F329" s="470" t="s">
        <v>494</v>
      </c>
      <c r="G329" s="37">
        <f t="shared" si="19"/>
        <v>0</v>
      </c>
      <c r="H329" s="37" t="s">
        <v>494</v>
      </c>
      <c r="I329" s="37">
        <f t="shared" si="20"/>
        <v>0</v>
      </c>
      <c r="J329" s="37" t="s">
        <v>347</v>
      </c>
      <c r="K329" s="37">
        <f t="shared" si="21"/>
        <v>0</v>
      </c>
      <c r="L329" s="37" t="s">
        <v>494</v>
      </c>
      <c r="M329" s="37">
        <f t="shared" si="22"/>
        <v>0</v>
      </c>
      <c r="N329" s="470" t="s">
        <v>347</v>
      </c>
      <c r="O329" s="470">
        <f t="shared" si="23"/>
        <v>0</v>
      </c>
      <c r="P329" s="37" t="str">
        <f t="shared" si="24"/>
        <v>None</v>
      </c>
      <c r="Q329" s="470" t="s">
        <v>347</v>
      </c>
      <c r="R329" s="37">
        <f t="shared" si="25"/>
        <v>0</v>
      </c>
      <c r="S329" s="470" t="s">
        <v>347</v>
      </c>
      <c r="T329" s="470">
        <f t="shared" si="26"/>
        <v>0</v>
      </c>
      <c r="U329" s="470" t="s">
        <v>347</v>
      </c>
      <c r="V329" s="111">
        <f>IF(OR(F329="none",G329="V"),0,VLOOKUP(F329,'Purchased Boons'!$AR$4:$AS$27,2,FALSE))</f>
        <v>0</v>
      </c>
      <c r="W329" s="39" t="s">
        <v>1764</v>
      </c>
      <c r="X329" s="37" t="s">
        <v>1764</v>
      </c>
      <c r="Y329" s="37" t="s">
        <v>1045</v>
      </c>
      <c r="Z329" s="111">
        <v>91</v>
      </c>
      <c r="AG329" s="24"/>
      <c r="AH329" s="24"/>
    </row>
    <row r="330" spans="1:34" x14ac:dyDescent="0.25">
      <c r="A330" s="39" t="s">
        <v>2473</v>
      </c>
      <c r="B330" s="36" t="s">
        <v>87</v>
      </c>
      <c r="C330" s="469">
        <v>6</v>
      </c>
      <c r="D330" s="470" t="s">
        <v>494</v>
      </c>
      <c r="E330" s="37">
        <f t="shared" si="18"/>
        <v>0</v>
      </c>
      <c r="F330" s="470" t="s">
        <v>494</v>
      </c>
      <c r="G330" s="37">
        <f t="shared" si="19"/>
        <v>0</v>
      </c>
      <c r="H330" s="37" t="s">
        <v>494</v>
      </c>
      <c r="I330" s="37">
        <f t="shared" si="20"/>
        <v>0</v>
      </c>
      <c r="J330" s="37" t="s">
        <v>347</v>
      </c>
      <c r="K330" s="37">
        <f t="shared" si="21"/>
        <v>0</v>
      </c>
      <c r="L330" s="37" t="s">
        <v>494</v>
      </c>
      <c r="M330" s="37">
        <f t="shared" si="22"/>
        <v>0</v>
      </c>
      <c r="N330" s="470" t="s">
        <v>347</v>
      </c>
      <c r="O330" s="470">
        <f t="shared" si="23"/>
        <v>0</v>
      </c>
      <c r="P330" s="37" t="str">
        <f t="shared" si="24"/>
        <v>None</v>
      </c>
      <c r="Q330" s="470" t="s">
        <v>347</v>
      </c>
      <c r="R330" s="37">
        <f t="shared" si="25"/>
        <v>0</v>
      </c>
      <c r="S330" s="470" t="s">
        <v>347</v>
      </c>
      <c r="T330" s="470">
        <f t="shared" si="26"/>
        <v>0</v>
      </c>
      <c r="U330" s="470" t="s">
        <v>347</v>
      </c>
      <c r="V330" s="111">
        <f>IF(OR(F330="none",G330="V"),0,VLOOKUP(F330,'Purchased Boons'!$AR$4:$AS$27,2,FALSE))</f>
        <v>0</v>
      </c>
      <c r="W330" s="39" t="s">
        <v>1764</v>
      </c>
      <c r="X330" s="37" t="s">
        <v>1764</v>
      </c>
      <c r="Y330" s="37" t="s">
        <v>1045</v>
      </c>
      <c r="Z330" s="111">
        <v>91</v>
      </c>
      <c r="AG330" s="24"/>
      <c r="AH330" s="24"/>
    </row>
    <row r="331" spans="1:34" x14ac:dyDescent="0.25">
      <c r="A331" s="39" t="s">
        <v>2483</v>
      </c>
      <c r="B331" s="36" t="s">
        <v>87</v>
      </c>
      <c r="C331" s="469">
        <v>6</v>
      </c>
      <c r="D331" s="470" t="s">
        <v>494</v>
      </c>
      <c r="E331" s="37">
        <f t="shared" si="18"/>
        <v>0</v>
      </c>
      <c r="F331" s="470" t="s">
        <v>494</v>
      </c>
      <c r="G331" s="37">
        <f t="shared" si="19"/>
        <v>0</v>
      </c>
      <c r="H331" s="37" t="s">
        <v>494</v>
      </c>
      <c r="I331" s="37">
        <f t="shared" si="20"/>
        <v>0</v>
      </c>
      <c r="J331" s="37" t="s">
        <v>347</v>
      </c>
      <c r="K331" s="37">
        <f t="shared" si="21"/>
        <v>0</v>
      </c>
      <c r="L331" s="37" t="s">
        <v>494</v>
      </c>
      <c r="M331" s="37">
        <f t="shared" si="22"/>
        <v>0</v>
      </c>
      <c r="N331" s="470" t="s">
        <v>347</v>
      </c>
      <c r="O331" s="470">
        <f t="shared" si="23"/>
        <v>0</v>
      </c>
      <c r="P331" s="37" t="str">
        <f t="shared" si="24"/>
        <v>None</v>
      </c>
      <c r="Q331" s="470" t="s">
        <v>347</v>
      </c>
      <c r="R331" s="37">
        <f t="shared" si="25"/>
        <v>0</v>
      </c>
      <c r="S331" s="470" t="s">
        <v>347</v>
      </c>
      <c r="T331" s="470">
        <f t="shared" si="26"/>
        <v>0</v>
      </c>
      <c r="U331" s="470" t="s">
        <v>347</v>
      </c>
      <c r="V331" s="111">
        <f>IF(OR(F331="none",G331="V"),0,VLOOKUP(F331,'Purchased Boons'!$AR$4:$AS$27,2,FALSE))</f>
        <v>0</v>
      </c>
      <c r="W331" s="39" t="s">
        <v>1764</v>
      </c>
      <c r="X331" s="37" t="s">
        <v>1764</v>
      </c>
      <c r="Y331" s="37" t="s">
        <v>1045</v>
      </c>
      <c r="Z331" s="111">
        <v>91</v>
      </c>
      <c r="AG331" s="24"/>
      <c r="AH331" s="24"/>
    </row>
    <row r="332" spans="1:34" x14ac:dyDescent="0.25">
      <c r="A332" s="39" t="s">
        <v>2493</v>
      </c>
      <c r="B332" s="36" t="s">
        <v>87</v>
      </c>
      <c r="C332" s="469">
        <v>6</v>
      </c>
      <c r="D332" s="470" t="s">
        <v>494</v>
      </c>
      <c r="E332" s="37">
        <f t="shared" si="18"/>
        <v>0</v>
      </c>
      <c r="F332" s="470" t="s">
        <v>494</v>
      </c>
      <c r="G332" s="37">
        <f t="shared" si="19"/>
        <v>0</v>
      </c>
      <c r="H332" s="37" t="s">
        <v>494</v>
      </c>
      <c r="I332" s="37">
        <f t="shared" si="20"/>
        <v>0</v>
      </c>
      <c r="J332" s="37" t="s">
        <v>347</v>
      </c>
      <c r="K332" s="37">
        <f t="shared" si="21"/>
        <v>0</v>
      </c>
      <c r="L332" s="37" t="s">
        <v>494</v>
      </c>
      <c r="M332" s="37">
        <f t="shared" si="22"/>
        <v>0</v>
      </c>
      <c r="N332" s="470" t="s">
        <v>347</v>
      </c>
      <c r="O332" s="470">
        <f t="shared" si="23"/>
        <v>0</v>
      </c>
      <c r="P332" s="37" t="str">
        <f t="shared" si="24"/>
        <v>None</v>
      </c>
      <c r="Q332" s="470" t="s">
        <v>347</v>
      </c>
      <c r="R332" s="37">
        <f t="shared" si="25"/>
        <v>0</v>
      </c>
      <c r="S332" s="470" t="s">
        <v>347</v>
      </c>
      <c r="T332" s="470">
        <f t="shared" si="26"/>
        <v>0</v>
      </c>
      <c r="U332" s="470" t="s">
        <v>347</v>
      </c>
      <c r="V332" s="111">
        <f>IF(OR(F332="none",G332="V"),0,VLOOKUP(F332,'Purchased Boons'!$AR$4:$AS$27,2,FALSE))</f>
        <v>0</v>
      </c>
      <c r="W332" s="39" t="s">
        <v>1764</v>
      </c>
      <c r="X332" s="37" t="s">
        <v>1764</v>
      </c>
      <c r="Y332" s="37" t="s">
        <v>1045</v>
      </c>
      <c r="Z332" s="111">
        <v>91</v>
      </c>
      <c r="AG332" s="24"/>
      <c r="AH332" s="24"/>
    </row>
    <row r="333" spans="1:34" x14ac:dyDescent="0.25">
      <c r="A333" s="39" t="s">
        <v>2503</v>
      </c>
      <c r="B333" s="36" t="s">
        <v>87</v>
      </c>
      <c r="C333" s="469">
        <v>6</v>
      </c>
      <c r="D333" s="470" t="s">
        <v>494</v>
      </c>
      <c r="E333" s="37">
        <f t="shared" si="18"/>
        <v>0</v>
      </c>
      <c r="F333" s="470" t="s">
        <v>494</v>
      </c>
      <c r="G333" s="37">
        <f t="shared" si="19"/>
        <v>0</v>
      </c>
      <c r="H333" s="37" t="s">
        <v>494</v>
      </c>
      <c r="I333" s="37">
        <f t="shared" si="20"/>
        <v>0</v>
      </c>
      <c r="J333" s="37" t="s">
        <v>347</v>
      </c>
      <c r="K333" s="37">
        <f t="shared" si="21"/>
        <v>0</v>
      </c>
      <c r="L333" s="37" t="s">
        <v>494</v>
      </c>
      <c r="M333" s="37">
        <f t="shared" si="22"/>
        <v>0</v>
      </c>
      <c r="N333" s="470" t="s">
        <v>347</v>
      </c>
      <c r="O333" s="470">
        <f t="shared" si="23"/>
        <v>0</v>
      </c>
      <c r="P333" s="37" t="str">
        <f t="shared" si="24"/>
        <v>None</v>
      </c>
      <c r="Q333" s="470" t="s">
        <v>347</v>
      </c>
      <c r="R333" s="37">
        <f t="shared" si="25"/>
        <v>0</v>
      </c>
      <c r="S333" s="470" t="s">
        <v>347</v>
      </c>
      <c r="T333" s="470">
        <f t="shared" si="26"/>
        <v>0</v>
      </c>
      <c r="U333" s="470" t="s">
        <v>347</v>
      </c>
      <c r="V333" s="111">
        <f>IF(OR(F333="none",G333="V"),0,VLOOKUP(F333,'Purchased Boons'!$AR$4:$AS$27,2,FALSE))</f>
        <v>0</v>
      </c>
      <c r="W333" s="39" t="s">
        <v>1764</v>
      </c>
      <c r="X333" s="37" t="s">
        <v>1764</v>
      </c>
      <c r="Y333" s="37" t="s">
        <v>1045</v>
      </c>
      <c r="Z333" s="111">
        <v>91</v>
      </c>
      <c r="AG333" s="24"/>
      <c r="AH333" s="24"/>
    </row>
    <row r="334" spans="1:34" x14ac:dyDescent="0.25">
      <c r="A334" s="39" t="s">
        <v>2513</v>
      </c>
      <c r="B334" s="36" t="s">
        <v>87</v>
      </c>
      <c r="C334" s="469">
        <v>6</v>
      </c>
      <c r="D334" s="470" t="s">
        <v>494</v>
      </c>
      <c r="E334" s="37">
        <f t="shared" si="18"/>
        <v>0</v>
      </c>
      <c r="F334" s="470" t="s">
        <v>494</v>
      </c>
      <c r="G334" s="37">
        <f t="shared" si="19"/>
        <v>0</v>
      </c>
      <c r="H334" s="37" t="s">
        <v>494</v>
      </c>
      <c r="I334" s="37">
        <f t="shared" si="20"/>
        <v>0</v>
      </c>
      <c r="J334" s="37" t="s">
        <v>347</v>
      </c>
      <c r="K334" s="37">
        <f t="shared" si="21"/>
        <v>0</v>
      </c>
      <c r="L334" s="37" t="s">
        <v>494</v>
      </c>
      <c r="M334" s="37">
        <f t="shared" si="22"/>
        <v>0</v>
      </c>
      <c r="N334" s="470" t="s">
        <v>347</v>
      </c>
      <c r="O334" s="470">
        <f t="shared" si="23"/>
        <v>0</v>
      </c>
      <c r="P334" s="37" t="str">
        <f t="shared" si="24"/>
        <v>None</v>
      </c>
      <c r="Q334" s="470" t="s">
        <v>347</v>
      </c>
      <c r="R334" s="37">
        <f t="shared" si="25"/>
        <v>0</v>
      </c>
      <c r="S334" s="470" t="s">
        <v>347</v>
      </c>
      <c r="T334" s="470">
        <f t="shared" si="26"/>
        <v>0</v>
      </c>
      <c r="U334" s="470" t="s">
        <v>347</v>
      </c>
      <c r="V334" s="111">
        <f>IF(OR(F334="none",G334="V"),0,VLOOKUP(F334,'Purchased Boons'!$AR$4:$AS$27,2,FALSE))</f>
        <v>0</v>
      </c>
      <c r="W334" s="39" t="s">
        <v>1764</v>
      </c>
      <c r="X334" s="37" t="s">
        <v>1764</v>
      </c>
      <c r="Y334" s="37" t="s">
        <v>1045</v>
      </c>
      <c r="Z334" s="111">
        <v>91</v>
      </c>
      <c r="AG334" s="24"/>
      <c r="AH334" s="24"/>
    </row>
    <row r="335" spans="1:34" x14ac:dyDescent="0.25">
      <c r="A335" s="39" t="s">
        <v>2523</v>
      </c>
      <c r="B335" s="36" t="s">
        <v>87</v>
      </c>
      <c r="C335" s="469">
        <v>6</v>
      </c>
      <c r="D335" s="470" t="s">
        <v>494</v>
      </c>
      <c r="E335" s="37">
        <f t="shared" si="18"/>
        <v>0</v>
      </c>
      <c r="F335" s="470" t="s">
        <v>494</v>
      </c>
      <c r="G335" s="37">
        <f t="shared" si="19"/>
        <v>0</v>
      </c>
      <c r="H335" s="37" t="s">
        <v>494</v>
      </c>
      <c r="I335" s="37">
        <f t="shared" si="20"/>
        <v>0</v>
      </c>
      <c r="J335" s="37" t="s">
        <v>347</v>
      </c>
      <c r="K335" s="37">
        <f t="shared" si="21"/>
        <v>0</v>
      </c>
      <c r="L335" s="37" t="s">
        <v>494</v>
      </c>
      <c r="M335" s="37">
        <f t="shared" si="22"/>
        <v>0</v>
      </c>
      <c r="N335" s="470" t="s">
        <v>347</v>
      </c>
      <c r="O335" s="470">
        <f t="shared" si="23"/>
        <v>0</v>
      </c>
      <c r="P335" s="37" t="str">
        <f t="shared" si="24"/>
        <v>None</v>
      </c>
      <c r="Q335" s="470" t="s">
        <v>347</v>
      </c>
      <c r="R335" s="37">
        <f t="shared" si="25"/>
        <v>0</v>
      </c>
      <c r="S335" s="470" t="s">
        <v>347</v>
      </c>
      <c r="T335" s="470">
        <f t="shared" si="26"/>
        <v>0</v>
      </c>
      <c r="U335" s="470" t="s">
        <v>347</v>
      </c>
      <c r="V335" s="111">
        <f>IF(OR(F335="none",G335="V"),0,VLOOKUP(F335,'Purchased Boons'!$AR$4:$AS$27,2,FALSE))</f>
        <v>0</v>
      </c>
      <c r="W335" s="39" t="s">
        <v>1764</v>
      </c>
      <c r="X335" s="37" t="s">
        <v>1764</v>
      </c>
      <c r="Y335" s="37" t="s">
        <v>1045</v>
      </c>
      <c r="Z335" s="111">
        <v>91</v>
      </c>
      <c r="AG335" s="24"/>
      <c r="AH335" s="24"/>
    </row>
    <row r="336" spans="1:34" x14ac:dyDescent="0.25">
      <c r="A336" s="39" t="s">
        <v>2533</v>
      </c>
      <c r="B336" s="36" t="s">
        <v>87</v>
      </c>
      <c r="C336" s="469">
        <v>6</v>
      </c>
      <c r="D336" s="470" t="s">
        <v>494</v>
      </c>
      <c r="E336" s="37">
        <f t="shared" si="18"/>
        <v>0</v>
      </c>
      <c r="F336" s="470" t="s">
        <v>494</v>
      </c>
      <c r="G336" s="37">
        <f t="shared" si="19"/>
        <v>0</v>
      </c>
      <c r="H336" s="37" t="s">
        <v>494</v>
      </c>
      <c r="I336" s="37">
        <f t="shared" si="20"/>
        <v>0</v>
      </c>
      <c r="J336" s="37" t="s">
        <v>347</v>
      </c>
      <c r="K336" s="37">
        <f t="shared" si="21"/>
        <v>0</v>
      </c>
      <c r="L336" s="37" t="s">
        <v>494</v>
      </c>
      <c r="M336" s="37">
        <f t="shared" si="22"/>
        <v>0</v>
      </c>
      <c r="N336" s="470" t="s">
        <v>347</v>
      </c>
      <c r="O336" s="470">
        <f t="shared" si="23"/>
        <v>0</v>
      </c>
      <c r="P336" s="37" t="str">
        <f t="shared" si="24"/>
        <v>None</v>
      </c>
      <c r="Q336" s="470" t="s">
        <v>347</v>
      </c>
      <c r="R336" s="37">
        <f t="shared" si="25"/>
        <v>0</v>
      </c>
      <c r="S336" s="470" t="s">
        <v>347</v>
      </c>
      <c r="T336" s="470">
        <f t="shared" si="26"/>
        <v>0</v>
      </c>
      <c r="U336" s="470" t="s">
        <v>347</v>
      </c>
      <c r="V336" s="111">
        <f>IF(OR(F336="none",G336="V"),0,VLOOKUP(F336,'Purchased Boons'!$AR$4:$AS$27,2,FALSE))</f>
        <v>0</v>
      </c>
      <c r="W336" s="39" t="s">
        <v>1764</v>
      </c>
      <c r="X336" s="37" t="s">
        <v>1764</v>
      </c>
      <c r="Y336" s="37" t="s">
        <v>1045</v>
      </c>
      <c r="Z336" s="111">
        <v>91</v>
      </c>
      <c r="AG336" s="24"/>
      <c r="AH336" s="24"/>
    </row>
    <row r="337" spans="1:34" x14ac:dyDescent="0.25">
      <c r="A337" s="39" t="s">
        <v>2543</v>
      </c>
      <c r="B337" s="36" t="s">
        <v>87</v>
      </c>
      <c r="C337" s="469">
        <v>6</v>
      </c>
      <c r="D337" s="470" t="s">
        <v>494</v>
      </c>
      <c r="E337" s="37">
        <f t="shared" si="18"/>
        <v>0</v>
      </c>
      <c r="F337" s="470" t="s">
        <v>494</v>
      </c>
      <c r="G337" s="37">
        <f t="shared" si="19"/>
        <v>0</v>
      </c>
      <c r="H337" s="37" t="s">
        <v>494</v>
      </c>
      <c r="I337" s="37">
        <f t="shared" si="20"/>
        <v>0</v>
      </c>
      <c r="J337" s="37" t="s">
        <v>347</v>
      </c>
      <c r="K337" s="37">
        <f t="shared" si="21"/>
        <v>0</v>
      </c>
      <c r="L337" s="37" t="s">
        <v>494</v>
      </c>
      <c r="M337" s="37">
        <f t="shared" si="22"/>
        <v>0</v>
      </c>
      <c r="N337" s="470" t="s">
        <v>347</v>
      </c>
      <c r="O337" s="470">
        <f t="shared" si="23"/>
        <v>0</v>
      </c>
      <c r="P337" s="37" t="str">
        <f t="shared" si="24"/>
        <v>None</v>
      </c>
      <c r="Q337" s="470" t="s">
        <v>347</v>
      </c>
      <c r="R337" s="37">
        <f t="shared" si="25"/>
        <v>0</v>
      </c>
      <c r="S337" s="470" t="s">
        <v>347</v>
      </c>
      <c r="T337" s="470">
        <f t="shared" si="26"/>
        <v>0</v>
      </c>
      <c r="U337" s="470" t="s">
        <v>347</v>
      </c>
      <c r="V337" s="111">
        <f>IF(OR(F337="none",G337="V"),0,VLOOKUP(F337,'Purchased Boons'!$AR$4:$AS$27,2,FALSE))</f>
        <v>0</v>
      </c>
      <c r="W337" s="39" t="s">
        <v>1764</v>
      </c>
      <c r="X337" s="37" t="s">
        <v>1764</v>
      </c>
      <c r="Y337" s="37" t="s">
        <v>1045</v>
      </c>
      <c r="Z337" s="111">
        <v>91</v>
      </c>
      <c r="AG337" s="24"/>
      <c r="AH337" s="24"/>
    </row>
    <row r="338" spans="1:34" x14ac:dyDescent="0.25">
      <c r="A338" s="39" t="s">
        <v>2553</v>
      </c>
      <c r="B338" s="36" t="s">
        <v>87</v>
      </c>
      <c r="C338" s="469">
        <v>6</v>
      </c>
      <c r="D338" s="470" t="s">
        <v>494</v>
      </c>
      <c r="E338" s="37">
        <f t="shared" si="18"/>
        <v>0</v>
      </c>
      <c r="F338" s="470" t="s">
        <v>494</v>
      </c>
      <c r="G338" s="37">
        <f t="shared" si="19"/>
        <v>0</v>
      </c>
      <c r="H338" s="37" t="s">
        <v>494</v>
      </c>
      <c r="I338" s="37">
        <f t="shared" si="20"/>
        <v>0</v>
      </c>
      <c r="J338" s="37" t="s">
        <v>347</v>
      </c>
      <c r="K338" s="37">
        <f t="shared" si="21"/>
        <v>0</v>
      </c>
      <c r="L338" s="37" t="s">
        <v>494</v>
      </c>
      <c r="M338" s="37">
        <f t="shared" si="22"/>
        <v>0</v>
      </c>
      <c r="N338" s="470" t="s">
        <v>347</v>
      </c>
      <c r="O338" s="470">
        <f t="shared" si="23"/>
        <v>0</v>
      </c>
      <c r="P338" s="37" t="str">
        <f t="shared" si="24"/>
        <v>None</v>
      </c>
      <c r="Q338" s="470" t="s">
        <v>347</v>
      </c>
      <c r="R338" s="37">
        <f t="shared" si="25"/>
        <v>0</v>
      </c>
      <c r="S338" s="470" t="s">
        <v>347</v>
      </c>
      <c r="T338" s="470">
        <f t="shared" si="26"/>
        <v>0</v>
      </c>
      <c r="U338" s="470" t="s">
        <v>347</v>
      </c>
      <c r="V338" s="111">
        <f>IF(OR(F338="none",G338="V"),0,VLOOKUP(F338,'Purchased Boons'!$AR$4:$AS$27,2,FALSE))</f>
        <v>0</v>
      </c>
      <c r="W338" s="39" t="s">
        <v>1764</v>
      </c>
      <c r="X338" s="37" t="s">
        <v>1764</v>
      </c>
      <c r="Y338" s="37" t="s">
        <v>1045</v>
      </c>
      <c r="Z338" s="111">
        <v>91</v>
      </c>
      <c r="AG338" s="24"/>
      <c r="AH338" s="24"/>
    </row>
    <row r="339" spans="1:34" x14ac:dyDescent="0.25">
      <c r="A339" s="39" t="s">
        <v>2623</v>
      </c>
      <c r="B339" s="36" t="s">
        <v>87</v>
      </c>
      <c r="C339" s="469">
        <v>6</v>
      </c>
      <c r="D339" s="470" t="s">
        <v>494</v>
      </c>
      <c r="E339" s="37">
        <f t="shared" si="18"/>
        <v>0</v>
      </c>
      <c r="F339" s="470" t="s">
        <v>494</v>
      </c>
      <c r="G339" s="37">
        <f t="shared" si="19"/>
        <v>0</v>
      </c>
      <c r="H339" s="37" t="s">
        <v>494</v>
      </c>
      <c r="I339" s="37">
        <f t="shared" si="20"/>
        <v>0</v>
      </c>
      <c r="J339" s="37" t="s">
        <v>347</v>
      </c>
      <c r="K339" s="37">
        <f t="shared" si="21"/>
        <v>0</v>
      </c>
      <c r="L339" s="37" t="s">
        <v>494</v>
      </c>
      <c r="M339" s="37">
        <f t="shared" si="22"/>
        <v>0</v>
      </c>
      <c r="N339" s="470" t="s">
        <v>347</v>
      </c>
      <c r="O339" s="470">
        <f t="shared" si="23"/>
        <v>0</v>
      </c>
      <c r="P339" s="37" t="str">
        <f t="shared" si="24"/>
        <v>None</v>
      </c>
      <c r="Q339" s="470" t="s">
        <v>347</v>
      </c>
      <c r="R339" s="37">
        <f t="shared" si="25"/>
        <v>0</v>
      </c>
      <c r="S339" s="470" t="s">
        <v>347</v>
      </c>
      <c r="T339" s="470">
        <f t="shared" si="26"/>
        <v>0</v>
      </c>
      <c r="U339" s="470" t="s">
        <v>347</v>
      </c>
      <c r="V339" s="111">
        <f>IF(OR(F339="none",G339="V"),0,VLOOKUP(F339,'Purchased Boons'!$AR$4:$AS$27,2,FALSE))</f>
        <v>0</v>
      </c>
      <c r="W339" s="39" t="s">
        <v>1764</v>
      </c>
      <c r="X339" s="37" t="s">
        <v>1764</v>
      </c>
      <c r="Y339" s="37" t="s">
        <v>1045</v>
      </c>
      <c r="Z339" s="111">
        <v>91</v>
      </c>
      <c r="AG339" s="24"/>
      <c r="AH339" s="24"/>
    </row>
    <row r="340" spans="1:34" x14ac:dyDescent="0.25">
      <c r="A340" s="39" t="s">
        <v>2563</v>
      </c>
      <c r="B340" s="36" t="s">
        <v>87</v>
      </c>
      <c r="C340" s="469">
        <v>6</v>
      </c>
      <c r="D340" s="470" t="s">
        <v>494</v>
      </c>
      <c r="E340" s="37">
        <f t="shared" si="18"/>
        <v>0</v>
      </c>
      <c r="F340" s="470" t="s">
        <v>494</v>
      </c>
      <c r="G340" s="37">
        <f t="shared" si="19"/>
        <v>0</v>
      </c>
      <c r="H340" s="37" t="s">
        <v>494</v>
      </c>
      <c r="I340" s="37">
        <f t="shared" si="20"/>
        <v>0</v>
      </c>
      <c r="J340" s="37" t="s">
        <v>347</v>
      </c>
      <c r="K340" s="37">
        <f t="shared" si="21"/>
        <v>0</v>
      </c>
      <c r="L340" s="37" t="s">
        <v>494</v>
      </c>
      <c r="M340" s="37">
        <f t="shared" si="22"/>
        <v>0</v>
      </c>
      <c r="N340" s="470" t="s">
        <v>347</v>
      </c>
      <c r="O340" s="470">
        <f t="shared" si="23"/>
        <v>0</v>
      </c>
      <c r="P340" s="37" t="str">
        <f t="shared" si="24"/>
        <v>None</v>
      </c>
      <c r="Q340" s="470" t="s">
        <v>347</v>
      </c>
      <c r="R340" s="37">
        <f t="shared" si="25"/>
        <v>0</v>
      </c>
      <c r="S340" s="470" t="s">
        <v>347</v>
      </c>
      <c r="T340" s="470">
        <f t="shared" si="26"/>
        <v>0</v>
      </c>
      <c r="U340" s="470" t="s">
        <v>347</v>
      </c>
      <c r="V340" s="111">
        <f>IF(OR(F340="none",G340="V"),0,VLOOKUP(F340,'Purchased Boons'!$AR$4:$AS$27,2,FALSE))</f>
        <v>0</v>
      </c>
      <c r="W340" s="39" t="s">
        <v>1764</v>
      </c>
      <c r="X340" s="37" t="s">
        <v>1764</v>
      </c>
      <c r="Y340" s="37" t="s">
        <v>1045</v>
      </c>
      <c r="Z340" s="111">
        <v>91</v>
      </c>
      <c r="AG340" s="24"/>
      <c r="AH340" s="24"/>
    </row>
    <row r="341" spans="1:34" x14ac:dyDescent="0.25">
      <c r="A341" s="39" t="s">
        <v>2573</v>
      </c>
      <c r="B341" s="36" t="s">
        <v>87</v>
      </c>
      <c r="C341" s="469">
        <v>6</v>
      </c>
      <c r="D341" s="470" t="s">
        <v>494</v>
      </c>
      <c r="E341" s="37">
        <f t="shared" si="18"/>
        <v>0</v>
      </c>
      <c r="F341" s="470" t="s">
        <v>494</v>
      </c>
      <c r="G341" s="37">
        <f t="shared" si="19"/>
        <v>0</v>
      </c>
      <c r="H341" s="37" t="s">
        <v>494</v>
      </c>
      <c r="I341" s="37">
        <f t="shared" si="20"/>
        <v>0</v>
      </c>
      <c r="J341" s="37" t="s">
        <v>347</v>
      </c>
      <c r="K341" s="37">
        <f t="shared" si="21"/>
        <v>0</v>
      </c>
      <c r="L341" s="37" t="s">
        <v>494</v>
      </c>
      <c r="M341" s="37">
        <f t="shared" si="22"/>
        <v>0</v>
      </c>
      <c r="N341" s="470" t="s">
        <v>347</v>
      </c>
      <c r="O341" s="470">
        <f t="shared" si="23"/>
        <v>0</v>
      </c>
      <c r="P341" s="37" t="str">
        <f t="shared" si="24"/>
        <v>None</v>
      </c>
      <c r="Q341" s="470" t="s">
        <v>347</v>
      </c>
      <c r="R341" s="37">
        <f t="shared" si="25"/>
        <v>0</v>
      </c>
      <c r="S341" s="470" t="s">
        <v>347</v>
      </c>
      <c r="T341" s="470">
        <f t="shared" si="26"/>
        <v>0</v>
      </c>
      <c r="U341" s="470" t="s">
        <v>347</v>
      </c>
      <c r="V341" s="111">
        <f>IF(OR(F341="none",G341="V"),0,VLOOKUP(F341,'Purchased Boons'!$AR$4:$AS$27,2,FALSE))</f>
        <v>0</v>
      </c>
      <c r="W341" s="39" t="s">
        <v>1764</v>
      </c>
      <c r="X341" s="37" t="s">
        <v>1764</v>
      </c>
      <c r="Y341" s="37" t="s">
        <v>1045</v>
      </c>
      <c r="Z341" s="111">
        <v>91</v>
      </c>
      <c r="AG341" s="24"/>
      <c r="AH341" s="24"/>
    </row>
    <row r="342" spans="1:34" x14ac:dyDescent="0.25">
      <c r="A342" s="39" t="s">
        <v>2583</v>
      </c>
      <c r="B342" s="36" t="s">
        <v>87</v>
      </c>
      <c r="C342" s="469">
        <v>6</v>
      </c>
      <c r="D342" s="470" t="s">
        <v>494</v>
      </c>
      <c r="E342" s="37">
        <f t="shared" si="18"/>
        <v>0</v>
      </c>
      <c r="F342" s="470" t="s">
        <v>494</v>
      </c>
      <c r="G342" s="37">
        <f t="shared" si="19"/>
        <v>0</v>
      </c>
      <c r="H342" s="37" t="s">
        <v>494</v>
      </c>
      <c r="I342" s="37">
        <f t="shared" si="20"/>
        <v>0</v>
      </c>
      <c r="J342" s="37" t="s">
        <v>347</v>
      </c>
      <c r="K342" s="37">
        <f t="shared" si="21"/>
        <v>0</v>
      </c>
      <c r="L342" s="37" t="s">
        <v>494</v>
      </c>
      <c r="M342" s="37">
        <f t="shared" si="22"/>
        <v>0</v>
      </c>
      <c r="N342" s="470" t="s">
        <v>347</v>
      </c>
      <c r="O342" s="470">
        <f t="shared" si="23"/>
        <v>0</v>
      </c>
      <c r="P342" s="37" t="str">
        <f t="shared" si="24"/>
        <v>None</v>
      </c>
      <c r="Q342" s="470" t="s">
        <v>347</v>
      </c>
      <c r="R342" s="37">
        <f t="shared" si="25"/>
        <v>0</v>
      </c>
      <c r="S342" s="470" t="s">
        <v>347</v>
      </c>
      <c r="T342" s="470">
        <f t="shared" si="26"/>
        <v>0</v>
      </c>
      <c r="U342" s="470" t="s">
        <v>347</v>
      </c>
      <c r="V342" s="111">
        <f>IF(OR(F342="none",G342="V"),0,VLOOKUP(F342,'Purchased Boons'!$AR$4:$AS$27,2,FALSE))</f>
        <v>0</v>
      </c>
      <c r="W342" s="39" t="s">
        <v>1764</v>
      </c>
      <c r="X342" s="37" t="s">
        <v>1764</v>
      </c>
      <c r="Y342" s="37" t="s">
        <v>1045</v>
      </c>
      <c r="Z342" s="111">
        <v>91</v>
      </c>
      <c r="AG342" s="24"/>
      <c r="AH342" s="24"/>
    </row>
    <row r="343" spans="1:34" x14ac:dyDescent="0.25">
      <c r="A343" s="39" t="s">
        <v>2394</v>
      </c>
      <c r="B343" s="36" t="s">
        <v>87</v>
      </c>
      <c r="C343" s="469">
        <v>7</v>
      </c>
      <c r="D343" s="470" t="s">
        <v>494</v>
      </c>
      <c r="E343" s="37">
        <f t="shared" si="18"/>
        <v>0</v>
      </c>
      <c r="F343" s="470" t="s">
        <v>494</v>
      </c>
      <c r="G343" s="37">
        <f t="shared" si="19"/>
        <v>0</v>
      </c>
      <c r="H343" s="37" t="s">
        <v>494</v>
      </c>
      <c r="I343" s="37">
        <f t="shared" si="20"/>
        <v>0</v>
      </c>
      <c r="J343" s="37" t="s">
        <v>347</v>
      </c>
      <c r="K343" s="37">
        <f t="shared" si="21"/>
        <v>0</v>
      </c>
      <c r="L343" s="37" t="s">
        <v>494</v>
      </c>
      <c r="M343" s="37">
        <f t="shared" si="22"/>
        <v>0</v>
      </c>
      <c r="N343" s="470" t="s">
        <v>347</v>
      </c>
      <c r="O343" s="470">
        <f t="shared" si="23"/>
        <v>0</v>
      </c>
      <c r="P343" s="37" t="str">
        <f t="shared" si="24"/>
        <v>None</v>
      </c>
      <c r="Q343" s="470" t="s">
        <v>347</v>
      </c>
      <c r="R343" s="37">
        <f t="shared" si="25"/>
        <v>0</v>
      </c>
      <c r="S343" s="470" t="s">
        <v>347</v>
      </c>
      <c r="T343" s="470">
        <f t="shared" si="26"/>
        <v>0</v>
      </c>
      <c r="U343" s="470" t="s">
        <v>347</v>
      </c>
      <c r="V343" s="111">
        <f>IF(OR(F343="none",G343="V"),0,VLOOKUP(F343,'Purchased Boons'!$AR$4:$AS$27,2,FALSE))</f>
        <v>0</v>
      </c>
      <c r="W343" s="39" t="s">
        <v>1764</v>
      </c>
      <c r="X343" s="37" t="s">
        <v>1764</v>
      </c>
      <c r="Y343" s="37" t="s">
        <v>1045</v>
      </c>
      <c r="Z343" s="111">
        <v>91</v>
      </c>
      <c r="AG343" s="24"/>
      <c r="AH343" s="24"/>
    </row>
    <row r="344" spans="1:34" x14ac:dyDescent="0.25">
      <c r="A344" s="39" t="s">
        <v>2404</v>
      </c>
      <c r="B344" s="36" t="s">
        <v>87</v>
      </c>
      <c r="C344" s="469">
        <v>7</v>
      </c>
      <c r="D344" s="470" t="s">
        <v>494</v>
      </c>
      <c r="E344" s="37">
        <f t="shared" si="18"/>
        <v>0</v>
      </c>
      <c r="F344" s="470" t="s">
        <v>494</v>
      </c>
      <c r="G344" s="37">
        <f t="shared" si="19"/>
        <v>0</v>
      </c>
      <c r="H344" s="37" t="s">
        <v>494</v>
      </c>
      <c r="I344" s="37">
        <f t="shared" si="20"/>
        <v>0</v>
      </c>
      <c r="J344" s="37" t="s">
        <v>347</v>
      </c>
      <c r="K344" s="37">
        <f t="shared" si="21"/>
        <v>0</v>
      </c>
      <c r="L344" s="37" t="s">
        <v>494</v>
      </c>
      <c r="M344" s="37">
        <f t="shared" si="22"/>
        <v>0</v>
      </c>
      <c r="N344" s="470" t="s">
        <v>347</v>
      </c>
      <c r="O344" s="470">
        <f t="shared" si="23"/>
        <v>0</v>
      </c>
      <c r="P344" s="37" t="str">
        <f t="shared" si="24"/>
        <v>None</v>
      </c>
      <c r="Q344" s="470" t="s">
        <v>347</v>
      </c>
      <c r="R344" s="37">
        <f t="shared" si="25"/>
        <v>0</v>
      </c>
      <c r="S344" s="470" t="s">
        <v>347</v>
      </c>
      <c r="T344" s="470">
        <f t="shared" si="26"/>
        <v>0</v>
      </c>
      <c r="U344" s="470" t="s">
        <v>347</v>
      </c>
      <c r="V344" s="111">
        <f>IF(OR(F344="none",G344="V"),0,VLOOKUP(F344,'Purchased Boons'!$AR$4:$AS$27,2,FALSE))</f>
        <v>0</v>
      </c>
      <c r="W344" s="39" t="s">
        <v>1764</v>
      </c>
      <c r="X344" s="37" t="s">
        <v>1764</v>
      </c>
      <c r="Y344" s="37" t="s">
        <v>1045</v>
      </c>
      <c r="Z344" s="111">
        <v>91</v>
      </c>
      <c r="AG344" s="24"/>
      <c r="AH344" s="24"/>
    </row>
    <row r="345" spans="1:34" x14ac:dyDescent="0.25">
      <c r="A345" s="39" t="s">
        <v>2594</v>
      </c>
      <c r="B345" s="36" t="s">
        <v>87</v>
      </c>
      <c r="C345" s="469">
        <v>7</v>
      </c>
      <c r="D345" s="470" t="s">
        <v>494</v>
      </c>
      <c r="E345" s="37">
        <f t="shared" si="18"/>
        <v>0</v>
      </c>
      <c r="F345" s="470" t="s">
        <v>494</v>
      </c>
      <c r="G345" s="37">
        <f t="shared" si="19"/>
        <v>0</v>
      </c>
      <c r="H345" s="37" t="s">
        <v>494</v>
      </c>
      <c r="I345" s="37">
        <f t="shared" si="20"/>
        <v>0</v>
      </c>
      <c r="J345" s="37" t="s">
        <v>347</v>
      </c>
      <c r="K345" s="37">
        <f t="shared" si="21"/>
        <v>0</v>
      </c>
      <c r="L345" s="37" t="s">
        <v>494</v>
      </c>
      <c r="M345" s="37">
        <f t="shared" si="22"/>
        <v>0</v>
      </c>
      <c r="N345" s="470" t="s">
        <v>347</v>
      </c>
      <c r="O345" s="470">
        <f t="shared" si="23"/>
        <v>0</v>
      </c>
      <c r="P345" s="37" t="str">
        <f t="shared" si="24"/>
        <v>None</v>
      </c>
      <c r="Q345" s="470" t="s">
        <v>347</v>
      </c>
      <c r="R345" s="37">
        <f t="shared" si="25"/>
        <v>0</v>
      </c>
      <c r="S345" s="470" t="s">
        <v>347</v>
      </c>
      <c r="T345" s="470">
        <f t="shared" si="26"/>
        <v>0</v>
      </c>
      <c r="U345" s="470" t="s">
        <v>347</v>
      </c>
      <c r="V345" s="111">
        <f>IF(OR(F345="none",G345="V"),0,VLOOKUP(F345,'Purchased Boons'!$AR$4:$AS$27,2,FALSE))</f>
        <v>0</v>
      </c>
      <c r="W345" s="39" t="s">
        <v>1764</v>
      </c>
      <c r="X345" s="37" t="s">
        <v>1764</v>
      </c>
      <c r="Y345" s="37" t="s">
        <v>1045</v>
      </c>
      <c r="Z345" s="111">
        <v>91</v>
      </c>
      <c r="AG345" s="24"/>
      <c r="AH345" s="24"/>
    </row>
    <row r="346" spans="1:34" x14ac:dyDescent="0.25">
      <c r="A346" s="39" t="s">
        <v>2414</v>
      </c>
      <c r="B346" s="36" t="s">
        <v>87</v>
      </c>
      <c r="C346" s="469">
        <v>7</v>
      </c>
      <c r="D346" s="470" t="s">
        <v>494</v>
      </c>
      <c r="E346" s="37">
        <f t="shared" si="18"/>
        <v>0</v>
      </c>
      <c r="F346" s="470" t="s">
        <v>494</v>
      </c>
      <c r="G346" s="37">
        <f t="shared" si="19"/>
        <v>0</v>
      </c>
      <c r="H346" s="37" t="s">
        <v>494</v>
      </c>
      <c r="I346" s="37">
        <f t="shared" si="20"/>
        <v>0</v>
      </c>
      <c r="J346" s="37" t="s">
        <v>347</v>
      </c>
      <c r="K346" s="37">
        <f t="shared" si="21"/>
        <v>0</v>
      </c>
      <c r="L346" s="37" t="s">
        <v>494</v>
      </c>
      <c r="M346" s="37">
        <f t="shared" si="22"/>
        <v>0</v>
      </c>
      <c r="N346" s="470" t="s">
        <v>347</v>
      </c>
      <c r="O346" s="470">
        <f t="shared" si="23"/>
        <v>0</v>
      </c>
      <c r="P346" s="37" t="str">
        <f t="shared" si="24"/>
        <v>None</v>
      </c>
      <c r="Q346" s="470" t="s">
        <v>347</v>
      </c>
      <c r="R346" s="37">
        <f t="shared" si="25"/>
        <v>0</v>
      </c>
      <c r="S346" s="470" t="s">
        <v>347</v>
      </c>
      <c r="T346" s="470">
        <f t="shared" si="26"/>
        <v>0</v>
      </c>
      <c r="U346" s="470" t="s">
        <v>347</v>
      </c>
      <c r="V346" s="111">
        <f>IF(OR(F346="none",G346="V"),0,VLOOKUP(F346,'Purchased Boons'!$AR$4:$AS$27,2,FALSE))</f>
        <v>0</v>
      </c>
      <c r="W346" s="39" t="s">
        <v>1764</v>
      </c>
      <c r="X346" s="37" t="s">
        <v>1764</v>
      </c>
      <c r="Y346" s="37" t="s">
        <v>1045</v>
      </c>
      <c r="Z346" s="111">
        <v>91</v>
      </c>
      <c r="AG346" s="24"/>
      <c r="AH346" s="24"/>
    </row>
    <row r="347" spans="1:34" x14ac:dyDescent="0.25">
      <c r="A347" s="39" t="s">
        <v>2424</v>
      </c>
      <c r="B347" s="36" t="s">
        <v>87</v>
      </c>
      <c r="C347" s="469">
        <v>7</v>
      </c>
      <c r="D347" s="470" t="s">
        <v>494</v>
      </c>
      <c r="E347" s="37">
        <f t="shared" si="18"/>
        <v>0</v>
      </c>
      <c r="F347" s="470" t="s">
        <v>494</v>
      </c>
      <c r="G347" s="37">
        <f t="shared" si="19"/>
        <v>0</v>
      </c>
      <c r="H347" s="37" t="s">
        <v>494</v>
      </c>
      <c r="I347" s="37">
        <f t="shared" si="20"/>
        <v>0</v>
      </c>
      <c r="J347" s="37" t="s">
        <v>347</v>
      </c>
      <c r="K347" s="37">
        <f t="shared" si="21"/>
        <v>0</v>
      </c>
      <c r="L347" s="37" t="s">
        <v>494</v>
      </c>
      <c r="M347" s="37">
        <f t="shared" si="22"/>
        <v>0</v>
      </c>
      <c r="N347" s="470" t="s">
        <v>347</v>
      </c>
      <c r="O347" s="470">
        <f t="shared" si="23"/>
        <v>0</v>
      </c>
      <c r="P347" s="37" t="str">
        <f t="shared" si="24"/>
        <v>None</v>
      </c>
      <c r="Q347" s="470" t="s">
        <v>347</v>
      </c>
      <c r="R347" s="37">
        <f t="shared" si="25"/>
        <v>0</v>
      </c>
      <c r="S347" s="470" t="s">
        <v>347</v>
      </c>
      <c r="T347" s="470">
        <f t="shared" si="26"/>
        <v>0</v>
      </c>
      <c r="U347" s="470" t="s">
        <v>347</v>
      </c>
      <c r="V347" s="111">
        <f>IF(OR(F347="none",G347="V"),0,VLOOKUP(F347,'Purchased Boons'!$AR$4:$AS$27,2,FALSE))</f>
        <v>0</v>
      </c>
      <c r="W347" s="39" t="s">
        <v>1764</v>
      </c>
      <c r="X347" s="37" t="s">
        <v>1764</v>
      </c>
      <c r="Y347" s="37" t="s">
        <v>1045</v>
      </c>
      <c r="Z347" s="111">
        <v>91</v>
      </c>
      <c r="AG347" s="24"/>
      <c r="AH347" s="24"/>
    </row>
    <row r="348" spans="1:34" x14ac:dyDescent="0.25">
      <c r="A348" s="39" t="s">
        <v>2434</v>
      </c>
      <c r="B348" s="36" t="s">
        <v>87</v>
      </c>
      <c r="C348" s="469">
        <v>7</v>
      </c>
      <c r="D348" s="470" t="s">
        <v>494</v>
      </c>
      <c r="E348" s="37">
        <f t="shared" si="18"/>
        <v>0</v>
      </c>
      <c r="F348" s="470" t="s">
        <v>494</v>
      </c>
      <c r="G348" s="37">
        <f t="shared" si="19"/>
        <v>0</v>
      </c>
      <c r="H348" s="37" t="s">
        <v>494</v>
      </c>
      <c r="I348" s="37">
        <f t="shared" si="20"/>
        <v>0</v>
      </c>
      <c r="J348" s="37" t="s">
        <v>347</v>
      </c>
      <c r="K348" s="37">
        <f t="shared" si="21"/>
        <v>0</v>
      </c>
      <c r="L348" s="37" t="s">
        <v>494</v>
      </c>
      <c r="M348" s="37">
        <f t="shared" si="22"/>
        <v>0</v>
      </c>
      <c r="N348" s="470" t="s">
        <v>347</v>
      </c>
      <c r="O348" s="470">
        <f t="shared" si="23"/>
        <v>0</v>
      </c>
      <c r="P348" s="37" t="str">
        <f t="shared" si="24"/>
        <v>None</v>
      </c>
      <c r="Q348" s="470" t="s">
        <v>347</v>
      </c>
      <c r="R348" s="37">
        <f t="shared" si="25"/>
        <v>0</v>
      </c>
      <c r="S348" s="470" t="s">
        <v>347</v>
      </c>
      <c r="T348" s="470">
        <f t="shared" si="26"/>
        <v>0</v>
      </c>
      <c r="U348" s="470" t="s">
        <v>347</v>
      </c>
      <c r="V348" s="111">
        <f>IF(OR(F348="none",G348="V"),0,VLOOKUP(F348,'Purchased Boons'!$AR$4:$AS$27,2,FALSE))</f>
        <v>0</v>
      </c>
      <c r="W348" s="39" t="s">
        <v>1764</v>
      </c>
      <c r="X348" s="37" t="s">
        <v>1764</v>
      </c>
      <c r="Y348" s="37" t="s">
        <v>1045</v>
      </c>
      <c r="Z348" s="111">
        <v>91</v>
      </c>
      <c r="AG348" s="24"/>
      <c r="AH348" s="24"/>
    </row>
    <row r="349" spans="1:34" x14ac:dyDescent="0.25">
      <c r="A349" s="39" t="s">
        <v>2444</v>
      </c>
      <c r="B349" s="36" t="s">
        <v>87</v>
      </c>
      <c r="C349" s="469">
        <v>7</v>
      </c>
      <c r="D349" s="470" t="s">
        <v>494</v>
      </c>
      <c r="E349" s="37">
        <f t="shared" si="18"/>
        <v>0</v>
      </c>
      <c r="F349" s="470" t="s">
        <v>494</v>
      </c>
      <c r="G349" s="37">
        <f t="shared" si="19"/>
        <v>0</v>
      </c>
      <c r="H349" s="37" t="s">
        <v>494</v>
      </c>
      <c r="I349" s="37">
        <f t="shared" si="20"/>
        <v>0</v>
      </c>
      <c r="J349" s="37" t="s">
        <v>347</v>
      </c>
      <c r="K349" s="37">
        <f t="shared" si="21"/>
        <v>0</v>
      </c>
      <c r="L349" s="37" t="s">
        <v>494</v>
      </c>
      <c r="M349" s="37">
        <f t="shared" si="22"/>
        <v>0</v>
      </c>
      <c r="N349" s="470" t="s">
        <v>347</v>
      </c>
      <c r="O349" s="470">
        <f t="shared" si="23"/>
        <v>0</v>
      </c>
      <c r="P349" s="37" t="str">
        <f t="shared" si="24"/>
        <v>None</v>
      </c>
      <c r="Q349" s="470" t="s">
        <v>347</v>
      </c>
      <c r="R349" s="37">
        <f t="shared" si="25"/>
        <v>0</v>
      </c>
      <c r="S349" s="470" t="s">
        <v>347</v>
      </c>
      <c r="T349" s="470">
        <f t="shared" si="26"/>
        <v>0</v>
      </c>
      <c r="U349" s="470" t="s">
        <v>347</v>
      </c>
      <c r="V349" s="111">
        <f>IF(OR(F349="none",G349="V"),0,VLOOKUP(F349,'Purchased Boons'!$AR$4:$AS$27,2,FALSE))</f>
        <v>0</v>
      </c>
      <c r="W349" s="39" t="s">
        <v>1764</v>
      </c>
      <c r="X349" s="37" t="s">
        <v>1764</v>
      </c>
      <c r="Y349" s="37" t="s">
        <v>1045</v>
      </c>
      <c r="Z349" s="111">
        <v>91</v>
      </c>
      <c r="AG349" s="24"/>
      <c r="AH349" s="24"/>
    </row>
    <row r="350" spans="1:34" x14ac:dyDescent="0.25">
      <c r="A350" s="39" t="s">
        <v>2604</v>
      </c>
      <c r="B350" s="36" t="s">
        <v>87</v>
      </c>
      <c r="C350" s="469">
        <v>7</v>
      </c>
      <c r="D350" s="470" t="s">
        <v>494</v>
      </c>
      <c r="E350" s="37">
        <f t="shared" si="18"/>
        <v>0</v>
      </c>
      <c r="F350" s="470" t="s">
        <v>494</v>
      </c>
      <c r="G350" s="37">
        <f t="shared" si="19"/>
        <v>0</v>
      </c>
      <c r="H350" s="37" t="s">
        <v>494</v>
      </c>
      <c r="I350" s="37">
        <f t="shared" si="20"/>
        <v>0</v>
      </c>
      <c r="J350" s="37" t="s">
        <v>347</v>
      </c>
      <c r="K350" s="37">
        <f t="shared" si="21"/>
        <v>0</v>
      </c>
      <c r="L350" s="37" t="s">
        <v>494</v>
      </c>
      <c r="M350" s="37">
        <f t="shared" si="22"/>
        <v>0</v>
      </c>
      <c r="N350" s="470" t="s">
        <v>347</v>
      </c>
      <c r="O350" s="470">
        <f t="shared" si="23"/>
        <v>0</v>
      </c>
      <c r="P350" s="37" t="str">
        <f t="shared" si="24"/>
        <v>None</v>
      </c>
      <c r="Q350" s="470" t="s">
        <v>347</v>
      </c>
      <c r="R350" s="37">
        <f t="shared" si="25"/>
        <v>0</v>
      </c>
      <c r="S350" s="470" t="s">
        <v>347</v>
      </c>
      <c r="T350" s="470">
        <f t="shared" si="26"/>
        <v>0</v>
      </c>
      <c r="U350" s="470" t="s">
        <v>347</v>
      </c>
      <c r="V350" s="111">
        <f>IF(OR(F350="none",G350="V"),0,VLOOKUP(F350,'Purchased Boons'!$AR$4:$AS$27,2,FALSE))</f>
        <v>0</v>
      </c>
      <c r="W350" s="39" t="s">
        <v>1764</v>
      </c>
      <c r="X350" s="37" t="s">
        <v>1764</v>
      </c>
      <c r="Y350" s="37" t="s">
        <v>1045</v>
      </c>
      <c r="Z350" s="111">
        <v>91</v>
      </c>
      <c r="AG350" s="24"/>
      <c r="AH350" s="24"/>
    </row>
    <row r="351" spans="1:34" x14ac:dyDescent="0.25">
      <c r="A351" s="39" t="s">
        <v>2614</v>
      </c>
      <c r="B351" s="36" t="s">
        <v>87</v>
      </c>
      <c r="C351" s="469">
        <v>7</v>
      </c>
      <c r="D351" s="470" t="s">
        <v>494</v>
      </c>
      <c r="E351" s="37">
        <f t="shared" si="18"/>
        <v>0</v>
      </c>
      <c r="F351" s="470" t="s">
        <v>494</v>
      </c>
      <c r="G351" s="37">
        <f t="shared" si="19"/>
        <v>0</v>
      </c>
      <c r="H351" s="37" t="s">
        <v>494</v>
      </c>
      <c r="I351" s="37">
        <f t="shared" si="20"/>
        <v>0</v>
      </c>
      <c r="J351" s="37" t="s">
        <v>347</v>
      </c>
      <c r="K351" s="37">
        <f t="shared" si="21"/>
        <v>0</v>
      </c>
      <c r="L351" s="37" t="s">
        <v>494</v>
      </c>
      <c r="M351" s="37">
        <f t="shared" si="22"/>
        <v>0</v>
      </c>
      <c r="N351" s="470" t="s">
        <v>347</v>
      </c>
      <c r="O351" s="470">
        <f t="shared" si="23"/>
        <v>0</v>
      </c>
      <c r="P351" s="37" t="str">
        <f t="shared" si="24"/>
        <v>None</v>
      </c>
      <c r="Q351" s="470" t="s">
        <v>347</v>
      </c>
      <c r="R351" s="37">
        <f t="shared" si="25"/>
        <v>0</v>
      </c>
      <c r="S351" s="470" t="s">
        <v>347</v>
      </c>
      <c r="T351" s="470">
        <f t="shared" si="26"/>
        <v>0</v>
      </c>
      <c r="U351" s="470" t="s">
        <v>347</v>
      </c>
      <c r="V351" s="111">
        <f>IF(OR(F351="none",G351="V"),0,VLOOKUP(F351,'Purchased Boons'!$AR$4:$AS$27,2,FALSE))</f>
        <v>0</v>
      </c>
      <c r="W351" s="39" t="s">
        <v>1764</v>
      </c>
      <c r="X351" s="37" t="s">
        <v>1764</v>
      </c>
      <c r="Y351" s="37" t="s">
        <v>1045</v>
      </c>
      <c r="Z351" s="111">
        <v>91</v>
      </c>
      <c r="AG351" s="24"/>
      <c r="AH351" s="24"/>
    </row>
    <row r="352" spans="1:34" x14ac:dyDescent="0.25">
      <c r="A352" s="39" t="s">
        <v>2454</v>
      </c>
      <c r="B352" s="36" t="s">
        <v>87</v>
      </c>
      <c r="C352" s="469">
        <v>7</v>
      </c>
      <c r="D352" s="470" t="s">
        <v>494</v>
      </c>
      <c r="E352" s="37">
        <f t="shared" si="18"/>
        <v>0</v>
      </c>
      <c r="F352" s="470" t="s">
        <v>494</v>
      </c>
      <c r="G352" s="37">
        <f t="shared" si="19"/>
        <v>0</v>
      </c>
      <c r="H352" s="37" t="s">
        <v>494</v>
      </c>
      <c r="I352" s="37">
        <f t="shared" si="20"/>
        <v>0</v>
      </c>
      <c r="J352" s="37" t="s">
        <v>347</v>
      </c>
      <c r="K352" s="37">
        <f t="shared" si="21"/>
        <v>0</v>
      </c>
      <c r="L352" s="37" t="s">
        <v>494</v>
      </c>
      <c r="M352" s="37">
        <f t="shared" si="22"/>
        <v>0</v>
      </c>
      <c r="N352" s="470" t="s">
        <v>347</v>
      </c>
      <c r="O352" s="470">
        <f t="shared" si="23"/>
        <v>0</v>
      </c>
      <c r="P352" s="37" t="str">
        <f t="shared" si="24"/>
        <v>None</v>
      </c>
      <c r="Q352" s="470" t="s">
        <v>347</v>
      </c>
      <c r="R352" s="37">
        <f t="shared" si="25"/>
        <v>0</v>
      </c>
      <c r="S352" s="470" t="s">
        <v>347</v>
      </c>
      <c r="T352" s="470">
        <f t="shared" si="26"/>
        <v>0</v>
      </c>
      <c r="U352" s="470" t="s">
        <v>347</v>
      </c>
      <c r="V352" s="111">
        <f>IF(OR(F352="none",G352="V"),0,VLOOKUP(F352,'Purchased Boons'!$AR$4:$AS$27,2,FALSE))</f>
        <v>0</v>
      </c>
      <c r="W352" s="39" t="s">
        <v>1764</v>
      </c>
      <c r="X352" s="37" t="s">
        <v>1764</v>
      </c>
      <c r="Y352" s="37" t="s">
        <v>1045</v>
      </c>
      <c r="Z352" s="111">
        <v>91</v>
      </c>
      <c r="AG352" s="24"/>
      <c r="AH352" s="24"/>
    </row>
    <row r="353" spans="1:34" x14ac:dyDescent="0.25">
      <c r="A353" s="39" t="s">
        <v>2464</v>
      </c>
      <c r="B353" s="36" t="s">
        <v>87</v>
      </c>
      <c r="C353" s="469">
        <v>7</v>
      </c>
      <c r="D353" s="470" t="s">
        <v>494</v>
      </c>
      <c r="E353" s="37">
        <f t="shared" si="18"/>
        <v>0</v>
      </c>
      <c r="F353" s="470" t="s">
        <v>494</v>
      </c>
      <c r="G353" s="37">
        <f t="shared" si="19"/>
        <v>0</v>
      </c>
      <c r="H353" s="37" t="s">
        <v>494</v>
      </c>
      <c r="I353" s="37">
        <f t="shared" si="20"/>
        <v>0</v>
      </c>
      <c r="J353" s="37" t="s">
        <v>347</v>
      </c>
      <c r="K353" s="37">
        <f t="shared" si="21"/>
        <v>0</v>
      </c>
      <c r="L353" s="37" t="s">
        <v>494</v>
      </c>
      <c r="M353" s="37">
        <f t="shared" si="22"/>
        <v>0</v>
      </c>
      <c r="N353" s="470" t="s">
        <v>347</v>
      </c>
      <c r="O353" s="470">
        <f t="shared" si="23"/>
        <v>0</v>
      </c>
      <c r="P353" s="37" t="str">
        <f t="shared" si="24"/>
        <v>None</v>
      </c>
      <c r="Q353" s="470" t="s">
        <v>347</v>
      </c>
      <c r="R353" s="37">
        <f t="shared" si="25"/>
        <v>0</v>
      </c>
      <c r="S353" s="470" t="s">
        <v>347</v>
      </c>
      <c r="T353" s="470">
        <f t="shared" si="26"/>
        <v>0</v>
      </c>
      <c r="U353" s="470" t="s">
        <v>347</v>
      </c>
      <c r="V353" s="111">
        <f>IF(OR(F353="none",G353="V"),0,VLOOKUP(F353,'Purchased Boons'!$AR$4:$AS$27,2,FALSE))</f>
        <v>0</v>
      </c>
      <c r="W353" s="39" t="s">
        <v>1764</v>
      </c>
      <c r="X353" s="37" t="s">
        <v>1764</v>
      </c>
      <c r="Y353" s="37" t="s">
        <v>1045</v>
      </c>
      <c r="Z353" s="111">
        <v>91</v>
      </c>
      <c r="AG353" s="24"/>
      <c r="AH353" s="24"/>
    </row>
    <row r="354" spans="1:34" x14ac:dyDescent="0.25">
      <c r="A354" s="39" t="s">
        <v>2474</v>
      </c>
      <c r="B354" s="36" t="s">
        <v>87</v>
      </c>
      <c r="C354" s="469">
        <v>7</v>
      </c>
      <c r="D354" s="470" t="s">
        <v>494</v>
      </c>
      <c r="E354" s="37">
        <f t="shared" si="18"/>
        <v>0</v>
      </c>
      <c r="F354" s="470" t="s">
        <v>494</v>
      </c>
      <c r="G354" s="37">
        <f t="shared" si="19"/>
        <v>0</v>
      </c>
      <c r="H354" s="37" t="s">
        <v>494</v>
      </c>
      <c r="I354" s="37">
        <f t="shared" si="20"/>
        <v>0</v>
      </c>
      <c r="J354" s="37" t="s">
        <v>347</v>
      </c>
      <c r="K354" s="37">
        <f t="shared" si="21"/>
        <v>0</v>
      </c>
      <c r="L354" s="37" t="s">
        <v>494</v>
      </c>
      <c r="M354" s="37">
        <f t="shared" si="22"/>
        <v>0</v>
      </c>
      <c r="N354" s="470" t="s">
        <v>347</v>
      </c>
      <c r="O354" s="470">
        <f t="shared" si="23"/>
        <v>0</v>
      </c>
      <c r="P354" s="37" t="str">
        <f t="shared" si="24"/>
        <v>None</v>
      </c>
      <c r="Q354" s="470" t="s">
        <v>347</v>
      </c>
      <c r="R354" s="37">
        <f t="shared" si="25"/>
        <v>0</v>
      </c>
      <c r="S354" s="470" t="s">
        <v>347</v>
      </c>
      <c r="T354" s="470">
        <f t="shared" si="26"/>
        <v>0</v>
      </c>
      <c r="U354" s="470" t="s">
        <v>347</v>
      </c>
      <c r="V354" s="111">
        <f>IF(OR(F354="none",G354="V"),0,VLOOKUP(F354,'Purchased Boons'!$AR$4:$AS$27,2,FALSE))</f>
        <v>0</v>
      </c>
      <c r="W354" s="39" t="s">
        <v>1764</v>
      </c>
      <c r="X354" s="37" t="s">
        <v>1764</v>
      </c>
      <c r="Y354" s="37" t="s">
        <v>1045</v>
      </c>
      <c r="Z354" s="111">
        <v>91</v>
      </c>
      <c r="AG354" s="24"/>
      <c r="AH354" s="24"/>
    </row>
    <row r="355" spans="1:34" x14ac:dyDescent="0.25">
      <c r="A355" s="39" t="s">
        <v>2484</v>
      </c>
      <c r="B355" s="36" t="s">
        <v>87</v>
      </c>
      <c r="C355" s="469">
        <v>7</v>
      </c>
      <c r="D355" s="470" t="s">
        <v>494</v>
      </c>
      <c r="E355" s="37">
        <f t="shared" si="18"/>
        <v>0</v>
      </c>
      <c r="F355" s="470" t="s">
        <v>494</v>
      </c>
      <c r="G355" s="37">
        <f t="shared" si="19"/>
        <v>0</v>
      </c>
      <c r="H355" s="37" t="s">
        <v>494</v>
      </c>
      <c r="I355" s="37">
        <f t="shared" si="20"/>
        <v>0</v>
      </c>
      <c r="J355" s="37" t="s">
        <v>347</v>
      </c>
      <c r="K355" s="37">
        <f t="shared" si="21"/>
        <v>0</v>
      </c>
      <c r="L355" s="37" t="s">
        <v>494</v>
      </c>
      <c r="M355" s="37">
        <f t="shared" si="22"/>
        <v>0</v>
      </c>
      <c r="N355" s="470" t="s">
        <v>347</v>
      </c>
      <c r="O355" s="470">
        <f t="shared" si="23"/>
        <v>0</v>
      </c>
      <c r="P355" s="37" t="str">
        <f t="shared" si="24"/>
        <v>None</v>
      </c>
      <c r="Q355" s="470" t="s">
        <v>347</v>
      </c>
      <c r="R355" s="37">
        <f t="shared" si="25"/>
        <v>0</v>
      </c>
      <c r="S355" s="470" t="s">
        <v>347</v>
      </c>
      <c r="T355" s="470">
        <f t="shared" si="26"/>
        <v>0</v>
      </c>
      <c r="U355" s="470" t="s">
        <v>347</v>
      </c>
      <c r="V355" s="111">
        <f>IF(OR(F355="none",G355="V"),0,VLOOKUP(F355,'Purchased Boons'!$AR$4:$AS$27,2,FALSE))</f>
        <v>0</v>
      </c>
      <c r="W355" s="39" t="s">
        <v>1764</v>
      </c>
      <c r="X355" s="37" t="s">
        <v>1764</v>
      </c>
      <c r="Y355" s="37" t="s">
        <v>1045</v>
      </c>
      <c r="Z355" s="111">
        <v>91</v>
      </c>
      <c r="AG355" s="24"/>
      <c r="AH355" s="24"/>
    </row>
    <row r="356" spans="1:34" x14ac:dyDescent="0.25">
      <c r="A356" s="39" t="s">
        <v>2494</v>
      </c>
      <c r="B356" s="36" t="s">
        <v>87</v>
      </c>
      <c r="C356" s="469">
        <v>7</v>
      </c>
      <c r="D356" s="470" t="s">
        <v>494</v>
      </c>
      <c r="E356" s="37">
        <f t="shared" si="18"/>
        <v>0</v>
      </c>
      <c r="F356" s="470" t="s">
        <v>494</v>
      </c>
      <c r="G356" s="37">
        <f t="shared" si="19"/>
        <v>0</v>
      </c>
      <c r="H356" s="37" t="s">
        <v>494</v>
      </c>
      <c r="I356" s="37">
        <f t="shared" si="20"/>
        <v>0</v>
      </c>
      <c r="J356" s="37" t="s">
        <v>347</v>
      </c>
      <c r="K356" s="37">
        <f t="shared" si="21"/>
        <v>0</v>
      </c>
      <c r="L356" s="37" t="s">
        <v>494</v>
      </c>
      <c r="M356" s="37">
        <f t="shared" si="22"/>
        <v>0</v>
      </c>
      <c r="N356" s="470" t="s">
        <v>347</v>
      </c>
      <c r="O356" s="470">
        <f t="shared" si="23"/>
        <v>0</v>
      </c>
      <c r="P356" s="37" t="str">
        <f t="shared" si="24"/>
        <v>None</v>
      </c>
      <c r="Q356" s="470" t="s">
        <v>347</v>
      </c>
      <c r="R356" s="37">
        <f t="shared" si="25"/>
        <v>0</v>
      </c>
      <c r="S356" s="470" t="s">
        <v>347</v>
      </c>
      <c r="T356" s="470">
        <f t="shared" si="26"/>
        <v>0</v>
      </c>
      <c r="U356" s="470" t="s">
        <v>347</v>
      </c>
      <c r="V356" s="111">
        <f>IF(OR(F356="none",G356="V"),0,VLOOKUP(F356,'Purchased Boons'!$AR$4:$AS$27,2,FALSE))</f>
        <v>0</v>
      </c>
      <c r="W356" s="39" t="s">
        <v>1764</v>
      </c>
      <c r="X356" s="37" t="s">
        <v>1764</v>
      </c>
      <c r="Y356" s="37" t="s">
        <v>1045</v>
      </c>
      <c r="Z356" s="111">
        <v>91</v>
      </c>
      <c r="AG356" s="24"/>
      <c r="AH356" s="24"/>
    </row>
    <row r="357" spans="1:34" x14ac:dyDescent="0.25">
      <c r="A357" s="39" t="s">
        <v>2504</v>
      </c>
      <c r="B357" s="36" t="s">
        <v>87</v>
      </c>
      <c r="C357" s="469">
        <v>7</v>
      </c>
      <c r="D357" s="470" t="s">
        <v>494</v>
      </c>
      <c r="E357" s="37">
        <f t="shared" si="18"/>
        <v>0</v>
      </c>
      <c r="F357" s="470" t="s">
        <v>494</v>
      </c>
      <c r="G357" s="37">
        <f t="shared" si="19"/>
        <v>0</v>
      </c>
      <c r="H357" s="37" t="s">
        <v>494</v>
      </c>
      <c r="I357" s="37">
        <f t="shared" si="20"/>
        <v>0</v>
      </c>
      <c r="J357" s="37" t="s">
        <v>347</v>
      </c>
      <c r="K357" s="37">
        <f t="shared" si="21"/>
        <v>0</v>
      </c>
      <c r="L357" s="37" t="s">
        <v>494</v>
      </c>
      <c r="M357" s="37">
        <f t="shared" si="22"/>
        <v>0</v>
      </c>
      <c r="N357" s="470" t="s">
        <v>347</v>
      </c>
      <c r="O357" s="470">
        <f t="shared" si="23"/>
        <v>0</v>
      </c>
      <c r="P357" s="37" t="str">
        <f t="shared" si="24"/>
        <v>None</v>
      </c>
      <c r="Q357" s="470" t="s">
        <v>347</v>
      </c>
      <c r="R357" s="37">
        <f t="shared" si="25"/>
        <v>0</v>
      </c>
      <c r="S357" s="470" t="s">
        <v>347</v>
      </c>
      <c r="T357" s="470">
        <f t="shared" si="26"/>
        <v>0</v>
      </c>
      <c r="U357" s="470" t="s">
        <v>347</v>
      </c>
      <c r="V357" s="111">
        <f>IF(OR(F357="none",G357="V"),0,VLOOKUP(F357,'Purchased Boons'!$AR$4:$AS$27,2,FALSE))</f>
        <v>0</v>
      </c>
      <c r="W357" s="39" t="s">
        <v>1764</v>
      </c>
      <c r="X357" s="37" t="s">
        <v>1764</v>
      </c>
      <c r="Y357" s="37" t="s">
        <v>1045</v>
      </c>
      <c r="Z357" s="111">
        <v>91</v>
      </c>
      <c r="AG357" s="24"/>
      <c r="AH357" s="24"/>
    </row>
    <row r="358" spans="1:34" x14ac:dyDescent="0.25">
      <c r="A358" s="39" t="s">
        <v>2514</v>
      </c>
      <c r="B358" s="36" t="s">
        <v>87</v>
      </c>
      <c r="C358" s="469">
        <v>7</v>
      </c>
      <c r="D358" s="470" t="s">
        <v>494</v>
      </c>
      <c r="E358" s="37">
        <f t="shared" si="18"/>
        <v>0</v>
      </c>
      <c r="F358" s="470" t="s">
        <v>494</v>
      </c>
      <c r="G358" s="37">
        <f t="shared" si="19"/>
        <v>0</v>
      </c>
      <c r="H358" s="37" t="s">
        <v>494</v>
      </c>
      <c r="I358" s="37">
        <f t="shared" si="20"/>
        <v>0</v>
      </c>
      <c r="J358" s="37" t="s">
        <v>347</v>
      </c>
      <c r="K358" s="37">
        <f t="shared" si="21"/>
        <v>0</v>
      </c>
      <c r="L358" s="37" t="s">
        <v>494</v>
      </c>
      <c r="M358" s="37">
        <f t="shared" si="22"/>
        <v>0</v>
      </c>
      <c r="N358" s="470" t="s">
        <v>347</v>
      </c>
      <c r="O358" s="470">
        <f t="shared" si="23"/>
        <v>0</v>
      </c>
      <c r="P358" s="37" t="str">
        <f t="shared" si="24"/>
        <v>None</v>
      </c>
      <c r="Q358" s="470" t="s">
        <v>347</v>
      </c>
      <c r="R358" s="37">
        <f t="shared" si="25"/>
        <v>0</v>
      </c>
      <c r="S358" s="470" t="s">
        <v>347</v>
      </c>
      <c r="T358" s="470">
        <f t="shared" si="26"/>
        <v>0</v>
      </c>
      <c r="U358" s="470" t="s">
        <v>347</v>
      </c>
      <c r="V358" s="111">
        <f>IF(OR(F358="none",G358="V"),0,VLOOKUP(F358,'Purchased Boons'!$AR$4:$AS$27,2,FALSE))</f>
        <v>0</v>
      </c>
      <c r="W358" s="39" t="s">
        <v>1764</v>
      </c>
      <c r="X358" s="37" t="s">
        <v>1764</v>
      </c>
      <c r="Y358" s="37" t="s">
        <v>1045</v>
      </c>
      <c r="Z358" s="111">
        <v>91</v>
      </c>
      <c r="AG358" s="24"/>
      <c r="AH358" s="24"/>
    </row>
    <row r="359" spans="1:34" x14ac:dyDescent="0.25">
      <c r="A359" s="39" t="s">
        <v>2524</v>
      </c>
      <c r="B359" s="36" t="s">
        <v>87</v>
      </c>
      <c r="C359" s="469">
        <v>7</v>
      </c>
      <c r="D359" s="470" t="s">
        <v>494</v>
      </c>
      <c r="E359" s="37">
        <f t="shared" si="18"/>
        <v>0</v>
      </c>
      <c r="F359" s="470" t="s">
        <v>494</v>
      </c>
      <c r="G359" s="37">
        <f t="shared" si="19"/>
        <v>0</v>
      </c>
      <c r="H359" s="37" t="s">
        <v>494</v>
      </c>
      <c r="I359" s="37">
        <f t="shared" si="20"/>
        <v>0</v>
      </c>
      <c r="J359" s="37" t="s">
        <v>347</v>
      </c>
      <c r="K359" s="37">
        <f t="shared" si="21"/>
        <v>0</v>
      </c>
      <c r="L359" s="37" t="s">
        <v>494</v>
      </c>
      <c r="M359" s="37">
        <f t="shared" si="22"/>
        <v>0</v>
      </c>
      <c r="N359" s="470" t="s">
        <v>347</v>
      </c>
      <c r="O359" s="470">
        <f t="shared" si="23"/>
        <v>0</v>
      </c>
      <c r="P359" s="37" t="str">
        <f t="shared" si="24"/>
        <v>None</v>
      </c>
      <c r="Q359" s="470" t="s">
        <v>347</v>
      </c>
      <c r="R359" s="37">
        <f t="shared" si="25"/>
        <v>0</v>
      </c>
      <c r="S359" s="470" t="s">
        <v>347</v>
      </c>
      <c r="T359" s="470">
        <f t="shared" si="26"/>
        <v>0</v>
      </c>
      <c r="U359" s="470" t="s">
        <v>347</v>
      </c>
      <c r="V359" s="111">
        <f>IF(OR(F359="none",G359="V"),0,VLOOKUP(F359,'Purchased Boons'!$AR$4:$AS$27,2,FALSE))</f>
        <v>0</v>
      </c>
      <c r="W359" s="39" t="s">
        <v>1764</v>
      </c>
      <c r="X359" s="37" t="s">
        <v>1764</v>
      </c>
      <c r="Y359" s="37" t="s">
        <v>1045</v>
      </c>
      <c r="Z359" s="111">
        <v>91</v>
      </c>
      <c r="AG359" s="24"/>
      <c r="AH359" s="24"/>
    </row>
    <row r="360" spans="1:34" x14ac:dyDescent="0.25">
      <c r="A360" s="39" t="s">
        <v>2534</v>
      </c>
      <c r="B360" s="36" t="s">
        <v>87</v>
      </c>
      <c r="C360" s="469">
        <v>7</v>
      </c>
      <c r="D360" s="470" t="s">
        <v>494</v>
      </c>
      <c r="E360" s="37">
        <f t="shared" si="18"/>
        <v>0</v>
      </c>
      <c r="F360" s="470" t="s">
        <v>494</v>
      </c>
      <c r="G360" s="37">
        <f t="shared" si="19"/>
        <v>0</v>
      </c>
      <c r="H360" s="37" t="s">
        <v>494</v>
      </c>
      <c r="I360" s="37">
        <f t="shared" si="20"/>
        <v>0</v>
      </c>
      <c r="J360" s="37" t="s">
        <v>347</v>
      </c>
      <c r="K360" s="37">
        <f t="shared" si="21"/>
        <v>0</v>
      </c>
      <c r="L360" s="37" t="s">
        <v>494</v>
      </c>
      <c r="M360" s="37">
        <f t="shared" si="22"/>
        <v>0</v>
      </c>
      <c r="N360" s="470" t="s">
        <v>347</v>
      </c>
      <c r="O360" s="470">
        <f t="shared" si="23"/>
        <v>0</v>
      </c>
      <c r="P360" s="37" t="str">
        <f t="shared" si="24"/>
        <v>None</v>
      </c>
      <c r="Q360" s="470" t="s">
        <v>347</v>
      </c>
      <c r="R360" s="37">
        <f t="shared" si="25"/>
        <v>0</v>
      </c>
      <c r="S360" s="470" t="s">
        <v>347</v>
      </c>
      <c r="T360" s="470">
        <f t="shared" si="26"/>
        <v>0</v>
      </c>
      <c r="U360" s="470" t="s">
        <v>347</v>
      </c>
      <c r="V360" s="111">
        <f>IF(OR(F360="none",G360="V"),0,VLOOKUP(F360,'Purchased Boons'!$AR$4:$AS$27,2,FALSE))</f>
        <v>0</v>
      </c>
      <c r="W360" s="39" t="s">
        <v>1764</v>
      </c>
      <c r="X360" s="37" t="s">
        <v>1764</v>
      </c>
      <c r="Y360" s="37" t="s">
        <v>1045</v>
      </c>
      <c r="Z360" s="111">
        <v>91</v>
      </c>
      <c r="AG360" s="24"/>
      <c r="AH360" s="24"/>
    </row>
    <row r="361" spans="1:34" x14ac:dyDescent="0.25">
      <c r="A361" s="39" t="s">
        <v>2544</v>
      </c>
      <c r="B361" s="36" t="s">
        <v>87</v>
      </c>
      <c r="C361" s="469">
        <v>7</v>
      </c>
      <c r="D361" s="470" t="s">
        <v>494</v>
      </c>
      <c r="E361" s="37">
        <f t="shared" si="18"/>
        <v>0</v>
      </c>
      <c r="F361" s="470" t="s">
        <v>494</v>
      </c>
      <c r="G361" s="37">
        <f t="shared" si="19"/>
        <v>0</v>
      </c>
      <c r="H361" s="37" t="s">
        <v>494</v>
      </c>
      <c r="I361" s="37">
        <f t="shared" si="20"/>
        <v>0</v>
      </c>
      <c r="J361" s="37" t="s">
        <v>347</v>
      </c>
      <c r="K361" s="37">
        <f t="shared" si="21"/>
        <v>0</v>
      </c>
      <c r="L361" s="37" t="s">
        <v>494</v>
      </c>
      <c r="M361" s="37">
        <f t="shared" si="22"/>
        <v>0</v>
      </c>
      <c r="N361" s="470" t="s">
        <v>347</v>
      </c>
      <c r="O361" s="470">
        <f t="shared" si="23"/>
        <v>0</v>
      </c>
      <c r="P361" s="37" t="str">
        <f t="shared" si="24"/>
        <v>None</v>
      </c>
      <c r="Q361" s="470" t="s">
        <v>347</v>
      </c>
      <c r="R361" s="37">
        <f t="shared" si="25"/>
        <v>0</v>
      </c>
      <c r="S361" s="470" t="s">
        <v>347</v>
      </c>
      <c r="T361" s="470">
        <f t="shared" si="26"/>
        <v>0</v>
      </c>
      <c r="U361" s="470" t="s">
        <v>347</v>
      </c>
      <c r="V361" s="111">
        <f>IF(OR(F361="none",G361="V"),0,VLOOKUP(F361,'Purchased Boons'!$AR$4:$AS$27,2,FALSE))</f>
        <v>0</v>
      </c>
      <c r="W361" s="39" t="s">
        <v>1764</v>
      </c>
      <c r="X361" s="37" t="s">
        <v>1764</v>
      </c>
      <c r="Y361" s="37" t="s">
        <v>1045</v>
      </c>
      <c r="Z361" s="111">
        <v>91</v>
      </c>
      <c r="AG361" s="24"/>
      <c r="AH361" s="24"/>
    </row>
    <row r="362" spans="1:34" x14ac:dyDescent="0.25">
      <c r="A362" s="39" t="s">
        <v>2554</v>
      </c>
      <c r="B362" s="36" t="s">
        <v>87</v>
      </c>
      <c r="C362" s="469">
        <v>7</v>
      </c>
      <c r="D362" s="470" t="s">
        <v>494</v>
      </c>
      <c r="E362" s="37">
        <f t="shared" si="18"/>
        <v>0</v>
      </c>
      <c r="F362" s="470" t="s">
        <v>494</v>
      </c>
      <c r="G362" s="37">
        <f t="shared" si="19"/>
        <v>0</v>
      </c>
      <c r="H362" s="37" t="s">
        <v>494</v>
      </c>
      <c r="I362" s="37">
        <f t="shared" si="20"/>
        <v>0</v>
      </c>
      <c r="J362" s="37" t="s">
        <v>347</v>
      </c>
      <c r="K362" s="37">
        <f t="shared" si="21"/>
        <v>0</v>
      </c>
      <c r="L362" s="37" t="s">
        <v>494</v>
      </c>
      <c r="M362" s="37">
        <f t="shared" si="22"/>
        <v>0</v>
      </c>
      <c r="N362" s="470" t="s">
        <v>347</v>
      </c>
      <c r="O362" s="470">
        <f t="shared" si="23"/>
        <v>0</v>
      </c>
      <c r="P362" s="37" t="str">
        <f t="shared" si="24"/>
        <v>None</v>
      </c>
      <c r="Q362" s="470" t="s">
        <v>347</v>
      </c>
      <c r="R362" s="37">
        <f t="shared" si="25"/>
        <v>0</v>
      </c>
      <c r="S362" s="470" t="s">
        <v>347</v>
      </c>
      <c r="T362" s="470">
        <f t="shared" si="26"/>
        <v>0</v>
      </c>
      <c r="U362" s="470" t="s">
        <v>347</v>
      </c>
      <c r="V362" s="111">
        <f>IF(OR(F362="none",G362="V"),0,VLOOKUP(F362,'Purchased Boons'!$AR$4:$AS$27,2,FALSE))</f>
        <v>0</v>
      </c>
      <c r="W362" s="39" t="s">
        <v>1764</v>
      </c>
      <c r="X362" s="37" t="s">
        <v>1764</v>
      </c>
      <c r="Y362" s="37" t="s">
        <v>1045</v>
      </c>
      <c r="Z362" s="111">
        <v>91</v>
      </c>
      <c r="AG362" s="24"/>
      <c r="AH362" s="24"/>
    </row>
    <row r="363" spans="1:34" x14ac:dyDescent="0.25">
      <c r="A363" s="39" t="s">
        <v>2624</v>
      </c>
      <c r="B363" s="36" t="s">
        <v>87</v>
      </c>
      <c r="C363" s="469">
        <v>7</v>
      </c>
      <c r="D363" s="470" t="s">
        <v>494</v>
      </c>
      <c r="E363" s="37">
        <f t="shared" si="18"/>
        <v>0</v>
      </c>
      <c r="F363" s="470" t="s">
        <v>494</v>
      </c>
      <c r="G363" s="37">
        <f t="shared" si="19"/>
        <v>0</v>
      </c>
      <c r="H363" s="37" t="s">
        <v>494</v>
      </c>
      <c r="I363" s="37">
        <f t="shared" si="20"/>
        <v>0</v>
      </c>
      <c r="J363" s="37" t="s">
        <v>347</v>
      </c>
      <c r="K363" s="37">
        <f t="shared" si="21"/>
        <v>0</v>
      </c>
      <c r="L363" s="37" t="s">
        <v>494</v>
      </c>
      <c r="M363" s="37">
        <f t="shared" si="22"/>
        <v>0</v>
      </c>
      <c r="N363" s="470" t="s">
        <v>347</v>
      </c>
      <c r="O363" s="470">
        <f t="shared" si="23"/>
        <v>0</v>
      </c>
      <c r="P363" s="37" t="str">
        <f t="shared" si="24"/>
        <v>None</v>
      </c>
      <c r="Q363" s="470" t="s">
        <v>347</v>
      </c>
      <c r="R363" s="37">
        <f t="shared" si="25"/>
        <v>0</v>
      </c>
      <c r="S363" s="470" t="s">
        <v>347</v>
      </c>
      <c r="T363" s="470">
        <f t="shared" si="26"/>
        <v>0</v>
      </c>
      <c r="U363" s="470" t="s">
        <v>347</v>
      </c>
      <c r="V363" s="111">
        <f>IF(OR(F363="none",G363="V"),0,VLOOKUP(F363,'Purchased Boons'!$AR$4:$AS$27,2,FALSE))</f>
        <v>0</v>
      </c>
      <c r="W363" s="39" t="s">
        <v>1764</v>
      </c>
      <c r="X363" s="37" t="s">
        <v>1764</v>
      </c>
      <c r="Y363" s="37" t="s">
        <v>1045</v>
      </c>
      <c r="Z363" s="111">
        <v>91</v>
      </c>
      <c r="AG363" s="24"/>
      <c r="AH363" s="24"/>
    </row>
    <row r="364" spans="1:34" x14ac:dyDescent="0.25">
      <c r="A364" s="39" t="s">
        <v>2564</v>
      </c>
      <c r="B364" s="36" t="s">
        <v>87</v>
      </c>
      <c r="C364" s="469">
        <v>7</v>
      </c>
      <c r="D364" s="470" t="s">
        <v>494</v>
      </c>
      <c r="E364" s="37">
        <f t="shared" si="18"/>
        <v>0</v>
      </c>
      <c r="F364" s="470" t="s">
        <v>494</v>
      </c>
      <c r="G364" s="37">
        <f t="shared" si="19"/>
        <v>0</v>
      </c>
      <c r="H364" s="37" t="s">
        <v>494</v>
      </c>
      <c r="I364" s="37">
        <f t="shared" si="20"/>
        <v>0</v>
      </c>
      <c r="J364" s="37" t="s">
        <v>347</v>
      </c>
      <c r="K364" s="37">
        <f t="shared" si="21"/>
        <v>0</v>
      </c>
      <c r="L364" s="37" t="s">
        <v>494</v>
      </c>
      <c r="M364" s="37">
        <f t="shared" si="22"/>
        <v>0</v>
      </c>
      <c r="N364" s="470" t="s">
        <v>347</v>
      </c>
      <c r="O364" s="470">
        <f t="shared" si="23"/>
        <v>0</v>
      </c>
      <c r="P364" s="37" t="str">
        <f t="shared" si="24"/>
        <v>None</v>
      </c>
      <c r="Q364" s="470" t="s">
        <v>347</v>
      </c>
      <c r="R364" s="37">
        <f t="shared" si="25"/>
        <v>0</v>
      </c>
      <c r="S364" s="470" t="s">
        <v>347</v>
      </c>
      <c r="T364" s="470">
        <f t="shared" si="26"/>
        <v>0</v>
      </c>
      <c r="U364" s="470" t="s">
        <v>347</v>
      </c>
      <c r="V364" s="111">
        <f>IF(OR(F364="none",G364="V"),0,VLOOKUP(F364,'Purchased Boons'!$AR$4:$AS$27,2,FALSE))</f>
        <v>0</v>
      </c>
      <c r="W364" s="39" t="s">
        <v>1764</v>
      </c>
      <c r="X364" s="37" t="s">
        <v>1764</v>
      </c>
      <c r="Y364" s="37" t="s">
        <v>1045</v>
      </c>
      <c r="Z364" s="111">
        <v>91</v>
      </c>
      <c r="AG364" s="24"/>
      <c r="AH364" s="24"/>
    </row>
    <row r="365" spans="1:34" x14ac:dyDescent="0.25">
      <c r="A365" s="39" t="s">
        <v>2574</v>
      </c>
      <c r="B365" s="36" t="s">
        <v>87</v>
      </c>
      <c r="C365" s="469">
        <v>7</v>
      </c>
      <c r="D365" s="470" t="s">
        <v>494</v>
      </c>
      <c r="E365" s="37">
        <f t="shared" si="18"/>
        <v>0</v>
      </c>
      <c r="F365" s="470" t="s">
        <v>494</v>
      </c>
      <c r="G365" s="37">
        <f t="shared" si="19"/>
        <v>0</v>
      </c>
      <c r="H365" s="37" t="s">
        <v>494</v>
      </c>
      <c r="I365" s="37">
        <f t="shared" si="20"/>
        <v>0</v>
      </c>
      <c r="J365" s="37" t="s">
        <v>347</v>
      </c>
      <c r="K365" s="37">
        <f t="shared" si="21"/>
        <v>0</v>
      </c>
      <c r="L365" s="37" t="s">
        <v>494</v>
      </c>
      <c r="M365" s="37">
        <f t="shared" si="22"/>
        <v>0</v>
      </c>
      <c r="N365" s="470" t="s">
        <v>347</v>
      </c>
      <c r="O365" s="470">
        <f t="shared" si="23"/>
        <v>0</v>
      </c>
      <c r="P365" s="37" t="str">
        <f t="shared" si="24"/>
        <v>None</v>
      </c>
      <c r="Q365" s="470" t="s">
        <v>347</v>
      </c>
      <c r="R365" s="37">
        <f t="shared" si="25"/>
        <v>0</v>
      </c>
      <c r="S365" s="470" t="s">
        <v>347</v>
      </c>
      <c r="T365" s="470">
        <f t="shared" si="26"/>
        <v>0</v>
      </c>
      <c r="U365" s="470" t="s">
        <v>347</v>
      </c>
      <c r="V365" s="111">
        <f>IF(OR(F365="none",G365="V"),0,VLOOKUP(F365,'Purchased Boons'!$AR$4:$AS$27,2,FALSE))</f>
        <v>0</v>
      </c>
      <c r="W365" s="39" t="s">
        <v>1764</v>
      </c>
      <c r="X365" s="37" t="s">
        <v>1764</v>
      </c>
      <c r="Y365" s="37" t="s">
        <v>1045</v>
      </c>
      <c r="Z365" s="111">
        <v>91</v>
      </c>
      <c r="AG365" s="24"/>
      <c r="AH365" s="24"/>
    </row>
    <row r="366" spans="1:34" x14ac:dyDescent="0.25">
      <c r="A366" s="39" t="s">
        <v>2584</v>
      </c>
      <c r="B366" s="36" t="s">
        <v>87</v>
      </c>
      <c r="C366" s="469">
        <v>7</v>
      </c>
      <c r="D366" s="470" t="s">
        <v>494</v>
      </c>
      <c r="E366" s="37">
        <f t="shared" ref="E366:E414" si="27">VLOOKUP(D366,$AC$2:$AD$12,2,FALSE)</f>
        <v>0</v>
      </c>
      <c r="F366" s="470" t="s">
        <v>494</v>
      </c>
      <c r="G366" s="37">
        <f t="shared" ref="G366:G414" si="28">VLOOKUP(F366,$AF$2:$AH$27,2,FALSE)</f>
        <v>0</v>
      </c>
      <c r="H366" s="37" t="s">
        <v>494</v>
      </c>
      <c r="I366" s="37">
        <f t="shared" ref="I366:I414" si="29">VLOOKUP(H366,$AI$2:$AJ$42,2,FALSE)</f>
        <v>0</v>
      </c>
      <c r="J366" s="37" t="s">
        <v>347</v>
      </c>
      <c r="K366" s="37">
        <f t="shared" ref="K366:K414" si="30">IF(J366="Yes",$AJ$56,0)</f>
        <v>0</v>
      </c>
      <c r="L366" s="37" t="s">
        <v>494</v>
      </c>
      <c r="M366" s="37">
        <f t="shared" ref="M366:M414" si="31">VLOOKUP(L366,$AI$43:$AJ$55,2,FALSE)</f>
        <v>0</v>
      </c>
      <c r="N366" s="470" t="s">
        <v>347</v>
      </c>
      <c r="O366" s="470">
        <f t="shared" ref="O366:O414" si="32">IF(N366="Yes",$AJ$57,0)</f>
        <v>0</v>
      </c>
      <c r="P366" s="37" t="str">
        <f t="shared" ref="P366:P414" si="33">IF(OR(D366="Varies",F366="Varies",H366="Varies",L366="Varies"),"Varies",IF(AND(D366="None",F366="None",H366="None",L366="None",J366="No",N366="No"),"None",CONCATENATE(E366+G366+V366+I366+K366+M366+O366," + ",R366+T366)))</f>
        <v>None</v>
      </c>
      <c r="Q366" s="470" t="s">
        <v>347</v>
      </c>
      <c r="R366" s="37">
        <f t="shared" ref="R366:R414" si="34">IF(Q366="Yes",VLOOKUP(D366,$AC$2:$AE$12,3,FALSE),0)</f>
        <v>0</v>
      </c>
      <c r="S366" s="470" t="s">
        <v>347</v>
      </c>
      <c r="T366" s="470">
        <f t="shared" ref="T366:T414" si="35">IF(S366="Yes",$AJ$57,0)</f>
        <v>0</v>
      </c>
      <c r="U366" s="470" t="s">
        <v>347</v>
      </c>
      <c r="V366" s="111">
        <f>IF(OR(F366="none",G366="V"),0,VLOOKUP(F366,'Purchased Boons'!$AR$4:$AS$27,2,FALSE))</f>
        <v>0</v>
      </c>
      <c r="W366" s="39" t="s">
        <v>1764</v>
      </c>
      <c r="X366" s="37" t="s">
        <v>1764</v>
      </c>
      <c r="Y366" s="37" t="s">
        <v>1045</v>
      </c>
      <c r="Z366" s="111">
        <v>91</v>
      </c>
      <c r="AG366" s="24"/>
      <c r="AH366" s="24"/>
    </row>
    <row r="367" spans="1:34" x14ac:dyDescent="0.25">
      <c r="A367" s="39" t="s">
        <v>2395</v>
      </c>
      <c r="B367" s="36" t="s">
        <v>87</v>
      </c>
      <c r="C367" s="469">
        <v>8</v>
      </c>
      <c r="D367" s="470" t="s">
        <v>494</v>
      </c>
      <c r="E367" s="37">
        <f t="shared" si="27"/>
        <v>0</v>
      </c>
      <c r="F367" s="470" t="s">
        <v>494</v>
      </c>
      <c r="G367" s="37">
        <f t="shared" si="28"/>
        <v>0</v>
      </c>
      <c r="H367" s="37" t="s">
        <v>494</v>
      </c>
      <c r="I367" s="37">
        <f t="shared" si="29"/>
        <v>0</v>
      </c>
      <c r="J367" s="37" t="s">
        <v>347</v>
      </c>
      <c r="K367" s="37">
        <f t="shared" si="30"/>
        <v>0</v>
      </c>
      <c r="L367" s="37" t="s">
        <v>494</v>
      </c>
      <c r="M367" s="37">
        <f t="shared" si="31"/>
        <v>0</v>
      </c>
      <c r="N367" s="470" t="s">
        <v>347</v>
      </c>
      <c r="O367" s="470">
        <f t="shared" si="32"/>
        <v>0</v>
      </c>
      <c r="P367" s="37" t="str">
        <f t="shared" si="33"/>
        <v>None</v>
      </c>
      <c r="Q367" s="470" t="s">
        <v>347</v>
      </c>
      <c r="R367" s="37">
        <f t="shared" si="34"/>
        <v>0</v>
      </c>
      <c r="S367" s="470" t="s">
        <v>347</v>
      </c>
      <c r="T367" s="470">
        <f t="shared" si="35"/>
        <v>0</v>
      </c>
      <c r="U367" s="470" t="s">
        <v>347</v>
      </c>
      <c r="V367" s="111">
        <f>IF(OR(F367="none",G367="V"),0,VLOOKUP(F367,'Purchased Boons'!$AR$4:$AS$27,2,FALSE))</f>
        <v>0</v>
      </c>
      <c r="W367" s="39" t="s">
        <v>1764</v>
      </c>
      <c r="X367" s="37" t="s">
        <v>1764</v>
      </c>
      <c r="Y367" s="37" t="s">
        <v>5</v>
      </c>
      <c r="Z367" s="111">
        <v>104</v>
      </c>
      <c r="AG367" s="24"/>
      <c r="AH367" s="24"/>
    </row>
    <row r="368" spans="1:34" x14ac:dyDescent="0.25">
      <c r="A368" s="39" t="s">
        <v>2405</v>
      </c>
      <c r="B368" s="36" t="s">
        <v>87</v>
      </c>
      <c r="C368" s="469">
        <v>8</v>
      </c>
      <c r="D368" s="470" t="s">
        <v>494</v>
      </c>
      <c r="E368" s="37">
        <f t="shared" si="27"/>
        <v>0</v>
      </c>
      <c r="F368" s="470" t="s">
        <v>494</v>
      </c>
      <c r="G368" s="37">
        <f t="shared" si="28"/>
        <v>0</v>
      </c>
      <c r="H368" s="37" t="s">
        <v>494</v>
      </c>
      <c r="I368" s="37">
        <f t="shared" si="29"/>
        <v>0</v>
      </c>
      <c r="J368" s="37" t="s">
        <v>347</v>
      </c>
      <c r="K368" s="37">
        <f t="shared" si="30"/>
        <v>0</v>
      </c>
      <c r="L368" s="37" t="s">
        <v>494</v>
      </c>
      <c r="M368" s="37">
        <f t="shared" si="31"/>
        <v>0</v>
      </c>
      <c r="N368" s="470" t="s">
        <v>347</v>
      </c>
      <c r="O368" s="470">
        <f t="shared" si="32"/>
        <v>0</v>
      </c>
      <c r="P368" s="37" t="str">
        <f t="shared" si="33"/>
        <v>None</v>
      </c>
      <c r="Q368" s="470" t="s">
        <v>347</v>
      </c>
      <c r="R368" s="37">
        <f t="shared" si="34"/>
        <v>0</v>
      </c>
      <c r="S368" s="470" t="s">
        <v>347</v>
      </c>
      <c r="T368" s="470">
        <f t="shared" si="35"/>
        <v>0</v>
      </c>
      <c r="U368" s="470" t="s">
        <v>347</v>
      </c>
      <c r="V368" s="111">
        <f>IF(OR(F368="none",G368="V"),0,VLOOKUP(F368,'Purchased Boons'!$AR$4:$AS$27,2,FALSE))</f>
        <v>0</v>
      </c>
      <c r="W368" s="39" t="s">
        <v>1764</v>
      </c>
      <c r="X368" s="37" t="s">
        <v>1764</v>
      </c>
      <c r="Y368" s="37" t="s">
        <v>5</v>
      </c>
      <c r="Z368" s="111">
        <v>104</v>
      </c>
      <c r="AG368" s="24"/>
      <c r="AH368" s="24"/>
    </row>
    <row r="369" spans="1:34" x14ac:dyDescent="0.25">
      <c r="A369" s="39" t="s">
        <v>2595</v>
      </c>
      <c r="B369" s="36" t="s">
        <v>87</v>
      </c>
      <c r="C369" s="469">
        <v>8</v>
      </c>
      <c r="D369" s="470" t="s">
        <v>494</v>
      </c>
      <c r="E369" s="37">
        <f t="shared" si="27"/>
        <v>0</v>
      </c>
      <c r="F369" s="470" t="s">
        <v>494</v>
      </c>
      <c r="G369" s="37">
        <f t="shared" si="28"/>
        <v>0</v>
      </c>
      <c r="H369" s="37" t="s">
        <v>494</v>
      </c>
      <c r="I369" s="37">
        <f t="shared" si="29"/>
        <v>0</v>
      </c>
      <c r="J369" s="37" t="s">
        <v>347</v>
      </c>
      <c r="K369" s="37">
        <f t="shared" si="30"/>
        <v>0</v>
      </c>
      <c r="L369" s="37" t="s">
        <v>494</v>
      </c>
      <c r="M369" s="37">
        <f t="shared" si="31"/>
        <v>0</v>
      </c>
      <c r="N369" s="470" t="s">
        <v>347</v>
      </c>
      <c r="O369" s="470">
        <f t="shared" si="32"/>
        <v>0</v>
      </c>
      <c r="P369" s="37" t="str">
        <f t="shared" si="33"/>
        <v>None</v>
      </c>
      <c r="Q369" s="470" t="s">
        <v>347</v>
      </c>
      <c r="R369" s="37">
        <f t="shared" si="34"/>
        <v>0</v>
      </c>
      <c r="S369" s="470" t="s">
        <v>347</v>
      </c>
      <c r="T369" s="470">
        <f t="shared" si="35"/>
        <v>0</v>
      </c>
      <c r="U369" s="470" t="s">
        <v>347</v>
      </c>
      <c r="V369" s="111">
        <f>IF(OR(F369="none",G369="V"),0,VLOOKUP(F369,'Purchased Boons'!$AR$4:$AS$27,2,FALSE))</f>
        <v>0</v>
      </c>
      <c r="W369" s="39" t="s">
        <v>1764</v>
      </c>
      <c r="X369" s="37" t="s">
        <v>1764</v>
      </c>
      <c r="Y369" s="37" t="s">
        <v>5</v>
      </c>
      <c r="Z369" s="111">
        <v>104</v>
      </c>
      <c r="AG369" s="24"/>
      <c r="AH369" s="24"/>
    </row>
    <row r="370" spans="1:34" x14ac:dyDescent="0.25">
      <c r="A370" s="39" t="s">
        <v>2415</v>
      </c>
      <c r="B370" s="36" t="s">
        <v>87</v>
      </c>
      <c r="C370" s="469">
        <v>8</v>
      </c>
      <c r="D370" s="470" t="s">
        <v>494</v>
      </c>
      <c r="E370" s="37">
        <f t="shared" si="27"/>
        <v>0</v>
      </c>
      <c r="F370" s="470" t="s">
        <v>494</v>
      </c>
      <c r="G370" s="37">
        <f t="shared" si="28"/>
        <v>0</v>
      </c>
      <c r="H370" s="37" t="s">
        <v>494</v>
      </c>
      <c r="I370" s="37">
        <f t="shared" si="29"/>
        <v>0</v>
      </c>
      <c r="J370" s="37" t="s">
        <v>347</v>
      </c>
      <c r="K370" s="37">
        <f t="shared" si="30"/>
        <v>0</v>
      </c>
      <c r="L370" s="37" t="s">
        <v>494</v>
      </c>
      <c r="M370" s="37">
        <f t="shared" si="31"/>
        <v>0</v>
      </c>
      <c r="N370" s="470" t="s">
        <v>347</v>
      </c>
      <c r="O370" s="470">
        <f t="shared" si="32"/>
        <v>0</v>
      </c>
      <c r="P370" s="37" t="str">
        <f t="shared" si="33"/>
        <v>None</v>
      </c>
      <c r="Q370" s="470" t="s">
        <v>347</v>
      </c>
      <c r="R370" s="37">
        <f t="shared" si="34"/>
        <v>0</v>
      </c>
      <c r="S370" s="470" t="s">
        <v>347</v>
      </c>
      <c r="T370" s="470">
        <f t="shared" si="35"/>
        <v>0</v>
      </c>
      <c r="U370" s="470" t="s">
        <v>347</v>
      </c>
      <c r="V370" s="111">
        <f>IF(OR(F370="none",G370="V"),0,VLOOKUP(F370,'Purchased Boons'!$AR$4:$AS$27,2,FALSE))</f>
        <v>0</v>
      </c>
      <c r="W370" s="39" t="s">
        <v>1764</v>
      </c>
      <c r="X370" s="37" t="s">
        <v>1764</v>
      </c>
      <c r="Y370" s="37" t="s">
        <v>5</v>
      </c>
      <c r="Z370" s="111">
        <v>104</v>
      </c>
      <c r="AG370" s="24"/>
      <c r="AH370" s="24"/>
    </row>
    <row r="371" spans="1:34" x14ac:dyDescent="0.25">
      <c r="A371" s="39" t="s">
        <v>2425</v>
      </c>
      <c r="B371" s="36" t="s">
        <v>87</v>
      </c>
      <c r="C371" s="469">
        <v>8</v>
      </c>
      <c r="D371" s="470" t="s">
        <v>494</v>
      </c>
      <c r="E371" s="37">
        <f t="shared" si="27"/>
        <v>0</v>
      </c>
      <c r="F371" s="470" t="s">
        <v>494</v>
      </c>
      <c r="G371" s="37">
        <f t="shared" si="28"/>
        <v>0</v>
      </c>
      <c r="H371" s="37" t="s">
        <v>494</v>
      </c>
      <c r="I371" s="37">
        <f t="shared" si="29"/>
        <v>0</v>
      </c>
      <c r="J371" s="37" t="s">
        <v>347</v>
      </c>
      <c r="K371" s="37">
        <f t="shared" si="30"/>
        <v>0</v>
      </c>
      <c r="L371" s="37" t="s">
        <v>494</v>
      </c>
      <c r="M371" s="37">
        <f t="shared" si="31"/>
        <v>0</v>
      </c>
      <c r="N371" s="470" t="s">
        <v>347</v>
      </c>
      <c r="O371" s="470">
        <f t="shared" si="32"/>
        <v>0</v>
      </c>
      <c r="P371" s="37" t="str">
        <f t="shared" si="33"/>
        <v>None</v>
      </c>
      <c r="Q371" s="470" t="s">
        <v>347</v>
      </c>
      <c r="R371" s="37">
        <f t="shared" si="34"/>
        <v>0</v>
      </c>
      <c r="S371" s="470" t="s">
        <v>347</v>
      </c>
      <c r="T371" s="470">
        <f t="shared" si="35"/>
        <v>0</v>
      </c>
      <c r="U371" s="470" t="s">
        <v>347</v>
      </c>
      <c r="V371" s="111">
        <f>IF(OR(F371="none",G371="V"),0,VLOOKUP(F371,'Purchased Boons'!$AR$4:$AS$27,2,FALSE))</f>
        <v>0</v>
      </c>
      <c r="W371" s="39" t="s">
        <v>1764</v>
      </c>
      <c r="X371" s="37" t="s">
        <v>1764</v>
      </c>
      <c r="Y371" s="37" t="s">
        <v>5</v>
      </c>
      <c r="Z371" s="111">
        <v>104</v>
      </c>
      <c r="AG371" s="24"/>
      <c r="AH371" s="24"/>
    </row>
    <row r="372" spans="1:34" x14ac:dyDescent="0.25">
      <c r="A372" s="39" t="s">
        <v>2435</v>
      </c>
      <c r="B372" s="36" t="s">
        <v>87</v>
      </c>
      <c r="C372" s="469">
        <v>8</v>
      </c>
      <c r="D372" s="470" t="s">
        <v>494</v>
      </c>
      <c r="E372" s="37">
        <f t="shared" si="27"/>
        <v>0</v>
      </c>
      <c r="F372" s="470" t="s">
        <v>494</v>
      </c>
      <c r="G372" s="37">
        <f t="shared" si="28"/>
        <v>0</v>
      </c>
      <c r="H372" s="37" t="s">
        <v>494</v>
      </c>
      <c r="I372" s="37">
        <f t="shared" si="29"/>
        <v>0</v>
      </c>
      <c r="J372" s="37" t="s">
        <v>347</v>
      </c>
      <c r="K372" s="37">
        <f t="shared" si="30"/>
        <v>0</v>
      </c>
      <c r="L372" s="37" t="s">
        <v>494</v>
      </c>
      <c r="M372" s="37">
        <f t="shared" si="31"/>
        <v>0</v>
      </c>
      <c r="N372" s="470" t="s">
        <v>347</v>
      </c>
      <c r="O372" s="470">
        <f t="shared" si="32"/>
        <v>0</v>
      </c>
      <c r="P372" s="37" t="str">
        <f t="shared" si="33"/>
        <v>None</v>
      </c>
      <c r="Q372" s="470" t="s">
        <v>347</v>
      </c>
      <c r="R372" s="37">
        <f t="shared" si="34"/>
        <v>0</v>
      </c>
      <c r="S372" s="470" t="s">
        <v>347</v>
      </c>
      <c r="T372" s="470">
        <f t="shared" si="35"/>
        <v>0</v>
      </c>
      <c r="U372" s="470" t="s">
        <v>347</v>
      </c>
      <c r="V372" s="111">
        <f>IF(OR(F372="none",G372="V"),0,VLOOKUP(F372,'Purchased Boons'!$AR$4:$AS$27,2,FALSE))</f>
        <v>0</v>
      </c>
      <c r="W372" s="39" t="s">
        <v>1764</v>
      </c>
      <c r="X372" s="37" t="s">
        <v>1764</v>
      </c>
      <c r="Y372" s="37" t="s">
        <v>5</v>
      </c>
      <c r="Z372" s="111">
        <v>104</v>
      </c>
      <c r="AG372" s="24"/>
      <c r="AH372" s="24"/>
    </row>
    <row r="373" spans="1:34" x14ac:dyDescent="0.25">
      <c r="A373" s="39" t="s">
        <v>2445</v>
      </c>
      <c r="B373" s="36" t="s">
        <v>87</v>
      </c>
      <c r="C373" s="469">
        <v>8</v>
      </c>
      <c r="D373" s="470" t="s">
        <v>494</v>
      </c>
      <c r="E373" s="37">
        <f t="shared" si="27"/>
        <v>0</v>
      </c>
      <c r="F373" s="470" t="s">
        <v>494</v>
      </c>
      <c r="G373" s="37">
        <f t="shared" si="28"/>
        <v>0</v>
      </c>
      <c r="H373" s="37" t="s">
        <v>494</v>
      </c>
      <c r="I373" s="37">
        <f t="shared" si="29"/>
        <v>0</v>
      </c>
      <c r="J373" s="37" t="s">
        <v>347</v>
      </c>
      <c r="K373" s="37">
        <f t="shared" si="30"/>
        <v>0</v>
      </c>
      <c r="L373" s="37" t="s">
        <v>494</v>
      </c>
      <c r="M373" s="37">
        <f t="shared" si="31"/>
        <v>0</v>
      </c>
      <c r="N373" s="470" t="s">
        <v>347</v>
      </c>
      <c r="O373" s="470">
        <f t="shared" si="32"/>
        <v>0</v>
      </c>
      <c r="P373" s="37" t="str">
        <f t="shared" si="33"/>
        <v>None</v>
      </c>
      <c r="Q373" s="470" t="s">
        <v>347</v>
      </c>
      <c r="R373" s="37">
        <f t="shared" si="34"/>
        <v>0</v>
      </c>
      <c r="S373" s="470" t="s">
        <v>347</v>
      </c>
      <c r="T373" s="470">
        <f t="shared" si="35"/>
        <v>0</v>
      </c>
      <c r="U373" s="470" t="s">
        <v>347</v>
      </c>
      <c r="V373" s="111">
        <f>IF(OR(F373="none",G373="V"),0,VLOOKUP(F373,'Purchased Boons'!$AR$4:$AS$27,2,FALSE))</f>
        <v>0</v>
      </c>
      <c r="W373" s="39" t="s">
        <v>1764</v>
      </c>
      <c r="X373" s="37" t="s">
        <v>1764</v>
      </c>
      <c r="Y373" s="37" t="s">
        <v>5</v>
      </c>
      <c r="Z373" s="111">
        <v>104</v>
      </c>
      <c r="AG373" s="24"/>
      <c r="AH373" s="24"/>
    </row>
    <row r="374" spans="1:34" x14ac:dyDescent="0.25">
      <c r="A374" s="39" t="s">
        <v>2605</v>
      </c>
      <c r="B374" s="36" t="s">
        <v>87</v>
      </c>
      <c r="C374" s="469">
        <v>8</v>
      </c>
      <c r="D374" s="470" t="s">
        <v>494</v>
      </c>
      <c r="E374" s="37">
        <f t="shared" si="27"/>
        <v>0</v>
      </c>
      <c r="F374" s="470" t="s">
        <v>494</v>
      </c>
      <c r="G374" s="37">
        <f t="shared" si="28"/>
        <v>0</v>
      </c>
      <c r="H374" s="37" t="s">
        <v>494</v>
      </c>
      <c r="I374" s="37">
        <f t="shared" si="29"/>
        <v>0</v>
      </c>
      <c r="J374" s="37" t="s">
        <v>347</v>
      </c>
      <c r="K374" s="37">
        <f t="shared" si="30"/>
        <v>0</v>
      </c>
      <c r="L374" s="37" t="s">
        <v>494</v>
      </c>
      <c r="M374" s="37">
        <f t="shared" si="31"/>
        <v>0</v>
      </c>
      <c r="N374" s="470" t="s">
        <v>347</v>
      </c>
      <c r="O374" s="470">
        <f t="shared" si="32"/>
        <v>0</v>
      </c>
      <c r="P374" s="37" t="str">
        <f t="shared" si="33"/>
        <v>None</v>
      </c>
      <c r="Q374" s="470" t="s">
        <v>347</v>
      </c>
      <c r="R374" s="37">
        <f t="shared" si="34"/>
        <v>0</v>
      </c>
      <c r="S374" s="470" t="s">
        <v>347</v>
      </c>
      <c r="T374" s="470">
        <f t="shared" si="35"/>
        <v>0</v>
      </c>
      <c r="U374" s="470" t="s">
        <v>347</v>
      </c>
      <c r="V374" s="111">
        <f>IF(OR(F374="none",G374="V"),0,VLOOKUP(F374,'Purchased Boons'!$AR$4:$AS$27,2,FALSE))</f>
        <v>0</v>
      </c>
      <c r="W374" s="39" t="s">
        <v>1764</v>
      </c>
      <c r="X374" s="37" t="s">
        <v>1764</v>
      </c>
      <c r="Y374" s="37" t="s">
        <v>5</v>
      </c>
      <c r="Z374" s="111">
        <v>104</v>
      </c>
      <c r="AG374" s="24"/>
      <c r="AH374" s="24"/>
    </row>
    <row r="375" spans="1:34" x14ac:dyDescent="0.25">
      <c r="A375" s="39" t="s">
        <v>2615</v>
      </c>
      <c r="B375" s="36" t="s">
        <v>87</v>
      </c>
      <c r="C375" s="469">
        <v>8</v>
      </c>
      <c r="D375" s="470" t="s">
        <v>494</v>
      </c>
      <c r="E375" s="37">
        <f t="shared" si="27"/>
        <v>0</v>
      </c>
      <c r="F375" s="470" t="s">
        <v>494</v>
      </c>
      <c r="G375" s="37">
        <f t="shared" si="28"/>
        <v>0</v>
      </c>
      <c r="H375" s="37" t="s">
        <v>494</v>
      </c>
      <c r="I375" s="37">
        <f t="shared" si="29"/>
        <v>0</v>
      </c>
      <c r="J375" s="37" t="s">
        <v>347</v>
      </c>
      <c r="K375" s="37">
        <f t="shared" si="30"/>
        <v>0</v>
      </c>
      <c r="L375" s="37" t="s">
        <v>494</v>
      </c>
      <c r="M375" s="37">
        <f t="shared" si="31"/>
        <v>0</v>
      </c>
      <c r="N375" s="470" t="s">
        <v>347</v>
      </c>
      <c r="O375" s="470">
        <f t="shared" si="32"/>
        <v>0</v>
      </c>
      <c r="P375" s="37" t="str">
        <f t="shared" si="33"/>
        <v>None</v>
      </c>
      <c r="Q375" s="470" t="s">
        <v>347</v>
      </c>
      <c r="R375" s="37">
        <f t="shared" si="34"/>
        <v>0</v>
      </c>
      <c r="S375" s="470" t="s">
        <v>347</v>
      </c>
      <c r="T375" s="470">
        <f t="shared" si="35"/>
        <v>0</v>
      </c>
      <c r="U375" s="470" t="s">
        <v>347</v>
      </c>
      <c r="V375" s="111">
        <f>IF(OR(F375="none",G375="V"),0,VLOOKUP(F375,'Purchased Boons'!$AR$4:$AS$27,2,FALSE))</f>
        <v>0</v>
      </c>
      <c r="W375" s="39" t="s">
        <v>1764</v>
      </c>
      <c r="X375" s="37" t="s">
        <v>1764</v>
      </c>
      <c r="Y375" s="37" t="s">
        <v>5</v>
      </c>
      <c r="Z375" s="111">
        <v>104</v>
      </c>
      <c r="AG375" s="24"/>
      <c r="AH375" s="24"/>
    </row>
    <row r="376" spans="1:34" x14ac:dyDescent="0.25">
      <c r="A376" s="39" t="s">
        <v>2455</v>
      </c>
      <c r="B376" s="36" t="s">
        <v>87</v>
      </c>
      <c r="C376" s="469">
        <v>8</v>
      </c>
      <c r="D376" s="470" t="s">
        <v>494</v>
      </c>
      <c r="E376" s="37">
        <f t="shared" si="27"/>
        <v>0</v>
      </c>
      <c r="F376" s="470" t="s">
        <v>494</v>
      </c>
      <c r="G376" s="37">
        <f t="shared" si="28"/>
        <v>0</v>
      </c>
      <c r="H376" s="37" t="s">
        <v>494</v>
      </c>
      <c r="I376" s="37">
        <f t="shared" si="29"/>
        <v>0</v>
      </c>
      <c r="J376" s="37" t="s">
        <v>347</v>
      </c>
      <c r="K376" s="37">
        <f t="shared" si="30"/>
        <v>0</v>
      </c>
      <c r="L376" s="37" t="s">
        <v>494</v>
      </c>
      <c r="M376" s="37">
        <f t="shared" si="31"/>
        <v>0</v>
      </c>
      <c r="N376" s="470" t="s">
        <v>347</v>
      </c>
      <c r="O376" s="470">
        <f t="shared" si="32"/>
        <v>0</v>
      </c>
      <c r="P376" s="37" t="str">
        <f t="shared" si="33"/>
        <v>None</v>
      </c>
      <c r="Q376" s="470" t="s">
        <v>347</v>
      </c>
      <c r="R376" s="37">
        <f t="shared" si="34"/>
        <v>0</v>
      </c>
      <c r="S376" s="470" t="s">
        <v>347</v>
      </c>
      <c r="T376" s="470">
        <f t="shared" si="35"/>
        <v>0</v>
      </c>
      <c r="U376" s="470" t="s">
        <v>347</v>
      </c>
      <c r="V376" s="111">
        <f>IF(OR(F376="none",G376="V"),0,VLOOKUP(F376,'Purchased Boons'!$AR$4:$AS$27,2,FALSE))</f>
        <v>0</v>
      </c>
      <c r="W376" s="39" t="s">
        <v>1764</v>
      </c>
      <c r="X376" s="37" t="s">
        <v>1764</v>
      </c>
      <c r="Y376" s="37" t="s">
        <v>5</v>
      </c>
      <c r="Z376" s="111">
        <v>104</v>
      </c>
      <c r="AG376" s="24"/>
      <c r="AH376" s="24"/>
    </row>
    <row r="377" spans="1:34" x14ac:dyDescent="0.25">
      <c r="A377" s="39" t="s">
        <v>2465</v>
      </c>
      <c r="B377" s="36" t="s">
        <v>87</v>
      </c>
      <c r="C377" s="469">
        <v>8</v>
      </c>
      <c r="D377" s="470" t="s">
        <v>494</v>
      </c>
      <c r="E377" s="37">
        <f t="shared" si="27"/>
        <v>0</v>
      </c>
      <c r="F377" s="470" t="s">
        <v>494</v>
      </c>
      <c r="G377" s="37">
        <f t="shared" si="28"/>
        <v>0</v>
      </c>
      <c r="H377" s="37" t="s">
        <v>494</v>
      </c>
      <c r="I377" s="37">
        <f t="shared" si="29"/>
        <v>0</v>
      </c>
      <c r="J377" s="37" t="s">
        <v>347</v>
      </c>
      <c r="K377" s="37">
        <f t="shared" si="30"/>
        <v>0</v>
      </c>
      <c r="L377" s="37" t="s">
        <v>494</v>
      </c>
      <c r="M377" s="37">
        <f t="shared" si="31"/>
        <v>0</v>
      </c>
      <c r="N377" s="470" t="s">
        <v>347</v>
      </c>
      <c r="O377" s="470">
        <f t="shared" si="32"/>
        <v>0</v>
      </c>
      <c r="P377" s="37" t="str">
        <f t="shared" si="33"/>
        <v>None</v>
      </c>
      <c r="Q377" s="470" t="s">
        <v>347</v>
      </c>
      <c r="R377" s="37">
        <f t="shared" si="34"/>
        <v>0</v>
      </c>
      <c r="S377" s="470" t="s">
        <v>347</v>
      </c>
      <c r="T377" s="470">
        <f t="shared" si="35"/>
        <v>0</v>
      </c>
      <c r="U377" s="470" t="s">
        <v>347</v>
      </c>
      <c r="V377" s="111">
        <f>IF(OR(F377="none",G377="V"),0,VLOOKUP(F377,'Purchased Boons'!$AR$4:$AS$27,2,FALSE))</f>
        <v>0</v>
      </c>
      <c r="W377" s="39" t="s">
        <v>1764</v>
      </c>
      <c r="X377" s="37" t="s">
        <v>1764</v>
      </c>
      <c r="Y377" s="37" t="s">
        <v>5</v>
      </c>
      <c r="Z377" s="111">
        <v>104</v>
      </c>
      <c r="AG377" s="24"/>
      <c r="AH377" s="24"/>
    </row>
    <row r="378" spans="1:34" x14ac:dyDescent="0.25">
      <c r="A378" s="39" t="s">
        <v>2475</v>
      </c>
      <c r="B378" s="36" t="s">
        <v>87</v>
      </c>
      <c r="C378" s="469">
        <v>8</v>
      </c>
      <c r="D378" s="470" t="s">
        <v>494</v>
      </c>
      <c r="E378" s="37">
        <f t="shared" si="27"/>
        <v>0</v>
      </c>
      <c r="F378" s="470" t="s">
        <v>494</v>
      </c>
      <c r="G378" s="37">
        <f t="shared" si="28"/>
        <v>0</v>
      </c>
      <c r="H378" s="37" t="s">
        <v>494</v>
      </c>
      <c r="I378" s="37">
        <f t="shared" si="29"/>
        <v>0</v>
      </c>
      <c r="J378" s="37" t="s">
        <v>347</v>
      </c>
      <c r="K378" s="37">
        <f t="shared" si="30"/>
        <v>0</v>
      </c>
      <c r="L378" s="37" t="s">
        <v>494</v>
      </c>
      <c r="M378" s="37">
        <f t="shared" si="31"/>
        <v>0</v>
      </c>
      <c r="N378" s="470" t="s">
        <v>347</v>
      </c>
      <c r="O378" s="470">
        <f t="shared" si="32"/>
        <v>0</v>
      </c>
      <c r="P378" s="37" t="str">
        <f t="shared" si="33"/>
        <v>None</v>
      </c>
      <c r="Q378" s="470" t="s">
        <v>347</v>
      </c>
      <c r="R378" s="37">
        <f t="shared" si="34"/>
        <v>0</v>
      </c>
      <c r="S378" s="470" t="s">
        <v>347</v>
      </c>
      <c r="T378" s="470">
        <f t="shared" si="35"/>
        <v>0</v>
      </c>
      <c r="U378" s="470" t="s">
        <v>347</v>
      </c>
      <c r="V378" s="111">
        <f>IF(OR(F378="none",G378="V"),0,VLOOKUP(F378,'Purchased Boons'!$AR$4:$AS$27,2,FALSE))</f>
        <v>0</v>
      </c>
      <c r="W378" s="39" t="s">
        <v>1764</v>
      </c>
      <c r="X378" s="37" t="s">
        <v>1764</v>
      </c>
      <c r="Y378" s="37" t="s">
        <v>5</v>
      </c>
      <c r="Z378" s="111">
        <v>104</v>
      </c>
      <c r="AG378" s="24"/>
      <c r="AH378" s="24"/>
    </row>
    <row r="379" spans="1:34" x14ac:dyDescent="0.25">
      <c r="A379" s="39" t="s">
        <v>2485</v>
      </c>
      <c r="B379" s="36" t="s">
        <v>87</v>
      </c>
      <c r="C379" s="469">
        <v>8</v>
      </c>
      <c r="D379" s="470" t="s">
        <v>494</v>
      </c>
      <c r="E379" s="37">
        <f t="shared" si="27"/>
        <v>0</v>
      </c>
      <c r="F379" s="470" t="s">
        <v>494</v>
      </c>
      <c r="G379" s="37">
        <f t="shared" si="28"/>
        <v>0</v>
      </c>
      <c r="H379" s="37" t="s">
        <v>494</v>
      </c>
      <c r="I379" s="37">
        <f t="shared" si="29"/>
        <v>0</v>
      </c>
      <c r="J379" s="37" t="s">
        <v>347</v>
      </c>
      <c r="K379" s="37">
        <f t="shared" si="30"/>
        <v>0</v>
      </c>
      <c r="L379" s="37" t="s">
        <v>494</v>
      </c>
      <c r="M379" s="37">
        <f t="shared" si="31"/>
        <v>0</v>
      </c>
      <c r="N379" s="470" t="s">
        <v>347</v>
      </c>
      <c r="O379" s="470">
        <f t="shared" si="32"/>
        <v>0</v>
      </c>
      <c r="P379" s="37" t="str">
        <f t="shared" si="33"/>
        <v>None</v>
      </c>
      <c r="Q379" s="470" t="s">
        <v>347</v>
      </c>
      <c r="R379" s="37">
        <f t="shared" si="34"/>
        <v>0</v>
      </c>
      <c r="S379" s="470" t="s">
        <v>347</v>
      </c>
      <c r="T379" s="470">
        <f t="shared" si="35"/>
        <v>0</v>
      </c>
      <c r="U379" s="470" t="s">
        <v>347</v>
      </c>
      <c r="V379" s="111">
        <f>IF(OR(F379="none",G379="V"),0,VLOOKUP(F379,'Purchased Boons'!$AR$4:$AS$27,2,FALSE))</f>
        <v>0</v>
      </c>
      <c r="W379" s="39" t="s">
        <v>1764</v>
      </c>
      <c r="X379" s="37" t="s">
        <v>1764</v>
      </c>
      <c r="Y379" s="37" t="s">
        <v>5</v>
      </c>
      <c r="Z379" s="111">
        <v>104</v>
      </c>
      <c r="AG379" s="24"/>
      <c r="AH379" s="24"/>
    </row>
    <row r="380" spans="1:34" x14ac:dyDescent="0.25">
      <c r="A380" s="39" t="s">
        <v>2495</v>
      </c>
      <c r="B380" s="36" t="s">
        <v>87</v>
      </c>
      <c r="C380" s="469">
        <v>8</v>
      </c>
      <c r="D380" s="470" t="s">
        <v>494</v>
      </c>
      <c r="E380" s="37">
        <f t="shared" si="27"/>
        <v>0</v>
      </c>
      <c r="F380" s="470" t="s">
        <v>494</v>
      </c>
      <c r="G380" s="37">
        <f t="shared" si="28"/>
        <v>0</v>
      </c>
      <c r="H380" s="37" t="s">
        <v>494</v>
      </c>
      <c r="I380" s="37">
        <f t="shared" si="29"/>
        <v>0</v>
      </c>
      <c r="J380" s="37" t="s">
        <v>347</v>
      </c>
      <c r="K380" s="37">
        <f t="shared" si="30"/>
        <v>0</v>
      </c>
      <c r="L380" s="37" t="s">
        <v>494</v>
      </c>
      <c r="M380" s="37">
        <f t="shared" si="31"/>
        <v>0</v>
      </c>
      <c r="N380" s="470" t="s">
        <v>347</v>
      </c>
      <c r="O380" s="470">
        <f t="shared" si="32"/>
        <v>0</v>
      </c>
      <c r="P380" s="37" t="str">
        <f t="shared" si="33"/>
        <v>None</v>
      </c>
      <c r="Q380" s="470" t="s">
        <v>347</v>
      </c>
      <c r="R380" s="37">
        <f t="shared" si="34"/>
        <v>0</v>
      </c>
      <c r="S380" s="470" t="s">
        <v>347</v>
      </c>
      <c r="T380" s="470">
        <f t="shared" si="35"/>
        <v>0</v>
      </c>
      <c r="U380" s="470" t="s">
        <v>347</v>
      </c>
      <c r="V380" s="111">
        <f>IF(OR(F380="none",G380="V"),0,VLOOKUP(F380,'Purchased Boons'!$AR$4:$AS$27,2,FALSE))</f>
        <v>0</v>
      </c>
      <c r="W380" s="39" t="s">
        <v>1764</v>
      </c>
      <c r="X380" s="37" t="s">
        <v>1764</v>
      </c>
      <c r="Y380" s="37" t="s">
        <v>5</v>
      </c>
      <c r="Z380" s="111">
        <v>104</v>
      </c>
      <c r="AG380" s="24"/>
      <c r="AH380" s="24"/>
    </row>
    <row r="381" spans="1:34" x14ac:dyDescent="0.25">
      <c r="A381" s="39" t="s">
        <v>2505</v>
      </c>
      <c r="B381" s="36" t="s">
        <v>87</v>
      </c>
      <c r="C381" s="469">
        <v>8</v>
      </c>
      <c r="D381" s="470" t="s">
        <v>494</v>
      </c>
      <c r="E381" s="37">
        <f t="shared" si="27"/>
        <v>0</v>
      </c>
      <c r="F381" s="470" t="s">
        <v>494</v>
      </c>
      <c r="G381" s="37">
        <f t="shared" si="28"/>
        <v>0</v>
      </c>
      <c r="H381" s="37" t="s">
        <v>494</v>
      </c>
      <c r="I381" s="37">
        <f t="shared" si="29"/>
        <v>0</v>
      </c>
      <c r="J381" s="37" t="s">
        <v>347</v>
      </c>
      <c r="K381" s="37">
        <f t="shared" si="30"/>
        <v>0</v>
      </c>
      <c r="L381" s="37" t="s">
        <v>494</v>
      </c>
      <c r="M381" s="37">
        <f t="shared" si="31"/>
        <v>0</v>
      </c>
      <c r="N381" s="470" t="s">
        <v>347</v>
      </c>
      <c r="O381" s="470">
        <f t="shared" si="32"/>
        <v>0</v>
      </c>
      <c r="P381" s="37" t="str">
        <f t="shared" si="33"/>
        <v>None</v>
      </c>
      <c r="Q381" s="470" t="s">
        <v>347</v>
      </c>
      <c r="R381" s="37">
        <f t="shared" si="34"/>
        <v>0</v>
      </c>
      <c r="S381" s="470" t="s">
        <v>347</v>
      </c>
      <c r="T381" s="470">
        <f t="shared" si="35"/>
        <v>0</v>
      </c>
      <c r="U381" s="470" t="s">
        <v>347</v>
      </c>
      <c r="V381" s="111">
        <f>IF(OR(F381="none",G381="V"),0,VLOOKUP(F381,'Purchased Boons'!$AR$4:$AS$27,2,FALSE))</f>
        <v>0</v>
      </c>
      <c r="W381" s="39" t="s">
        <v>1764</v>
      </c>
      <c r="X381" s="37" t="s">
        <v>1764</v>
      </c>
      <c r="Y381" s="37" t="s">
        <v>5</v>
      </c>
      <c r="Z381" s="111">
        <v>104</v>
      </c>
      <c r="AG381" s="24"/>
      <c r="AH381" s="24"/>
    </row>
    <row r="382" spans="1:34" x14ac:dyDescent="0.25">
      <c r="A382" s="39" t="s">
        <v>2515</v>
      </c>
      <c r="B382" s="36" t="s">
        <v>87</v>
      </c>
      <c r="C382" s="469">
        <v>8</v>
      </c>
      <c r="D382" s="470" t="s">
        <v>494</v>
      </c>
      <c r="E382" s="37">
        <f t="shared" si="27"/>
        <v>0</v>
      </c>
      <c r="F382" s="470" t="s">
        <v>494</v>
      </c>
      <c r="G382" s="37">
        <f t="shared" si="28"/>
        <v>0</v>
      </c>
      <c r="H382" s="37" t="s">
        <v>494</v>
      </c>
      <c r="I382" s="37">
        <f t="shared" si="29"/>
        <v>0</v>
      </c>
      <c r="J382" s="37" t="s">
        <v>347</v>
      </c>
      <c r="K382" s="37">
        <f t="shared" si="30"/>
        <v>0</v>
      </c>
      <c r="L382" s="37" t="s">
        <v>494</v>
      </c>
      <c r="M382" s="37">
        <f t="shared" si="31"/>
        <v>0</v>
      </c>
      <c r="N382" s="470" t="s">
        <v>347</v>
      </c>
      <c r="O382" s="470">
        <f t="shared" si="32"/>
        <v>0</v>
      </c>
      <c r="P382" s="37" t="str">
        <f t="shared" si="33"/>
        <v>None</v>
      </c>
      <c r="Q382" s="470" t="s">
        <v>347</v>
      </c>
      <c r="R382" s="37">
        <f t="shared" si="34"/>
        <v>0</v>
      </c>
      <c r="S382" s="470" t="s">
        <v>347</v>
      </c>
      <c r="T382" s="470">
        <f t="shared" si="35"/>
        <v>0</v>
      </c>
      <c r="U382" s="470" t="s">
        <v>347</v>
      </c>
      <c r="V382" s="111">
        <f>IF(OR(F382="none",G382="V"),0,VLOOKUP(F382,'Purchased Boons'!$AR$4:$AS$27,2,FALSE))</f>
        <v>0</v>
      </c>
      <c r="W382" s="39" t="s">
        <v>1764</v>
      </c>
      <c r="X382" s="37" t="s">
        <v>1764</v>
      </c>
      <c r="Y382" s="37" t="s">
        <v>5</v>
      </c>
      <c r="Z382" s="111">
        <v>104</v>
      </c>
      <c r="AG382" s="24"/>
      <c r="AH382" s="24"/>
    </row>
    <row r="383" spans="1:34" x14ac:dyDescent="0.25">
      <c r="A383" s="39" t="s">
        <v>2525</v>
      </c>
      <c r="B383" s="36" t="s">
        <v>87</v>
      </c>
      <c r="C383" s="469">
        <v>8</v>
      </c>
      <c r="D383" s="470" t="s">
        <v>494</v>
      </c>
      <c r="E383" s="37">
        <f t="shared" si="27"/>
        <v>0</v>
      </c>
      <c r="F383" s="470" t="s">
        <v>494</v>
      </c>
      <c r="G383" s="37">
        <f t="shared" si="28"/>
        <v>0</v>
      </c>
      <c r="H383" s="37" t="s">
        <v>494</v>
      </c>
      <c r="I383" s="37">
        <f t="shared" si="29"/>
        <v>0</v>
      </c>
      <c r="J383" s="37" t="s">
        <v>347</v>
      </c>
      <c r="K383" s="37">
        <f t="shared" si="30"/>
        <v>0</v>
      </c>
      <c r="L383" s="37" t="s">
        <v>494</v>
      </c>
      <c r="M383" s="37">
        <f t="shared" si="31"/>
        <v>0</v>
      </c>
      <c r="N383" s="470" t="s">
        <v>347</v>
      </c>
      <c r="O383" s="470">
        <f t="shared" si="32"/>
        <v>0</v>
      </c>
      <c r="P383" s="37" t="str">
        <f t="shared" si="33"/>
        <v>None</v>
      </c>
      <c r="Q383" s="470" t="s">
        <v>347</v>
      </c>
      <c r="R383" s="37">
        <f t="shared" si="34"/>
        <v>0</v>
      </c>
      <c r="S383" s="470" t="s">
        <v>347</v>
      </c>
      <c r="T383" s="470">
        <f t="shared" si="35"/>
        <v>0</v>
      </c>
      <c r="U383" s="470" t="s">
        <v>347</v>
      </c>
      <c r="V383" s="111">
        <f>IF(OR(F383="none",G383="V"),0,VLOOKUP(F383,'Purchased Boons'!$AR$4:$AS$27,2,FALSE))</f>
        <v>0</v>
      </c>
      <c r="W383" s="39" t="s">
        <v>1764</v>
      </c>
      <c r="X383" s="37" t="s">
        <v>1764</v>
      </c>
      <c r="Y383" s="37" t="s">
        <v>5</v>
      </c>
      <c r="Z383" s="111">
        <v>104</v>
      </c>
      <c r="AG383" s="24"/>
      <c r="AH383" s="24"/>
    </row>
    <row r="384" spans="1:34" x14ac:dyDescent="0.25">
      <c r="A384" s="39" t="s">
        <v>2535</v>
      </c>
      <c r="B384" s="36" t="s">
        <v>87</v>
      </c>
      <c r="C384" s="469">
        <v>8</v>
      </c>
      <c r="D384" s="470" t="s">
        <v>494</v>
      </c>
      <c r="E384" s="37">
        <f t="shared" si="27"/>
        <v>0</v>
      </c>
      <c r="F384" s="470" t="s">
        <v>494</v>
      </c>
      <c r="G384" s="37">
        <f t="shared" si="28"/>
        <v>0</v>
      </c>
      <c r="H384" s="37" t="s">
        <v>494</v>
      </c>
      <c r="I384" s="37">
        <f t="shared" si="29"/>
        <v>0</v>
      </c>
      <c r="J384" s="37" t="s">
        <v>347</v>
      </c>
      <c r="K384" s="37">
        <f t="shared" si="30"/>
        <v>0</v>
      </c>
      <c r="L384" s="37" t="s">
        <v>494</v>
      </c>
      <c r="M384" s="37">
        <f t="shared" si="31"/>
        <v>0</v>
      </c>
      <c r="N384" s="470" t="s">
        <v>347</v>
      </c>
      <c r="O384" s="470">
        <f t="shared" si="32"/>
        <v>0</v>
      </c>
      <c r="P384" s="37" t="str">
        <f t="shared" si="33"/>
        <v>None</v>
      </c>
      <c r="Q384" s="470" t="s">
        <v>347</v>
      </c>
      <c r="R384" s="37">
        <f t="shared" si="34"/>
        <v>0</v>
      </c>
      <c r="S384" s="470" t="s">
        <v>347</v>
      </c>
      <c r="T384" s="470">
        <f t="shared" si="35"/>
        <v>0</v>
      </c>
      <c r="U384" s="470" t="s">
        <v>347</v>
      </c>
      <c r="V384" s="111">
        <f>IF(OR(F384="none",G384="V"),0,VLOOKUP(F384,'Purchased Boons'!$AR$4:$AS$27,2,FALSE))</f>
        <v>0</v>
      </c>
      <c r="W384" s="39" t="s">
        <v>1764</v>
      </c>
      <c r="X384" s="37" t="s">
        <v>1764</v>
      </c>
      <c r="Y384" s="37" t="s">
        <v>5</v>
      </c>
      <c r="Z384" s="111">
        <v>104</v>
      </c>
      <c r="AG384" s="24"/>
      <c r="AH384" s="24"/>
    </row>
    <row r="385" spans="1:34" x14ac:dyDescent="0.25">
      <c r="A385" s="39" t="s">
        <v>2545</v>
      </c>
      <c r="B385" s="36" t="s">
        <v>87</v>
      </c>
      <c r="C385" s="469">
        <v>8</v>
      </c>
      <c r="D385" s="470" t="s">
        <v>494</v>
      </c>
      <c r="E385" s="37">
        <f t="shared" si="27"/>
        <v>0</v>
      </c>
      <c r="F385" s="470" t="s">
        <v>494</v>
      </c>
      <c r="G385" s="37">
        <f t="shared" si="28"/>
        <v>0</v>
      </c>
      <c r="H385" s="37" t="s">
        <v>494</v>
      </c>
      <c r="I385" s="37">
        <f t="shared" si="29"/>
        <v>0</v>
      </c>
      <c r="J385" s="37" t="s">
        <v>347</v>
      </c>
      <c r="K385" s="37">
        <f t="shared" si="30"/>
        <v>0</v>
      </c>
      <c r="L385" s="37" t="s">
        <v>494</v>
      </c>
      <c r="M385" s="37">
        <f t="shared" si="31"/>
        <v>0</v>
      </c>
      <c r="N385" s="470" t="s">
        <v>347</v>
      </c>
      <c r="O385" s="470">
        <f t="shared" si="32"/>
        <v>0</v>
      </c>
      <c r="P385" s="37" t="str">
        <f t="shared" si="33"/>
        <v>None</v>
      </c>
      <c r="Q385" s="470" t="s">
        <v>347</v>
      </c>
      <c r="R385" s="37">
        <f t="shared" si="34"/>
        <v>0</v>
      </c>
      <c r="S385" s="470" t="s">
        <v>347</v>
      </c>
      <c r="T385" s="470">
        <f t="shared" si="35"/>
        <v>0</v>
      </c>
      <c r="U385" s="470" t="s">
        <v>347</v>
      </c>
      <c r="V385" s="111">
        <f>IF(OR(F385="none",G385="V"),0,VLOOKUP(F385,'Purchased Boons'!$AR$4:$AS$27,2,FALSE))</f>
        <v>0</v>
      </c>
      <c r="W385" s="39" t="s">
        <v>1764</v>
      </c>
      <c r="X385" s="37" t="s">
        <v>1764</v>
      </c>
      <c r="Y385" s="37" t="s">
        <v>5</v>
      </c>
      <c r="Z385" s="111">
        <v>104</v>
      </c>
      <c r="AG385" s="24"/>
      <c r="AH385" s="24"/>
    </row>
    <row r="386" spans="1:34" x14ac:dyDescent="0.25">
      <c r="A386" s="39" t="s">
        <v>2555</v>
      </c>
      <c r="B386" s="36" t="s">
        <v>87</v>
      </c>
      <c r="C386" s="469">
        <v>8</v>
      </c>
      <c r="D386" s="470" t="s">
        <v>494</v>
      </c>
      <c r="E386" s="37">
        <f t="shared" si="27"/>
        <v>0</v>
      </c>
      <c r="F386" s="470" t="s">
        <v>494</v>
      </c>
      <c r="G386" s="37">
        <f t="shared" si="28"/>
        <v>0</v>
      </c>
      <c r="H386" s="37" t="s">
        <v>494</v>
      </c>
      <c r="I386" s="37">
        <f t="shared" si="29"/>
        <v>0</v>
      </c>
      <c r="J386" s="37" t="s">
        <v>347</v>
      </c>
      <c r="K386" s="37">
        <f t="shared" si="30"/>
        <v>0</v>
      </c>
      <c r="L386" s="37" t="s">
        <v>494</v>
      </c>
      <c r="M386" s="37">
        <f t="shared" si="31"/>
        <v>0</v>
      </c>
      <c r="N386" s="470" t="s">
        <v>347</v>
      </c>
      <c r="O386" s="470">
        <f t="shared" si="32"/>
        <v>0</v>
      </c>
      <c r="P386" s="37" t="str">
        <f t="shared" si="33"/>
        <v>None</v>
      </c>
      <c r="Q386" s="470" t="s">
        <v>347</v>
      </c>
      <c r="R386" s="37">
        <f t="shared" si="34"/>
        <v>0</v>
      </c>
      <c r="S386" s="470" t="s">
        <v>347</v>
      </c>
      <c r="T386" s="470">
        <f t="shared" si="35"/>
        <v>0</v>
      </c>
      <c r="U386" s="470" t="s">
        <v>347</v>
      </c>
      <c r="V386" s="111">
        <f>IF(OR(F386="none",G386="V"),0,VLOOKUP(F386,'Purchased Boons'!$AR$4:$AS$27,2,FALSE))</f>
        <v>0</v>
      </c>
      <c r="W386" s="39" t="s">
        <v>1764</v>
      </c>
      <c r="X386" s="37" t="s">
        <v>1764</v>
      </c>
      <c r="Y386" s="37" t="s">
        <v>5</v>
      </c>
      <c r="Z386" s="111">
        <v>104</v>
      </c>
      <c r="AG386" s="24"/>
      <c r="AH386" s="24"/>
    </row>
    <row r="387" spans="1:34" x14ac:dyDescent="0.25">
      <c r="A387" s="39" t="s">
        <v>2625</v>
      </c>
      <c r="B387" s="36" t="s">
        <v>87</v>
      </c>
      <c r="C387" s="469">
        <v>8</v>
      </c>
      <c r="D387" s="470" t="s">
        <v>494</v>
      </c>
      <c r="E387" s="37">
        <f t="shared" si="27"/>
        <v>0</v>
      </c>
      <c r="F387" s="470" t="s">
        <v>494</v>
      </c>
      <c r="G387" s="37">
        <f t="shared" si="28"/>
        <v>0</v>
      </c>
      <c r="H387" s="37" t="s">
        <v>494</v>
      </c>
      <c r="I387" s="37">
        <f t="shared" si="29"/>
        <v>0</v>
      </c>
      <c r="J387" s="37" t="s">
        <v>347</v>
      </c>
      <c r="K387" s="37">
        <f t="shared" si="30"/>
        <v>0</v>
      </c>
      <c r="L387" s="37" t="s">
        <v>494</v>
      </c>
      <c r="M387" s="37">
        <f t="shared" si="31"/>
        <v>0</v>
      </c>
      <c r="N387" s="470" t="s">
        <v>347</v>
      </c>
      <c r="O387" s="470">
        <f t="shared" si="32"/>
        <v>0</v>
      </c>
      <c r="P387" s="37" t="str">
        <f t="shared" si="33"/>
        <v>None</v>
      </c>
      <c r="Q387" s="470" t="s">
        <v>347</v>
      </c>
      <c r="R387" s="37">
        <f t="shared" si="34"/>
        <v>0</v>
      </c>
      <c r="S387" s="470" t="s">
        <v>347</v>
      </c>
      <c r="T387" s="470">
        <f t="shared" si="35"/>
        <v>0</v>
      </c>
      <c r="U387" s="470" t="s">
        <v>347</v>
      </c>
      <c r="V387" s="111">
        <f>IF(OR(F387="none",G387="V"),0,VLOOKUP(F387,'Purchased Boons'!$AR$4:$AS$27,2,FALSE))</f>
        <v>0</v>
      </c>
      <c r="W387" s="39" t="s">
        <v>1764</v>
      </c>
      <c r="X387" s="37" t="s">
        <v>1764</v>
      </c>
      <c r="Y387" s="37" t="s">
        <v>5</v>
      </c>
      <c r="Z387" s="111">
        <v>104</v>
      </c>
      <c r="AG387" s="24"/>
      <c r="AH387" s="24"/>
    </row>
    <row r="388" spans="1:34" x14ac:dyDescent="0.25">
      <c r="A388" s="39" t="s">
        <v>2565</v>
      </c>
      <c r="B388" s="36" t="s">
        <v>87</v>
      </c>
      <c r="C388" s="469">
        <v>8</v>
      </c>
      <c r="D388" s="470" t="s">
        <v>494</v>
      </c>
      <c r="E388" s="37">
        <f t="shared" si="27"/>
        <v>0</v>
      </c>
      <c r="F388" s="470" t="s">
        <v>494</v>
      </c>
      <c r="G388" s="37">
        <f t="shared" si="28"/>
        <v>0</v>
      </c>
      <c r="H388" s="37" t="s">
        <v>494</v>
      </c>
      <c r="I388" s="37">
        <f t="shared" si="29"/>
        <v>0</v>
      </c>
      <c r="J388" s="37" t="s">
        <v>347</v>
      </c>
      <c r="K388" s="37">
        <f t="shared" si="30"/>
        <v>0</v>
      </c>
      <c r="L388" s="37" t="s">
        <v>494</v>
      </c>
      <c r="M388" s="37">
        <f t="shared" si="31"/>
        <v>0</v>
      </c>
      <c r="N388" s="470" t="s">
        <v>347</v>
      </c>
      <c r="O388" s="470">
        <f t="shared" si="32"/>
        <v>0</v>
      </c>
      <c r="P388" s="37" t="str">
        <f t="shared" si="33"/>
        <v>None</v>
      </c>
      <c r="Q388" s="470" t="s">
        <v>347</v>
      </c>
      <c r="R388" s="37">
        <f t="shared" si="34"/>
        <v>0</v>
      </c>
      <c r="S388" s="470" t="s">
        <v>347</v>
      </c>
      <c r="T388" s="470">
        <f t="shared" si="35"/>
        <v>0</v>
      </c>
      <c r="U388" s="470" t="s">
        <v>347</v>
      </c>
      <c r="V388" s="111">
        <f>IF(OR(F388="none",G388="V"),0,VLOOKUP(F388,'Purchased Boons'!$AR$4:$AS$27,2,FALSE))</f>
        <v>0</v>
      </c>
      <c r="W388" s="39" t="s">
        <v>1764</v>
      </c>
      <c r="X388" s="37" t="s">
        <v>1764</v>
      </c>
      <c r="Y388" s="37" t="s">
        <v>5</v>
      </c>
      <c r="Z388" s="111">
        <v>104</v>
      </c>
      <c r="AG388" s="24"/>
      <c r="AH388" s="24"/>
    </row>
    <row r="389" spans="1:34" x14ac:dyDescent="0.25">
      <c r="A389" s="39" t="s">
        <v>2575</v>
      </c>
      <c r="B389" s="36" t="s">
        <v>87</v>
      </c>
      <c r="C389" s="469">
        <v>8</v>
      </c>
      <c r="D389" s="470" t="s">
        <v>494</v>
      </c>
      <c r="E389" s="37">
        <f t="shared" si="27"/>
        <v>0</v>
      </c>
      <c r="F389" s="470" t="s">
        <v>494</v>
      </c>
      <c r="G389" s="37">
        <f t="shared" si="28"/>
        <v>0</v>
      </c>
      <c r="H389" s="37" t="s">
        <v>494</v>
      </c>
      <c r="I389" s="37">
        <f t="shared" si="29"/>
        <v>0</v>
      </c>
      <c r="J389" s="37" t="s">
        <v>347</v>
      </c>
      <c r="K389" s="37">
        <f t="shared" si="30"/>
        <v>0</v>
      </c>
      <c r="L389" s="37" t="s">
        <v>494</v>
      </c>
      <c r="M389" s="37">
        <f t="shared" si="31"/>
        <v>0</v>
      </c>
      <c r="N389" s="470" t="s">
        <v>347</v>
      </c>
      <c r="O389" s="470">
        <f t="shared" si="32"/>
        <v>0</v>
      </c>
      <c r="P389" s="37" t="str">
        <f t="shared" si="33"/>
        <v>None</v>
      </c>
      <c r="Q389" s="470" t="s">
        <v>347</v>
      </c>
      <c r="R389" s="37">
        <f t="shared" si="34"/>
        <v>0</v>
      </c>
      <c r="S389" s="470" t="s">
        <v>347</v>
      </c>
      <c r="T389" s="470">
        <f t="shared" si="35"/>
        <v>0</v>
      </c>
      <c r="U389" s="470" t="s">
        <v>347</v>
      </c>
      <c r="V389" s="111">
        <f>IF(OR(F389="none",G389="V"),0,VLOOKUP(F389,'Purchased Boons'!$AR$4:$AS$27,2,FALSE))</f>
        <v>0</v>
      </c>
      <c r="W389" s="39" t="s">
        <v>1764</v>
      </c>
      <c r="X389" s="37" t="s">
        <v>1764</v>
      </c>
      <c r="Y389" s="37" t="s">
        <v>5</v>
      </c>
      <c r="Z389" s="111">
        <v>104</v>
      </c>
      <c r="AG389" s="24"/>
      <c r="AH389" s="24"/>
    </row>
    <row r="390" spans="1:34" x14ac:dyDescent="0.25">
      <c r="A390" s="39" t="s">
        <v>2585</v>
      </c>
      <c r="B390" s="36" t="s">
        <v>87</v>
      </c>
      <c r="C390" s="469">
        <v>8</v>
      </c>
      <c r="D390" s="470" t="s">
        <v>494</v>
      </c>
      <c r="E390" s="37">
        <f t="shared" si="27"/>
        <v>0</v>
      </c>
      <c r="F390" s="470" t="s">
        <v>494</v>
      </c>
      <c r="G390" s="37">
        <f t="shared" si="28"/>
        <v>0</v>
      </c>
      <c r="H390" s="37" t="s">
        <v>494</v>
      </c>
      <c r="I390" s="37">
        <f t="shared" si="29"/>
        <v>0</v>
      </c>
      <c r="J390" s="37" t="s">
        <v>347</v>
      </c>
      <c r="K390" s="37">
        <f t="shared" si="30"/>
        <v>0</v>
      </c>
      <c r="L390" s="37" t="s">
        <v>494</v>
      </c>
      <c r="M390" s="37">
        <f t="shared" si="31"/>
        <v>0</v>
      </c>
      <c r="N390" s="470" t="s">
        <v>347</v>
      </c>
      <c r="O390" s="470">
        <f t="shared" si="32"/>
        <v>0</v>
      </c>
      <c r="P390" s="37" t="str">
        <f t="shared" si="33"/>
        <v>None</v>
      </c>
      <c r="Q390" s="470" t="s">
        <v>347</v>
      </c>
      <c r="R390" s="37">
        <f t="shared" si="34"/>
        <v>0</v>
      </c>
      <c r="S390" s="470" t="s">
        <v>347</v>
      </c>
      <c r="T390" s="470">
        <f t="shared" si="35"/>
        <v>0</v>
      </c>
      <c r="U390" s="470" t="s">
        <v>347</v>
      </c>
      <c r="V390" s="111">
        <f>IF(OR(F390="none",G390="V"),0,VLOOKUP(F390,'Purchased Boons'!$AR$4:$AS$27,2,FALSE))</f>
        <v>0</v>
      </c>
      <c r="W390" s="39" t="s">
        <v>1764</v>
      </c>
      <c r="X390" s="37" t="s">
        <v>1764</v>
      </c>
      <c r="Y390" s="37" t="s">
        <v>5</v>
      </c>
      <c r="Z390" s="111">
        <v>104</v>
      </c>
      <c r="AG390" s="24"/>
      <c r="AH390" s="24"/>
    </row>
    <row r="391" spans="1:34" x14ac:dyDescent="0.25">
      <c r="A391" s="39" t="s">
        <v>2396</v>
      </c>
      <c r="B391" s="36" t="s">
        <v>87</v>
      </c>
      <c r="C391" s="469">
        <v>9</v>
      </c>
      <c r="D391" s="470" t="s">
        <v>494</v>
      </c>
      <c r="E391" s="37">
        <f t="shared" si="27"/>
        <v>0</v>
      </c>
      <c r="F391" s="470" t="s">
        <v>494</v>
      </c>
      <c r="G391" s="37">
        <f t="shared" si="28"/>
        <v>0</v>
      </c>
      <c r="H391" s="37" t="s">
        <v>494</v>
      </c>
      <c r="I391" s="37">
        <f t="shared" si="29"/>
        <v>0</v>
      </c>
      <c r="J391" s="37" t="s">
        <v>347</v>
      </c>
      <c r="K391" s="37">
        <f t="shared" si="30"/>
        <v>0</v>
      </c>
      <c r="L391" s="37" t="s">
        <v>494</v>
      </c>
      <c r="M391" s="37">
        <f t="shared" si="31"/>
        <v>0</v>
      </c>
      <c r="N391" s="470" t="s">
        <v>347</v>
      </c>
      <c r="O391" s="470">
        <f t="shared" si="32"/>
        <v>0</v>
      </c>
      <c r="P391" s="37" t="str">
        <f t="shared" si="33"/>
        <v>None</v>
      </c>
      <c r="Q391" s="470" t="s">
        <v>347</v>
      </c>
      <c r="R391" s="37">
        <f t="shared" si="34"/>
        <v>0</v>
      </c>
      <c r="S391" s="470" t="s">
        <v>347</v>
      </c>
      <c r="T391" s="470">
        <f t="shared" si="35"/>
        <v>0</v>
      </c>
      <c r="U391" s="470" t="s">
        <v>347</v>
      </c>
      <c r="V391" s="111">
        <f>IF(OR(F391="none",G391="V"),0,VLOOKUP(F391,'Purchased Boons'!$AR$4:$AS$27,2,FALSE))</f>
        <v>0</v>
      </c>
      <c r="W391" s="39" t="s">
        <v>1764</v>
      </c>
      <c r="X391" s="37" t="s">
        <v>1764</v>
      </c>
      <c r="Y391" s="37" t="s">
        <v>5</v>
      </c>
      <c r="Z391" s="111">
        <v>104</v>
      </c>
      <c r="AG391" s="24"/>
      <c r="AH391" s="24"/>
    </row>
    <row r="392" spans="1:34" x14ac:dyDescent="0.25">
      <c r="A392" s="39" t="s">
        <v>2406</v>
      </c>
      <c r="B392" s="36" t="s">
        <v>87</v>
      </c>
      <c r="C392" s="469">
        <v>9</v>
      </c>
      <c r="D392" s="470" t="s">
        <v>494</v>
      </c>
      <c r="E392" s="37">
        <f t="shared" si="27"/>
        <v>0</v>
      </c>
      <c r="F392" s="470" t="s">
        <v>494</v>
      </c>
      <c r="G392" s="37">
        <f t="shared" si="28"/>
        <v>0</v>
      </c>
      <c r="H392" s="37" t="s">
        <v>494</v>
      </c>
      <c r="I392" s="37">
        <f t="shared" si="29"/>
        <v>0</v>
      </c>
      <c r="J392" s="37" t="s">
        <v>347</v>
      </c>
      <c r="K392" s="37">
        <f t="shared" si="30"/>
        <v>0</v>
      </c>
      <c r="L392" s="37" t="s">
        <v>494</v>
      </c>
      <c r="M392" s="37">
        <f t="shared" si="31"/>
        <v>0</v>
      </c>
      <c r="N392" s="470" t="s">
        <v>347</v>
      </c>
      <c r="O392" s="470">
        <f t="shared" si="32"/>
        <v>0</v>
      </c>
      <c r="P392" s="37" t="str">
        <f t="shared" si="33"/>
        <v>None</v>
      </c>
      <c r="Q392" s="470" t="s">
        <v>347</v>
      </c>
      <c r="R392" s="37">
        <f t="shared" si="34"/>
        <v>0</v>
      </c>
      <c r="S392" s="470" t="s">
        <v>347</v>
      </c>
      <c r="T392" s="470">
        <f t="shared" si="35"/>
        <v>0</v>
      </c>
      <c r="U392" s="470" t="s">
        <v>347</v>
      </c>
      <c r="V392" s="111">
        <f>IF(OR(F392="none",G392="V"),0,VLOOKUP(F392,'Purchased Boons'!$AR$4:$AS$27,2,FALSE))</f>
        <v>0</v>
      </c>
      <c r="W392" s="39" t="s">
        <v>1764</v>
      </c>
      <c r="X392" s="37" t="s">
        <v>1764</v>
      </c>
      <c r="Y392" s="37" t="s">
        <v>5</v>
      </c>
      <c r="Z392" s="111">
        <v>104</v>
      </c>
      <c r="AG392" s="24"/>
      <c r="AH392" s="24"/>
    </row>
    <row r="393" spans="1:34" x14ac:dyDescent="0.25">
      <c r="A393" s="39" t="s">
        <v>2596</v>
      </c>
      <c r="B393" s="36" t="s">
        <v>87</v>
      </c>
      <c r="C393" s="469">
        <v>9</v>
      </c>
      <c r="D393" s="470" t="s">
        <v>494</v>
      </c>
      <c r="E393" s="37">
        <f t="shared" si="27"/>
        <v>0</v>
      </c>
      <c r="F393" s="470" t="s">
        <v>494</v>
      </c>
      <c r="G393" s="37">
        <f t="shared" si="28"/>
        <v>0</v>
      </c>
      <c r="H393" s="37" t="s">
        <v>494</v>
      </c>
      <c r="I393" s="37">
        <f t="shared" si="29"/>
        <v>0</v>
      </c>
      <c r="J393" s="37" t="s">
        <v>347</v>
      </c>
      <c r="K393" s="37">
        <f t="shared" si="30"/>
        <v>0</v>
      </c>
      <c r="L393" s="37" t="s">
        <v>494</v>
      </c>
      <c r="M393" s="37">
        <f t="shared" si="31"/>
        <v>0</v>
      </c>
      <c r="N393" s="470" t="s">
        <v>347</v>
      </c>
      <c r="O393" s="470">
        <f t="shared" si="32"/>
        <v>0</v>
      </c>
      <c r="P393" s="37" t="str">
        <f t="shared" si="33"/>
        <v>None</v>
      </c>
      <c r="Q393" s="470" t="s">
        <v>347</v>
      </c>
      <c r="R393" s="37">
        <f t="shared" si="34"/>
        <v>0</v>
      </c>
      <c r="S393" s="470" t="s">
        <v>347</v>
      </c>
      <c r="T393" s="470">
        <f t="shared" si="35"/>
        <v>0</v>
      </c>
      <c r="U393" s="470" t="s">
        <v>347</v>
      </c>
      <c r="V393" s="111">
        <f>IF(OR(F393="none",G393="V"),0,VLOOKUP(F393,'Purchased Boons'!$AR$4:$AS$27,2,FALSE))</f>
        <v>0</v>
      </c>
      <c r="W393" s="39" t="s">
        <v>1764</v>
      </c>
      <c r="X393" s="37" t="s">
        <v>1764</v>
      </c>
      <c r="Y393" s="37" t="s">
        <v>5</v>
      </c>
      <c r="Z393" s="111">
        <v>104</v>
      </c>
      <c r="AG393" s="24"/>
      <c r="AH393" s="24"/>
    </row>
    <row r="394" spans="1:34" x14ac:dyDescent="0.25">
      <c r="A394" s="39" t="s">
        <v>2416</v>
      </c>
      <c r="B394" s="36" t="s">
        <v>87</v>
      </c>
      <c r="C394" s="469">
        <v>9</v>
      </c>
      <c r="D394" s="470" t="s">
        <v>494</v>
      </c>
      <c r="E394" s="37">
        <f t="shared" si="27"/>
        <v>0</v>
      </c>
      <c r="F394" s="470" t="s">
        <v>494</v>
      </c>
      <c r="G394" s="37">
        <f t="shared" si="28"/>
        <v>0</v>
      </c>
      <c r="H394" s="37" t="s">
        <v>494</v>
      </c>
      <c r="I394" s="37">
        <f t="shared" si="29"/>
        <v>0</v>
      </c>
      <c r="J394" s="37" t="s">
        <v>347</v>
      </c>
      <c r="K394" s="37">
        <f t="shared" si="30"/>
        <v>0</v>
      </c>
      <c r="L394" s="37" t="s">
        <v>494</v>
      </c>
      <c r="M394" s="37">
        <f t="shared" si="31"/>
        <v>0</v>
      </c>
      <c r="N394" s="470" t="s">
        <v>347</v>
      </c>
      <c r="O394" s="470">
        <f t="shared" si="32"/>
        <v>0</v>
      </c>
      <c r="P394" s="37" t="str">
        <f t="shared" si="33"/>
        <v>None</v>
      </c>
      <c r="Q394" s="470" t="s">
        <v>347</v>
      </c>
      <c r="R394" s="37">
        <f t="shared" si="34"/>
        <v>0</v>
      </c>
      <c r="S394" s="470" t="s">
        <v>347</v>
      </c>
      <c r="T394" s="470">
        <f t="shared" si="35"/>
        <v>0</v>
      </c>
      <c r="U394" s="470" t="s">
        <v>347</v>
      </c>
      <c r="V394" s="111">
        <f>IF(OR(F394="none",G394="V"),0,VLOOKUP(F394,'Purchased Boons'!$AR$4:$AS$27,2,FALSE))</f>
        <v>0</v>
      </c>
      <c r="W394" s="39" t="s">
        <v>1764</v>
      </c>
      <c r="X394" s="37" t="s">
        <v>1764</v>
      </c>
      <c r="Y394" s="37" t="s">
        <v>5</v>
      </c>
      <c r="Z394" s="111">
        <v>104</v>
      </c>
      <c r="AG394" s="24"/>
      <c r="AH394" s="24"/>
    </row>
    <row r="395" spans="1:34" x14ac:dyDescent="0.25">
      <c r="A395" s="39" t="s">
        <v>2426</v>
      </c>
      <c r="B395" s="36" t="s">
        <v>87</v>
      </c>
      <c r="C395" s="469">
        <v>9</v>
      </c>
      <c r="D395" s="470" t="s">
        <v>494</v>
      </c>
      <c r="E395" s="37">
        <f t="shared" si="27"/>
        <v>0</v>
      </c>
      <c r="F395" s="470" t="s">
        <v>494</v>
      </c>
      <c r="G395" s="37">
        <f t="shared" si="28"/>
        <v>0</v>
      </c>
      <c r="H395" s="37" t="s">
        <v>494</v>
      </c>
      <c r="I395" s="37">
        <f t="shared" si="29"/>
        <v>0</v>
      </c>
      <c r="J395" s="37" t="s">
        <v>347</v>
      </c>
      <c r="K395" s="37">
        <f t="shared" si="30"/>
        <v>0</v>
      </c>
      <c r="L395" s="37" t="s">
        <v>494</v>
      </c>
      <c r="M395" s="37">
        <f t="shared" si="31"/>
        <v>0</v>
      </c>
      <c r="N395" s="470" t="s">
        <v>347</v>
      </c>
      <c r="O395" s="470">
        <f t="shared" si="32"/>
        <v>0</v>
      </c>
      <c r="P395" s="37" t="str">
        <f t="shared" si="33"/>
        <v>None</v>
      </c>
      <c r="Q395" s="470" t="s">
        <v>347</v>
      </c>
      <c r="R395" s="37">
        <f t="shared" si="34"/>
        <v>0</v>
      </c>
      <c r="S395" s="470" t="s">
        <v>347</v>
      </c>
      <c r="T395" s="470">
        <f t="shared" si="35"/>
        <v>0</v>
      </c>
      <c r="U395" s="470" t="s">
        <v>347</v>
      </c>
      <c r="V395" s="111">
        <f>IF(OR(F395="none",G395="V"),0,VLOOKUP(F395,'Purchased Boons'!$AR$4:$AS$27,2,FALSE))</f>
        <v>0</v>
      </c>
      <c r="W395" s="39" t="s">
        <v>1764</v>
      </c>
      <c r="X395" s="37" t="s">
        <v>1764</v>
      </c>
      <c r="Y395" s="37" t="s">
        <v>5</v>
      </c>
      <c r="Z395" s="111">
        <v>104</v>
      </c>
      <c r="AG395" s="24"/>
      <c r="AH395" s="24"/>
    </row>
    <row r="396" spans="1:34" x14ac:dyDescent="0.25">
      <c r="A396" s="39" t="s">
        <v>2436</v>
      </c>
      <c r="B396" s="36" t="s">
        <v>87</v>
      </c>
      <c r="C396" s="469">
        <v>9</v>
      </c>
      <c r="D396" s="470" t="s">
        <v>494</v>
      </c>
      <c r="E396" s="37">
        <f t="shared" si="27"/>
        <v>0</v>
      </c>
      <c r="F396" s="470" t="s">
        <v>494</v>
      </c>
      <c r="G396" s="37">
        <f t="shared" si="28"/>
        <v>0</v>
      </c>
      <c r="H396" s="37" t="s">
        <v>494</v>
      </c>
      <c r="I396" s="37">
        <f t="shared" si="29"/>
        <v>0</v>
      </c>
      <c r="J396" s="37" t="s">
        <v>347</v>
      </c>
      <c r="K396" s="37">
        <f t="shared" si="30"/>
        <v>0</v>
      </c>
      <c r="L396" s="37" t="s">
        <v>494</v>
      </c>
      <c r="M396" s="37">
        <f t="shared" si="31"/>
        <v>0</v>
      </c>
      <c r="N396" s="470" t="s">
        <v>347</v>
      </c>
      <c r="O396" s="470">
        <f t="shared" si="32"/>
        <v>0</v>
      </c>
      <c r="P396" s="37" t="str">
        <f t="shared" si="33"/>
        <v>None</v>
      </c>
      <c r="Q396" s="470" t="s">
        <v>347</v>
      </c>
      <c r="R396" s="37">
        <f t="shared" si="34"/>
        <v>0</v>
      </c>
      <c r="S396" s="470" t="s">
        <v>347</v>
      </c>
      <c r="T396" s="470">
        <f t="shared" si="35"/>
        <v>0</v>
      </c>
      <c r="U396" s="470" t="s">
        <v>347</v>
      </c>
      <c r="V396" s="111">
        <f>IF(OR(F396="none",G396="V"),0,VLOOKUP(F396,'Purchased Boons'!$AR$4:$AS$27,2,FALSE))</f>
        <v>0</v>
      </c>
      <c r="W396" s="39" t="s">
        <v>1764</v>
      </c>
      <c r="X396" s="37" t="s">
        <v>1764</v>
      </c>
      <c r="Y396" s="37" t="s">
        <v>5</v>
      </c>
      <c r="Z396" s="111">
        <v>104</v>
      </c>
      <c r="AG396" s="24"/>
      <c r="AH396" s="24"/>
    </row>
    <row r="397" spans="1:34" x14ac:dyDescent="0.25">
      <c r="A397" s="39" t="s">
        <v>2446</v>
      </c>
      <c r="B397" s="36" t="s">
        <v>87</v>
      </c>
      <c r="C397" s="469">
        <v>9</v>
      </c>
      <c r="D397" s="470" t="s">
        <v>494</v>
      </c>
      <c r="E397" s="37">
        <f t="shared" si="27"/>
        <v>0</v>
      </c>
      <c r="F397" s="470" t="s">
        <v>494</v>
      </c>
      <c r="G397" s="37">
        <f t="shared" si="28"/>
        <v>0</v>
      </c>
      <c r="H397" s="37" t="s">
        <v>494</v>
      </c>
      <c r="I397" s="37">
        <f t="shared" si="29"/>
        <v>0</v>
      </c>
      <c r="J397" s="37" t="s">
        <v>347</v>
      </c>
      <c r="K397" s="37">
        <f t="shared" si="30"/>
        <v>0</v>
      </c>
      <c r="L397" s="37" t="s">
        <v>494</v>
      </c>
      <c r="M397" s="37">
        <f t="shared" si="31"/>
        <v>0</v>
      </c>
      <c r="N397" s="470" t="s">
        <v>347</v>
      </c>
      <c r="O397" s="470">
        <f t="shared" si="32"/>
        <v>0</v>
      </c>
      <c r="P397" s="37" t="str">
        <f t="shared" si="33"/>
        <v>None</v>
      </c>
      <c r="Q397" s="470" t="s">
        <v>347</v>
      </c>
      <c r="R397" s="37">
        <f t="shared" si="34"/>
        <v>0</v>
      </c>
      <c r="S397" s="470" t="s">
        <v>347</v>
      </c>
      <c r="T397" s="470">
        <f t="shared" si="35"/>
        <v>0</v>
      </c>
      <c r="U397" s="470" t="s">
        <v>347</v>
      </c>
      <c r="V397" s="111">
        <f>IF(OR(F397="none",G397="V"),0,VLOOKUP(F397,'Purchased Boons'!$AR$4:$AS$27,2,FALSE))</f>
        <v>0</v>
      </c>
      <c r="W397" s="39" t="s">
        <v>1764</v>
      </c>
      <c r="X397" s="37" t="s">
        <v>1764</v>
      </c>
      <c r="Y397" s="37" t="s">
        <v>5</v>
      </c>
      <c r="Z397" s="111">
        <v>104</v>
      </c>
      <c r="AG397" s="24"/>
      <c r="AH397" s="24"/>
    </row>
    <row r="398" spans="1:34" x14ac:dyDescent="0.25">
      <c r="A398" s="39" t="s">
        <v>2606</v>
      </c>
      <c r="B398" s="36" t="s">
        <v>87</v>
      </c>
      <c r="C398" s="469">
        <v>9</v>
      </c>
      <c r="D398" s="470" t="s">
        <v>494</v>
      </c>
      <c r="E398" s="37">
        <f t="shared" si="27"/>
        <v>0</v>
      </c>
      <c r="F398" s="470" t="s">
        <v>494</v>
      </c>
      <c r="G398" s="37">
        <f t="shared" si="28"/>
        <v>0</v>
      </c>
      <c r="H398" s="37" t="s">
        <v>494</v>
      </c>
      <c r="I398" s="37">
        <f t="shared" si="29"/>
        <v>0</v>
      </c>
      <c r="J398" s="37" t="s">
        <v>347</v>
      </c>
      <c r="K398" s="37">
        <f t="shared" si="30"/>
        <v>0</v>
      </c>
      <c r="L398" s="37" t="s">
        <v>494</v>
      </c>
      <c r="M398" s="37">
        <f t="shared" si="31"/>
        <v>0</v>
      </c>
      <c r="N398" s="470" t="s">
        <v>347</v>
      </c>
      <c r="O398" s="470">
        <f t="shared" si="32"/>
        <v>0</v>
      </c>
      <c r="P398" s="37" t="str">
        <f t="shared" si="33"/>
        <v>None</v>
      </c>
      <c r="Q398" s="470" t="s">
        <v>347</v>
      </c>
      <c r="R398" s="37">
        <f t="shared" si="34"/>
        <v>0</v>
      </c>
      <c r="S398" s="470" t="s">
        <v>347</v>
      </c>
      <c r="T398" s="470">
        <f t="shared" si="35"/>
        <v>0</v>
      </c>
      <c r="U398" s="470" t="s">
        <v>347</v>
      </c>
      <c r="V398" s="111">
        <f>IF(OR(F398="none",G398="V"),0,VLOOKUP(F398,'Purchased Boons'!$AR$4:$AS$27,2,FALSE))</f>
        <v>0</v>
      </c>
      <c r="W398" s="39" t="s">
        <v>1764</v>
      </c>
      <c r="X398" s="37" t="s">
        <v>1764</v>
      </c>
      <c r="Y398" s="37" t="s">
        <v>5</v>
      </c>
      <c r="Z398" s="111">
        <v>104</v>
      </c>
      <c r="AG398" s="24"/>
      <c r="AH398" s="24"/>
    </row>
    <row r="399" spans="1:34" x14ac:dyDescent="0.25">
      <c r="A399" s="39" t="s">
        <v>2616</v>
      </c>
      <c r="B399" s="36" t="s">
        <v>87</v>
      </c>
      <c r="C399" s="469">
        <v>9</v>
      </c>
      <c r="D399" s="470" t="s">
        <v>494</v>
      </c>
      <c r="E399" s="37">
        <f t="shared" si="27"/>
        <v>0</v>
      </c>
      <c r="F399" s="470" t="s">
        <v>494</v>
      </c>
      <c r="G399" s="37">
        <f t="shared" si="28"/>
        <v>0</v>
      </c>
      <c r="H399" s="37" t="s">
        <v>494</v>
      </c>
      <c r="I399" s="37">
        <f t="shared" si="29"/>
        <v>0</v>
      </c>
      <c r="J399" s="37" t="s">
        <v>347</v>
      </c>
      <c r="K399" s="37">
        <f t="shared" si="30"/>
        <v>0</v>
      </c>
      <c r="L399" s="37" t="s">
        <v>494</v>
      </c>
      <c r="M399" s="37">
        <f t="shared" si="31"/>
        <v>0</v>
      </c>
      <c r="N399" s="470" t="s">
        <v>347</v>
      </c>
      <c r="O399" s="470">
        <f t="shared" si="32"/>
        <v>0</v>
      </c>
      <c r="P399" s="37" t="str">
        <f t="shared" si="33"/>
        <v>None</v>
      </c>
      <c r="Q399" s="470" t="s">
        <v>347</v>
      </c>
      <c r="R399" s="37">
        <f t="shared" si="34"/>
        <v>0</v>
      </c>
      <c r="S399" s="470" t="s">
        <v>347</v>
      </c>
      <c r="T399" s="470">
        <f t="shared" si="35"/>
        <v>0</v>
      </c>
      <c r="U399" s="470" t="s">
        <v>347</v>
      </c>
      <c r="V399" s="111">
        <f>IF(OR(F399="none",G399="V"),0,VLOOKUP(F399,'Purchased Boons'!$AR$4:$AS$27,2,FALSE))</f>
        <v>0</v>
      </c>
      <c r="W399" s="39" t="s">
        <v>1764</v>
      </c>
      <c r="X399" s="37" t="s">
        <v>1764</v>
      </c>
      <c r="Y399" s="37" t="s">
        <v>5</v>
      </c>
      <c r="Z399" s="111">
        <v>104</v>
      </c>
      <c r="AG399" s="24"/>
      <c r="AH399" s="24"/>
    </row>
    <row r="400" spans="1:34" x14ac:dyDescent="0.25">
      <c r="A400" s="39" t="s">
        <v>2456</v>
      </c>
      <c r="B400" s="36" t="s">
        <v>87</v>
      </c>
      <c r="C400" s="469">
        <v>9</v>
      </c>
      <c r="D400" s="470" t="s">
        <v>494</v>
      </c>
      <c r="E400" s="37">
        <f t="shared" si="27"/>
        <v>0</v>
      </c>
      <c r="F400" s="470" t="s">
        <v>494</v>
      </c>
      <c r="G400" s="37">
        <f t="shared" si="28"/>
        <v>0</v>
      </c>
      <c r="H400" s="37" t="s">
        <v>494</v>
      </c>
      <c r="I400" s="37">
        <f t="shared" si="29"/>
        <v>0</v>
      </c>
      <c r="J400" s="37" t="s">
        <v>347</v>
      </c>
      <c r="K400" s="37">
        <f t="shared" si="30"/>
        <v>0</v>
      </c>
      <c r="L400" s="37" t="s">
        <v>494</v>
      </c>
      <c r="M400" s="37">
        <f t="shared" si="31"/>
        <v>0</v>
      </c>
      <c r="N400" s="470" t="s">
        <v>347</v>
      </c>
      <c r="O400" s="470">
        <f t="shared" si="32"/>
        <v>0</v>
      </c>
      <c r="P400" s="37" t="str">
        <f t="shared" si="33"/>
        <v>None</v>
      </c>
      <c r="Q400" s="470" t="s">
        <v>347</v>
      </c>
      <c r="R400" s="37">
        <f t="shared" si="34"/>
        <v>0</v>
      </c>
      <c r="S400" s="470" t="s">
        <v>347</v>
      </c>
      <c r="T400" s="470">
        <f t="shared" si="35"/>
        <v>0</v>
      </c>
      <c r="U400" s="470" t="s">
        <v>347</v>
      </c>
      <c r="V400" s="111">
        <f>IF(OR(F400="none",G400="V"),0,VLOOKUP(F400,'Purchased Boons'!$AR$4:$AS$27,2,FALSE))</f>
        <v>0</v>
      </c>
      <c r="W400" s="39" t="s">
        <v>1764</v>
      </c>
      <c r="X400" s="37" t="s">
        <v>1764</v>
      </c>
      <c r="Y400" s="37" t="s">
        <v>5</v>
      </c>
      <c r="Z400" s="111">
        <v>104</v>
      </c>
      <c r="AG400" s="24"/>
      <c r="AH400" s="24"/>
    </row>
    <row r="401" spans="1:34" x14ac:dyDescent="0.25">
      <c r="A401" s="39" t="s">
        <v>2466</v>
      </c>
      <c r="B401" s="36" t="s">
        <v>87</v>
      </c>
      <c r="C401" s="469">
        <v>9</v>
      </c>
      <c r="D401" s="470" t="s">
        <v>494</v>
      </c>
      <c r="E401" s="37">
        <f t="shared" si="27"/>
        <v>0</v>
      </c>
      <c r="F401" s="470" t="s">
        <v>494</v>
      </c>
      <c r="G401" s="37">
        <f t="shared" si="28"/>
        <v>0</v>
      </c>
      <c r="H401" s="37" t="s">
        <v>494</v>
      </c>
      <c r="I401" s="37">
        <f t="shared" si="29"/>
        <v>0</v>
      </c>
      <c r="J401" s="37" t="s">
        <v>347</v>
      </c>
      <c r="K401" s="37">
        <f t="shared" si="30"/>
        <v>0</v>
      </c>
      <c r="L401" s="37" t="s">
        <v>494</v>
      </c>
      <c r="M401" s="37">
        <f t="shared" si="31"/>
        <v>0</v>
      </c>
      <c r="N401" s="470" t="s">
        <v>347</v>
      </c>
      <c r="O401" s="470">
        <f t="shared" si="32"/>
        <v>0</v>
      </c>
      <c r="P401" s="37" t="str">
        <f t="shared" si="33"/>
        <v>None</v>
      </c>
      <c r="Q401" s="470" t="s">
        <v>347</v>
      </c>
      <c r="R401" s="37">
        <f t="shared" si="34"/>
        <v>0</v>
      </c>
      <c r="S401" s="470" t="s">
        <v>347</v>
      </c>
      <c r="T401" s="470">
        <f t="shared" si="35"/>
        <v>0</v>
      </c>
      <c r="U401" s="470" t="s">
        <v>347</v>
      </c>
      <c r="V401" s="111">
        <f>IF(OR(F401="none",G401="V"),0,VLOOKUP(F401,'Purchased Boons'!$AR$4:$AS$27,2,FALSE))</f>
        <v>0</v>
      </c>
      <c r="W401" s="39" t="s">
        <v>1764</v>
      </c>
      <c r="X401" s="37" t="s">
        <v>1764</v>
      </c>
      <c r="Y401" s="37" t="s">
        <v>5</v>
      </c>
      <c r="Z401" s="111">
        <v>104</v>
      </c>
      <c r="AG401" s="24"/>
      <c r="AH401" s="24"/>
    </row>
    <row r="402" spans="1:34" x14ac:dyDescent="0.25">
      <c r="A402" s="39" t="s">
        <v>2476</v>
      </c>
      <c r="B402" s="36" t="s">
        <v>87</v>
      </c>
      <c r="C402" s="469">
        <v>9</v>
      </c>
      <c r="D402" s="470" t="s">
        <v>494</v>
      </c>
      <c r="E402" s="37">
        <f t="shared" si="27"/>
        <v>0</v>
      </c>
      <c r="F402" s="470" t="s">
        <v>494</v>
      </c>
      <c r="G402" s="37">
        <f t="shared" si="28"/>
        <v>0</v>
      </c>
      <c r="H402" s="37" t="s">
        <v>494</v>
      </c>
      <c r="I402" s="37">
        <f t="shared" si="29"/>
        <v>0</v>
      </c>
      <c r="J402" s="37" t="s">
        <v>347</v>
      </c>
      <c r="K402" s="37">
        <f t="shared" si="30"/>
        <v>0</v>
      </c>
      <c r="L402" s="37" t="s">
        <v>494</v>
      </c>
      <c r="M402" s="37">
        <f t="shared" si="31"/>
        <v>0</v>
      </c>
      <c r="N402" s="470" t="s">
        <v>347</v>
      </c>
      <c r="O402" s="470">
        <f t="shared" si="32"/>
        <v>0</v>
      </c>
      <c r="P402" s="37" t="str">
        <f t="shared" si="33"/>
        <v>None</v>
      </c>
      <c r="Q402" s="470" t="s">
        <v>347</v>
      </c>
      <c r="R402" s="37">
        <f t="shared" si="34"/>
        <v>0</v>
      </c>
      <c r="S402" s="470" t="s">
        <v>347</v>
      </c>
      <c r="T402" s="470">
        <f t="shared" si="35"/>
        <v>0</v>
      </c>
      <c r="U402" s="470" t="s">
        <v>347</v>
      </c>
      <c r="V402" s="111">
        <f>IF(OR(F402="none",G402="V"),0,VLOOKUP(F402,'Purchased Boons'!$AR$4:$AS$27,2,FALSE))</f>
        <v>0</v>
      </c>
      <c r="W402" s="39" t="s">
        <v>1764</v>
      </c>
      <c r="X402" s="37" t="s">
        <v>1764</v>
      </c>
      <c r="Y402" s="37" t="s">
        <v>5</v>
      </c>
      <c r="Z402" s="111">
        <v>104</v>
      </c>
      <c r="AG402" s="24"/>
      <c r="AH402" s="24"/>
    </row>
    <row r="403" spans="1:34" x14ac:dyDescent="0.25">
      <c r="A403" s="39" t="s">
        <v>2486</v>
      </c>
      <c r="B403" s="36" t="s">
        <v>87</v>
      </c>
      <c r="C403" s="469">
        <v>9</v>
      </c>
      <c r="D403" s="470" t="s">
        <v>494</v>
      </c>
      <c r="E403" s="37">
        <f t="shared" si="27"/>
        <v>0</v>
      </c>
      <c r="F403" s="470" t="s">
        <v>494</v>
      </c>
      <c r="G403" s="37">
        <f t="shared" si="28"/>
        <v>0</v>
      </c>
      <c r="H403" s="37" t="s">
        <v>494</v>
      </c>
      <c r="I403" s="37">
        <f t="shared" si="29"/>
        <v>0</v>
      </c>
      <c r="J403" s="37" t="s">
        <v>347</v>
      </c>
      <c r="K403" s="37">
        <f t="shared" si="30"/>
        <v>0</v>
      </c>
      <c r="L403" s="37" t="s">
        <v>494</v>
      </c>
      <c r="M403" s="37">
        <f t="shared" si="31"/>
        <v>0</v>
      </c>
      <c r="N403" s="470" t="s">
        <v>347</v>
      </c>
      <c r="O403" s="470">
        <f t="shared" si="32"/>
        <v>0</v>
      </c>
      <c r="P403" s="37" t="str">
        <f t="shared" si="33"/>
        <v>None</v>
      </c>
      <c r="Q403" s="470" t="s">
        <v>347</v>
      </c>
      <c r="R403" s="37">
        <f t="shared" si="34"/>
        <v>0</v>
      </c>
      <c r="S403" s="470" t="s">
        <v>347</v>
      </c>
      <c r="T403" s="470">
        <f t="shared" si="35"/>
        <v>0</v>
      </c>
      <c r="U403" s="470" t="s">
        <v>347</v>
      </c>
      <c r="V403" s="111">
        <f>IF(OR(F403="none",G403="V"),0,VLOOKUP(F403,'Purchased Boons'!$AR$4:$AS$27,2,FALSE))</f>
        <v>0</v>
      </c>
      <c r="W403" s="39" t="s">
        <v>1764</v>
      </c>
      <c r="X403" s="37" t="s">
        <v>1764</v>
      </c>
      <c r="Y403" s="37" t="s">
        <v>5</v>
      </c>
      <c r="Z403" s="111">
        <v>104</v>
      </c>
      <c r="AG403" s="24"/>
      <c r="AH403" s="24"/>
    </row>
    <row r="404" spans="1:34" x14ac:dyDescent="0.25">
      <c r="A404" s="39" t="s">
        <v>2496</v>
      </c>
      <c r="B404" s="36" t="s">
        <v>87</v>
      </c>
      <c r="C404" s="469">
        <v>9</v>
      </c>
      <c r="D404" s="470" t="s">
        <v>494</v>
      </c>
      <c r="E404" s="37">
        <f t="shared" si="27"/>
        <v>0</v>
      </c>
      <c r="F404" s="470" t="s">
        <v>494</v>
      </c>
      <c r="G404" s="37">
        <f t="shared" si="28"/>
        <v>0</v>
      </c>
      <c r="H404" s="37" t="s">
        <v>494</v>
      </c>
      <c r="I404" s="37">
        <f t="shared" si="29"/>
        <v>0</v>
      </c>
      <c r="J404" s="37" t="s">
        <v>347</v>
      </c>
      <c r="K404" s="37">
        <f t="shared" si="30"/>
        <v>0</v>
      </c>
      <c r="L404" s="37" t="s">
        <v>494</v>
      </c>
      <c r="M404" s="37">
        <f t="shared" si="31"/>
        <v>0</v>
      </c>
      <c r="N404" s="470" t="s">
        <v>347</v>
      </c>
      <c r="O404" s="470">
        <f t="shared" si="32"/>
        <v>0</v>
      </c>
      <c r="P404" s="37" t="str">
        <f t="shared" si="33"/>
        <v>None</v>
      </c>
      <c r="Q404" s="470" t="s">
        <v>347</v>
      </c>
      <c r="R404" s="37">
        <f t="shared" si="34"/>
        <v>0</v>
      </c>
      <c r="S404" s="470" t="s">
        <v>347</v>
      </c>
      <c r="T404" s="470">
        <f t="shared" si="35"/>
        <v>0</v>
      </c>
      <c r="U404" s="470" t="s">
        <v>347</v>
      </c>
      <c r="V404" s="111">
        <f>IF(OR(F404="none",G404="V"),0,VLOOKUP(F404,'Purchased Boons'!$AR$4:$AS$27,2,FALSE))</f>
        <v>0</v>
      </c>
      <c r="W404" s="39" t="s">
        <v>1764</v>
      </c>
      <c r="X404" s="37" t="s">
        <v>1764</v>
      </c>
      <c r="Y404" s="37" t="s">
        <v>5</v>
      </c>
      <c r="Z404" s="111">
        <v>104</v>
      </c>
      <c r="AG404" s="24"/>
      <c r="AH404" s="24"/>
    </row>
    <row r="405" spans="1:34" x14ac:dyDescent="0.25">
      <c r="A405" s="39" t="s">
        <v>2506</v>
      </c>
      <c r="B405" s="36" t="s">
        <v>87</v>
      </c>
      <c r="C405" s="469">
        <v>9</v>
      </c>
      <c r="D405" s="470" t="s">
        <v>494</v>
      </c>
      <c r="E405" s="37">
        <f t="shared" si="27"/>
        <v>0</v>
      </c>
      <c r="F405" s="470" t="s">
        <v>494</v>
      </c>
      <c r="G405" s="37">
        <f t="shared" si="28"/>
        <v>0</v>
      </c>
      <c r="H405" s="37" t="s">
        <v>494</v>
      </c>
      <c r="I405" s="37">
        <f t="shared" si="29"/>
        <v>0</v>
      </c>
      <c r="J405" s="37" t="s">
        <v>347</v>
      </c>
      <c r="K405" s="37">
        <f t="shared" si="30"/>
        <v>0</v>
      </c>
      <c r="L405" s="37" t="s">
        <v>494</v>
      </c>
      <c r="M405" s="37">
        <f t="shared" si="31"/>
        <v>0</v>
      </c>
      <c r="N405" s="470" t="s">
        <v>347</v>
      </c>
      <c r="O405" s="470">
        <f t="shared" si="32"/>
        <v>0</v>
      </c>
      <c r="P405" s="37" t="str">
        <f t="shared" si="33"/>
        <v>None</v>
      </c>
      <c r="Q405" s="470" t="s">
        <v>347</v>
      </c>
      <c r="R405" s="37">
        <f t="shared" si="34"/>
        <v>0</v>
      </c>
      <c r="S405" s="470" t="s">
        <v>347</v>
      </c>
      <c r="T405" s="470">
        <f t="shared" si="35"/>
        <v>0</v>
      </c>
      <c r="U405" s="470" t="s">
        <v>347</v>
      </c>
      <c r="V405" s="111">
        <f>IF(OR(F405="none",G405="V"),0,VLOOKUP(F405,'Purchased Boons'!$AR$4:$AS$27,2,FALSE))</f>
        <v>0</v>
      </c>
      <c r="W405" s="39" t="s">
        <v>1764</v>
      </c>
      <c r="X405" s="37" t="s">
        <v>1764</v>
      </c>
      <c r="Y405" s="37" t="s">
        <v>5</v>
      </c>
      <c r="Z405" s="111">
        <v>104</v>
      </c>
      <c r="AG405" s="24"/>
      <c r="AH405" s="24"/>
    </row>
    <row r="406" spans="1:34" x14ac:dyDescent="0.25">
      <c r="A406" s="39" t="s">
        <v>2516</v>
      </c>
      <c r="B406" s="36" t="s">
        <v>87</v>
      </c>
      <c r="C406" s="469">
        <v>9</v>
      </c>
      <c r="D406" s="470" t="s">
        <v>494</v>
      </c>
      <c r="E406" s="37">
        <f t="shared" si="27"/>
        <v>0</v>
      </c>
      <c r="F406" s="470" t="s">
        <v>494</v>
      </c>
      <c r="G406" s="37">
        <f t="shared" si="28"/>
        <v>0</v>
      </c>
      <c r="H406" s="37" t="s">
        <v>494</v>
      </c>
      <c r="I406" s="37">
        <f t="shared" si="29"/>
        <v>0</v>
      </c>
      <c r="J406" s="37" t="s">
        <v>347</v>
      </c>
      <c r="K406" s="37">
        <f t="shared" si="30"/>
        <v>0</v>
      </c>
      <c r="L406" s="37" t="s">
        <v>494</v>
      </c>
      <c r="M406" s="37">
        <f t="shared" si="31"/>
        <v>0</v>
      </c>
      <c r="N406" s="470" t="s">
        <v>347</v>
      </c>
      <c r="O406" s="470">
        <f t="shared" si="32"/>
        <v>0</v>
      </c>
      <c r="P406" s="37" t="str">
        <f t="shared" si="33"/>
        <v>None</v>
      </c>
      <c r="Q406" s="470" t="s">
        <v>347</v>
      </c>
      <c r="R406" s="37">
        <f t="shared" si="34"/>
        <v>0</v>
      </c>
      <c r="S406" s="470" t="s">
        <v>347</v>
      </c>
      <c r="T406" s="470">
        <f t="shared" si="35"/>
        <v>0</v>
      </c>
      <c r="U406" s="470" t="s">
        <v>347</v>
      </c>
      <c r="V406" s="111">
        <f>IF(OR(F406="none",G406="V"),0,VLOOKUP(F406,'Purchased Boons'!$AR$4:$AS$27,2,FALSE))</f>
        <v>0</v>
      </c>
      <c r="W406" s="39" t="s">
        <v>1764</v>
      </c>
      <c r="X406" s="37" t="s">
        <v>1764</v>
      </c>
      <c r="Y406" s="37" t="s">
        <v>5</v>
      </c>
      <c r="Z406" s="111">
        <v>104</v>
      </c>
      <c r="AG406" s="24"/>
      <c r="AH406" s="24"/>
    </row>
    <row r="407" spans="1:34" x14ac:dyDescent="0.25">
      <c r="A407" s="39" t="s">
        <v>2526</v>
      </c>
      <c r="B407" s="36" t="s">
        <v>87</v>
      </c>
      <c r="C407" s="469">
        <v>9</v>
      </c>
      <c r="D407" s="470" t="s">
        <v>494</v>
      </c>
      <c r="E407" s="37">
        <f t="shared" si="27"/>
        <v>0</v>
      </c>
      <c r="F407" s="470" t="s">
        <v>494</v>
      </c>
      <c r="G407" s="37">
        <f t="shared" si="28"/>
        <v>0</v>
      </c>
      <c r="H407" s="37" t="s">
        <v>494</v>
      </c>
      <c r="I407" s="37">
        <f t="shared" si="29"/>
        <v>0</v>
      </c>
      <c r="J407" s="37" t="s">
        <v>347</v>
      </c>
      <c r="K407" s="37">
        <f t="shared" si="30"/>
        <v>0</v>
      </c>
      <c r="L407" s="37" t="s">
        <v>494</v>
      </c>
      <c r="M407" s="37">
        <f t="shared" si="31"/>
        <v>0</v>
      </c>
      <c r="N407" s="470" t="s">
        <v>347</v>
      </c>
      <c r="O407" s="470">
        <f t="shared" si="32"/>
        <v>0</v>
      </c>
      <c r="P407" s="37" t="str">
        <f t="shared" si="33"/>
        <v>None</v>
      </c>
      <c r="Q407" s="470" t="s">
        <v>347</v>
      </c>
      <c r="R407" s="37">
        <f t="shared" si="34"/>
        <v>0</v>
      </c>
      <c r="S407" s="470" t="s">
        <v>347</v>
      </c>
      <c r="T407" s="470">
        <f t="shared" si="35"/>
        <v>0</v>
      </c>
      <c r="U407" s="470" t="s">
        <v>347</v>
      </c>
      <c r="V407" s="111">
        <f>IF(OR(F407="none",G407="V"),0,VLOOKUP(F407,'Purchased Boons'!$AR$4:$AS$27,2,FALSE))</f>
        <v>0</v>
      </c>
      <c r="W407" s="39" t="s">
        <v>1764</v>
      </c>
      <c r="X407" s="37" t="s">
        <v>1764</v>
      </c>
      <c r="Y407" s="37" t="s">
        <v>5</v>
      </c>
      <c r="Z407" s="111">
        <v>104</v>
      </c>
      <c r="AG407" s="24"/>
      <c r="AH407" s="24"/>
    </row>
    <row r="408" spans="1:34" x14ac:dyDescent="0.25">
      <c r="A408" s="39" t="s">
        <v>2536</v>
      </c>
      <c r="B408" s="36" t="s">
        <v>87</v>
      </c>
      <c r="C408" s="469">
        <v>9</v>
      </c>
      <c r="D408" s="470" t="s">
        <v>494</v>
      </c>
      <c r="E408" s="37">
        <f t="shared" si="27"/>
        <v>0</v>
      </c>
      <c r="F408" s="470" t="s">
        <v>494</v>
      </c>
      <c r="G408" s="37">
        <f t="shared" si="28"/>
        <v>0</v>
      </c>
      <c r="H408" s="37" t="s">
        <v>494</v>
      </c>
      <c r="I408" s="37">
        <f t="shared" si="29"/>
        <v>0</v>
      </c>
      <c r="J408" s="37" t="s">
        <v>347</v>
      </c>
      <c r="K408" s="37">
        <f t="shared" si="30"/>
        <v>0</v>
      </c>
      <c r="L408" s="37" t="s">
        <v>494</v>
      </c>
      <c r="M408" s="37">
        <f t="shared" si="31"/>
        <v>0</v>
      </c>
      <c r="N408" s="470" t="s">
        <v>347</v>
      </c>
      <c r="O408" s="470">
        <f t="shared" si="32"/>
        <v>0</v>
      </c>
      <c r="P408" s="37" t="str">
        <f t="shared" si="33"/>
        <v>None</v>
      </c>
      <c r="Q408" s="470" t="s">
        <v>347</v>
      </c>
      <c r="R408" s="37">
        <f t="shared" si="34"/>
        <v>0</v>
      </c>
      <c r="S408" s="470" t="s">
        <v>347</v>
      </c>
      <c r="T408" s="470">
        <f t="shared" si="35"/>
        <v>0</v>
      </c>
      <c r="U408" s="470" t="s">
        <v>347</v>
      </c>
      <c r="V408" s="111">
        <f>IF(OR(F408="none",G408="V"),0,VLOOKUP(F408,'Purchased Boons'!$AR$4:$AS$27,2,FALSE))</f>
        <v>0</v>
      </c>
      <c r="W408" s="39" t="s">
        <v>1764</v>
      </c>
      <c r="X408" s="37" t="s">
        <v>1764</v>
      </c>
      <c r="Y408" s="37" t="s">
        <v>5</v>
      </c>
      <c r="Z408" s="111">
        <v>104</v>
      </c>
      <c r="AG408" s="24"/>
      <c r="AH408" s="24"/>
    </row>
    <row r="409" spans="1:34" x14ac:dyDescent="0.25">
      <c r="A409" s="39" t="s">
        <v>2546</v>
      </c>
      <c r="B409" s="36" t="s">
        <v>87</v>
      </c>
      <c r="C409" s="469">
        <v>9</v>
      </c>
      <c r="D409" s="470" t="s">
        <v>494</v>
      </c>
      <c r="E409" s="37">
        <f t="shared" si="27"/>
        <v>0</v>
      </c>
      <c r="F409" s="470" t="s">
        <v>494</v>
      </c>
      <c r="G409" s="37">
        <f t="shared" si="28"/>
        <v>0</v>
      </c>
      <c r="H409" s="37" t="s">
        <v>494</v>
      </c>
      <c r="I409" s="37">
        <f t="shared" si="29"/>
        <v>0</v>
      </c>
      <c r="J409" s="37" t="s">
        <v>347</v>
      </c>
      <c r="K409" s="37">
        <f t="shared" si="30"/>
        <v>0</v>
      </c>
      <c r="L409" s="37" t="s">
        <v>494</v>
      </c>
      <c r="M409" s="37">
        <f t="shared" si="31"/>
        <v>0</v>
      </c>
      <c r="N409" s="470" t="s">
        <v>347</v>
      </c>
      <c r="O409" s="470">
        <f t="shared" si="32"/>
        <v>0</v>
      </c>
      <c r="P409" s="37" t="str">
        <f t="shared" si="33"/>
        <v>None</v>
      </c>
      <c r="Q409" s="470" t="s">
        <v>347</v>
      </c>
      <c r="R409" s="37">
        <f t="shared" si="34"/>
        <v>0</v>
      </c>
      <c r="S409" s="470" t="s">
        <v>347</v>
      </c>
      <c r="T409" s="470">
        <f t="shared" si="35"/>
        <v>0</v>
      </c>
      <c r="U409" s="470" t="s">
        <v>347</v>
      </c>
      <c r="V409" s="111">
        <f>IF(OR(F409="none",G409="V"),0,VLOOKUP(F409,'Purchased Boons'!$AR$4:$AS$27,2,FALSE))</f>
        <v>0</v>
      </c>
      <c r="W409" s="39" t="s">
        <v>1764</v>
      </c>
      <c r="X409" s="37" t="s">
        <v>1764</v>
      </c>
      <c r="Y409" s="37" t="s">
        <v>5</v>
      </c>
      <c r="Z409" s="111">
        <v>104</v>
      </c>
      <c r="AG409" s="24"/>
      <c r="AH409" s="24"/>
    </row>
    <row r="410" spans="1:34" x14ac:dyDescent="0.25">
      <c r="A410" s="39" t="s">
        <v>2556</v>
      </c>
      <c r="B410" s="36" t="s">
        <v>87</v>
      </c>
      <c r="C410" s="469">
        <v>9</v>
      </c>
      <c r="D410" s="470" t="s">
        <v>494</v>
      </c>
      <c r="E410" s="37">
        <f t="shared" si="27"/>
        <v>0</v>
      </c>
      <c r="F410" s="470" t="s">
        <v>494</v>
      </c>
      <c r="G410" s="37">
        <f t="shared" si="28"/>
        <v>0</v>
      </c>
      <c r="H410" s="37" t="s">
        <v>494</v>
      </c>
      <c r="I410" s="37">
        <f t="shared" si="29"/>
        <v>0</v>
      </c>
      <c r="J410" s="37" t="s">
        <v>347</v>
      </c>
      <c r="K410" s="37">
        <f t="shared" si="30"/>
        <v>0</v>
      </c>
      <c r="L410" s="37" t="s">
        <v>494</v>
      </c>
      <c r="M410" s="37">
        <f t="shared" si="31"/>
        <v>0</v>
      </c>
      <c r="N410" s="470" t="s">
        <v>347</v>
      </c>
      <c r="O410" s="470">
        <f t="shared" si="32"/>
        <v>0</v>
      </c>
      <c r="P410" s="37" t="str">
        <f t="shared" si="33"/>
        <v>None</v>
      </c>
      <c r="Q410" s="470" t="s">
        <v>347</v>
      </c>
      <c r="R410" s="37">
        <f t="shared" si="34"/>
        <v>0</v>
      </c>
      <c r="S410" s="470" t="s">
        <v>347</v>
      </c>
      <c r="T410" s="470">
        <f t="shared" si="35"/>
        <v>0</v>
      </c>
      <c r="U410" s="470" t="s">
        <v>347</v>
      </c>
      <c r="V410" s="111">
        <f>IF(OR(F410="none",G410="V"),0,VLOOKUP(F410,'Purchased Boons'!$AR$4:$AS$27,2,FALSE))</f>
        <v>0</v>
      </c>
      <c r="W410" s="39" t="s">
        <v>1764</v>
      </c>
      <c r="X410" s="37" t="s">
        <v>1764</v>
      </c>
      <c r="Y410" s="37" t="s">
        <v>5</v>
      </c>
      <c r="Z410" s="111">
        <v>104</v>
      </c>
      <c r="AG410" s="24"/>
      <c r="AH410" s="24"/>
    </row>
    <row r="411" spans="1:34" x14ac:dyDescent="0.25">
      <c r="A411" s="39" t="s">
        <v>2626</v>
      </c>
      <c r="B411" s="36" t="s">
        <v>87</v>
      </c>
      <c r="C411" s="469">
        <v>9</v>
      </c>
      <c r="D411" s="470" t="s">
        <v>494</v>
      </c>
      <c r="E411" s="37">
        <f t="shared" si="27"/>
        <v>0</v>
      </c>
      <c r="F411" s="470" t="s">
        <v>494</v>
      </c>
      <c r="G411" s="37">
        <f t="shared" si="28"/>
        <v>0</v>
      </c>
      <c r="H411" s="37" t="s">
        <v>494</v>
      </c>
      <c r="I411" s="37">
        <f t="shared" si="29"/>
        <v>0</v>
      </c>
      <c r="J411" s="37" t="s">
        <v>347</v>
      </c>
      <c r="K411" s="37">
        <f t="shared" si="30"/>
        <v>0</v>
      </c>
      <c r="L411" s="37" t="s">
        <v>494</v>
      </c>
      <c r="M411" s="37">
        <f t="shared" si="31"/>
        <v>0</v>
      </c>
      <c r="N411" s="470" t="s">
        <v>347</v>
      </c>
      <c r="O411" s="470">
        <f t="shared" si="32"/>
        <v>0</v>
      </c>
      <c r="P411" s="37" t="str">
        <f t="shared" si="33"/>
        <v>None</v>
      </c>
      <c r="Q411" s="470" t="s">
        <v>347</v>
      </c>
      <c r="R411" s="37">
        <f t="shared" si="34"/>
        <v>0</v>
      </c>
      <c r="S411" s="470" t="s">
        <v>347</v>
      </c>
      <c r="T411" s="470">
        <f t="shared" si="35"/>
        <v>0</v>
      </c>
      <c r="U411" s="470" t="s">
        <v>347</v>
      </c>
      <c r="V411" s="111">
        <f>IF(OR(F411="none",G411="V"),0,VLOOKUP(F411,'Purchased Boons'!$AR$4:$AS$27,2,FALSE))</f>
        <v>0</v>
      </c>
      <c r="W411" s="39" t="s">
        <v>1764</v>
      </c>
      <c r="X411" s="37" t="s">
        <v>1764</v>
      </c>
      <c r="Y411" s="37" t="s">
        <v>5</v>
      </c>
      <c r="Z411" s="111">
        <v>104</v>
      </c>
      <c r="AG411" s="24"/>
      <c r="AH411" s="24"/>
    </row>
    <row r="412" spans="1:34" x14ac:dyDescent="0.25">
      <c r="A412" s="39" t="s">
        <v>2566</v>
      </c>
      <c r="B412" s="36" t="s">
        <v>87</v>
      </c>
      <c r="C412" s="469">
        <v>9</v>
      </c>
      <c r="D412" s="470" t="s">
        <v>494</v>
      </c>
      <c r="E412" s="37">
        <f t="shared" si="27"/>
        <v>0</v>
      </c>
      <c r="F412" s="470" t="s">
        <v>494</v>
      </c>
      <c r="G412" s="37">
        <f t="shared" si="28"/>
        <v>0</v>
      </c>
      <c r="H412" s="37" t="s">
        <v>494</v>
      </c>
      <c r="I412" s="37">
        <f t="shared" si="29"/>
        <v>0</v>
      </c>
      <c r="J412" s="37" t="s">
        <v>347</v>
      </c>
      <c r="K412" s="37">
        <f t="shared" si="30"/>
        <v>0</v>
      </c>
      <c r="L412" s="37" t="s">
        <v>494</v>
      </c>
      <c r="M412" s="37">
        <f t="shared" si="31"/>
        <v>0</v>
      </c>
      <c r="N412" s="470" t="s">
        <v>347</v>
      </c>
      <c r="O412" s="470">
        <f t="shared" si="32"/>
        <v>0</v>
      </c>
      <c r="P412" s="37" t="str">
        <f t="shared" si="33"/>
        <v>None</v>
      </c>
      <c r="Q412" s="470" t="s">
        <v>347</v>
      </c>
      <c r="R412" s="37">
        <f t="shared" si="34"/>
        <v>0</v>
      </c>
      <c r="S412" s="470" t="s">
        <v>347</v>
      </c>
      <c r="T412" s="470">
        <f t="shared" si="35"/>
        <v>0</v>
      </c>
      <c r="U412" s="470" t="s">
        <v>347</v>
      </c>
      <c r="V412" s="111">
        <f>IF(OR(F412="none",G412="V"),0,VLOOKUP(F412,'Purchased Boons'!$AR$4:$AS$27,2,FALSE))</f>
        <v>0</v>
      </c>
      <c r="W412" s="39" t="s">
        <v>1764</v>
      </c>
      <c r="X412" s="37" t="s">
        <v>1764</v>
      </c>
      <c r="Y412" s="37" t="s">
        <v>5</v>
      </c>
      <c r="Z412" s="111">
        <v>104</v>
      </c>
      <c r="AG412" s="24"/>
      <c r="AH412" s="24"/>
    </row>
    <row r="413" spans="1:34" x14ac:dyDescent="0.25">
      <c r="A413" s="39" t="s">
        <v>2576</v>
      </c>
      <c r="B413" s="36" t="s">
        <v>87</v>
      </c>
      <c r="C413" s="469">
        <v>9</v>
      </c>
      <c r="D413" s="470" t="s">
        <v>494</v>
      </c>
      <c r="E413" s="37">
        <f t="shared" si="27"/>
        <v>0</v>
      </c>
      <c r="F413" s="470" t="s">
        <v>494</v>
      </c>
      <c r="G413" s="37">
        <f t="shared" si="28"/>
        <v>0</v>
      </c>
      <c r="H413" s="37" t="s">
        <v>494</v>
      </c>
      <c r="I413" s="37">
        <f t="shared" si="29"/>
        <v>0</v>
      </c>
      <c r="J413" s="37" t="s">
        <v>347</v>
      </c>
      <c r="K413" s="37">
        <f t="shared" si="30"/>
        <v>0</v>
      </c>
      <c r="L413" s="37" t="s">
        <v>494</v>
      </c>
      <c r="M413" s="37">
        <f t="shared" si="31"/>
        <v>0</v>
      </c>
      <c r="N413" s="470" t="s">
        <v>347</v>
      </c>
      <c r="O413" s="470">
        <f t="shared" si="32"/>
        <v>0</v>
      </c>
      <c r="P413" s="37" t="str">
        <f t="shared" si="33"/>
        <v>None</v>
      </c>
      <c r="Q413" s="470" t="s">
        <v>347</v>
      </c>
      <c r="R413" s="37">
        <f t="shared" si="34"/>
        <v>0</v>
      </c>
      <c r="S413" s="470" t="s">
        <v>347</v>
      </c>
      <c r="T413" s="470">
        <f t="shared" si="35"/>
        <v>0</v>
      </c>
      <c r="U413" s="470" t="s">
        <v>347</v>
      </c>
      <c r="V413" s="111">
        <f>IF(OR(F413="none",G413="V"),0,VLOOKUP(F413,'Purchased Boons'!$AR$4:$AS$27,2,FALSE))</f>
        <v>0</v>
      </c>
      <c r="W413" s="39" t="s">
        <v>1764</v>
      </c>
      <c r="X413" s="37" t="s">
        <v>1764</v>
      </c>
      <c r="Y413" s="37" t="s">
        <v>5</v>
      </c>
      <c r="Z413" s="111">
        <v>104</v>
      </c>
      <c r="AG413" s="24"/>
      <c r="AH413" s="24"/>
    </row>
    <row r="414" spans="1:34" x14ac:dyDescent="0.25">
      <c r="A414" s="39" t="s">
        <v>2586</v>
      </c>
      <c r="B414" s="36" t="s">
        <v>87</v>
      </c>
      <c r="C414" s="469">
        <v>9</v>
      </c>
      <c r="D414" s="470" t="s">
        <v>494</v>
      </c>
      <c r="E414" s="37">
        <f t="shared" si="27"/>
        <v>0</v>
      </c>
      <c r="F414" s="470" t="s">
        <v>494</v>
      </c>
      <c r="G414" s="37">
        <f t="shared" si="28"/>
        <v>0</v>
      </c>
      <c r="H414" s="37" t="s">
        <v>494</v>
      </c>
      <c r="I414" s="37">
        <f t="shared" si="29"/>
        <v>0</v>
      </c>
      <c r="J414" s="37" t="s">
        <v>347</v>
      </c>
      <c r="K414" s="37">
        <f t="shared" si="30"/>
        <v>0</v>
      </c>
      <c r="L414" s="37" t="s">
        <v>494</v>
      </c>
      <c r="M414" s="37">
        <f t="shared" si="31"/>
        <v>0</v>
      </c>
      <c r="N414" s="470" t="s">
        <v>347</v>
      </c>
      <c r="O414" s="470">
        <f t="shared" si="32"/>
        <v>0</v>
      </c>
      <c r="P414" s="37" t="str">
        <f t="shared" si="33"/>
        <v>None</v>
      </c>
      <c r="Q414" s="470" t="s">
        <v>347</v>
      </c>
      <c r="R414" s="37">
        <f t="shared" si="34"/>
        <v>0</v>
      </c>
      <c r="S414" s="470" t="s">
        <v>347</v>
      </c>
      <c r="T414" s="470">
        <f t="shared" si="35"/>
        <v>0</v>
      </c>
      <c r="U414" s="470" t="s">
        <v>347</v>
      </c>
      <c r="V414" s="111">
        <f>IF(OR(F414="none",G414="V"),0,VLOOKUP(F414,'Purchased Boons'!$AR$4:$AS$27,2,FALSE))</f>
        <v>0</v>
      </c>
      <c r="W414" s="39" t="s">
        <v>1764</v>
      </c>
      <c r="X414" s="37" t="s">
        <v>1764</v>
      </c>
      <c r="Y414" s="37" t="s">
        <v>5</v>
      </c>
      <c r="Z414" s="111">
        <v>104</v>
      </c>
      <c r="AG414" s="24"/>
      <c r="AH414" s="24"/>
    </row>
    <row r="415" spans="1:34" x14ac:dyDescent="0.25">
      <c r="A415" s="468" t="s">
        <v>1130</v>
      </c>
      <c r="B415" s="36" t="s">
        <v>371</v>
      </c>
      <c r="C415" s="469">
        <v>1</v>
      </c>
      <c r="D415" s="470" t="s">
        <v>19</v>
      </c>
      <c r="E415" s="37">
        <f t="shared" si="18"/>
        <v>1</v>
      </c>
      <c r="F415" s="470" t="s">
        <v>53</v>
      </c>
      <c r="G415" s="37">
        <f t="shared" si="19"/>
        <v>0</v>
      </c>
      <c r="H415" s="37" t="s">
        <v>494</v>
      </c>
      <c r="I415" s="37">
        <f t="shared" si="20"/>
        <v>0</v>
      </c>
      <c r="J415" s="37" t="s">
        <v>347</v>
      </c>
      <c r="K415" s="37">
        <f t="shared" si="21"/>
        <v>0</v>
      </c>
      <c r="L415" s="37" t="s">
        <v>494</v>
      </c>
      <c r="M415" s="37">
        <f t="shared" si="22"/>
        <v>0</v>
      </c>
      <c r="N415" s="470" t="s">
        <v>347</v>
      </c>
      <c r="O415" s="470">
        <f t="shared" si="23"/>
        <v>0</v>
      </c>
      <c r="P415" s="37" t="str">
        <f t="shared" si="24"/>
        <v>1 + 0</v>
      </c>
      <c r="Q415" s="470" t="s">
        <v>346</v>
      </c>
      <c r="R415" s="37">
        <f t="shared" si="25"/>
        <v>0</v>
      </c>
      <c r="S415" s="470" t="s">
        <v>347</v>
      </c>
      <c r="T415" s="470">
        <f t="shared" si="26"/>
        <v>0</v>
      </c>
      <c r="U415" s="470" t="s">
        <v>346</v>
      </c>
      <c r="V415" s="111">
        <f>IF(OR(F415="none",G415="V"),0,VLOOKUP(F415,'Purchased Boons'!$AR$4:$AS$27,2,FALSE))</f>
        <v>0</v>
      </c>
      <c r="W415" s="39" t="s">
        <v>1050</v>
      </c>
      <c r="X415" s="37" t="s">
        <v>1550</v>
      </c>
      <c r="Y415" s="37" t="s">
        <v>133</v>
      </c>
      <c r="Z415" s="111">
        <v>154</v>
      </c>
      <c r="AG415" s="24"/>
      <c r="AH415" s="24"/>
    </row>
    <row r="416" spans="1:34" x14ac:dyDescent="0.25">
      <c r="A416" s="468" t="s">
        <v>1201</v>
      </c>
      <c r="B416" s="36" t="s">
        <v>366</v>
      </c>
      <c r="C416" s="469">
        <v>6</v>
      </c>
      <c r="D416" s="470" t="s">
        <v>14</v>
      </c>
      <c r="E416" s="37">
        <f t="shared" si="18"/>
        <v>1</v>
      </c>
      <c r="F416" s="470" t="s">
        <v>40</v>
      </c>
      <c r="G416" s="37">
        <f t="shared" si="19"/>
        <v>0</v>
      </c>
      <c r="H416" s="37" t="s">
        <v>494</v>
      </c>
      <c r="I416" s="37">
        <f t="shared" si="20"/>
        <v>0</v>
      </c>
      <c r="J416" s="37" t="s">
        <v>347</v>
      </c>
      <c r="K416" s="37">
        <f t="shared" si="21"/>
        <v>0</v>
      </c>
      <c r="L416" s="37" t="s">
        <v>494</v>
      </c>
      <c r="M416" s="37">
        <f t="shared" si="22"/>
        <v>0</v>
      </c>
      <c r="N416" s="470" t="s">
        <v>347</v>
      </c>
      <c r="O416" s="470">
        <f t="shared" si="23"/>
        <v>0</v>
      </c>
      <c r="P416" s="37" t="str">
        <f t="shared" si="24"/>
        <v>1 + 0</v>
      </c>
      <c r="Q416" s="470" t="s">
        <v>346</v>
      </c>
      <c r="R416" s="37">
        <f t="shared" si="25"/>
        <v>0</v>
      </c>
      <c r="S416" s="470" t="s">
        <v>347</v>
      </c>
      <c r="T416" s="470">
        <f t="shared" si="26"/>
        <v>0</v>
      </c>
      <c r="U416" s="470" t="s">
        <v>346</v>
      </c>
      <c r="V416" s="111">
        <f>IF(OR(F416="none",G416="V"),0,VLOOKUP(F416,'Purchased Boons'!$AR$4:$AS$27,2,FALSE))</f>
        <v>0</v>
      </c>
      <c r="W416" s="39" t="s">
        <v>1568</v>
      </c>
      <c r="X416" s="37" t="s">
        <v>1592</v>
      </c>
      <c r="Y416" s="37" t="s">
        <v>1045</v>
      </c>
      <c r="Z416" s="111">
        <v>89</v>
      </c>
      <c r="AG416" s="24"/>
      <c r="AH416" s="24"/>
    </row>
    <row r="417" spans="1:34" x14ac:dyDescent="0.25">
      <c r="A417" s="468" t="s">
        <v>1472</v>
      </c>
      <c r="B417" s="39" t="s">
        <v>180</v>
      </c>
      <c r="C417" s="469">
        <v>10</v>
      </c>
      <c r="D417" s="470" t="s">
        <v>494</v>
      </c>
      <c r="E417" s="37">
        <f t="shared" si="18"/>
        <v>0</v>
      </c>
      <c r="F417" s="470" t="s">
        <v>494</v>
      </c>
      <c r="G417" s="37">
        <f t="shared" si="19"/>
        <v>0</v>
      </c>
      <c r="H417" s="37" t="s">
        <v>494</v>
      </c>
      <c r="I417" s="37">
        <f t="shared" si="20"/>
        <v>0</v>
      </c>
      <c r="J417" s="37" t="s">
        <v>347</v>
      </c>
      <c r="K417" s="37">
        <f t="shared" si="21"/>
        <v>0</v>
      </c>
      <c r="L417" s="37" t="s">
        <v>494</v>
      </c>
      <c r="M417" s="37">
        <f t="shared" si="22"/>
        <v>0</v>
      </c>
      <c r="N417" s="470" t="s">
        <v>347</v>
      </c>
      <c r="O417" s="470">
        <f t="shared" si="23"/>
        <v>0</v>
      </c>
      <c r="P417" s="37" t="str">
        <f t="shared" si="24"/>
        <v>None</v>
      </c>
      <c r="Q417" s="470" t="s">
        <v>346</v>
      </c>
      <c r="R417" s="37">
        <f t="shared" si="25"/>
        <v>0</v>
      </c>
      <c r="S417" s="470" t="s">
        <v>347</v>
      </c>
      <c r="T417" s="470">
        <f t="shared" si="26"/>
        <v>0</v>
      </c>
      <c r="U417" s="470" t="s">
        <v>346</v>
      </c>
      <c r="V417" s="111">
        <f>IF(OR(F417="none",G417="V"),0,VLOOKUP(F417,'Purchased Boons'!$AR$4:$AS$27,2,FALSE))</f>
        <v>0</v>
      </c>
      <c r="W417" s="39" t="s">
        <v>1653</v>
      </c>
      <c r="X417" s="37" t="s">
        <v>494</v>
      </c>
      <c r="Y417" s="37" t="s">
        <v>1462</v>
      </c>
      <c r="Z417" s="111">
        <v>16</v>
      </c>
      <c r="AG417" s="24"/>
      <c r="AH417" s="24"/>
    </row>
    <row r="418" spans="1:34" x14ac:dyDescent="0.25">
      <c r="A418" s="468" t="s">
        <v>1449</v>
      </c>
      <c r="B418" s="36" t="s">
        <v>181</v>
      </c>
      <c r="C418" s="469">
        <v>8</v>
      </c>
      <c r="D418" s="470" t="s">
        <v>21</v>
      </c>
      <c r="E418" s="37">
        <f t="shared" si="18"/>
        <v>1</v>
      </c>
      <c r="F418" s="470" t="s">
        <v>57</v>
      </c>
      <c r="G418" s="37">
        <f t="shared" si="19"/>
        <v>0</v>
      </c>
      <c r="H418" s="37" t="s">
        <v>494</v>
      </c>
      <c r="I418" s="37">
        <f t="shared" si="20"/>
        <v>0</v>
      </c>
      <c r="J418" s="37" t="s">
        <v>347</v>
      </c>
      <c r="K418" s="37">
        <f t="shared" si="21"/>
        <v>0</v>
      </c>
      <c r="L418" s="37" t="s">
        <v>494</v>
      </c>
      <c r="M418" s="37">
        <f t="shared" si="22"/>
        <v>0</v>
      </c>
      <c r="N418" s="470" t="s">
        <v>347</v>
      </c>
      <c r="O418" s="470">
        <f t="shared" si="23"/>
        <v>0</v>
      </c>
      <c r="P418" s="37" t="str">
        <f t="shared" si="24"/>
        <v>1 + 0</v>
      </c>
      <c r="Q418" s="470" t="s">
        <v>346</v>
      </c>
      <c r="R418" s="37">
        <f t="shared" si="25"/>
        <v>0</v>
      </c>
      <c r="S418" s="470" t="s">
        <v>347</v>
      </c>
      <c r="T418" s="470">
        <f t="shared" si="26"/>
        <v>0</v>
      </c>
      <c r="U418" s="470" t="s">
        <v>346</v>
      </c>
      <c r="V418" s="111">
        <f>IF(OR(F418="none",G418="V"),0,VLOOKUP(F418,'Purchased Boons'!$AR$4:$AS$27,2,FALSE))</f>
        <v>0</v>
      </c>
      <c r="W418" s="39" t="s">
        <v>1053</v>
      </c>
      <c r="X418" s="37" t="s">
        <v>1656</v>
      </c>
      <c r="Y418" s="37" t="s">
        <v>1046</v>
      </c>
      <c r="Z418" s="111">
        <v>230</v>
      </c>
      <c r="AG418" s="24"/>
      <c r="AH418" s="24"/>
    </row>
    <row r="419" spans="1:34" x14ac:dyDescent="0.25">
      <c r="A419" s="468" t="s">
        <v>1088</v>
      </c>
      <c r="B419" s="36" t="s">
        <v>108</v>
      </c>
      <c r="C419" s="469">
        <v>1</v>
      </c>
      <c r="D419" s="470" t="s">
        <v>494</v>
      </c>
      <c r="E419" s="37">
        <f t="shared" si="18"/>
        <v>0</v>
      </c>
      <c r="F419" s="470" t="s">
        <v>494</v>
      </c>
      <c r="G419" s="37">
        <f t="shared" si="19"/>
        <v>0</v>
      </c>
      <c r="H419" s="37" t="s">
        <v>494</v>
      </c>
      <c r="I419" s="37">
        <f t="shared" si="20"/>
        <v>0</v>
      </c>
      <c r="J419" s="37" t="s">
        <v>347</v>
      </c>
      <c r="K419" s="37">
        <f t="shared" si="21"/>
        <v>0</v>
      </c>
      <c r="L419" s="37" t="s">
        <v>494</v>
      </c>
      <c r="M419" s="37">
        <f t="shared" si="22"/>
        <v>0</v>
      </c>
      <c r="N419" s="470" t="s">
        <v>347</v>
      </c>
      <c r="O419" s="470">
        <f t="shared" si="23"/>
        <v>0</v>
      </c>
      <c r="P419" s="37" t="str">
        <f t="shared" si="24"/>
        <v>None</v>
      </c>
      <c r="Q419" s="470" t="s">
        <v>346</v>
      </c>
      <c r="R419" s="37">
        <f t="shared" si="25"/>
        <v>0</v>
      </c>
      <c r="S419" s="470" t="s">
        <v>347</v>
      </c>
      <c r="T419" s="470">
        <f t="shared" si="26"/>
        <v>0</v>
      </c>
      <c r="U419" s="470" t="s">
        <v>346</v>
      </c>
      <c r="V419" s="111">
        <f>IF(OR(F419="none",G419="V"),0,VLOOKUP(F419,'Purchased Boons'!$AR$4:$AS$27,2,FALSE))</f>
        <v>0</v>
      </c>
      <c r="W419" s="39" t="s">
        <v>494</v>
      </c>
      <c r="X419" s="37" t="s">
        <v>494</v>
      </c>
      <c r="Y419" s="37" t="s">
        <v>133</v>
      </c>
      <c r="Z419" s="111">
        <v>144</v>
      </c>
      <c r="AG419" s="24"/>
      <c r="AH419" s="24"/>
    </row>
    <row r="420" spans="1:34" x14ac:dyDescent="0.25">
      <c r="A420" s="468" t="s">
        <v>1365</v>
      </c>
      <c r="B420" s="36" t="s">
        <v>179</v>
      </c>
      <c r="C420" s="469">
        <v>7</v>
      </c>
      <c r="D420" s="470" t="s">
        <v>14</v>
      </c>
      <c r="E420" s="37">
        <f t="shared" si="18"/>
        <v>1</v>
      </c>
      <c r="F420" s="470" t="s">
        <v>41</v>
      </c>
      <c r="G420" s="37">
        <f t="shared" si="19"/>
        <v>0</v>
      </c>
      <c r="H420" s="37" t="s">
        <v>494</v>
      </c>
      <c r="I420" s="37">
        <f t="shared" si="20"/>
        <v>0</v>
      </c>
      <c r="J420" s="37" t="s">
        <v>347</v>
      </c>
      <c r="K420" s="37">
        <f t="shared" si="21"/>
        <v>0</v>
      </c>
      <c r="L420" s="37" t="s">
        <v>494</v>
      </c>
      <c r="M420" s="37">
        <f t="shared" si="22"/>
        <v>0</v>
      </c>
      <c r="N420" s="470" t="s">
        <v>347</v>
      </c>
      <c r="O420" s="470">
        <f t="shared" si="23"/>
        <v>0</v>
      </c>
      <c r="P420" s="37" t="str">
        <f t="shared" si="24"/>
        <v>1 + 0</v>
      </c>
      <c r="Q420" s="470" t="s">
        <v>346</v>
      </c>
      <c r="R420" s="37">
        <f t="shared" si="25"/>
        <v>0</v>
      </c>
      <c r="S420" s="470" t="s">
        <v>347</v>
      </c>
      <c r="T420" s="470">
        <f t="shared" si="26"/>
        <v>0</v>
      </c>
      <c r="U420" s="470" t="s">
        <v>346</v>
      </c>
      <c r="V420" s="111">
        <f>IF(OR(F420="none",G420="V"),0,VLOOKUP(F420,'Purchased Boons'!$AR$4:$AS$27,2,FALSE))</f>
        <v>0</v>
      </c>
      <c r="W420" s="39" t="s">
        <v>1675</v>
      </c>
      <c r="X420" s="37" t="s">
        <v>1676</v>
      </c>
      <c r="Y420" s="37" t="s">
        <v>1046</v>
      </c>
      <c r="Z420" s="111">
        <v>24</v>
      </c>
      <c r="AG420" s="24"/>
      <c r="AH420" s="24"/>
    </row>
    <row r="421" spans="1:34" x14ac:dyDescent="0.25">
      <c r="A421" s="468" t="s">
        <v>1475</v>
      </c>
      <c r="B421" s="36" t="s">
        <v>364</v>
      </c>
      <c r="C421" s="469">
        <v>3</v>
      </c>
      <c r="D421" s="470" t="s">
        <v>18</v>
      </c>
      <c r="E421" s="37">
        <f t="shared" si="18"/>
        <v>1</v>
      </c>
      <c r="F421" s="470" t="s">
        <v>51</v>
      </c>
      <c r="G421" s="37">
        <f t="shared" si="19"/>
        <v>0</v>
      </c>
      <c r="H421" s="37" t="s">
        <v>494</v>
      </c>
      <c r="I421" s="37">
        <f t="shared" si="20"/>
        <v>0</v>
      </c>
      <c r="J421" s="37" t="s">
        <v>347</v>
      </c>
      <c r="K421" s="37">
        <f t="shared" si="21"/>
        <v>0</v>
      </c>
      <c r="L421" s="37" t="s">
        <v>494</v>
      </c>
      <c r="M421" s="37">
        <f t="shared" si="22"/>
        <v>0</v>
      </c>
      <c r="N421" s="470" t="s">
        <v>347</v>
      </c>
      <c r="O421" s="470">
        <f t="shared" si="23"/>
        <v>0</v>
      </c>
      <c r="P421" s="37" t="str">
        <f t="shared" si="24"/>
        <v>1 + 0</v>
      </c>
      <c r="Q421" s="470" t="s">
        <v>346</v>
      </c>
      <c r="R421" s="37">
        <f t="shared" si="25"/>
        <v>0</v>
      </c>
      <c r="S421" s="470" t="s">
        <v>347</v>
      </c>
      <c r="T421" s="470">
        <f t="shared" si="26"/>
        <v>0</v>
      </c>
      <c r="U421" s="470" t="s">
        <v>346</v>
      </c>
      <c r="V421" s="111">
        <f>IF(OR(F421="none",G421="V"),0,VLOOKUP(F421,'Purchased Boons'!$AR$4:$AS$27,2,FALSE))</f>
        <v>0</v>
      </c>
      <c r="W421" s="39" t="s">
        <v>1670</v>
      </c>
      <c r="X421" s="37" t="s">
        <v>1535</v>
      </c>
      <c r="Y421" s="37" t="s">
        <v>1462</v>
      </c>
      <c r="Z421" s="111">
        <v>17</v>
      </c>
      <c r="AG421" s="24"/>
      <c r="AH421" s="24"/>
    </row>
    <row r="422" spans="1:34" x14ac:dyDescent="0.25">
      <c r="A422" s="468" t="s">
        <v>1331</v>
      </c>
      <c r="B422" s="36" t="s">
        <v>369</v>
      </c>
      <c r="C422" s="469">
        <v>11</v>
      </c>
      <c r="D422" s="470" t="s">
        <v>494</v>
      </c>
      <c r="E422" s="37">
        <f t="shared" si="18"/>
        <v>0</v>
      </c>
      <c r="F422" s="470" t="s">
        <v>494</v>
      </c>
      <c r="G422" s="37">
        <f t="shared" si="19"/>
        <v>0</v>
      </c>
      <c r="H422" s="37" t="s">
        <v>494</v>
      </c>
      <c r="I422" s="37">
        <f t="shared" si="20"/>
        <v>0</v>
      </c>
      <c r="J422" s="37" t="s">
        <v>347</v>
      </c>
      <c r="K422" s="37">
        <f t="shared" si="21"/>
        <v>0</v>
      </c>
      <c r="L422" s="37" t="s">
        <v>494</v>
      </c>
      <c r="M422" s="37">
        <f t="shared" si="22"/>
        <v>0</v>
      </c>
      <c r="N422" s="470" t="s">
        <v>347</v>
      </c>
      <c r="O422" s="470">
        <f t="shared" si="23"/>
        <v>0</v>
      </c>
      <c r="P422" s="37" t="str">
        <f t="shared" si="24"/>
        <v>None</v>
      </c>
      <c r="Q422" s="470" t="s">
        <v>346</v>
      </c>
      <c r="R422" s="37">
        <f t="shared" si="25"/>
        <v>0</v>
      </c>
      <c r="S422" s="470" t="s">
        <v>347</v>
      </c>
      <c r="T422" s="470">
        <f t="shared" si="26"/>
        <v>0</v>
      </c>
      <c r="U422" s="470" t="s">
        <v>346</v>
      </c>
      <c r="V422" s="111">
        <f>IF(OR(F422="none",G422="V"),0,VLOOKUP(F422,'Purchased Boons'!$AR$4:$AS$27,2,FALSE))</f>
        <v>0</v>
      </c>
      <c r="W422" s="39" t="s">
        <v>1635</v>
      </c>
      <c r="X422" s="37" t="s">
        <v>494</v>
      </c>
      <c r="Y422" s="37" t="s">
        <v>5</v>
      </c>
      <c r="Z422" s="111">
        <v>111</v>
      </c>
      <c r="AG422" s="24"/>
      <c r="AH422" s="24"/>
    </row>
    <row r="423" spans="1:34" x14ac:dyDescent="0.25">
      <c r="A423" s="468" t="s">
        <v>1246</v>
      </c>
      <c r="B423" s="36" t="s">
        <v>352</v>
      </c>
      <c r="C423" s="469">
        <v>11</v>
      </c>
      <c r="D423" s="470" t="s">
        <v>494</v>
      </c>
      <c r="E423" s="37">
        <f t="shared" si="18"/>
        <v>0</v>
      </c>
      <c r="F423" s="470" t="s">
        <v>494</v>
      </c>
      <c r="G423" s="37">
        <f t="shared" si="19"/>
        <v>0</v>
      </c>
      <c r="H423" s="37" t="s">
        <v>494</v>
      </c>
      <c r="I423" s="37">
        <f t="shared" si="20"/>
        <v>0</v>
      </c>
      <c r="J423" s="37" t="s">
        <v>347</v>
      </c>
      <c r="K423" s="37">
        <f t="shared" si="21"/>
        <v>0</v>
      </c>
      <c r="L423" s="37" t="s">
        <v>494</v>
      </c>
      <c r="M423" s="37">
        <f t="shared" si="22"/>
        <v>0</v>
      </c>
      <c r="N423" s="470" t="s">
        <v>347</v>
      </c>
      <c r="O423" s="470">
        <f t="shared" si="23"/>
        <v>0</v>
      </c>
      <c r="P423" s="37" t="str">
        <f t="shared" si="24"/>
        <v>None</v>
      </c>
      <c r="Q423" s="470" t="s">
        <v>346</v>
      </c>
      <c r="R423" s="37">
        <f t="shared" si="25"/>
        <v>0</v>
      </c>
      <c r="S423" s="470" t="s">
        <v>347</v>
      </c>
      <c r="T423" s="470">
        <f t="shared" si="26"/>
        <v>0</v>
      </c>
      <c r="U423" s="470" t="s">
        <v>346</v>
      </c>
      <c r="V423" s="111">
        <f>IF(OR(F423="none",G423="V"),0,VLOOKUP(F423,'Purchased Boons'!$AR$4:$AS$27,2,FALSE))</f>
        <v>0</v>
      </c>
      <c r="W423" s="39" t="s">
        <v>1635</v>
      </c>
      <c r="X423" s="37" t="s">
        <v>494</v>
      </c>
      <c r="Y423" s="37" t="s">
        <v>5</v>
      </c>
      <c r="Z423" s="111">
        <v>82</v>
      </c>
      <c r="AG423" s="24"/>
      <c r="AH423" s="24"/>
    </row>
    <row r="424" spans="1:34" x14ac:dyDescent="0.25">
      <c r="A424" s="468" t="s">
        <v>1250</v>
      </c>
      <c r="B424" s="36" t="s">
        <v>353</v>
      </c>
      <c r="C424" s="469">
        <v>11</v>
      </c>
      <c r="D424" s="470" t="s">
        <v>494</v>
      </c>
      <c r="E424" s="37">
        <f t="shared" ref="E424:E487" si="36">VLOOKUP(D424,$AC$2:$AD$12,2,FALSE)</f>
        <v>0</v>
      </c>
      <c r="F424" s="470" t="s">
        <v>494</v>
      </c>
      <c r="G424" s="37">
        <f t="shared" ref="G424:G487" si="37">VLOOKUP(F424,$AF$2:$AH$27,2,FALSE)</f>
        <v>0</v>
      </c>
      <c r="H424" s="37" t="s">
        <v>494</v>
      </c>
      <c r="I424" s="37">
        <f t="shared" ref="I424:I487" si="38">VLOOKUP(H424,$AI$2:$AJ$42,2,FALSE)</f>
        <v>0</v>
      </c>
      <c r="J424" s="37" t="s">
        <v>347</v>
      </c>
      <c r="K424" s="37">
        <f t="shared" ref="K424:K487" si="39">IF(J424="Yes",$AJ$56,0)</f>
        <v>0</v>
      </c>
      <c r="L424" s="37" t="s">
        <v>494</v>
      </c>
      <c r="M424" s="37">
        <f t="shared" ref="M424:M487" si="40">VLOOKUP(L424,$AI$43:$AJ$55,2,FALSE)</f>
        <v>0</v>
      </c>
      <c r="N424" s="470" t="s">
        <v>347</v>
      </c>
      <c r="O424" s="470">
        <f t="shared" ref="O424:O487" si="41">IF(N424="Yes",$AJ$57,0)</f>
        <v>0</v>
      </c>
      <c r="P424" s="37" t="str">
        <f t="shared" ref="P424:P487" si="42">IF(OR(D424="Varies",F424="Varies",H424="Varies",L424="Varies"),"Varies",IF(AND(D424="None",F424="None",H424="None",L424="None",J424="No",N424="No"),"None",CONCATENATE(E424+G424+V424+I424+K424+M424+O424," + ",R424+T424)))</f>
        <v>None</v>
      </c>
      <c r="Q424" s="470" t="s">
        <v>346</v>
      </c>
      <c r="R424" s="37">
        <f t="shared" ref="R424:R487" si="43">IF(Q424="Yes",VLOOKUP(D424,$AC$2:$AE$12,3,FALSE),0)</f>
        <v>0</v>
      </c>
      <c r="S424" s="470" t="s">
        <v>347</v>
      </c>
      <c r="T424" s="470">
        <f t="shared" ref="T424:T487" si="44">IF(S424="Yes",$AJ$57,0)</f>
        <v>0</v>
      </c>
      <c r="U424" s="470" t="s">
        <v>346</v>
      </c>
      <c r="V424" s="111">
        <f>IF(OR(F424="none",G424="V"),0,VLOOKUP(F424,'Purchased Boons'!$AR$4:$AS$27,2,FALSE))</f>
        <v>0</v>
      </c>
      <c r="W424" s="39" t="s">
        <v>1635</v>
      </c>
      <c r="X424" s="37" t="s">
        <v>494</v>
      </c>
      <c r="Y424" s="37" t="s">
        <v>5</v>
      </c>
      <c r="Z424" s="111">
        <v>84</v>
      </c>
      <c r="AG424" s="24"/>
      <c r="AH424" s="24"/>
    </row>
    <row r="425" spans="1:34" x14ac:dyDescent="0.25">
      <c r="A425" s="468" t="s">
        <v>1254</v>
      </c>
      <c r="B425" s="36" t="s">
        <v>354</v>
      </c>
      <c r="C425" s="469">
        <v>11</v>
      </c>
      <c r="D425" s="470" t="s">
        <v>494</v>
      </c>
      <c r="E425" s="37">
        <f t="shared" si="36"/>
        <v>0</v>
      </c>
      <c r="F425" s="470" t="s">
        <v>494</v>
      </c>
      <c r="G425" s="37">
        <f t="shared" si="37"/>
        <v>0</v>
      </c>
      <c r="H425" s="37" t="s">
        <v>494</v>
      </c>
      <c r="I425" s="37">
        <f t="shared" si="38"/>
        <v>0</v>
      </c>
      <c r="J425" s="37" t="s">
        <v>347</v>
      </c>
      <c r="K425" s="37">
        <f t="shared" si="39"/>
        <v>0</v>
      </c>
      <c r="L425" s="37" t="s">
        <v>494</v>
      </c>
      <c r="M425" s="37">
        <f t="shared" si="40"/>
        <v>0</v>
      </c>
      <c r="N425" s="470" t="s">
        <v>347</v>
      </c>
      <c r="O425" s="470">
        <f t="shared" si="41"/>
        <v>0</v>
      </c>
      <c r="P425" s="37" t="str">
        <f t="shared" si="42"/>
        <v>None</v>
      </c>
      <c r="Q425" s="470" t="s">
        <v>346</v>
      </c>
      <c r="R425" s="37">
        <f t="shared" si="43"/>
        <v>0</v>
      </c>
      <c r="S425" s="470" t="s">
        <v>347</v>
      </c>
      <c r="T425" s="470">
        <f t="shared" si="44"/>
        <v>0</v>
      </c>
      <c r="U425" s="470" t="s">
        <v>346</v>
      </c>
      <c r="V425" s="111">
        <f>IF(OR(F425="none",G425="V"),0,VLOOKUP(F425,'Purchased Boons'!$AR$4:$AS$27,2,FALSE))</f>
        <v>0</v>
      </c>
      <c r="W425" s="39" t="s">
        <v>1635</v>
      </c>
      <c r="X425" s="37" t="s">
        <v>494</v>
      </c>
      <c r="Y425" s="37" t="s">
        <v>5</v>
      </c>
      <c r="Z425" s="111">
        <v>85</v>
      </c>
      <c r="AG425" s="24"/>
      <c r="AH425" s="24"/>
    </row>
    <row r="426" spans="1:34" x14ac:dyDescent="0.25">
      <c r="A426" s="468" t="s">
        <v>1258</v>
      </c>
      <c r="B426" s="36" t="s">
        <v>355</v>
      </c>
      <c r="C426" s="469">
        <v>11</v>
      </c>
      <c r="D426" s="470" t="s">
        <v>494</v>
      </c>
      <c r="E426" s="37">
        <f t="shared" si="36"/>
        <v>0</v>
      </c>
      <c r="F426" s="470" t="s">
        <v>494</v>
      </c>
      <c r="G426" s="37">
        <f t="shared" si="37"/>
        <v>0</v>
      </c>
      <c r="H426" s="37" t="s">
        <v>494</v>
      </c>
      <c r="I426" s="37">
        <f t="shared" si="38"/>
        <v>0</v>
      </c>
      <c r="J426" s="37" t="s">
        <v>347</v>
      </c>
      <c r="K426" s="37">
        <f t="shared" si="39"/>
        <v>0</v>
      </c>
      <c r="L426" s="37" t="s">
        <v>494</v>
      </c>
      <c r="M426" s="37">
        <f t="shared" si="40"/>
        <v>0</v>
      </c>
      <c r="N426" s="470" t="s">
        <v>347</v>
      </c>
      <c r="O426" s="470">
        <f t="shared" si="41"/>
        <v>0</v>
      </c>
      <c r="P426" s="37" t="str">
        <f t="shared" si="42"/>
        <v>None</v>
      </c>
      <c r="Q426" s="470" t="s">
        <v>346</v>
      </c>
      <c r="R426" s="37">
        <f t="shared" si="43"/>
        <v>0</v>
      </c>
      <c r="S426" s="470" t="s">
        <v>347</v>
      </c>
      <c r="T426" s="470">
        <f t="shared" si="44"/>
        <v>0</v>
      </c>
      <c r="U426" s="470" t="s">
        <v>346</v>
      </c>
      <c r="V426" s="111">
        <f>IF(OR(F426="none",G426="V"),0,VLOOKUP(F426,'Purchased Boons'!$AR$4:$AS$27,2,FALSE))</f>
        <v>0</v>
      </c>
      <c r="W426" s="39" t="s">
        <v>1635</v>
      </c>
      <c r="X426" s="37" t="s">
        <v>494</v>
      </c>
      <c r="Y426" s="37" t="s">
        <v>5</v>
      </c>
      <c r="Z426" s="111">
        <v>86</v>
      </c>
      <c r="AG426" s="24"/>
      <c r="AH426" s="24"/>
    </row>
    <row r="427" spans="1:34" x14ac:dyDescent="0.25">
      <c r="A427" s="468" t="s">
        <v>1262</v>
      </c>
      <c r="B427" s="36" t="s">
        <v>356</v>
      </c>
      <c r="C427" s="469">
        <v>11</v>
      </c>
      <c r="D427" s="470" t="s">
        <v>494</v>
      </c>
      <c r="E427" s="37">
        <f t="shared" si="36"/>
        <v>0</v>
      </c>
      <c r="F427" s="470" t="s">
        <v>494</v>
      </c>
      <c r="G427" s="37">
        <f t="shared" si="37"/>
        <v>0</v>
      </c>
      <c r="H427" s="37" t="s">
        <v>494</v>
      </c>
      <c r="I427" s="37">
        <f t="shared" si="38"/>
        <v>0</v>
      </c>
      <c r="J427" s="37" t="s">
        <v>347</v>
      </c>
      <c r="K427" s="37">
        <f t="shared" si="39"/>
        <v>0</v>
      </c>
      <c r="L427" s="37" t="s">
        <v>494</v>
      </c>
      <c r="M427" s="37">
        <f t="shared" si="40"/>
        <v>0</v>
      </c>
      <c r="N427" s="470" t="s">
        <v>347</v>
      </c>
      <c r="O427" s="470">
        <f t="shared" si="41"/>
        <v>0</v>
      </c>
      <c r="P427" s="37" t="str">
        <f t="shared" si="42"/>
        <v>None</v>
      </c>
      <c r="Q427" s="470" t="s">
        <v>346</v>
      </c>
      <c r="R427" s="37">
        <f t="shared" si="43"/>
        <v>0</v>
      </c>
      <c r="S427" s="470" t="s">
        <v>347</v>
      </c>
      <c r="T427" s="470">
        <f t="shared" si="44"/>
        <v>0</v>
      </c>
      <c r="U427" s="470" t="s">
        <v>346</v>
      </c>
      <c r="V427" s="111">
        <f>IF(OR(F427="none",G427="V"),0,VLOOKUP(F427,'Purchased Boons'!$AR$4:$AS$27,2,FALSE))</f>
        <v>0</v>
      </c>
      <c r="W427" s="39" t="s">
        <v>1635</v>
      </c>
      <c r="X427" s="37" t="s">
        <v>494</v>
      </c>
      <c r="Y427" s="37" t="s">
        <v>5</v>
      </c>
      <c r="Z427" s="111">
        <v>88</v>
      </c>
      <c r="AG427" s="24"/>
      <c r="AH427" s="24"/>
    </row>
    <row r="428" spans="1:34" x14ac:dyDescent="0.25">
      <c r="A428" s="468" t="s">
        <v>1266</v>
      </c>
      <c r="B428" s="36" t="s">
        <v>357</v>
      </c>
      <c r="C428" s="469">
        <v>11</v>
      </c>
      <c r="D428" s="470" t="s">
        <v>494</v>
      </c>
      <c r="E428" s="37">
        <f t="shared" si="36"/>
        <v>0</v>
      </c>
      <c r="F428" s="470" t="s">
        <v>494</v>
      </c>
      <c r="G428" s="37">
        <f t="shared" si="37"/>
        <v>0</v>
      </c>
      <c r="H428" s="37" t="s">
        <v>494</v>
      </c>
      <c r="I428" s="37">
        <f t="shared" si="38"/>
        <v>0</v>
      </c>
      <c r="J428" s="37" t="s">
        <v>347</v>
      </c>
      <c r="K428" s="37">
        <f t="shared" si="39"/>
        <v>0</v>
      </c>
      <c r="L428" s="37" t="s">
        <v>494</v>
      </c>
      <c r="M428" s="37">
        <f t="shared" si="40"/>
        <v>0</v>
      </c>
      <c r="N428" s="470" t="s">
        <v>347</v>
      </c>
      <c r="O428" s="470">
        <f t="shared" si="41"/>
        <v>0</v>
      </c>
      <c r="P428" s="37" t="str">
        <f t="shared" si="42"/>
        <v>None</v>
      </c>
      <c r="Q428" s="470" t="s">
        <v>346</v>
      </c>
      <c r="R428" s="37">
        <f t="shared" si="43"/>
        <v>0</v>
      </c>
      <c r="S428" s="470" t="s">
        <v>347</v>
      </c>
      <c r="T428" s="470">
        <f t="shared" si="44"/>
        <v>0</v>
      </c>
      <c r="U428" s="470" t="s">
        <v>346</v>
      </c>
      <c r="V428" s="111">
        <f>IF(OR(F428="none",G428="V"),0,VLOOKUP(F428,'Purchased Boons'!$AR$4:$AS$27,2,FALSE))</f>
        <v>0</v>
      </c>
      <c r="W428" s="39" t="s">
        <v>1635</v>
      </c>
      <c r="X428" s="37" t="s">
        <v>494</v>
      </c>
      <c r="Y428" s="37" t="s">
        <v>5</v>
      </c>
      <c r="Z428" s="111">
        <v>89</v>
      </c>
      <c r="AG428" s="24"/>
      <c r="AH428" s="24"/>
    </row>
    <row r="429" spans="1:34" x14ac:dyDescent="0.25">
      <c r="A429" s="468" t="s">
        <v>1270</v>
      </c>
      <c r="B429" s="36" t="s">
        <v>358</v>
      </c>
      <c r="C429" s="469">
        <v>11</v>
      </c>
      <c r="D429" s="470" t="s">
        <v>494</v>
      </c>
      <c r="E429" s="37">
        <f t="shared" si="36"/>
        <v>0</v>
      </c>
      <c r="F429" s="470" t="s">
        <v>494</v>
      </c>
      <c r="G429" s="37">
        <f t="shared" si="37"/>
        <v>0</v>
      </c>
      <c r="H429" s="37" t="s">
        <v>494</v>
      </c>
      <c r="I429" s="37">
        <f t="shared" si="38"/>
        <v>0</v>
      </c>
      <c r="J429" s="37" t="s">
        <v>347</v>
      </c>
      <c r="K429" s="37">
        <f t="shared" si="39"/>
        <v>0</v>
      </c>
      <c r="L429" s="37" t="s">
        <v>494</v>
      </c>
      <c r="M429" s="37">
        <f t="shared" si="40"/>
        <v>0</v>
      </c>
      <c r="N429" s="470" t="s">
        <v>347</v>
      </c>
      <c r="O429" s="470">
        <f t="shared" si="41"/>
        <v>0</v>
      </c>
      <c r="P429" s="37" t="str">
        <f t="shared" si="42"/>
        <v>None</v>
      </c>
      <c r="Q429" s="470" t="s">
        <v>346</v>
      </c>
      <c r="R429" s="37">
        <f t="shared" si="43"/>
        <v>0</v>
      </c>
      <c r="S429" s="470" t="s">
        <v>347</v>
      </c>
      <c r="T429" s="470">
        <f t="shared" si="44"/>
        <v>0</v>
      </c>
      <c r="U429" s="470" t="s">
        <v>346</v>
      </c>
      <c r="V429" s="111">
        <f>IF(OR(F429="none",G429="V"),0,VLOOKUP(F429,'Purchased Boons'!$AR$4:$AS$27,2,FALSE))</f>
        <v>0</v>
      </c>
      <c r="W429" s="39" t="s">
        <v>1635</v>
      </c>
      <c r="X429" s="37" t="s">
        <v>494</v>
      </c>
      <c r="Y429" s="37" t="s">
        <v>5</v>
      </c>
      <c r="Z429" s="111">
        <v>91</v>
      </c>
      <c r="AG429" s="24"/>
      <c r="AH429" s="24"/>
    </row>
    <row r="430" spans="1:34" x14ac:dyDescent="0.25">
      <c r="A430" s="473" t="s">
        <v>1495</v>
      </c>
      <c r="B430" s="39" t="s">
        <v>690</v>
      </c>
      <c r="C430" s="37">
        <v>11</v>
      </c>
      <c r="D430" s="470" t="s">
        <v>494</v>
      </c>
      <c r="E430" s="37">
        <f t="shared" si="36"/>
        <v>0</v>
      </c>
      <c r="F430" s="470" t="s">
        <v>494</v>
      </c>
      <c r="G430" s="37">
        <f t="shared" si="37"/>
        <v>0</v>
      </c>
      <c r="H430" s="37" t="s">
        <v>494</v>
      </c>
      <c r="I430" s="37">
        <f t="shared" si="38"/>
        <v>0</v>
      </c>
      <c r="J430" s="37" t="s">
        <v>347</v>
      </c>
      <c r="K430" s="37">
        <f t="shared" si="39"/>
        <v>0</v>
      </c>
      <c r="L430" s="37" t="s">
        <v>494</v>
      </c>
      <c r="M430" s="37">
        <f t="shared" si="40"/>
        <v>0</v>
      </c>
      <c r="N430" s="470" t="s">
        <v>347</v>
      </c>
      <c r="O430" s="470">
        <f t="shared" si="41"/>
        <v>0</v>
      </c>
      <c r="P430" s="37" t="str">
        <f t="shared" si="42"/>
        <v>None</v>
      </c>
      <c r="Q430" s="470" t="s">
        <v>346</v>
      </c>
      <c r="R430" s="37">
        <f t="shared" si="43"/>
        <v>0</v>
      </c>
      <c r="S430" s="470" t="s">
        <v>347</v>
      </c>
      <c r="T430" s="470">
        <f t="shared" si="44"/>
        <v>0</v>
      </c>
      <c r="U430" s="470" t="s">
        <v>346</v>
      </c>
      <c r="V430" s="111">
        <f>IF(OR(F430="none",G430="V"),0,VLOOKUP(F430,'Purchased Boons'!$AR$4:$AS$27,2,FALSE))</f>
        <v>0</v>
      </c>
      <c r="W430" s="39" t="s">
        <v>1635</v>
      </c>
      <c r="X430" s="37" t="s">
        <v>494</v>
      </c>
      <c r="Y430" s="37" t="s">
        <v>1484</v>
      </c>
      <c r="Z430" s="111">
        <v>38</v>
      </c>
      <c r="AG430" s="24"/>
      <c r="AH430" s="24"/>
    </row>
    <row r="431" spans="1:34" x14ac:dyDescent="0.25">
      <c r="A431" s="468" t="s">
        <v>1274</v>
      </c>
      <c r="B431" s="36" t="s">
        <v>359</v>
      </c>
      <c r="C431" s="469">
        <v>11</v>
      </c>
      <c r="D431" s="470" t="s">
        <v>494</v>
      </c>
      <c r="E431" s="37">
        <f t="shared" si="36"/>
        <v>0</v>
      </c>
      <c r="F431" s="470" t="s">
        <v>494</v>
      </c>
      <c r="G431" s="37">
        <f t="shared" si="37"/>
        <v>0</v>
      </c>
      <c r="H431" s="37" t="s">
        <v>494</v>
      </c>
      <c r="I431" s="37">
        <f t="shared" si="38"/>
        <v>0</v>
      </c>
      <c r="J431" s="37" t="s">
        <v>347</v>
      </c>
      <c r="K431" s="37">
        <f t="shared" si="39"/>
        <v>0</v>
      </c>
      <c r="L431" s="37" t="s">
        <v>494</v>
      </c>
      <c r="M431" s="37">
        <f t="shared" si="40"/>
        <v>0</v>
      </c>
      <c r="N431" s="470" t="s">
        <v>347</v>
      </c>
      <c r="O431" s="470">
        <f t="shared" si="41"/>
        <v>0</v>
      </c>
      <c r="P431" s="37" t="str">
        <f t="shared" si="42"/>
        <v>None</v>
      </c>
      <c r="Q431" s="470" t="s">
        <v>346</v>
      </c>
      <c r="R431" s="37">
        <f t="shared" si="43"/>
        <v>0</v>
      </c>
      <c r="S431" s="470" t="s">
        <v>347</v>
      </c>
      <c r="T431" s="470">
        <f t="shared" si="44"/>
        <v>0</v>
      </c>
      <c r="U431" s="470" t="s">
        <v>346</v>
      </c>
      <c r="V431" s="111">
        <f>IF(OR(F431="none",G431="V"),0,VLOOKUP(F431,'Purchased Boons'!$AR$4:$AS$27,2,FALSE))</f>
        <v>0</v>
      </c>
      <c r="W431" s="39" t="s">
        <v>1635</v>
      </c>
      <c r="X431" s="37" t="s">
        <v>494</v>
      </c>
      <c r="Y431" s="37" t="s">
        <v>5</v>
      </c>
      <c r="Z431" s="111">
        <v>91</v>
      </c>
      <c r="AG431" s="24"/>
      <c r="AH431" s="24"/>
    </row>
    <row r="432" spans="1:34" ht="30" x14ac:dyDescent="0.25">
      <c r="A432" s="468" t="s">
        <v>1278</v>
      </c>
      <c r="B432" s="36" t="s">
        <v>108</v>
      </c>
      <c r="C432" s="469">
        <v>11</v>
      </c>
      <c r="D432" s="470" t="s">
        <v>494</v>
      </c>
      <c r="E432" s="37">
        <f t="shared" si="36"/>
        <v>0</v>
      </c>
      <c r="F432" s="470" t="s">
        <v>494</v>
      </c>
      <c r="G432" s="37">
        <f t="shared" si="37"/>
        <v>0</v>
      </c>
      <c r="H432" s="37" t="s">
        <v>494</v>
      </c>
      <c r="I432" s="37">
        <f t="shared" si="38"/>
        <v>0</v>
      </c>
      <c r="J432" s="37" t="s">
        <v>347</v>
      </c>
      <c r="K432" s="37">
        <f t="shared" si="39"/>
        <v>0</v>
      </c>
      <c r="L432" s="37" t="s">
        <v>494</v>
      </c>
      <c r="M432" s="37">
        <f t="shared" si="40"/>
        <v>0</v>
      </c>
      <c r="N432" s="470" t="s">
        <v>347</v>
      </c>
      <c r="O432" s="470">
        <f t="shared" si="41"/>
        <v>0</v>
      </c>
      <c r="P432" s="37" t="str">
        <f t="shared" si="42"/>
        <v>None</v>
      </c>
      <c r="Q432" s="470" t="s">
        <v>346</v>
      </c>
      <c r="R432" s="37">
        <f t="shared" si="43"/>
        <v>0</v>
      </c>
      <c r="S432" s="470" t="s">
        <v>347</v>
      </c>
      <c r="T432" s="470">
        <f t="shared" si="44"/>
        <v>0</v>
      </c>
      <c r="U432" s="470" t="s">
        <v>346</v>
      </c>
      <c r="V432" s="111">
        <f>IF(OR(F432="none",G432="V"),0,VLOOKUP(F432,'Purchased Boons'!$AR$4:$AS$27,2,FALSE))</f>
        <v>0</v>
      </c>
      <c r="W432" s="39" t="s">
        <v>1635</v>
      </c>
      <c r="X432" s="37" t="s">
        <v>494</v>
      </c>
      <c r="Y432" s="37" t="s">
        <v>5</v>
      </c>
      <c r="Z432" s="111">
        <v>93</v>
      </c>
      <c r="AG432" s="24"/>
      <c r="AH432" s="24"/>
    </row>
    <row r="433" spans="1:34" x14ac:dyDescent="0.25">
      <c r="A433" s="473" t="s">
        <v>1509</v>
      </c>
      <c r="B433" s="39" t="s">
        <v>689</v>
      </c>
      <c r="C433" s="37">
        <v>11</v>
      </c>
      <c r="D433" s="470" t="s">
        <v>494</v>
      </c>
      <c r="E433" s="37">
        <f t="shared" si="36"/>
        <v>0</v>
      </c>
      <c r="F433" s="470" t="s">
        <v>494</v>
      </c>
      <c r="G433" s="37">
        <f t="shared" si="37"/>
        <v>0</v>
      </c>
      <c r="H433" s="37" t="s">
        <v>494</v>
      </c>
      <c r="I433" s="37">
        <f t="shared" si="38"/>
        <v>0</v>
      </c>
      <c r="J433" s="37" t="s">
        <v>347</v>
      </c>
      <c r="K433" s="37">
        <f t="shared" si="39"/>
        <v>0</v>
      </c>
      <c r="L433" s="37" t="s">
        <v>494</v>
      </c>
      <c r="M433" s="37">
        <f t="shared" si="40"/>
        <v>0</v>
      </c>
      <c r="N433" s="470" t="s">
        <v>347</v>
      </c>
      <c r="O433" s="470">
        <f t="shared" si="41"/>
        <v>0</v>
      </c>
      <c r="P433" s="37" t="str">
        <f t="shared" si="42"/>
        <v>None</v>
      </c>
      <c r="Q433" s="470" t="s">
        <v>346</v>
      </c>
      <c r="R433" s="37">
        <f t="shared" si="43"/>
        <v>0</v>
      </c>
      <c r="S433" s="470" t="s">
        <v>347</v>
      </c>
      <c r="T433" s="470">
        <f t="shared" si="44"/>
        <v>0</v>
      </c>
      <c r="U433" s="470" t="s">
        <v>346</v>
      </c>
      <c r="V433" s="111">
        <f>IF(OR(F433="none",G433="V"),0,VLOOKUP(F433,'Purchased Boons'!$AR$4:$AS$27,2,FALSE))</f>
        <v>0</v>
      </c>
      <c r="W433" s="39" t="s">
        <v>1635</v>
      </c>
      <c r="X433" s="37" t="s">
        <v>494</v>
      </c>
      <c r="Y433" s="37" t="s">
        <v>1484</v>
      </c>
      <c r="Z433" s="111">
        <v>44</v>
      </c>
      <c r="AG433" s="24"/>
      <c r="AH433" s="24"/>
    </row>
    <row r="434" spans="1:34" x14ac:dyDescent="0.25">
      <c r="A434" s="468" t="s">
        <v>1632</v>
      </c>
      <c r="B434" s="36" t="s">
        <v>360</v>
      </c>
      <c r="C434" s="469">
        <v>11</v>
      </c>
      <c r="D434" s="470" t="s">
        <v>494</v>
      </c>
      <c r="E434" s="37">
        <f t="shared" si="36"/>
        <v>0</v>
      </c>
      <c r="F434" s="470" t="s">
        <v>494</v>
      </c>
      <c r="G434" s="37">
        <f t="shared" si="37"/>
        <v>0</v>
      </c>
      <c r="H434" s="37" t="s">
        <v>494</v>
      </c>
      <c r="I434" s="37">
        <f t="shared" si="38"/>
        <v>0</v>
      </c>
      <c r="J434" s="37" t="s">
        <v>347</v>
      </c>
      <c r="K434" s="37">
        <f t="shared" si="39"/>
        <v>0</v>
      </c>
      <c r="L434" s="37" t="s">
        <v>494</v>
      </c>
      <c r="M434" s="37">
        <f t="shared" si="40"/>
        <v>0</v>
      </c>
      <c r="N434" s="470" t="s">
        <v>347</v>
      </c>
      <c r="O434" s="470">
        <f t="shared" si="41"/>
        <v>0</v>
      </c>
      <c r="P434" s="37" t="str">
        <f t="shared" si="42"/>
        <v>None</v>
      </c>
      <c r="Q434" s="470" t="s">
        <v>346</v>
      </c>
      <c r="R434" s="37">
        <f t="shared" si="43"/>
        <v>0</v>
      </c>
      <c r="S434" s="470" t="s">
        <v>347</v>
      </c>
      <c r="T434" s="470">
        <f t="shared" si="44"/>
        <v>0</v>
      </c>
      <c r="U434" s="470" t="s">
        <v>346</v>
      </c>
      <c r="V434" s="111">
        <f>IF(OR(F434="none",G434="V"),0,VLOOKUP(F434,'Purchased Boons'!$AR$4:$AS$27,2,FALSE))</f>
        <v>0</v>
      </c>
      <c r="W434" s="39" t="s">
        <v>1635</v>
      </c>
      <c r="X434" s="37" t="s">
        <v>494</v>
      </c>
      <c r="Y434" s="37" t="s">
        <v>5</v>
      </c>
      <c r="Z434" s="111">
        <v>95</v>
      </c>
      <c r="AG434" s="24"/>
      <c r="AH434" s="24"/>
    </row>
    <row r="435" spans="1:34" x14ac:dyDescent="0.25">
      <c r="A435" s="468" t="s">
        <v>1327</v>
      </c>
      <c r="B435" s="36" t="s">
        <v>371</v>
      </c>
      <c r="C435" s="469">
        <v>11</v>
      </c>
      <c r="D435" s="470" t="s">
        <v>494</v>
      </c>
      <c r="E435" s="37">
        <f t="shared" si="36"/>
        <v>0</v>
      </c>
      <c r="F435" s="470" t="s">
        <v>494</v>
      </c>
      <c r="G435" s="37">
        <f t="shared" si="37"/>
        <v>0</v>
      </c>
      <c r="H435" s="37" t="s">
        <v>494</v>
      </c>
      <c r="I435" s="37">
        <f t="shared" si="38"/>
        <v>0</v>
      </c>
      <c r="J435" s="37" t="s">
        <v>347</v>
      </c>
      <c r="K435" s="37">
        <f t="shared" si="39"/>
        <v>0</v>
      </c>
      <c r="L435" s="37" t="s">
        <v>494</v>
      </c>
      <c r="M435" s="37">
        <f t="shared" si="40"/>
        <v>0</v>
      </c>
      <c r="N435" s="470" t="s">
        <v>347</v>
      </c>
      <c r="O435" s="470">
        <f t="shared" si="41"/>
        <v>0</v>
      </c>
      <c r="P435" s="37" t="str">
        <f t="shared" si="42"/>
        <v>None</v>
      </c>
      <c r="Q435" s="470" t="s">
        <v>346</v>
      </c>
      <c r="R435" s="37">
        <f t="shared" si="43"/>
        <v>0</v>
      </c>
      <c r="S435" s="470" t="s">
        <v>347</v>
      </c>
      <c r="T435" s="470">
        <f t="shared" si="44"/>
        <v>0</v>
      </c>
      <c r="U435" s="470" t="s">
        <v>346</v>
      </c>
      <c r="V435" s="111">
        <f>IF(OR(F435="none",G435="V"),0,VLOOKUP(F435,'Purchased Boons'!$AR$4:$AS$27,2,FALSE))</f>
        <v>0</v>
      </c>
      <c r="W435" s="39" t="s">
        <v>1635</v>
      </c>
      <c r="X435" s="37" t="s">
        <v>494</v>
      </c>
      <c r="Y435" s="37" t="s">
        <v>5</v>
      </c>
      <c r="Z435" s="111">
        <v>111</v>
      </c>
      <c r="AG435" s="24"/>
      <c r="AH435" s="24"/>
    </row>
    <row r="436" spans="1:34" x14ac:dyDescent="0.25">
      <c r="A436" s="468" t="s">
        <v>1285</v>
      </c>
      <c r="B436" s="36" t="s">
        <v>361</v>
      </c>
      <c r="C436" s="469">
        <v>11</v>
      </c>
      <c r="D436" s="470" t="s">
        <v>494</v>
      </c>
      <c r="E436" s="37">
        <f t="shared" si="36"/>
        <v>0</v>
      </c>
      <c r="F436" s="470" t="s">
        <v>494</v>
      </c>
      <c r="G436" s="37">
        <f t="shared" si="37"/>
        <v>0</v>
      </c>
      <c r="H436" s="37" t="s">
        <v>494</v>
      </c>
      <c r="I436" s="37">
        <f t="shared" si="38"/>
        <v>0</v>
      </c>
      <c r="J436" s="37" t="s">
        <v>347</v>
      </c>
      <c r="K436" s="37">
        <f t="shared" si="39"/>
        <v>0</v>
      </c>
      <c r="L436" s="37" t="s">
        <v>494</v>
      </c>
      <c r="M436" s="37">
        <f t="shared" si="40"/>
        <v>0</v>
      </c>
      <c r="N436" s="470" t="s">
        <v>347</v>
      </c>
      <c r="O436" s="470">
        <f t="shared" si="41"/>
        <v>0</v>
      </c>
      <c r="P436" s="37" t="str">
        <f t="shared" si="42"/>
        <v>None</v>
      </c>
      <c r="Q436" s="470" t="s">
        <v>346</v>
      </c>
      <c r="R436" s="37">
        <f t="shared" si="43"/>
        <v>0</v>
      </c>
      <c r="S436" s="470" t="s">
        <v>347</v>
      </c>
      <c r="T436" s="470">
        <f t="shared" si="44"/>
        <v>0</v>
      </c>
      <c r="U436" s="470" t="s">
        <v>346</v>
      </c>
      <c r="V436" s="111">
        <f>IF(OR(F436="none",G436="V"),0,VLOOKUP(F436,'Purchased Boons'!$AR$4:$AS$27,2,FALSE))</f>
        <v>0</v>
      </c>
      <c r="W436" s="39" t="s">
        <v>1635</v>
      </c>
      <c r="X436" s="37" t="s">
        <v>494</v>
      </c>
      <c r="Y436" s="37" t="s">
        <v>5</v>
      </c>
      <c r="Z436" s="111">
        <v>96</v>
      </c>
      <c r="AG436" s="24"/>
      <c r="AH436" s="24"/>
    </row>
    <row r="437" spans="1:34" x14ac:dyDescent="0.25">
      <c r="A437" s="468" t="s">
        <v>1335</v>
      </c>
      <c r="B437" s="36" t="s">
        <v>370</v>
      </c>
      <c r="C437" s="469">
        <v>11</v>
      </c>
      <c r="D437" s="470" t="s">
        <v>494</v>
      </c>
      <c r="E437" s="37">
        <f t="shared" si="36"/>
        <v>0</v>
      </c>
      <c r="F437" s="470" t="s">
        <v>494</v>
      </c>
      <c r="G437" s="37">
        <f t="shared" si="37"/>
        <v>0</v>
      </c>
      <c r="H437" s="37" t="s">
        <v>494</v>
      </c>
      <c r="I437" s="37">
        <f t="shared" si="38"/>
        <v>0</v>
      </c>
      <c r="J437" s="37" t="s">
        <v>347</v>
      </c>
      <c r="K437" s="37">
        <f t="shared" si="39"/>
        <v>0</v>
      </c>
      <c r="L437" s="37" t="s">
        <v>494</v>
      </c>
      <c r="M437" s="37">
        <f t="shared" si="40"/>
        <v>0</v>
      </c>
      <c r="N437" s="470" t="s">
        <v>347</v>
      </c>
      <c r="O437" s="470">
        <f t="shared" si="41"/>
        <v>0</v>
      </c>
      <c r="P437" s="37" t="str">
        <f t="shared" si="42"/>
        <v>None</v>
      </c>
      <c r="Q437" s="470" t="s">
        <v>346</v>
      </c>
      <c r="R437" s="37">
        <f t="shared" si="43"/>
        <v>0</v>
      </c>
      <c r="S437" s="470" t="s">
        <v>347</v>
      </c>
      <c r="T437" s="470">
        <f t="shared" si="44"/>
        <v>0</v>
      </c>
      <c r="U437" s="470" t="s">
        <v>346</v>
      </c>
      <c r="V437" s="111">
        <f>IF(OR(F437="none",G437="V"),0,VLOOKUP(F437,'Purchased Boons'!$AR$4:$AS$27,2,FALSE))</f>
        <v>0</v>
      </c>
      <c r="W437" s="39" t="s">
        <v>1635</v>
      </c>
      <c r="X437" s="37" t="s">
        <v>494</v>
      </c>
      <c r="Y437" s="37" t="s">
        <v>5</v>
      </c>
      <c r="Z437" s="111">
        <v>111</v>
      </c>
      <c r="AG437" s="24"/>
      <c r="AH437" s="24"/>
    </row>
    <row r="438" spans="1:34" x14ac:dyDescent="0.25">
      <c r="A438" s="468" t="s">
        <v>1289</v>
      </c>
      <c r="B438" s="36" t="s">
        <v>362</v>
      </c>
      <c r="C438" s="469">
        <v>11</v>
      </c>
      <c r="D438" s="470" t="s">
        <v>494</v>
      </c>
      <c r="E438" s="37">
        <f t="shared" si="36"/>
        <v>0</v>
      </c>
      <c r="F438" s="470" t="s">
        <v>494</v>
      </c>
      <c r="G438" s="37">
        <f t="shared" si="37"/>
        <v>0</v>
      </c>
      <c r="H438" s="37" t="s">
        <v>494</v>
      </c>
      <c r="I438" s="37">
        <f t="shared" si="38"/>
        <v>0</v>
      </c>
      <c r="J438" s="37" t="s">
        <v>347</v>
      </c>
      <c r="K438" s="37">
        <f t="shared" si="39"/>
        <v>0</v>
      </c>
      <c r="L438" s="37" t="s">
        <v>494</v>
      </c>
      <c r="M438" s="37">
        <f t="shared" si="40"/>
        <v>0</v>
      </c>
      <c r="N438" s="470" t="s">
        <v>347</v>
      </c>
      <c r="O438" s="470">
        <f t="shared" si="41"/>
        <v>0</v>
      </c>
      <c r="P438" s="37" t="str">
        <f t="shared" si="42"/>
        <v>None</v>
      </c>
      <c r="Q438" s="470" t="s">
        <v>346</v>
      </c>
      <c r="R438" s="37">
        <f t="shared" si="43"/>
        <v>0</v>
      </c>
      <c r="S438" s="470" t="s">
        <v>347</v>
      </c>
      <c r="T438" s="470">
        <f t="shared" si="44"/>
        <v>0</v>
      </c>
      <c r="U438" s="470" t="s">
        <v>346</v>
      </c>
      <c r="V438" s="111">
        <f>IF(OR(F438="none",G438="V"),0,VLOOKUP(F438,'Purchased Boons'!$AR$4:$AS$27,2,FALSE))</f>
        <v>0</v>
      </c>
      <c r="W438" s="39" t="s">
        <v>1635</v>
      </c>
      <c r="X438" s="37" t="s">
        <v>494</v>
      </c>
      <c r="Y438" s="37" t="s">
        <v>5</v>
      </c>
      <c r="Z438" s="111">
        <v>98</v>
      </c>
      <c r="AG438" s="24"/>
      <c r="AH438" s="24"/>
    </row>
    <row r="439" spans="1:34" x14ac:dyDescent="0.25">
      <c r="A439" s="468" t="s">
        <v>1293</v>
      </c>
      <c r="B439" s="36" t="s">
        <v>363</v>
      </c>
      <c r="C439" s="469">
        <v>11</v>
      </c>
      <c r="D439" s="470" t="s">
        <v>494</v>
      </c>
      <c r="E439" s="37">
        <f t="shared" si="36"/>
        <v>0</v>
      </c>
      <c r="F439" s="470" t="s">
        <v>494</v>
      </c>
      <c r="G439" s="37">
        <f t="shared" si="37"/>
        <v>0</v>
      </c>
      <c r="H439" s="37" t="s">
        <v>494</v>
      </c>
      <c r="I439" s="37">
        <f t="shared" si="38"/>
        <v>0</v>
      </c>
      <c r="J439" s="37" t="s">
        <v>347</v>
      </c>
      <c r="K439" s="37">
        <f t="shared" si="39"/>
        <v>0</v>
      </c>
      <c r="L439" s="37" t="s">
        <v>494</v>
      </c>
      <c r="M439" s="37">
        <f t="shared" si="40"/>
        <v>0</v>
      </c>
      <c r="N439" s="470" t="s">
        <v>347</v>
      </c>
      <c r="O439" s="470">
        <f t="shared" si="41"/>
        <v>0</v>
      </c>
      <c r="P439" s="37" t="str">
        <f t="shared" si="42"/>
        <v>None</v>
      </c>
      <c r="Q439" s="470" t="s">
        <v>346</v>
      </c>
      <c r="R439" s="37">
        <f t="shared" si="43"/>
        <v>0</v>
      </c>
      <c r="S439" s="470" t="s">
        <v>347</v>
      </c>
      <c r="T439" s="470">
        <f t="shared" si="44"/>
        <v>0</v>
      </c>
      <c r="U439" s="470" t="s">
        <v>346</v>
      </c>
      <c r="V439" s="111">
        <f>IF(OR(F439="none",G439="V"),0,VLOOKUP(F439,'Purchased Boons'!$AR$4:$AS$27,2,FALSE))</f>
        <v>0</v>
      </c>
      <c r="W439" s="39" t="s">
        <v>1635</v>
      </c>
      <c r="X439" s="37" t="s">
        <v>494</v>
      </c>
      <c r="Y439" s="37" t="s">
        <v>5</v>
      </c>
      <c r="Z439" s="111">
        <v>100</v>
      </c>
      <c r="AG439" s="24"/>
      <c r="AH439" s="24"/>
    </row>
    <row r="440" spans="1:34" x14ac:dyDescent="0.25">
      <c r="A440" s="473" t="s">
        <v>1483</v>
      </c>
      <c r="B440" s="36" t="s">
        <v>364</v>
      </c>
      <c r="C440" s="37">
        <v>11</v>
      </c>
      <c r="D440" s="470" t="s">
        <v>494</v>
      </c>
      <c r="E440" s="37">
        <f t="shared" si="36"/>
        <v>0</v>
      </c>
      <c r="F440" s="470" t="s">
        <v>494</v>
      </c>
      <c r="G440" s="37">
        <f t="shared" si="37"/>
        <v>0</v>
      </c>
      <c r="H440" s="37" t="s">
        <v>494</v>
      </c>
      <c r="I440" s="37">
        <f t="shared" si="38"/>
        <v>0</v>
      </c>
      <c r="J440" s="37" t="s">
        <v>347</v>
      </c>
      <c r="K440" s="37">
        <f t="shared" si="39"/>
        <v>0</v>
      </c>
      <c r="L440" s="37" t="s">
        <v>494</v>
      </c>
      <c r="M440" s="37">
        <f t="shared" si="40"/>
        <v>0</v>
      </c>
      <c r="N440" s="470" t="s">
        <v>347</v>
      </c>
      <c r="O440" s="470">
        <f t="shared" si="41"/>
        <v>0</v>
      </c>
      <c r="P440" s="37" t="str">
        <f t="shared" si="42"/>
        <v>None</v>
      </c>
      <c r="Q440" s="470" t="s">
        <v>346</v>
      </c>
      <c r="R440" s="37">
        <f t="shared" si="43"/>
        <v>0</v>
      </c>
      <c r="S440" s="470" t="s">
        <v>347</v>
      </c>
      <c r="T440" s="470">
        <f t="shared" si="44"/>
        <v>0</v>
      </c>
      <c r="U440" s="470" t="s">
        <v>346</v>
      </c>
      <c r="V440" s="111">
        <f>IF(OR(F440="none",G440="V"),0,VLOOKUP(F440,'Purchased Boons'!$AR$4:$AS$27,2,FALSE))</f>
        <v>0</v>
      </c>
      <c r="W440" s="39" t="s">
        <v>1635</v>
      </c>
      <c r="X440" s="37" t="s">
        <v>494</v>
      </c>
      <c r="Y440" s="37" t="s">
        <v>1462</v>
      </c>
      <c r="Z440" s="111">
        <v>19</v>
      </c>
      <c r="AG440" s="24"/>
      <c r="AH440" s="24"/>
    </row>
    <row r="441" spans="1:34" x14ac:dyDescent="0.25">
      <c r="A441" s="468" t="s">
        <v>1297</v>
      </c>
      <c r="B441" s="36" t="s">
        <v>365</v>
      </c>
      <c r="C441" s="469">
        <v>11</v>
      </c>
      <c r="D441" s="470" t="s">
        <v>494</v>
      </c>
      <c r="E441" s="37">
        <f t="shared" si="36"/>
        <v>0</v>
      </c>
      <c r="F441" s="470" t="s">
        <v>494</v>
      </c>
      <c r="G441" s="37">
        <f t="shared" si="37"/>
        <v>0</v>
      </c>
      <c r="H441" s="37" t="s">
        <v>494</v>
      </c>
      <c r="I441" s="37">
        <f t="shared" si="38"/>
        <v>0</v>
      </c>
      <c r="J441" s="37" t="s">
        <v>347</v>
      </c>
      <c r="K441" s="37">
        <f t="shared" si="39"/>
        <v>0</v>
      </c>
      <c r="L441" s="37" t="s">
        <v>494</v>
      </c>
      <c r="M441" s="37">
        <f t="shared" si="40"/>
        <v>0</v>
      </c>
      <c r="N441" s="470" t="s">
        <v>347</v>
      </c>
      <c r="O441" s="470">
        <f t="shared" si="41"/>
        <v>0</v>
      </c>
      <c r="P441" s="37" t="str">
        <f t="shared" si="42"/>
        <v>None</v>
      </c>
      <c r="Q441" s="470" t="s">
        <v>346</v>
      </c>
      <c r="R441" s="37">
        <f t="shared" si="43"/>
        <v>0</v>
      </c>
      <c r="S441" s="470" t="s">
        <v>347</v>
      </c>
      <c r="T441" s="470">
        <f t="shared" si="44"/>
        <v>0</v>
      </c>
      <c r="U441" s="470" t="s">
        <v>346</v>
      </c>
      <c r="V441" s="111">
        <f>IF(OR(F441="none",G441="V"),0,VLOOKUP(F441,'Purchased Boons'!$AR$4:$AS$27,2,FALSE))</f>
        <v>0</v>
      </c>
      <c r="W441" s="39" t="s">
        <v>1635</v>
      </c>
      <c r="X441" s="37" t="s">
        <v>494</v>
      </c>
      <c r="Y441" s="37" t="s">
        <v>5</v>
      </c>
      <c r="Z441" s="111">
        <v>101</v>
      </c>
      <c r="AG441" s="24"/>
      <c r="AH441" s="24"/>
    </row>
    <row r="442" spans="1:34" x14ac:dyDescent="0.25">
      <c r="A442" s="468" t="s">
        <v>1301</v>
      </c>
      <c r="B442" s="36" t="s">
        <v>366</v>
      </c>
      <c r="C442" s="469">
        <v>11</v>
      </c>
      <c r="D442" s="470" t="s">
        <v>494</v>
      </c>
      <c r="E442" s="37">
        <f t="shared" si="36"/>
        <v>0</v>
      </c>
      <c r="F442" s="470" t="s">
        <v>494</v>
      </c>
      <c r="G442" s="37">
        <f t="shared" si="37"/>
        <v>0</v>
      </c>
      <c r="H442" s="37" t="s">
        <v>494</v>
      </c>
      <c r="I442" s="37">
        <f t="shared" si="38"/>
        <v>0</v>
      </c>
      <c r="J442" s="37" t="s">
        <v>347</v>
      </c>
      <c r="K442" s="37">
        <f t="shared" si="39"/>
        <v>0</v>
      </c>
      <c r="L442" s="37" t="s">
        <v>494</v>
      </c>
      <c r="M442" s="37">
        <f t="shared" si="40"/>
        <v>0</v>
      </c>
      <c r="N442" s="470" t="s">
        <v>347</v>
      </c>
      <c r="O442" s="470">
        <f t="shared" si="41"/>
        <v>0</v>
      </c>
      <c r="P442" s="37" t="str">
        <f t="shared" si="42"/>
        <v>None</v>
      </c>
      <c r="Q442" s="470" t="s">
        <v>346</v>
      </c>
      <c r="R442" s="37">
        <f t="shared" si="43"/>
        <v>0</v>
      </c>
      <c r="S442" s="470" t="s">
        <v>347</v>
      </c>
      <c r="T442" s="470">
        <f t="shared" si="44"/>
        <v>0</v>
      </c>
      <c r="U442" s="470" t="s">
        <v>346</v>
      </c>
      <c r="V442" s="111">
        <f>IF(OR(F442="none",G442="V"),0,VLOOKUP(F442,'Purchased Boons'!$AR$4:$AS$27,2,FALSE))</f>
        <v>0</v>
      </c>
      <c r="W442" s="39" t="s">
        <v>1635</v>
      </c>
      <c r="X442" s="37" t="s">
        <v>494</v>
      </c>
      <c r="Y442" s="37" t="s">
        <v>5</v>
      </c>
      <c r="Z442" s="111">
        <v>103</v>
      </c>
      <c r="AG442" s="24"/>
      <c r="AH442" s="24"/>
    </row>
    <row r="443" spans="1:34" x14ac:dyDescent="0.25">
      <c r="A443" s="468" t="s">
        <v>1305</v>
      </c>
      <c r="B443" s="36" t="s">
        <v>367</v>
      </c>
      <c r="C443" s="469">
        <v>11</v>
      </c>
      <c r="D443" s="470" t="s">
        <v>494</v>
      </c>
      <c r="E443" s="37">
        <f t="shared" si="36"/>
        <v>0</v>
      </c>
      <c r="F443" s="470" t="s">
        <v>494</v>
      </c>
      <c r="G443" s="37">
        <f t="shared" si="37"/>
        <v>0</v>
      </c>
      <c r="H443" s="37" t="s">
        <v>494</v>
      </c>
      <c r="I443" s="37">
        <f t="shared" si="38"/>
        <v>0</v>
      </c>
      <c r="J443" s="37" t="s">
        <v>347</v>
      </c>
      <c r="K443" s="37">
        <f t="shared" si="39"/>
        <v>0</v>
      </c>
      <c r="L443" s="37" t="s">
        <v>494</v>
      </c>
      <c r="M443" s="37">
        <f t="shared" si="40"/>
        <v>0</v>
      </c>
      <c r="N443" s="470" t="s">
        <v>347</v>
      </c>
      <c r="O443" s="470">
        <f t="shared" si="41"/>
        <v>0</v>
      </c>
      <c r="P443" s="37" t="str">
        <f t="shared" si="42"/>
        <v>None</v>
      </c>
      <c r="Q443" s="470" t="s">
        <v>346</v>
      </c>
      <c r="R443" s="37">
        <f t="shared" si="43"/>
        <v>0</v>
      </c>
      <c r="S443" s="470" t="s">
        <v>347</v>
      </c>
      <c r="T443" s="470">
        <f t="shared" si="44"/>
        <v>0</v>
      </c>
      <c r="U443" s="470" t="s">
        <v>346</v>
      </c>
      <c r="V443" s="111">
        <f>IF(OR(F443="none",G443="V"),0,VLOOKUP(F443,'Purchased Boons'!$AR$4:$AS$27,2,FALSE))</f>
        <v>0</v>
      </c>
      <c r="W443" s="39" t="s">
        <v>1635</v>
      </c>
      <c r="X443" s="37" t="s">
        <v>494</v>
      </c>
      <c r="Y443" s="37" t="s">
        <v>5</v>
      </c>
      <c r="Z443" s="111">
        <v>104</v>
      </c>
      <c r="AG443" s="24"/>
      <c r="AH443" s="24"/>
    </row>
    <row r="444" spans="1:34" x14ac:dyDescent="0.25">
      <c r="A444" s="468" t="s">
        <v>1436</v>
      </c>
      <c r="B444" s="36" t="s">
        <v>170</v>
      </c>
      <c r="C444" s="469">
        <v>6</v>
      </c>
      <c r="D444" s="470" t="s">
        <v>21</v>
      </c>
      <c r="E444" s="37">
        <f t="shared" si="36"/>
        <v>1</v>
      </c>
      <c r="F444" s="470" t="s">
        <v>41</v>
      </c>
      <c r="G444" s="37">
        <f t="shared" si="37"/>
        <v>0</v>
      </c>
      <c r="H444" s="37" t="s">
        <v>494</v>
      </c>
      <c r="I444" s="37">
        <f t="shared" si="38"/>
        <v>0</v>
      </c>
      <c r="J444" s="37" t="s">
        <v>347</v>
      </c>
      <c r="K444" s="37">
        <f t="shared" si="39"/>
        <v>0</v>
      </c>
      <c r="L444" s="37" t="s">
        <v>494</v>
      </c>
      <c r="M444" s="37">
        <f t="shared" si="40"/>
        <v>0</v>
      </c>
      <c r="N444" s="470" t="s">
        <v>347</v>
      </c>
      <c r="O444" s="470">
        <f t="shared" si="41"/>
        <v>0</v>
      </c>
      <c r="P444" s="37" t="str">
        <f t="shared" si="42"/>
        <v>1 + 0</v>
      </c>
      <c r="Q444" s="470" t="s">
        <v>346</v>
      </c>
      <c r="R444" s="37">
        <f t="shared" si="43"/>
        <v>0</v>
      </c>
      <c r="S444" s="470" t="s">
        <v>347</v>
      </c>
      <c r="T444" s="470">
        <f t="shared" si="44"/>
        <v>0</v>
      </c>
      <c r="U444" s="470" t="s">
        <v>346</v>
      </c>
      <c r="V444" s="111">
        <f>IF(OR(F444="none",G444="V"),0,VLOOKUP(F444,'Purchased Boons'!$AR$4:$AS$27,2,FALSE))</f>
        <v>0</v>
      </c>
      <c r="W444" s="39" t="s">
        <v>1697</v>
      </c>
      <c r="X444" s="37" t="s">
        <v>1522</v>
      </c>
      <c r="Y444" s="37" t="s">
        <v>1046</v>
      </c>
      <c r="Z444" s="111">
        <v>174</v>
      </c>
      <c r="AG444" s="24"/>
      <c r="AH444" s="24"/>
    </row>
    <row r="445" spans="1:34" x14ac:dyDescent="0.25">
      <c r="A445" s="473" t="s">
        <v>1514</v>
      </c>
      <c r="B445" s="39" t="s">
        <v>371</v>
      </c>
      <c r="C445" s="37">
        <v>6</v>
      </c>
      <c r="D445" s="470" t="s">
        <v>17</v>
      </c>
      <c r="E445" s="37">
        <f t="shared" si="36"/>
        <v>1</v>
      </c>
      <c r="F445" s="470" t="s">
        <v>49</v>
      </c>
      <c r="G445" s="37">
        <f t="shared" si="37"/>
        <v>0</v>
      </c>
      <c r="H445" s="37" t="s">
        <v>494</v>
      </c>
      <c r="I445" s="37">
        <f t="shared" si="38"/>
        <v>0</v>
      </c>
      <c r="J445" s="37" t="s">
        <v>347</v>
      </c>
      <c r="K445" s="37">
        <f t="shared" si="39"/>
        <v>0</v>
      </c>
      <c r="L445" s="37" t="s">
        <v>494</v>
      </c>
      <c r="M445" s="37">
        <f t="shared" si="40"/>
        <v>0</v>
      </c>
      <c r="N445" s="470" t="s">
        <v>347</v>
      </c>
      <c r="O445" s="470">
        <f t="shared" si="41"/>
        <v>0</v>
      </c>
      <c r="P445" s="37" t="str">
        <f t="shared" si="42"/>
        <v>1 + 0</v>
      </c>
      <c r="Q445" s="470" t="s">
        <v>346</v>
      </c>
      <c r="R445" s="37">
        <f t="shared" si="43"/>
        <v>0</v>
      </c>
      <c r="S445" s="470" t="s">
        <v>347</v>
      </c>
      <c r="T445" s="470">
        <f t="shared" si="44"/>
        <v>0</v>
      </c>
      <c r="U445" s="470" t="s">
        <v>346</v>
      </c>
      <c r="V445" s="111">
        <f>IF(OR(F445="none",G445="V"),0,VLOOKUP(F445,'Purchased Boons'!$AR$4:$AS$27,2,FALSE))</f>
        <v>0</v>
      </c>
      <c r="W445" s="39" t="s">
        <v>1607</v>
      </c>
      <c r="X445" s="37" t="s">
        <v>1597</v>
      </c>
      <c r="Y445" s="37" t="s">
        <v>1484</v>
      </c>
      <c r="Z445" s="111">
        <v>45</v>
      </c>
      <c r="AG445" s="24"/>
      <c r="AH445" s="24"/>
    </row>
    <row r="446" spans="1:34" x14ac:dyDescent="0.25">
      <c r="A446" s="468" t="s">
        <v>1218</v>
      </c>
      <c r="B446" s="36" t="s">
        <v>178</v>
      </c>
      <c r="C446" s="469">
        <v>7</v>
      </c>
      <c r="D446" s="470" t="s">
        <v>16</v>
      </c>
      <c r="E446" s="37">
        <f t="shared" si="36"/>
        <v>1</v>
      </c>
      <c r="F446" s="470" t="s">
        <v>49</v>
      </c>
      <c r="G446" s="37">
        <f t="shared" si="37"/>
        <v>0</v>
      </c>
      <c r="H446" s="37" t="s">
        <v>494</v>
      </c>
      <c r="I446" s="37">
        <f t="shared" si="38"/>
        <v>0</v>
      </c>
      <c r="J446" s="37" t="s">
        <v>347</v>
      </c>
      <c r="K446" s="37">
        <f t="shared" si="39"/>
        <v>0</v>
      </c>
      <c r="L446" s="37" t="s">
        <v>494</v>
      </c>
      <c r="M446" s="37">
        <f t="shared" si="40"/>
        <v>0</v>
      </c>
      <c r="N446" s="470" t="s">
        <v>347</v>
      </c>
      <c r="O446" s="470">
        <f t="shared" si="41"/>
        <v>0</v>
      </c>
      <c r="P446" s="37" t="str">
        <f t="shared" si="42"/>
        <v>1 + 0</v>
      </c>
      <c r="Q446" s="470" t="s">
        <v>346</v>
      </c>
      <c r="R446" s="37">
        <f t="shared" si="43"/>
        <v>0</v>
      </c>
      <c r="S446" s="470" t="s">
        <v>347</v>
      </c>
      <c r="T446" s="470">
        <f t="shared" si="44"/>
        <v>0</v>
      </c>
      <c r="U446" s="470" t="s">
        <v>346</v>
      </c>
      <c r="V446" s="111">
        <f>IF(OR(F446="none",G446="V"),0,VLOOKUP(F446,'Purchased Boons'!$AR$4:$AS$27,2,FALSE))</f>
        <v>0</v>
      </c>
      <c r="W446" s="39" t="s">
        <v>1608</v>
      </c>
      <c r="X446" s="37" t="s">
        <v>1549</v>
      </c>
      <c r="Y446" s="37" t="s">
        <v>1045</v>
      </c>
      <c r="Z446" s="111">
        <v>93</v>
      </c>
      <c r="AG446" s="24"/>
      <c r="AH446" s="24"/>
    </row>
    <row r="447" spans="1:34" x14ac:dyDescent="0.25">
      <c r="A447" s="468" t="s">
        <v>1363</v>
      </c>
      <c r="B447" s="36" t="s">
        <v>179</v>
      </c>
      <c r="C447" s="469">
        <v>5</v>
      </c>
      <c r="D447" s="470" t="s">
        <v>17</v>
      </c>
      <c r="E447" s="37">
        <f t="shared" si="36"/>
        <v>1</v>
      </c>
      <c r="F447" s="470" t="s">
        <v>51</v>
      </c>
      <c r="G447" s="37">
        <f t="shared" si="37"/>
        <v>0</v>
      </c>
      <c r="H447" s="37" t="s">
        <v>494</v>
      </c>
      <c r="I447" s="37">
        <f t="shared" si="38"/>
        <v>0</v>
      </c>
      <c r="J447" s="37" t="s">
        <v>347</v>
      </c>
      <c r="K447" s="37">
        <f t="shared" si="39"/>
        <v>0</v>
      </c>
      <c r="L447" s="37" t="s">
        <v>494</v>
      </c>
      <c r="M447" s="37">
        <f t="shared" si="40"/>
        <v>0</v>
      </c>
      <c r="N447" s="470" t="s">
        <v>347</v>
      </c>
      <c r="O447" s="470">
        <f t="shared" si="41"/>
        <v>0</v>
      </c>
      <c r="P447" s="37" t="str">
        <f t="shared" si="42"/>
        <v>1 + 0</v>
      </c>
      <c r="Q447" s="470" t="s">
        <v>346</v>
      </c>
      <c r="R447" s="37">
        <f t="shared" si="43"/>
        <v>0</v>
      </c>
      <c r="S447" s="470" t="s">
        <v>347</v>
      </c>
      <c r="T447" s="470">
        <f t="shared" si="44"/>
        <v>0</v>
      </c>
      <c r="U447" s="470" t="s">
        <v>346</v>
      </c>
      <c r="V447" s="111">
        <f>IF(OR(F447="none",G447="V"),0,VLOOKUP(F447,'Purchased Boons'!$AR$4:$AS$27,2,FALSE))</f>
        <v>0</v>
      </c>
      <c r="W447" s="39" t="s">
        <v>1054</v>
      </c>
      <c r="X447" s="37" t="s">
        <v>1553</v>
      </c>
      <c r="Y447" s="37" t="s">
        <v>1046</v>
      </c>
      <c r="Z447" s="111">
        <v>23</v>
      </c>
      <c r="AG447" s="24"/>
      <c r="AH447" s="24"/>
    </row>
    <row r="448" spans="1:34" x14ac:dyDescent="0.25">
      <c r="A448" s="468" t="s">
        <v>1107</v>
      </c>
      <c r="B448" s="36" t="s">
        <v>366</v>
      </c>
      <c r="C448" s="469">
        <v>2</v>
      </c>
      <c r="D448" s="470" t="s">
        <v>16</v>
      </c>
      <c r="E448" s="37">
        <f t="shared" si="36"/>
        <v>1</v>
      </c>
      <c r="F448" s="470" t="s">
        <v>51</v>
      </c>
      <c r="G448" s="37">
        <f t="shared" si="37"/>
        <v>0</v>
      </c>
      <c r="H448" s="37" t="s">
        <v>494</v>
      </c>
      <c r="I448" s="37">
        <f t="shared" si="38"/>
        <v>0</v>
      </c>
      <c r="J448" s="37" t="s">
        <v>347</v>
      </c>
      <c r="K448" s="37">
        <f t="shared" si="39"/>
        <v>0</v>
      </c>
      <c r="L448" s="37" t="s">
        <v>494</v>
      </c>
      <c r="M448" s="37">
        <f t="shared" si="40"/>
        <v>0</v>
      </c>
      <c r="N448" s="470" t="s">
        <v>347</v>
      </c>
      <c r="O448" s="470">
        <f t="shared" si="41"/>
        <v>0</v>
      </c>
      <c r="P448" s="37" t="str">
        <f t="shared" si="42"/>
        <v>1 + 0</v>
      </c>
      <c r="Q448" s="470" t="s">
        <v>346</v>
      </c>
      <c r="R448" s="37">
        <f t="shared" si="43"/>
        <v>0</v>
      </c>
      <c r="S448" s="470" t="s">
        <v>347</v>
      </c>
      <c r="T448" s="470">
        <f t="shared" si="44"/>
        <v>0</v>
      </c>
      <c r="U448" s="470" t="s">
        <v>346</v>
      </c>
      <c r="V448" s="111">
        <f>IF(OR(F448="none",G448="V"),0,VLOOKUP(F448,'Purchased Boons'!$AR$4:$AS$27,2,FALSE))</f>
        <v>0</v>
      </c>
      <c r="W448" s="39" t="s">
        <v>1050</v>
      </c>
      <c r="X448" s="37" t="s">
        <v>1536</v>
      </c>
      <c r="Y448" s="37" t="s">
        <v>133</v>
      </c>
      <c r="Z448" s="111">
        <v>148</v>
      </c>
      <c r="AG448" s="24"/>
      <c r="AH448" s="24"/>
    </row>
    <row r="449" spans="1:34" x14ac:dyDescent="0.25">
      <c r="A449" s="468" t="s">
        <v>1199</v>
      </c>
      <c r="B449" s="36" t="s">
        <v>366</v>
      </c>
      <c r="C449" s="469">
        <v>4</v>
      </c>
      <c r="D449" s="470" t="s">
        <v>19</v>
      </c>
      <c r="E449" s="37">
        <f t="shared" si="36"/>
        <v>1</v>
      </c>
      <c r="F449" s="470" t="s">
        <v>53</v>
      </c>
      <c r="G449" s="37">
        <f t="shared" si="37"/>
        <v>0</v>
      </c>
      <c r="H449" s="37" t="s">
        <v>494</v>
      </c>
      <c r="I449" s="37">
        <f t="shared" si="38"/>
        <v>0</v>
      </c>
      <c r="J449" s="37" t="s">
        <v>347</v>
      </c>
      <c r="K449" s="37">
        <f t="shared" si="39"/>
        <v>0</v>
      </c>
      <c r="L449" s="37" t="s">
        <v>494</v>
      </c>
      <c r="M449" s="37">
        <f t="shared" si="40"/>
        <v>0</v>
      </c>
      <c r="N449" s="470" t="s">
        <v>347</v>
      </c>
      <c r="O449" s="470">
        <f t="shared" si="41"/>
        <v>0</v>
      </c>
      <c r="P449" s="37" t="str">
        <f t="shared" si="42"/>
        <v>1 + 0</v>
      </c>
      <c r="Q449" s="470" t="s">
        <v>346</v>
      </c>
      <c r="R449" s="37">
        <f t="shared" si="43"/>
        <v>0</v>
      </c>
      <c r="S449" s="470" t="s">
        <v>347</v>
      </c>
      <c r="T449" s="470">
        <f t="shared" si="44"/>
        <v>0</v>
      </c>
      <c r="U449" s="470" t="s">
        <v>346</v>
      </c>
      <c r="V449" s="111">
        <f>IF(OR(F449="none",G449="V"),0,VLOOKUP(F449,'Purchased Boons'!$AR$4:$AS$27,2,FALSE))</f>
        <v>0</v>
      </c>
      <c r="W449" s="39" t="s">
        <v>1050</v>
      </c>
      <c r="X449" s="37" t="s">
        <v>1720</v>
      </c>
      <c r="Y449" s="37" t="s">
        <v>1045</v>
      </c>
      <c r="Z449" s="111">
        <v>88</v>
      </c>
      <c r="AG449" s="24"/>
      <c r="AH449" s="24"/>
    </row>
    <row r="450" spans="1:34" x14ac:dyDescent="0.25">
      <c r="A450" s="473" t="s">
        <v>1515</v>
      </c>
      <c r="B450" s="39" t="s">
        <v>371</v>
      </c>
      <c r="C450" s="37">
        <v>6</v>
      </c>
      <c r="D450" s="470" t="s">
        <v>17</v>
      </c>
      <c r="E450" s="37">
        <f t="shared" si="36"/>
        <v>1</v>
      </c>
      <c r="F450" s="470" t="s">
        <v>36</v>
      </c>
      <c r="G450" s="37">
        <f t="shared" si="37"/>
        <v>0</v>
      </c>
      <c r="H450" s="37" t="s">
        <v>494</v>
      </c>
      <c r="I450" s="37">
        <f t="shared" si="38"/>
        <v>0</v>
      </c>
      <c r="J450" s="37" t="s">
        <v>347</v>
      </c>
      <c r="K450" s="37">
        <f t="shared" si="39"/>
        <v>0</v>
      </c>
      <c r="L450" s="37" t="s">
        <v>494</v>
      </c>
      <c r="M450" s="37">
        <f t="shared" si="40"/>
        <v>0</v>
      </c>
      <c r="N450" s="470" t="s">
        <v>347</v>
      </c>
      <c r="O450" s="470">
        <f t="shared" si="41"/>
        <v>0</v>
      </c>
      <c r="P450" s="37" t="str">
        <f t="shared" si="42"/>
        <v>1 + 0</v>
      </c>
      <c r="Q450" s="470" t="s">
        <v>346</v>
      </c>
      <c r="R450" s="37">
        <f t="shared" si="43"/>
        <v>0</v>
      </c>
      <c r="S450" s="470" t="s">
        <v>347</v>
      </c>
      <c r="T450" s="470">
        <f t="shared" si="44"/>
        <v>0</v>
      </c>
      <c r="U450" s="470" t="s">
        <v>346</v>
      </c>
      <c r="V450" s="111">
        <f>IF(OR(F450="none",G450="V"),0,VLOOKUP(F450,'Purchased Boons'!$AR$4:$AS$27,2,FALSE))</f>
        <v>0</v>
      </c>
      <c r="W450" s="39" t="s">
        <v>1055</v>
      </c>
      <c r="X450" s="37" t="s">
        <v>1719</v>
      </c>
      <c r="Y450" s="37" t="s">
        <v>1484</v>
      </c>
      <c r="Z450" s="111">
        <v>45</v>
      </c>
      <c r="AG450" s="24"/>
      <c r="AH450" s="24"/>
    </row>
    <row r="451" spans="1:34" x14ac:dyDescent="0.25">
      <c r="A451" s="468" t="s">
        <v>1124</v>
      </c>
      <c r="B451" s="36" t="s">
        <v>155</v>
      </c>
      <c r="C451" s="469">
        <v>1</v>
      </c>
      <c r="D451" s="470" t="s">
        <v>494</v>
      </c>
      <c r="E451" s="37">
        <f t="shared" si="36"/>
        <v>0</v>
      </c>
      <c r="F451" s="470" t="s">
        <v>494</v>
      </c>
      <c r="G451" s="37">
        <f t="shared" si="37"/>
        <v>0</v>
      </c>
      <c r="H451" s="37" t="s">
        <v>494</v>
      </c>
      <c r="I451" s="37">
        <f t="shared" si="38"/>
        <v>0</v>
      </c>
      <c r="J451" s="37" t="s">
        <v>347</v>
      </c>
      <c r="K451" s="37">
        <f t="shared" si="39"/>
        <v>0</v>
      </c>
      <c r="L451" s="37" t="s">
        <v>494</v>
      </c>
      <c r="M451" s="37">
        <f t="shared" si="40"/>
        <v>0</v>
      </c>
      <c r="N451" s="470" t="s">
        <v>347</v>
      </c>
      <c r="O451" s="470">
        <f t="shared" si="41"/>
        <v>0</v>
      </c>
      <c r="P451" s="37" t="str">
        <f t="shared" si="42"/>
        <v>None</v>
      </c>
      <c r="Q451" s="470" t="s">
        <v>346</v>
      </c>
      <c r="R451" s="37">
        <f t="shared" si="43"/>
        <v>0</v>
      </c>
      <c r="S451" s="470" t="s">
        <v>347</v>
      </c>
      <c r="T451" s="470">
        <f t="shared" si="44"/>
        <v>0</v>
      </c>
      <c r="U451" s="470" t="s">
        <v>346</v>
      </c>
      <c r="V451" s="111">
        <f>IF(OR(F451="none",G451="V"),0,VLOOKUP(F451,'Purchased Boons'!$AR$4:$AS$27,2,FALSE))</f>
        <v>0</v>
      </c>
      <c r="W451" s="39" t="s">
        <v>1539</v>
      </c>
      <c r="X451" s="37" t="s">
        <v>494</v>
      </c>
      <c r="Y451" s="37" t="s">
        <v>133</v>
      </c>
      <c r="Z451" s="111">
        <v>152</v>
      </c>
      <c r="AG451" s="24"/>
      <c r="AH451" s="24"/>
    </row>
    <row r="452" spans="1:34" x14ac:dyDescent="0.25">
      <c r="A452" s="468" t="s">
        <v>1368</v>
      </c>
      <c r="B452" s="36" t="s">
        <v>179</v>
      </c>
      <c r="C452" s="469">
        <v>10</v>
      </c>
      <c r="D452" s="470" t="s">
        <v>494</v>
      </c>
      <c r="E452" s="37">
        <f t="shared" si="36"/>
        <v>0</v>
      </c>
      <c r="F452" s="470" t="s">
        <v>494</v>
      </c>
      <c r="G452" s="37">
        <f t="shared" si="37"/>
        <v>0</v>
      </c>
      <c r="H452" s="37" t="s">
        <v>494</v>
      </c>
      <c r="I452" s="37">
        <f t="shared" si="38"/>
        <v>0</v>
      </c>
      <c r="J452" s="37" t="s">
        <v>347</v>
      </c>
      <c r="K452" s="37">
        <f t="shared" si="39"/>
        <v>0</v>
      </c>
      <c r="L452" s="37" t="s">
        <v>494</v>
      </c>
      <c r="M452" s="37">
        <f t="shared" si="40"/>
        <v>0</v>
      </c>
      <c r="N452" s="470" t="s">
        <v>347</v>
      </c>
      <c r="O452" s="470">
        <f t="shared" si="41"/>
        <v>0</v>
      </c>
      <c r="P452" s="37" t="str">
        <f t="shared" si="42"/>
        <v>None</v>
      </c>
      <c r="Q452" s="470" t="s">
        <v>346</v>
      </c>
      <c r="R452" s="37">
        <f t="shared" si="43"/>
        <v>0</v>
      </c>
      <c r="S452" s="470" t="s">
        <v>347</v>
      </c>
      <c r="T452" s="470">
        <f t="shared" si="44"/>
        <v>0</v>
      </c>
      <c r="U452" s="470" t="s">
        <v>346</v>
      </c>
      <c r="V452" s="111">
        <f>IF(OR(F452="none",G452="V"),0,VLOOKUP(F452,'Purchased Boons'!$AR$4:$AS$27,2,FALSE))</f>
        <v>0</v>
      </c>
      <c r="W452" s="39" t="s">
        <v>1677</v>
      </c>
      <c r="X452" s="37" t="s">
        <v>494</v>
      </c>
      <c r="Y452" s="37" t="s">
        <v>1046</v>
      </c>
      <c r="Z452" s="111">
        <v>25</v>
      </c>
      <c r="AG452" s="24"/>
      <c r="AH452" s="24"/>
    </row>
    <row r="453" spans="1:34" x14ac:dyDescent="0.25">
      <c r="A453" s="468" t="s">
        <v>1435</v>
      </c>
      <c r="B453" s="36" t="s">
        <v>170</v>
      </c>
      <c r="C453" s="469">
        <v>5</v>
      </c>
      <c r="D453" s="470" t="s">
        <v>17</v>
      </c>
      <c r="E453" s="37">
        <f t="shared" si="36"/>
        <v>1</v>
      </c>
      <c r="F453" s="470" t="s">
        <v>57</v>
      </c>
      <c r="G453" s="37">
        <f t="shared" si="37"/>
        <v>0</v>
      </c>
      <c r="H453" s="37" t="s">
        <v>494</v>
      </c>
      <c r="I453" s="37">
        <f t="shared" si="38"/>
        <v>0</v>
      </c>
      <c r="J453" s="37" t="s">
        <v>347</v>
      </c>
      <c r="K453" s="37">
        <f t="shared" si="39"/>
        <v>0</v>
      </c>
      <c r="L453" s="37" t="s">
        <v>494</v>
      </c>
      <c r="M453" s="37">
        <f t="shared" si="40"/>
        <v>0</v>
      </c>
      <c r="N453" s="470" t="s">
        <v>346</v>
      </c>
      <c r="O453" s="470">
        <f t="shared" si="41"/>
        <v>2</v>
      </c>
      <c r="P453" s="37" t="str">
        <f t="shared" si="42"/>
        <v>3 + 0</v>
      </c>
      <c r="Q453" s="470" t="s">
        <v>346</v>
      </c>
      <c r="R453" s="37">
        <f t="shared" si="43"/>
        <v>0</v>
      </c>
      <c r="S453" s="470" t="s">
        <v>347</v>
      </c>
      <c r="T453" s="470">
        <f t="shared" si="44"/>
        <v>0</v>
      </c>
      <c r="U453" s="470" t="s">
        <v>346</v>
      </c>
      <c r="V453" s="111">
        <f>IF(OR(F453="none",G453="V"),0,VLOOKUP(F453,'Purchased Boons'!$AR$4:$AS$27,2,FALSE))</f>
        <v>0</v>
      </c>
      <c r="W453" s="39" t="s">
        <v>1696</v>
      </c>
      <c r="X453" s="37" t="s">
        <v>1716</v>
      </c>
      <c r="Y453" s="37" t="s">
        <v>1046</v>
      </c>
      <c r="Z453" s="111">
        <v>173</v>
      </c>
      <c r="AG453" s="24"/>
      <c r="AH453" s="24"/>
    </row>
    <row r="454" spans="1:34" x14ac:dyDescent="0.25">
      <c r="A454" s="468" t="s">
        <v>1324</v>
      </c>
      <c r="B454" s="36" t="s">
        <v>371</v>
      </c>
      <c r="C454" s="469">
        <v>8</v>
      </c>
      <c r="D454" s="470" t="s">
        <v>17</v>
      </c>
      <c r="E454" s="37">
        <f t="shared" si="36"/>
        <v>1</v>
      </c>
      <c r="F454" s="470" t="s">
        <v>49</v>
      </c>
      <c r="G454" s="37">
        <f t="shared" si="37"/>
        <v>0</v>
      </c>
      <c r="H454" s="37" t="s">
        <v>494</v>
      </c>
      <c r="I454" s="37">
        <f t="shared" si="38"/>
        <v>0</v>
      </c>
      <c r="J454" s="37" t="s">
        <v>347</v>
      </c>
      <c r="K454" s="37">
        <f t="shared" si="39"/>
        <v>0</v>
      </c>
      <c r="L454" s="37" t="s">
        <v>494</v>
      </c>
      <c r="M454" s="37">
        <f t="shared" si="40"/>
        <v>0</v>
      </c>
      <c r="N454" s="470" t="s">
        <v>347</v>
      </c>
      <c r="O454" s="470">
        <f t="shared" si="41"/>
        <v>0</v>
      </c>
      <c r="P454" s="37" t="str">
        <f t="shared" si="42"/>
        <v>1 + 0</v>
      </c>
      <c r="Q454" s="470" t="s">
        <v>346</v>
      </c>
      <c r="R454" s="37">
        <f t="shared" si="43"/>
        <v>0</v>
      </c>
      <c r="S454" s="470" t="s">
        <v>347</v>
      </c>
      <c r="T454" s="470">
        <f t="shared" si="44"/>
        <v>0</v>
      </c>
      <c r="U454" s="470" t="s">
        <v>346</v>
      </c>
      <c r="V454" s="111">
        <f>IF(OR(F454="none",G454="V"),0,VLOOKUP(F454,'Purchased Boons'!$AR$4:$AS$27,2,FALSE))</f>
        <v>0</v>
      </c>
      <c r="W454" s="39" t="s">
        <v>1655</v>
      </c>
      <c r="X454" s="37" t="s">
        <v>1597</v>
      </c>
      <c r="Y454" s="37" t="s">
        <v>5</v>
      </c>
      <c r="Z454" s="111">
        <v>110</v>
      </c>
      <c r="AG454" s="24"/>
      <c r="AH454" s="24"/>
    </row>
    <row r="455" spans="1:34" x14ac:dyDescent="0.25">
      <c r="A455" s="468" t="s">
        <v>1167</v>
      </c>
      <c r="B455" s="36" t="s">
        <v>358</v>
      </c>
      <c r="C455" s="469">
        <v>4</v>
      </c>
      <c r="D455" s="470" t="s">
        <v>494</v>
      </c>
      <c r="E455" s="37">
        <f t="shared" si="36"/>
        <v>0</v>
      </c>
      <c r="F455" s="470" t="s">
        <v>494</v>
      </c>
      <c r="G455" s="37">
        <f t="shared" si="37"/>
        <v>0</v>
      </c>
      <c r="H455" s="37" t="s">
        <v>494</v>
      </c>
      <c r="I455" s="37">
        <f t="shared" si="38"/>
        <v>0</v>
      </c>
      <c r="J455" s="37" t="s">
        <v>347</v>
      </c>
      <c r="K455" s="37">
        <f t="shared" si="39"/>
        <v>0</v>
      </c>
      <c r="L455" s="37" t="s">
        <v>494</v>
      </c>
      <c r="M455" s="37">
        <f t="shared" si="40"/>
        <v>0</v>
      </c>
      <c r="N455" s="470" t="s">
        <v>347</v>
      </c>
      <c r="O455" s="470">
        <f t="shared" si="41"/>
        <v>0</v>
      </c>
      <c r="P455" s="37" t="str">
        <f t="shared" si="42"/>
        <v>None</v>
      </c>
      <c r="Q455" s="470" t="s">
        <v>346</v>
      </c>
      <c r="R455" s="37">
        <f t="shared" si="43"/>
        <v>0</v>
      </c>
      <c r="S455" s="470" t="s">
        <v>347</v>
      </c>
      <c r="T455" s="470">
        <f t="shared" si="44"/>
        <v>0</v>
      </c>
      <c r="U455" s="470" t="s">
        <v>346</v>
      </c>
      <c r="V455" s="111">
        <f>IF(OR(F455="none",G455="V"),0,VLOOKUP(F455,'Purchased Boons'!$AR$4:$AS$27,2,FALSE))</f>
        <v>0</v>
      </c>
      <c r="W455" s="39" t="s">
        <v>1559</v>
      </c>
      <c r="X455" s="37" t="s">
        <v>494</v>
      </c>
      <c r="Y455" s="37" t="s">
        <v>1045</v>
      </c>
      <c r="Z455" s="111">
        <v>77</v>
      </c>
      <c r="AG455" s="24"/>
      <c r="AH455" s="24"/>
    </row>
    <row r="456" spans="1:34" x14ac:dyDescent="0.25">
      <c r="A456" s="468" t="s">
        <v>1295</v>
      </c>
      <c r="B456" s="36" t="s">
        <v>365</v>
      </c>
      <c r="C456" s="469">
        <v>9</v>
      </c>
      <c r="D456" s="470" t="s">
        <v>18</v>
      </c>
      <c r="E456" s="37">
        <f t="shared" si="36"/>
        <v>1</v>
      </c>
      <c r="F456" s="470" t="s">
        <v>51</v>
      </c>
      <c r="G456" s="37">
        <f t="shared" si="37"/>
        <v>0</v>
      </c>
      <c r="H456" s="37" t="s">
        <v>494</v>
      </c>
      <c r="I456" s="37">
        <f t="shared" si="38"/>
        <v>0</v>
      </c>
      <c r="J456" s="37" t="s">
        <v>347</v>
      </c>
      <c r="K456" s="37">
        <f t="shared" si="39"/>
        <v>0</v>
      </c>
      <c r="L456" s="37" t="s">
        <v>494</v>
      </c>
      <c r="M456" s="37">
        <f t="shared" si="40"/>
        <v>0</v>
      </c>
      <c r="N456" s="470" t="s">
        <v>347</v>
      </c>
      <c r="O456" s="470">
        <f t="shared" si="41"/>
        <v>0</v>
      </c>
      <c r="P456" s="37" t="str">
        <f t="shared" si="42"/>
        <v>1 + 0</v>
      </c>
      <c r="Q456" s="470" t="s">
        <v>346</v>
      </c>
      <c r="R456" s="37">
        <f t="shared" si="43"/>
        <v>0</v>
      </c>
      <c r="S456" s="470" t="s">
        <v>347</v>
      </c>
      <c r="T456" s="470">
        <f t="shared" si="44"/>
        <v>0</v>
      </c>
      <c r="U456" s="470" t="s">
        <v>346</v>
      </c>
      <c r="V456" s="111">
        <f>IF(OR(F456="none",G456="V"),0,VLOOKUP(F456,'Purchased Boons'!$AR$4:$AS$27,2,FALSE))</f>
        <v>0</v>
      </c>
      <c r="W456" s="39" t="s">
        <v>1642</v>
      </c>
      <c r="X456" s="37" t="s">
        <v>1535</v>
      </c>
      <c r="Y456" s="37" t="s">
        <v>5</v>
      </c>
      <c r="Z456" s="111">
        <v>100</v>
      </c>
      <c r="AG456" s="24"/>
      <c r="AH456" s="24"/>
    </row>
    <row r="457" spans="1:34" x14ac:dyDescent="0.25">
      <c r="A457" s="468" t="s">
        <v>1081</v>
      </c>
      <c r="B457" s="36" t="s">
        <v>357</v>
      </c>
      <c r="C457" s="469">
        <v>3</v>
      </c>
      <c r="D457" s="470" t="s">
        <v>14</v>
      </c>
      <c r="E457" s="37">
        <f t="shared" si="36"/>
        <v>1</v>
      </c>
      <c r="F457" s="470" t="s">
        <v>53</v>
      </c>
      <c r="G457" s="37">
        <f t="shared" si="37"/>
        <v>0</v>
      </c>
      <c r="H457" s="37" t="s">
        <v>494</v>
      </c>
      <c r="I457" s="37">
        <f t="shared" si="38"/>
        <v>0</v>
      </c>
      <c r="J457" s="37" t="s">
        <v>347</v>
      </c>
      <c r="K457" s="37">
        <f t="shared" si="39"/>
        <v>0</v>
      </c>
      <c r="L457" s="37" t="s">
        <v>494</v>
      </c>
      <c r="M457" s="37">
        <f t="shared" si="40"/>
        <v>0</v>
      </c>
      <c r="N457" s="470" t="s">
        <v>347</v>
      </c>
      <c r="O457" s="470">
        <f t="shared" si="41"/>
        <v>0</v>
      </c>
      <c r="P457" s="37" t="str">
        <f t="shared" si="42"/>
        <v>1 + 0</v>
      </c>
      <c r="Q457" s="470" t="s">
        <v>346</v>
      </c>
      <c r="R457" s="37">
        <f t="shared" si="43"/>
        <v>0</v>
      </c>
      <c r="S457" s="470" t="s">
        <v>347</v>
      </c>
      <c r="T457" s="470">
        <f t="shared" si="44"/>
        <v>0</v>
      </c>
      <c r="U457" s="470" t="s">
        <v>346</v>
      </c>
      <c r="V457" s="111">
        <f>IF(OR(F457="none",G457="V"),0,VLOOKUP(F457,'Purchased Boons'!$AR$4:$AS$27,2,FALSE))</f>
        <v>0</v>
      </c>
      <c r="W457" s="39" t="s">
        <v>1055</v>
      </c>
      <c r="X457" s="37" t="s">
        <v>1529</v>
      </c>
      <c r="Y457" s="37" t="s">
        <v>133</v>
      </c>
      <c r="Z457" s="111">
        <v>142</v>
      </c>
      <c r="AG457" s="24"/>
      <c r="AH457" s="24"/>
    </row>
    <row r="458" spans="1:34" x14ac:dyDescent="0.25">
      <c r="A458" s="468" t="s">
        <v>1298</v>
      </c>
      <c r="B458" s="36" t="s">
        <v>366</v>
      </c>
      <c r="C458" s="469">
        <v>8</v>
      </c>
      <c r="D458" s="470" t="s">
        <v>494</v>
      </c>
      <c r="E458" s="37">
        <f t="shared" si="36"/>
        <v>0</v>
      </c>
      <c r="F458" s="470" t="s">
        <v>494</v>
      </c>
      <c r="G458" s="37">
        <f t="shared" si="37"/>
        <v>0</v>
      </c>
      <c r="H458" s="37" t="s">
        <v>494</v>
      </c>
      <c r="I458" s="37">
        <f t="shared" si="38"/>
        <v>0</v>
      </c>
      <c r="J458" s="37" t="s">
        <v>347</v>
      </c>
      <c r="K458" s="37">
        <f t="shared" si="39"/>
        <v>0</v>
      </c>
      <c r="L458" s="37" t="s">
        <v>494</v>
      </c>
      <c r="M458" s="37">
        <f t="shared" si="40"/>
        <v>0</v>
      </c>
      <c r="N458" s="470" t="s">
        <v>347</v>
      </c>
      <c r="O458" s="470">
        <f t="shared" si="41"/>
        <v>0</v>
      </c>
      <c r="P458" s="37" t="str">
        <f t="shared" si="42"/>
        <v>None</v>
      </c>
      <c r="Q458" s="470" t="s">
        <v>346</v>
      </c>
      <c r="R458" s="37">
        <f t="shared" si="43"/>
        <v>0</v>
      </c>
      <c r="S458" s="470" t="s">
        <v>347</v>
      </c>
      <c r="T458" s="470">
        <f t="shared" si="44"/>
        <v>0</v>
      </c>
      <c r="U458" s="470" t="s">
        <v>346</v>
      </c>
      <c r="V458" s="111">
        <f>IF(OR(F458="none",G458="V"),0,VLOOKUP(F458,'Purchased Boons'!$AR$4:$AS$27,2,FALSE))</f>
        <v>0</v>
      </c>
      <c r="W458" s="39" t="s">
        <v>1634</v>
      </c>
      <c r="X458" s="37" t="s">
        <v>494</v>
      </c>
      <c r="Y458" s="37" t="s">
        <v>5</v>
      </c>
      <c r="Z458" s="111">
        <v>101</v>
      </c>
      <c r="AG458" s="24"/>
      <c r="AH458" s="24"/>
    </row>
    <row r="459" spans="1:34" x14ac:dyDescent="0.25">
      <c r="A459" s="468" t="s">
        <v>1106</v>
      </c>
      <c r="B459" s="36" t="s">
        <v>366</v>
      </c>
      <c r="C459" s="469">
        <v>1</v>
      </c>
      <c r="D459" s="470" t="s">
        <v>16</v>
      </c>
      <c r="E459" s="37">
        <f t="shared" si="36"/>
        <v>1</v>
      </c>
      <c r="F459" s="470" t="s">
        <v>40</v>
      </c>
      <c r="G459" s="37">
        <f t="shared" si="37"/>
        <v>0</v>
      </c>
      <c r="H459" s="37" t="s">
        <v>494</v>
      </c>
      <c r="I459" s="37">
        <f t="shared" si="38"/>
        <v>0</v>
      </c>
      <c r="J459" s="37" t="s">
        <v>347</v>
      </c>
      <c r="K459" s="37">
        <f t="shared" si="39"/>
        <v>0</v>
      </c>
      <c r="L459" s="37" t="s">
        <v>494</v>
      </c>
      <c r="M459" s="37">
        <f t="shared" si="40"/>
        <v>0</v>
      </c>
      <c r="N459" s="470" t="s">
        <v>347</v>
      </c>
      <c r="O459" s="470">
        <f t="shared" si="41"/>
        <v>0</v>
      </c>
      <c r="P459" s="37" t="str">
        <f t="shared" si="42"/>
        <v>1 + 0</v>
      </c>
      <c r="Q459" s="470" t="s">
        <v>346</v>
      </c>
      <c r="R459" s="37">
        <f t="shared" si="43"/>
        <v>0</v>
      </c>
      <c r="S459" s="470" t="s">
        <v>347</v>
      </c>
      <c r="T459" s="470">
        <f t="shared" si="44"/>
        <v>0</v>
      </c>
      <c r="U459" s="470" t="s">
        <v>346</v>
      </c>
      <c r="V459" s="111">
        <f>IF(OR(F459="none",G459="V"),0,VLOOKUP(F459,'Purchased Boons'!$AR$4:$AS$27,2,FALSE))</f>
        <v>0</v>
      </c>
      <c r="W459" s="39" t="s">
        <v>494</v>
      </c>
      <c r="X459" s="37" t="s">
        <v>1526</v>
      </c>
      <c r="Y459" s="37" t="s">
        <v>133</v>
      </c>
      <c r="Z459" s="111">
        <v>148</v>
      </c>
      <c r="AG459" s="24"/>
      <c r="AH459" s="24"/>
    </row>
    <row r="460" spans="1:34" x14ac:dyDescent="0.25">
      <c r="A460" s="468" t="s">
        <v>1089</v>
      </c>
      <c r="B460" s="36" t="s">
        <v>108</v>
      </c>
      <c r="C460" s="469">
        <v>2</v>
      </c>
      <c r="D460" s="470" t="s">
        <v>14</v>
      </c>
      <c r="E460" s="37">
        <f t="shared" si="36"/>
        <v>1</v>
      </c>
      <c r="F460" s="470" t="s">
        <v>47</v>
      </c>
      <c r="G460" s="37">
        <f t="shared" si="37"/>
        <v>0</v>
      </c>
      <c r="H460" s="37" t="s">
        <v>494</v>
      </c>
      <c r="I460" s="37">
        <f t="shared" si="38"/>
        <v>0</v>
      </c>
      <c r="J460" s="37" t="s">
        <v>347</v>
      </c>
      <c r="K460" s="37">
        <f t="shared" si="39"/>
        <v>0</v>
      </c>
      <c r="L460" s="37" t="s">
        <v>494</v>
      </c>
      <c r="M460" s="37">
        <f t="shared" si="40"/>
        <v>0</v>
      </c>
      <c r="N460" s="470" t="s">
        <v>347</v>
      </c>
      <c r="O460" s="470">
        <f t="shared" si="41"/>
        <v>0</v>
      </c>
      <c r="P460" s="37" t="str">
        <f t="shared" si="42"/>
        <v>1 + 0</v>
      </c>
      <c r="Q460" s="470" t="s">
        <v>346</v>
      </c>
      <c r="R460" s="37">
        <f t="shared" si="43"/>
        <v>0</v>
      </c>
      <c r="S460" s="470" t="s">
        <v>347</v>
      </c>
      <c r="T460" s="470">
        <f t="shared" si="44"/>
        <v>0</v>
      </c>
      <c r="U460" s="470" t="s">
        <v>346</v>
      </c>
      <c r="V460" s="111">
        <f>IF(OR(F460="none",G460="V"),0,VLOOKUP(F460,'Purchased Boons'!$AR$4:$AS$27,2,FALSE))</f>
        <v>0</v>
      </c>
      <c r="W460" s="39" t="s">
        <v>1050</v>
      </c>
      <c r="X460" s="37" t="s">
        <v>1531</v>
      </c>
      <c r="Y460" s="37" t="s">
        <v>133</v>
      </c>
      <c r="Z460" s="111">
        <v>144</v>
      </c>
      <c r="AG460" s="24"/>
      <c r="AH460" s="24"/>
    </row>
    <row r="461" spans="1:34" x14ac:dyDescent="0.25">
      <c r="A461" s="473" t="s">
        <v>1491</v>
      </c>
      <c r="B461" s="39" t="s">
        <v>690</v>
      </c>
      <c r="C461" s="469">
        <v>7</v>
      </c>
      <c r="D461" s="470" t="s">
        <v>14</v>
      </c>
      <c r="E461" s="37">
        <f t="shared" si="36"/>
        <v>1</v>
      </c>
      <c r="F461" s="470" t="s">
        <v>57</v>
      </c>
      <c r="G461" s="37">
        <f t="shared" si="37"/>
        <v>0</v>
      </c>
      <c r="H461" s="37" t="s">
        <v>494</v>
      </c>
      <c r="I461" s="37">
        <f t="shared" si="38"/>
        <v>0</v>
      </c>
      <c r="J461" s="37" t="s">
        <v>347</v>
      </c>
      <c r="K461" s="37">
        <f t="shared" si="39"/>
        <v>0</v>
      </c>
      <c r="L461" s="37" t="s">
        <v>494</v>
      </c>
      <c r="M461" s="37">
        <f t="shared" si="40"/>
        <v>0</v>
      </c>
      <c r="N461" s="470" t="s">
        <v>347</v>
      </c>
      <c r="O461" s="470">
        <f t="shared" si="41"/>
        <v>0</v>
      </c>
      <c r="P461" s="37" t="str">
        <f t="shared" si="42"/>
        <v>1 + 0</v>
      </c>
      <c r="Q461" s="470" t="s">
        <v>346</v>
      </c>
      <c r="R461" s="37">
        <f t="shared" si="43"/>
        <v>0</v>
      </c>
      <c r="S461" s="470" t="s">
        <v>347</v>
      </c>
      <c r="T461" s="470">
        <f t="shared" si="44"/>
        <v>0</v>
      </c>
      <c r="U461" s="470" t="s">
        <v>346</v>
      </c>
      <c r="V461" s="111">
        <f>IF(OR(F461="none",G461="V"),0,VLOOKUP(F461,'Purchased Boons'!$AR$4:$AS$27,2,FALSE))</f>
        <v>0</v>
      </c>
      <c r="W461" s="39" t="s">
        <v>1607</v>
      </c>
      <c r="X461" s="37" t="s">
        <v>1593</v>
      </c>
      <c r="Y461" s="37" t="s">
        <v>1484</v>
      </c>
      <c r="Z461" s="111">
        <v>37</v>
      </c>
      <c r="AG461" s="24"/>
      <c r="AH461" s="24"/>
    </row>
    <row r="462" spans="1:34" x14ac:dyDescent="0.25">
      <c r="A462" s="473" t="s">
        <v>1513</v>
      </c>
      <c r="B462" s="39" t="s">
        <v>371</v>
      </c>
      <c r="C462" s="37">
        <v>3</v>
      </c>
      <c r="D462" s="470" t="s">
        <v>20</v>
      </c>
      <c r="E462" s="37">
        <f t="shared" si="36"/>
        <v>1</v>
      </c>
      <c r="F462" s="470" t="s">
        <v>57</v>
      </c>
      <c r="G462" s="37">
        <f t="shared" si="37"/>
        <v>0</v>
      </c>
      <c r="H462" s="37" t="s">
        <v>494</v>
      </c>
      <c r="I462" s="37">
        <f t="shared" si="38"/>
        <v>0</v>
      </c>
      <c r="J462" s="37" t="s">
        <v>347</v>
      </c>
      <c r="K462" s="37">
        <f t="shared" si="39"/>
        <v>0</v>
      </c>
      <c r="L462" s="37" t="s">
        <v>494</v>
      </c>
      <c r="M462" s="37">
        <f t="shared" si="40"/>
        <v>0</v>
      </c>
      <c r="N462" s="470" t="s">
        <v>347</v>
      </c>
      <c r="O462" s="470">
        <f t="shared" si="41"/>
        <v>0</v>
      </c>
      <c r="P462" s="37" t="str">
        <f t="shared" si="42"/>
        <v>1 + 0</v>
      </c>
      <c r="Q462" s="470" t="s">
        <v>346</v>
      </c>
      <c r="R462" s="37">
        <f t="shared" si="43"/>
        <v>0</v>
      </c>
      <c r="S462" s="470" t="s">
        <v>347</v>
      </c>
      <c r="T462" s="470">
        <f t="shared" si="44"/>
        <v>0</v>
      </c>
      <c r="U462" s="470" t="s">
        <v>346</v>
      </c>
      <c r="V462" s="111">
        <f>IF(OR(F462="none",G462="V"),0,VLOOKUP(F462,'Purchased Boons'!$AR$4:$AS$27,2,FALSE))</f>
        <v>0</v>
      </c>
      <c r="W462" s="39" t="s">
        <v>1050</v>
      </c>
      <c r="X462" s="37" t="s">
        <v>1063</v>
      </c>
      <c r="Y462" s="37" t="s">
        <v>1484</v>
      </c>
      <c r="Z462" s="111">
        <v>45</v>
      </c>
      <c r="AG462" s="24"/>
      <c r="AH462" s="24"/>
    </row>
    <row r="463" spans="1:34" x14ac:dyDescent="0.25">
      <c r="A463" s="468" t="s">
        <v>1362</v>
      </c>
      <c r="B463" s="36" t="s">
        <v>179</v>
      </c>
      <c r="C463" s="469">
        <v>4</v>
      </c>
      <c r="D463" s="470" t="s">
        <v>16</v>
      </c>
      <c r="E463" s="37">
        <f t="shared" si="36"/>
        <v>1</v>
      </c>
      <c r="F463" s="470" t="s">
        <v>41</v>
      </c>
      <c r="G463" s="37">
        <f t="shared" si="37"/>
        <v>0</v>
      </c>
      <c r="H463" s="37" t="s">
        <v>494</v>
      </c>
      <c r="I463" s="37">
        <f t="shared" si="38"/>
        <v>0</v>
      </c>
      <c r="J463" s="37" t="s">
        <v>347</v>
      </c>
      <c r="K463" s="37">
        <f t="shared" si="39"/>
        <v>0</v>
      </c>
      <c r="L463" s="37" t="s">
        <v>494</v>
      </c>
      <c r="M463" s="37">
        <f t="shared" si="40"/>
        <v>0</v>
      </c>
      <c r="N463" s="470" t="s">
        <v>347</v>
      </c>
      <c r="O463" s="470">
        <f t="shared" si="41"/>
        <v>0</v>
      </c>
      <c r="P463" s="37" t="str">
        <f t="shared" si="42"/>
        <v>1 + 0</v>
      </c>
      <c r="Q463" s="470" t="s">
        <v>346</v>
      </c>
      <c r="R463" s="37">
        <f t="shared" si="43"/>
        <v>0</v>
      </c>
      <c r="S463" s="470" t="s">
        <v>347</v>
      </c>
      <c r="T463" s="470">
        <f t="shared" si="44"/>
        <v>0</v>
      </c>
      <c r="U463" s="470" t="s">
        <v>346</v>
      </c>
      <c r="V463" s="111">
        <f>IF(OR(F463="none",G463="V"),0,VLOOKUP(F463,'Purchased Boons'!$AR$4:$AS$27,2,FALSE))</f>
        <v>0</v>
      </c>
      <c r="W463" s="39" t="s">
        <v>1063</v>
      </c>
      <c r="X463" s="37" t="s">
        <v>1547</v>
      </c>
      <c r="Y463" s="37" t="s">
        <v>1046</v>
      </c>
      <c r="Z463" s="111">
        <v>23</v>
      </c>
      <c r="AG463" s="24"/>
      <c r="AH463" s="24"/>
    </row>
    <row r="464" spans="1:34" x14ac:dyDescent="0.25">
      <c r="A464" s="468" t="s">
        <v>1395</v>
      </c>
      <c r="B464" s="36" t="s">
        <v>108</v>
      </c>
      <c r="C464" s="469">
        <v>2</v>
      </c>
      <c r="D464" s="470" t="s">
        <v>14</v>
      </c>
      <c r="E464" s="37">
        <f t="shared" si="36"/>
        <v>1</v>
      </c>
      <c r="F464" s="470" t="s">
        <v>47</v>
      </c>
      <c r="G464" s="37">
        <f t="shared" si="37"/>
        <v>0</v>
      </c>
      <c r="H464" s="37" t="s">
        <v>494</v>
      </c>
      <c r="I464" s="37">
        <f t="shared" si="38"/>
        <v>0</v>
      </c>
      <c r="J464" s="37" t="s">
        <v>347</v>
      </c>
      <c r="K464" s="37">
        <f t="shared" si="39"/>
        <v>0</v>
      </c>
      <c r="L464" s="37" t="s">
        <v>494</v>
      </c>
      <c r="M464" s="37">
        <f t="shared" si="40"/>
        <v>0</v>
      </c>
      <c r="N464" s="470" t="s">
        <v>347</v>
      </c>
      <c r="O464" s="470">
        <f t="shared" si="41"/>
        <v>0</v>
      </c>
      <c r="P464" s="37" t="str">
        <f t="shared" si="42"/>
        <v>1 + 0</v>
      </c>
      <c r="Q464" s="470" t="s">
        <v>346</v>
      </c>
      <c r="R464" s="37">
        <f t="shared" si="43"/>
        <v>0</v>
      </c>
      <c r="S464" s="470" t="s">
        <v>347</v>
      </c>
      <c r="T464" s="470">
        <f t="shared" si="44"/>
        <v>0</v>
      </c>
      <c r="U464" s="470" t="s">
        <v>346</v>
      </c>
      <c r="V464" s="111">
        <f>IF(OR(F464="none",G464="V"),0,VLOOKUP(F464,'Purchased Boons'!$AR$4:$AS$27,2,FALSE))</f>
        <v>0</v>
      </c>
      <c r="W464" s="39" t="s">
        <v>1050</v>
      </c>
      <c r="X464" s="37" t="s">
        <v>1531</v>
      </c>
      <c r="Y464" s="37" t="s">
        <v>1046</v>
      </c>
      <c r="Z464" s="111">
        <v>75</v>
      </c>
      <c r="AG464" s="24"/>
      <c r="AH464" s="24"/>
    </row>
    <row r="465" spans="1:34" x14ac:dyDescent="0.25">
      <c r="A465" s="468" t="s">
        <v>1083</v>
      </c>
      <c r="B465" s="36" t="s">
        <v>358</v>
      </c>
      <c r="C465" s="469">
        <v>2</v>
      </c>
      <c r="D465" s="470" t="s">
        <v>494</v>
      </c>
      <c r="E465" s="37">
        <f t="shared" si="36"/>
        <v>0</v>
      </c>
      <c r="F465" s="470" t="s">
        <v>494</v>
      </c>
      <c r="G465" s="37">
        <f t="shared" si="37"/>
        <v>0</v>
      </c>
      <c r="H465" s="37" t="s">
        <v>494</v>
      </c>
      <c r="I465" s="37">
        <f t="shared" si="38"/>
        <v>0</v>
      </c>
      <c r="J465" s="37" t="s">
        <v>347</v>
      </c>
      <c r="K465" s="37">
        <f t="shared" si="39"/>
        <v>0</v>
      </c>
      <c r="L465" s="37" t="s">
        <v>494</v>
      </c>
      <c r="M465" s="37">
        <f t="shared" si="40"/>
        <v>0</v>
      </c>
      <c r="N465" s="470" t="s">
        <v>347</v>
      </c>
      <c r="O465" s="470">
        <f t="shared" si="41"/>
        <v>0</v>
      </c>
      <c r="P465" s="37" t="str">
        <f t="shared" si="42"/>
        <v>None</v>
      </c>
      <c r="Q465" s="470" t="s">
        <v>346</v>
      </c>
      <c r="R465" s="37">
        <f t="shared" si="43"/>
        <v>0</v>
      </c>
      <c r="S465" s="470" t="s">
        <v>347</v>
      </c>
      <c r="T465" s="470">
        <f t="shared" si="44"/>
        <v>0</v>
      </c>
      <c r="U465" s="470" t="s">
        <v>346</v>
      </c>
      <c r="V465" s="111">
        <f>IF(OR(F465="none",G465="V"),0,VLOOKUP(F465,'Purchased Boons'!$AR$4:$AS$27,2,FALSE))</f>
        <v>0</v>
      </c>
      <c r="W465" s="39" t="s">
        <v>1520</v>
      </c>
      <c r="X465" s="37" t="s">
        <v>494</v>
      </c>
      <c r="Y465" s="37" t="s">
        <v>133</v>
      </c>
      <c r="Z465" s="111">
        <v>142</v>
      </c>
      <c r="AG465" s="24"/>
      <c r="AH465" s="24"/>
    </row>
    <row r="466" spans="1:34" x14ac:dyDescent="0.25">
      <c r="A466" s="468" t="s">
        <v>1132</v>
      </c>
      <c r="B466" s="36" t="s">
        <v>371</v>
      </c>
      <c r="C466" s="469">
        <v>2</v>
      </c>
      <c r="D466" s="470" t="s">
        <v>21</v>
      </c>
      <c r="E466" s="37">
        <f t="shared" si="36"/>
        <v>1</v>
      </c>
      <c r="F466" s="470" t="s">
        <v>49</v>
      </c>
      <c r="G466" s="37">
        <f t="shared" si="37"/>
        <v>0</v>
      </c>
      <c r="H466" s="37" t="s">
        <v>494</v>
      </c>
      <c r="I466" s="37">
        <f t="shared" si="38"/>
        <v>0</v>
      </c>
      <c r="J466" s="37" t="s">
        <v>347</v>
      </c>
      <c r="K466" s="37">
        <f t="shared" si="39"/>
        <v>0</v>
      </c>
      <c r="L466" s="37" t="s">
        <v>494</v>
      </c>
      <c r="M466" s="37">
        <f t="shared" si="40"/>
        <v>0</v>
      </c>
      <c r="N466" s="470" t="s">
        <v>347</v>
      </c>
      <c r="O466" s="470">
        <f t="shared" si="41"/>
        <v>0</v>
      </c>
      <c r="P466" s="37" t="str">
        <f t="shared" si="42"/>
        <v>1 + 0</v>
      </c>
      <c r="Q466" s="470" t="s">
        <v>346</v>
      </c>
      <c r="R466" s="37">
        <f t="shared" si="43"/>
        <v>0</v>
      </c>
      <c r="S466" s="470" t="s">
        <v>347</v>
      </c>
      <c r="T466" s="470">
        <f t="shared" si="44"/>
        <v>0</v>
      </c>
      <c r="U466" s="470" t="s">
        <v>346</v>
      </c>
      <c r="V466" s="111">
        <f>IF(OR(F466="none",G466="V"),0,VLOOKUP(F466,'Purchased Boons'!$AR$4:$AS$27,2,FALSE))</f>
        <v>0</v>
      </c>
      <c r="W466" s="39" t="s">
        <v>1050</v>
      </c>
      <c r="X466" s="37" t="s">
        <v>1552</v>
      </c>
      <c r="Y466" s="37" t="s">
        <v>133</v>
      </c>
      <c r="Z466" s="111">
        <v>154</v>
      </c>
      <c r="AG466" s="24"/>
      <c r="AH466" s="24"/>
    </row>
    <row r="467" spans="1:34" x14ac:dyDescent="0.25">
      <c r="A467" s="468" t="s">
        <v>1414</v>
      </c>
      <c r="B467" s="36" t="s">
        <v>371</v>
      </c>
      <c r="C467" s="469">
        <v>4</v>
      </c>
      <c r="D467" s="470" t="s">
        <v>17</v>
      </c>
      <c r="E467" s="37">
        <f t="shared" si="36"/>
        <v>1</v>
      </c>
      <c r="F467" s="470" t="s">
        <v>49</v>
      </c>
      <c r="G467" s="37">
        <f t="shared" si="37"/>
        <v>0</v>
      </c>
      <c r="H467" s="37" t="s">
        <v>494</v>
      </c>
      <c r="I467" s="37">
        <f t="shared" si="38"/>
        <v>0</v>
      </c>
      <c r="J467" s="37" t="s">
        <v>347</v>
      </c>
      <c r="K467" s="37">
        <f t="shared" si="39"/>
        <v>0</v>
      </c>
      <c r="L467" s="37" t="s">
        <v>494</v>
      </c>
      <c r="M467" s="37">
        <f t="shared" si="40"/>
        <v>0</v>
      </c>
      <c r="N467" s="470" t="s">
        <v>347</v>
      </c>
      <c r="O467" s="470">
        <f t="shared" si="41"/>
        <v>0</v>
      </c>
      <c r="P467" s="37" t="str">
        <f t="shared" si="42"/>
        <v>1 + 0</v>
      </c>
      <c r="Q467" s="470" t="s">
        <v>346</v>
      </c>
      <c r="R467" s="37">
        <f t="shared" si="43"/>
        <v>0</v>
      </c>
      <c r="S467" s="470" t="s">
        <v>347</v>
      </c>
      <c r="T467" s="470">
        <f t="shared" si="44"/>
        <v>0</v>
      </c>
      <c r="U467" s="470" t="s">
        <v>346</v>
      </c>
      <c r="V467" s="111">
        <f>IF(OR(F467="none",G467="V"),0,VLOOKUP(F467,'Purchased Boons'!$AR$4:$AS$27,2,FALSE))</f>
        <v>0</v>
      </c>
      <c r="W467" s="39" t="s">
        <v>1666</v>
      </c>
      <c r="X467" s="37" t="s">
        <v>1597</v>
      </c>
      <c r="Y467" s="37" t="s">
        <v>1046</v>
      </c>
      <c r="Z467" s="111">
        <v>80</v>
      </c>
      <c r="AG467" s="24"/>
      <c r="AH467" s="24"/>
    </row>
    <row r="468" spans="1:34" x14ac:dyDescent="0.25">
      <c r="A468" s="468" t="s">
        <v>1359</v>
      </c>
      <c r="B468" s="36" t="s">
        <v>179</v>
      </c>
      <c r="C468" s="469">
        <v>1</v>
      </c>
      <c r="D468" s="470" t="s">
        <v>19</v>
      </c>
      <c r="E468" s="37">
        <f t="shared" si="36"/>
        <v>1</v>
      </c>
      <c r="F468" s="470" t="s">
        <v>41</v>
      </c>
      <c r="G468" s="37">
        <f t="shared" si="37"/>
        <v>0</v>
      </c>
      <c r="H468" s="37" t="s">
        <v>494</v>
      </c>
      <c r="I468" s="37">
        <f t="shared" si="38"/>
        <v>0</v>
      </c>
      <c r="J468" s="37" t="s">
        <v>347</v>
      </c>
      <c r="K468" s="37">
        <f t="shared" si="39"/>
        <v>0</v>
      </c>
      <c r="L468" s="37" t="s">
        <v>494</v>
      </c>
      <c r="M468" s="37">
        <f t="shared" si="40"/>
        <v>0</v>
      </c>
      <c r="N468" s="470" t="s">
        <v>347</v>
      </c>
      <c r="O468" s="470">
        <f t="shared" si="41"/>
        <v>0</v>
      </c>
      <c r="P468" s="37" t="str">
        <f t="shared" si="42"/>
        <v>1 + 0</v>
      </c>
      <c r="Q468" s="470" t="s">
        <v>346</v>
      </c>
      <c r="R468" s="37">
        <f t="shared" si="43"/>
        <v>0</v>
      </c>
      <c r="S468" s="470" t="s">
        <v>347</v>
      </c>
      <c r="T468" s="470">
        <f t="shared" si="44"/>
        <v>0</v>
      </c>
      <c r="U468" s="470" t="s">
        <v>346</v>
      </c>
      <c r="V468" s="111">
        <f>IF(OR(F468="none",G468="V"),0,VLOOKUP(F468,'Purchased Boons'!$AR$4:$AS$27,2,FALSE))</f>
        <v>0</v>
      </c>
      <c r="W468" s="39" t="s">
        <v>1050</v>
      </c>
      <c r="X468" s="37" t="s">
        <v>1525</v>
      </c>
      <c r="Y468" s="37" t="s">
        <v>1046</v>
      </c>
      <c r="Z468" s="111">
        <v>22</v>
      </c>
      <c r="AG468" s="24"/>
      <c r="AH468" s="24"/>
    </row>
    <row r="469" spans="1:34" x14ac:dyDescent="0.25">
      <c r="A469" s="468" t="s">
        <v>1196</v>
      </c>
      <c r="B469" s="36" t="s">
        <v>365</v>
      </c>
      <c r="C469" s="469">
        <v>5</v>
      </c>
      <c r="D469" s="470" t="s">
        <v>494</v>
      </c>
      <c r="E469" s="37">
        <f t="shared" si="36"/>
        <v>0</v>
      </c>
      <c r="F469" s="470" t="s">
        <v>494</v>
      </c>
      <c r="G469" s="37">
        <f t="shared" si="37"/>
        <v>0</v>
      </c>
      <c r="H469" s="37" t="s">
        <v>494</v>
      </c>
      <c r="I469" s="37">
        <f t="shared" si="38"/>
        <v>0</v>
      </c>
      <c r="J469" s="37" t="s">
        <v>347</v>
      </c>
      <c r="K469" s="37">
        <f t="shared" si="39"/>
        <v>0</v>
      </c>
      <c r="L469" s="37" t="s">
        <v>494</v>
      </c>
      <c r="M469" s="37">
        <f t="shared" si="40"/>
        <v>0</v>
      </c>
      <c r="N469" s="470" t="s">
        <v>347</v>
      </c>
      <c r="O469" s="470">
        <f t="shared" si="41"/>
        <v>0</v>
      </c>
      <c r="P469" s="37" t="str">
        <f t="shared" si="42"/>
        <v>None</v>
      </c>
      <c r="Q469" s="470" t="s">
        <v>346</v>
      </c>
      <c r="R469" s="37">
        <f t="shared" si="43"/>
        <v>0</v>
      </c>
      <c r="S469" s="470" t="s">
        <v>347</v>
      </c>
      <c r="T469" s="470">
        <f t="shared" si="44"/>
        <v>0</v>
      </c>
      <c r="U469" s="470" t="s">
        <v>346</v>
      </c>
      <c r="V469" s="111">
        <f>IF(OR(F469="none",G469="V"),0,VLOOKUP(F469,'Purchased Boons'!$AR$4:$AS$27,2,FALSE))</f>
        <v>0</v>
      </c>
      <c r="W469" s="39" t="s">
        <v>1602</v>
      </c>
      <c r="X469" s="37" t="s">
        <v>494</v>
      </c>
      <c r="Y469" s="37" t="s">
        <v>1045</v>
      </c>
      <c r="Z469" s="111">
        <v>88</v>
      </c>
      <c r="AG469" s="24"/>
      <c r="AH469" s="24"/>
    </row>
    <row r="470" spans="1:34" x14ac:dyDescent="0.25">
      <c r="A470" s="473" t="s">
        <v>1481</v>
      </c>
      <c r="B470" s="36" t="s">
        <v>364</v>
      </c>
      <c r="C470" s="469">
        <v>9</v>
      </c>
      <c r="D470" s="470" t="s">
        <v>494</v>
      </c>
      <c r="E470" s="37">
        <f t="shared" si="36"/>
        <v>0</v>
      </c>
      <c r="F470" s="470" t="s">
        <v>494</v>
      </c>
      <c r="G470" s="37">
        <f t="shared" si="37"/>
        <v>0</v>
      </c>
      <c r="H470" s="37" t="s">
        <v>494</v>
      </c>
      <c r="I470" s="37">
        <f t="shared" si="38"/>
        <v>0</v>
      </c>
      <c r="J470" s="37" t="s">
        <v>347</v>
      </c>
      <c r="K470" s="37">
        <f t="shared" si="39"/>
        <v>0</v>
      </c>
      <c r="L470" s="37" t="s">
        <v>494</v>
      </c>
      <c r="M470" s="37">
        <f t="shared" si="40"/>
        <v>0</v>
      </c>
      <c r="N470" s="470" t="s">
        <v>347</v>
      </c>
      <c r="O470" s="470">
        <f t="shared" si="41"/>
        <v>0</v>
      </c>
      <c r="P470" s="37" t="str">
        <f t="shared" si="42"/>
        <v>None</v>
      </c>
      <c r="Q470" s="470" t="s">
        <v>346</v>
      </c>
      <c r="R470" s="37">
        <f t="shared" si="43"/>
        <v>0</v>
      </c>
      <c r="S470" s="470" t="s">
        <v>347</v>
      </c>
      <c r="T470" s="470">
        <f t="shared" si="44"/>
        <v>0</v>
      </c>
      <c r="U470" s="470" t="s">
        <v>346</v>
      </c>
      <c r="V470" s="111">
        <f>IF(OR(F470="none",G470="V"),0,VLOOKUP(F470,'Purchased Boons'!$AR$4:$AS$27,2,FALSE))</f>
        <v>0</v>
      </c>
      <c r="W470" s="39" t="s">
        <v>1625</v>
      </c>
      <c r="X470" s="37" t="s">
        <v>494</v>
      </c>
      <c r="Y470" s="37" t="s">
        <v>1462</v>
      </c>
      <c r="Z470" s="111">
        <v>19</v>
      </c>
      <c r="AG470" s="24"/>
      <c r="AH470" s="24"/>
    </row>
    <row r="471" spans="1:34" x14ac:dyDescent="0.25">
      <c r="A471" s="468" t="s">
        <v>1111</v>
      </c>
      <c r="B471" s="36" t="s">
        <v>367</v>
      </c>
      <c r="C471" s="469">
        <v>3</v>
      </c>
      <c r="D471" s="470" t="s">
        <v>13</v>
      </c>
      <c r="E471" s="37">
        <f t="shared" si="36"/>
        <v>1</v>
      </c>
      <c r="F471" s="470" t="s">
        <v>57</v>
      </c>
      <c r="G471" s="37">
        <f t="shared" si="37"/>
        <v>0</v>
      </c>
      <c r="H471" s="37" t="s">
        <v>494</v>
      </c>
      <c r="I471" s="37">
        <f t="shared" si="38"/>
        <v>0</v>
      </c>
      <c r="J471" s="37" t="s">
        <v>347</v>
      </c>
      <c r="K471" s="37">
        <f t="shared" si="39"/>
        <v>0</v>
      </c>
      <c r="L471" s="37" t="s">
        <v>494</v>
      </c>
      <c r="M471" s="37">
        <f t="shared" si="40"/>
        <v>0</v>
      </c>
      <c r="N471" s="470" t="s">
        <v>347</v>
      </c>
      <c r="O471" s="470">
        <f t="shared" si="41"/>
        <v>0</v>
      </c>
      <c r="P471" s="37" t="str">
        <f t="shared" si="42"/>
        <v>1 + 0</v>
      </c>
      <c r="Q471" s="470" t="s">
        <v>346</v>
      </c>
      <c r="R471" s="37">
        <f t="shared" si="43"/>
        <v>0</v>
      </c>
      <c r="S471" s="470" t="s">
        <v>347</v>
      </c>
      <c r="T471" s="470">
        <f t="shared" si="44"/>
        <v>0</v>
      </c>
      <c r="U471" s="470" t="s">
        <v>346</v>
      </c>
      <c r="V471" s="111">
        <f>IF(OR(F471="none",G471="V"),0,VLOOKUP(F471,'Purchased Boons'!$AR$4:$AS$27,2,FALSE))</f>
        <v>0</v>
      </c>
      <c r="W471" s="39" t="s">
        <v>1603</v>
      </c>
      <c r="X471" s="37" t="s">
        <v>1528</v>
      </c>
      <c r="Y471" s="37" t="s">
        <v>133</v>
      </c>
      <c r="Z471" s="111">
        <v>149</v>
      </c>
      <c r="AG471" s="24"/>
      <c r="AH471" s="24"/>
    </row>
    <row r="472" spans="1:34" x14ac:dyDescent="0.25">
      <c r="A472" s="473" t="s">
        <v>1490</v>
      </c>
      <c r="B472" s="39" t="s">
        <v>690</v>
      </c>
      <c r="C472" s="469">
        <v>6</v>
      </c>
      <c r="D472" s="470" t="s">
        <v>19</v>
      </c>
      <c r="E472" s="37">
        <f t="shared" si="36"/>
        <v>1</v>
      </c>
      <c r="F472" s="470" t="s">
        <v>46</v>
      </c>
      <c r="G472" s="37">
        <f t="shared" si="37"/>
        <v>0</v>
      </c>
      <c r="H472" s="37" t="s">
        <v>494</v>
      </c>
      <c r="I472" s="37">
        <f t="shared" si="38"/>
        <v>0</v>
      </c>
      <c r="J472" s="37" t="s">
        <v>347</v>
      </c>
      <c r="K472" s="37">
        <f t="shared" si="39"/>
        <v>0</v>
      </c>
      <c r="L472" s="37" t="s">
        <v>494</v>
      </c>
      <c r="M472" s="37">
        <f t="shared" si="40"/>
        <v>0</v>
      </c>
      <c r="N472" s="470" t="s">
        <v>347</v>
      </c>
      <c r="O472" s="470">
        <f t="shared" si="41"/>
        <v>0</v>
      </c>
      <c r="P472" s="37" t="str">
        <f t="shared" si="42"/>
        <v>1 + 0</v>
      </c>
      <c r="Q472" s="470" t="s">
        <v>346</v>
      </c>
      <c r="R472" s="37">
        <f t="shared" si="43"/>
        <v>0</v>
      </c>
      <c r="S472" s="470" t="s">
        <v>347</v>
      </c>
      <c r="T472" s="470">
        <f t="shared" si="44"/>
        <v>0</v>
      </c>
      <c r="U472" s="470" t="s">
        <v>346</v>
      </c>
      <c r="V472" s="111">
        <f>IF(OR(F472="none",G472="V"),0,VLOOKUP(F472,'Purchased Boons'!$AR$4:$AS$27,2,FALSE))</f>
        <v>0</v>
      </c>
      <c r="W472" s="39" t="s">
        <v>1050</v>
      </c>
      <c r="X472" s="37" t="s">
        <v>1708</v>
      </c>
      <c r="Y472" s="37" t="s">
        <v>1484</v>
      </c>
      <c r="Z472" s="111">
        <v>37</v>
      </c>
      <c r="AG472" s="24"/>
      <c r="AH472" s="24"/>
    </row>
    <row r="473" spans="1:34" x14ac:dyDescent="0.25">
      <c r="A473" s="468" t="s">
        <v>1080</v>
      </c>
      <c r="B473" s="36" t="s">
        <v>357</v>
      </c>
      <c r="C473" s="469">
        <v>2</v>
      </c>
      <c r="D473" s="470" t="s">
        <v>14</v>
      </c>
      <c r="E473" s="37">
        <f t="shared" si="36"/>
        <v>1</v>
      </c>
      <c r="F473" s="470" t="s">
        <v>53</v>
      </c>
      <c r="G473" s="37">
        <f t="shared" si="37"/>
        <v>0</v>
      </c>
      <c r="H473" s="37" t="s">
        <v>494</v>
      </c>
      <c r="I473" s="37">
        <f t="shared" si="38"/>
        <v>0</v>
      </c>
      <c r="J473" s="37" t="s">
        <v>347</v>
      </c>
      <c r="K473" s="37">
        <f t="shared" si="39"/>
        <v>0</v>
      </c>
      <c r="L473" s="37" t="s">
        <v>494</v>
      </c>
      <c r="M473" s="37">
        <f t="shared" si="40"/>
        <v>0</v>
      </c>
      <c r="N473" s="470" t="s">
        <v>347</v>
      </c>
      <c r="O473" s="470">
        <f t="shared" si="41"/>
        <v>0</v>
      </c>
      <c r="P473" s="37" t="str">
        <f t="shared" si="42"/>
        <v>1 + 0</v>
      </c>
      <c r="Q473" s="470" t="s">
        <v>346</v>
      </c>
      <c r="R473" s="37">
        <f t="shared" si="43"/>
        <v>0</v>
      </c>
      <c r="S473" s="470" t="s">
        <v>347</v>
      </c>
      <c r="T473" s="470">
        <f t="shared" si="44"/>
        <v>0</v>
      </c>
      <c r="U473" s="470" t="s">
        <v>346</v>
      </c>
      <c r="V473" s="111">
        <f>IF(OR(F473="none",G473="V"),0,VLOOKUP(F473,'Purchased Boons'!$AR$4:$AS$27,2,FALSE))</f>
        <v>0</v>
      </c>
      <c r="W473" s="39" t="s">
        <v>1050</v>
      </c>
      <c r="X473" s="37" t="s">
        <v>1529</v>
      </c>
      <c r="Y473" s="37" t="s">
        <v>133</v>
      </c>
      <c r="Z473" s="111">
        <v>142</v>
      </c>
      <c r="AG473" s="24"/>
      <c r="AH473" s="24"/>
    </row>
    <row r="474" spans="1:34" x14ac:dyDescent="0.25">
      <c r="A474" s="473" t="s">
        <v>1482</v>
      </c>
      <c r="B474" s="36" t="s">
        <v>364</v>
      </c>
      <c r="C474" s="469">
        <v>10</v>
      </c>
      <c r="D474" s="470" t="s">
        <v>13</v>
      </c>
      <c r="E474" s="37">
        <f t="shared" si="36"/>
        <v>1</v>
      </c>
      <c r="F474" s="470" t="s">
        <v>49</v>
      </c>
      <c r="G474" s="37">
        <f t="shared" si="37"/>
        <v>0</v>
      </c>
      <c r="H474" s="37" t="s">
        <v>494</v>
      </c>
      <c r="I474" s="37">
        <f t="shared" si="38"/>
        <v>0</v>
      </c>
      <c r="J474" s="37" t="s">
        <v>347</v>
      </c>
      <c r="K474" s="37">
        <f t="shared" si="39"/>
        <v>0</v>
      </c>
      <c r="L474" s="37" t="s">
        <v>494</v>
      </c>
      <c r="M474" s="37">
        <f t="shared" si="40"/>
        <v>0</v>
      </c>
      <c r="N474" s="470" t="s">
        <v>347</v>
      </c>
      <c r="O474" s="470">
        <f t="shared" si="41"/>
        <v>0</v>
      </c>
      <c r="P474" s="37" t="str">
        <f t="shared" si="42"/>
        <v>1 + 0</v>
      </c>
      <c r="Q474" s="470" t="s">
        <v>346</v>
      </c>
      <c r="R474" s="37">
        <f t="shared" si="43"/>
        <v>0</v>
      </c>
      <c r="S474" s="470" t="s">
        <v>347</v>
      </c>
      <c r="T474" s="470">
        <f t="shared" si="44"/>
        <v>0</v>
      </c>
      <c r="U474" s="470" t="s">
        <v>346</v>
      </c>
      <c r="V474" s="111">
        <f>IF(OR(F474="none",G474="V"),0,VLOOKUP(F474,'Purchased Boons'!$AR$4:$AS$27,2,FALSE))</f>
        <v>0</v>
      </c>
      <c r="W474" s="39" t="s">
        <v>1629</v>
      </c>
      <c r="X474" s="37" t="s">
        <v>1600</v>
      </c>
      <c r="Y474" s="37" t="s">
        <v>1462</v>
      </c>
      <c r="Z474" s="111">
        <v>19</v>
      </c>
      <c r="AG474" s="24"/>
      <c r="AH474" s="24"/>
    </row>
    <row r="475" spans="1:34" x14ac:dyDescent="0.25">
      <c r="A475" s="468" t="s">
        <v>1291</v>
      </c>
      <c r="B475" s="36" t="s">
        <v>363</v>
      </c>
      <c r="C475" s="469">
        <v>9</v>
      </c>
      <c r="D475" s="470" t="s">
        <v>494</v>
      </c>
      <c r="E475" s="37">
        <f t="shared" si="36"/>
        <v>0</v>
      </c>
      <c r="F475" s="470" t="s">
        <v>494</v>
      </c>
      <c r="G475" s="37">
        <f t="shared" si="37"/>
        <v>0</v>
      </c>
      <c r="H475" s="37" t="s">
        <v>494</v>
      </c>
      <c r="I475" s="37">
        <f t="shared" si="38"/>
        <v>0</v>
      </c>
      <c r="J475" s="37" t="s">
        <v>347</v>
      </c>
      <c r="K475" s="37">
        <f t="shared" si="39"/>
        <v>0</v>
      </c>
      <c r="L475" s="37" t="s">
        <v>494</v>
      </c>
      <c r="M475" s="37">
        <f t="shared" si="40"/>
        <v>0</v>
      </c>
      <c r="N475" s="470" t="s">
        <v>347</v>
      </c>
      <c r="O475" s="470">
        <f t="shared" si="41"/>
        <v>0</v>
      </c>
      <c r="P475" s="37" t="str">
        <f t="shared" si="42"/>
        <v>None</v>
      </c>
      <c r="Q475" s="470" t="s">
        <v>346</v>
      </c>
      <c r="R475" s="37">
        <f t="shared" si="43"/>
        <v>0</v>
      </c>
      <c r="S475" s="470" t="s">
        <v>347</v>
      </c>
      <c r="T475" s="470">
        <f t="shared" si="44"/>
        <v>0</v>
      </c>
      <c r="U475" s="470" t="s">
        <v>346</v>
      </c>
      <c r="V475" s="111">
        <f>IF(OR(F475="none",G475="V"),0,VLOOKUP(F475,'Purchased Boons'!$AR$4:$AS$27,2,FALSE))</f>
        <v>0</v>
      </c>
      <c r="W475" s="39" t="s">
        <v>1053</v>
      </c>
      <c r="X475" s="37" t="s">
        <v>494</v>
      </c>
      <c r="Y475" s="37" t="s">
        <v>5</v>
      </c>
      <c r="Z475" s="111">
        <v>98</v>
      </c>
      <c r="AG475" s="24"/>
      <c r="AH475" s="24"/>
    </row>
    <row r="476" spans="1:34" x14ac:dyDescent="0.25">
      <c r="A476" s="468" t="s">
        <v>1192</v>
      </c>
      <c r="B476" s="36" t="s">
        <v>363</v>
      </c>
      <c r="C476" s="469">
        <v>5</v>
      </c>
      <c r="D476" s="470" t="s">
        <v>13</v>
      </c>
      <c r="E476" s="37">
        <f t="shared" si="36"/>
        <v>1</v>
      </c>
      <c r="F476" s="470" t="s">
        <v>55</v>
      </c>
      <c r="G476" s="37">
        <f t="shared" si="37"/>
        <v>0</v>
      </c>
      <c r="H476" s="37" t="s">
        <v>494</v>
      </c>
      <c r="I476" s="37">
        <f t="shared" si="38"/>
        <v>0</v>
      </c>
      <c r="J476" s="37" t="s">
        <v>347</v>
      </c>
      <c r="K476" s="37">
        <f t="shared" si="39"/>
        <v>0</v>
      </c>
      <c r="L476" s="37" t="s">
        <v>494</v>
      </c>
      <c r="M476" s="37">
        <f t="shared" si="40"/>
        <v>0</v>
      </c>
      <c r="N476" s="470" t="s">
        <v>347</v>
      </c>
      <c r="O476" s="470">
        <f t="shared" si="41"/>
        <v>0</v>
      </c>
      <c r="P476" s="37" t="str">
        <f t="shared" si="42"/>
        <v>1 + 0</v>
      </c>
      <c r="Q476" s="470" t="s">
        <v>346</v>
      </c>
      <c r="R476" s="37">
        <f t="shared" si="43"/>
        <v>0</v>
      </c>
      <c r="S476" s="470" t="s">
        <v>347</v>
      </c>
      <c r="T476" s="470">
        <f t="shared" si="44"/>
        <v>0</v>
      </c>
      <c r="U476" s="470" t="s">
        <v>346</v>
      </c>
      <c r="V476" s="111">
        <f>IF(OR(F476="none",G476="V"),0,VLOOKUP(F476,'Purchased Boons'!$AR$4:$AS$27,2,FALSE))</f>
        <v>0</v>
      </c>
      <c r="W476" s="39" t="s">
        <v>1050</v>
      </c>
      <c r="X476" s="37" t="s">
        <v>1580</v>
      </c>
      <c r="Y476" s="37" t="s">
        <v>1045</v>
      </c>
      <c r="Z476" s="111">
        <v>86</v>
      </c>
      <c r="AG476" s="24"/>
      <c r="AH476" s="24"/>
    </row>
    <row r="477" spans="1:34" x14ac:dyDescent="0.25">
      <c r="A477" s="468" t="s">
        <v>1288</v>
      </c>
      <c r="B477" s="36" t="s">
        <v>362</v>
      </c>
      <c r="C477" s="469">
        <v>10</v>
      </c>
      <c r="D477" s="470" t="s">
        <v>494</v>
      </c>
      <c r="E477" s="37">
        <f t="shared" si="36"/>
        <v>0</v>
      </c>
      <c r="F477" s="470" t="s">
        <v>494</v>
      </c>
      <c r="G477" s="37">
        <f t="shared" si="37"/>
        <v>0</v>
      </c>
      <c r="H477" s="37" t="s">
        <v>494</v>
      </c>
      <c r="I477" s="37">
        <f t="shared" si="38"/>
        <v>0</v>
      </c>
      <c r="J477" s="37" t="s">
        <v>347</v>
      </c>
      <c r="K477" s="37">
        <f t="shared" si="39"/>
        <v>0</v>
      </c>
      <c r="L477" s="37" t="s">
        <v>494</v>
      </c>
      <c r="M477" s="37">
        <f t="shared" si="40"/>
        <v>0</v>
      </c>
      <c r="N477" s="470" t="s">
        <v>347</v>
      </c>
      <c r="O477" s="470">
        <f t="shared" si="41"/>
        <v>0</v>
      </c>
      <c r="P477" s="37" t="str">
        <f t="shared" si="42"/>
        <v>None</v>
      </c>
      <c r="Q477" s="470" t="s">
        <v>346</v>
      </c>
      <c r="R477" s="37">
        <f t="shared" si="43"/>
        <v>0</v>
      </c>
      <c r="S477" s="470" t="s">
        <v>347</v>
      </c>
      <c r="T477" s="470">
        <f t="shared" si="44"/>
        <v>0</v>
      </c>
      <c r="U477" s="470" t="s">
        <v>346</v>
      </c>
      <c r="V477" s="111">
        <f>IF(OR(F477="none",G477="V"),0,VLOOKUP(F477,'Purchased Boons'!$AR$4:$AS$27,2,FALSE))</f>
        <v>0</v>
      </c>
      <c r="W477" s="39" t="s">
        <v>1641</v>
      </c>
      <c r="X477" s="37" t="s">
        <v>494</v>
      </c>
      <c r="Y477" s="37" t="s">
        <v>5</v>
      </c>
      <c r="Z477" s="111">
        <v>97</v>
      </c>
      <c r="AG477" s="24"/>
      <c r="AH477" s="24"/>
    </row>
    <row r="478" spans="1:34" x14ac:dyDescent="0.25">
      <c r="A478" s="468" t="s">
        <v>1202</v>
      </c>
      <c r="B478" s="36" t="s">
        <v>366</v>
      </c>
      <c r="C478" s="469">
        <v>7</v>
      </c>
      <c r="D478" s="470" t="s">
        <v>494</v>
      </c>
      <c r="E478" s="37">
        <f t="shared" si="36"/>
        <v>0</v>
      </c>
      <c r="F478" s="470" t="s">
        <v>494</v>
      </c>
      <c r="G478" s="37">
        <f t="shared" si="37"/>
        <v>0</v>
      </c>
      <c r="H478" s="37" t="s">
        <v>494</v>
      </c>
      <c r="I478" s="37">
        <f t="shared" si="38"/>
        <v>0</v>
      </c>
      <c r="J478" s="37" t="s">
        <v>347</v>
      </c>
      <c r="K478" s="37">
        <f t="shared" si="39"/>
        <v>0</v>
      </c>
      <c r="L478" s="37" t="s">
        <v>494</v>
      </c>
      <c r="M478" s="37">
        <f t="shared" si="40"/>
        <v>0</v>
      </c>
      <c r="N478" s="470" t="s">
        <v>347</v>
      </c>
      <c r="O478" s="470">
        <f t="shared" si="41"/>
        <v>0</v>
      </c>
      <c r="P478" s="37" t="str">
        <f t="shared" si="42"/>
        <v>None</v>
      </c>
      <c r="Q478" s="470" t="s">
        <v>346</v>
      </c>
      <c r="R478" s="37">
        <f t="shared" si="43"/>
        <v>0</v>
      </c>
      <c r="S478" s="470" t="s">
        <v>347</v>
      </c>
      <c r="T478" s="470">
        <f t="shared" si="44"/>
        <v>0</v>
      </c>
      <c r="U478" s="470" t="s">
        <v>346</v>
      </c>
      <c r="V478" s="111">
        <f>IF(OR(F478="none",G478="V"),0,VLOOKUP(F478,'Purchased Boons'!$AR$4:$AS$27,2,FALSE))</f>
        <v>0</v>
      </c>
      <c r="W478" s="39" t="s">
        <v>1615</v>
      </c>
      <c r="X478" s="37" t="s">
        <v>494</v>
      </c>
      <c r="Y478" s="37" t="s">
        <v>1045</v>
      </c>
      <c r="Z478" s="111">
        <v>89</v>
      </c>
      <c r="AG478" s="24"/>
      <c r="AH478" s="24"/>
    </row>
    <row r="479" spans="1:34" x14ac:dyDescent="0.25">
      <c r="A479" s="468" t="s">
        <v>1122</v>
      </c>
      <c r="B479" s="36" t="s">
        <v>166</v>
      </c>
      <c r="C479" s="469">
        <v>2</v>
      </c>
      <c r="D479" s="470" t="s">
        <v>494</v>
      </c>
      <c r="E479" s="37">
        <f t="shared" si="36"/>
        <v>0</v>
      </c>
      <c r="F479" s="470" t="s">
        <v>494</v>
      </c>
      <c r="G479" s="37">
        <f t="shared" si="37"/>
        <v>0</v>
      </c>
      <c r="H479" s="37" t="s">
        <v>494</v>
      </c>
      <c r="I479" s="37">
        <f t="shared" si="38"/>
        <v>0</v>
      </c>
      <c r="J479" s="37" t="s">
        <v>347</v>
      </c>
      <c r="K479" s="37">
        <f t="shared" si="39"/>
        <v>0</v>
      </c>
      <c r="L479" s="37" t="s">
        <v>494</v>
      </c>
      <c r="M479" s="37">
        <f t="shared" si="40"/>
        <v>0</v>
      </c>
      <c r="N479" s="470" t="s">
        <v>347</v>
      </c>
      <c r="O479" s="470">
        <f t="shared" si="41"/>
        <v>0</v>
      </c>
      <c r="P479" s="37" t="str">
        <f t="shared" si="42"/>
        <v>None</v>
      </c>
      <c r="Q479" s="470" t="s">
        <v>346</v>
      </c>
      <c r="R479" s="37">
        <f t="shared" si="43"/>
        <v>0</v>
      </c>
      <c r="S479" s="470" t="s">
        <v>347</v>
      </c>
      <c r="T479" s="470">
        <f t="shared" si="44"/>
        <v>0</v>
      </c>
      <c r="U479" s="470" t="s">
        <v>346</v>
      </c>
      <c r="V479" s="111">
        <f>IF(OR(F479="none",G479="V"),0,VLOOKUP(F479,'Purchased Boons'!$AR$4:$AS$27,2,FALSE))</f>
        <v>0</v>
      </c>
      <c r="W479" s="39" t="s">
        <v>1601</v>
      </c>
      <c r="X479" s="37" t="s">
        <v>494</v>
      </c>
      <c r="Y479" s="37" t="s">
        <v>133</v>
      </c>
      <c r="Z479" s="111">
        <v>152</v>
      </c>
      <c r="AG479" s="24"/>
      <c r="AH479" s="24"/>
    </row>
    <row r="480" spans="1:34" x14ac:dyDescent="0.25">
      <c r="A480" s="468" t="s">
        <v>1187</v>
      </c>
      <c r="B480" s="36" t="s">
        <v>362</v>
      </c>
      <c r="C480" s="469">
        <v>4</v>
      </c>
      <c r="D480" s="470" t="s">
        <v>494</v>
      </c>
      <c r="E480" s="37">
        <f t="shared" si="36"/>
        <v>0</v>
      </c>
      <c r="F480" s="470" t="s">
        <v>494</v>
      </c>
      <c r="G480" s="37">
        <f t="shared" si="37"/>
        <v>0</v>
      </c>
      <c r="H480" s="37" t="s">
        <v>494</v>
      </c>
      <c r="I480" s="37">
        <f t="shared" si="38"/>
        <v>0</v>
      </c>
      <c r="J480" s="37" t="s">
        <v>347</v>
      </c>
      <c r="K480" s="37">
        <f t="shared" si="39"/>
        <v>0</v>
      </c>
      <c r="L480" s="37" t="s">
        <v>494</v>
      </c>
      <c r="M480" s="37">
        <f t="shared" si="40"/>
        <v>0</v>
      </c>
      <c r="N480" s="470" t="s">
        <v>347</v>
      </c>
      <c r="O480" s="470">
        <f t="shared" si="41"/>
        <v>0</v>
      </c>
      <c r="P480" s="37" t="str">
        <f t="shared" si="42"/>
        <v>None</v>
      </c>
      <c r="Q480" s="470" t="s">
        <v>346</v>
      </c>
      <c r="R480" s="37">
        <f t="shared" si="43"/>
        <v>0</v>
      </c>
      <c r="S480" s="470" t="s">
        <v>347</v>
      </c>
      <c r="T480" s="470">
        <f t="shared" si="44"/>
        <v>0</v>
      </c>
      <c r="U480" s="470" t="s">
        <v>346</v>
      </c>
      <c r="V480" s="111">
        <f>IF(OR(F480="none",G480="V"),0,VLOOKUP(F480,'Purchased Boons'!$AR$4:$AS$27,2,FALSE))</f>
        <v>0</v>
      </c>
      <c r="W480" s="39" t="s">
        <v>1562</v>
      </c>
      <c r="X480" s="37" t="s">
        <v>494</v>
      </c>
      <c r="Y480" s="37" t="s">
        <v>1045</v>
      </c>
      <c r="Z480" s="111">
        <v>84</v>
      </c>
      <c r="AG480" s="24"/>
      <c r="AH480" s="24"/>
    </row>
    <row r="481" spans="1:34" x14ac:dyDescent="0.25">
      <c r="A481" s="468" t="s">
        <v>1172</v>
      </c>
      <c r="B481" s="36" t="s">
        <v>359</v>
      </c>
      <c r="C481" s="469">
        <v>5</v>
      </c>
      <c r="D481" s="470" t="s">
        <v>494</v>
      </c>
      <c r="E481" s="37">
        <f t="shared" si="36"/>
        <v>0</v>
      </c>
      <c r="F481" s="470" t="s">
        <v>494</v>
      </c>
      <c r="G481" s="37">
        <f t="shared" si="37"/>
        <v>0</v>
      </c>
      <c r="H481" s="37" t="s">
        <v>494</v>
      </c>
      <c r="I481" s="37">
        <f t="shared" si="38"/>
        <v>0</v>
      </c>
      <c r="J481" s="37" t="s">
        <v>347</v>
      </c>
      <c r="K481" s="37">
        <f t="shared" si="39"/>
        <v>0</v>
      </c>
      <c r="L481" s="37" t="s">
        <v>494</v>
      </c>
      <c r="M481" s="37">
        <f t="shared" si="40"/>
        <v>0</v>
      </c>
      <c r="N481" s="470" t="s">
        <v>347</v>
      </c>
      <c r="O481" s="470">
        <f t="shared" si="41"/>
        <v>0</v>
      </c>
      <c r="P481" s="37" t="str">
        <f t="shared" si="42"/>
        <v>None</v>
      </c>
      <c r="Q481" s="470" t="s">
        <v>346</v>
      </c>
      <c r="R481" s="37">
        <f t="shared" si="43"/>
        <v>0</v>
      </c>
      <c r="S481" s="470" t="s">
        <v>347</v>
      </c>
      <c r="T481" s="470">
        <f t="shared" si="44"/>
        <v>0</v>
      </c>
      <c r="U481" s="470" t="s">
        <v>346</v>
      </c>
      <c r="V481" s="111">
        <f>IF(OR(F481="none",G481="V"),0,VLOOKUP(F481,'Purchased Boons'!$AR$4:$AS$27,2,FALSE))</f>
        <v>0</v>
      </c>
      <c r="W481" s="39" t="s">
        <v>1055</v>
      </c>
      <c r="X481" s="37" t="s">
        <v>494</v>
      </c>
      <c r="Y481" s="37" t="s">
        <v>1045</v>
      </c>
      <c r="Z481" s="111">
        <v>79</v>
      </c>
      <c r="AG481" s="24"/>
      <c r="AH481" s="24"/>
    </row>
    <row r="482" spans="1:34" x14ac:dyDescent="0.25">
      <c r="A482" s="468" t="s">
        <v>1316</v>
      </c>
      <c r="B482" s="36" t="s">
        <v>166</v>
      </c>
      <c r="C482" s="469">
        <v>9</v>
      </c>
      <c r="D482" s="470" t="s">
        <v>494</v>
      </c>
      <c r="E482" s="37">
        <f t="shared" si="36"/>
        <v>0</v>
      </c>
      <c r="F482" s="470" t="s">
        <v>494</v>
      </c>
      <c r="G482" s="37">
        <f t="shared" si="37"/>
        <v>0</v>
      </c>
      <c r="H482" s="37" t="s">
        <v>494</v>
      </c>
      <c r="I482" s="37">
        <f t="shared" si="38"/>
        <v>0</v>
      </c>
      <c r="J482" s="37" t="s">
        <v>347</v>
      </c>
      <c r="K482" s="37">
        <f t="shared" si="39"/>
        <v>0</v>
      </c>
      <c r="L482" s="37" t="s">
        <v>494</v>
      </c>
      <c r="M482" s="37">
        <f t="shared" si="40"/>
        <v>0</v>
      </c>
      <c r="N482" s="470" t="s">
        <v>347</v>
      </c>
      <c r="O482" s="470">
        <f t="shared" si="41"/>
        <v>0</v>
      </c>
      <c r="P482" s="37" t="str">
        <f t="shared" si="42"/>
        <v>None</v>
      </c>
      <c r="Q482" s="470" t="s">
        <v>346</v>
      </c>
      <c r="R482" s="37">
        <f t="shared" si="43"/>
        <v>0</v>
      </c>
      <c r="S482" s="470" t="s">
        <v>347</v>
      </c>
      <c r="T482" s="470">
        <f t="shared" si="44"/>
        <v>0</v>
      </c>
      <c r="U482" s="470" t="s">
        <v>346</v>
      </c>
      <c r="V482" s="111">
        <f>IF(OR(F482="none",G482="V"),0,VLOOKUP(F482,'Purchased Boons'!$AR$4:$AS$27,2,FALSE))</f>
        <v>0</v>
      </c>
      <c r="W482" s="39" t="s">
        <v>494</v>
      </c>
      <c r="X482" s="37" t="s">
        <v>494</v>
      </c>
      <c r="Y482" s="37" t="s">
        <v>5</v>
      </c>
      <c r="Z482" s="111">
        <v>107</v>
      </c>
      <c r="AG482" s="24"/>
      <c r="AH482" s="24"/>
    </row>
    <row r="483" spans="1:34" x14ac:dyDescent="0.25">
      <c r="A483" s="468" t="s">
        <v>1174</v>
      </c>
      <c r="B483" s="36" t="s">
        <v>359</v>
      </c>
      <c r="C483" s="469">
        <v>7</v>
      </c>
      <c r="D483" s="470" t="s">
        <v>494</v>
      </c>
      <c r="E483" s="37">
        <f t="shared" si="36"/>
        <v>0</v>
      </c>
      <c r="F483" s="470" t="s">
        <v>494</v>
      </c>
      <c r="G483" s="37">
        <f t="shared" si="37"/>
        <v>0</v>
      </c>
      <c r="H483" s="37" t="s">
        <v>494</v>
      </c>
      <c r="I483" s="37">
        <f t="shared" si="38"/>
        <v>0</v>
      </c>
      <c r="J483" s="37" t="s">
        <v>347</v>
      </c>
      <c r="K483" s="37">
        <f t="shared" si="39"/>
        <v>0</v>
      </c>
      <c r="L483" s="37" t="s">
        <v>494</v>
      </c>
      <c r="M483" s="37">
        <f t="shared" si="40"/>
        <v>0</v>
      </c>
      <c r="N483" s="470" t="s">
        <v>347</v>
      </c>
      <c r="O483" s="470">
        <f t="shared" si="41"/>
        <v>0</v>
      </c>
      <c r="P483" s="37" t="str">
        <f t="shared" si="42"/>
        <v>None</v>
      </c>
      <c r="Q483" s="470" t="s">
        <v>346</v>
      </c>
      <c r="R483" s="37">
        <f t="shared" si="43"/>
        <v>0</v>
      </c>
      <c r="S483" s="470" t="s">
        <v>347</v>
      </c>
      <c r="T483" s="470">
        <f t="shared" si="44"/>
        <v>0</v>
      </c>
      <c r="U483" s="470" t="s">
        <v>346</v>
      </c>
      <c r="V483" s="111">
        <f>IF(OR(F483="none",G483="V"),0,VLOOKUP(F483,'Purchased Boons'!$AR$4:$AS$27,2,FALSE))</f>
        <v>0</v>
      </c>
      <c r="W483" s="39" t="s">
        <v>1612</v>
      </c>
      <c r="X483" s="37" t="s">
        <v>494</v>
      </c>
      <c r="Y483" s="37" t="s">
        <v>1045</v>
      </c>
      <c r="Z483" s="111">
        <v>79</v>
      </c>
      <c r="AG483" s="24"/>
      <c r="AH483" s="24"/>
    </row>
    <row r="484" spans="1:34" x14ac:dyDescent="0.25">
      <c r="A484" s="468" t="s">
        <v>1173</v>
      </c>
      <c r="B484" s="36" t="s">
        <v>359</v>
      </c>
      <c r="C484" s="469">
        <v>6</v>
      </c>
      <c r="D484" s="470" t="s">
        <v>494</v>
      </c>
      <c r="E484" s="37">
        <f t="shared" si="36"/>
        <v>0</v>
      </c>
      <c r="F484" s="470" t="s">
        <v>494</v>
      </c>
      <c r="G484" s="37">
        <f t="shared" si="37"/>
        <v>0</v>
      </c>
      <c r="H484" s="37" t="s">
        <v>494</v>
      </c>
      <c r="I484" s="37">
        <f t="shared" si="38"/>
        <v>0</v>
      </c>
      <c r="J484" s="37" t="s">
        <v>347</v>
      </c>
      <c r="K484" s="37">
        <f t="shared" si="39"/>
        <v>0</v>
      </c>
      <c r="L484" s="37" t="s">
        <v>494</v>
      </c>
      <c r="M484" s="37">
        <f t="shared" si="40"/>
        <v>0</v>
      </c>
      <c r="N484" s="470" t="s">
        <v>347</v>
      </c>
      <c r="O484" s="470">
        <f t="shared" si="41"/>
        <v>0</v>
      </c>
      <c r="P484" s="37" t="str">
        <f t="shared" si="42"/>
        <v>None</v>
      </c>
      <c r="Q484" s="470" t="s">
        <v>346</v>
      </c>
      <c r="R484" s="37">
        <f t="shared" si="43"/>
        <v>0</v>
      </c>
      <c r="S484" s="470" t="s">
        <v>347</v>
      </c>
      <c r="T484" s="470">
        <f t="shared" si="44"/>
        <v>0</v>
      </c>
      <c r="U484" s="470" t="s">
        <v>346</v>
      </c>
      <c r="V484" s="111">
        <f>IF(OR(F484="none",G484="V"),0,VLOOKUP(F484,'Purchased Boons'!$AR$4:$AS$27,2,FALSE))</f>
        <v>0</v>
      </c>
      <c r="W484" s="39" t="s">
        <v>1607</v>
      </c>
      <c r="X484" s="37" t="s">
        <v>494</v>
      </c>
      <c r="Y484" s="37" t="s">
        <v>1045</v>
      </c>
      <c r="Z484" s="111">
        <v>79</v>
      </c>
      <c r="AG484" s="24"/>
      <c r="AH484" s="24"/>
    </row>
    <row r="485" spans="1:34" x14ac:dyDescent="0.25">
      <c r="A485" s="468" t="s">
        <v>1372</v>
      </c>
      <c r="B485" s="36" t="s">
        <v>1343</v>
      </c>
      <c r="C485" s="469">
        <v>4</v>
      </c>
      <c r="D485" s="470" t="s">
        <v>494</v>
      </c>
      <c r="E485" s="37">
        <f t="shared" si="36"/>
        <v>0</v>
      </c>
      <c r="F485" s="470" t="s">
        <v>494</v>
      </c>
      <c r="G485" s="37">
        <f t="shared" si="37"/>
        <v>0</v>
      </c>
      <c r="H485" s="37" t="s">
        <v>494</v>
      </c>
      <c r="I485" s="37">
        <f t="shared" si="38"/>
        <v>0</v>
      </c>
      <c r="J485" s="37" t="s">
        <v>347</v>
      </c>
      <c r="K485" s="37">
        <f t="shared" si="39"/>
        <v>0</v>
      </c>
      <c r="L485" s="37" t="s">
        <v>494</v>
      </c>
      <c r="M485" s="37">
        <f t="shared" si="40"/>
        <v>0</v>
      </c>
      <c r="N485" s="470" t="s">
        <v>347</v>
      </c>
      <c r="O485" s="470">
        <f t="shared" si="41"/>
        <v>0</v>
      </c>
      <c r="P485" s="37" t="str">
        <f t="shared" si="42"/>
        <v>None</v>
      </c>
      <c r="Q485" s="470" t="s">
        <v>346</v>
      </c>
      <c r="R485" s="37">
        <f t="shared" si="43"/>
        <v>0</v>
      </c>
      <c r="S485" s="470" t="s">
        <v>347</v>
      </c>
      <c r="T485" s="470">
        <f t="shared" si="44"/>
        <v>0</v>
      </c>
      <c r="U485" s="470" t="s">
        <v>346</v>
      </c>
      <c r="V485" s="111">
        <f>IF(OR(F485="none",G485="V"),0,VLOOKUP(F485,'Purchased Boons'!$AR$4:$AS$27,2,FALSE))</f>
        <v>0</v>
      </c>
      <c r="W485" s="39" t="s">
        <v>1050</v>
      </c>
      <c r="X485" s="37" t="s">
        <v>494</v>
      </c>
      <c r="Y485" s="37" t="s">
        <v>1046</v>
      </c>
      <c r="Z485" s="111">
        <v>69</v>
      </c>
      <c r="AG485" s="24"/>
      <c r="AH485" s="24"/>
    </row>
    <row r="486" spans="1:34" x14ac:dyDescent="0.25">
      <c r="A486" s="468" t="s">
        <v>1176</v>
      </c>
      <c r="B486" s="36" t="s">
        <v>108</v>
      </c>
      <c r="C486" s="469">
        <v>5</v>
      </c>
      <c r="D486" s="470" t="s">
        <v>14</v>
      </c>
      <c r="E486" s="37">
        <f t="shared" si="36"/>
        <v>1</v>
      </c>
      <c r="F486" s="470" t="s">
        <v>47</v>
      </c>
      <c r="G486" s="37">
        <f t="shared" si="37"/>
        <v>0</v>
      </c>
      <c r="H486" s="37" t="s">
        <v>494</v>
      </c>
      <c r="I486" s="37">
        <f t="shared" si="38"/>
        <v>0</v>
      </c>
      <c r="J486" s="37" t="s">
        <v>347</v>
      </c>
      <c r="K486" s="37">
        <f t="shared" si="39"/>
        <v>0</v>
      </c>
      <c r="L486" s="37" t="s">
        <v>494</v>
      </c>
      <c r="M486" s="37">
        <f t="shared" si="40"/>
        <v>0</v>
      </c>
      <c r="N486" s="470" t="s">
        <v>347</v>
      </c>
      <c r="O486" s="470">
        <f t="shared" si="41"/>
        <v>0</v>
      </c>
      <c r="P486" s="37" t="str">
        <f t="shared" si="42"/>
        <v>1 + 0</v>
      </c>
      <c r="Q486" s="470" t="s">
        <v>346</v>
      </c>
      <c r="R486" s="37">
        <f t="shared" si="43"/>
        <v>0</v>
      </c>
      <c r="S486" s="470" t="s">
        <v>347</v>
      </c>
      <c r="T486" s="470">
        <f t="shared" si="44"/>
        <v>0</v>
      </c>
      <c r="U486" s="470" t="s">
        <v>346</v>
      </c>
      <c r="V486" s="111">
        <f>IF(OR(F486="none",G486="V"),0,VLOOKUP(F486,'Purchased Boons'!$AR$4:$AS$27,2,FALSE))</f>
        <v>0</v>
      </c>
      <c r="W486" s="39" t="s">
        <v>1063</v>
      </c>
      <c r="X486" s="37" t="s">
        <v>1531</v>
      </c>
      <c r="Y486" s="37" t="s">
        <v>1045</v>
      </c>
      <c r="Z486" s="111">
        <v>80</v>
      </c>
      <c r="AG486" s="24"/>
      <c r="AH486" s="24"/>
    </row>
    <row r="487" spans="1:34" x14ac:dyDescent="0.25">
      <c r="A487" s="468" t="s">
        <v>1267</v>
      </c>
      <c r="B487" s="36" t="s">
        <v>358</v>
      </c>
      <c r="C487" s="469">
        <v>8</v>
      </c>
      <c r="D487" s="470" t="s">
        <v>21</v>
      </c>
      <c r="E487" s="37">
        <f t="shared" si="36"/>
        <v>1</v>
      </c>
      <c r="F487" s="470" t="s">
        <v>56</v>
      </c>
      <c r="G487" s="37">
        <f t="shared" si="37"/>
        <v>0</v>
      </c>
      <c r="H487" s="37" t="s">
        <v>494</v>
      </c>
      <c r="I487" s="37">
        <f t="shared" si="38"/>
        <v>0</v>
      </c>
      <c r="J487" s="37" t="s">
        <v>347</v>
      </c>
      <c r="K487" s="37">
        <f t="shared" si="39"/>
        <v>0</v>
      </c>
      <c r="L487" s="37" t="s">
        <v>494</v>
      </c>
      <c r="M487" s="37">
        <f t="shared" si="40"/>
        <v>0</v>
      </c>
      <c r="N487" s="470" t="s">
        <v>347</v>
      </c>
      <c r="O487" s="470">
        <f t="shared" si="41"/>
        <v>0</v>
      </c>
      <c r="P487" s="37" t="str">
        <f t="shared" si="42"/>
        <v>1 + 0</v>
      </c>
      <c r="Q487" s="470" t="s">
        <v>346</v>
      </c>
      <c r="R487" s="37">
        <f t="shared" si="43"/>
        <v>0</v>
      </c>
      <c r="S487" s="470" t="s">
        <v>347</v>
      </c>
      <c r="T487" s="470">
        <f t="shared" si="44"/>
        <v>0</v>
      </c>
      <c r="U487" s="470" t="s">
        <v>346</v>
      </c>
      <c r="V487" s="111">
        <f>IF(OR(F487="none",G487="V"),0,VLOOKUP(F487,'Purchased Boons'!$AR$4:$AS$27,2,FALSE))</f>
        <v>0</v>
      </c>
      <c r="W487" s="39" t="s">
        <v>1625</v>
      </c>
      <c r="X487" s="37" t="s">
        <v>1591</v>
      </c>
      <c r="Y487" s="37" t="s">
        <v>5</v>
      </c>
      <c r="Z487" s="111">
        <v>89</v>
      </c>
      <c r="AG487" s="24"/>
      <c r="AH487" s="24"/>
    </row>
    <row r="488" spans="1:34" x14ac:dyDescent="0.25">
      <c r="A488" s="468" t="s">
        <v>1175</v>
      </c>
      <c r="B488" s="36" t="s">
        <v>108</v>
      </c>
      <c r="C488" s="469">
        <v>4</v>
      </c>
      <c r="D488" s="470" t="s">
        <v>17</v>
      </c>
      <c r="E488" s="37">
        <f t="shared" ref="E488:E551" si="45">VLOOKUP(D488,$AC$2:$AD$12,2,FALSE)</f>
        <v>1</v>
      </c>
      <c r="F488" s="470" t="s">
        <v>47</v>
      </c>
      <c r="G488" s="37">
        <f t="shared" ref="G488:G551" si="46">VLOOKUP(F488,$AF$2:$AH$27,2,FALSE)</f>
        <v>0</v>
      </c>
      <c r="H488" s="37" t="s">
        <v>494</v>
      </c>
      <c r="I488" s="37">
        <f t="shared" ref="I488:I551" si="47">VLOOKUP(H488,$AI$2:$AJ$42,2,FALSE)</f>
        <v>0</v>
      </c>
      <c r="J488" s="37" t="s">
        <v>347</v>
      </c>
      <c r="K488" s="37">
        <f t="shared" ref="K488:K551" si="48">IF(J488="Yes",$AJ$56,0)</f>
        <v>0</v>
      </c>
      <c r="L488" s="37" t="s">
        <v>494</v>
      </c>
      <c r="M488" s="37">
        <f t="shared" ref="M488:M551" si="49">VLOOKUP(L488,$AI$43:$AJ$55,2,FALSE)</f>
        <v>0</v>
      </c>
      <c r="N488" s="470" t="s">
        <v>347</v>
      </c>
      <c r="O488" s="470">
        <f t="shared" ref="O488:O551" si="50">IF(N488="Yes",$AJ$57,0)</f>
        <v>0</v>
      </c>
      <c r="P488" s="37" t="str">
        <f t="shared" ref="P488:P551" si="51">IF(OR(D488="Varies",F488="Varies",H488="Varies",L488="Varies"),"Varies",IF(AND(D488="None",F488="None",H488="None",L488="None",J488="No",N488="No"),"None",CONCATENATE(E488+G488+V488+I488+K488+M488+O488," + ",R488+T488)))</f>
        <v>1 + 0</v>
      </c>
      <c r="Q488" s="470" t="s">
        <v>346</v>
      </c>
      <c r="R488" s="37">
        <f t="shared" ref="R488:R551" si="52">IF(Q488="Yes",VLOOKUP(D488,$AC$2:$AE$12,3,FALSE),0)</f>
        <v>0</v>
      </c>
      <c r="S488" s="470" t="s">
        <v>347</v>
      </c>
      <c r="T488" s="470">
        <f t="shared" ref="T488:T551" si="53">IF(S488="Yes",$AJ$57,0)</f>
        <v>0</v>
      </c>
      <c r="U488" s="470" t="s">
        <v>346</v>
      </c>
      <c r="V488" s="111">
        <f>IF(OR(F488="none",G488="V"),0,VLOOKUP(F488,'Purchased Boons'!$AR$4:$AS$27,2,FALSE))</f>
        <v>0</v>
      </c>
      <c r="W488" s="39" t="s">
        <v>1613</v>
      </c>
      <c r="X488" s="37" t="s">
        <v>1584</v>
      </c>
      <c r="Y488" s="37" t="s">
        <v>1045</v>
      </c>
      <c r="Z488" s="111">
        <v>80</v>
      </c>
      <c r="AG488" s="24"/>
      <c r="AH488" s="24"/>
    </row>
    <row r="489" spans="1:34" x14ac:dyDescent="0.25">
      <c r="A489" s="468" t="s">
        <v>1149</v>
      </c>
      <c r="B489" s="36" t="s">
        <v>353</v>
      </c>
      <c r="C489" s="469">
        <v>6</v>
      </c>
      <c r="D489" s="470" t="s">
        <v>21</v>
      </c>
      <c r="E489" s="37">
        <f t="shared" si="45"/>
        <v>1</v>
      </c>
      <c r="F489" s="470" t="s">
        <v>41</v>
      </c>
      <c r="G489" s="37">
        <f t="shared" si="46"/>
        <v>0</v>
      </c>
      <c r="H489" s="37" t="s">
        <v>494</v>
      </c>
      <c r="I489" s="37">
        <f t="shared" si="47"/>
        <v>0</v>
      </c>
      <c r="J489" s="37" t="s">
        <v>347</v>
      </c>
      <c r="K489" s="37">
        <f t="shared" si="48"/>
        <v>0</v>
      </c>
      <c r="L489" s="37" t="s">
        <v>494</v>
      </c>
      <c r="M489" s="37">
        <f t="shared" si="49"/>
        <v>0</v>
      </c>
      <c r="N489" s="470" t="s">
        <v>347</v>
      </c>
      <c r="O489" s="470">
        <f t="shared" si="50"/>
        <v>0</v>
      </c>
      <c r="P489" s="37" t="str">
        <f t="shared" si="51"/>
        <v>1 + 0</v>
      </c>
      <c r="Q489" s="470" t="s">
        <v>346</v>
      </c>
      <c r="R489" s="37">
        <f t="shared" si="52"/>
        <v>0</v>
      </c>
      <c r="S489" s="470" t="s">
        <v>347</v>
      </c>
      <c r="T489" s="470">
        <f t="shared" si="53"/>
        <v>0</v>
      </c>
      <c r="U489" s="470" t="s">
        <v>346</v>
      </c>
      <c r="V489" s="111">
        <f>IF(OR(F489="none",G489="V"),0,VLOOKUP(F489,'Purchased Boons'!$AR$4:$AS$27,2,FALSE))</f>
        <v>0</v>
      </c>
      <c r="W489" s="39" t="s">
        <v>1607</v>
      </c>
      <c r="X489" s="37" t="s">
        <v>1522</v>
      </c>
      <c r="Y489" s="37" t="s">
        <v>1045</v>
      </c>
      <c r="Z489" s="111">
        <v>71</v>
      </c>
      <c r="AG489" s="24"/>
      <c r="AH489" s="24"/>
    </row>
    <row r="490" spans="1:34" x14ac:dyDescent="0.25">
      <c r="A490" s="468" t="s">
        <v>1290</v>
      </c>
      <c r="B490" s="36" t="s">
        <v>363</v>
      </c>
      <c r="C490" s="469">
        <v>8</v>
      </c>
      <c r="D490" s="470" t="s">
        <v>30</v>
      </c>
      <c r="E490" s="37">
        <f t="shared" si="45"/>
        <v>1</v>
      </c>
      <c r="F490" s="470" t="s">
        <v>42</v>
      </c>
      <c r="G490" s="37">
        <f t="shared" si="46"/>
        <v>0</v>
      </c>
      <c r="H490" s="37" t="s">
        <v>494</v>
      </c>
      <c r="I490" s="37">
        <f t="shared" si="47"/>
        <v>0</v>
      </c>
      <c r="J490" s="37" t="s">
        <v>347</v>
      </c>
      <c r="K490" s="37">
        <f t="shared" si="48"/>
        <v>0</v>
      </c>
      <c r="L490" s="37" t="s">
        <v>494</v>
      </c>
      <c r="M490" s="37">
        <f t="shared" si="49"/>
        <v>0</v>
      </c>
      <c r="N490" s="470" t="s">
        <v>347</v>
      </c>
      <c r="O490" s="470">
        <f t="shared" si="50"/>
        <v>0</v>
      </c>
      <c r="P490" s="37" t="str">
        <f t="shared" si="51"/>
        <v>1 + 0</v>
      </c>
      <c r="Q490" s="470" t="s">
        <v>346</v>
      </c>
      <c r="R490" s="37">
        <f t="shared" si="52"/>
        <v>0</v>
      </c>
      <c r="S490" s="470" t="s">
        <v>347</v>
      </c>
      <c r="T490" s="470">
        <f t="shared" si="53"/>
        <v>0</v>
      </c>
      <c r="U490" s="470" t="s">
        <v>346</v>
      </c>
      <c r="V490" s="111">
        <f>IF(OR(F490="none",G490="V"),0,VLOOKUP(F490,'Purchased Boons'!$AR$4:$AS$27,2,FALSE))</f>
        <v>0</v>
      </c>
      <c r="W490" s="39" t="s">
        <v>1052</v>
      </c>
      <c r="X490" s="37" t="s">
        <v>1661</v>
      </c>
      <c r="Y490" s="37" t="s">
        <v>5</v>
      </c>
      <c r="Z490" s="111">
        <v>98</v>
      </c>
      <c r="AG490" s="24"/>
      <c r="AH490" s="24"/>
    </row>
    <row r="491" spans="1:34" x14ac:dyDescent="0.25">
      <c r="A491" s="468" t="s">
        <v>1146</v>
      </c>
      <c r="B491" s="36" t="s">
        <v>352</v>
      </c>
      <c r="C491" s="469">
        <v>7</v>
      </c>
      <c r="D491" s="470" t="s">
        <v>494</v>
      </c>
      <c r="E491" s="37">
        <f t="shared" si="45"/>
        <v>0</v>
      </c>
      <c r="F491" s="470" t="s">
        <v>494</v>
      </c>
      <c r="G491" s="37">
        <f t="shared" si="46"/>
        <v>0</v>
      </c>
      <c r="H491" s="37" t="s">
        <v>494</v>
      </c>
      <c r="I491" s="37">
        <f t="shared" si="47"/>
        <v>0</v>
      </c>
      <c r="J491" s="37" t="s">
        <v>347</v>
      </c>
      <c r="K491" s="37">
        <f t="shared" si="48"/>
        <v>0</v>
      </c>
      <c r="L491" s="37" t="s">
        <v>494</v>
      </c>
      <c r="M491" s="37">
        <f t="shared" si="49"/>
        <v>0</v>
      </c>
      <c r="N491" s="470" t="s">
        <v>347</v>
      </c>
      <c r="O491" s="470">
        <f t="shared" si="50"/>
        <v>0</v>
      </c>
      <c r="P491" s="37" t="str">
        <f t="shared" si="51"/>
        <v>None</v>
      </c>
      <c r="Q491" s="470" t="s">
        <v>346</v>
      </c>
      <c r="R491" s="37">
        <f t="shared" si="52"/>
        <v>0</v>
      </c>
      <c r="S491" s="470" t="s">
        <v>347</v>
      </c>
      <c r="T491" s="470">
        <f t="shared" si="53"/>
        <v>0</v>
      </c>
      <c r="U491" s="470" t="s">
        <v>346</v>
      </c>
      <c r="V491" s="111">
        <f>IF(OR(F491="none",G491="V"),0,VLOOKUP(F491,'Purchased Boons'!$AR$4:$AS$27,2,FALSE))</f>
        <v>0</v>
      </c>
      <c r="W491" s="39" t="s">
        <v>1736</v>
      </c>
      <c r="X491" s="37" t="s">
        <v>494</v>
      </c>
      <c r="Y491" s="37" t="s">
        <v>1045</v>
      </c>
      <c r="Z491" s="111">
        <v>70</v>
      </c>
      <c r="AG491" s="24"/>
      <c r="AH491" s="24"/>
    </row>
    <row r="492" spans="1:34" x14ac:dyDescent="0.25">
      <c r="A492" s="468" t="s">
        <v>1203</v>
      </c>
      <c r="B492" s="36" t="s">
        <v>367</v>
      </c>
      <c r="C492" s="469">
        <v>4</v>
      </c>
      <c r="D492" s="470" t="s">
        <v>14</v>
      </c>
      <c r="E492" s="37">
        <f t="shared" si="45"/>
        <v>1</v>
      </c>
      <c r="F492" s="470" t="s">
        <v>57</v>
      </c>
      <c r="G492" s="37">
        <f t="shared" si="46"/>
        <v>0</v>
      </c>
      <c r="H492" s="37" t="s">
        <v>494</v>
      </c>
      <c r="I492" s="37">
        <f t="shared" si="47"/>
        <v>0</v>
      </c>
      <c r="J492" s="37" t="s">
        <v>347</v>
      </c>
      <c r="K492" s="37">
        <f t="shared" si="48"/>
        <v>0</v>
      </c>
      <c r="L492" s="37" t="s">
        <v>494</v>
      </c>
      <c r="M492" s="37">
        <f t="shared" si="49"/>
        <v>0</v>
      </c>
      <c r="N492" s="470" t="s">
        <v>347</v>
      </c>
      <c r="O492" s="470">
        <f t="shared" si="50"/>
        <v>0</v>
      </c>
      <c r="P492" s="37" t="str">
        <f t="shared" si="51"/>
        <v>1 + 0</v>
      </c>
      <c r="Q492" s="470" t="s">
        <v>346</v>
      </c>
      <c r="R492" s="37">
        <f t="shared" si="52"/>
        <v>0</v>
      </c>
      <c r="S492" s="470" t="s">
        <v>347</v>
      </c>
      <c r="T492" s="470">
        <f t="shared" si="53"/>
        <v>0</v>
      </c>
      <c r="U492" s="470" t="s">
        <v>346</v>
      </c>
      <c r="V492" s="111">
        <f>IF(OR(F492="none",G492="V"),0,VLOOKUP(F492,'Purchased Boons'!$AR$4:$AS$27,2,FALSE))</f>
        <v>0</v>
      </c>
      <c r="W492" s="39" t="s">
        <v>1569</v>
      </c>
      <c r="X492" s="37" t="s">
        <v>1593</v>
      </c>
      <c r="Y492" s="37" t="s">
        <v>1045</v>
      </c>
      <c r="Z492" s="111">
        <v>90</v>
      </c>
      <c r="AG492" s="24"/>
      <c r="AH492" s="24"/>
    </row>
    <row r="493" spans="1:34" x14ac:dyDescent="0.25">
      <c r="A493" s="468" t="s">
        <v>1386</v>
      </c>
      <c r="B493" s="36" t="s">
        <v>355</v>
      </c>
      <c r="C493" s="469">
        <v>10</v>
      </c>
      <c r="D493" s="470" t="s">
        <v>30</v>
      </c>
      <c r="E493" s="37">
        <f t="shared" si="45"/>
        <v>1</v>
      </c>
      <c r="F493" s="470" t="s">
        <v>49</v>
      </c>
      <c r="G493" s="37">
        <f t="shared" si="46"/>
        <v>0</v>
      </c>
      <c r="H493" s="37" t="s">
        <v>494</v>
      </c>
      <c r="I493" s="37">
        <f t="shared" si="47"/>
        <v>0</v>
      </c>
      <c r="J493" s="37" t="s">
        <v>347</v>
      </c>
      <c r="K493" s="37">
        <f t="shared" si="48"/>
        <v>0</v>
      </c>
      <c r="L493" s="37" t="s">
        <v>494</v>
      </c>
      <c r="M493" s="37">
        <f t="shared" si="49"/>
        <v>0</v>
      </c>
      <c r="N493" s="470" t="s">
        <v>347</v>
      </c>
      <c r="O493" s="470">
        <f t="shared" si="50"/>
        <v>0</v>
      </c>
      <c r="P493" s="37" t="str">
        <f t="shared" si="51"/>
        <v>1 + 0</v>
      </c>
      <c r="Q493" s="470" t="s">
        <v>346</v>
      </c>
      <c r="R493" s="37">
        <f t="shared" si="52"/>
        <v>0</v>
      </c>
      <c r="S493" s="470" t="s">
        <v>347</v>
      </c>
      <c r="T493" s="470">
        <f t="shared" si="53"/>
        <v>0</v>
      </c>
      <c r="U493" s="470" t="s">
        <v>346</v>
      </c>
      <c r="V493" s="111">
        <f>IF(OR(F493="none",G493="V"),0,VLOOKUP(F493,'Purchased Boons'!$AR$4:$AS$27,2,FALSE))</f>
        <v>0</v>
      </c>
      <c r="W493" s="39" t="s">
        <v>1683</v>
      </c>
      <c r="X493" s="37" t="s">
        <v>1684</v>
      </c>
      <c r="Y493" s="37" t="s">
        <v>1046</v>
      </c>
      <c r="Z493" s="111">
        <v>72</v>
      </c>
      <c r="AG493" s="24"/>
      <c r="AH493" s="24"/>
    </row>
    <row r="494" spans="1:34" x14ac:dyDescent="0.25">
      <c r="A494" s="468" t="s">
        <v>1073</v>
      </c>
      <c r="B494" s="36" t="s">
        <v>355</v>
      </c>
      <c r="C494" s="469">
        <v>1</v>
      </c>
      <c r="D494" s="470" t="s">
        <v>494</v>
      </c>
      <c r="E494" s="37">
        <f t="shared" si="45"/>
        <v>0</v>
      </c>
      <c r="F494" s="470" t="s">
        <v>494</v>
      </c>
      <c r="G494" s="37">
        <f t="shared" si="46"/>
        <v>0</v>
      </c>
      <c r="H494" s="37" t="s">
        <v>494</v>
      </c>
      <c r="I494" s="37">
        <f t="shared" si="47"/>
        <v>0</v>
      </c>
      <c r="J494" s="37" t="s">
        <v>347</v>
      </c>
      <c r="K494" s="37">
        <f t="shared" si="48"/>
        <v>0</v>
      </c>
      <c r="L494" s="37" t="s">
        <v>494</v>
      </c>
      <c r="M494" s="37">
        <f t="shared" si="49"/>
        <v>0</v>
      </c>
      <c r="N494" s="470" t="s">
        <v>347</v>
      </c>
      <c r="O494" s="470">
        <f t="shared" si="50"/>
        <v>0</v>
      </c>
      <c r="P494" s="37" t="str">
        <f t="shared" si="51"/>
        <v>None</v>
      </c>
      <c r="Q494" s="470" t="s">
        <v>346</v>
      </c>
      <c r="R494" s="37">
        <f t="shared" si="52"/>
        <v>0</v>
      </c>
      <c r="S494" s="470" t="s">
        <v>347</v>
      </c>
      <c r="T494" s="470">
        <f t="shared" si="53"/>
        <v>0</v>
      </c>
      <c r="U494" s="470" t="s">
        <v>346</v>
      </c>
      <c r="V494" s="111">
        <f>IF(OR(F494="none",G494="V"),0,VLOOKUP(F494,'Purchased Boons'!$AR$4:$AS$27,2,FALSE))</f>
        <v>0</v>
      </c>
      <c r="W494" s="39" t="s">
        <v>1764</v>
      </c>
      <c r="X494" s="37" t="s">
        <v>1764</v>
      </c>
      <c r="Y494" s="37" t="s">
        <v>133</v>
      </c>
      <c r="Z494" s="111">
        <v>141</v>
      </c>
      <c r="AG494" s="24"/>
      <c r="AH494" s="24"/>
    </row>
    <row r="495" spans="1:34" x14ac:dyDescent="0.25">
      <c r="A495" s="468" t="s">
        <v>1377</v>
      </c>
      <c r="B495" s="36" t="s">
        <v>1343</v>
      </c>
      <c r="C495" s="469">
        <v>9</v>
      </c>
      <c r="D495" s="470" t="s">
        <v>21</v>
      </c>
      <c r="E495" s="37">
        <f t="shared" si="45"/>
        <v>1</v>
      </c>
      <c r="F495" s="470" t="s">
        <v>52</v>
      </c>
      <c r="G495" s="37">
        <f t="shared" si="46"/>
        <v>0</v>
      </c>
      <c r="H495" s="37" t="s">
        <v>494</v>
      </c>
      <c r="I495" s="37">
        <f t="shared" si="47"/>
        <v>0</v>
      </c>
      <c r="J495" s="37" t="s">
        <v>347</v>
      </c>
      <c r="K495" s="37">
        <f t="shared" si="48"/>
        <v>0</v>
      </c>
      <c r="L495" s="37" t="s">
        <v>494</v>
      </c>
      <c r="M495" s="37">
        <f t="shared" si="49"/>
        <v>0</v>
      </c>
      <c r="N495" s="470" t="s">
        <v>347</v>
      </c>
      <c r="O495" s="470">
        <f t="shared" si="50"/>
        <v>0</v>
      </c>
      <c r="P495" s="37" t="str">
        <f t="shared" si="51"/>
        <v>1 + 0</v>
      </c>
      <c r="Q495" s="470" t="s">
        <v>346</v>
      </c>
      <c r="R495" s="37">
        <f t="shared" si="52"/>
        <v>0</v>
      </c>
      <c r="S495" s="470" t="s">
        <v>347</v>
      </c>
      <c r="T495" s="470">
        <f t="shared" si="53"/>
        <v>0</v>
      </c>
      <c r="U495" s="470" t="s">
        <v>346</v>
      </c>
      <c r="V495" s="111">
        <f>IF(OR(F495="none",G495="V"),0,VLOOKUP(F495,'Purchased Boons'!$AR$4:$AS$27,2,FALSE))</f>
        <v>0</v>
      </c>
      <c r="W495" s="39" t="s">
        <v>1679</v>
      </c>
      <c r="X495" s="37" t="s">
        <v>1680</v>
      </c>
      <c r="Y495" s="37" t="s">
        <v>1046</v>
      </c>
      <c r="Z495" s="111">
        <v>70</v>
      </c>
      <c r="AG495" s="24"/>
      <c r="AH495" s="24"/>
    </row>
    <row r="496" spans="1:34" x14ac:dyDescent="0.25">
      <c r="A496" s="468" t="s">
        <v>1385</v>
      </c>
      <c r="B496" s="36" t="s">
        <v>355</v>
      </c>
      <c r="C496" s="469">
        <v>1</v>
      </c>
      <c r="D496" s="470" t="s">
        <v>20</v>
      </c>
      <c r="E496" s="37">
        <f t="shared" si="45"/>
        <v>1</v>
      </c>
      <c r="F496" s="470" t="s">
        <v>47</v>
      </c>
      <c r="G496" s="37">
        <f t="shared" si="46"/>
        <v>0</v>
      </c>
      <c r="H496" s="37" t="s">
        <v>494</v>
      </c>
      <c r="I496" s="37">
        <f t="shared" si="47"/>
        <v>0</v>
      </c>
      <c r="J496" s="37" t="s">
        <v>347</v>
      </c>
      <c r="K496" s="37">
        <f t="shared" si="48"/>
        <v>0</v>
      </c>
      <c r="L496" s="37" t="s">
        <v>494</v>
      </c>
      <c r="M496" s="37">
        <f t="shared" si="49"/>
        <v>0</v>
      </c>
      <c r="N496" s="470" t="s">
        <v>347</v>
      </c>
      <c r="O496" s="470">
        <f t="shared" si="50"/>
        <v>0</v>
      </c>
      <c r="P496" s="37" t="str">
        <f t="shared" si="51"/>
        <v>1 + 0</v>
      </c>
      <c r="Q496" s="470" t="s">
        <v>346</v>
      </c>
      <c r="R496" s="37">
        <f t="shared" si="52"/>
        <v>0</v>
      </c>
      <c r="S496" s="470" t="s">
        <v>347</v>
      </c>
      <c r="T496" s="470">
        <f t="shared" si="53"/>
        <v>0</v>
      </c>
      <c r="U496" s="470" t="s">
        <v>346</v>
      </c>
      <c r="V496" s="111">
        <f>IF(OR(F496="none",G496="V"),0,VLOOKUP(F496,'Purchased Boons'!$AR$4:$AS$27,2,FALSE))</f>
        <v>0</v>
      </c>
      <c r="W496" s="39" t="s">
        <v>1050</v>
      </c>
      <c r="X496" s="37" t="s">
        <v>1585</v>
      </c>
      <c r="Y496" s="37" t="s">
        <v>1046</v>
      </c>
      <c r="Z496" s="111">
        <v>72</v>
      </c>
      <c r="AG496" s="24"/>
      <c r="AH496" s="24"/>
    </row>
    <row r="497" spans="1:34" x14ac:dyDescent="0.25">
      <c r="A497" s="468" t="s">
        <v>1136</v>
      </c>
      <c r="B497" s="36" t="s">
        <v>371</v>
      </c>
      <c r="C497" s="469">
        <v>3</v>
      </c>
      <c r="D497" s="470" t="s">
        <v>17</v>
      </c>
      <c r="E497" s="37">
        <f t="shared" si="45"/>
        <v>1</v>
      </c>
      <c r="F497" s="470" t="s">
        <v>51</v>
      </c>
      <c r="G497" s="37">
        <f t="shared" si="46"/>
        <v>0</v>
      </c>
      <c r="H497" s="37" t="s">
        <v>494</v>
      </c>
      <c r="I497" s="37">
        <f t="shared" si="47"/>
        <v>0</v>
      </c>
      <c r="J497" s="37" t="s">
        <v>347</v>
      </c>
      <c r="K497" s="37">
        <f t="shared" si="48"/>
        <v>0</v>
      </c>
      <c r="L497" s="37" t="s">
        <v>494</v>
      </c>
      <c r="M497" s="37">
        <f t="shared" si="49"/>
        <v>0</v>
      </c>
      <c r="N497" s="470" t="s">
        <v>347</v>
      </c>
      <c r="O497" s="470">
        <f t="shared" si="50"/>
        <v>0</v>
      </c>
      <c r="P497" s="37" t="str">
        <f t="shared" si="51"/>
        <v>1 + 0</v>
      </c>
      <c r="Q497" s="470" t="s">
        <v>346</v>
      </c>
      <c r="R497" s="37">
        <f t="shared" si="52"/>
        <v>0</v>
      </c>
      <c r="S497" s="470" t="s">
        <v>347</v>
      </c>
      <c r="T497" s="470">
        <f t="shared" si="53"/>
        <v>0</v>
      </c>
      <c r="U497" s="470" t="s">
        <v>346</v>
      </c>
      <c r="V497" s="111">
        <f>IF(OR(F497="none",G497="V"),0,VLOOKUP(F497,'Purchased Boons'!$AR$4:$AS$27,2,FALSE))</f>
        <v>0</v>
      </c>
      <c r="W497" s="39" t="s">
        <v>1545</v>
      </c>
      <c r="X497" s="37" t="s">
        <v>1553</v>
      </c>
      <c r="Y497" s="37" t="s">
        <v>133</v>
      </c>
      <c r="Z497" s="111">
        <v>155</v>
      </c>
      <c r="AG497" s="24"/>
      <c r="AH497" s="24"/>
    </row>
    <row r="498" spans="1:34" x14ac:dyDescent="0.25">
      <c r="A498" s="468" t="s">
        <v>2917</v>
      </c>
      <c r="B498" s="36" t="s">
        <v>367</v>
      </c>
      <c r="C498" s="469">
        <v>5</v>
      </c>
      <c r="D498" s="470" t="s">
        <v>30</v>
      </c>
      <c r="E498" s="37">
        <f t="shared" si="45"/>
        <v>1</v>
      </c>
      <c r="F498" s="470" t="s">
        <v>47</v>
      </c>
      <c r="G498" s="37">
        <f t="shared" si="46"/>
        <v>0</v>
      </c>
      <c r="H498" s="37" t="s">
        <v>494</v>
      </c>
      <c r="I498" s="37">
        <f t="shared" si="47"/>
        <v>0</v>
      </c>
      <c r="J498" s="37" t="s">
        <v>347</v>
      </c>
      <c r="K498" s="37">
        <f t="shared" si="48"/>
        <v>0</v>
      </c>
      <c r="L498" s="37" t="s">
        <v>494</v>
      </c>
      <c r="M498" s="37">
        <f t="shared" si="49"/>
        <v>0</v>
      </c>
      <c r="N498" s="470" t="s">
        <v>347</v>
      </c>
      <c r="O498" s="470">
        <f t="shared" si="50"/>
        <v>0</v>
      </c>
      <c r="P498" s="37" t="str">
        <f t="shared" si="51"/>
        <v>1 + 0</v>
      </c>
      <c r="Q498" s="470" t="s">
        <v>346</v>
      </c>
      <c r="R498" s="37">
        <f t="shared" si="52"/>
        <v>0</v>
      </c>
      <c r="S498" s="470" t="s">
        <v>347</v>
      </c>
      <c r="T498" s="470">
        <f t="shared" si="53"/>
        <v>0</v>
      </c>
      <c r="U498" s="470" t="s">
        <v>346</v>
      </c>
      <c r="V498" s="111">
        <f>IF(OR(F498="none",G498="V"),0,VLOOKUP(F498,'Purchased Boons'!$AR$4:$AS$27,2,FALSE))</f>
        <v>0</v>
      </c>
      <c r="W498" s="39" t="s">
        <v>1616</v>
      </c>
      <c r="X498" s="37" t="s">
        <v>1594</v>
      </c>
      <c r="Y498" s="37" t="s">
        <v>1045</v>
      </c>
      <c r="Z498" s="111">
        <v>90</v>
      </c>
      <c r="AG498" s="24"/>
      <c r="AH498" s="24"/>
    </row>
    <row r="499" spans="1:34" x14ac:dyDescent="0.25">
      <c r="A499" s="468" t="s">
        <v>1135</v>
      </c>
      <c r="B499" s="36" t="s">
        <v>371</v>
      </c>
      <c r="C499" s="469">
        <v>3</v>
      </c>
      <c r="D499" s="470" t="s">
        <v>16</v>
      </c>
      <c r="E499" s="37">
        <f t="shared" si="45"/>
        <v>1</v>
      </c>
      <c r="F499" s="470" t="s">
        <v>51</v>
      </c>
      <c r="G499" s="37">
        <f t="shared" si="46"/>
        <v>0</v>
      </c>
      <c r="H499" s="37" t="s">
        <v>494</v>
      </c>
      <c r="I499" s="37">
        <f t="shared" si="47"/>
        <v>0</v>
      </c>
      <c r="J499" s="37" t="s">
        <v>347</v>
      </c>
      <c r="K499" s="37">
        <f t="shared" si="48"/>
        <v>0</v>
      </c>
      <c r="L499" s="37" t="s">
        <v>494</v>
      </c>
      <c r="M499" s="37">
        <f t="shared" si="49"/>
        <v>0</v>
      </c>
      <c r="N499" s="470" t="s">
        <v>347</v>
      </c>
      <c r="O499" s="470">
        <f t="shared" si="50"/>
        <v>0</v>
      </c>
      <c r="P499" s="37" t="str">
        <f t="shared" si="51"/>
        <v>1 + 0</v>
      </c>
      <c r="Q499" s="470" t="s">
        <v>346</v>
      </c>
      <c r="R499" s="37">
        <f t="shared" si="52"/>
        <v>0</v>
      </c>
      <c r="S499" s="470" t="s">
        <v>347</v>
      </c>
      <c r="T499" s="470">
        <f t="shared" si="53"/>
        <v>0</v>
      </c>
      <c r="U499" s="470" t="s">
        <v>346</v>
      </c>
      <c r="V499" s="111">
        <f>IF(OR(F499="none",G499="V"),0,VLOOKUP(F499,'Purchased Boons'!$AR$4:$AS$27,2,FALSE))</f>
        <v>0</v>
      </c>
      <c r="W499" s="39" t="s">
        <v>1544</v>
      </c>
      <c r="X499" s="37" t="s">
        <v>1536</v>
      </c>
      <c r="Y499" s="37" t="s">
        <v>133</v>
      </c>
      <c r="Z499" s="111">
        <v>154</v>
      </c>
      <c r="AG499" s="24"/>
      <c r="AH499" s="24"/>
    </row>
    <row r="500" spans="1:34" x14ac:dyDescent="0.25">
      <c r="A500" s="468" t="s">
        <v>1170</v>
      </c>
      <c r="B500" s="36" t="s">
        <v>358</v>
      </c>
      <c r="C500" s="469">
        <v>7</v>
      </c>
      <c r="D500" s="470" t="s">
        <v>494</v>
      </c>
      <c r="E500" s="37">
        <f t="shared" si="45"/>
        <v>0</v>
      </c>
      <c r="F500" s="470" t="s">
        <v>494</v>
      </c>
      <c r="G500" s="37">
        <f t="shared" si="46"/>
        <v>0</v>
      </c>
      <c r="H500" s="37" t="s">
        <v>494</v>
      </c>
      <c r="I500" s="37">
        <f t="shared" si="47"/>
        <v>0</v>
      </c>
      <c r="J500" s="37" t="s">
        <v>347</v>
      </c>
      <c r="K500" s="37">
        <f t="shared" si="48"/>
        <v>0</v>
      </c>
      <c r="L500" s="37" t="s">
        <v>494</v>
      </c>
      <c r="M500" s="37">
        <f t="shared" si="49"/>
        <v>0</v>
      </c>
      <c r="N500" s="470" t="s">
        <v>347</v>
      </c>
      <c r="O500" s="470">
        <f t="shared" si="50"/>
        <v>0</v>
      </c>
      <c r="P500" s="37" t="str">
        <f t="shared" si="51"/>
        <v>None</v>
      </c>
      <c r="Q500" s="470" t="s">
        <v>346</v>
      </c>
      <c r="R500" s="37">
        <f t="shared" si="52"/>
        <v>0</v>
      </c>
      <c r="S500" s="470" t="s">
        <v>347</v>
      </c>
      <c r="T500" s="470">
        <f t="shared" si="53"/>
        <v>0</v>
      </c>
      <c r="U500" s="470" t="s">
        <v>346</v>
      </c>
      <c r="V500" s="111">
        <f>IF(OR(F500="none",G500="V"),0,VLOOKUP(F500,'Purchased Boons'!$AR$4:$AS$27,2,FALSE))</f>
        <v>0</v>
      </c>
      <c r="W500" s="39" t="s">
        <v>1607</v>
      </c>
      <c r="X500" s="37" t="s">
        <v>494</v>
      </c>
      <c r="Y500" s="37" t="s">
        <v>1045</v>
      </c>
      <c r="Z500" s="111">
        <v>78</v>
      </c>
      <c r="AG500" s="24"/>
      <c r="AH500" s="24"/>
    </row>
    <row r="501" spans="1:34" x14ac:dyDescent="0.25">
      <c r="A501" s="468" t="s">
        <v>1318</v>
      </c>
      <c r="B501" s="36" t="s">
        <v>155</v>
      </c>
      <c r="C501" s="469">
        <v>8</v>
      </c>
      <c r="D501" s="470" t="s">
        <v>494</v>
      </c>
      <c r="E501" s="37">
        <f t="shared" si="45"/>
        <v>0</v>
      </c>
      <c r="F501" s="470" t="s">
        <v>494</v>
      </c>
      <c r="G501" s="37">
        <f t="shared" si="46"/>
        <v>0</v>
      </c>
      <c r="H501" s="37" t="s">
        <v>494</v>
      </c>
      <c r="I501" s="37">
        <f t="shared" si="47"/>
        <v>0</v>
      </c>
      <c r="J501" s="37" t="s">
        <v>347</v>
      </c>
      <c r="K501" s="37">
        <f t="shared" si="48"/>
        <v>0</v>
      </c>
      <c r="L501" s="37" t="s">
        <v>494</v>
      </c>
      <c r="M501" s="37">
        <f t="shared" si="49"/>
        <v>0</v>
      </c>
      <c r="N501" s="470" t="s">
        <v>347</v>
      </c>
      <c r="O501" s="470">
        <f t="shared" si="50"/>
        <v>0</v>
      </c>
      <c r="P501" s="37" t="str">
        <f t="shared" si="51"/>
        <v>None</v>
      </c>
      <c r="Q501" s="470" t="s">
        <v>346</v>
      </c>
      <c r="R501" s="37">
        <f t="shared" si="52"/>
        <v>0</v>
      </c>
      <c r="S501" s="470" t="s">
        <v>347</v>
      </c>
      <c r="T501" s="470">
        <f t="shared" si="53"/>
        <v>0</v>
      </c>
      <c r="U501" s="470" t="s">
        <v>346</v>
      </c>
      <c r="V501" s="111">
        <f>IF(OR(F501="none",G501="V"),0,VLOOKUP(F501,'Purchased Boons'!$AR$4:$AS$27,2,FALSE))</f>
        <v>0</v>
      </c>
      <c r="W501" s="39" t="s">
        <v>1649</v>
      </c>
      <c r="X501" s="37" t="s">
        <v>494</v>
      </c>
      <c r="Y501" s="37" t="s">
        <v>5</v>
      </c>
      <c r="Z501" s="111">
        <v>108</v>
      </c>
      <c r="AG501" s="24"/>
      <c r="AH501" s="24"/>
    </row>
    <row r="502" spans="1:34" x14ac:dyDescent="0.25">
      <c r="A502" s="468" t="s">
        <v>1452</v>
      </c>
      <c r="B502" s="36" t="s">
        <v>182</v>
      </c>
      <c r="C502" s="469">
        <v>1</v>
      </c>
      <c r="D502" s="470" t="s">
        <v>494</v>
      </c>
      <c r="E502" s="37">
        <f t="shared" si="45"/>
        <v>0</v>
      </c>
      <c r="F502" s="470" t="s">
        <v>494</v>
      </c>
      <c r="G502" s="37">
        <f t="shared" si="46"/>
        <v>0</v>
      </c>
      <c r="H502" s="37" t="s">
        <v>494</v>
      </c>
      <c r="I502" s="37">
        <f t="shared" si="47"/>
        <v>0</v>
      </c>
      <c r="J502" s="37" t="s">
        <v>347</v>
      </c>
      <c r="K502" s="37">
        <f t="shared" si="48"/>
        <v>0</v>
      </c>
      <c r="L502" s="37" t="s">
        <v>494</v>
      </c>
      <c r="M502" s="37">
        <f t="shared" si="49"/>
        <v>0</v>
      </c>
      <c r="N502" s="470" t="s">
        <v>347</v>
      </c>
      <c r="O502" s="470">
        <f t="shared" si="50"/>
        <v>0</v>
      </c>
      <c r="P502" s="37" t="str">
        <f t="shared" si="51"/>
        <v>None</v>
      </c>
      <c r="Q502" s="470" t="s">
        <v>346</v>
      </c>
      <c r="R502" s="37">
        <f t="shared" si="52"/>
        <v>0</v>
      </c>
      <c r="S502" s="470" t="s">
        <v>347</v>
      </c>
      <c r="T502" s="470">
        <f t="shared" si="53"/>
        <v>0</v>
      </c>
      <c r="U502" s="470" t="s">
        <v>346</v>
      </c>
      <c r="V502" s="111">
        <f>IF(OR(F502="none",G502="V"),0,VLOOKUP(F502,'Purchased Boons'!$AR$4:$AS$27,2,FALSE))</f>
        <v>0</v>
      </c>
      <c r="W502" s="39" t="s">
        <v>1054</v>
      </c>
      <c r="X502" s="37" t="s">
        <v>494</v>
      </c>
      <c r="Y502" s="37" t="s">
        <v>1046</v>
      </c>
      <c r="Z502" s="111">
        <v>245</v>
      </c>
      <c r="AG502" s="24"/>
      <c r="AH502" s="24"/>
    </row>
    <row r="503" spans="1:34" x14ac:dyDescent="0.25">
      <c r="A503" s="468" t="s">
        <v>1226</v>
      </c>
      <c r="B503" s="36" t="s">
        <v>155</v>
      </c>
      <c r="C503" s="469">
        <v>7</v>
      </c>
      <c r="D503" s="470" t="s">
        <v>494</v>
      </c>
      <c r="E503" s="37">
        <f t="shared" si="45"/>
        <v>0</v>
      </c>
      <c r="F503" s="470" t="s">
        <v>494</v>
      </c>
      <c r="G503" s="37">
        <f t="shared" si="46"/>
        <v>0</v>
      </c>
      <c r="H503" s="37" t="s">
        <v>494</v>
      </c>
      <c r="I503" s="37">
        <f t="shared" si="47"/>
        <v>0</v>
      </c>
      <c r="J503" s="37" t="s">
        <v>347</v>
      </c>
      <c r="K503" s="37">
        <f t="shared" si="48"/>
        <v>0</v>
      </c>
      <c r="L503" s="37" t="s">
        <v>494</v>
      </c>
      <c r="M503" s="37">
        <f t="shared" si="49"/>
        <v>0</v>
      </c>
      <c r="N503" s="470" t="s">
        <v>347</v>
      </c>
      <c r="O503" s="470">
        <f t="shared" si="50"/>
        <v>0</v>
      </c>
      <c r="P503" s="37" t="str">
        <f t="shared" si="51"/>
        <v>None</v>
      </c>
      <c r="Q503" s="470" t="s">
        <v>346</v>
      </c>
      <c r="R503" s="37">
        <f t="shared" si="52"/>
        <v>0</v>
      </c>
      <c r="S503" s="470" t="s">
        <v>347</v>
      </c>
      <c r="T503" s="470">
        <f t="shared" si="53"/>
        <v>0</v>
      </c>
      <c r="U503" s="470" t="s">
        <v>346</v>
      </c>
      <c r="V503" s="111">
        <f>IF(OR(F503="none",G503="V"),0,VLOOKUP(F503,'Purchased Boons'!$AR$4:$AS$27,2,FALSE))</f>
        <v>0</v>
      </c>
      <c r="W503" s="39" t="s">
        <v>1576</v>
      </c>
      <c r="X503" s="37" t="s">
        <v>494</v>
      </c>
      <c r="Y503" s="37" t="s">
        <v>1045</v>
      </c>
      <c r="Z503" s="111">
        <v>95</v>
      </c>
      <c r="AG503" s="24"/>
      <c r="AH503" s="24"/>
    </row>
    <row r="504" spans="1:34" x14ac:dyDescent="0.25">
      <c r="A504" s="468" t="s">
        <v>1281</v>
      </c>
      <c r="B504" s="36" t="s">
        <v>360</v>
      </c>
      <c r="C504" s="469">
        <v>10</v>
      </c>
      <c r="D504" s="470" t="s">
        <v>19</v>
      </c>
      <c r="E504" s="37">
        <f t="shared" si="45"/>
        <v>1</v>
      </c>
      <c r="F504" s="470" t="s">
        <v>41</v>
      </c>
      <c r="G504" s="37">
        <f t="shared" si="46"/>
        <v>0</v>
      </c>
      <c r="H504" s="37" t="s">
        <v>494</v>
      </c>
      <c r="I504" s="37">
        <f t="shared" si="47"/>
        <v>0</v>
      </c>
      <c r="J504" s="37" t="s">
        <v>347</v>
      </c>
      <c r="K504" s="37">
        <f t="shared" si="48"/>
        <v>0</v>
      </c>
      <c r="L504" s="37" t="s">
        <v>494</v>
      </c>
      <c r="M504" s="37">
        <f t="shared" si="49"/>
        <v>0</v>
      </c>
      <c r="N504" s="470" t="s">
        <v>347</v>
      </c>
      <c r="O504" s="470">
        <f t="shared" si="50"/>
        <v>0</v>
      </c>
      <c r="P504" s="37" t="str">
        <f t="shared" si="51"/>
        <v>1 + 0</v>
      </c>
      <c r="Q504" s="470" t="s">
        <v>346</v>
      </c>
      <c r="R504" s="37">
        <f t="shared" si="52"/>
        <v>0</v>
      </c>
      <c r="S504" s="470" t="s">
        <v>347</v>
      </c>
      <c r="T504" s="470">
        <f t="shared" si="53"/>
        <v>0</v>
      </c>
      <c r="U504" s="470" t="s">
        <v>346</v>
      </c>
      <c r="V504" s="111">
        <f>IF(OR(F504="none",G504="V"),0,VLOOKUP(F504,'Purchased Boons'!$AR$4:$AS$27,2,FALSE))</f>
        <v>0</v>
      </c>
      <c r="W504" s="39" t="s">
        <v>1639</v>
      </c>
      <c r="X504" s="37" t="s">
        <v>1525</v>
      </c>
      <c r="Y504" s="37" t="s">
        <v>5</v>
      </c>
      <c r="Z504" s="111">
        <v>94</v>
      </c>
      <c r="AG504" s="24"/>
      <c r="AH504" s="24"/>
    </row>
    <row r="505" spans="1:34" x14ac:dyDescent="0.25">
      <c r="A505" s="468" t="s">
        <v>1104</v>
      </c>
      <c r="B505" s="36" t="s">
        <v>365</v>
      </c>
      <c r="C505" s="469">
        <v>2</v>
      </c>
      <c r="D505" s="470" t="s">
        <v>494</v>
      </c>
      <c r="E505" s="37">
        <f t="shared" si="45"/>
        <v>0</v>
      </c>
      <c r="F505" s="470" t="s">
        <v>494</v>
      </c>
      <c r="G505" s="37">
        <f t="shared" si="46"/>
        <v>0</v>
      </c>
      <c r="H505" s="37" t="s">
        <v>494</v>
      </c>
      <c r="I505" s="37">
        <f t="shared" si="47"/>
        <v>0</v>
      </c>
      <c r="J505" s="37" t="s">
        <v>347</v>
      </c>
      <c r="K505" s="37">
        <f t="shared" si="48"/>
        <v>0</v>
      </c>
      <c r="L505" s="37" t="s">
        <v>494</v>
      </c>
      <c r="M505" s="37">
        <f t="shared" si="49"/>
        <v>0</v>
      </c>
      <c r="N505" s="470" t="s">
        <v>347</v>
      </c>
      <c r="O505" s="470">
        <f t="shared" si="50"/>
        <v>0</v>
      </c>
      <c r="P505" s="37" t="str">
        <f t="shared" si="51"/>
        <v>None</v>
      </c>
      <c r="Q505" s="470" t="s">
        <v>346</v>
      </c>
      <c r="R505" s="37">
        <f t="shared" si="52"/>
        <v>0</v>
      </c>
      <c r="S505" s="470" t="s">
        <v>347</v>
      </c>
      <c r="T505" s="470">
        <f t="shared" si="53"/>
        <v>0</v>
      </c>
      <c r="U505" s="470" t="s">
        <v>346</v>
      </c>
      <c r="V505" s="111">
        <f>IF(OR(F505="none",G505="V"),0,VLOOKUP(F505,'Purchased Boons'!$AR$4:$AS$27,2,FALSE))</f>
        <v>0</v>
      </c>
      <c r="W505" s="39" t="s">
        <v>1050</v>
      </c>
      <c r="X505" s="37" t="s">
        <v>494</v>
      </c>
      <c r="Y505" s="37" t="s">
        <v>133</v>
      </c>
      <c r="Z505" s="111">
        <v>147</v>
      </c>
      <c r="AG505" s="24"/>
      <c r="AH505" s="24"/>
    </row>
    <row r="506" spans="1:34" x14ac:dyDescent="0.25">
      <c r="A506" s="468" t="s">
        <v>1272</v>
      </c>
      <c r="B506" s="36" t="s">
        <v>359</v>
      </c>
      <c r="C506" s="469">
        <v>9</v>
      </c>
      <c r="D506" s="470" t="s">
        <v>20</v>
      </c>
      <c r="E506" s="37">
        <f t="shared" si="45"/>
        <v>1</v>
      </c>
      <c r="F506" s="470" t="s">
        <v>41</v>
      </c>
      <c r="G506" s="37">
        <f t="shared" si="46"/>
        <v>0</v>
      </c>
      <c r="H506" s="37" t="s">
        <v>494</v>
      </c>
      <c r="I506" s="37">
        <f t="shared" si="47"/>
        <v>0</v>
      </c>
      <c r="J506" s="37" t="s">
        <v>347</v>
      </c>
      <c r="K506" s="37">
        <f t="shared" si="48"/>
        <v>0</v>
      </c>
      <c r="L506" s="37" t="s">
        <v>494</v>
      </c>
      <c r="M506" s="37">
        <f t="shared" si="49"/>
        <v>0</v>
      </c>
      <c r="N506" s="470" t="s">
        <v>347</v>
      </c>
      <c r="O506" s="470">
        <f t="shared" si="50"/>
        <v>0</v>
      </c>
      <c r="P506" s="37" t="str">
        <f t="shared" si="51"/>
        <v>1 + 0</v>
      </c>
      <c r="Q506" s="470" t="s">
        <v>346</v>
      </c>
      <c r="R506" s="37">
        <f t="shared" si="52"/>
        <v>0</v>
      </c>
      <c r="S506" s="470" t="s">
        <v>347</v>
      </c>
      <c r="T506" s="470">
        <f t="shared" si="53"/>
        <v>0</v>
      </c>
      <c r="U506" s="470" t="s">
        <v>346</v>
      </c>
      <c r="V506" s="111">
        <f>IF(OR(F506="none",G506="V"),0,VLOOKUP(F506,'Purchased Boons'!$AR$4:$AS$27,2,FALSE))</f>
        <v>0</v>
      </c>
      <c r="W506" s="39" t="s">
        <v>1052</v>
      </c>
      <c r="X506" s="37" t="s">
        <v>1586</v>
      </c>
      <c r="Y506" s="37" t="s">
        <v>5</v>
      </c>
      <c r="Z506" s="111">
        <v>91</v>
      </c>
      <c r="AG506" s="24"/>
      <c r="AH506" s="24"/>
    </row>
    <row r="507" spans="1:34" x14ac:dyDescent="0.25">
      <c r="A507" s="468" t="s">
        <v>1404</v>
      </c>
      <c r="B507" s="36" t="s">
        <v>363</v>
      </c>
      <c r="C507" s="469">
        <v>4</v>
      </c>
      <c r="D507" s="470" t="s">
        <v>20</v>
      </c>
      <c r="E507" s="37">
        <f t="shared" si="45"/>
        <v>1</v>
      </c>
      <c r="F507" s="470" t="s">
        <v>55</v>
      </c>
      <c r="G507" s="37">
        <f t="shared" si="46"/>
        <v>0</v>
      </c>
      <c r="H507" s="37" t="s">
        <v>494</v>
      </c>
      <c r="I507" s="37">
        <f t="shared" si="47"/>
        <v>0</v>
      </c>
      <c r="J507" s="37" t="s">
        <v>347</v>
      </c>
      <c r="K507" s="37">
        <f t="shared" si="48"/>
        <v>0</v>
      </c>
      <c r="L507" s="37" t="s">
        <v>494</v>
      </c>
      <c r="M507" s="37">
        <f t="shared" si="49"/>
        <v>0</v>
      </c>
      <c r="N507" s="470" t="s">
        <v>347</v>
      </c>
      <c r="O507" s="470">
        <f t="shared" si="50"/>
        <v>0</v>
      </c>
      <c r="P507" s="37" t="str">
        <f t="shared" si="51"/>
        <v>1 + 0</v>
      </c>
      <c r="Q507" s="470" t="s">
        <v>346</v>
      </c>
      <c r="R507" s="37">
        <f t="shared" si="52"/>
        <v>0</v>
      </c>
      <c r="S507" s="470" t="s">
        <v>347</v>
      </c>
      <c r="T507" s="470">
        <f t="shared" si="53"/>
        <v>0</v>
      </c>
      <c r="U507" s="470" t="s">
        <v>346</v>
      </c>
      <c r="V507" s="111">
        <f>IF(OR(F507="none",G507="V"),0,VLOOKUP(F507,'Purchased Boons'!$AR$4:$AS$27,2,FALSE))</f>
        <v>0</v>
      </c>
      <c r="W507" s="39" t="s">
        <v>1054</v>
      </c>
      <c r="X507" s="37" t="s">
        <v>1681</v>
      </c>
      <c r="Y507" s="37" t="s">
        <v>1046</v>
      </c>
      <c r="Z507" s="111">
        <v>77</v>
      </c>
      <c r="AG507" s="24"/>
      <c r="AH507" s="24"/>
    </row>
    <row r="508" spans="1:34" x14ac:dyDescent="0.25">
      <c r="A508" s="468" t="s">
        <v>1326</v>
      </c>
      <c r="B508" s="36" t="s">
        <v>371</v>
      </c>
      <c r="C508" s="469">
        <v>10</v>
      </c>
      <c r="D508" s="470" t="s">
        <v>13</v>
      </c>
      <c r="E508" s="37">
        <f t="shared" si="45"/>
        <v>1</v>
      </c>
      <c r="F508" s="470" t="s">
        <v>49</v>
      </c>
      <c r="G508" s="37">
        <f t="shared" si="46"/>
        <v>0</v>
      </c>
      <c r="H508" s="37" t="s">
        <v>494</v>
      </c>
      <c r="I508" s="37">
        <f t="shared" si="47"/>
        <v>0</v>
      </c>
      <c r="J508" s="37" t="s">
        <v>347</v>
      </c>
      <c r="K508" s="37">
        <f t="shared" si="48"/>
        <v>0</v>
      </c>
      <c r="L508" s="37" t="s">
        <v>494</v>
      </c>
      <c r="M508" s="37">
        <f t="shared" si="49"/>
        <v>0</v>
      </c>
      <c r="N508" s="470" t="s">
        <v>347</v>
      </c>
      <c r="O508" s="470">
        <f t="shared" si="50"/>
        <v>0</v>
      </c>
      <c r="P508" s="37" t="str">
        <f t="shared" si="51"/>
        <v>1 + 0</v>
      </c>
      <c r="Q508" s="470" t="s">
        <v>346</v>
      </c>
      <c r="R508" s="37">
        <f t="shared" si="52"/>
        <v>0</v>
      </c>
      <c r="S508" s="470" t="s">
        <v>347</v>
      </c>
      <c r="T508" s="470">
        <f t="shared" si="53"/>
        <v>0</v>
      </c>
      <c r="U508" s="470" t="s">
        <v>346</v>
      </c>
      <c r="V508" s="111">
        <f>IF(OR(F508="none",G508="V"),0,VLOOKUP(F508,'Purchased Boons'!$AR$4:$AS$27,2,FALSE))</f>
        <v>0</v>
      </c>
      <c r="W508" s="39" t="s">
        <v>1063</v>
      </c>
      <c r="X508" s="37" t="s">
        <v>1600</v>
      </c>
      <c r="Y508" s="37" t="s">
        <v>5</v>
      </c>
      <c r="Z508" s="111">
        <v>111</v>
      </c>
      <c r="AG508" s="24"/>
      <c r="AH508" s="24"/>
    </row>
    <row r="509" spans="1:34" x14ac:dyDescent="0.25">
      <c r="A509" s="468" t="s">
        <v>1428</v>
      </c>
      <c r="B509" s="36" t="s">
        <v>168</v>
      </c>
      <c r="C509" s="469">
        <v>8</v>
      </c>
      <c r="D509" s="470" t="s">
        <v>494</v>
      </c>
      <c r="E509" s="37">
        <f t="shared" si="45"/>
        <v>0</v>
      </c>
      <c r="F509" s="470" t="s">
        <v>494</v>
      </c>
      <c r="G509" s="37">
        <f t="shared" si="46"/>
        <v>0</v>
      </c>
      <c r="H509" s="37" t="s">
        <v>494</v>
      </c>
      <c r="I509" s="37">
        <f t="shared" si="47"/>
        <v>0</v>
      </c>
      <c r="J509" s="37" t="s">
        <v>347</v>
      </c>
      <c r="K509" s="37">
        <f t="shared" si="48"/>
        <v>0</v>
      </c>
      <c r="L509" s="37" t="s">
        <v>494</v>
      </c>
      <c r="M509" s="37">
        <f t="shared" si="49"/>
        <v>0</v>
      </c>
      <c r="N509" s="470" t="s">
        <v>347</v>
      </c>
      <c r="O509" s="470">
        <f t="shared" si="50"/>
        <v>0</v>
      </c>
      <c r="P509" s="37" t="str">
        <f t="shared" si="51"/>
        <v>None</v>
      </c>
      <c r="Q509" s="470" t="s">
        <v>346</v>
      </c>
      <c r="R509" s="37">
        <f t="shared" si="52"/>
        <v>0</v>
      </c>
      <c r="S509" s="470" t="s">
        <v>347</v>
      </c>
      <c r="T509" s="470">
        <f t="shared" si="53"/>
        <v>0</v>
      </c>
      <c r="U509" s="470" t="s">
        <v>346</v>
      </c>
      <c r="V509" s="111">
        <f>IF(OR(F509="none",G509="V"),0,VLOOKUP(F509,'Purchased Boons'!$AR$4:$AS$27,2,FALSE))</f>
        <v>0</v>
      </c>
      <c r="W509" s="39" t="s">
        <v>1053</v>
      </c>
      <c r="X509" s="37" t="s">
        <v>494</v>
      </c>
      <c r="Y509" s="37" t="s">
        <v>1046</v>
      </c>
      <c r="Z509" s="111">
        <v>98</v>
      </c>
      <c r="AG509" s="24"/>
      <c r="AH509" s="24"/>
    </row>
    <row r="510" spans="1:34" x14ac:dyDescent="0.25">
      <c r="A510" s="468" t="s">
        <v>1179</v>
      </c>
      <c r="B510" s="36" t="s">
        <v>360</v>
      </c>
      <c r="C510" s="469">
        <v>4</v>
      </c>
      <c r="D510" s="470" t="s">
        <v>20</v>
      </c>
      <c r="E510" s="37">
        <f t="shared" si="45"/>
        <v>1</v>
      </c>
      <c r="F510" s="470" t="s">
        <v>41</v>
      </c>
      <c r="G510" s="37">
        <f t="shared" si="46"/>
        <v>0</v>
      </c>
      <c r="H510" s="37" t="s">
        <v>494</v>
      </c>
      <c r="I510" s="37">
        <f t="shared" si="47"/>
        <v>0</v>
      </c>
      <c r="J510" s="37" t="s">
        <v>347</v>
      </c>
      <c r="K510" s="37">
        <f t="shared" si="48"/>
        <v>0</v>
      </c>
      <c r="L510" s="37" t="s">
        <v>494</v>
      </c>
      <c r="M510" s="37">
        <f t="shared" si="49"/>
        <v>0</v>
      </c>
      <c r="N510" s="470" t="s">
        <v>347</v>
      </c>
      <c r="O510" s="470">
        <f t="shared" si="50"/>
        <v>0</v>
      </c>
      <c r="P510" s="37" t="str">
        <f t="shared" si="51"/>
        <v>1 + 0</v>
      </c>
      <c r="Q510" s="470" t="s">
        <v>346</v>
      </c>
      <c r="R510" s="37">
        <f t="shared" si="52"/>
        <v>0</v>
      </c>
      <c r="S510" s="470" t="s">
        <v>347</v>
      </c>
      <c r="T510" s="470">
        <f t="shared" si="53"/>
        <v>0</v>
      </c>
      <c r="U510" s="470" t="s">
        <v>346</v>
      </c>
      <c r="V510" s="111">
        <f>IF(OR(F510="none",G510="V"),0,VLOOKUP(F510,'Purchased Boons'!$AR$4:$AS$27,2,FALSE))</f>
        <v>0</v>
      </c>
      <c r="W510" s="39" t="s">
        <v>1601</v>
      </c>
      <c r="X510" s="37" t="s">
        <v>1586</v>
      </c>
      <c r="Y510" s="37" t="s">
        <v>1045</v>
      </c>
      <c r="Z510" s="111">
        <v>82</v>
      </c>
      <c r="AG510" s="24"/>
      <c r="AH510" s="24"/>
    </row>
    <row r="511" spans="1:34" x14ac:dyDescent="0.25">
      <c r="A511" s="473" t="s">
        <v>1502</v>
      </c>
      <c r="B511" s="39" t="s">
        <v>689</v>
      </c>
      <c r="C511" s="469">
        <v>4</v>
      </c>
      <c r="D511" s="470" t="s">
        <v>21</v>
      </c>
      <c r="E511" s="37">
        <f t="shared" si="45"/>
        <v>1</v>
      </c>
      <c r="F511" s="470" t="s">
        <v>55</v>
      </c>
      <c r="G511" s="37">
        <f t="shared" si="46"/>
        <v>0</v>
      </c>
      <c r="H511" s="37" t="s">
        <v>494</v>
      </c>
      <c r="I511" s="37">
        <f t="shared" si="47"/>
        <v>0</v>
      </c>
      <c r="J511" s="37" t="s">
        <v>347</v>
      </c>
      <c r="K511" s="37">
        <f t="shared" si="48"/>
        <v>0</v>
      </c>
      <c r="L511" s="37" t="s">
        <v>494</v>
      </c>
      <c r="M511" s="37">
        <f t="shared" si="49"/>
        <v>0</v>
      </c>
      <c r="N511" s="470" t="s">
        <v>347</v>
      </c>
      <c r="O511" s="470">
        <f t="shared" si="50"/>
        <v>0</v>
      </c>
      <c r="P511" s="37" t="str">
        <f t="shared" si="51"/>
        <v>1 + 0</v>
      </c>
      <c r="Q511" s="470" t="s">
        <v>346</v>
      </c>
      <c r="R511" s="37">
        <f t="shared" si="52"/>
        <v>0</v>
      </c>
      <c r="S511" s="470" t="s">
        <v>347</v>
      </c>
      <c r="T511" s="470">
        <f t="shared" si="53"/>
        <v>0</v>
      </c>
      <c r="U511" s="470" t="s">
        <v>346</v>
      </c>
      <c r="V511" s="111">
        <f>IF(OR(F511="none",G511="V"),0,VLOOKUP(F511,'Purchased Boons'!$AR$4:$AS$27,2,FALSE))</f>
        <v>0</v>
      </c>
      <c r="W511" s="39" t="s">
        <v>1691</v>
      </c>
      <c r="X511" s="37" t="s">
        <v>1712</v>
      </c>
      <c r="Y511" s="37" t="s">
        <v>1484</v>
      </c>
      <c r="Z511" s="111">
        <v>40</v>
      </c>
      <c r="AG511" s="24"/>
      <c r="AH511" s="24"/>
    </row>
    <row r="512" spans="1:34" x14ac:dyDescent="0.25">
      <c r="A512" s="473" t="s">
        <v>1506</v>
      </c>
      <c r="B512" s="39" t="s">
        <v>689</v>
      </c>
      <c r="C512" s="469">
        <v>8</v>
      </c>
      <c r="D512" s="470" t="s">
        <v>1063</v>
      </c>
      <c r="E512" s="37" t="str">
        <f t="shared" si="45"/>
        <v>V</v>
      </c>
      <c r="F512" s="470" t="s">
        <v>1063</v>
      </c>
      <c r="G512" s="37" t="str">
        <f t="shared" si="46"/>
        <v>V</v>
      </c>
      <c r="H512" s="37" t="s">
        <v>494</v>
      </c>
      <c r="I512" s="37">
        <f t="shared" si="47"/>
        <v>0</v>
      </c>
      <c r="J512" s="37" t="s">
        <v>347</v>
      </c>
      <c r="K512" s="37">
        <f t="shared" si="48"/>
        <v>0</v>
      </c>
      <c r="L512" s="37" t="s">
        <v>494</v>
      </c>
      <c r="M512" s="37">
        <f t="shared" si="49"/>
        <v>0</v>
      </c>
      <c r="N512" s="470" t="s">
        <v>347</v>
      </c>
      <c r="O512" s="470">
        <f t="shared" si="50"/>
        <v>0</v>
      </c>
      <c r="P512" s="37" t="str">
        <f t="shared" si="51"/>
        <v>Varies</v>
      </c>
      <c r="Q512" s="470" t="s">
        <v>346</v>
      </c>
      <c r="R512" s="37" t="str">
        <f t="shared" si="52"/>
        <v>V</v>
      </c>
      <c r="S512" s="470" t="s">
        <v>347</v>
      </c>
      <c r="T512" s="470">
        <f t="shared" si="53"/>
        <v>0</v>
      </c>
      <c r="U512" s="470" t="s">
        <v>346</v>
      </c>
      <c r="V512" s="111">
        <f>IF(OR(F512="none",G512="V"),0,VLOOKUP(F512,'Purchased Boons'!$AR$4:$AS$27,2,FALSE))</f>
        <v>0</v>
      </c>
      <c r="W512" s="39" t="s">
        <v>1715</v>
      </c>
      <c r="X512" s="37" t="s">
        <v>1063</v>
      </c>
      <c r="Y512" s="37" t="s">
        <v>1484</v>
      </c>
      <c r="Z512" s="111">
        <v>42</v>
      </c>
      <c r="AG512" s="24"/>
      <c r="AH512" s="24"/>
    </row>
    <row r="513" spans="1:34" x14ac:dyDescent="0.25">
      <c r="A513" s="468" t="s">
        <v>1410</v>
      </c>
      <c r="B513" s="36" t="s">
        <v>367</v>
      </c>
      <c r="C513" s="469">
        <v>5</v>
      </c>
      <c r="D513" s="470" t="s">
        <v>13</v>
      </c>
      <c r="E513" s="37">
        <f t="shared" si="45"/>
        <v>1</v>
      </c>
      <c r="F513" s="470" t="s">
        <v>58</v>
      </c>
      <c r="G513" s="37">
        <f t="shared" si="46"/>
        <v>0</v>
      </c>
      <c r="H513" s="37" t="s">
        <v>494</v>
      </c>
      <c r="I513" s="37">
        <f t="shared" si="47"/>
        <v>0</v>
      </c>
      <c r="J513" s="37" t="s">
        <v>347</v>
      </c>
      <c r="K513" s="37">
        <f t="shared" si="48"/>
        <v>0</v>
      </c>
      <c r="L513" s="37" t="s">
        <v>494</v>
      </c>
      <c r="M513" s="37">
        <f t="shared" si="49"/>
        <v>0</v>
      </c>
      <c r="N513" s="470" t="s">
        <v>347</v>
      </c>
      <c r="O513" s="470">
        <f t="shared" si="50"/>
        <v>0</v>
      </c>
      <c r="P513" s="37" t="str">
        <f t="shared" si="51"/>
        <v>1 + 0</v>
      </c>
      <c r="Q513" s="470" t="s">
        <v>346</v>
      </c>
      <c r="R513" s="37">
        <f t="shared" si="52"/>
        <v>0</v>
      </c>
      <c r="S513" s="470" t="s">
        <v>347</v>
      </c>
      <c r="T513" s="470">
        <f t="shared" si="53"/>
        <v>0</v>
      </c>
      <c r="U513" s="470" t="s">
        <v>346</v>
      </c>
      <c r="V513" s="111">
        <f>IF(OR(F513="none",G513="V"),0,VLOOKUP(F513,'Purchased Boons'!$AR$4:$AS$27,2,FALSE))</f>
        <v>0</v>
      </c>
      <c r="W513" s="39" t="s">
        <v>1603</v>
      </c>
      <c r="X513" s="37" t="s">
        <v>1689</v>
      </c>
      <c r="Y513" s="37" t="s">
        <v>1046</v>
      </c>
      <c r="Z513" s="111">
        <v>79</v>
      </c>
      <c r="AG513" s="24"/>
      <c r="AH513" s="24"/>
    </row>
    <row r="514" spans="1:34" x14ac:dyDescent="0.25">
      <c r="A514" s="468" t="s">
        <v>1159</v>
      </c>
      <c r="B514" s="36" t="s">
        <v>356</v>
      </c>
      <c r="C514" s="469">
        <v>4</v>
      </c>
      <c r="D514" s="470" t="s">
        <v>494</v>
      </c>
      <c r="E514" s="37">
        <f t="shared" si="45"/>
        <v>0</v>
      </c>
      <c r="F514" s="470" t="s">
        <v>494</v>
      </c>
      <c r="G514" s="37">
        <f t="shared" si="46"/>
        <v>0</v>
      </c>
      <c r="H514" s="37" t="s">
        <v>494</v>
      </c>
      <c r="I514" s="37">
        <f t="shared" si="47"/>
        <v>0</v>
      </c>
      <c r="J514" s="37" t="s">
        <v>347</v>
      </c>
      <c r="K514" s="37">
        <f t="shared" si="48"/>
        <v>0</v>
      </c>
      <c r="L514" s="37" t="s">
        <v>494</v>
      </c>
      <c r="M514" s="37">
        <f t="shared" si="49"/>
        <v>0</v>
      </c>
      <c r="N514" s="470" t="s">
        <v>347</v>
      </c>
      <c r="O514" s="470">
        <f t="shared" si="50"/>
        <v>0</v>
      </c>
      <c r="P514" s="37" t="str">
        <f t="shared" si="51"/>
        <v>None</v>
      </c>
      <c r="Q514" s="470" t="s">
        <v>346</v>
      </c>
      <c r="R514" s="37">
        <f t="shared" si="52"/>
        <v>0</v>
      </c>
      <c r="S514" s="470" t="s">
        <v>347</v>
      </c>
      <c r="T514" s="470">
        <f t="shared" si="53"/>
        <v>0</v>
      </c>
      <c r="U514" s="470" t="s">
        <v>346</v>
      </c>
      <c r="V514" s="111">
        <f>IF(OR(F514="none",G514="V"),0,VLOOKUP(F514,'Purchased Boons'!$AR$4:$AS$27,2,FALSE))</f>
        <v>0</v>
      </c>
      <c r="W514" s="39" t="s">
        <v>1050</v>
      </c>
      <c r="X514" s="37" t="s">
        <v>494</v>
      </c>
      <c r="Y514" s="37" t="s">
        <v>1045</v>
      </c>
      <c r="Z514" s="111">
        <v>75</v>
      </c>
      <c r="AG514" s="24"/>
      <c r="AH514" s="24"/>
    </row>
    <row r="515" spans="1:34" x14ac:dyDescent="0.25">
      <c r="A515" s="468" t="s">
        <v>1161</v>
      </c>
      <c r="B515" s="36" t="s">
        <v>356</v>
      </c>
      <c r="C515" s="469">
        <v>6</v>
      </c>
      <c r="D515" s="470" t="s">
        <v>494</v>
      </c>
      <c r="E515" s="37">
        <f t="shared" si="45"/>
        <v>0</v>
      </c>
      <c r="F515" s="470" t="s">
        <v>494</v>
      </c>
      <c r="G515" s="37">
        <f t="shared" si="46"/>
        <v>0</v>
      </c>
      <c r="H515" s="37" t="s">
        <v>494</v>
      </c>
      <c r="I515" s="37">
        <f t="shared" si="47"/>
        <v>0</v>
      </c>
      <c r="J515" s="37" t="s">
        <v>347</v>
      </c>
      <c r="K515" s="37">
        <f t="shared" si="48"/>
        <v>0</v>
      </c>
      <c r="L515" s="37" t="s">
        <v>494</v>
      </c>
      <c r="M515" s="37">
        <f t="shared" si="49"/>
        <v>0</v>
      </c>
      <c r="N515" s="470" t="s">
        <v>347</v>
      </c>
      <c r="O515" s="470">
        <f t="shared" si="50"/>
        <v>0</v>
      </c>
      <c r="P515" s="37" t="str">
        <f t="shared" si="51"/>
        <v>None</v>
      </c>
      <c r="Q515" s="470" t="s">
        <v>346</v>
      </c>
      <c r="R515" s="37">
        <f t="shared" si="52"/>
        <v>0</v>
      </c>
      <c r="S515" s="470" t="s">
        <v>347</v>
      </c>
      <c r="T515" s="470">
        <f t="shared" si="53"/>
        <v>0</v>
      </c>
      <c r="U515" s="470" t="s">
        <v>346</v>
      </c>
      <c r="V515" s="111">
        <f>IF(OR(F515="none",G515="V"),0,VLOOKUP(F515,'Purchased Boons'!$AR$4:$AS$27,2,FALSE))</f>
        <v>0</v>
      </c>
      <c r="W515" s="39" t="s">
        <v>1610</v>
      </c>
      <c r="X515" s="37" t="s">
        <v>494</v>
      </c>
      <c r="Y515" s="37" t="s">
        <v>1045</v>
      </c>
      <c r="Z515" s="111">
        <v>75</v>
      </c>
      <c r="AG515" s="24"/>
      <c r="AH515" s="24"/>
    </row>
    <row r="516" spans="1:34" x14ac:dyDescent="0.25">
      <c r="A516" s="468" t="s">
        <v>1259</v>
      </c>
      <c r="B516" s="36" t="s">
        <v>356</v>
      </c>
      <c r="C516" s="469">
        <v>8</v>
      </c>
      <c r="D516" s="470" t="s">
        <v>14</v>
      </c>
      <c r="E516" s="37">
        <f t="shared" si="45"/>
        <v>1</v>
      </c>
      <c r="F516" s="470" t="s">
        <v>57</v>
      </c>
      <c r="G516" s="37">
        <f t="shared" si="46"/>
        <v>0</v>
      </c>
      <c r="H516" s="37" t="s">
        <v>494</v>
      </c>
      <c r="I516" s="37">
        <f t="shared" si="47"/>
        <v>0</v>
      </c>
      <c r="J516" s="37" t="s">
        <v>347</v>
      </c>
      <c r="K516" s="37">
        <f t="shared" si="48"/>
        <v>0</v>
      </c>
      <c r="L516" s="37" t="s">
        <v>494</v>
      </c>
      <c r="M516" s="37">
        <f t="shared" si="49"/>
        <v>0</v>
      </c>
      <c r="N516" s="470" t="s">
        <v>347</v>
      </c>
      <c r="O516" s="470">
        <f t="shared" si="50"/>
        <v>0</v>
      </c>
      <c r="P516" s="37" t="str">
        <f t="shared" si="51"/>
        <v>1 + 0</v>
      </c>
      <c r="Q516" s="470" t="s">
        <v>346</v>
      </c>
      <c r="R516" s="37">
        <f t="shared" si="52"/>
        <v>0</v>
      </c>
      <c r="S516" s="470" t="s">
        <v>347</v>
      </c>
      <c r="T516" s="470">
        <f t="shared" si="53"/>
        <v>0</v>
      </c>
      <c r="U516" s="470" t="s">
        <v>346</v>
      </c>
      <c r="V516" s="111">
        <f>IF(OR(F516="none",G516="V"),0,VLOOKUP(F516,'Purchased Boons'!$AR$4:$AS$27,2,FALSE))</f>
        <v>0</v>
      </c>
      <c r="W516" s="39" t="s">
        <v>1626</v>
      </c>
      <c r="X516" s="37" t="s">
        <v>1593</v>
      </c>
      <c r="Y516" s="37" t="s">
        <v>5</v>
      </c>
      <c r="Z516" s="111">
        <v>87</v>
      </c>
      <c r="AG516" s="24"/>
      <c r="AH516" s="24"/>
    </row>
    <row r="517" spans="1:34" x14ac:dyDescent="0.25">
      <c r="A517" s="468" t="s">
        <v>1160</v>
      </c>
      <c r="B517" s="36" t="s">
        <v>356</v>
      </c>
      <c r="C517" s="469">
        <v>5</v>
      </c>
      <c r="D517" s="470" t="s">
        <v>494</v>
      </c>
      <c r="E517" s="37">
        <f t="shared" si="45"/>
        <v>0</v>
      </c>
      <c r="F517" s="470" t="s">
        <v>494</v>
      </c>
      <c r="G517" s="37">
        <f t="shared" si="46"/>
        <v>0</v>
      </c>
      <c r="H517" s="37" t="s">
        <v>494</v>
      </c>
      <c r="I517" s="37">
        <f t="shared" si="47"/>
        <v>0</v>
      </c>
      <c r="J517" s="37" t="s">
        <v>347</v>
      </c>
      <c r="K517" s="37">
        <f t="shared" si="48"/>
        <v>0</v>
      </c>
      <c r="L517" s="37" t="s">
        <v>494</v>
      </c>
      <c r="M517" s="37">
        <f t="shared" si="49"/>
        <v>0</v>
      </c>
      <c r="N517" s="470" t="s">
        <v>347</v>
      </c>
      <c r="O517" s="470">
        <f t="shared" si="50"/>
        <v>0</v>
      </c>
      <c r="P517" s="37" t="str">
        <f t="shared" si="51"/>
        <v>None</v>
      </c>
      <c r="Q517" s="470" t="s">
        <v>346</v>
      </c>
      <c r="R517" s="37">
        <f t="shared" si="52"/>
        <v>0</v>
      </c>
      <c r="S517" s="470" t="s">
        <v>347</v>
      </c>
      <c r="T517" s="470">
        <f t="shared" si="53"/>
        <v>0</v>
      </c>
      <c r="U517" s="470" t="s">
        <v>346</v>
      </c>
      <c r="V517" s="111">
        <f>IF(OR(F517="none",G517="V"),0,VLOOKUP(F517,'Purchased Boons'!$AR$4:$AS$27,2,FALSE))</f>
        <v>0</v>
      </c>
      <c r="W517" s="39" t="s">
        <v>1050</v>
      </c>
      <c r="X517" s="37" t="s">
        <v>494</v>
      </c>
      <c r="Y517" s="37" t="s">
        <v>1045</v>
      </c>
      <c r="Z517" s="111">
        <v>75</v>
      </c>
      <c r="AG517" s="24"/>
      <c r="AH517" s="24"/>
    </row>
    <row r="518" spans="1:34" x14ac:dyDescent="0.25">
      <c r="A518" s="468" t="s">
        <v>1077</v>
      </c>
      <c r="B518" s="36" t="s">
        <v>356</v>
      </c>
      <c r="C518" s="469">
        <v>2</v>
      </c>
      <c r="D518" s="470" t="s">
        <v>19</v>
      </c>
      <c r="E518" s="37">
        <f t="shared" si="45"/>
        <v>1</v>
      </c>
      <c r="F518" s="470" t="s">
        <v>38</v>
      </c>
      <c r="G518" s="37">
        <f t="shared" si="46"/>
        <v>0</v>
      </c>
      <c r="H518" s="37" t="s">
        <v>494</v>
      </c>
      <c r="I518" s="37">
        <f t="shared" si="47"/>
        <v>0</v>
      </c>
      <c r="J518" s="37" t="s">
        <v>347</v>
      </c>
      <c r="K518" s="37">
        <f t="shared" si="48"/>
        <v>0</v>
      </c>
      <c r="L518" s="37" t="s">
        <v>494</v>
      </c>
      <c r="M518" s="37">
        <f t="shared" si="49"/>
        <v>0</v>
      </c>
      <c r="N518" s="470" t="s">
        <v>347</v>
      </c>
      <c r="O518" s="470">
        <f t="shared" si="50"/>
        <v>0</v>
      </c>
      <c r="P518" s="37" t="str">
        <f t="shared" si="51"/>
        <v>1 + 0</v>
      </c>
      <c r="Q518" s="470" t="s">
        <v>346</v>
      </c>
      <c r="R518" s="37">
        <f t="shared" si="52"/>
        <v>0</v>
      </c>
      <c r="S518" s="470" t="s">
        <v>347</v>
      </c>
      <c r="T518" s="470">
        <f t="shared" si="53"/>
        <v>0</v>
      </c>
      <c r="U518" s="470" t="s">
        <v>346</v>
      </c>
      <c r="V518" s="111">
        <f>IF(OR(F518="none",G518="V"),0,VLOOKUP(F518,'Purchased Boons'!$AR$4:$AS$27,2,FALSE))</f>
        <v>0</v>
      </c>
      <c r="W518" s="39" t="s">
        <v>494</v>
      </c>
      <c r="X518" s="37" t="s">
        <v>1527</v>
      </c>
      <c r="Y518" s="37" t="s">
        <v>133</v>
      </c>
      <c r="Z518" s="111">
        <v>141</v>
      </c>
      <c r="AG518" s="24"/>
      <c r="AH518" s="24"/>
    </row>
    <row r="519" spans="1:34" x14ac:dyDescent="0.25">
      <c r="A519" s="468" t="s">
        <v>1253</v>
      </c>
      <c r="B519" s="36" t="s">
        <v>354</v>
      </c>
      <c r="C519" s="469">
        <v>10</v>
      </c>
      <c r="D519" s="470" t="s">
        <v>30</v>
      </c>
      <c r="E519" s="37">
        <f t="shared" si="45"/>
        <v>1</v>
      </c>
      <c r="F519" s="470" t="s">
        <v>494</v>
      </c>
      <c r="G519" s="37">
        <f t="shared" si="46"/>
        <v>0</v>
      </c>
      <c r="H519" s="37" t="s">
        <v>494</v>
      </c>
      <c r="I519" s="37">
        <f t="shared" si="47"/>
        <v>0</v>
      </c>
      <c r="J519" s="37" t="s">
        <v>347</v>
      </c>
      <c r="K519" s="37">
        <f t="shared" si="48"/>
        <v>0</v>
      </c>
      <c r="L519" s="37" t="s">
        <v>494</v>
      </c>
      <c r="M519" s="37">
        <f t="shared" si="49"/>
        <v>0</v>
      </c>
      <c r="N519" s="470" t="s">
        <v>347</v>
      </c>
      <c r="O519" s="470">
        <f t="shared" si="50"/>
        <v>0</v>
      </c>
      <c r="P519" s="37" t="str">
        <f t="shared" si="51"/>
        <v>1 + 0</v>
      </c>
      <c r="Q519" s="470" t="s">
        <v>346</v>
      </c>
      <c r="R519" s="37">
        <f t="shared" si="52"/>
        <v>0</v>
      </c>
      <c r="S519" s="470" t="s">
        <v>347</v>
      </c>
      <c r="T519" s="470">
        <f t="shared" si="53"/>
        <v>0</v>
      </c>
      <c r="U519" s="470" t="s">
        <v>346</v>
      </c>
      <c r="V519" s="111">
        <f>IF(OR(F519="none",G519="V"),0,VLOOKUP(F519,'Purchased Boons'!$AR$4:$AS$27,2,FALSE))</f>
        <v>0</v>
      </c>
      <c r="W519" s="39" t="s">
        <v>1638</v>
      </c>
      <c r="X519" s="37" t="s">
        <v>30</v>
      </c>
      <c r="Y519" s="37" t="s">
        <v>5</v>
      </c>
      <c r="Z519" s="111">
        <v>85</v>
      </c>
      <c r="AG519" s="24"/>
      <c r="AH519" s="24"/>
    </row>
    <row r="520" spans="1:34" x14ac:dyDescent="0.25">
      <c r="A520" s="468" t="s">
        <v>1184</v>
      </c>
      <c r="B520" s="36" t="s">
        <v>361</v>
      </c>
      <c r="C520" s="469">
        <v>5</v>
      </c>
      <c r="D520" s="470" t="s">
        <v>18</v>
      </c>
      <c r="E520" s="37">
        <f t="shared" si="45"/>
        <v>1</v>
      </c>
      <c r="F520" s="470" t="s">
        <v>51</v>
      </c>
      <c r="G520" s="37">
        <f t="shared" si="46"/>
        <v>0</v>
      </c>
      <c r="H520" s="37" t="s">
        <v>494</v>
      </c>
      <c r="I520" s="37">
        <f t="shared" si="47"/>
        <v>0</v>
      </c>
      <c r="J520" s="37" t="s">
        <v>347</v>
      </c>
      <c r="K520" s="37">
        <f t="shared" si="48"/>
        <v>0</v>
      </c>
      <c r="L520" s="37" t="s">
        <v>494</v>
      </c>
      <c r="M520" s="37">
        <f t="shared" si="49"/>
        <v>0</v>
      </c>
      <c r="N520" s="470" t="s">
        <v>347</v>
      </c>
      <c r="O520" s="470">
        <f t="shared" si="50"/>
        <v>0</v>
      </c>
      <c r="P520" s="37" t="str">
        <f t="shared" si="51"/>
        <v>1 + 0</v>
      </c>
      <c r="Q520" s="470" t="s">
        <v>346</v>
      </c>
      <c r="R520" s="37">
        <f t="shared" si="52"/>
        <v>0</v>
      </c>
      <c r="S520" s="470" t="s">
        <v>347</v>
      </c>
      <c r="T520" s="470">
        <f t="shared" si="53"/>
        <v>0</v>
      </c>
      <c r="U520" s="470" t="s">
        <v>346</v>
      </c>
      <c r="V520" s="111">
        <f>IF(OR(F520="none",G520="V"),0,VLOOKUP(F520,'Purchased Boons'!$AR$4:$AS$27,2,FALSE))</f>
        <v>0</v>
      </c>
      <c r="W520" s="39" t="s">
        <v>1050</v>
      </c>
      <c r="X520" s="37" t="s">
        <v>1535</v>
      </c>
      <c r="Y520" s="37" t="s">
        <v>1045</v>
      </c>
      <c r="Z520" s="111">
        <v>83</v>
      </c>
      <c r="AG520" s="24"/>
      <c r="AH520" s="24"/>
    </row>
    <row r="521" spans="1:34" x14ac:dyDescent="0.25">
      <c r="A521" s="468" t="s">
        <v>1424</v>
      </c>
      <c r="B521" s="36" t="s">
        <v>168</v>
      </c>
      <c r="C521" s="469">
        <v>4</v>
      </c>
      <c r="D521" s="470" t="s">
        <v>21</v>
      </c>
      <c r="E521" s="37">
        <f t="shared" si="45"/>
        <v>1</v>
      </c>
      <c r="F521" s="470" t="s">
        <v>57</v>
      </c>
      <c r="G521" s="37">
        <f t="shared" si="46"/>
        <v>0</v>
      </c>
      <c r="H521" s="37" t="s">
        <v>494</v>
      </c>
      <c r="I521" s="37">
        <f t="shared" si="47"/>
        <v>0</v>
      </c>
      <c r="J521" s="37" t="s">
        <v>347</v>
      </c>
      <c r="K521" s="37">
        <f t="shared" si="48"/>
        <v>0</v>
      </c>
      <c r="L521" s="37" t="s">
        <v>494</v>
      </c>
      <c r="M521" s="37">
        <f t="shared" si="49"/>
        <v>0</v>
      </c>
      <c r="N521" s="470" t="s">
        <v>347</v>
      </c>
      <c r="O521" s="470">
        <f t="shared" si="50"/>
        <v>0</v>
      </c>
      <c r="P521" s="37" t="str">
        <f t="shared" si="51"/>
        <v>1 + 0</v>
      </c>
      <c r="Q521" s="470" t="s">
        <v>346</v>
      </c>
      <c r="R521" s="37">
        <f t="shared" si="52"/>
        <v>0</v>
      </c>
      <c r="S521" s="470" t="s">
        <v>347</v>
      </c>
      <c r="T521" s="470">
        <f t="shared" si="53"/>
        <v>0</v>
      </c>
      <c r="U521" s="470" t="s">
        <v>346</v>
      </c>
      <c r="V521" s="111">
        <f>IF(OR(F521="none",G521="V"),0,VLOOKUP(F521,'Purchased Boons'!$AR$4:$AS$27,2,FALSE))</f>
        <v>0</v>
      </c>
      <c r="W521" s="39" t="s">
        <v>1693</v>
      </c>
      <c r="X521" s="37" t="s">
        <v>1656</v>
      </c>
      <c r="Y521" s="37" t="s">
        <v>1046</v>
      </c>
      <c r="Z521" s="111">
        <v>97</v>
      </c>
      <c r="AG521" s="24"/>
      <c r="AH521" s="24"/>
    </row>
    <row r="522" spans="1:34" x14ac:dyDescent="0.25">
      <c r="A522" s="468" t="s">
        <v>1320</v>
      </c>
      <c r="B522" s="36" t="s">
        <v>155</v>
      </c>
      <c r="C522" s="469">
        <v>10</v>
      </c>
      <c r="D522" s="470" t="s">
        <v>494</v>
      </c>
      <c r="E522" s="37">
        <f t="shared" si="45"/>
        <v>0</v>
      </c>
      <c r="F522" s="470" t="s">
        <v>494</v>
      </c>
      <c r="G522" s="37">
        <f t="shared" si="46"/>
        <v>0</v>
      </c>
      <c r="H522" s="37" t="s">
        <v>494</v>
      </c>
      <c r="I522" s="37">
        <f t="shared" si="47"/>
        <v>0</v>
      </c>
      <c r="J522" s="37" t="s">
        <v>347</v>
      </c>
      <c r="K522" s="37">
        <f t="shared" si="48"/>
        <v>0</v>
      </c>
      <c r="L522" s="37" t="s">
        <v>494</v>
      </c>
      <c r="M522" s="37">
        <f t="shared" si="49"/>
        <v>0</v>
      </c>
      <c r="N522" s="470" t="s">
        <v>347</v>
      </c>
      <c r="O522" s="470">
        <f t="shared" si="50"/>
        <v>0</v>
      </c>
      <c r="P522" s="37" t="str">
        <f t="shared" si="51"/>
        <v>None</v>
      </c>
      <c r="Q522" s="470" t="s">
        <v>346</v>
      </c>
      <c r="R522" s="37">
        <f t="shared" si="52"/>
        <v>0</v>
      </c>
      <c r="S522" s="470" t="s">
        <v>347</v>
      </c>
      <c r="T522" s="470">
        <f t="shared" si="53"/>
        <v>0</v>
      </c>
      <c r="U522" s="470" t="s">
        <v>346</v>
      </c>
      <c r="V522" s="111">
        <f>IF(OR(F522="none",G522="V"),0,VLOOKUP(F522,'Purchased Boons'!$AR$4:$AS$27,2,FALSE))</f>
        <v>0</v>
      </c>
      <c r="W522" s="39" t="s">
        <v>1651</v>
      </c>
      <c r="X522" s="37" t="s">
        <v>494</v>
      </c>
      <c r="Y522" s="37" t="s">
        <v>5</v>
      </c>
      <c r="Z522" s="111">
        <v>108</v>
      </c>
      <c r="AG522" s="24"/>
      <c r="AH522" s="24"/>
    </row>
    <row r="523" spans="1:34" x14ac:dyDescent="0.25">
      <c r="A523" s="468" t="s">
        <v>1265</v>
      </c>
      <c r="B523" s="36" t="s">
        <v>357</v>
      </c>
      <c r="C523" s="469">
        <v>10</v>
      </c>
      <c r="D523" s="470" t="s">
        <v>20</v>
      </c>
      <c r="E523" s="37">
        <f t="shared" si="45"/>
        <v>1</v>
      </c>
      <c r="F523" s="470" t="s">
        <v>53</v>
      </c>
      <c r="G523" s="37">
        <f t="shared" si="46"/>
        <v>0</v>
      </c>
      <c r="H523" s="37" t="s">
        <v>494</v>
      </c>
      <c r="I523" s="37">
        <f t="shared" si="47"/>
        <v>0</v>
      </c>
      <c r="J523" s="37" t="s">
        <v>347</v>
      </c>
      <c r="K523" s="37">
        <f t="shared" si="48"/>
        <v>0</v>
      </c>
      <c r="L523" s="37" t="s">
        <v>494</v>
      </c>
      <c r="M523" s="37">
        <f t="shared" si="49"/>
        <v>0</v>
      </c>
      <c r="N523" s="470" t="s">
        <v>347</v>
      </c>
      <c r="O523" s="470">
        <f t="shared" si="50"/>
        <v>0</v>
      </c>
      <c r="P523" s="37" t="str">
        <f t="shared" si="51"/>
        <v>1 + 0</v>
      </c>
      <c r="Q523" s="470" t="s">
        <v>346</v>
      </c>
      <c r="R523" s="37">
        <f t="shared" si="52"/>
        <v>0</v>
      </c>
      <c r="S523" s="470" t="s">
        <v>347</v>
      </c>
      <c r="T523" s="470">
        <f t="shared" si="53"/>
        <v>0</v>
      </c>
      <c r="U523" s="470" t="s">
        <v>346</v>
      </c>
      <c r="V523" s="111">
        <f>IF(OR(F523="none",G523="V"),0,VLOOKUP(F523,'Purchased Boons'!$AR$4:$AS$27,2,FALSE))</f>
        <v>0</v>
      </c>
      <c r="W523" s="39" t="s">
        <v>1629</v>
      </c>
      <c r="X523" s="37" t="s">
        <v>1582</v>
      </c>
      <c r="Y523" s="37" t="s">
        <v>5</v>
      </c>
      <c r="Z523" s="111">
        <v>88</v>
      </c>
      <c r="AG523" s="24"/>
      <c r="AH523" s="24"/>
    </row>
    <row r="524" spans="1:34" x14ac:dyDescent="0.25">
      <c r="A524" s="468" t="s">
        <v>1225</v>
      </c>
      <c r="B524" s="36" t="s">
        <v>155</v>
      </c>
      <c r="C524" s="469">
        <v>6</v>
      </c>
      <c r="D524" s="470" t="s">
        <v>494</v>
      </c>
      <c r="E524" s="37">
        <f t="shared" si="45"/>
        <v>0</v>
      </c>
      <c r="F524" s="470" t="s">
        <v>494</v>
      </c>
      <c r="G524" s="37">
        <f t="shared" si="46"/>
        <v>0</v>
      </c>
      <c r="H524" s="37" t="s">
        <v>494</v>
      </c>
      <c r="I524" s="37">
        <f t="shared" si="47"/>
        <v>0</v>
      </c>
      <c r="J524" s="37" t="s">
        <v>347</v>
      </c>
      <c r="K524" s="37">
        <f t="shared" si="48"/>
        <v>0</v>
      </c>
      <c r="L524" s="37" t="s">
        <v>494</v>
      </c>
      <c r="M524" s="37">
        <f t="shared" si="49"/>
        <v>0</v>
      </c>
      <c r="N524" s="470" t="s">
        <v>347</v>
      </c>
      <c r="O524" s="470">
        <f t="shared" si="50"/>
        <v>0</v>
      </c>
      <c r="P524" s="37" t="str">
        <f t="shared" si="51"/>
        <v>None</v>
      </c>
      <c r="Q524" s="470" t="s">
        <v>346</v>
      </c>
      <c r="R524" s="37">
        <f t="shared" si="52"/>
        <v>0</v>
      </c>
      <c r="S524" s="470" t="s">
        <v>347</v>
      </c>
      <c r="T524" s="470">
        <f t="shared" si="53"/>
        <v>0</v>
      </c>
      <c r="U524" s="470" t="s">
        <v>346</v>
      </c>
      <c r="V524" s="111">
        <f>IF(OR(F524="none",G524="V"),0,VLOOKUP(F524,'Purchased Boons'!$AR$4:$AS$27,2,FALSE))</f>
        <v>0</v>
      </c>
      <c r="W524" s="39" t="s">
        <v>1575</v>
      </c>
      <c r="X524" s="37" t="s">
        <v>494</v>
      </c>
      <c r="Y524" s="37" t="s">
        <v>1045</v>
      </c>
      <c r="Z524" s="111">
        <v>95</v>
      </c>
      <c r="AG524" s="24"/>
      <c r="AH524" s="24"/>
    </row>
    <row r="525" spans="1:34" x14ac:dyDescent="0.25">
      <c r="A525" s="468" t="s">
        <v>1243</v>
      </c>
      <c r="B525" s="36" t="s">
        <v>352</v>
      </c>
      <c r="C525" s="469">
        <v>8</v>
      </c>
      <c r="D525" s="470" t="s">
        <v>20</v>
      </c>
      <c r="E525" s="37">
        <f t="shared" si="45"/>
        <v>1</v>
      </c>
      <c r="F525" s="470" t="s">
        <v>36</v>
      </c>
      <c r="G525" s="37">
        <f t="shared" si="46"/>
        <v>0</v>
      </c>
      <c r="H525" s="37" t="s">
        <v>494</v>
      </c>
      <c r="I525" s="37">
        <f t="shared" si="47"/>
        <v>0</v>
      </c>
      <c r="J525" s="37" t="s">
        <v>347</v>
      </c>
      <c r="K525" s="37">
        <f t="shared" si="48"/>
        <v>0</v>
      </c>
      <c r="L525" s="37" t="s">
        <v>494</v>
      </c>
      <c r="M525" s="37">
        <f t="shared" si="49"/>
        <v>0</v>
      </c>
      <c r="N525" s="470" t="s">
        <v>347</v>
      </c>
      <c r="O525" s="470">
        <f t="shared" si="50"/>
        <v>0</v>
      </c>
      <c r="P525" s="37" t="str">
        <f t="shared" si="51"/>
        <v>1 + 0</v>
      </c>
      <c r="Q525" s="470" t="s">
        <v>346</v>
      </c>
      <c r="R525" s="37">
        <f t="shared" si="52"/>
        <v>0</v>
      </c>
      <c r="S525" s="470" t="s">
        <v>347</v>
      </c>
      <c r="T525" s="470">
        <f t="shared" si="53"/>
        <v>0</v>
      </c>
      <c r="U525" s="470" t="s">
        <v>346</v>
      </c>
      <c r="V525" s="111">
        <f>IF(OR(F525="none",G525="V"),0,VLOOKUP(F525,'Purchased Boons'!$AR$4:$AS$27,2,FALSE))</f>
        <v>0</v>
      </c>
      <c r="W525" s="39" t="s">
        <v>1737</v>
      </c>
      <c r="X525" s="37" t="s">
        <v>1516</v>
      </c>
      <c r="Y525" s="37" t="s">
        <v>5</v>
      </c>
      <c r="Z525" s="111">
        <v>81</v>
      </c>
      <c r="AG525" s="24"/>
      <c r="AH525" s="24"/>
    </row>
    <row r="526" spans="1:34" x14ac:dyDescent="0.25">
      <c r="A526" s="468" t="s">
        <v>1263</v>
      </c>
      <c r="B526" s="36" t="s">
        <v>357</v>
      </c>
      <c r="C526" s="469">
        <v>8</v>
      </c>
      <c r="D526" s="470" t="s">
        <v>14</v>
      </c>
      <c r="E526" s="37">
        <f t="shared" si="45"/>
        <v>1</v>
      </c>
      <c r="F526" s="470" t="s">
        <v>53</v>
      </c>
      <c r="G526" s="37">
        <f t="shared" si="46"/>
        <v>0</v>
      </c>
      <c r="H526" s="37" t="s">
        <v>494</v>
      </c>
      <c r="I526" s="37">
        <f t="shared" si="47"/>
        <v>0</v>
      </c>
      <c r="J526" s="37" t="s">
        <v>347</v>
      </c>
      <c r="K526" s="37">
        <f t="shared" si="48"/>
        <v>0</v>
      </c>
      <c r="L526" s="37" t="s">
        <v>494</v>
      </c>
      <c r="M526" s="37">
        <f t="shared" si="49"/>
        <v>0</v>
      </c>
      <c r="N526" s="470" t="s">
        <v>347</v>
      </c>
      <c r="O526" s="470">
        <f t="shared" si="50"/>
        <v>0</v>
      </c>
      <c r="P526" s="37" t="str">
        <f t="shared" si="51"/>
        <v>1 + 0</v>
      </c>
      <c r="Q526" s="470" t="s">
        <v>346</v>
      </c>
      <c r="R526" s="37">
        <f t="shared" si="52"/>
        <v>0</v>
      </c>
      <c r="S526" s="470" t="s">
        <v>347</v>
      </c>
      <c r="T526" s="470">
        <f t="shared" si="53"/>
        <v>0</v>
      </c>
      <c r="U526" s="470" t="s">
        <v>346</v>
      </c>
      <c r="V526" s="111">
        <f>IF(OR(F526="none",G526="V"),0,VLOOKUP(F526,'Purchased Boons'!$AR$4:$AS$27,2,FALSE))</f>
        <v>0</v>
      </c>
      <c r="W526" s="39" t="s">
        <v>1628</v>
      </c>
      <c r="X526" s="37" t="s">
        <v>1529</v>
      </c>
      <c r="Y526" s="37" t="s">
        <v>5</v>
      </c>
      <c r="Z526" s="111">
        <v>88</v>
      </c>
      <c r="AG526" s="24"/>
      <c r="AH526" s="24"/>
    </row>
    <row r="527" spans="1:34" x14ac:dyDescent="0.25">
      <c r="A527" s="468" t="s">
        <v>1074</v>
      </c>
      <c r="B527" s="36" t="s">
        <v>355</v>
      </c>
      <c r="C527" s="469">
        <v>2</v>
      </c>
      <c r="D527" s="470" t="s">
        <v>19</v>
      </c>
      <c r="E527" s="37">
        <f t="shared" si="45"/>
        <v>1</v>
      </c>
      <c r="F527" s="470" t="s">
        <v>41</v>
      </c>
      <c r="G527" s="37">
        <f t="shared" si="46"/>
        <v>0</v>
      </c>
      <c r="H527" s="37" t="s">
        <v>494</v>
      </c>
      <c r="I527" s="37">
        <f t="shared" si="47"/>
        <v>0</v>
      </c>
      <c r="J527" s="37" t="s">
        <v>347</v>
      </c>
      <c r="K527" s="37">
        <f t="shared" si="48"/>
        <v>0</v>
      </c>
      <c r="L527" s="37" t="s">
        <v>494</v>
      </c>
      <c r="M527" s="37">
        <f t="shared" si="49"/>
        <v>0</v>
      </c>
      <c r="N527" s="470" t="s">
        <v>347</v>
      </c>
      <c r="O527" s="470">
        <f t="shared" si="50"/>
        <v>0</v>
      </c>
      <c r="P527" s="37" t="str">
        <f t="shared" si="51"/>
        <v>1 + 0</v>
      </c>
      <c r="Q527" s="470" t="s">
        <v>346</v>
      </c>
      <c r="R527" s="37">
        <f t="shared" si="52"/>
        <v>0</v>
      </c>
      <c r="S527" s="470" t="s">
        <v>347</v>
      </c>
      <c r="T527" s="470">
        <f t="shared" si="53"/>
        <v>0</v>
      </c>
      <c r="U527" s="470" t="s">
        <v>346</v>
      </c>
      <c r="V527" s="111">
        <f>IF(OR(F527="none",G527="V"),0,VLOOKUP(F527,'Purchased Boons'!$AR$4:$AS$27,2,FALSE))</f>
        <v>0</v>
      </c>
      <c r="W527" s="39" t="s">
        <v>1050</v>
      </c>
      <c r="X527" s="37" t="s">
        <v>1525</v>
      </c>
      <c r="Y527" s="37" t="s">
        <v>133</v>
      </c>
      <c r="Z527" s="111">
        <v>141</v>
      </c>
      <c r="AG527" s="24"/>
      <c r="AH527" s="24"/>
    </row>
    <row r="528" spans="1:34" x14ac:dyDescent="0.25">
      <c r="A528" s="468" t="s">
        <v>1133</v>
      </c>
      <c r="B528" s="36" t="s">
        <v>371</v>
      </c>
      <c r="C528" s="469">
        <v>2</v>
      </c>
      <c r="D528" s="470" t="s">
        <v>17</v>
      </c>
      <c r="E528" s="37">
        <f t="shared" si="45"/>
        <v>1</v>
      </c>
      <c r="F528" s="470" t="s">
        <v>51</v>
      </c>
      <c r="G528" s="37">
        <f t="shared" si="46"/>
        <v>0</v>
      </c>
      <c r="H528" s="37" t="s">
        <v>494</v>
      </c>
      <c r="I528" s="37">
        <f t="shared" si="47"/>
        <v>0</v>
      </c>
      <c r="J528" s="37" t="s">
        <v>347</v>
      </c>
      <c r="K528" s="37">
        <f t="shared" si="48"/>
        <v>0</v>
      </c>
      <c r="L528" s="37" t="s">
        <v>494</v>
      </c>
      <c r="M528" s="37">
        <f t="shared" si="49"/>
        <v>0</v>
      </c>
      <c r="N528" s="470" t="s">
        <v>347</v>
      </c>
      <c r="O528" s="470">
        <f t="shared" si="50"/>
        <v>0</v>
      </c>
      <c r="P528" s="37" t="str">
        <f t="shared" si="51"/>
        <v>1 + 0</v>
      </c>
      <c r="Q528" s="470" t="s">
        <v>346</v>
      </c>
      <c r="R528" s="37">
        <f t="shared" si="52"/>
        <v>0</v>
      </c>
      <c r="S528" s="470" t="s">
        <v>347</v>
      </c>
      <c r="T528" s="470">
        <f t="shared" si="53"/>
        <v>0</v>
      </c>
      <c r="U528" s="470" t="s">
        <v>346</v>
      </c>
      <c r="V528" s="111">
        <f>IF(OR(F528="none",G528="V"),0,VLOOKUP(F528,'Purchased Boons'!$AR$4:$AS$27,2,FALSE))</f>
        <v>0</v>
      </c>
      <c r="W528" s="39" t="s">
        <v>1050</v>
      </c>
      <c r="X528" s="37" t="s">
        <v>1553</v>
      </c>
      <c r="Y528" s="37" t="s">
        <v>133</v>
      </c>
      <c r="Z528" s="111">
        <v>154</v>
      </c>
      <c r="AG528" s="24"/>
      <c r="AH528" s="24"/>
    </row>
    <row r="529" spans="1:34" x14ac:dyDescent="0.25">
      <c r="A529" s="468" t="s">
        <v>1157</v>
      </c>
      <c r="B529" s="36" t="s">
        <v>355</v>
      </c>
      <c r="C529" s="469">
        <v>6</v>
      </c>
      <c r="D529" s="470" t="s">
        <v>16</v>
      </c>
      <c r="E529" s="37">
        <f t="shared" si="45"/>
        <v>1</v>
      </c>
      <c r="F529" s="470" t="s">
        <v>49</v>
      </c>
      <c r="G529" s="37">
        <f t="shared" si="46"/>
        <v>0</v>
      </c>
      <c r="H529" s="37" t="s">
        <v>494</v>
      </c>
      <c r="I529" s="37">
        <f t="shared" si="47"/>
        <v>0</v>
      </c>
      <c r="J529" s="37" t="s">
        <v>347</v>
      </c>
      <c r="K529" s="37">
        <f t="shared" si="48"/>
        <v>0</v>
      </c>
      <c r="L529" s="37" t="s">
        <v>494</v>
      </c>
      <c r="M529" s="37">
        <f t="shared" si="49"/>
        <v>0</v>
      </c>
      <c r="N529" s="470" t="s">
        <v>347</v>
      </c>
      <c r="O529" s="470">
        <f t="shared" si="50"/>
        <v>0</v>
      </c>
      <c r="P529" s="37" t="str">
        <f t="shared" si="51"/>
        <v>1 + 0</v>
      </c>
      <c r="Q529" s="470" t="s">
        <v>346</v>
      </c>
      <c r="R529" s="37">
        <f t="shared" si="52"/>
        <v>0</v>
      </c>
      <c r="S529" s="470" t="s">
        <v>347</v>
      </c>
      <c r="T529" s="470">
        <f t="shared" si="53"/>
        <v>0</v>
      </c>
      <c r="U529" s="470" t="s">
        <v>346</v>
      </c>
      <c r="V529" s="111">
        <f>IF(OR(F529="none",G529="V"),0,VLOOKUP(F529,'Purchased Boons'!$AR$4:$AS$27,2,FALSE))</f>
        <v>0</v>
      </c>
      <c r="W529" s="39" t="s">
        <v>1601</v>
      </c>
      <c r="X529" s="37" t="s">
        <v>1549</v>
      </c>
      <c r="Y529" s="37" t="s">
        <v>1045</v>
      </c>
      <c r="Z529" s="111">
        <v>74</v>
      </c>
      <c r="AG529" s="24"/>
      <c r="AH529" s="24"/>
    </row>
    <row r="530" spans="1:34" x14ac:dyDescent="0.25">
      <c r="A530" s="468" t="s">
        <v>1067</v>
      </c>
      <c r="B530" s="36" t="s">
        <v>353</v>
      </c>
      <c r="C530" s="469">
        <v>1</v>
      </c>
      <c r="D530" s="470" t="s">
        <v>494</v>
      </c>
      <c r="E530" s="37">
        <f t="shared" si="45"/>
        <v>0</v>
      </c>
      <c r="F530" s="470" t="s">
        <v>494</v>
      </c>
      <c r="G530" s="37">
        <f t="shared" si="46"/>
        <v>0</v>
      </c>
      <c r="H530" s="37" t="s">
        <v>494</v>
      </c>
      <c r="I530" s="37">
        <f t="shared" si="47"/>
        <v>0</v>
      </c>
      <c r="J530" s="37" t="s">
        <v>347</v>
      </c>
      <c r="K530" s="37">
        <f t="shared" si="48"/>
        <v>0</v>
      </c>
      <c r="L530" s="37" t="s">
        <v>494</v>
      </c>
      <c r="M530" s="37">
        <f t="shared" si="49"/>
        <v>0</v>
      </c>
      <c r="N530" s="470" t="s">
        <v>347</v>
      </c>
      <c r="O530" s="470">
        <f t="shared" si="50"/>
        <v>0</v>
      </c>
      <c r="P530" s="37" t="str">
        <f t="shared" si="51"/>
        <v>None</v>
      </c>
      <c r="Q530" s="470" t="s">
        <v>346</v>
      </c>
      <c r="R530" s="37">
        <f t="shared" si="52"/>
        <v>0</v>
      </c>
      <c r="S530" s="470" t="s">
        <v>347</v>
      </c>
      <c r="T530" s="470">
        <f t="shared" si="53"/>
        <v>0</v>
      </c>
      <c r="U530" s="470" t="s">
        <v>346</v>
      </c>
      <c r="V530" s="111">
        <f>IF(OR(F530="none",G530="V"),0,VLOOKUP(F530,'Purchased Boons'!$AR$4:$AS$27,2,FALSE))</f>
        <v>0</v>
      </c>
      <c r="W530" s="39" t="s">
        <v>1520</v>
      </c>
      <c r="X530" s="37" t="s">
        <v>494</v>
      </c>
      <c r="Y530" s="37" t="s">
        <v>133</v>
      </c>
      <c r="Z530" s="111">
        <v>140</v>
      </c>
      <c r="AG530" s="24"/>
      <c r="AH530" s="24"/>
    </row>
    <row r="531" spans="1:34" x14ac:dyDescent="0.25">
      <c r="A531" s="472" t="s">
        <v>2628</v>
      </c>
      <c r="B531" s="36" t="s">
        <v>352</v>
      </c>
      <c r="C531" s="37">
        <v>8</v>
      </c>
      <c r="D531" s="470" t="s">
        <v>494</v>
      </c>
      <c r="E531" s="37">
        <f t="shared" si="45"/>
        <v>0</v>
      </c>
      <c r="F531" s="470" t="s">
        <v>49</v>
      </c>
      <c r="G531" s="37">
        <f t="shared" si="46"/>
        <v>0</v>
      </c>
      <c r="H531" s="37" t="s">
        <v>494</v>
      </c>
      <c r="I531" s="37">
        <f t="shared" si="47"/>
        <v>0</v>
      </c>
      <c r="J531" s="37" t="s">
        <v>346</v>
      </c>
      <c r="K531" s="37">
        <f t="shared" si="48"/>
        <v>2</v>
      </c>
      <c r="L531" s="37" t="s">
        <v>494</v>
      </c>
      <c r="M531" s="37">
        <f t="shared" si="49"/>
        <v>0</v>
      </c>
      <c r="N531" s="470" t="s">
        <v>347</v>
      </c>
      <c r="O531" s="470">
        <f t="shared" si="50"/>
        <v>0</v>
      </c>
      <c r="P531" s="37" t="str">
        <f t="shared" si="51"/>
        <v>2 + 0</v>
      </c>
      <c r="Q531" s="470" t="s">
        <v>346</v>
      </c>
      <c r="R531" s="37">
        <f t="shared" si="52"/>
        <v>0</v>
      </c>
      <c r="S531" s="470" t="s">
        <v>347</v>
      </c>
      <c r="T531" s="470">
        <f t="shared" si="53"/>
        <v>0</v>
      </c>
      <c r="U531" s="470" t="s">
        <v>346</v>
      </c>
      <c r="V531" s="111">
        <f>IF(OR(F531="none",G531="V"),0,VLOOKUP(F531,'Purchased Boons'!$AR$4:$AS$27,2,FALSE))</f>
        <v>0</v>
      </c>
      <c r="W531" s="39" t="s">
        <v>1052</v>
      </c>
      <c r="X531" s="37" t="s">
        <v>2646</v>
      </c>
      <c r="Y531" s="37" t="s">
        <v>1484</v>
      </c>
      <c r="Z531" s="111">
        <v>118</v>
      </c>
      <c r="AG531" s="24"/>
      <c r="AH531" s="24"/>
    </row>
    <row r="532" spans="1:34" x14ac:dyDescent="0.25">
      <c r="A532" s="472" t="s">
        <v>2629</v>
      </c>
      <c r="B532" s="36" t="s">
        <v>353</v>
      </c>
      <c r="C532" s="37">
        <v>8</v>
      </c>
      <c r="D532" s="470" t="s">
        <v>494</v>
      </c>
      <c r="E532" s="37">
        <f t="shared" si="45"/>
        <v>0</v>
      </c>
      <c r="F532" s="470" t="s">
        <v>49</v>
      </c>
      <c r="G532" s="37">
        <f t="shared" si="46"/>
        <v>0</v>
      </c>
      <c r="H532" s="37" t="s">
        <v>494</v>
      </c>
      <c r="I532" s="37">
        <f t="shared" si="47"/>
        <v>0</v>
      </c>
      <c r="J532" s="37" t="s">
        <v>346</v>
      </c>
      <c r="K532" s="37">
        <f t="shared" si="48"/>
        <v>2</v>
      </c>
      <c r="L532" s="37" t="s">
        <v>494</v>
      </c>
      <c r="M532" s="37">
        <f t="shared" si="49"/>
        <v>0</v>
      </c>
      <c r="N532" s="470" t="s">
        <v>347</v>
      </c>
      <c r="O532" s="470">
        <f t="shared" si="50"/>
        <v>0</v>
      </c>
      <c r="P532" s="37" t="str">
        <f t="shared" si="51"/>
        <v>2 + 0</v>
      </c>
      <c r="Q532" s="470" t="s">
        <v>346</v>
      </c>
      <c r="R532" s="37">
        <f t="shared" si="52"/>
        <v>0</v>
      </c>
      <c r="S532" s="470" t="s">
        <v>347</v>
      </c>
      <c r="T532" s="470">
        <f t="shared" si="53"/>
        <v>0</v>
      </c>
      <c r="U532" s="470" t="s">
        <v>346</v>
      </c>
      <c r="V532" s="111">
        <f>IF(OR(F532="none",G532="V"),0,VLOOKUP(F532,'Purchased Boons'!$AR$4:$AS$27,2,FALSE))</f>
        <v>0</v>
      </c>
      <c r="W532" s="39" t="s">
        <v>1052</v>
      </c>
      <c r="X532" s="37" t="s">
        <v>2646</v>
      </c>
      <c r="Y532" s="37" t="s">
        <v>1484</v>
      </c>
      <c r="Z532" s="111">
        <v>118</v>
      </c>
      <c r="AG532" s="24"/>
      <c r="AH532" s="24"/>
    </row>
    <row r="533" spans="1:34" x14ac:dyDescent="0.25">
      <c r="A533" s="472" t="s">
        <v>2630</v>
      </c>
      <c r="B533" s="36" t="s">
        <v>354</v>
      </c>
      <c r="C533" s="37">
        <v>8</v>
      </c>
      <c r="D533" s="470" t="s">
        <v>494</v>
      </c>
      <c r="E533" s="37">
        <f t="shared" si="45"/>
        <v>0</v>
      </c>
      <c r="F533" s="470" t="s">
        <v>49</v>
      </c>
      <c r="G533" s="37">
        <f t="shared" si="46"/>
        <v>0</v>
      </c>
      <c r="H533" s="37" t="s">
        <v>494</v>
      </c>
      <c r="I533" s="37">
        <f t="shared" si="47"/>
        <v>0</v>
      </c>
      <c r="J533" s="37" t="s">
        <v>346</v>
      </c>
      <c r="K533" s="37">
        <f t="shared" si="48"/>
        <v>2</v>
      </c>
      <c r="L533" s="37" t="s">
        <v>494</v>
      </c>
      <c r="M533" s="37">
        <f t="shared" si="49"/>
        <v>0</v>
      </c>
      <c r="N533" s="470" t="s">
        <v>347</v>
      </c>
      <c r="O533" s="470">
        <f t="shared" si="50"/>
        <v>0</v>
      </c>
      <c r="P533" s="37" t="str">
        <f t="shared" si="51"/>
        <v>2 + 0</v>
      </c>
      <c r="Q533" s="470" t="s">
        <v>346</v>
      </c>
      <c r="R533" s="37">
        <f t="shared" si="52"/>
        <v>0</v>
      </c>
      <c r="S533" s="470" t="s">
        <v>347</v>
      </c>
      <c r="T533" s="470">
        <f t="shared" si="53"/>
        <v>0</v>
      </c>
      <c r="U533" s="470" t="s">
        <v>346</v>
      </c>
      <c r="V533" s="111">
        <f>IF(OR(F533="none",G533="V"),0,VLOOKUP(F533,'Purchased Boons'!$AR$4:$AS$27,2,FALSE))</f>
        <v>0</v>
      </c>
      <c r="W533" s="39" t="s">
        <v>1052</v>
      </c>
      <c r="X533" s="37" t="s">
        <v>2646</v>
      </c>
      <c r="Y533" s="37" t="s">
        <v>1484</v>
      </c>
      <c r="Z533" s="111">
        <v>118</v>
      </c>
      <c r="AG533" s="24"/>
      <c r="AH533" s="24"/>
    </row>
    <row r="534" spans="1:34" x14ac:dyDescent="0.25">
      <c r="A534" s="472" t="s">
        <v>2631</v>
      </c>
      <c r="B534" s="36" t="s">
        <v>355</v>
      </c>
      <c r="C534" s="37">
        <v>8</v>
      </c>
      <c r="D534" s="470" t="s">
        <v>494</v>
      </c>
      <c r="E534" s="37">
        <f t="shared" si="45"/>
        <v>0</v>
      </c>
      <c r="F534" s="470" t="s">
        <v>49</v>
      </c>
      <c r="G534" s="37">
        <f t="shared" si="46"/>
        <v>0</v>
      </c>
      <c r="H534" s="37" t="s">
        <v>494</v>
      </c>
      <c r="I534" s="37">
        <f t="shared" si="47"/>
        <v>0</v>
      </c>
      <c r="J534" s="37" t="s">
        <v>346</v>
      </c>
      <c r="K534" s="37">
        <f t="shared" si="48"/>
        <v>2</v>
      </c>
      <c r="L534" s="37" t="s">
        <v>494</v>
      </c>
      <c r="M534" s="37">
        <f t="shared" si="49"/>
        <v>0</v>
      </c>
      <c r="N534" s="470" t="s">
        <v>347</v>
      </c>
      <c r="O534" s="470">
        <f t="shared" si="50"/>
        <v>0</v>
      </c>
      <c r="P534" s="37" t="str">
        <f t="shared" si="51"/>
        <v>2 + 0</v>
      </c>
      <c r="Q534" s="470" t="s">
        <v>346</v>
      </c>
      <c r="R534" s="37">
        <f t="shared" si="52"/>
        <v>0</v>
      </c>
      <c r="S534" s="470" t="s">
        <v>347</v>
      </c>
      <c r="T534" s="470">
        <f t="shared" si="53"/>
        <v>0</v>
      </c>
      <c r="U534" s="470" t="s">
        <v>346</v>
      </c>
      <c r="V534" s="111">
        <f>IF(OR(F534="none",G534="V"),0,VLOOKUP(F534,'Purchased Boons'!$AR$4:$AS$27,2,FALSE))</f>
        <v>0</v>
      </c>
      <c r="W534" s="39" t="s">
        <v>1052</v>
      </c>
      <c r="X534" s="37" t="s">
        <v>2646</v>
      </c>
      <c r="Y534" s="37" t="s">
        <v>1484</v>
      </c>
      <c r="Z534" s="111">
        <v>118</v>
      </c>
      <c r="AG534" s="24"/>
      <c r="AH534" s="24"/>
    </row>
    <row r="535" spans="1:34" x14ac:dyDescent="0.25">
      <c r="A535" s="472" t="s">
        <v>2632</v>
      </c>
      <c r="B535" s="36" t="s">
        <v>356</v>
      </c>
      <c r="C535" s="37">
        <v>8</v>
      </c>
      <c r="D535" s="470" t="s">
        <v>494</v>
      </c>
      <c r="E535" s="37">
        <f t="shared" si="45"/>
        <v>0</v>
      </c>
      <c r="F535" s="470" t="s">
        <v>49</v>
      </c>
      <c r="G535" s="37">
        <f t="shared" si="46"/>
        <v>0</v>
      </c>
      <c r="H535" s="37" t="s">
        <v>494</v>
      </c>
      <c r="I535" s="37">
        <f t="shared" si="47"/>
        <v>0</v>
      </c>
      <c r="J535" s="37" t="s">
        <v>346</v>
      </c>
      <c r="K535" s="37">
        <f t="shared" si="48"/>
        <v>2</v>
      </c>
      <c r="L535" s="37" t="s">
        <v>494</v>
      </c>
      <c r="M535" s="37">
        <f t="shared" si="49"/>
        <v>0</v>
      </c>
      <c r="N535" s="470" t="s">
        <v>347</v>
      </c>
      <c r="O535" s="470">
        <f t="shared" si="50"/>
        <v>0</v>
      </c>
      <c r="P535" s="37" t="str">
        <f t="shared" si="51"/>
        <v>2 + 0</v>
      </c>
      <c r="Q535" s="470" t="s">
        <v>346</v>
      </c>
      <c r="R535" s="37">
        <f t="shared" si="52"/>
        <v>0</v>
      </c>
      <c r="S535" s="470" t="s">
        <v>347</v>
      </c>
      <c r="T535" s="470">
        <f t="shared" si="53"/>
        <v>0</v>
      </c>
      <c r="U535" s="470" t="s">
        <v>346</v>
      </c>
      <c r="V535" s="111">
        <f>IF(OR(F535="none",G535="V"),0,VLOOKUP(F535,'Purchased Boons'!$AR$4:$AS$27,2,FALSE))</f>
        <v>0</v>
      </c>
      <c r="W535" s="39" t="s">
        <v>1052</v>
      </c>
      <c r="X535" s="37" t="s">
        <v>2646</v>
      </c>
      <c r="Y535" s="37" t="s">
        <v>1484</v>
      </c>
      <c r="Z535" s="111">
        <v>118</v>
      </c>
      <c r="AG535" s="24"/>
      <c r="AH535" s="24"/>
    </row>
    <row r="536" spans="1:34" x14ac:dyDescent="0.25">
      <c r="A536" s="472" t="s">
        <v>2633</v>
      </c>
      <c r="B536" s="36" t="s">
        <v>357</v>
      </c>
      <c r="C536" s="37">
        <v>8</v>
      </c>
      <c r="D536" s="470" t="s">
        <v>494</v>
      </c>
      <c r="E536" s="37">
        <f t="shared" si="45"/>
        <v>0</v>
      </c>
      <c r="F536" s="470" t="s">
        <v>49</v>
      </c>
      <c r="G536" s="37">
        <f t="shared" si="46"/>
        <v>0</v>
      </c>
      <c r="H536" s="37" t="s">
        <v>494</v>
      </c>
      <c r="I536" s="37">
        <f t="shared" si="47"/>
        <v>0</v>
      </c>
      <c r="J536" s="37" t="s">
        <v>346</v>
      </c>
      <c r="K536" s="37">
        <f t="shared" si="48"/>
        <v>2</v>
      </c>
      <c r="L536" s="37" t="s">
        <v>494</v>
      </c>
      <c r="M536" s="37">
        <f t="shared" si="49"/>
        <v>0</v>
      </c>
      <c r="N536" s="470" t="s">
        <v>347</v>
      </c>
      <c r="O536" s="470">
        <f t="shared" si="50"/>
        <v>0</v>
      </c>
      <c r="P536" s="37" t="str">
        <f t="shared" si="51"/>
        <v>2 + 0</v>
      </c>
      <c r="Q536" s="470" t="s">
        <v>346</v>
      </c>
      <c r="R536" s="37">
        <f t="shared" si="52"/>
        <v>0</v>
      </c>
      <c r="S536" s="470" t="s">
        <v>347</v>
      </c>
      <c r="T536" s="470">
        <f t="shared" si="53"/>
        <v>0</v>
      </c>
      <c r="U536" s="470" t="s">
        <v>346</v>
      </c>
      <c r="V536" s="111">
        <f>IF(OR(F536="none",G536="V"),0,VLOOKUP(F536,'Purchased Boons'!$AR$4:$AS$27,2,FALSE))</f>
        <v>0</v>
      </c>
      <c r="W536" s="39" t="s">
        <v>1052</v>
      </c>
      <c r="X536" s="37" t="s">
        <v>2646</v>
      </c>
      <c r="Y536" s="37" t="s">
        <v>1484</v>
      </c>
      <c r="Z536" s="111">
        <v>118</v>
      </c>
      <c r="AG536" s="24"/>
      <c r="AH536" s="24"/>
    </row>
    <row r="537" spans="1:34" x14ac:dyDescent="0.25">
      <c r="A537" s="472" t="s">
        <v>2634</v>
      </c>
      <c r="B537" s="36" t="s">
        <v>358</v>
      </c>
      <c r="C537" s="37">
        <v>8</v>
      </c>
      <c r="D537" s="470" t="s">
        <v>494</v>
      </c>
      <c r="E537" s="37">
        <f t="shared" si="45"/>
        <v>0</v>
      </c>
      <c r="F537" s="470" t="s">
        <v>49</v>
      </c>
      <c r="G537" s="37">
        <f t="shared" si="46"/>
        <v>0</v>
      </c>
      <c r="H537" s="37" t="s">
        <v>494</v>
      </c>
      <c r="I537" s="37">
        <f t="shared" si="47"/>
        <v>0</v>
      </c>
      <c r="J537" s="37" t="s">
        <v>346</v>
      </c>
      <c r="K537" s="37">
        <f t="shared" si="48"/>
        <v>2</v>
      </c>
      <c r="L537" s="37" t="s">
        <v>494</v>
      </c>
      <c r="M537" s="37">
        <f t="shared" si="49"/>
        <v>0</v>
      </c>
      <c r="N537" s="470" t="s">
        <v>347</v>
      </c>
      <c r="O537" s="470">
        <f t="shared" si="50"/>
        <v>0</v>
      </c>
      <c r="P537" s="37" t="str">
        <f t="shared" si="51"/>
        <v>2 + 0</v>
      </c>
      <c r="Q537" s="470" t="s">
        <v>346</v>
      </c>
      <c r="R537" s="37">
        <f t="shared" si="52"/>
        <v>0</v>
      </c>
      <c r="S537" s="470" t="s">
        <v>347</v>
      </c>
      <c r="T537" s="470">
        <f t="shared" si="53"/>
        <v>0</v>
      </c>
      <c r="U537" s="470" t="s">
        <v>346</v>
      </c>
      <c r="V537" s="111">
        <f>IF(OR(F537="none",G537="V"),0,VLOOKUP(F537,'Purchased Boons'!$AR$4:$AS$27,2,FALSE))</f>
        <v>0</v>
      </c>
      <c r="W537" s="39" t="s">
        <v>1052</v>
      </c>
      <c r="X537" s="37" t="s">
        <v>2646</v>
      </c>
      <c r="Y537" s="37" t="s">
        <v>1484</v>
      </c>
      <c r="Z537" s="111">
        <v>118</v>
      </c>
      <c r="AG537" s="24"/>
      <c r="AH537" s="24"/>
    </row>
    <row r="538" spans="1:34" x14ac:dyDescent="0.25">
      <c r="A538" s="472" t="s">
        <v>2635</v>
      </c>
      <c r="B538" s="36" t="s">
        <v>690</v>
      </c>
      <c r="C538" s="37">
        <v>8</v>
      </c>
      <c r="D538" s="470" t="s">
        <v>494</v>
      </c>
      <c r="E538" s="37">
        <f t="shared" si="45"/>
        <v>0</v>
      </c>
      <c r="F538" s="470" t="s">
        <v>49</v>
      </c>
      <c r="G538" s="37">
        <f t="shared" si="46"/>
        <v>0</v>
      </c>
      <c r="H538" s="37" t="s">
        <v>494</v>
      </c>
      <c r="I538" s="37">
        <f t="shared" si="47"/>
        <v>0</v>
      </c>
      <c r="J538" s="37" t="s">
        <v>346</v>
      </c>
      <c r="K538" s="37">
        <f t="shared" si="48"/>
        <v>2</v>
      </c>
      <c r="L538" s="37" t="s">
        <v>494</v>
      </c>
      <c r="M538" s="37">
        <f t="shared" si="49"/>
        <v>0</v>
      </c>
      <c r="N538" s="470" t="s">
        <v>347</v>
      </c>
      <c r="O538" s="470">
        <f t="shared" si="50"/>
        <v>0</v>
      </c>
      <c r="P538" s="37" t="str">
        <f t="shared" si="51"/>
        <v>2 + 0</v>
      </c>
      <c r="Q538" s="470" t="s">
        <v>346</v>
      </c>
      <c r="R538" s="37">
        <f t="shared" si="52"/>
        <v>0</v>
      </c>
      <c r="S538" s="470" t="s">
        <v>347</v>
      </c>
      <c r="T538" s="470">
        <f t="shared" si="53"/>
        <v>0</v>
      </c>
      <c r="U538" s="470" t="s">
        <v>346</v>
      </c>
      <c r="V538" s="111">
        <f>IF(OR(F538="none",G538="V"),0,VLOOKUP(F538,'Purchased Boons'!$AR$4:$AS$27,2,FALSE))</f>
        <v>0</v>
      </c>
      <c r="W538" s="39" t="s">
        <v>1052</v>
      </c>
      <c r="X538" s="37" t="s">
        <v>2646</v>
      </c>
      <c r="Y538" s="37" t="s">
        <v>1484</v>
      </c>
      <c r="Z538" s="111">
        <v>118</v>
      </c>
      <c r="AG538" s="24"/>
      <c r="AH538" s="24"/>
    </row>
    <row r="539" spans="1:34" x14ac:dyDescent="0.25">
      <c r="A539" s="472" t="s">
        <v>2636</v>
      </c>
      <c r="B539" s="36" t="s">
        <v>359</v>
      </c>
      <c r="C539" s="37">
        <v>8</v>
      </c>
      <c r="D539" s="470" t="s">
        <v>494</v>
      </c>
      <c r="E539" s="37">
        <f t="shared" si="45"/>
        <v>0</v>
      </c>
      <c r="F539" s="470" t="s">
        <v>49</v>
      </c>
      <c r="G539" s="37">
        <f t="shared" si="46"/>
        <v>0</v>
      </c>
      <c r="H539" s="37" t="s">
        <v>494</v>
      </c>
      <c r="I539" s="37">
        <f t="shared" si="47"/>
        <v>0</v>
      </c>
      <c r="J539" s="37" t="s">
        <v>346</v>
      </c>
      <c r="K539" s="37">
        <f t="shared" si="48"/>
        <v>2</v>
      </c>
      <c r="L539" s="37" t="s">
        <v>494</v>
      </c>
      <c r="M539" s="37">
        <f t="shared" si="49"/>
        <v>0</v>
      </c>
      <c r="N539" s="470" t="s">
        <v>347</v>
      </c>
      <c r="O539" s="470">
        <f t="shared" si="50"/>
        <v>0</v>
      </c>
      <c r="P539" s="37" t="str">
        <f t="shared" si="51"/>
        <v>2 + 0</v>
      </c>
      <c r="Q539" s="470" t="s">
        <v>346</v>
      </c>
      <c r="R539" s="37">
        <f t="shared" si="52"/>
        <v>0</v>
      </c>
      <c r="S539" s="470" t="s">
        <v>347</v>
      </c>
      <c r="T539" s="470">
        <f t="shared" si="53"/>
        <v>0</v>
      </c>
      <c r="U539" s="470" t="s">
        <v>346</v>
      </c>
      <c r="V539" s="111">
        <f>IF(OR(F539="none",G539="V"),0,VLOOKUP(F539,'Purchased Boons'!$AR$4:$AS$27,2,FALSE))</f>
        <v>0</v>
      </c>
      <c r="W539" s="39" t="s">
        <v>1052</v>
      </c>
      <c r="X539" s="37" t="s">
        <v>2646</v>
      </c>
      <c r="Y539" s="37" t="s">
        <v>1484</v>
      </c>
      <c r="Z539" s="111">
        <v>118</v>
      </c>
      <c r="AG539" s="24"/>
      <c r="AH539" s="24"/>
    </row>
    <row r="540" spans="1:34" x14ac:dyDescent="0.25">
      <c r="A540" s="472" t="s">
        <v>2637</v>
      </c>
      <c r="B540" s="36" t="s">
        <v>108</v>
      </c>
      <c r="C540" s="37">
        <v>8</v>
      </c>
      <c r="D540" s="470" t="s">
        <v>494</v>
      </c>
      <c r="E540" s="37">
        <f t="shared" si="45"/>
        <v>0</v>
      </c>
      <c r="F540" s="470" t="s">
        <v>49</v>
      </c>
      <c r="G540" s="37">
        <f t="shared" si="46"/>
        <v>0</v>
      </c>
      <c r="H540" s="37" t="s">
        <v>494</v>
      </c>
      <c r="I540" s="37">
        <f t="shared" si="47"/>
        <v>0</v>
      </c>
      <c r="J540" s="37" t="s">
        <v>346</v>
      </c>
      <c r="K540" s="37">
        <f t="shared" si="48"/>
        <v>2</v>
      </c>
      <c r="L540" s="37" t="s">
        <v>494</v>
      </c>
      <c r="M540" s="37">
        <f t="shared" si="49"/>
        <v>0</v>
      </c>
      <c r="N540" s="470" t="s">
        <v>347</v>
      </c>
      <c r="O540" s="470">
        <f t="shared" si="50"/>
        <v>0</v>
      </c>
      <c r="P540" s="37" t="str">
        <f t="shared" si="51"/>
        <v>2 + 0</v>
      </c>
      <c r="Q540" s="470" t="s">
        <v>346</v>
      </c>
      <c r="R540" s="37">
        <f t="shared" si="52"/>
        <v>0</v>
      </c>
      <c r="S540" s="470" t="s">
        <v>347</v>
      </c>
      <c r="T540" s="470">
        <f t="shared" si="53"/>
        <v>0</v>
      </c>
      <c r="U540" s="470" t="s">
        <v>346</v>
      </c>
      <c r="V540" s="111">
        <f>IF(OR(F540="none",G540="V"),0,VLOOKUP(F540,'Purchased Boons'!$AR$4:$AS$27,2,FALSE))</f>
        <v>0</v>
      </c>
      <c r="W540" s="39" t="s">
        <v>1052</v>
      </c>
      <c r="X540" s="37" t="s">
        <v>2646</v>
      </c>
      <c r="Y540" s="37" t="s">
        <v>1484</v>
      </c>
      <c r="Z540" s="111">
        <v>118</v>
      </c>
      <c r="AG540" s="24"/>
      <c r="AH540" s="24"/>
    </row>
    <row r="541" spans="1:34" x14ac:dyDescent="0.25">
      <c r="A541" s="472" t="s">
        <v>2638</v>
      </c>
      <c r="B541" s="36" t="s">
        <v>360</v>
      </c>
      <c r="C541" s="37">
        <v>8</v>
      </c>
      <c r="D541" s="470" t="s">
        <v>494</v>
      </c>
      <c r="E541" s="37">
        <f t="shared" si="45"/>
        <v>0</v>
      </c>
      <c r="F541" s="470" t="s">
        <v>49</v>
      </c>
      <c r="G541" s="37">
        <f t="shared" si="46"/>
        <v>0</v>
      </c>
      <c r="H541" s="37" t="s">
        <v>494</v>
      </c>
      <c r="I541" s="37">
        <f t="shared" si="47"/>
        <v>0</v>
      </c>
      <c r="J541" s="37" t="s">
        <v>346</v>
      </c>
      <c r="K541" s="37">
        <f t="shared" si="48"/>
        <v>2</v>
      </c>
      <c r="L541" s="37" t="s">
        <v>494</v>
      </c>
      <c r="M541" s="37">
        <f t="shared" si="49"/>
        <v>0</v>
      </c>
      <c r="N541" s="470" t="s">
        <v>347</v>
      </c>
      <c r="O541" s="470">
        <f t="shared" si="50"/>
        <v>0</v>
      </c>
      <c r="P541" s="37" t="str">
        <f t="shared" si="51"/>
        <v>2 + 0</v>
      </c>
      <c r="Q541" s="470" t="s">
        <v>346</v>
      </c>
      <c r="R541" s="37">
        <f t="shared" si="52"/>
        <v>0</v>
      </c>
      <c r="S541" s="470" t="s">
        <v>347</v>
      </c>
      <c r="T541" s="470">
        <f t="shared" si="53"/>
        <v>0</v>
      </c>
      <c r="U541" s="470" t="s">
        <v>346</v>
      </c>
      <c r="V541" s="111">
        <f>IF(OR(F541="none",G541="V"),0,VLOOKUP(F541,'Purchased Boons'!$AR$4:$AS$27,2,FALSE))</f>
        <v>0</v>
      </c>
      <c r="W541" s="39" t="s">
        <v>1052</v>
      </c>
      <c r="X541" s="37" t="s">
        <v>2646</v>
      </c>
      <c r="Y541" s="37" t="s">
        <v>1484</v>
      </c>
      <c r="Z541" s="111">
        <v>118</v>
      </c>
      <c r="AG541" s="24"/>
      <c r="AH541" s="24"/>
    </row>
    <row r="542" spans="1:34" x14ac:dyDescent="0.25">
      <c r="A542" s="472" t="s">
        <v>2639</v>
      </c>
      <c r="B542" s="36" t="s">
        <v>361</v>
      </c>
      <c r="C542" s="37">
        <v>8</v>
      </c>
      <c r="D542" s="470" t="s">
        <v>494</v>
      </c>
      <c r="E542" s="37">
        <f t="shared" si="45"/>
        <v>0</v>
      </c>
      <c r="F542" s="470" t="s">
        <v>49</v>
      </c>
      <c r="G542" s="37">
        <f t="shared" si="46"/>
        <v>0</v>
      </c>
      <c r="H542" s="37" t="s">
        <v>494</v>
      </c>
      <c r="I542" s="37">
        <f t="shared" si="47"/>
        <v>0</v>
      </c>
      <c r="J542" s="37" t="s">
        <v>346</v>
      </c>
      <c r="K542" s="37">
        <f t="shared" si="48"/>
        <v>2</v>
      </c>
      <c r="L542" s="37" t="s">
        <v>494</v>
      </c>
      <c r="M542" s="37">
        <f t="shared" si="49"/>
        <v>0</v>
      </c>
      <c r="N542" s="470" t="s">
        <v>347</v>
      </c>
      <c r="O542" s="470">
        <f t="shared" si="50"/>
        <v>0</v>
      </c>
      <c r="P542" s="37" t="str">
        <f t="shared" si="51"/>
        <v>2 + 0</v>
      </c>
      <c r="Q542" s="470" t="s">
        <v>346</v>
      </c>
      <c r="R542" s="37">
        <f t="shared" si="52"/>
        <v>0</v>
      </c>
      <c r="S542" s="470" t="s">
        <v>347</v>
      </c>
      <c r="T542" s="470">
        <f t="shared" si="53"/>
        <v>0</v>
      </c>
      <c r="U542" s="470" t="s">
        <v>346</v>
      </c>
      <c r="V542" s="111">
        <f>IF(OR(F542="none",G542="V"),0,VLOOKUP(F542,'Purchased Boons'!$AR$4:$AS$27,2,FALSE))</f>
        <v>0</v>
      </c>
      <c r="W542" s="39" t="s">
        <v>1052</v>
      </c>
      <c r="X542" s="37" t="s">
        <v>2646</v>
      </c>
      <c r="Y542" s="37" t="s">
        <v>1484</v>
      </c>
      <c r="Z542" s="111">
        <v>118</v>
      </c>
      <c r="AG542" s="24"/>
      <c r="AH542" s="24"/>
    </row>
    <row r="543" spans="1:34" x14ac:dyDescent="0.25">
      <c r="A543" s="472" t="s">
        <v>2640</v>
      </c>
      <c r="B543" s="36" t="s">
        <v>362</v>
      </c>
      <c r="C543" s="37">
        <v>8</v>
      </c>
      <c r="D543" s="470" t="s">
        <v>494</v>
      </c>
      <c r="E543" s="37">
        <f t="shared" si="45"/>
        <v>0</v>
      </c>
      <c r="F543" s="470" t="s">
        <v>49</v>
      </c>
      <c r="G543" s="37">
        <f t="shared" si="46"/>
        <v>0</v>
      </c>
      <c r="H543" s="37" t="s">
        <v>494</v>
      </c>
      <c r="I543" s="37">
        <f t="shared" si="47"/>
        <v>0</v>
      </c>
      <c r="J543" s="37" t="s">
        <v>346</v>
      </c>
      <c r="K543" s="37">
        <f t="shared" si="48"/>
        <v>2</v>
      </c>
      <c r="L543" s="37" t="s">
        <v>494</v>
      </c>
      <c r="M543" s="37">
        <f t="shared" si="49"/>
        <v>0</v>
      </c>
      <c r="N543" s="470" t="s">
        <v>347</v>
      </c>
      <c r="O543" s="470">
        <f t="shared" si="50"/>
        <v>0</v>
      </c>
      <c r="P543" s="37" t="str">
        <f t="shared" si="51"/>
        <v>2 + 0</v>
      </c>
      <c r="Q543" s="470" t="s">
        <v>346</v>
      </c>
      <c r="R543" s="37">
        <f t="shared" si="52"/>
        <v>0</v>
      </c>
      <c r="S543" s="470" t="s">
        <v>347</v>
      </c>
      <c r="T543" s="470">
        <f t="shared" si="53"/>
        <v>0</v>
      </c>
      <c r="U543" s="470" t="s">
        <v>346</v>
      </c>
      <c r="V543" s="111">
        <f>IF(OR(F543="none",G543="V"),0,VLOOKUP(F543,'Purchased Boons'!$AR$4:$AS$27,2,FALSE))</f>
        <v>0</v>
      </c>
      <c r="W543" s="39" t="s">
        <v>1052</v>
      </c>
      <c r="X543" s="37" t="s">
        <v>2646</v>
      </c>
      <c r="Y543" s="37" t="s">
        <v>1484</v>
      </c>
      <c r="Z543" s="111">
        <v>118</v>
      </c>
      <c r="AG543" s="24"/>
      <c r="AH543" s="24"/>
    </row>
    <row r="544" spans="1:34" x14ac:dyDescent="0.25">
      <c r="A544" s="472" t="s">
        <v>2641</v>
      </c>
      <c r="B544" s="36" t="s">
        <v>363</v>
      </c>
      <c r="C544" s="37">
        <v>8</v>
      </c>
      <c r="D544" s="470" t="s">
        <v>494</v>
      </c>
      <c r="E544" s="37">
        <f t="shared" si="45"/>
        <v>0</v>
      </c>
      <c r="F544" s="470" t="s">
        <v>49</v>
      </c>
      <c r="G544" s="37">
        <f t="shared" si="46"/>
        <v>0</v>
      </c>
      <c r="H544" s="37" t="s">
        <v>494</v>
      </c>
      <c r="I544" s="37">
        <f t="shared" si="47"/>
        <v>0</v>
      </c>
      <c r="J544" s="37" t="s">
        <v>346</v>
      </c>
      <c r="K544" s="37">
        <f t="shared" si="48"/>
        <v>2</v>
      </c>
      <c r="L544" s="37" t="s">
        <v>494</v>
      </c>
      <c r="M544" s="37">
        <f t="shared" si="49"/>
        <v>0</v>
      </c>
      <c r="N544" s="470" t="s">
        <v>347</v>
      </c>
      <c r="O544" s="470">
        <f t="shared" si="50"/>
        <v>0</v>
      </c>
      <c r="P544" s="37" t="str">
        <f t="shared" si="51"/>
        <v>2 + 0</v>
      </c>
      <c r="Q544" s="470" t="s">
        <v>346</v>
      </c>
      <c r="R544" s="37">
        <f t="shared" si="52"/>
        <v>0</v>
      </c>
      <c r="S544" s="470" t="s">
        <v>347</v>
      </c>
      <c r="T544" s="470">
        <f t="shared" si="53"/>
        <v>0</v>
      </c>
      <c r="U544" s="470" t="s">
        <v>346</v>
      </c>
      <c r="V544" s="111">
        <f>IF(OR(F544="none",G544="V"),0,VLOOKUP(F544,'Purchased Boons'!$AR$4:$AS$27,2,FALSE))</f>
        <v>0</v>
      </c>
      <c r="W544" s="39" t="s">
        <v>1052</v>
      </c>
      <c r="X544" s="37" t="s">
        <v>2646</v>
      </c>
      <c r="Y544" s="37" t="s">
        <v>1484</v>
      </c>
      <c r="Z544" s="111">
        <v>118</v>
      </c>
      <c r="AG544" s="24"/>
      <c r="AH544" s="24"/>
    </row>
    <row r="545" spans="1:34" x14ac:dyDescent="0.25">
      <c r="A545" s="472" t="s">
        <v>2642</v>
      </c>
      <c r="B545" s="36" t="s">
        <v>364</v>
      </c>
      <c r="C545" s="37">
        <v>8</v>
      </c>
      <c r="D545" s="470" t="s">
        <v>494</v>
      </c>
      <c r="E545" s="37">
        <f t="shared" si="45"/>
        <v>0</v>
      </c>
      <c r="F545" s="470" t="s">
        <v>49</v>
      </c>
      <c r="G545" s="37">
        <f t="shared" si="46"/>
        <v>0</v>
      </c>
      <c r="H545" s="37" t="s">
        <v>494</v>
      </c>
      <c r="I545" s="37">
        <f t="shared" si="47"/>
        <v>0</v>
      </c>
      <c r="J545" s="37" t="s">
        <v>346</v>
      </c>
      <c r="K545" s="37">
        <f t="shared" si="48"/>
        <v>2</v>
      </c>
      <c r="L545" s="37" t="s">
        <v>494</v>
      </c>
      <c r="M545" s="37">
        <f t="shared" si="49"/>
        <v>0</v>
      </c>
      <c r="N545" s="470" t="s">
        <v>347</v>
      </c>
      <c r="O545" s="470">
        <f t="shared" si="50"/>
        <v>0</v>
      </c>
      <c r="P545" s="37" t="str">
        <f t="shared" si="51"/>
        <v>2 + 0</v>
      </c>
      <c r="Q545" s="470" t="s">
        <v>346</v>
      </c>
      <c r="R545" s="37">
        <f t="shared" si="52"/>
        <v>0</v>
      </c>
      <c r="S545" s="470" t="s">
        <v>347</v>
      </c>
      <c r="T545" s="470">
        <f t="shared" si="53"/>
        <v>0</v>
      </c>
      <c r="U545" s="470" t="s">
        <v>346</v>
      </c>
      <c r="V545" s="111">
        <f>IF(OR(F545="none",G545="V"),0,VLOOKUP(F545,'Purchased Boons'!$AR$4:$AS$27,2,FALSE))</f>
        <v>0</v>
      </c>
      <c r="W545" s="39" t="s">
        <v>1052</v>
      </c>
      <c r="X545" s="37" t="s">
        <v>2646</v>
      </c>
      <c r="Y545" s="37" t="s">
        <v>1484</v>
      </c>
      <c r="Z545" s="111">
        <v>118</v>
      </c>
      <c r="AG545" s="24"/>
      <c r="AH545" s="24"/>
    </row>
    <row r="546" spans="1:34" x14ac:dyDescent="0.25">
      <c r="A546" s="472" t="s">
        <v>2643</v>
      </c>
      <c r="B546" s="36" t="s">
        <v>365</v>
      </c>
      <c r="C546" s="37">
        <v>8</v>
      </c>
      <c r="D546" s="470" t="s">
        <v>494</v>
      </c>
      <c r="E546" s="37">
        <f t="shared" si="45"/>
        <v>0</v>
      </c>
      <c r="F546" s="470" t="s">
        <v>49</v>
      </c>
      <c r="G546" s="37">
        <f t="shared" si="46"/>
        <v>0</v>
      </c>
      <c r="H546" s="37" t="s">
        <v>494</v>
      </c>
      <c r="I546" s="37">
        <f t="shared" si="47"/>
        <v>0</v>
      </c>
      <c r="J546" s="37" t="s">
        <v>346</v>
      </c>
      <c r="K546" s="37">
        <f t="shared" si="48"/>
        <v>2</v>
      </c>
      <c r="L546" s="37" t="s">
        <v>494</v>
      </c>
      <c r="M546" s="37">
        <f t="shared" si="49"/>
        <v>0</v>
      </c>
      <c r="N546" s="470" t="s">
        <v>347</v>
      </c>
      <c r="O546" s="470">
        <f t="shared" si="50"/>
        <v>0</v>
      </c>
      <c r="P546" s="37" t="str">
        <f t="shared" si="51"/>
        <v>2 + 0</v>
      </c>
      <c r="Q546" s="470" t="s">
        <v>346</v>
      </c>
      <c r="R546" s="37">
        <f t="shared" si="52"/>
        <v>0</v>
      </c>
      <c r="S546" s="470" t="s">
        <v>347</v>
      </c>
      <c r="T546" s="470">
        <f t="shared" si="53"/>
        <v>0</v>
      </c>
      <c r="U546" s="470" t="s">
        <v>346</v>
      </c>
      <c r="V546" s="111">
        <f>IF(OR(F546="none",G546="V"),0,VLOOKUP(F546,'Purchased Boons'!$AR$4:$AS$27,2,FALSE))</f>
        <v>0</v>
      </c>
      <c r="W546" s="39" t="s">
        <v>1052</v>
      </c>
      <c r="X546" s="37" t="s">
        <v>2646</v>
      </c>
      <c r="Y546" s="37" t="s">
        <v>1484</v>
      </c>
      <c r="Z546" s="111">
        <v>118</v>
      </c>
      <c r="AG546" s="24"/>
      <c r="AH546" s="24"/>
    </row>
    <row r="547" spans="1:34" x14ac:dyDescent="0.25">
      <c r="A547" s="472" t="s">
        <v>2644</v>
      </c>
      <c r="B547" s="36" t="s">
        <v>366</v>
      </c>
      <c r="C547" s="37">
        <v>8</v>
      </c>
      <c r="D547" s="470" t="s">
        <v>494</v>
      </c>
      <c r="E547" s="37">
        <f t="shared" si="45"/>
        <v>0</v>
      </c>
      <c r="F547" s="470" t="s">
        <v>49</v>
      </c>
      <c r="G547" s="37">
        <f t="shared" si="46"/>
        <v>0</v>
      </c>
      <c r="H547" s="37" t="s">
        <v>494</v>
      </c>
      <c r="I547" s="37">
        <f t="shared" si="47"/>
        <v>0</v>
      </c>
      <c r="J547" s="37" t="s">
        <v>346</v>
      </c>
      <c r="K547" s="37">
        <f t="shared" si="48"/>
        <v>2</v>
      </c>
      <c r="L547" s="37" t="s">
        <v>494</v>
      </c>
      <c r="M547" s="37">
        <f t="shared" si="49"/>
        <v>0</v>
      </c>
      <c r="N547" s="470" t="s">
        <v>347</v>
      </c>
      <c r="O547" s="470">
        <f t="shared" si="50"/>
        <v>0</v>
      </c>
      <c r="P547" s="37" t="str">
        <f t="shared" si="51"/>
        <v>2 + 0</v>
      </c>
      <c r="Q547" s="470" t="s">
        <v>346</v>
      </c>
      <c r="R547" s="37">
        <f t="shared" si="52"/>
        <v>0</v>
      </c>
      <c r="S547" s="470" t="s">
        <v>347</v>
      </c>
      <c r="T547" s="470">
        <f t="shared" si="53"/>
        <v>0</v>
      </c>
      <c r="U547" s="470" t="s">
        <v>346</v>
      </c>
      <c r="V547" s="111">
        <f>IF(OR(F547="none",G547="V"),0,VLOOKUP(F547,'Purchased Boons'!$AR$4:$AS$27,2,FALSE))</f>
        <v>0</v>
      </c>
      <c r="W547" s="39" t="s">
        <v>1052</v>
      </c>
      <c r="X547" s="37" t="s">
        <v>2646</v>
      </c>
      <c r="Y547" s="37" t="s">
        <v>1484</v>
      </c>
      <c r="Z547" s="111">
        <v>118</v>
      </c>
      <c r="AG547" s="24"/>
      <c r="AH547" s="24"/>
    </row>
    <row r="548" spans="1:34" x14ac:dyDescent="0.25">
      <c r="A548" s="472" t="s">
        <v>2645</v>
      </c>
      <c r="B548" s="36" t="s">
        <v>367</v>
      </c>
      <c r="C548" s="37">
        <v>8</v>
      </c>
      <c r="D548" s="470" t="s">
        <v>494</v>
      </c>
      <c r="E548" s="37">
        <f t="shared" si="45"/>
        <v>0</v>
      </c>
      <c r="F548" s="470" t="s">
        <v>49</v>
      </c>
      <c r="G548" s="37">
        <f t="shared" si="46"/>
        <v>0</v>
      </c>
      <c r="H548" s="37" t="s">
        <v>494</v>
      </c>
      <c r="I548" s="37">
        <f t="shared" si="47"/>
        <v>0</v>
      </c>
      <c r="J548" s="37" t="s">
        <v>346</v>
      </c>
      <c r="K548" s="37">
        <f t="shared" si="48"/>
        <v>2</v>
      </c>
      <c r="L548" s="37" t="s">
        <v>494</v>
      </c>
      <c r="M548" s="37">
        <f t="shared" si="49"/>
        <v>0</v>
      </c>
      <c r="N548" s="470" t="s">
        <v>347</v>
      </c>
      <c r="O548" s="470">
        <f t="shared" si="50"/>
        <v>0</v>
      </c>
      <c r="P548" s="37" t="str">
        <f t="shared" si="51"/>
        <v>2 + 0</v>
      </c>
      <c r="Q548" s="470" t="s">
        <v>346</v>
      </c>
      <c r="R548" s="37">
        <f t="shared" si="52"/>
        <v>0</v>
      </c>
      <c r="S548" s="470" t="s">
        <v>347</v>
      </c>
      <c r="T548" s="470">
        <f t="shared" si="53"/>
        <v>0</v>
      </c>
      <c r="U548" s="470" t="s">
        <v>346</v>
      </c>
      <c r="V548" s="111">
        <f>IF(OR(F548="none",G548="V"),0,VLOOKUP(F548,'Purchased Boons'!$AR$4:$AS$27,2,FALSE))</f>
        <v>0</v>
      </c>
      <c r="W548" s="39" t="s">
        <v>1052</v>
      </c>
      <c r="X548" s="37" t="s">
        <v>2646</v>
      </c>
      <c r="Y548" s="37" t="s">
        <v>1484</v>
      </c>
      <c r="Z548" s="111">
        <v>118</v>
      </c>
      <c r="AG548" s="24"/>
      <c r="AH548" s="24"/>
    </row>
    <row r="549" spans="1:34" x14ac:dyDescent="0.25">
      <c r="A549" s="473" t="s">
        <v>1507</v>
      </c>
      <c r="B549" s="39" t="s">
        <v>689</v>
      </c>
      <c r="C549" s="469">
        <v>9</v>
      </c>
      <c r="D549" s="470" t="s">
        <v>21</v>
      </c>
      <c r="E549" s="37">
        <f t="shared" si="45"/>
        <v>1</v>
      </c>
      <c r="F549" s="470" t="s">
        <v>51</v>
      </c>
      <c r="G549" s="37">
        <f t="shared" si="46"/>
        <v>0</v>
      </c>
      <c r="H549" s="37" t="s">
        <v>494</v>
      </c>
      <c r="I549" s="37">
        <f t="shared" si="47"/>
        <v>0</v>
      </c>
      <c r="J549" s="37" t="s">
        <v>347</v>
      </c>
      <c r="K549" s="37">
        <f t="shared" si="48"/>
        <v>0</v>
      </c>
      <c r="L549" s="37" t="s">
        <v>494</v>
      </c>
      <c r="M549" s="37">
        <f t="shared" si="49"/>
        <v>0</v>
      </c>
      <c r="N549" s="470" t="s">
        <v>347</v>
      </c>
      <c r="O549" s="470">
        <f t="shared" si="50"/>
        <v>0</v>
      </c>
      <c r="P549" s="37" t="str">
        <f t="shared" si="51"/>
        <v>1 + 0</v>
      </c>
      <c r="Q549" s="470" t="s">
        <v>346</v>
      </c>
      <c r="R549" s="37">
        <f t="shared" si="52"/>
        <v>0</v>
      </c>
      <c r="S549" s="470" t="s">
        <v>347</v>
      </c>
      <c r="T549" s="470">
        <f t="shared" si="53"/>
        <v>0</v>
      </c>
      <c r="U549" s="470" t="s">
        <v>346</v>
      </c>
      <c r="V549" s="111">
        <f>IF(OR(F549="none",G549="V"),0,VLOOKUP(F549,'Purchased Boons'!$AR$4:$AS$27,2,FALSE))</f>
        <v>0</v>
      </c>
      <c r="W549" s="39" t="s">
        <v>1052</v>
      </c>
      <c r="X549" s="37" t="s">
        <v>1554</v>
      </c>
      <c r="Y549" s="37" t="s">
        <v>1484</v>
      </c>
      <c r="Z549" s="111">
        <v>43</v>
      </c>
      <c r="AG549" s="24"/>
      <c r="AH549" s="24"/>
    </row>
    <row r="550" spans="1:34" x14ac:dyDescent="0.25">
      <c r="A550" s="468" t="s">
        <v>1317</v>
      </c>
      <c r="B550" s="36" t="s">
        <v>166</v>
      </c>
      <c r="C550" s="469">
        <v>10</v>
      </c>
      <c r="D550" s="470" t="s">
        <v>494</v>
      </c>
      <c r="E550" s="37">
        <f t="shared" si="45"/>
        <v>0</v>
      </c>
      <c r="F550" s="470" t="s">
        <v>494</v>
      </c>
      <c r="G550" s="37">
        <f t="shared" si="46"/>
        <v>0</v>
      </c>
      <c r="H550" s="37" t="s">
        <v>494</v>
      </c>
      <c r="I550" s="37">
        <f t="shared" si="47"/>
        <v>0</v>
      </c>
      <c r="J550" s="37" t="s">
        <v>347</v>
      </c>
      <c r="K550" s="37">
        <f t="shared" si="48"/>
        <v>0</v>
      </c>
      <c r="L550" s="37" t="s">
        <v>167</v>
      </c>
      <c r="M550" s="37">
        <f t="shared" si="49"/>
        <v>0</v>
      </c>
      <c r="N550" s="470" t="s">
        <v>347</v>
      </c>
      <c r="O550" s="470">
        <f t="shared" si="50"/>
        <v>0</v>
      </c>
      <c r="P550" s="37" t="str">
        <f t="shared" si="51"/>
        <v>0 + 0</v>
      </c>
      <c r="Q550" s="470" t="s">
        <v>346</v>
      </c>
      <c r="R550" s="37">
        <f t="shared" si="52"/>
        <v>0</v>
      </c>
      <c r="S550" s="470" t="s">
        <v>347</v>
      </c>
      <c r="T550" s="470">
        <f t="shared" si="53"/>
        <v>0</v>
      </c>
      <c r="U550" s="470" t="s">
        <v>346</v>
      </c>
      <c r="V550" s="111">
        <f>IF(OR(F550="none",G550="V"),0,VLOOKUP(F550,'Purchased Boons'!$AR$4:$AS$27,2,FALSE))</f>
        <v>0</v>
      </c>
      <c r="W550" s="39" t="s">
        <v>1601</v>
      </c>
      <c r="X550" s="37" t="s">
        <v>167</v>
      </c>
      <c r="Y550" s="37" t="s">
        <v>5</v>
      </c>
      <c r="Z550" s="111">
        <v>107</v>
      </c>
      <c r="AG550" s="24"/>
      <c r="AH550" s="24"/>
    </row>
    <row r="551" spans="1:34" x14ac:dyDescent="0.25">
      <c r="A551" s="473" t="s">
        <v>1504</v>
      </c>
      <c r="B551" s="39" t="s">
        <v>689</v>
      </c>
      <c r="C551" s="469">
        <v>6</v>
      </c>
      <c r="D551" s="470" t="s">
        <v>17</v>
      </c>
      <c r="E551" s="37">
        <f t="shared" si="45"/>
        <v>1</v>
      </c>
      <c r="F551" s="470" t="s">
        <v>53</v>
      </c>
      <c r="G551" s="37">
        <f t="shared" si="46"/>
        <v>0</v>
      </c>
      <c r="H551" s="37" t="s">
        <v>494</v>
      </c>
      <c r="I551" s="37">
        <f t="shared" si="47"/>
        <v>0</v>
      </c>
      <c r="J551" s="37" t="s">
        <v>347</v>
      </c>
      <c r="K551" s="37">
        <f t="shared" si="48"/>
        <v>0</v>
      </c>
      <c r="L551" s="37" t="s">
        <v>494</v>
      </c>
      <c r="M551" s="37">
        <f t="shared" si="49"/>
        <v>0</v>
      </c>
      <c r="N551" s="470" t="s">
        <v>347</v>
      </c>
      <c r="O551" s="470">
        <f t="shared" si="50"/>
        <v>0</v>
      </c>
      <c r="P551" s="37" t="str">
        <f t="shared" si="51"/>
        <v>1 + 0</v>
      </c>
      <c r="Q551" s="470" t="s">
        <v>346</v>
      </c>
      <c r="R551" s="37">
        <f t="shared" si="52"/>
        <v>0</v>
      </c>
      <c r="S551" s="470" t="s">
        <v>347</v>
      </c>
      <c r="T551" s="470">
        <f t="shared" si="53"/>
        <v>0</v>
      </c>
      <c r="U551" s="470" t="s">
        <v>346</v>
      </c>
      <c r="V551" s="111">
        <f>IF(OR(F551="none",G551="V"),0,VLOOKUP(F551,'Purchased Boons'!$AR$4:$AS$27,2,FALSE))</f>
        <v>0</v>
      </c>
      <c r="W551" s="39" t="s">
        <v>1607</v>
      </c>
      <c r="X551" s="37" t="s">
        <v>1713</v>
      </c>
      <c r="Y551" s="37" t="s">
        <v>1484</v>
      </c>
      <c r="Z551" s="111">
        <v>41</v>
      </c>
      <c r="AG551" s="24"/>
      <c r="AH551" s="24"/>
    </row>
    <row r="552" spans="1:34" x14ac:dyDescent="0.25">
      <c r="A552" s="468" t="s">
        <v>1233</v>
      </c>
      <c r="B552" s="36" t="s">
        <v>371</v>
      </c>
      <c r="C552" s="469">
        <v>6</v>
      </c>
      <c r="D552" s="470" t="s">
        <v>17</v>
      </c>
      <c r="E552" s="37">
        <f t="shared" ref="E552:E615" si="54">VLOOKUP(D552,$AC$2:$AD$12,2,FALSE)</f>
        <v>1</v>
      </c>
      <c r="F552" s="470" t="s">
        <v>41</v>
      </c>
      <c r="G552" s="37">
        <f t="shared" ref="G552:G615" si="55">VLOOKUP(F552,$AF$2:$AH$27,2,FALSE)</f>
        <v>0</v>
      </c>
      <c r="H552" s="37" t="s">
        <v>494</v>
      </c>
      <c r="I552" s="37">
        <f t="shared" ref="I552:I615" si="56">VLOOKUP(H552,$AI$2:$AJ$42,2,FALSE)</f>
        <v>0</v>
      </c>
      <c r="J552" s="37" t="s">
        <v>347</v>
      </c>
      <c r="K552" s="37">
        <f t="shared" ref="K552:K615" si="57">IF(J552="Yes",$AJ$56,0)</f>
        <v>0</v>
      </c>
      <c r="L552" s="37" t="s">
        <v>494</v>
      </c>
      <c r="M552" s="37">
        <f t="shared" ref="M552:M615" si="58">VLOOKUP(L552,$AI$43:$AJ$55,2,FALSE)</f>
        <v>0</v>
      </c>
      <c r="N552" s="470" t="s">
        <v>347</v>
      </c>
      <c r="O552" s="470">
        <f t="shared" ref="O552:O615" si="59">IF(N552="Yes",$AJ$57,0)</f>
        <v>0</v>
      </c>
      <c r="P552" s="37" t="str">
        <f t="shared" ref="P552:P611" si="60">IF(OR(D552="Varies",F552="Varies",H552="Varies",L552="Varies"),"Varies",IF(AND(D552="None",F552="None",H552="None",L552="None",J552="No",N552="No"),"None",CONCATENATE(E552+G552+V552+I552+K552+M552+O552," + ",R552+T552)))</f>
        <v>1 + 0</v>
      </c>
      <c r="Q552" s="470" t="s">
        <v>346</v>
      </c>
      <c r="R552" s="37">
        <f t="shared" ref="R552:R615" si="61">IF(Q552="Yes",VLOOKUP(D552,$AC$2:$AE$12,3,FALSE),0)</f>
        <v>0</v>
      </c>
      <c r="S552" s="470" t="s">
        <v>347</v>
      </c>
      <c r="T552" s="470">
        <f t="shared" ref="T552:T615" si="62">IF(S552="Yes",$AJ$57,0)</f>
        <v>0</v>
      </c>
      <c r="U552" s="470" t="s">
        <v>346</v>
      </c>
      <c r="V552" s="111">
        <f>IF(OR(F552="none",G552="V"),0,VLOOKUP(F552,'Purchased Boons'!$AR$4:$AS$27,2,FALSE))</f>
        <v>0</v>
      </c>
      <c r="W552" s="39" t="s">
        <v>1619</v>
      </c>
      <c r="X552" s="37" t="s">
        <v>1599</v>
      </c>
      <c r="Y552" s="37" t="s">
        <v>1045</v>
      </c>
      <c r="Z552" s="111">
        <v>98</v>
      </c>
      <c r="AG552" s="24"/>
      <c r="AH552" s="24"/>
    </row>
    <row r="553" spans="1:34" x14ac:dyDescent="0.25">
      <c r="A553" s="468" t="s">
        <v>1232</v>
      </c>
      <c r="B553" s="36" t="s">
        <v>371</v>
      </c>
      <c r="C553" s="469">
        <v>5</v>
      </c>
      <c r="D553" s="470" t="s">
        <v>16</v>
      </c>
      <c r="E553" s="37">
        <f t="shared" si="54"/>
        <v>1</v>
      </c>
      <c r="F553" s="470" t="s">
        <v>40</v>
      </c>
      <c r="G553" s="37">
        <f t="shared" si="55"/>
        <v>0</v>
      </c>
      <c r="H553" s="37" t="s">
        <v>494</v>
      </c>
      <c r="I553" s="37">
        <f t="shared" si="56"/>
        <v>0</v>
      </c>
      <c r="J553" s="37" t="s">
        <v>347</v>
      </c>
      <c r="K553" s="37">
        <f t="shared" si="57"/>
        <v>0</v>
      </c>
      <c r="L553" s="37" t="s">
        <v>494</v>
      </c>
      <c r="M553" s="37">
        <f t="shared" si="58"/>
        <v>0</v>
      </c>
      <c r="N553" s="470" t="s">
        <v>347</v>
      </c>
      <c r="O553" s="470">
        <f t="shared" si="59"/>
        <v>0</v>
      </c>
      <c r="P553" s="37" t="str">
        <f t="shared" si="60"/>
        <v>1 + 0</v>
      </c>
      <c r="Q553" s="470" t="s">
        <v>346</v>
      </c>
      <c r="R553" s="37">
        <f t="shared" si="61"/>
        <v>0</v>
      </c>
      <c r="S553" s="470" t="s">
        <v>347</v>
      </c>
      <c r="T553" s="470">
        <f t="shared" si="62"/>
        <v>0</v>
      </c>
      <c r="U553" s="470" t="s">
        <v>346</v>
      </c>
      <c r="V553" s="111">
        <f>IF(OR(F553="none",G553="V"),0,VLOOKUP(F553,'Purchased Boons'!$AR$4:$AS$27,2,FALSE))</f>
        <v>0</v>
      </c>
      <c r="W553" s="39" t="s">
        <v>1602</v>
      </c>
      <c r="X553" s="37" t="s">
        <v>1526</v>
      </c>
      <c r="Y553" s="37" t="s">
        <v>1045</v>
      </c>
      <c r="Z553" s="111">
        <v>98</v>
      </c>
      <c r="AG553" s="24"/>
      <c r="AH553" s="24"/>
    </row>
    <row r="554" spans="1:34" x14ac:dyDescent="0.25">
      <c r="A554" s="468" t="s">
        <v>1231</v>
      </c>
      <c r="B554" s="36" t="s">
        <v>371</v>
      </c>
      <c r="C554" s="469">
        <v>4</v>
      </c>
      <c r="D554" s="470" t="s">
        <v>20</v>
      </c>
      <c r="E554" s="37">
        <f t="shared" si="54"/>
        <v>1</v>
      </c>
      <c r="F554" s="470" t="s">
        <v>49</v>
      </c>
      <c r="G554" s="37">
        <f t="shared" si="55"/>
        <v>0</v>
      </c>
      <c r="H554" s="37" t="s">
        <v>494</v>
      </c>
      <c r="I554" s="37">
        <f t="shared" si="56"/>
        <v>0</v>
      </c>
      <c r="J554" s="37" t="s">
        <v>347</v>
      </c>
      <c r="K554" s="37">
        <f t="shared" si="57"/>
        <v>0</v>
      </c>
      <c r="L554" s="37" t="s">
        <v>494</v>
      </c>
      <c r="M554" s="37">
        <f t="shared" si="58"/>
        <v>0</v>
      </c>
      <c r="N554" s="470" t="s">
        <v>347</v>
      </c>
      <c r="O554" s="470">
        <f t="shared" si="59"/>
        <v>0</v>
      </c>
      <c r="P554" s="37" t="str">
        <f t="shared" si="60"/>
        <v>1 + 0</v>
      </c>
      <c r="Q554" s="470" t="s">
        <v>346</v>
      </c>
      <c r="R554" s="37">
        <f t="shared" si="61"/>
        <v>0</v>
      </c>
      <c r="S554" s="470" t="s">
        <v>347</v>
      </c>
      <c r="T554" s="470">
        <f t="shared" si="62"/>
        <v>0</v>
      </c>
      <c r="U554" s="470" t="s">
        <v>346</v>
      </c>
      <c r="V554" s="111">
        <f>IF(OR(F554="none",G554="V"),0,VLOOKUP(F554,'Purchased Boons'!$AR$4:$AS$27,2,FALSE))</f>
        <v>0</v>
      </c>
      <c r="W554" s="39" t="s">
        <v>1050</v>
      </c>
      <c r="X554" s="37" t="s">
        <v>1596</v>
      </c>
      <c r="Y554" s="37" t="s">
        <v>1045</v>
      </c>
      <c r="Z554" s="111">
        <v>98</v>
      </c>
      <c r="AG554" s="24"/>
      <c r="AH554" s="24"/>
    </row>
    <row r="555" spans="1:34" x14ac:dyDescent="0.25">
      <c r="A555" s="468" t="s">
        <v>1379</v>
      </c>
      <c r="B555" s="36" t="s">
        <v>352</v>
      </c>
      <c r="C555" s="469">
        <v>3</v>
      </c>
      <c r="D555" s="470" t="s">
        <v>14</v>
      </c>
      <c r="E555" s="37">
        <f t="shared" si="54"/>
        <v>1</v>
      </c>
      <c r="F555" s="470" t="s">
        <v>36</v>
      </c>
      <c r="G555" s="37">
        <f t="shared" si="55"/>
        <v>0</v>
      </c>
      <c r="H555" s="37" t="s">
        <v>494</v>
      </c>
      <c r="I555" s="37">
        <f t="shared" si="56"/>
        <v>0</v>
      </c>
      <c r="J555" s="37" t="s">
        <v>347</v>
      </c>
      <c r="K555" s="37">
        <f t="shared" si="57"/>
        <v>0</v>
      </c>
      <c r="L555" s="37" t="s">
        <v>494</v>
      </c>
      <c r="M555" s="37">
        <f t="shared" si="58"/>
        <v>0</v>
      </c>
      <c r="N555" s="470" t="s">
        <v>347</v>
      </c>
      <c r="O555" s="470">
        <f t="shared" si="59"/>
        <v>0</v>
      </c>
      <c r="P555" s="37" t="str">
        <f t="shared" si="60"/>
        <v>1 + 0</v>
      </c>
      <c r="Q555" s="470" t="s">
        <v>346</v>
      </c>
      <c r="R555" s="37">
        <f t="shared" si="61"/>
        <v>0</v>
      </c>
      <c r="S555" s="470" t="s">
        <v>347</v>
      </c>
      <c r="T555" s="470">
        <f t="shared" si="62"/>
        <v>0</v>
      </c>
      <c r="U555" s="470" t="s">
        <v>346</v>
      </c>
      <c r="V555" s="111">
        <f>IF(OR(F555="none",G555="V"),0,VLOOKUP(F555,'Purchased Boons'!$AR$4:$AS$27,2,FALSE))</f>
        <v>0</v>
      </c>
      <c r="W555" s="39" t="s">
        <v>1602</v>
      </c>
      <c r="X555" s="37" t="s">
        <v>1519</v>
      </c>
      <c r="Y555" s="37" t="s">
        <v>1046</v>
      </c>
      <c r="Z555" s="111">
        <v>71</v>
      </c>
      <c r="AG555" s="24"/>
      <c r="AH555" s="24"/>
    </row>
    <row r="556" spans="1:34" x14ac:dyDescent="0.25">
      <c r="A556" s="468" t="s">
        <v>1284</v>
      </c>
      <c r="B556" s="36" t="s">
        <v>361</v>
      </c>
      <c r="C556" s="469">
        <v>10</v>
      </c>
      <c r="D556" s="470" t="s">
        <v>13</v>
      </c>
      <c r="E556" s="37">
        <f t="shared" si="54"/>
        <v>1</v>
      </c>
      <c r="F556" s="470" t="s">
        <v>49</v>
      </c>
      <c r="G556" s="37">
        <f t="shared" si="55"/>
        <v>0</v>
      </c>
      <c r="H556" s="37" t="s">
        <v>494</v>
      </c>
      <c r="I556" s="37">
        <f t="shared" si="56"/>
        <v>0</v>
      </c>
      <c r="J556" s="37" t="s">
        <v>347</v>
      </c>
      <c r="K556" s="37">
        <f t="shared" si="57"/>
        <v>0</v>
      </c>
      <c r="L556" s="37" t="s">
        <v>494</v>
      </c>
      <c r="M556" s="37">
        <f t="shared" si="58"/>
        <v>0</v>
      </c>
      <c r="N556" s="470" t="s">
        <v>347</v>
      </c>
      <c r="O556" s="470">
        <f t="shared" si="59"/>
        <v>0</v>
      </c>
      <c r="P556" s="37" t="str">
        <f t="shared" si="60"/>
        <v>1 + 0</v>
      </c>
      <c r="Q556" s="470" t="s">
        <v>346</v>
      </c>
      <c r="R556" s="37">
        <f t="shared" si="61"/>
        <v>0</v>
      </c>
      <c r="S556" s="470" t="s">
        <v>347</v>
      </c>
      <c r="T556" s="470">
        <f t="shared" si="62"/>
        <v>0</v>
      </c>
      <c r="U556" s="470" t="s">
        <v>346</v>
      </c>
      <c r="V556" s="111">
        <f>IF(OR(F556="none",G556="V"),0,VLOOKUP(F556,'Purchased Boons'!$AR$4:$AS$27,2,FALSE))</f>
        <v>0</v>
      </c>
      <c r="W556" s="39" t="s">
        <v>1629</v>
      </c>
      <c r="X556" s="37" t="s">
        <v>1600</v>
      </c>
      <c r="Y556" s="37" t="s">
        <v>5</v>
      </c>
      <c r="Z556" s="111">
        <v>96</v>
      </c>
      <c r="AG556" s="24"/>
      <c r="AH556" s="24"/>
    </row>
    <row r="557" spans="1:34" x14ac:dyDescent="0.25">
      <c r="A557" s="468" t="s">
        <v>1082</v>
      </c>
      <c r="B557" s="36" t="s">
        <v>358</v>
      </c>
      <c r="C557" s="469">
        <v>1</v>
      </c>
      <c r="D557" s="470" t="s">
        <v>494</v>
      </c>
      <c r="E557" s="37">
        <f t="shared" si="54"/>
        <v>0</v>
      </c>
      <c r="F557" s="470" t="s">
        <v>494</v>
      </c>
      <c r="G557" s="37">
        <f t="shared" si="55"/>
        <v>0</v>
      </c>
      <c r="H557" s="37" t="s">
        <v>494</v>
      </c>
      <c r="I557" s="37">
        <f t="shared" si="56"/>
        <v>0</v>
      </c>
      <c r="J557" s="37" t="s">
        <v>347</v>
      </c>
      <c r="K557" s="37">
        <f t="shared" si="57"/>
        <v>0</v>
      </c>
      <c r="L557" s="37" t="s">
        <v>494</v>
      </c>
      <c r="M557" s="37">
        <f t="shared" si="58"/>
        <v>0</v>
      </c>
      <c r="N557" s="470" t="s">
        <v>347</v>
      </c>
      <c r="O557" s="470">
        <f t="shared" si="59"/>
        <v>0</v>
      </c>
      <c r="P557" s="37" t="str">
        <f t="shared" si="60"/>
        <v>None</v>
      </c>
      <c r="Q557" s="470" t="s">
        <v>346</v>
      </c>
      <c r="R557" s="37">
        <f t="shared" si="61"/>
        <v>0</v>
      </c>
      <c r="S557" s="470" t="s">
        <v>347</v>
      </c>
      <c r="T557" s="470">
        <f t="shared" si="62"/>
        <v>0</v>
      </c>
      <c r="U557" s="470" t="s">
        <v>346</v>
      </c>
      <c r="V557" s="111">
        <f>IF(OR(F557="none",G557="V"),0,VLOOKUP(F557,'Purchased Boons'!$AR$4:$AS$27,2,FALSE))</f>
        <v>0</v>
      </c>
      <c r="W557" s="39" t="s">
        <v>1764</v>
      </c>
      <c r="X557" s="37" t="s">
        <v>1764</v>
      </c>
      <c r="Y557" s="37" t="s">
        <v>133</v>
      </c>
      <c r="Z557" s="111">
        <v>142</v>
      </c>
      <c r="AG557" s="24"/>
      <c r="AH557" s="24"/>
    </row>
    <row r="558" spans="1:34" x14ac:dyDescent="0.25">
      <c r="A558" s="468" t="s">
        <v>1447</v>
      </c>
      <c r="B558" s="36" t="s">
        <v>181</v>
      </c>
      <c r="C558" s="469">
        <v>6</v>
      </c>
      <c r="D558" s="470" t="s">
        <v>14</v>
      </c>
      <c r="E558" s="37">
        <f t="shared" si="54"/>
        <v>1</v>
      </c>
      <c r="F558" s="470" t="s">
        <v>42</v>
      </c>
      <c r="G558" s="37">
        <f t="shared" si="55"/>
        <v>0</v>
      </c>
      <c r="H558" s="37" t="s">
        <v>494</v>
      </c>
      <c r="I558" s="37">
        <f t="shared" si="56"/>
        <v>0</v>
      </c>
      <c r="J558" s="37" t="s">
        <v>347</v>
      </c>
      <c r="K558" s="37">
        <f t="shared" si="57"/>
        <v>0</v>
      </c>
      <c r="L558" s="37" t="s">
        <v>494</v>
      </c>
      <c r="M558" s="37">
        <f t="shared" si="58"/>
        <v>0</v>
      </c>
      <c r="N558" s="470" t="s">
        <v>347</v>
      </c>
      <c r="O558" s="470">
        <f t="shared" si="59"/>
        <v>0</v>
      </c>
      <c r="P558" s="37" t="str">
        <f t="shared" si="60"/>
        <v>1 + 0</v>
      </c>
      <c r="Q558" s="470" t="s">
        <v>346</v>
      </c>
      <c r="R558" s="37">
        <f t="shared" si="61"/>
        <v>0</v>
      </c>
      <c r="S558" s="470" t="s">
        <v>347</v>
      </c>
      <c r="T558" s="470">
        <f t="shared" si="62"/>
        <v>0</v>
      </c>
      <c r="U558" s="470" t="s">
        <v>346</v>
      </c>
      <c r="V558" s="111">
        <f>IF(OR(F558="none",G558="V"),0,VLOOKUP(F558,'Purchased Boons'!$AR$4:$AS$27,2,FALSE))</f>
        <v>0</v>
      </c>
      <c r="W558" s="39" t="s">
        <v>1063</v>
      </c>
      <c r="X558" s="37" t="s">
        <v>1530</v>
      </c>
      <c r="Y558" s="37" t="s">
        <v>1046</v>
      </c>
      <c r="Z558" s="111">
        <v>229</v>
      </c>
      <c r="AG558" s="24"/>
      <c r="AH558" s="24"/>
    </row>
    <row r="559" spans="1:34" x14ac:dyDescent="0.25">
      <c r="A559" s="468" t="s">
        <v>1084</v>
      </c>
      <c r="B559" s="36" t="s">
        <v>358</v>
      </c>
      <c r="C559" s="469">
        <v>3</v>
      </c>
      <c r="D559" s="470" t="s">
        <v>19</v>
      </c>
      <c r="E559" s="37">
        <f t="shared" si="54"/>
        <v>1</v>
      </c>
      <c r="F559" s="470" t="s">
        <v>38</v>
      </c>
      <c r="G559" s="37">
        <f t="shared" si="55"/>
        <v>0</v>
      </c>
      <c r="H559" s="37" t="s">
        <v>494</v>
      </c>
      <c r="I559" s="37">
        <f t="shared" si="56"/>
        <v>0</v>
      </c>
      <c r="J559" s="37" t="s">
        <v>347</v>
      </c>
      <c r="K559" s="37">
        <f t="shared" si="57"/>
        <v>0</v>
      </c>
      <c r="L559" s="37" t="s">
        <v>494</v>
      </c>
      <c r="M559" s="37">
        <f t="shared" si="58"/>
        <v>0</v>
      </c>
      <c r="N559" s="470" t="s">
        <v>347</v>
      </c>
      <c r="O559" s="470">
        <f t="shared" si="59"/>
        <v>0</v>
      </c>
      <c r="P559" s="37" t="str">
        <f t="shared" si="60"/>
        <v>1 + 0</v>
      </c>
      <c r="Q559" s="470" t="s">
        <v>346</v>
      </c>
      <c r="R559" s="37">
        <f t="shared" si="61"/>
        <v>0</v>
      </c>
      <c r="S559" s="470" t="s">
        <v>347</v>
      </c>
      <c r="T559" s="470">
        <f t="shared" si="62"/>
        <v>0</v>
      </c>
      <c r="U559" s="470" t="s">
        <v>346</v>
      </c>
      <c r="V559" s="111">
        <f>IF(OR(F559="none",G559="V"),0,VLOOKUP(F559,'Purchased Boons'!$AR$4:$AS$27,2,FALSE))</f>
        <v>0</v>
      </c>
      <c r="W559" s="39" t="s">
        <v>1050</v>
      </c>
      <c r="X559" s="37" t="s">
        <v>1527</v>
      </c>
      <c r="Y559" s="37" t="s">
        <v>133</v>
      </c>
      <c r="Z559" s="111">
        <v>143</v>
      </c>
      <c r="AG559" s="24"/>
      <c r="AH559" s="24"/>
    </row>
    <row r="560" spans="1:34" x14ac:dyDescent="0.25">
      <c r="A560" s="468" t="s">
        <v>1421</v>
      </c>
      <c r="B560" s="36" t="s">
        <v>168</v>
      </c>
      <c r="C560" s="469">
        <v>1</v>
      </c>
      <c r="D560" s="470" t="s">
        <v>494</v>
      </c>
      <c r="E560" s="37">
        <f t="shared" si="54"/>
        <v>0</v>
      </c>
      <c r="F560" s="470" t="s">
        <v>494</v>
      </c>
      <c r="G560" s="37">
        <f t="shared" si="55"/>
        <v>0</v>
      </c>
      <c r="H560" s="37" t="s">
        <v>494</v>
      </c>
      <c r="I560" s="37">
        <f t="shared" si="56"/>
        <v>0</v>
      </c>
      <c r="J560" s="37" t="s">
        <v>347</v>
      </c>
      <c r="K560" s="37">
        <f t="shared" si="57"/>
        <v>0</v>
      </c>
      <c r="L560" s="37" t="s">
        <v>494</v>
      </c>
      <c r="M560" s="37">
        <f t="shared" si="58"/>
        <v>0</v>
      </c>
      <c r="N560" s="470" t="s">
        <v>347</v>
      </c>
      <c r="O560" s="470">
        <f t="shared" si="59"/>
        <v>0</v>
      </c>
      <c r="P560" s="37" t="str">
        <f t="shared" si="60"/>
        <v>None</v>
      </c>
      <c r="Q560" s="470" t="s">
        <v>346</v>
      </c>
      <c r="R560" s="37">
        <f t="shared" si="61"/>
        <v>0</v>
      </c>
      <c r="S560" s="470" t="s">
        <v>347</v>
      </c>
      <c r="T560" s="470">
        <f t="shared" si="62"/>
        <v>0</v>
      </c>
      <c r="U560" s="470" t="s">
        <v>346</v>
      </c>
      <c r="V560" s="111">
        <f>IF(OR(F560="none",G560="V"),0,VLOOKUP(F560,'Purchased Boons'!$AR$4:$AS$27,2,FALSE))</f>
        <v>0</v>
      </c>
      <c r="W560" s="39" t="s">
        <v>1050</v>
      </c>
      <c r="X560" s="37" t="s">
        <v>494</v>
      </c>
      <c r="Y560" s="37" t="s">
        <v>1046</v>
      </c>
      <c r="Z560" s="111">
        <v>96</v>
      </c>
      <c r="AG560" s="24"/>
      <c r="AH560" s="24"/>
    </row>
    <row r="561" spans="1:34" x14ac:dyDescent="0.25">
      <c r="A561" s="468" t="s">
        <v>1423</v>
      </c>
      <c r="B561" s="36" t="s">
        <v>168</v>
      </c>
      <c r="C561" s="469">
        <v>3</v>
      </c>
      <c r="D561" s="470" t="s">
        <v>494</v>
      </c>
      <c r="E561" s="37">
        <f t="shared" si="54"/>
        <v>0</v>
      </c>
      <c r="F561" s="470" t="s">
        <v>494</v>
      </c>
      <c r="G561" s="37">
        <f t="shared" si="55"/>
        <v>0</v>
      </c>
      <c r="H561" s="37" t="s">
        <v>494</v>
      </c>
      <c r="I561" s="37">
        <f t="shared" si="56"/>
        <v>0</v>
      </c>
      <c r="J561" s="37" t="s">
        <v>347</v>
      </c>
      <c r="K561" s="37">
        <f t="shared" si="57"/>
        <v>0</v>
      </c>
      <c r="L561" s="37" t="s">
        <v>494</v>
      </c>
      <c r="M561" s="37">
        <f t="shared" si="58"/>
        <v>0</v>
      </c>
      <c r="N561" s="470" t="s">
        <v>347</v>
      </c>
      <c r="O561" s="470">
        <f t="shared" si="59"/>
        <v>0</v>
      </c>
      <c r="P561" s="37" t="str">
        <f t="shared" si="60"/>
        <v>None</v>
      </c>
      <c r="Q561" s="470" t="s">
        <v>346</v>
      </c>
      <c r="R561" s="37">
        <f t="shared" si="61"/>
        <v>0</v>
      </c>
      <c r="S561" s="470" t="s">
        <v>347</v>
      </c>
      <c r="T561" s="470">
        <f t="shared" si="62"/>
        <v>0</v>
      </c>
      <c r="U561" s="470" t="s">
        <v>346</v>
      </c>
      <c r="V561" s="111">
        <f>IF(OR(F561="none",G561="V"),0,VLOOKUP(F561,'Purchased Boons'!$AR$4:$AS$27,2,FALSE))</f>
        <v>0</v>
      </c>
      <c r="W561" s="39" t="s">
        <v>494</v>
      </c>
      <c r="X561" s="37" t="s">
        <v>494</v>
      </c>
      <c r="Y561" s="37" t="s">
        <v>1046</v>
      </c>
      <c r="Z561" s="111">
        <v>96</v>
      </c>
      <c r="AG561" s="24"/>
      <c r="AH561" s="24"/>
    </row>
    <row r="562" spans="1:34" x14ac:dyDescent="0.25">
      <c r="A562" s="468" t="s">
        <v>1444</v>
      </c>
      <c r="B562" s="36" t="s">
        <v>181</v>
      </c>
      <c r="C562" s="469">
        <v>3</v>
      </c>
      <c r="D562" s="470" t="s">
        <v>19</v>
      </c>
      <c r="E562" s="37">
        <f t="shared" si="54"/>
        <v>1</v>
      </c>
      <c r="F562" s="470" t="s">
        <v>57</v>
      </c>
      <c r="G562" s="37">
        <f t="shared" si="55"/>
        <v>0</v>
      </c>
      <c r="H562" s="37" t="s">
        <v>494</v>
      </c>
      <c r="I562" s="37">
        <f t="shared" si="56"/>
        <v>0</v>
      </c>
      <c r="J562" s="37" t="s">
        <v>347</v>
      </c>
      <c r="K562" s="37">
        <f t="shared" si="57"/>
        <v>0</v>
      </c>
      <c r="L562" s="37" t="s">
        <v>494</v>
      </c>
      <c r="M562" s="37">
        <f t="shared" si="58"/>
        <v>0</v>
      </c>
      <c r="N562" s="470" t="s">
        <v>347</v>
      </c>
      <c r="O562" s="470">
        <f t="shared" si="59"/>
        <v>0</v>
      </c>
      <c r="P562" s="37" t="str">
        <f t="shared" si="60"/>
        <v>1 + 0</v>
      </c>
      <c r="Q562" s="470" t="s">
        <v>346</v>
      </c>
      <c r="R562" s="37">
        <f t="shared" si="61"/>
        <v>0</v>
      </c>
      <c r="S562" s="470" t="s">
        <v>347</v>
      </c>
      <c r="T562" s="470">
        <f t="shared" si="62"/>
        <v>0</v>
      </c>
      <c r="U562" s="470" t="s">
        <v>346</v>
      </c>
      <c r="V562" s="111">
        <f>IF(OR(F562="none",G562="V"),0,VLOOKUP(F562,'Purchased Boons'!$AR$4:$AS$27,2,FALSE))</f>
        <v>0</v>
      </c>
      <c r="W562" s="39" t="s">
        <v>1050</v>
      </c>
      <c r="X562" s="37" t="s">
        <v>1703</v>
      </c>
      <c r="Y562" s="37" t="s">
        <v>1046</v>
      </c>
      <c r="Z562" s="111">
        <v>229</v>
      </c>
      <c r="AG562" s="24"/>
      <c r="AH562" s="24"/>
    </row>
    <row r="563" spans="1:34" x14ac:dyDescent="0.25">
      <c r="A563" s="468" t="s">
        <v>1168</v>
      </c>
      <c r="B563" s="36" t="s">
        <v>358</v>
      </c>
      <c r="C563" s="469">
        <v>5</v>
      </c>
      <c r="D563" s="470" t="s">
        <v>494</v>
      </c>
      <c r="E563" s="37">
        <f t="shared" si="54"/>
        <v>0</v>
      </c>
      <c r="F563" s="470" t="s">
        <v>494</v>
      </c>
      <c r="G563" s="37">
        <f t="shared" si="55"/>
        <v>0</v>
      </c>
      <c r="H563" s="37" t="s">
        <v>494</v>
      </c>
      <c r="I563" s="37">
        <f t="shared" si="56"/>
        <v>0</v>
      </c>
      <c r="J563" s="37" t="s">
        <v>347</v>
      </c>
      <c r="K563" s="37">
        <f t="shared" si="57"/>
        <v>0</v>
      </c>
      <c r="L563" s="37" t="s">
        <v>494</v>
      </c>
      <c r="M563" s="37">
        <f t="shared" si="58"/>
        <v>0</v>
      </c>
      <c r="N563" s="470" t="s">
        <v>347</v>
      </c>
      <c r="O563" s="470">
        <f t="shared" si="59"/>
        <v>0</v>
      </c>
      <c r="P563" s="37" t="str">
        <f t="shared" si="60"/>
        <v>None</v>
      </c>
      <c r="Q563" s="470" t="s">
        <v>346</v>
      </c>
      <c r="R563" s="37">
        <f t="shared" si="61"/>
        <v>0</v>
      </c>
      <c r="S563" s="470" t="s">
        <v>347</v>
      </c>
      <c r="T563" s="470">
        <f t="shared" si="62"/>
        <v>0</v>
      </c>
      <c r="U563" s="470" t="s">
        <v>346</v>
      </c>
      <c r="V563" s="111">
        <f>IF(OR(F563="none",G563="V"),0,VLOOKUP(F563,'Purchased Boons'!$AR$4:$AS$27,2,FALSE))</f>
        <v>0</v>
      </c>
      <c r="W563" s="39" t="s">
        <v>1050</v>
      </c>
      <c r="X563" s="37" t="s">
        <v>494</v>
      </c>
      <c r="Y563" s="37" t="s">
        <v>1045</v>
      </c>
      <c r="Z563" s="111">
        <v>78</v>
      </c>
      <c r="AG563" s="24"/>
      <c r="AH563" s="24"/>
    </row>
    <row r="564" spans="1:34" x14ac:dyDescent="0.25">
      <c r="A564" s="468" t="s">
        <v>1391</v>
      </c>
      <c r="B564" s="36" t="s">
        <v>358</v>
      </c>
      <c r="C564" s="469">
        <v>4</v>
      </c>
      <c r="D564" s="470" t="s">
        <v>494</v>
      </c>
      <c r="E564" s="37">
        <f t="shared" si="54"/>
        <v>0</v>
      </c>
      <c r="F564" s="470" t="s">
        <v>494</v>
      </c>
      <c r="G564" s="37">
        <f t="shared" si="55"/>
        <v>0</v>
      </c>
      <c r="H564" s="37" t="s">
        <v>494</v>
      </c>
      <c r="I564" s="37">
        <f t="shared" si="56"/>
        <v>0</v>
      </c>
      <c r="J564" s="37" t="s">
        <v>347</v>
      </c>
      <c r="K564" s="37">
        <f t="shared" si="57"/>
        <v>0</v>
      </c>
      <c r="L564" s="37" t="s">
        <v>494</v>
      </c>
      <c r="M564" s="37">
        <f t="shared" si="58"/>
        <v>0</v>
      </c>
      <c r="N564" s="470" t="s">
        <v>347</v>
      </c>
      <c r="O564" s="470">
        <f t="shared" si="59"/>
        <v>0</v>
      </c>
      <c r="P564" s="37" t="str">
        <f t="shared" si="60"/>
        <v>None</v>
      </c>
      <c r="Q564" s="470" t="s">
        <v>346</v>
      </c>
      <c r="R564" s="37">
        <f t="shared" si="61"/>
        <v>0</v>
      </c>
      <c r="S564" s="470" t="s">
        <v>347</v>
      </c>
      <c r="T564" s="470">
        <f t="shared" si="62"/>
        <v>0</v>
      </c>
      <c r="U564" s="470" t="s">
        <v>346</v>
      </c>
      <c r="V564" s="111">
        <f>IF(OR(F564="none",G564="V"),0,VLOOKUP(F564,'Purchased Boons'!$AR$4:$AS$27,2,FALSE))</f>
        <v>0</v>
      </c>
      <c r="W564" s="39" t="s">
        <v>1050</v>
      </c>
      <c r="X564" s="37" t="s">
        <v>494</v>
      </c>
      <c r="Y564" s="37" t="s">
        <v>1046</v>
      </c>
      <c r="Z564" s="111">
        <v>74</v>
      </c>
      <c r="AG564" s="24"/>
      <c r="AH564" s="24"/>
    </row>
    <row r="565" spans="1:34" x14ac:dyDescent="0.25">
      <c r="A565" s="468" t="s">
        <v>1195</v>
      </c>
      <c r="B565" s="36" t="s">
        <v>365</v>
      </c>
      <c r="C565" s="469">
        <v>4</v>
      </c>
      <c r="D565" s="470" t="s">
        <v>494</v>
      </c>
      <c r="E565" s="37">
        <f t="shared" si="54"/>
        <v>0</v>
      </c>
      <c r="F565" s="470" t="s">
        <v>494</v>
      </c>
      <c r="G565" s="37">
        <f t="shared" si="55"/>
        <v>0</v>
      </c>
      <c r="H565" s="37" t="s">
        <v>494</v>
      </c>
      <c r="I565" s="37">
        <f t="shared" si="56"/>
        <v>0</v>
      </c>
      <c r="J565" s="37" t="s">
        <v>347</v>
      </c>
      <c r="K565" s="37">
        <f t="shared" si="57"/>
        <v>0</v>
      </c>
      <c r="L565" s="37" t="s">
        <v>494</v>
      </c>
      <c r="M565" s="37">
        <f t="shared" si="58"/>
        <v>0</v>
      </c>
      <c r="N565" s="470" t="s">
        <v>347</v>
      </c>
      <c r="O565" s="470">
        <f t="shared" si="59"/>
        <v>0</v>
      </c>
      <c r="P565" s="37" t="str">
        <f t="shared" si="60"/>
        <v>None</v>
      </c>
      <c r="Q565" s="470" t="s">
        <v>346</v>
      </c>
      <c r="R565" s="37">
        <f t="shared" si="61"/>
        <v>0</v>
      </c>
      <c r="S565" s="470" t="s">
        <v>347</v>
      </c>
      <c r="T565" s="470">
        <f t="shared" si="62"/>
        <v>0</v>
      </c>
      <c r="U565" s="470" t="s">
        <v>346</v>
      </c>
      <c r="V565" s="111">
        <f>IF(OR(F565="none",G565="V"),0,VLOOKUP(F565,'Purchased Boons'!$AR$4:$AS$27,2,FALSE))</f>
        <v>0</v>
      </c>
      <c r="W565" s="39" t="s">
        <v>1566</v>
      </c>
      <c r="X565" s="37" t="s">
        <v>494</v>
      </c>
      <c r="Y565" s="37" t="s">
        <v>1045</v>
      </c>
      <c r="Z565" s="111">
        <v>88</v>
      </c>
      <c r="AG565" s="24"/>
      <c r="AH565" s="24"/>
    </row>
    <row r="566" spans="1:34" x14ac:dyDescent="0.25">
      <c r="A566" s="473" t="s">
        <v>1493</v>
      </c>
      <c r="B566" s="39" t="s">
        <v>690</v>
      </c>
      <c r="C566" s="469">
        <v>9</v>
      </c>
      <c r="D566" s="470" t="s">
        <v>14</v>
      </c>
      <c r="E566" s="37">
        <f t="shared" si="54"/>
        <v>1</v>
      </c>
      <c r="F566" s="470" t="s">
        <v>53</v>
      </c>
      <c r="G566" s="37">
        <f t="shared" si="55"/>
        <v>0</v>
      </c>
      <c r="H566" s="37" t="s">
        <v>494</v>
      </c>
      <c r="I566" s="37">
        <f t="shared" si="56"/>
        <v>0</v>
      </c>
      <c r="J566" s="37" t="s">
        <v>347</v>
      </c>
      <c r="K566" s="37">
        <f t="shared" si="57"/>
        <v>0</v>
      </c>
      <c r="L566" s="37" t="s">
        <v>494</v>
      </c>
      <c r="M566" s="37">
        <f t="shared" si="58"/>
        <v>0</v>
      </c>
      <c r="N566" s="470" t="s">
        <v>347</v>
      </c>
      <c r="O566" s="470">
        <f t="shared" si="59"/>
        <v>0</v>
      </c>
      <c r="P566" s="37" t="str">
        <f t="shared" si="60"/>
        <v>1 + 0</v>
      </c>
      <c r="Q566" s="470" t="s">
        <v>346</v>
      </c>
      <c r="R566" s="37">
        <f t="shared" si="61"/>
        <v>0</v>
      </c>
      <c r="S566" s="470" t="s">
        <v>347</v>
      </c>
      <c r="T566" s="470">
        <f t="shared" si="62"/>
        <v>0</v>
      </c>
      <c r="U566" s="470" t="s">
        <v>346</v>
      </c>
      <c r="V566" s="111">
        <f>IF(OR(F566="none",G566="V"),0,VLOOKUP(F566,'Purchased Boons'!$AR$4:$AS$27,2,FALSE))</f>
        <v>0</v>
      </c>
      <c r="W566" s="39" t="s">
        <v>1052</v>
      </c>
      <c r="X566" s="37" t="s">
        <v>1529</v>
      </c>
      <c r="Y566" s="37" t="s">
        <v>1484</v>
      </c>
      <c r="Z566" s="111">
        <v>38</v>
      </c>
      <c r="AG566" s="24"/>
      <c r="AH566" s="24"/>
    </row>
    <row r="567" spans="1:34" x14ac:dyDescent="0.25">
      <c r="A567" s="468" t="s">
        <v>1299</v>
      </c>
      <c r="B567" s="36" t="s">
        <v>366</v>
      </c>
      <c r="C567" s="469">
        <v>9</v>
      </c>
      <c r="D567" s="470" t="s">
        <v>16</v>
      </c>
      <c r="E567" s="37">
        <f t="shared" si="54"/>
        <v>1</v>
      </c>
      <c r="F567" s="470" t="s">
        <v>40</v>
      </c>
      <c r="G567" s="37">
        <f t="shared" si="55"/>
        <v>0</v>
      </c>
      <c r="H567" s="37" t="s">
        <v>494</v>
      </c>
      <c r="I567" s="37">
        <f t="shared" si="56"/>
        <v>0</v>
      </c>
      <c r="J567" s="37" t="s">
        <v>347</v>
      </c>
      <c r="K567" s="37">
        <f t="shared" si="57"/>
        <v>0</v>
      </c>
      <c r="L567" s="37" t="s">
        <v>494</v>
      </c>
      <c r="M567" s="37">
        <f t="shared" si="58"/>
        <v>0</v>
      </c>
      <c r="N567" s="470" t="s">
        <v>347</v>
      </c>
      <c r="O567" s="470">
        <f t="shared" si="59"/>
        <v>0</v>
      </c>
      <c r="P567" s="37" t="str">
        <f t="shared" si="60"/>
        <v>1 + 0</v>
      </c>
      <c r="Q567" s="470" t="s">
        <v>346</v>
      </c>
      <c r="R567" s="37">
        <f t="shared" si="61"/>
        <v>0</v>
      </c>
      <c r="S567" s="470" t="s">
        <v>347</v>
      </c>
      <c r="T567" s="470">
        <f t="shared" si="62"/>
        <v>0</v>
      </c>
      <c r="U567" s="470" t="s">
        <v>346</v>
      </c>
      <c r="V567" s="111">
        <f>IF(OR(F567="none",G567="V"),0,VLOOKUP(F567,'Purchased Boons'!$AR$4:$AS$27,2,FALSE))</f>
        <v>0</v>
      </c>
      <c r="W567" s="39" t="s">
        <v>1053</v>
      </c>
      <c r="X567" s="37" t="s">
        <v>1526</v>
      </c>
      <c r="Y567" s="37" t="s">
        <v>5</v>
      </c>
      <c r="Z567" s="111">
        <v>102</v>
      </c>
      <c r="AG567" s="24"/>
      <c r="AH567" s="24"/>
    </row>
    <row r="568" spans="1:34" x14ac:dyDescent="0.25">
      <c r="A568" s="473" t="s">
        <v>1501</v>
      </c>
      <c r="B568" s="39" t="s">
        <v>689</v>
      </c>
      <c r="C568" s="469">
        <v>3</v>
      </c>
      <c r="D568" s="470" t="s">
        <v>17</v>
      </c>
      <c r="E568" s="37">
        <f t="shared" si="54"/>
        <v>1</v>
      </c>
      <c r="F568" s="470" t="s">
        <v>55</v>
      </c>
      <c r="G568" s="37">
        <f t="shared" si="55"/>
        <v>0</v>
      </c>
      <c r="H568" s="37" t="s">
        <v>494</v>
      </c>
      <c r="I568" s="37">
        <f t="shared" si="56"/>
        <v>0</v>
      </c>
      <c r="J568" s="37" t="s">
        <v>347</v>
      </c>
      <c r="K568" s="37">
        <f t="shared" si="57"/>
        <v>0</v>
      </c>
      <c r="L568" s="37" t="s">
        <v>494</v>
      </c>
      <c r="M568" s="37">
        <f t="shared" si="58"/>
        <v>0</v>
      </c>
      <c r="N568" s="470" t="s">
        <v>347</v>
      </c>
      <c r="O568" s="470">
        <f t="shared" si="59"/>
        <v>0</v>
      </c>
      <c r="P568" s="37" t="str">
        <f t="shared" si="60"/>
        <v>1 + 0</v>
      </c>
      <c r="Q568" s="470" t="s">
        <v>346</v>
      </c>
      <c r="R568" s="37">
        <f t="shared" si="61"/>
        <v>0</v>
      </c>
      <c r="S568" s="470" t="s">
        <v>347</v>
      </c>
      <c r="T568" s="470">
        <f t="shared" si="62"/>
        <v>0</v>
      </c>
      <c r="U568" s="470" t="s">
        <v>346</v>
      </c>
      <c r="V568" s="111">
        <f>IF(OR(F568="none",G568="V"),0,VLOOKUP(F568,'Purchased Boons'!$AR$4:$AS$27,2,FALSE))</f>
        <v>0</v>
      </c>
      <c r="W568" s="39" t="s">
        <v>1691</v>
      </c>
      <c r="X568" s="37" t="s">
        <v>1711</v>
      </c>
      <c r="Y568" s="37" t="s">
        <v>1484</v>
      </c>
      <c r="Z568" s="111">
        <v>40</v>
      </c>
      <c r="AG568" s="24"/>
      <c r="AH568" s="24"/>
    </row>
    <row r="569" spans="1:34" x14ac:dyDescent="0.25">
      <c r="A569" s="473" t="s">
        <v>1485</v>
      </c>
      <c r="B569" s="39" t="s">
        <v>690</v>
      </c>
      <c r="C569" s="469">
        <v>1</v>
      </c>
      <c r="D569" s="470" t="s">
        <v>494</v>
      </c>
      <c r="E569" s="37">
        <f t="shared" si="54"/>
        <v>0</v>
      </c>
      <c r="F569" s="470" t="s">
        <v>494</v>
      </c>
      <c r="G569" s="37">
        <f t="shared" si="55"/>
        <v>0</v>
      </c>
      <c r="H569" s="37" t="s">
        <v>494</v>
      </c>
      <c r="I569" s="37">
        <f t="shared" si="56"/>
        <v>0</v>
      </c>
      <c r="J569" s="37" t="s">
        <v>347</v>
      </c>
      <c r="K569" s="37">
        <f t="shared" si="57"/>
        <v>0</v>
      </c>
      <c r="L569" s="37" t="s">
        <v>494</v>
      </c>
      <c r="M569" s="37">
        <f t="shared" si="58"/>
        <v>0</v>
      </c>
      <c r="N569" s="470" t="s">
        <v>347</v>
      </c>
      <c r="O569" s="470">
        <f t="shared" si="59"/>
        <v>0</v>
      </c>
      <c r="P569" s="37" t="str">
        <f t="shared" si="60"/>
        <v>None</v>
      </c>
      <c r="Q569" s="470" t="s">
        <v>346</v>
      </c>
      <c r="R569" s="37">
        <f t="shared" si="61"/>
        <v>0</v>
      </c>
      <c r="S569" s="470" t="s">
        <v>347</v>
      </c>
      <c r="T569" s="470">
        <f t="shared" si="62"/>
        <v>0</v>
      </c>
      <c r="U569" s="470" t="s">
        <v>346</v>
      </c>
      <c r="V569" s="111">
        <f>IF(OR(F569="none",G569="V"),0,VLOOKUP(F569,'Purchased Boons'!$AR$4:$AS$27,2,FALSE))</f>
        <v>0</v>
      </c>
      <c r="W569" s="39" t="s">
        <v>1764</v>
      </c>
      <c r="X569" s="37" t="s">
        <v>1764</v>
      </c>
      <c r="Y569" s="37" t="s">
        <v>1484</v>
      </c>
      <c r="Z569" s="111">
        <v>35</v>
      </c>
      <c r="AG569" s="24"/>
      <c r="AH569" s="24"/>
    </row>
    <row r="570" spans="1:34" x14ac:dyDescent="0.25">
      <c r="A570" s="473" t="s">
        <v>1492</v>
      </c>
      <c r="B570" s="39" t="s">
        <v>690</v>
      </c>
      <c r="C570" s="469">
        <v>8</v>
      </c>
      <c r="D570" s="470" t="s">
        <v>17</v>
      </c>
      <c r="E570" s="37">
        <f t="shared" si="54"/>
        <v>1</v>
      </c>
      <c r="F570" s="470" t="s">
        <v>41</v>
      </c>
      <c r="G570" s="37">
        <f t="shared" si="55"/>
        <v>0</v>
      </c>
      <c r="H570" s="37" t="s">
        <v>494</v>
      </c>
      <c r="I570" s="37">
        <f t="shared" si="56"/>
        <v>0</v>
      </c>
      <c r="J570" s="37" t="s">
        <v>347</v>
      </c>
      <c r="K570" s="37">
        <f t="shared" si="57"/>
        <v>0</v>
      </c>
      <c r="L570" s="37" t="s">
        <v>494</v>
      </c>
      <c r="M570" s="37">
        <f t="shared" si="58"/>
        <v>0</v>
      </c>
      <c r="N570" s="470" t="s">
        <v>347</v>
      </c>
      <c r="O570" s="470">
        <f t="shared" si="59"/>
        <v>0</v>
      </c>
      <c r="P570" s="37" t="str">
        <f t="shared" si="60"/>
        <v>1 + 0</v>
      </c>
      <c r="Q570" s="470" t="s">
        <v>346</v>
      </c>
      <c r="R570" s="37">
        <f t="shared" si="61"/>
        <v>0</v>
      </c>
      <c r="S570" s="470" t="s">
        <v>347</v>
      </c>
      <c r="T570" s="470">
        <f t="shared" si="62"/>
        <v>0</v>
      </c>
      <c r="U570" s="470" t="s">
        <v>346</v>
      </c>
      <c r="V570" s="111">
        <f>IF(OR(F570="none",G570="V"),0,VLOOKUP(F570,'Purchased Boons'!$AR$4:$AS$27,2,FALSE))</f>
        <v>0</v>
      </c>
      <c r="W570" s="39" t="s">
        <v>1696</v>
      </c>
      <c r="X570" s="37" t="s">
        <v>1599</v>
      </c>
      <c r="Y570" s="37" t="s">
        <v>1484</v>
      </c>
      <c r="Z570" s="111">
        <v>38</v>
      </c>
      <c r="AG570" s="24"/>
      <c r="AH570" s="24"/>
    </row>
    <row r="571" spans="1:34" x14ac:dyDescent="0.25">
      <c r="A571" s="473" t="s">
        <v>1480</v>
      </c>
      <c r="B571" s="36" t="s">
        <v>364</v>
      </c>
      <c r="C571" s="469">
        <v>8</v>
      </c>
      <c r="D571" s="470" t="s">
        <v>19</v>
      </c>
      <c r="E571" s="37">
        <f t="shared" si="54"/>
        <v>1</v>
      </c>
      <c r="F571" s="470" t="s">
        <v>58</v>
      </c>
      <c r="G571" s="37">
        <f t="shared" si="55"/>
        <v>0</v>
      </c>
      <c r="H571" s="37" t="s">
        <v>494</v>
      </c>
      <c r="I571" s="37">
        <f t="shared" si="56"/>
        <v>0</v>
      </c>
      <c r="J571" s="37" t="s">
        <v>347</v>
      </c>
      <c r="K571" s="37">
        <f t="shared" si="57"/>
        <v>0</v>
      </c>
      <c r="L571" s="37" t="s">
        <v>494</v>
      </c>
      <c r="M571" s="37">
        <f t="shared" si="58"/>
        <v>0</v>
      </c>
      <c r="N571" s="470" t="s">
        <v>347</v>
      </c>
      <c r="O571" s="470">
        <f t="shared" si="59"/>
        <v>0</v>
      </c>
      <c r="P571" s="37" t="str">
        <f t="shared" si="60"/>
        <v>1 + 0</v>
      </c>
      <c r="Q571" s="470" t="s">
        <v>346</v>
      </c>
      <c r="R571" s="37">
        <f t="shared" si="61"/>
        <v>0</v>
      </c>
      <c r="S571" s="470" t="s">
        <v>347</v>
      </c>
      <c r="T571" s="470">
        <f t="shared" si="62"/>
        <v>0</v>
      </c>
      <c r="U571" s="470" t="s">
        <v>346</v>
      </c>
      <c r="V571" s="111">
        <f>IF(OR(F571="none",G571="V"),0,VLOOKUP(F571,'Purchased Boons'!$AR$4:$AS$27,2,FALSE))</f>
        <v>0</v>
      </c>
      <c r="W571" s="39" t="s">
        <v>1674</v>
      </c>
      <c r="X571" s="37" t="s">
        <v>1669</v>
      </c>
      <c r="Y571" s="37" t="s">
        <v>1462</v>
      </c>
      <c r="Z571" s="111">
        <v>18</v>
      </c>
      <c r="AG571" s="24"/>
      <c r="AH571" s="24"/>
    </row>
    <row r="572" spans="1:34" x14ac:dyDescent="0.25">
      <c r="A572" s="473" t="s">
        <v>1488</v>
      </c>
      <c r="B572" s="39" t="s">
        <v>690</v>
      </c>
      <c r="C572" s="469">
        <v>4</v>
      </c>
      <c r="D572" s="470" t="s">
        <v>21</v>
      </c>
      <c r="E572" s="37">
        <f t="shared" si="54"/>
        <v>1</v>
      </c>
      <c r="F572" s="470" t="s">
        <v>1063</v>
      </c>
      <c r="G572" s="37" t="str">
        <f t="shared" si="55"/>
        <v>V</v>
      </c>
      <c r="H572" s="37" t="s">
        <v>494</v>
      </c>
      <c r="I572" s="37">
        <f t="shared" si="56"/>
        <v>0</v>
      </c>
      <c r="J572" s="37" t="s">
        <v>347</v>
      </c>
      <c r="K572" s="37">
        <f t="shared" si="57"/>
        <v>0</v>
      </c>
      <c r="L572" s="37" t="s">
        <v>494</v>
      </c>
      <c r="M572" s="37">
        <f t="shared" si="58"/>
        <v>0</v>
      </c>
      <c r="N572" s="470" t="s">
        <v>347</v>
      </c>
      <c r="O572" s="470">
        <f t="shared" si="59"/>
        <v>0</v>
      </c>
      <c r="P572" s="37" t="str">
        <f t="shared" si="60"/>
        <v>Varies</v>
      </c>
      <c r="Q572" s="470" t="s">
        <v>346</v>
      </c>
      <c r="R572" s="37">
        <f t="shared" si="61"/>
        <v>0</v>
      </c>
      <c r="S572" s="470" t="s">
        <v>347</v>
      </c>
      <c r="T572" s="470">
        <f t="shared" si="62"/>
        <v>0</v>
      </c>
      <c r="U572" s="470" t="s">
        <v>346</v>
      </c>
      <c r="V572" s="111">
        <f>IF(OR(F572="none",G572="V"),0,VLOOKUP(F572,'Purchased Boons'!$AR$4:$AS$27,2,FALSE))</f>
        <v>0</v>
      </c>
      <c r="W572" s="39" t="s">
        <v>1666</v>
      </c>
      <c r="X572" s="37" t="s">
        <v>1063</v>
      </c>
      <c r="Y572" s="37" t="s">
        <v>1484</v>
      </c>
      <c r="Z572" s="111">
        <v>37</v>
      </c>
      <c r="AG572" s="24"/>
      <c r="AH572" s="24"/>
    </row>
    <row r="573" spans="1:34" x14ac:dyDescent="0.25">
      <c r="A573" s="468" t="s">
        <v>1369</v>
      </c>
      <c r="B573" s="36" t="s">
        <v>1343</v>
      </c>
      <c r="C573" s="469">
        <v>1</v>
      </c>
      <c r="D573" s="470" t="s">
        <v>494</v>
      </c>
      <c r="E573" s="37">
        <f t="shared" si="54"/>
        <v>0</v>
      </c>
      <c r="F573" s="470" t="s">
        <v>494</v>
      </c>
      <c r="G573" s="37">
        <f t="shared" si="55"/>
        <v>0</v>
      </c>
      <c r="H573" s="37" t="s">
        <v>494</v>
      </c>
      <c r="I573" s="37">
        <f t="shared" si="56"/>
        <v>0</v>
      </c>
      <c r="J573" s="37" t="s">
        <v>347</v>
      </c>
      <c r="K573" s="37">
        <f t="shared" si="57"/>
        <v>0</v>
      </c>
      <c r="L573" s="37" t="s">
        <v>494</v>
      </c>
      <c r="M573" s="37">
        <f t="shared" si="58"/>
        <v>0</v>
      </c>
      <c r="N573" s="470" t="s">
        <v>347</v>
      </c>
      <c r="O573" s="470">
        <f t="shared" si="59"/>
        <v>0</v>
      </c>
      <c r="P573" s="37" t="str">
        <f t="shared" si="60"/>
        <v>None</v>
      </c>
      <c r="Q573" s="470" t="s">
        <v>346</v>
      </c>
      <c r="R573" s="37">
        <f t="shared" si="61"/>
        <v>0</v>
      </c>
      <c r="S573" s="470" t="s">
        <v>347</v>
      </c>
      <c r="T573" s="470">
        <f t="shared" si="62"/>
        <v>0</v>
      </c>
      <c r="U573" s="470" t="s">
        <v>346</v>
      </c>
      <c r="V573" s="111">
        <f>IF(OR(F573="none",G573="V"),0,VLOOKUP(F573,'Purchased Boons'!$AR$4:$AS$27,2,FALSE))</f>
        <v>0</v>
      </c>
      <c r="W573" s="39" t="s">
        <v>1050</v>
      </c>
      <c r="X573" s="37" t="s">
        <v>494</v>
      </c>
      <c r="Y573" s="37" t="s">
        <v>1046</v>
      </c>
      <c r="Z573" s="111">
        <v>68</v>
      </c>
      <c r="AG573" s="24"/>
      <c r="AH573" s="24"/>
    </row>
    <row r="574" spans="1:34" x14ac:dyDescent="0.25">
      <c r="A574" s="473" t="s">
        <v>1500</v>
      </c>
      <c r="B574" s="39" t="s">
        <v>366</v>
      </c>
      <c r="C574" s="37">
        <v>4</v>
      </c>
      <c r="D574" s="470" t="s">
        <v>14</v>
      </c>
      <c r="E574" s="37">
        <f t="shared" si="54"/>
        <v>1</v>
      </c>
      <c r="F574" s="470" t="s">
        <v>42</v>
      </c>
      <c r="G574" s="37">
        <f t="shared" si="55"/>
        <v>0</v>
      </c>
      <c r="H574" s="37" t="s">
        <v>494</v>
      </c>
      <c r="I574" s="37">
        <f t="shared" si="56"/>
        <v>0</v>
      </c>
      <c r="J574" s="37" t="s">
        <v>347</v>
      </c>
      <c r="K574" s="37">
        <f t="shared" si="57"/>
        <v>0</v>
      </c>
      <c r="L574" s="37" t="s">
        <v>494</v>
      </c>
      <c r="M574" s="37">
        <f t="shared" si="58"/>
        <v>0</v>
      </c>
      <c r="N574" s="470" t="s">
        <v>347</v>
      </c>
      <c r="O574" s="470">
        <f t="shared" si="59"/>
        <v>0</v>
      </c>
      <c r="P574" s="37" t="str">
        <f t="shared" si="60"/>
        <v>1 + 0</v>
      </c>
      <c r="Q574" s="470" t="s">
        <v>346</v>
      </c>
      <c r="R574" s="37">
        <f t="shared" si="61"/>
        <v>0</v>
      </c>
      <c r="S574" s="470" t="s">
        <v>347</v>
      </c>
      <c r="T574" s="470">
        <f t="shared" si="62"/>
        <v>0</v>
      </c>
      <c r="U574" s="470" t="s">
        <v>346</v>
      </c>
      <c r="V574" s="111">
        <f>IF(OR(F574="none",G574="V"),0,VLOOKUP(F574,'Purchased Boons'!$AR$4:$AS$27,2,FALSE))</f>
        <v>0</v>
      </c>
      <c r="W574" s="39" t="s">
        <v>1607</v>
      </c>
      <c r="X574" s="37" t="s">
        <v>1530</v>
      </c>
      <c r="Y574" s="37" t="s">
        <v>1484</v>
      </c>
      <c r="Z574" s="111">
        <v>35</v>
      </c>
      <c r="AG574" s="24"/>
      <c r="AH574" s="24"/>
    </row>
    <row r="575" spans="1:34" x14ac:dyDescent="0.25">
      <c r="A575" s="468" t="s">
        <v>1406</v>
      </c>
      <c r="B575" s="36" t="s">
        <v>365</v>
      </c>
      <c r="C575" s="469">
        <v>10</v>
      </c>
      <c r="D575" s="470" t="s">
        <v>30</v>
      </c>
      <c r="E575" s="37">
        <f t="shared" si="54"/>
        <v>1</v>
      </c>
      <c r="F575" s="470" t="s">
        <v>58</v>
      </c>
      <c r="G575" s="37">
        <f t="shared" si="55"/>
        <v>0</v>
      </c>
      <c r="H575" s="37" t="s">
        <v>494</v>
      </c>
      <c r="I575" s="37">
        <f t="shared" si="56"/>
        <v>0</v>
      </c>
      <c r="J575" s="37" t="s">
        <v>347</v>
      </c>
      <c r="K575" s="37">
        <f t="shared" si="57"/>
        <v>0</v>
      </c>
      <c r="L575" s="37" t="s">
        <v>494</v>
      </c>
      <c r="M575" s="37">
        <f t="shared" si="58"/>
        <v>0</v>
      </c>
      <c r="N575" s="470" t="s">
        <v>347</v>
      </c>
      <c r="O575" s="470">
        <f t="shared" si="59"/>
        <v>0</v>
      </c>
      <c r="P575" s="37" t="str">
        <f t="shared" si="60"/>
        <v>1 + 0</v>
      </c>
      <c r="Q575" s="470" t="s">
        <v>346</v>
      </c>
      <c r="R575" s="37">
        <f t="shared" si="61"/>
        <v>0</v>
      </c>
      <c r="S575" s="470" t="s">
        <v>347</v>
      </c>
      <c r="T575" s="470">
        <f t="shared" si="62"/>
        <v>0</v>
      </c>
      <c r="U575" s="470" t="s">
        <v>346</v>
      </c>
      <c r="V575" s="111">
        <f>IF(OR(F575="none",G575="V"),0,VLOOKUP(F575,'Purchased Boons'!$AR$4:$AS$27,2,FALSE))</f>
        <v>0</v>
      </c>
      <c r="W575" s="39" t="s">
        <v>1687</v>
      </c>
      <c r="X575" s="37" t="s">
        <v>1688</v>
      </c>
      <c r="Y575" s="37" t="s">
        <v>1046</v>
      </c>
      <c r="Z575" s="111">
        <v>78</v>
      </c>
      <c r="AG575" s="24"/>
      <c r="AH575" s="24"/>
    </row>
    <row r="576" spans="1:34" x14ac:dyDescent="0.25">
      <c r="A576" s="468" t="s">
        <v>1256</v>
      </c>
      <c r="B576" s="36" t="s">
        <v>355</v>
      </c>
      <c r="C576" s="469">
        <v>9</v>
      </c>
      <c r="D576" s="470" t="s">
        <v>16</v>
      </c>
      <c r="E576" s="37">
        <f t="shared" si="54"/>
        <v>1</v>
      </c>
      <c r="F576" s="470" t="s">
        <v>49</v>
      </c>
      <c r="G576" s="37">
        <f t="shared" si="55"/>
        <v>0</v>
      </c>
      <c r="H576" s="37" t="s">
        <v>494</v>
      </c>
      <c r="I576" s="37">
        <f t="shared" si="56"/>
        <v>0</v>
      </c>
      <c r="J576" s="37" t="s">
        <v>347</v>
      </c>
      <c r="K576" s="37">
        <f t="shared" si="57"/>
        <v>0</v>
      </c>
      <c r="L576" s="37" t="s">
        <v>494</v>
      </c>
      <c r="M576" s="37">
        <f t="shared" si="58"/>
        <v>0</v>
      </c>
      <c r="N576" s="470" t="s">
        <v>347</v>
      </c>
      <c r="O576" s="470">
        <f t="shared" si="59"/>
        <v>0</v>
      </c>
      <c r="P576" s="37" t="str">
        <f t="shared" si="60"/>
        <v>1 + 0</v>
      </c>
      <c r="Q576" s="470" t="s">
        <v>346</v>
      </c>
      <c r="R576" s="37">
        <f t="shared" si="61"/>
        <v>0</v>
      </c>
      <c r="S576" s="470" t="s">
        <v>347</v>
      </c>
      <c r="T576" s="470">
        <f t="shared" si="62"/>
        <v>0</v>
      </c>
      <c r="U576" s="470" t="s">
        <v>346</v>
      </c>
      <c r="V576" s="111">
        <f>IF(OR(F576="none",G576="V"),0,VLOOKUP(F576,'Purchased Boons'!$AR$4:$AS$27,2,FALSE))</f>
        <v>0</v>
      </c>
      <c r="W576" s="39" t="s">
        <v>1063</v>
      </c>
      <c r="X576" s="37" t="s">
        <v>1549</v>
      </c>
      <c r="Y576" s="37" t="s">
        <v>5</v>
      </c>
      <c r="Z576" s="111">
        <v>85</v>
      </c>
      <c r="AG576" s="24"/>
      <c r="AH576" s="24"/>
    </row>
    <row r="577" spans="1:34" x14ac:dyDescent="0.25">
      <c r="A577" s="468" t="s">
        <v>1319</v>
      </c>
      <c r="B577" s="36" t="s">
        <v>155</v>
      </c>
      <c r="C577" s="469">
        <v>9</v>
      </c>
      <c r="D577" s="470" t="s">
        <v>494</v>
      </c>
      <c r="E577" s="37">
        <f t="shared" si="54"/>
        <v>0</v>
      </c>
      <c r="F577" s="470" t="s">
        <v>494</v>
      </c>
      <c r="G577" s="37">
        <f t="shared" si="55"/>
        <v>0</v>
      </c>
      <c r="H577" s="37" t="s">
        <v>494</v>
      </c>
      <c r="I577" s="37">
        <f t="shared" si="56"/>
        <v>0</v>
      </c>
      <c r="J577" s="37" t="s">
        <v>347</v>
      </c>
      <c r="K577" s="37">
        <f t="shared" si="57"/>
        <v>0</v>
      </c>
      <c r="L577" s="37" t="s">
        <v>494</v>
      </c>
      <c r="M577" s="37">
        <f t="shared" si="58"/>
        <v>0</v>
      </c>
      <c r="N577" s="470" t="s">
        <v>347</v>
      </c>
      <c r="O577" s="470">
        <f t="shared" si="59"/>
        <v>0</v>
      </c>
      <c r="P577" s="37" t="str">
        <f t="shared" si="60"/>
        <v>None</v>
      </c>
      <c r="Q577" s="470" t="s">
        <v>346</v>
      </c>
      <c r="R577" s="37">
        <f t="shared" si="61"/>
        <v>0</v>
      </c>
      <c r="S577" s="470" t="s">
        <v>347</v>
      </c>
      <c r="T577" s="470">
        <f t="shared" si="62"/>
        <v>0</v>
      </c>
      <c r="U577" s="470" t="s">
        <v>346</v>
      </c>
      <c r="V577" s="111">
        <f>IF(OR(F577="none",G577="V"),0,VLOOKUP(F577,'Purchased Boons'!$AR$4:$AS$27,2,FALSE))</f>
        <v>0</v>
      </c>
      <c r="W577" s="39" t="s">
        <v>1650</v>
      </c>
      <c r="X577" s="37" t="s">
        <v>494</v>
      </c>
      <c r="Y577" s="37" t="s">
        <v>5</v>
      </c>
      <c r="Z577" s="111">
        <v>108</v>
      </c>
      <c r="AG577" s="24"/>
      <c r="AH577" s="24"/>
    </row>
    <row r="578" spans="1:34" x14ac:dyDescent="0.25">
      <c r="A578" s="468" t="s">
        <v>1456</v>
      </c>
      <c r="B578" s="36" t="s">
        <v>182</v>
      </c>
      <c r="C578" s="469">
        <v>5</v>
      </c>
      <c r="D578" s="470" t="s">
        <v>20</v>
      </c>
      <c r="E578" s="37">
        <f t="shared" si="54"/>
        <v>1</v>
      </c>
      <c r="F578" s="470" t="s">
        <v>51</v>
      </c>
      <c r="G578" s="37">
        <f t="shared" si="55"/>
        <v>0</v>
      </c>
      <c r="H578" s="37" t="s">
        <v>494</v>
      </c>
      <c r="I578" s="37">
        <f t="shared" si="56"/>
        <v>0</v>
      </c>
      <c r="J578" s="37" t="s">
        <v>347</v>
      </c>
      <c r="K578" s="37">
        <f t="shared" si="57"/>
        <v>0</v>
      </c>
      <c r="L578" s="37" t="s">
        <v>494</v>
      </c>
      <c r="M578" s="37">
        <f t="shared" si="58"/>
        <v>0</v>
      </c>
      <c r="N578" s="470" t="s">
        <v>347</v>
      </c>
      <c r="O578" s="470">
        <f t="shared" si="59"/>
        <v>0</v>
      </c>
      <c r="P578" s="37" t="str">
        <f t="shared" si="60"/>
        <v>1 + 0</v>
      </c>
      <c r="Q578" s="470" t="s">
        <v>346</v>
      </c>
      <c r="R578" s="37">
        <f t="shared" si="61"/>
        <v>0</v>
      </c>
      <c r="S578" s="470" t="s">
        <v>347</v>
      </c>
      <c r="T578" s="470">
        <f t="shared" si="62"/>
        <v>0</v>
      </c>
      <c r="U578" s="470" t="s">
        <v>346</v>
      </c>
      <c r="V578" s="111">
        <f>IF(OR(F578="none",G578="V"),0,VLOOKUP(F578,'Purchased Boons'!$AR$4:$AS$27,2,FALSE))</f>
        <v>0</v>
      </c>
      <c r="W578" s="39" t="s">
        <v>1666</v>
      </c>
      <c r="X578" s="37" t="s">
        <v>1664</v>
      </c>
      <c r="Y578" s="37" t="s">
        <v>1046</v>
      </c>
      <c r="Z578" s="111">
        <v>245</v>
      </c>
      <c r="AG578" s="24"/>
      <c r="AH578" s="24"/>
    </row>
    <row r="579" spans="1:34" x14ac:dyDescent="0.25">
      <c r="A579" s="468" t="s">
        <v>1457</v>
      </c>
      <c r="B579" s="36" t="s">
        <v>182</v>
      </c>
      <c r="C579" s="469">
        <v>6</v>
      </c>
      <c r="D579" s="470" t="s">
        <v>20</v>
      </c>
      <c r="E579" s="37">
        <f t="shared" si="54"/>
        <v>1</v>
      </c>
      <c r="F579" s="470" t="s">
        <v>43</v>
      </c>
      <c r="G579" s="37">
        <f t="shared" si="55"/>
        <v>0</v>
      </c>
      <c r="H579" s="37" t="s">
        <v>494</v>
      </c>
      <c r="I579" s="37">
        <f t="shared" si="56"/>
        <v>0</v>
      </c>
      <c r="J579" s="37" t="s">
        <v>347</v>
      </c>
      <c r="K579" s="37">
        <f t="shared" si="57"/>
        <v>0</v>
      </c>
      <c r="L579" s="37" t="s">
        <v>494</v>
      </c>
      <c r="M579" s="37">
        <f t="shared" si="58"/>
        <v>0</v>
      </c>
      <c r="N579" s="470" t="s">
        <v>347</v>
      </c>
      <c r="O579" s="470">
        <f t="shared" si="59"/>
        <v>0</v>
      </c>
      <c r="P579" s="37" t="str">
        <f t="shared" si="60"/>
        <v>1 + 0</v>
      </c>
      <c r="Q579" s="470" t="s">
        <v>346</v>
      </c>
      <c r="R579" s="37">
        <f t="shared" si="61"/>
        <v>0</v>
      </c>
      <c r="S579" s="470" t="s">
        <v>347</v>
      </c>
      <c r="T579" s="470">
        <f t="shared" si="62"/>
        <v>0</v>
      </c>
      <c r="U579" s="470" t="s">
        <v>346</v>
      </c>
      <c r="V579" s="111">
        <f>IF(OR(F579="none",G579="V"),0,VLOOKUP(F579,'Purchased Boons'!$AR$4:$AS$27,2,FALSE))</f>
        <v>0</v>
      </c>
      <c r="W579" s="39" t="s">
        <v>1691</v>
      </c>
      <c r="X579" s="37" t="s">
        <v>1705</v>
      </c>
      <c r="Y579" s="37" t="s">
        <v>1046</v>
      </c>
      <c r="Z579" s="111">
        <v>246</v>
      </c>
      <c r="AG579" s="24"/>
      <c r="AH579" s="24"/>
    </row>
    <row r="580" spans="1:34" x14ac:dyDescent="0.25">
      <c r="A580" s="468" t="s">
        <v>1458</v>
      </c>
      <c r="B580" s="36" t="s">
        <v>182</v>
      </c>
      <c r="C580" s="469">
        <v>7</v>
      </c>
      <c r="D580" s="470" t="s">
        <v>14</v>
      </c>
      <c r="E580" s="37">
        <f t="shared" si="54"/>
        <v>1</v>
      </c>
      <c r="F580" s="470" t="s">
        <v>42</v>
      </c>
      <c r="G580" s="37">
        <f t="shared" si="55"/>
        <v>0</v>
      </c>
      <c r="H580" s="37" t="s">
        <v>494</v>
      </c>
      <c r="I580" s="37">
        <f t="shared" si="56"/>
        <v>0</v>
      </c>
      <c r="J580" s="37" t="s">
        <v>347</v>
      </c>
      <c r="K580" s="37">
        <f t="shared" si="57"/>
        <v>0</v>
      </c>
      <c r="L580" s="37" t="s">
        <v>494</v>
      </c>
      <c r="M580" s="37">
        <f t="shared" si="58"/>
        <v>0</v>
      </c>
      <c r="N580" s="470" t="s">
        <v>347</v>
      </c>
      <c r="O580" s="470">
        <f t="shared" si="59"/>
        <v>0</v>
      </c>
      <c r="P580" s="37" t="str">
        <f t="shared" si="60"/>
        <v>1 + 0</v>
      </c>
      <c r="Q580" s="470" t="s">
        <v>346</v>
      </c>
      <c r="R580" s="37">
        <f t="shared" si="61"/>
        <v>0</v>
      </c>
      <c r="S580" s="470" t="s">
        <v>347</v>
      </c>
      <c r="T580" s="470">
        <f t="shared" si="62"/>
        <v>0</v>
      </c>
      <c r="U580" s="470" t="s">
        <v>346</v>
      </c>
      <c r="V580" s="111">
        <f>IF(OR(F580="none",G580="V"),0,VLOOKUP(F580,'Purchased Boons'!$AR$4:$AS$27,2,FALSE))</f>
        <v>0</v>
      </c>
      <c r="W580" s="39" t="s">
        <v>1691</v>
      </c>
      <c r="X580" s="37" t="s">
        <v>1530</v>
      </c>
      <c r="Y580" s="37" t="s">
        <v>1046</v>
      </c>
      <c r="Z580" s="111">
        <v>246</v>
      </c>
      <c r="AG580" s="24"/>
      <c r="AH580" s="24"/>
    </row>
    <row r="581" spans="1:34" x14ac:dyDescent="0.25">
      <c r="A581" s="468" t="s">
        <v>1455</v>
      </c>
      <c r="B581" s="36" t="s">
        <v>182</v>
      </c>
      <c r="C581" s="469">
        <v>4</v>
      </c>
      <c r="D581" s="470" t="s">
        <v>16</v>
      </c>
      <c r="E581" s="37">
        <f t="shared" si="54"/>
        <v>1</v>
      </c>
      <c r="F581" s="470" t="s">
        <v>47</v>
      </c>
      <c r="G581" s="37">
        <f t="shared" si="55"/>
        <v>0</v>
      </c>
      <c r="H581" s="37" t="s">
        <v>494</v>
      </c>
      <c r="I581" s="37">
        <f t="shared" si="56"/>
        <v>0</v>
      </c>
      <c r="J581" s="37" t="s">
        <v>347</v>
      </c>
      <c r="K581" s="37">
        <f t="shared" si="57"/>
        <v>0</v>
      </c>
      <c r="L581" s="37" t="s">
        <v>494</v>
      </c>
      <c r="M581" s="37">
        <f t="shared" si="58"/>
        <v>0</v>
      </c>
      <c r="N581" s="470" t="s">
        <v>347</v>
      </c>
      <c r="O581" s="470">
        <f t="shared" si="59"/>
        <v>0</v>
      </c>
      <c r="P581" s="37" t="str">
        <f t="shared" si="60"/>
        <v>1 + 0</v>
      </c>
      <c r="Q581" s="470" t="s">
        <v>346</v>
      </c>
      <c r="R581" s="37">
        <f t="shared" si="61"/>
        <v>0</v>
      </c>
      <c r="S581" s="470" t="s">
        <v>347</v>
      </c>
      <c r="T581" s="470">
        <f t="shared" si="62"/>
        <v>0</v>
      </c>
      <c r="U581" s="470" t="s">
        <v>346</v>
      </c>
      <c r="V581" s="111">
        <f>IF(OR(F581="none",G581="V"),0,VLOOKUP(F581,'Purchased Boons'!$AR$4:$AS$27,2,FALSE))</f>
        <v>0</v>
      </c>
      <c r="W581" s="39" t="s">
        <v>1666</v>
      </c>
      <c r="X581" s="37" t="s">
        <v>1686</v>
      </c>
      <c r="Y581" s="37" t="s">
        <v>1046</v>
      </c>
      <c r="Z581" s="111">
        <v>245</v>
      </c>
      <c r="AG581" s="24"/>
      <c r="AH581" s="24"/>
    </row>
    <row r="582" spans="1:34" x14ac:dyDescent="0.25">
      <c r="A582" s="468" t="s">
        <v>1454</v>
      </c>
      <c r="B582" s="36" t="s">
        <v>182</v>
      </c>
      <c r="C582" s="469">
        <v>3</v>
      </c>
      <c r="D582" s="470" t="s">
        <v>16</v>
      </c>
      <c r="E582" s="37">
        <f t="shared" si="54"/>
        <v>1</v>
      </c>
      <c r="F582" s="470" t="s">
        <v>41</v>
      </c>
      <c r="G582" s="37">
        <f t="shared" si="55"/>
        <v>0</v>
      </c>
      <c r="H582" s="37" t="s">
        <v>494</v>
      </c>
      <c r="I582" s="37">
        <f t="shared" si="56"/>
        <v>0</v>
      </c>
      <c r="J582" s="37" t="s">
        <v>347</v>
      </c>
      <c r="K582" s="37">
        <f t="shared" si="57"/>
        <v>0</v>
      </c>
      <c r="L582" s="37" t="s">
        <v>494</v>
      </c>
      <c r="M582" s="37">
        <f t="shared" si="58"/>
        <v>0</v>
      </c>
      <c r="N582" s="470" t="s">
        <v>347</v>
      </c>
      <c r="O582" s="470">
        <f t="shared" si="59"/>
        <v>0</v>
      </c>
      <c r="P582" s="37" t="str">
        <f t="shared" si="60"/>
        <v>1 + 0</v>
      </c>
      <c r="Q582" s="470" t="s">
        <v>346</v>
      </c>
      <c r="R582" s="37">
        <f t="shared" si="61"/>
        <v>0</v>
      </c>
      <c r="S582" s="470" t="s">
        <v>347</v>
      </c>
      <c r="T582" s="470">
        <f t="shared" si="62"/>
        <v>0</v>
      </c>
      <c r="U582" s="470" t="s">
        <v>346</v>
      </c>
      <c r="V582" s="111">
        <f>IF(OR(F582="none",G582="V"),0,VLOOKUP(F582,'Purchased Boons'!$AR$4:$AS$27,2,FALSE))</f>
        <v>0</v>
      </c>
      <c r="W582" s="39" t="s">
        <v>1666</v>
      </c>
      <c r="X582" s="37" t="s">
        <v>1547</v>
      </c>
      <c r="Y582" s="37" t="s">
        <v>1046</v>
      </c>
      <c r="Z582" s="111">
        <v>245</v>
      </c>
      <c r="AG582" s="24"/>
      <c r="AH582" s="24"/>
    </row>
    <row r="583" spans="1:34" x14ac:dyDescent="0.25">
      <c r="A583" s="468" t="s">
        <v>1429</v>
      </c>
      <c r="B583" s="36" t="s">
        <v>168</v>
      </c>
      <c r="C583" s="469">
        <v>9</v>
      </c>
      <c r="D583" s="470" t="s">
        <v>494</v>
      </c>
      <c r="E583" s="37">
        <f t="shared" si="54"/>
        <v>0</v>
      </c>
      <c r="F583" s="470" t="s">
        <v>1063</v>
      </c>
      <c r="G583" s="37" t="str">
        <f t="shared" si="55"/>
        <v>V</v>
      </c>
      <c r="H583" s="37" t="s">
        <v>494</v>
      </c>
      <c r="I583" s="37">
        <f t="shared" si="56"/>
        <v>0</v>
      </c>
      <c r="J583" s="37" t="s">
        <v>346</v>
      </c>
      <c r="K583" s="37">
        <f t="shared" si="57"/>
        <v>2</v>
      </c>
      <c r="L583" s="37" t="s">
        <v>494</v>
      </c>
      <c r="M583" s="37">
        <f t="shared" si="58"/>
        <v>0</v>
      </c>
      <c r="N583" s="470" t="s">
        <v>346</v>
      </c>
      <c r="O583" s="470">
        <f t="shared" si="59"/>
        <v>2</v>
      </c>
      <c r="P583" s="37" t="str">
        <f t="shared" si="60"/>
        <v>Varies</v>
      </c>
      <c r="Q583" s="470" t="s">
        <v>347</v>
      </c>
      <c r="R583" s="37">
        <f t="shared" si="61"/>
        <v>0</v>
      </c>
      <c r="S583" s="470" t="s">
        <v>347</v>
      </c>
      <c r="T583" s="470">
        <f t="shared" si="62"/>
        <v>0</v>
      </c>
      <c r="U583" s="470" t="s">
        <v>346</v>
      </c>
      <c r="V583" s="111">
        <f>IF(OR(F583="none",G583="V"),0,VLOOKUP(F583,'Purchased Boons'!$AR$4:$AS$27,2,FALSE))</f>
        <v>0</v>
      </c>
      <c r="W583" s="39" t="s">
        <v>1629</v>
      </c>
      <c r="X583" s="37" t="s">
        <v>1063</v>
      </c>
      <c r="Y583" s="37" t="s">
        <v>1046</v>
      </c>
      <c r="Z583" s="111">
        <v>98</v>
      </c>
      <c r="AG583" s="24"/>
      <c r="AH583" s="24"/>
    </row>
    <row r="584" spans="1:34" x14ac:dyDescent="0.25">
      <c r="A584" s="468" t="s">
        <v>1079</v>
      </c>
      <c r="B584" s="36" t="s">
        <v>357</v>
      </c>
      <c r="C584" s="469">
        <v>1</v>
      </c>
      <c r="D584" s="470" t="s">
        <v>494</v>
      </c>
      <c r="E584" s="37">
        <f t="shared" si="54"/>
        <v>0</v>
      </c>
      <c r="F584" s="470" t="s">
        <v>494</v>
      </c>
      <c r="G584" s="37">
        <f t="shared" si="55"/>
        <v>0</v>
      </c>
      <c r="H584" s="37" t="s">
        <v>494</v>
      </c>
      <c r="I584" s="37">
        <f t="shared" si="56"/>
        <v>0</v>
      </c>
      <c r="J584" s="37" t="s">
        <v>347</v>
      </c>
      <c r="K584" s="37">
        <f t="shared" si="57"/>
        <v>0</v>
      </c>
      <c r="L584" s="37" t="s">
        <v>494</v>
      </c>
      <c r="M584" s="37">
        <f t="shared" si="58"/>
        <v>0</v>
      </c>
      <c r="N584" s="470" t="s">
        <v>347</v>
      </c>
      <c r="O584" s="470">
        <f t="shared" si="59"/>
        <v>0</v>
      </c>
      <c r="P584" s="37" t="str">
        <f t="shared" si="60"/>
        <v>None</v>
      </c>
      <c r="Q584" s="470" t="s">
        <v>346</v>
      </c>
      <c r="R584" s="37">
        <f t="shared" si="61"/>
        <v>0</v>
      </c>
      <c r="S584" s="470" t="s">
        <v>347</v>
      </c>
      <c r="T584" s="470">
        <f t="shared" si="62"/>
        <v>0</v>
      </c>
      <c r="U584" s="470" t="s">
        <v>346</v>
      </c>
      <c r="V584" s="111">
        <f>IF(OR(F584="none",G584="V"),0,VLOOKUP(F584,'Purchased Boons'!$AR$4:$AS$27,2,FALSE))</f>
        <v>0</v>
      </c>
      <c r="W584" s="39" t="s">
        <v>1621</v>
      </c>
      <c r="X584" s="37" t="s">
        <v>494</v>
      </c>
      <c r="Y584" s="37" t="s">
        <v>133</v>
      </c>
      <c r="Z584" s="111">
        <v>142</v>
      </c>
      <c r="AG584" s="24"/>
      <c r="AH584" s="24"/>
    </row>
    <row r="585" spans="1:34" x14ac:dyDescent="0.25">
      <c r="A585" s="468" t="s">
        <v>1390</v>
      </c>
      <c r="B585" s="36" t="s">
        <v>357</v>
      </c>
      <c r="C585" s="469">
        <v>3</v>
      </c>
      <c r="D585" s="470" t="s">
        <v>494</v>
      </c>
      <c r="E585" s="37">
        <f t="shared" si="54"/>
        <v>0</v>
      </c>
      <c r="F585" s="470" t="s">
        <v>494</v>
      </c>
      <c r="G585" s="37">
        <f t="shared" si="55"/>
        <v>0</v>
      </c>
      <c r="H585" s="37" t="s">
        <v>494</v>
      </c>
      <c r="I585" s="37">
        <f t="shared" si="56"/>
        <v>0</v>
      </c>
      <c r="J585" s="37" t="s">
        <v>347</v>
      </c>
      <c r="K585" s="37">
        <f t="shared" si="57"/>
        <v>0</v>
      </c>
      <c r="L585" s="37" t="s">
        <v>494</v>
      </c>
      <c r="M585" s="37">
        <f t="shared" si="58"/>
        <v>0</v>
      </c>
      <c r="N585" s="470" t="s">
        <v>347</v>
      </c>
      <c r="O585" s="470">
        <f t="shared" si="59"/>
        <v>0</v>
      </c>
      <c r="P585" s="37" t="str">
        <f t="shared" si="60"/>
        <v>None</v>
      </c>
      <c r="Q585" s="470" t="s">
        <v>346</v>
      </c>
      <c r="R585" s="37">
        <f t="shared" si="61"/>
        <v>0</v>
      </c>
      <c r="S585" s="470" t="s">
        <v>347</v>
      </c>
      <c r="T585" s="470">
        <f t="shared" si="62"/>
        <v>0</v>
      </c>
      <c r="U585" s="470" t="s">
        <v>346</v>
      </c>
      <c r="V585" s="111">
        <f>IF(OR(F585="none",G585="V"),0,VLOOKUP(F585,'Purchased Boons'!$AR$4:$AS$27,2,FALSE))</f>
        <v>0</v>
      </c>
      <c r="W585" s="39" t="s">
        <v>1054</v>
      </c>
      <c r="X585" s="37" t="s">
        <v>494</v>
      </c>
      <c r="Y585" s="37" t="s">
        <v>1046</v>
      </c>
      <c r="Z585" s="111">
        <v>73</v>
      </c>
      <c r="AG585" s="24"/>
      <c r="AH585" s="24"/>
    </row>
    <row r="586" spans="1:34" x14ac:dyDescent="0.25">
      <c r="A586" s="468" t="s">
        <v>1445</v>
      </c>
      <c r="B586" s="36" t="s">
        <v>181</v>
      </c>
      <c r="C586" s="469">
        <v>4</v>
      </c>
      <c r="D586" s="470" t="s">
        <v>16</v>
      </c>
      <c r="E586" s="37">
        <f t="shared" si="54"/>
        <v>1</v>
      </c>
      <c r="F586" s="470" t="s">
        <v>43</v>
      </c>
      <c r="G586" s="37">
        <f t="shared" si="55"/>
        <v>0</v>
      </c>
      <c r="H586" s="37" t="s">
        <v>494</v>
      </c>
      <c r="I586" s="37">
        <f t="shared" si="56"/>
        <v>0</v>
      </c>
      <c r="J586" s="37" t="s">
        <v>347</v>
      </c>
      <c r="K586" s="37">
        <f t="shared" si="57"/>
        <v>0</v>
      </c>
      <c r="L586" s="37" t="s">
        <v>494</v>
      </c>
      <c r="M586" s="37">
        <f t="shared" si="58"/>
        <v>0</v>
      </c>
      <c r="N586" s="470" t="s">
        <v>347</v>
      </c>
      <c r="O586" s="470">
        <f t="shared" si="59"/>
        <v>0</v>
      </c>
      <c r="P586" s="37" t="str">
        <f t="shared" si="60"/>
        <v>1 + 0</v>
      </c>
      <c r="Q586" s="470" t="s">
        <v>346</v>
      </c>
      <c r="R586" s="37">
        <f t="shared" si="61"/>
        <v>0</v>
      </c>
      <c r="S586" s="470" t="s">
        <v>347</v>
      </c>
      <c r="T586" s="470">
        <f t="shared" si="62"/>
        <v>0</v>
      </c>
      <c r="U586" s="470" t="s">
        <v>346</v>
      </c>
      <c r="V586" s="111">
        <f>IF(OR(F586="none",G586="V"),0,VLOOKUP(F586,'Purchased Boons'!$AR$4:$AS$27,2,FALSE))</f>
        <v>0</v>
      </c>
      <c r="W586" s="39" t="s">
        <v>1054</v>
      </c>
      <c r="X586" s="37" t="s">
        <v>1667</v>
      </c>
      <c r="Y586" s="37" t="s">
        <v>1046</v>
      </c>
      <c r="Z586" s="111">
        <v>229</v>
      </c>
      <c r="AG586" s="24"/>
      <c r="AH586" s="24"/>
    </row>
    <row r="587" spans="1:34" x14ac:dyDescent="0.25">
      <c r="A587" s="468" t="s">
        <v>1092</v>
      </c>
      <c r="B587" s="36" t="s">
        <v>360</v>
      </c>
      <c r="C587" s="469">
        <v>2</v>
      </c>
      <c r="D587" s="470" t="s">
        <v>17</v>
      </c>
      <c r="E587" s="37">
        <f t="shared" si="54"/>
        <v>1</v>
      </c>
      <c r="F587" s="470" t="s">
        <v>43</v>
      </c>
      <c r="G587" s="37">
        <f t="shared" si="55"/>
        <v>0</v>
      </c>
      <c r="H587" s="37" t="s">
        <v>494</v>
      </c>
      <c r="I587" s="37">
        <f t="shared" si="56"/>
        <v>0</v>
      </c>
      <c r="J587" s="37" t="s">
        <v>347</v>
      </c>
      <c r="K587" s="37">
        <f t="shared" si="57"/>
        <v>0</v>
      </c>
      <c r="L587" s="37" t="s">
        <v>494</v>
      </c>
      <c r="M587" s="37">
        <f t="shared" si="58"/>
        <v>0</v>
      </c>
      <c r="N587" s="470" t="s">
        <v>347</v>
      </c>
      <c r="O587" s="470">
        <f t="shared" si="59"/>
        <v>0</v>
      </c>
      <c r="P587" s="37" t="str">
        <f t="shared" si="60"/>
        <v>1 + 0</v>
      </c>
      <c r="Q587" s="470" t="s">
        <v>346</v>
      </c>
      <c r="R587" s="37">
        <f t="shared" si="61"/>
        <v>0</v>
      </c>
      <c r="S587" s="470" t="s">
        <v>347</v>
      </c>
      <c r="T587" s="470">
        <f t="shared" si="62"/>
        <v>0</v>
      </c>
      <c r="U587" s="470" t="s">
        <v>346</v>
      </c>
      <c r="V587" s="111">
        <f>IF(OR(F587="none",G587="V"),0,VLOOKUP(F587,'Purchased Boons'!$AR$4:$AS$27,2,FALSE))</f>
        <v>0</v>
      </c>
      <c r="W587" s="39" t="s">
        <v>1050</v>
      </c>
      <c r="X587" s="37" t="s">
        <v>1532</v>
      </c>
      <c r="Y587" s="37" t="s">
        <v>133</v>
      </c>
      <c r="Z587" s="111">
        <v>145</v>
      </c>
      <c r="AG587" s="24"/>
      <c r="AH587" s="24"/>
    </row>
    <row r="588" spans="1:34" x14ac:dyDescent="0.25">
      <c r="A588" s="468" t="s">
        <v>1397</v>
      </c>
      <c r="B588" s="36" t="s">
        <v>360</v>
      </c>
      <c r="C588" s="469">
        <v>3</v>
      </c>
      <c r="D588" s="470" t="s">
        <v>19</v>
      </c>
      <c r="E588" s="37">
        <f t="shared" si="54"/>
        <v>1</v>
      </c>
      <c r="F588" s="470" t="s">
        <v>41</v>
      </c>
      <c r="G588" s="37">
        <f t="shared" si="55"/>
        <v>0</v>
      </c>
      <c r="H588" s="37" t="s">
        <v>494</v>
      </c>
      <c r="I588" s="37">
        <f t="shared" si="56"/>
        <v>0</v>
      </c>
      <c r="J588" s="37" t="s">
        <v>347</v>
      </c>
      <c r="K588" s="37">
        <f t="shared" si="57"/>
        <v>0</v>
      </c>
      <c r="L588" s="37" t="s">
        <v>494</v>
      </c>
      <c r="M588" s="37">
        <f t="shared" si="58"/>
        <v>0</v>
      </c>
      <c r="N588" s="470" t="s">
        <v>347</v>
      </c>
      <c r="O588" s="470">
        <f t="shared" si="59"/>
        <v>0</v>
      </c>
      <c r="P588" s="37" t="str">
        <f t="shared" si="60"/>
        <v>1 + 0</v>
      </c>
      <c r="Q588" s="470" t="s">
        <v>346</v>
      </c>
      <c r="R588" s="37">
        <f t="shared" si="61"/>
        <v>0</v>
      </c>
      <c r="S588" s="470" t="s">
        <v>347</v>
      </c>
      <c r="T588" s="470">
        <f t="shared" si="62"/>
        <v>0</v>
      </c>
      <c r="U588" s="470" t="s">
        <v>346</v>
      </c>
      <c r="V588" s="111">
        <f>IF(OR(F588="none",G588="V"),0,VLOOKUP(F588,'Purchased Boons'!$AR$4:$AS$27,2,FALSE))</f>
        <v>0</v>
      </c>
      <c r="W588" s="39" t="s">
        <v>1050</v>
      </c>
      <c r="X588" s="37" t="s">
        <v>1525</v>
      </c>
      <c r="Y588" s="37" t="s">
        <v>1046</v>
      </c>
      <c r="Z588" s="111">
        <v>75</v>
      </c>
      <c r="AG588" s="24"/>
      <c r="AH588" s="24"/>
    </row>
    <row r="589" spans="1:34" x14ac:dyDescent="0.25">
      <c r="A589" s="468" t="s">
        <v>1158</v>
      </c>
      <c r="B589" s="36" t="s">
        <v>355</v>
      </c>
      <c r="C589" s="469">
        <v>7</v>
      </c>
      <c r="D589" s="470" t="s">
        <v>494</v>
      </c>
      <c r="E589" s="37">
        <f t="shared" si="54"/>
        <v>0</v>
      </c>
      <c r="F589" s="470" t="s">
        <v>494</v>
      </c>
      <c r="G589" s="37">
        <f t="shared" si="55"/>
        <v>0</v>
      </c>
      <c r="H589" s="37" t="s">
        <v>494</v>
      </c>
      <c r="I589" s="37">
        <f t="shared" si="56"/>
        <v>0</v>
      </c>
      <c r="J589" s="37" t="s">
        <v>347</v>
      </c>
      <c r="K589" s="37">
        <f t="shared" si="57"/>
        <v>0</v>
      </c>
      <c r="L589" s="37" t="s">
        <v>494</v>
      </c>
      <c r="M589" s="37">
        <f t="shared" si="58"/>
        <v>0</v>
      </c>
      <c r="N589" s="470" t="s">
        <v>347</v>
      </c>
      <c r="O589" s="470">
        <f t="shared" si="59"/>
        <v>0</v>
      </c>
      <c r="P589" s="37" t="str">
        <f t="shared" si="60"/>
        <v>None</v>
      </c>
      <c r="Q589" s="470" t="s">
        <v>346</v>
      </c>
      <c r="R589" s="37">
        <f t="shared" si="61"/>
        <v>0</v>
      </c>
      <c r="S589" s="470" t="s">
        <v>347</v>
      </c>
      <c r="T589" s="470">
        <f t="shared" si="62"/>
        <v>0</v>
      </c>
      <c r="U589" s="470" t="s">
        <v>346</v>
      </c>
      <c r="V589" s="111">
        <f>IF(OR(F589="none",G589="V"),0,VLOOKUP(F589,'Purchased Boons'!$AR$4:$AS$27,2,FALSE))</f>
        <v>0</v>
      </c>
      <c r="W589" s="39" t="s">
        <v>1602</v>
      </c>
      <c r="X589" s="37" t="s">
        <v>494</v>
      </c>
      <c r="Y589" s="37" t="s">
        <v>1045</v>
      </c>
      <c r="Z589" s="111">
        <v>75</v>
      </c>
      <c r="AG589" s="24"/>
      <c r="AH589" s="24"/>
    </row>
    <row r="590" spans="1:34" x14ac:dyDescent="0.25">
      <c r="A590" s="468" t="s">
        <v>1465</v>
      </c>
      <c r="B590" s="39" t="s">
        <v>180</v>
      </c>
      <c r="C590" s="469">
        <v>3</v>
      </c>
      <c r="D590" s="470" t="s">
        <v>494</v>
      </c>
      <c r="E590" s="37">
        <f t="shared" si="54"/>
        <v>0</v>
      </c>
      <c r="F590" s="470" t="s">
        <v>494</v>
      </c>
      <c r="G590" s="37">
        <f t="shared" si="55"/>
        <v>0</v>
      </c>
      <c r="H590" s="37" t="s">
        <v>494</v>
      </c>
      <c r="I590" s="37">
        <f t="shared" si="56"/>
        <v>0</v>
      </c>
      <c r="J590" s="37" t="s">
        <v>347</v>
      </c>
      <c r="K590" s="37">
        <f t="shared" si="57"/>
        <v>0</v>
      </c>
      <c r="L590" s="37" t="s">
        <v>494</v>
      </c>
      <c r="M590" s="37">
        <f t="shared" si="58"/>
        <v>0</v>
      </c>
      <c r="N590" s="470" t="s">
        <v>347</v>
      </c>
      <c r="O590" s="470">
        <f t="shared" si="59"/>
        <v>0</v>
      </c>
      <c r="P590" s="37" t="str">
        <f t="shared" si="60"/>
        <v>None</v>
      </c>
      <c r="Q590" s="470" t="s">
        <v>346</v>
      </c>
      <c r="R590" s="37">
        <f t="shared" si="61"/>
        <v>0</v>
      </c>
      <c r="S590" s="470" t="s">
        <v>347</v>
      </c>
      <c r="T590" s="470">
        <f t="shared" si="62"/>
        <v>0</v>
      </c>
      <c r="U590" s="470" t="s">
        <v>346</v>
      </c>
      <c r="V590" s="111">
        <f>IF(OR(F590="none",G590="V"),0,VLOOKUP(F590,'Purchased Boons'!$AR$4:$AS$27,2,FALSE))</f>
        <v>0</v>
      </c>
      <c r="W590" s="39" t="s">
        <v>2928</v>
      </c>
      <c r="X590" s="37" t="s">
        <v>494</v>
      </c>
      <c r="Y590" s="37" t="s">
        <v>1462</v>
      </c>
      <c r="Z590" s="111">
        <v>15</v>
      </c>
      <c r="AG590" s="24"/>
      <c r="AH590" s="24"/>
    </row>
    <row r="591" spans="1:34" x14ac:dyDescent="0.25">
      <c r="A591" s="468" t="s">
        <v>1090</v>
      </c>
      <c r="B591" s="36" t="s">
        <v>108</v>
      </c>
      <c r="C591" s="469">
        <v>3</v>
      </c>
      <c r="D591" s="470" t="s">
        <v>14</v>
      </c>
      <c r="E591" s="37">
        <f t="shared" si="54"/>
        <v>1</v>
      </c>
      <c r="F591" s="470" t="s">
        <v>47</v>
      </c>
      <c r="G591" s="37">
        <f t="shared" si="55"/>
        <v>0</v>
      </c>
      <c r="H591" s="37" t="s">
        <v>494</v>
      </c>
      <c r="I591" s="37">
        <f t="shared" si="56"/>
        <v>0</v>
      </c>
      <c r="J591" s="37" t="s">
        <v>347</v>
      </c>
      <c r="K591" s="37">
        <f t="shared" si="57"/>
        <v>0</v>
      </c>
      <c r="L591" s="37" t="s">
        <v>494</v>
      </c>
      <c r="M591" s="37">
        <f t="shared" si="58"/>
        <v>0</v>
      </c>
      <c r="N591" s="470" t="s">
        <v>347</v>
      </c>
      <c r="O591" s="470">
        <f t="shared" si="59"/>
        <v>0</v>
      </c>
      <c r="P591" s="37" t="str">
        <f t="shared" si="60"/>
        <v>1 + 0</v>
      </c>
      <c r="Q591" s="470" t="s">
        <v>346</v>
      </c>
      <c r="R591" s="37">
        <f t="shared" si="61"/>
        <v>0</v>
      </c>
      <c r="S591" s="470" t="s">
        <v>347</v>
      </c>
      <c r="T591" s="470">
        <f t="shared" si="62"/>
        <v>0</v>
      </c>
      <c r="U591" s="470" t="s">
        <v>346</v>
      </c>
      <c r="V591" s="111">
        <f>IF(OR(F591="none",G591="V"),0,VLOOKUP(F591,'Purchased Boons'!$AR$4:$AS$27,2,FALSE))</f>
        <v>0</v>
      </c>
      <c r="W591" s="39" t="s">
        <v>1604</v>
      </c>
      <c r="X591" s="37" t="s">
        <v>1531</v>
      </c>
      <c r="Y591" s="37" t="s">
        <v>133</v>
      </c>
      <c r="Z591" s="111">
        <v>144</v>
      </c>
      <c r="AG591" s="24"/>
      <c r="AH591" s="24"/>
    </row>
    <row r="592" spans="1:34" x14ac:dyDescent="0.25">
      <c r="A592" s="468" t="s">
        <v>1419</v>
      </c>
      <c r="B592" s="36" t="s">
        <v>371</v>
      </c>
      <c r="C592" s="469">
        <v>9</v>
      </c>
      <c r="D592" s="470" t="s">
        <v>14</v>
      </c>
      <c r="E592" s="37">
        <f t="shared" si="54"/>
        <v>1</v>
      </c>
      <c r="F592" s="470" t="s">
        <v>41</v>
      </c>
      <c r="G592" s="37">
        <f t="shared" si="55"/>
        <v>0</v>
      </c>
      <c r="H592" s="37" t="s">
        <v>494</v>
      </c>
      <c r="I592" s="37">
        <f t="shared" si="56"/>
        <v>0</v>
      </c>
      <c r="J592" s="37" t="s">
        <v>347</v>
      </c>
      <c r="K592" s="37">
        <f t="shared" si="57"/>
        <v>0</v>
      </c>
      <c r="L592" s="37" t="s">
        <v>494</v>
      </c>
      <c r="M592" s="37">
        <f t="shared" si="58"/>
        <v>0</v>
      </c>
      <c r="N592" s="470" t="s">
        <v>347</v>
      </c>
      <c r="O592" s="470">
        <f t="shared" si="59"/>
        <v>0</v>
      </c>
      <c r="P592" s="37" t="str">
        <f t="shared" si="60"/>
        <v>1 + 0</v>
      </c>
      <c r="Q592" s="470" t="s">
        <v>346</v>
      </c>
      <c r="R592" s="37">
        <f t="shared" si="61"/>
        <v>0</v>
      </c>
      <c r="S592" s="470" t="s">
        <v>347</v>
      </c>
      <c r="T592" s="470">
        <f t="shared" si="62"/>
        <v>0</v>
      </c>
      <c r="U592" s="470" t="s">
        <v>346</v>
      </c>
      <c r="V592" s="111">
        <f>IF(OR(F592="none",G592="V"),0,VLOOKUP(F592,'Purchased Boons'!$AR$4:$AS$27,2,FALSE))</f>
        <v>0</v>
      </c>
      <c r="W592" s="39" t="s">
        <v>1679</v>
      </c>
      <c r="X592" s="37" t="s">
        <v>1676</v>
      </c>
      <c r="Y592" s="37" t="s">
        <v>1046</v>
      </c>
      <c r="Z592" s="111">
        <v>82</v>
      </c>
      <c r="AG592" s="24"/>
      <c r="AH592" s="24"/>
    </row>
    <row r="593" spans="1:34" x14ac:dyDescent="0.25">
      <c r="A593" s="468" t="s">
        <v>1402</v>
      </c>
      <c r="B593" s="36" t="s">
        <v>362</v>
      </c>
      <c r="C593" s="469">
        <v>6</v>
      </c>
      <c r="D593" s="470" t="s">
        <v>16</v>
      </c>
      <c r="E593" s="37">
        <f t="shared" si="54"/>
        <v>1</v>
      </c>
      <c r="F593" s="470" t="s">
        <v>51</v>
      </c>
      <c r="G593" s="37">
        <f t="shared" si="55"/>
        <v>0</v>
      </c>
      <c r="H593" s="37" t="s">
        <v>494</v>
      </c>
      <c r="I593" s="37">
        <f t="shared" si="56"/>
        <v>0</v>
      </c>
      <c r="J593" s="37" t="s">
        <v>347</v>
      </c>
      <c r="K593" s="37">
        <f t="shared" si="57"/>
        <v>0</v>
      </c>
      <c r="L593" s="37" t="s">
        <v>494</v>
      </c>
      <c r="M593" s="37">
        <f t="shared" si="58"/>
        <v>0</v>
      </c>
      <c r="N593" s="470" t="s">
        <v>347</v>
      </c>
      <c r="O593" s="470">
        <f t="shared" si="59"/>
        <v>0</v>
      </c>
      <c r="P593" s="37" t="str">
        <f t="shared" si="60"/>
        <v>1 + 0</v>
      </c>
      <c r="Q593" s="470" t="s">
        <v>346</v>
      </c>
      <c r="R593" s="37">
        <f t="shared" si="61"/>
        <v>0</v>
      </c>
      <c r="S593" s="470" t="s">
        <v>347</v>
      </c>
      <c r="T593" s="470">
        <f t="shared" si="62"/>
        <v>0</v>
      </c>
      <c r="U593" s="470" t="s">
        <v>346</v>
      </c>
      <c r="V593" s="111">
        <f>IF(OR(F593="none",G593="V"),0,VLOOKUP(F593,'Purchased Boons'!$AR$4:$AS$27,2,FALSE))</f>
        <v>0</v>
      </c>
      <c r="W593" s="39" t="s">
        <v>1055</v>
      </c>
      <c r="X593" s="37" t="s">
        <v>1536</v>
      </c>
      <c r="Y593" s="37" t="s">
        <v>1046</v>
      </c>
      <c r="Z593" s="111">
        <v>77</v>
      </c>
      <c r="AG593" s="24"/>
      <c r="AH593" s="24"/>
    </row>
    <row r="594" spans="1:34" x14ac:dyDescent="0.25">
      <c r="A594" s="468" t="s">
        <v>1216</v>
      </c>
      <c r="B594" s="36" t="s">
        <v>178</v>
      </c>
      <c r="C594" s="469">
        <v>5</v>
      </c>
      <c r="D594" s="470" t="s">
        <v>13</v>
      </c>
      <c r="E594" s="37">
        <f t="shared" si="54"/>
        <v>1</v>
      </c>
      <c r="F594" s="470" t="s">
        <v>57</v>
      </c>
      <c r="G594" s="37">
        <f t="shared" si="55"/>
        <v>0</v>
      </c>
      <c r="H594" s="37" t="s">
        <v>494</v>
      </c>
      <c r="I594" s="37">
        <f t="shared" si="56"/>
        <v>0</v>
      </c>
      <c r="J594" s="37" t="s">
        <v>347</v>
      </c>
      <c r="K594" s="37">
        <f t="shared" si="57"/>
        <v>0</v>
      </c>
      <c r="L594" s="37" t="s">
        <v>494</v>
      </c>
      <c r="M594" s="37">
        <f t="shared" si="58"/>
        <v>0</v>
      </c>
      <c r="N594" s="470" t="s">
        <v>347</v>
      </c>
      <c r="O594" s="470">
        <f t="shared" si="59"/>
        <v>0</v>
      </c>
      <c r="P594" s="37" t="str">
        <f t="shared" si="60"/>
        <v>1 + 0</v>
      </c>
      <c r="Q594" s="470" t="s">
        <v>346</v>
      </c>
      <c r="R594" s="37">
        <f t="shared" si="61"/>
        <v>0</v>
      </c>
      <c r="S594" s="470" t="s">
        <v>347</v>
      </c>
      <c r="T594" s="470">
        <f t="shared" si="62"/>
        <v>0</v>
      </c>
      <c r="U594" s="470" t="s">
        <v>346</v>
      </c>
      <c r="V594" s="111">
        <f>IF(OR(F594="none",G594="V"),0,VLOOKUP(F594,'Purchased Boons'!$AR$4:$AS$27,2,FALSE))</f>
        <v>0</v>
      </c>
      <c r="W594" s="39" t="s">
        <v>1050</v>
      </c>
      <c r="X594" s="37" t="s">
        <v>1528</v>
      </c>
      <c r="Y594" s="37" t="s">
        <v>1045</v>
      </c>
      <c r="Z594" s="111">
        <v>92</v>
      </c>
      <c r="AG594" s="24"/>
      <c r="AH594" s="24"/>
    </row>
    <row r="595" spans="1:34" x14ac:dyDescent="0.25">
      <c r="A595" s="468" t="s">
        <v>1105</v>
      </c>
      <c r="B595" s="36" t="s">
        <v>365</v>
      </c>
      <c r="C595" s="469">
        <v>3</v>
      </c>
      <c r="D595" s="470" t="s">
        <v>18</v>
      </c>
      <c r="E595" s="37">
        <f t="shared" si="54"/>
        <v>1</v>
      </c>
      <c r="F595" s="470" t="s">
        <v>51</v>
      </c>
      <c r="G595" s="37">
        <f t="shared" si="55"/>
        <v>0</v>
      </c>
      <c r="H595" s="37" t="s">
        <v>494</v>
      </c>
      <c r="I595" s="37">
        <f t="shared" si="56"/>
        <v>0</v>
      </c>
      <c r="J595" s="37" t="s">
        <v>347</v>
      </c>
      <c r="K595" s="37">
        <f t="shared" si="57"/>
        <v>0</v>
      </c>
      <c r="L595" s="37" t="s">
        <v>494</v>
      </c>
      <c r="M595" s="37">
        <f t="shared" si="58"/>
        <v>0</v>
      </c>
      <c r="N595" s="470" t="s">
        <v>347</v>
      </c>
      <c r="O595" s="470">
        <f t="shared" si="59"/>
        <v>0</v>
      </c>
      <c r="P595" s="37" t="str">
        <f t="shared" si="60"/>
        <v>1 + 0</v>
      </c>
      <c r="Q595" s="470" t="s">
        <v>346</v>
      </c>
      <c r="R595" s="37">
        <f t="shared" si="61"/>
        <v>0</v>
      </c>
      <c r="S595" s="470" t="s">
        <v>347</v>
      </c>
      <c r="T595" s="470">
        <f t="shared" si="62"/>
        <v>0</v>
      </c>
      <c r="U595" s="470" t="s">
        <v>346</v>
      </c>
      <c r="V595" s="111">
        <f>IF(OR(F595="none",G595="V"),0,VLOOKUP(F595,'Purchased Boons'!$AR$4:$AS$27,2,FALSE))</f>
        <v>0</v>
      </c>
      <c r="W595" s="39" t="s">
        <v>1050</v>
      </c>
      <c r="X595" s="37" t="s">
        <v>1535</v>
      </c>
      <c r="Y595" s="37" t="s">
        <v>133</v>
      </c>
      <c r="Z595" s="111">
        <v>147</v>
      </c>
      <c r="AG595" s="24"/>
      <c r="AH595" s="24"/>
    </row>
    <row r="596" spans="1:34" x14ac:dyDescent="0.25">
      <c r="A596" s="468" t="s">
        <v>1126</v>
      </c>
      <c r="B596" s="36" t="s">
        <v>155</v>
      </c>
      <c r="C596" s="469">
        <v>3</v>
      </c>
      <c r="D596" s="470" t="s">
        <v>494</v>
      </c>
      <c r="E596" s="37">
        <f t="shared" si="54"/>
        <v>0</v>
      </c>
      <c r="F596" s="470" t="s">
        <v>494</v>
      </c>
      <c r="G596" s="37">
        <f t="shared" si="55"/>
        <v>0</v>
      </c>
      <c r="H596" s="37" t="s">
        <v>494</v>
      </c>
      <c r="I596" s="37">
        <f t="shared" si="56"/>
        <v>0</v>
      </c>
      <c r="J596" s="37" t="s">
        <v>347</v>
      </c>
      <c r="K596" s="37">
        <f t="shared" si="57"/>
        <v>0</v>
      </c>
      <c r="L596" s="37" t="s">
        <v>494</v>
      </c>
      <c r="M596" s="37">
        <f t="shared" si="58"/>
        <v>0</v>
      </c>
      <c r="N596" s="470" t="s">
        <v>347</v>
      </c>
      <c r="O596" s="470">
        <f t="shared" si="59"/>
        <v>0</v>
      </c>
      <c r="P596" s="37" t="str">
        <f t="shared" si="60"/>
        <v>None</v>
      </c>
      <c r="Q596" s="470" t="s">
        <v>346</v>
      </c>
      <c r="R596" s="37">
        <f t="shared" si="61"/>
        <v>0</v>
      </c>
      <c r="S596" s="470" t="s">
        <v>347</v>
      </c>
      <c r="T596" s="470">
        <f t="shared" si="62"/>
        <v>0</v>
      </c>
      <c r="U596" s="470" t="s">
        <v>346</v>
      </c>
      <c r="V596" s="111">
        <f>IF(OR(F596="none",G596="V"),0,VLOOKUP(F596,'Purchased Boons'!$AR$4:$AS$27,2,FALSE))</f>
        <v>0</v>
      </c>
      <c r="W596" s="39" t="s">
        <v>1541</v>
      </c>
      <c r="X596" s="37" t="s">
        <v>494</v>
      </c>
      <c r="Y596" s="37" t="s">
        <v>133</v>
      </c>
      <c r="Z596" s="111">
        <v>153</v>
      </c>
      <c r="AG596" s="24"/>
      <c r="AH596" s="24"/>
    </row>
    <row r="597" spans="1:34" x14ac:dyDescent="0.25">
      <c r="A597" s="468" t="s">
        <v>1360</v>
      </c>
      <c r="B597" s="36" t="s">
        <v>179</v>
      </c>
      <c r="C597" s="469">
        <v>2</v>
      </c>
      <c r="D597" s="470" t="s">
        <v>494</v>
      </c>
      <c r="E597" s="37">
        <f t="shared" si="54"/>
        <v>0</v>
      </c>
      <c r="F597" s="470" t="s">
        <v>494</v>
      </c>
      <c r="G597" s="37">
        <f t="shared" si="55"/>
        <v>0</v>
      </c>
      <c r="H597" s="37" t="s">
        <v>494</v>
      </c>
      <c r="I597" s="37">
        <f t="shared" si="56"/>
        <v>0</v>
      </c>
      <c r="J597" s="37" t="s">
        <v>347</v>
      </c>
      <c r="K597" s="37">
        <f t="shared" si="57"/>
        <v>0</v>
      </c>
      <c r="L597" s="37" t="s">
        <v>494</v>
      </c>
      <c r="M597" s="37">
        <f t="shared" si="58"/>
        <v>0</v>
      </c>
      <c r="N597" s="470" t="s">
        <v>347</v>
      </c>
      <c r="O597" s="470">
        <f t="shared" si="59"/>
        <v>0</v>
      </c>
      <c r="P597" s="37" t="str">
        <f t="shared" si="60"/>
        <v>None</v>
      </c>
      <c r="Q597" s="470" t="s">
        <v>346</v>
      </c>
      <c r="R597" s="37">
        <f t="shared" si="61"/>
        <v>0</v>
      </c>
      <c r="S597" s="470" t="s">
        <v>347</v>
      </c>
      <c r="T597" s="470">
        <f t="shared" si="62"/>
        <v>0</v>
      </c>
      <c r="U597" s="470" t="s">
        <v>346</v>
      </c>
      <c r="V597" s="111">
        <f>IF(OR(F597="none",G597="V"),0,VLOOKUP(F597,'Purchased Boons'!$AR$4:$AS$27,2,FALSE))</f>
        <v>0</v>
      </c>
      <c r="W597" s="39" t="s">
        <v>1764</v>
      </c>
      <c r="X597" s="37" t="s">
        <v>1764</v>
      </c>
      <c r="Y597" s="37" t="s">
        <v>1046</v>
      </c>
      <c r="Z597" s="111">
        <v>22</v>
      </c>
      <c r="AG597" s="24"/>
      <c r="AH597" s="24"/>
    </row>
    <row r="598" spans="1:34" x14ac:dyDescent="0.25">
      <c r="A598" s="473" t="s">
        <v>1505</v>
      </c>
      <c r="B598" s="39" t="s">
        <v>689</v>
      </c>
      <c r="C598" s="469">
        <v>7</v>
      </c>
      <c r="D598" s="470" t="s">
        <v>21</v>
      </c>
      <c r="E598" s="37">
        <f t="shared" si="54"/>
        <v>1</v>
      </c>
      <c r="F598" s="470" t="s">
        <v>52</v>
      </c>
      <c r="G598" s="37">
        <f t="shared" si="55"/>
        <v>0</v>
      </c>
      <c r="H598" s="37" t="s">
        <v>494</v>
      </c>
      <c r="I598" s="37">
        <f t="shared" si="56"/>
        <v>0</v>
      </c>
      <c r="J598" s="37" t="s">
        <v>347</v>
      </c>
      <c r="K598" s="37">
        <f t="shared" si="57"/>
        <v>0</v>
      </c>
      <c r="L598" s="37" t="s">
        <v>494</v>
      </c>
      <c r="M598" s="37">
        <f t="shared" si="58"/>
        <v>0</v>
      </c>
      <c r="N598" s="470" t="s">
        <v>347</v>
      </c>
      <c r="O598" s="470">
        <f t="shared" si="59"/>
        <v>0</v>
      </c>
      <c r="P598" s="37" t="str">
        <f t="shared" si="60"/>
        <v>1 + 0</v>
      </c>
      <c r="Q598" s="470" t="s">
        <v>346</v>
      </c>
      <c r="R598" s="37">
        <f t="shared" si="61"/>
        <v>0</v>
      </c>
      <c r="S598" s="470" t="s">
        <v>347</v>
      </c>
      <c r="T598" s="470">
        <f t="shared" si="62"/>
        <v>0</v>
      </c>
      <c r="U598" s="470" t="s">
        <v>346</v>
      </c>
      <c r="V598" s="111">
        <f>IF(OR(F598="none",G598="V"),0,VLOOKUP(F598,'Purchased Boons'!$AR$4:$AS$27,2,FALSE))</f>
        <v>0</v>
      </c>
      <c r="W598" s="39" t="s">
        <v>1714</v>
      </c>
      <c r="X598" s="37" t="s">
        <v>1680</v>
      </c>
      <c r="Y598" s="37" t="s">
        <v>1484</v>
      </c>
      <c r="Z598" s="111">
        <v>42</v>
      </c>
      <c r="AG598" s="24"/>
      <c r="AH598" s="24"/>
    </row>
    <row r="599" spans="1:34" x14ac:dyDescent="0.25">
      <c r="A599" s="468" t="s">
        <v>1178</v>
      </c>
      <c r="B599" s="36" t="s">
        <v>108</v>
      </c>
      <c r="C599" s="469">
        <v>7</v>
      </c>
      <c r="D599" s="470" t="s">
        <v>14</v>
      </c>
      <c r="E599" s="37">
        <f t="shared" si="54"/>
        <v>1</v>
      </c>
      <c r="F599" s="470" t="s">
        <v>47</v>
      </c>
      <c r="G599" s="37">
        <f t="shared" si="55"/>
        <v>0</v>
      </c>
      <c r="H599" s="37" t="s">
        <v>494</v>
      </c>
      <c r="I599" s="37">
        <f t="shared" si="56"/>
        <v>0</v>
      </c>
      <c r="J599" s="37" t="s">
        <v>347</v>
      </c>
      <c r="K599" s="37">
        <f t="shared" si="57"/>
        <v>0</v>
      </c>
      <c r="L599" s="37" t="s">
        <v>494</v>
      </c>
      <c r="M599" s="37">
        <f t="shared" si="58"/>
        <v>0</v>
      </c>
      <c r="N599" s="470" t="s">
        <v>347</v>
      </c>
      <c r="O599" s="470">
        <f t="shared" si="59"/>
        <v>0</v>
      </c>
      <c r="P599" s="37" t="str">
        <f t="shared" si="60"/>
        <v>1 + 0</v>
      </c>
      <c r="Q599" s="470" t="s">
        <v>346</v>
      </c>
      <c r="R599" s="37">
        <f t="shared" si="61"/>
        <v>0</v>
      </c>
      <c r="S599" s="470" t="s">
        <v>347</v>
      </c>
      <c r="T599" s="470">
        <f t="shared" si="62"/>
        <v>0</v>
      </c>
      <c r="U599" s="470" t="s">
        <v>346</v>
      </c>
      <c r="V599" s="111">
        <f>IF(OR(F599="none",G599="V"),0,VLOOKUP(F599,'Purchased Boons'!$AR$4:$AS$27,2,FALSE))</f>
        <v>0</v>
      </c>
      <c r="W599" s="39" t="s">
        <v>1604</v>
      </c>
      <c r="X599" s="37" t="s">
        <v>1531</v>
      </c>
      <c r="Y599" s="37" t="s">
        <v>1045</v>
      </c>
      <c r="Z599" s="111">
        <v>81</v>
      </c>
      <c r="AG599" s="24"/>
      <c r="AH599" s="24"/>
    </row>
    <row r="600" spans="1:34" x14ac:dyDescent="0.25">
      <c r="A600" s="468" t="s">
        <v>1068</v>
      </c>
      <c r="B600" s="36" t="s">
        <v>353</v>
      </c>
      <c r="C600" s="469">
        <v>2</v>
      </c>
      <c r="D600" s="470" t="s">
        <v>20</v>
      </c>
      <c r="E600" s="37">
        <f t="shared" si="54"/>
        <v>1</v>
      </c>
      <c r="F600" s="470" t="s">
        <v>38</v>
      </c>
      <c r="G600" s="37">
        <f t="shared" si="55"/>
        <v>0</v>
      </c>
      <c r="H600" s="37" t="s">
        <v>494</v>
      </c>
      <c r="I600" s="37">
        <f t="shared" si="56"/>
        <v>0</v>
      </c>
      <c r="J600" s="37" t="s">
        <v>347</v>
      </c>
      <c r="K600" s="37">
        <f t="shared" si="57"/>
        <v>0</v>
      </c>
      <c r="L600" s="37" t="s">
        <v>494</v>
      </c>
      <c r="M600" s="37">
        <f t="shared" si="58"/>
        <v>0</v>
      </c>
      <c r="N600" s="470" t="s">
        <v>347</v>
      </c>
      <c r="O600" s="470">
        <f t="shared" si="59"/>
        <v>0</v>
      </c>
      <c r="P600" s="37" t="str">
        <f t="shared" si="60"/>
        <v>1 + 0</v>
      </c>
      <c r="Q600" s="470" t="s">
        <v>346</v>
      </c>
      <c r="R600" s="37">
        <f t="shared" si="61"/>
        <v>0</v>
      </c>
      <c r="S600" s="470" t="s">
        <v>347</v>
      </c>
      <c r="T600" s="470">
        <f t="shared" si="62"/>
        <v>0</v>
      </c>
      <c r="U600" s="470" t="s">
        <v>346</v>
      </c>
      <c r="V600" s="111">
        <f>IF(OR(F600="none",G600="V"),0,VLOOKUP(F600,'Purchased Boons'!$AR$4:$AS$27,2,FALSE))</f>
        <v>0</v>
      </c>
      <c r="W600" s="39" t="s">
        <v>494</v>
      </c>
      <c r="X600" s="37" t="s">
        <v>1521</v>
      </c>
      <c r="Y600" s="37" t="s">
        <v>133</v>
      </c>
      <c r="Z600" s="111">
        <v>140</v>
      </c>
      <c r="AG600" s="24"/>
      <c r="AH600" s="24"/>
    </row>
    <row r="601" spans="1:34" x14ac:dyDescent="0.25">
      <c r="A601" s="468" t="s">
        <v>1117</v>
      </c>
      <c r="B601" s="36" t="s">
        <v>175</v>
      </c>
      <c r="C601" s="469">
        <v>3</v>
      </c>
      <c r="D601" s="470" t="s">
        <v>20</v>
      </c>
      <c r="E601" s="37">
        <f t="shared" si="54"/>
        <v>1</v>
      </c>
      <c r="F601" s="470" t="s">
        <v>56</v>
      </c>
      <c r="G601" s="37">
        <f t="shared" si="55"/>
        <v>0</v>
      </c>
      <c r="H601" s="37" t="s">
        <v>494</v>
      </c>
      <c r="I601" s="37">
        <f t="shared" si="56"/>
        <v>0</v>
      </c>
      <c r="J601" s="37" t="s">
        <v>347</v>
      </c>
      <c r="K601" s="37">
        <f t="shared" si="57"/>
        <v>0</v>
      </c>
      <c r="L601" s="37" t="s">
        <v>494</v>
      </c>
      <c r="M601" s="37">
        <f t="shared" si="58"/>
        <v>0</v>
      </c>
      <c r="N601" s="470" t="s">
        <v>347</v>
      </c>
      <c r="O601" s="470">
        <f t="shared" si="59"/>
        <v>0</v>
      </c>
      <c r="P601" s="37" t="str">
        <f t="shared" si="60"/>
        <v>1 + 0</v>
      </c>
      <c r="Q601" s="470" t="s">
        <v>346</v>
      </c>
      <c r="R601" s="37">
        <f t="shared" si="61"/>
        <v>0</v>
      </c>
      <c r="S601" s="470" t="s">
        <v>347</v>
      </c>
      <c r="T601" s="470">
        <f t="shared" si="62"/>
        <v>0</v>
      </c>
      <c r="U601" s="470" t="s">
        <v>346</v>
      </c>
      <c r="V601" s="111">
        <f>IF(OR(F601="none",G601="V"),0,VLOOKUP(F601,'Purchased Boons'!$AR$4:$AS$27,2,FALSE))</f>
        <v>0</v>
      </c>
      <c r="W601" s="39" t="s">
        <v>1602</v>
      </c>
      <c r="X601" s="37" t="s">
        <v>1546</v>
      </c>
      <c r="Y601" s="37" t="s">
        <v>133</v>
      </c>
      <c r="Z601" s="111">
        <v>150</v>
      </c>
      <c r="AG601" s="24"/>
      <c r="AH601" s="24"/>
    </row>
    <row r="602" spans="1:34" x14ac:dyDescent="0.25">
      <c r="A602" s="468" t="s">
        <v>1392</v>
      </c>
      <c r="B602" s="36" t="s">
        <v>358</v>
      </c>
      <c r="C602" s="469">
        <v>9</v>
      </c>
      <c r="D602" s="470" t="s">
        <v>21</v>
      </c>
      <c r="E602" s="37">
        <f t="shared" si="54"/>
        <v>1</v>
      </c>
      <c r="F602" s="470" t="s">
        <v>56</v>
      </c>
      <c r="G602" s="37">
        <f t="shared" si="55"/>
        <v>0</v>
      </c>
      <c r="H602" s="37" t="s">
        <v>494</v>
      </c>
      <c r="I602" s="37">
        <f t="shared" si="56"/>
        <v>0</v>
      </c>
      <c r="J602" s="37" t="s">
        <v>347</v>
      </c>
      <c r="K602" s="37">
        <f t="shared" si="57"/>
        <v>0</v>
      </c>
      <c r="L602" s="37" t="s">
        <v>494</v>
      </c>
      <c r="M602" s="37">
        <f t="shared" si="58"/>
        <v>0</v>
      </c>
      <c r="N602" s="470" t="s">
        <v>347</v>
      </c>
      <c r="O602" s="470">
        <f t="shared" si="59"/>
        <v>0</v>
      </c>
      <c r="P602" s="37" t="str">
        <f t="shared" si="60"/>
        <v>1 + 0</v>
      </c>
      <c r="Q602" s="470" t="s">
        <v>346</v>
      </c>
      <c r="R602" s="37">
        <f t="shared" si="61"/>
        <v>0</v>
      </c>
      <c r="S602" s="470" t="s">
        <v>347</v>
      </c>
      <c r="T602" s="470">
        <f t="shared" si="62"/>
        <v>0</v>
      </c>
      <c r="U602" s="470" t="s">
        <v>346</v>
      </c>
      <c r="V602" s="111">
        <f>IF(OR(F602="none",G602="V"),0,VLOOKUP(F602,'Purchased Boons'!$AR$4:$AS$27,2,FALSE))</f>
        <v>0</v>
      </c>
      <c r="W602" s="39" t="s">
        <v>1052</v>
      </c>
      <c r="X602" s="37" t="s">
        <v>1591</v>
      </c>
      <c r="Y602" s="37" t="s">
        <v>1046</v>
      </c>
      <c r="Z602" s="111">
        <v>74</v>
      </c>
      <c r="AG602" s="24"/>
      <c r="AH602" s="24"/>
    </row>
    <row r="603" spans="1:34" x14ac:dyDescent="0.25">
      <c r="A603" s="473" t="s">
        <v>1487</v>
      </c>
      <c r="B603" s="39" t="s">
        <v>690</v>
      </c>
      <c r="C603" s="469">
        <v>3</v>
      </c>
      <c r="D603" s="470" t="s">
        <v>494</v>
      </c>
      <c r="E603" s="37">
        <f t="shared" si="54"/>
        <v>0</v>
      </c>
      <c r="F603" s="470" t="s">
        <v>494</v>
      </c>
      <c r="G603" s="37">
        <f t="shared" si="55"/>
        <v>0</v>
      </c>
      <c r="H603" s="37" t="s">
        <v>494</v>
      </c>
      <c r="I603" s="37">
        <f t="shared" si="56"/>
        <v>0</v>
      </c>
      <c r="J603" s="37" t="s">
        <v>347</v>
      </c>
      <c r="K603" s="37">
        <f t="shared" si="57"/>
        <v>0</v>
      </c>
      <c r="L603" s="37" t="s">
        <v>494</v>
      </c>
      <c r="M603" s="37">
        <f t="shared" si="58"/>
        <v>0</v>
      </c>
      <c r="N603" s="470" t="s">
        <v>347</v>
      </c>
      <c r="O603" s="470">
        <f t="shared" si="59"/>
        <v>0</v>
      </c>
      <c r="P603" s="37" t="str">
        <f t="shared" si="60"/>
        <v>None</v>
      </c>
      <c r="Q603" s="470" t="s">
        <v>346</v>
      </c>
      <c r="R603" s="37">
        <f t="shared" si="61"/>
        <v>0</v>
      </c>
      <c r="S603" s="470" t="s">
        <v>347</v>
      </c>
      <c r="T603" s="470">
        <f t="shared" si="62"/>
        <v>0</v>
      </c>
      <c r="U603" s="470" t="s">
        <v>346</v>
      </c>
      <c r="V603" s="111">
        <f>IF(OR(F603="none",G603="V"),0,VLOOKUP(F603,'Purchased Boons'!$AR$4:$AS$27,2,FALSE))</f>
        <v>0</v>
      </c>
      <c r="W603" s="39" t="s">
        <v>1602</v>
      </c>
      <c r="X603" s="37" t="s">
        <v>494</v>
      </c>
      <c r="Y603" s="37" t="s">
        <v>1484</v>
      </c>
      <c r="Z603" s="111">
        <v>36</v>
      </c>
      <c r="AG603" s="24"/>
      <c r="AH603" s="24"/>
    </row>
    <row r="604" spans="1:34" x14ac:dyDescent="0.25">
      <c r="A604" s="468" t="s">
        <v>1464</v>
      </c>
      <c r="B604" s="39" t="s">
        <v>180</v>
      </c>
      <c r="C604" s="469">
        <v>2</v>
      </c>
      <c r="D604" s="470" t="s">
        <v>494</v>
      </c>
      <c r="E604" s="37">
        <f t="shared" si="54"/>
        <v>0</v>
      </c>
      <c r="F604" s="470" t="s">
        <v>494</v>
      </c>
      <c r="G604" s="37">
        <f t="shared" si="55"/>
        <v>0</v>
      </c>
      <c r="H604" s="37" t="s">
        <v>494</v>
      </c>
      <c r="I604" s="37">
        <f t="shared" si="56"/>
        <v>0</v>
      </c>
      <c r="J604" s="37" t="s">
        <v>347</v>
      </c>
      <c r="K604" s="37">
        <f t="shared" si="57"/>
        <v>0</v>
      </c>
      <c r="L604" s="37" t="s">
        <v>494</v>
      </c>
      <c r="M604" s="37">
        <f t="shared" si="58"/>
        <v>0</v>
      </c>
      <c r="N604" s="470" t="s">
        <v>347</v>
      </c>
      <c r="O604" s="470">
        <f t="shared" si="59"/>
        <v>0</v>
      </c>
      <c r="P604" s="37" t="str">
        <f t="shared" si="60"/>
        <v>None</v>
      </c>
      <c r="Q604" s="470" t="s">
        <v>346</v>
      </c>
      <c r="R604" s="37">
        <f t="shared" si="61"/>
        <v>0</v>
      </c>
      <c r="S604" s="470" t="s">
        <v>347</v>
      </c>
      <c r="T604" s="470">
        <f t="shared" si="62"/>
        <v>0</v>
      </c>
      <c r="U604" s="470" t="s">
        <v>346</v>
      </c>
      <c r="V604" s="111">
        <f>IF(OR(F604="none",G604="V"),0,VLOOKUP(F604,'Purchased Boons'!$AR$4:$AS$27,2,FALSE))</f>
        <v>0</v>
      </c>
      <c r="W604" s="39" t="s">
        <v>2927</v>
      </c>
      <c r="X604" s="37" t="s">
        <v>494</v>
      </c>
      <c r="Y604" s="37" t="s">
        <v>1462</v>
      </c>
      <c r="Z604" s="111">
        <v>15</v>
      </c>
      <c r="AG604" s="24"/>
      <c r="AH604" s="24"/>
    </row>
    <row r="605" spans="1:34" x14ac:dyDescent="0.25">
      <c r="A605" s="468" t="s">
        <v>1275</v>
      </c>
      <c r="B605" s="36" t="s">
        <v>108</v>
      </c>
      <c r="C605" s="469">
        <v>8</v>
      </c>
      <c r="D605" s="470" t="s">
        <v>13</v>
      </c>
      <c r="E605" s="37">
        <f t="shared" si="54"/>
        <v>1</v>
      </c>
      <c r="F605" s="470" t="s">
        <v>47</v>
      </c>
      <c r="G605" s="37">
        <f t="shared" si="55"/>
        <v>0</v>
      </c>
      <c r="H605" s="37" t="s">
        <v>494</v>
      </c>
      <c r="I605" s="37">
        <f t="shared" si="56"/>
        <v>0</v>
      </c>
      <c r="J605" s="37" t="s">
        <v>347</v>
      </c>
      <c r="K605" s="37">
        <f t="shared" si="57"/>
        <v>0</v>
      </c>
      <c r="L605" s="37" t="s">
        <v>494</v>
      </c>
      <c r="M605" s="37">
        <f t="shared" si="58"/>
        <v>0</v>
      </c>
      <c r="N605" s="470" t="s">
        <v>347</v>
      </c>
      <c r="O605" s="470">
        <f t="shared" si="59"/>
        <v>0</v>
      </c>
      <c r="P605" s="37" t="str">
        <f t="shared" si="60"/>
        <v>1 + 0</v>
      </c>
      <c r="Q605" s="470" t="s">
        <v>346</v>
      </c>
      <c r="R605" s="37">
        <f t="shared" si="61"/>
        <v>0</v>
      </c>
      <c r="S605" s="470" t="s">
        <v>347</v>
      </c>
      <c r="T605" s="470">
        <f t="shared" si="62"/>
        <v>0</v>
      </c>
      <c r="U605" s="470" t="s">
        <v>346</v>
      </c>
      <c r="V605" s="111">
        <f>IF(OR(F605="none",G605="V"),0,VLOOKUP(F605,'Purchased Boons'!$AR$4:$AS$27,2,FALSE))</f>
        <v>0</v>
      </c>
      <c r="W605" s="39" t="s">
        <v>1053</v>
      </c>
      <c r="X605" s="37" t="s">
        <v>1660</v>
      </c>
      <c r="Y605" s="37" t="s">
        <v>5</v>
      </c>
      <c r="Z605" s="111">
        <v>92</v>
      </c>
      <c r="AG605" s="24"/>
      <c r="AH605" s="24"/>
    </row>
    <row r="606" spans="1:34" x14ac:dyDescent="0.25">
      <c r="A606" s="468" t="s">
        <v>1125</v>
      </c>
      <c r="B606" s="36" t="s">
        <v>155</v>
      </c>
      <c r="C606" s="469">
        <v>2</v>
      </c>
      <c r="D606" s="470" t="s">
        <v>494</v>
      </c>
      <c r="E606" s="37">
        <f t="shared" si="54"/>
        <v>0</v>
      </c>
      <c r="F606" s="470" t="s">
        <v>494</v>
      </c>
      <c r="G606" s="37">
        <f t="shared" si="55"/>
        <v>0</v>
      </c>
      <c r="H606" s="37" t="s">
        <v>494</v>
      </c>
      <c r="I606" s="37">
        <f t="shared" si="56"/>
        <v>0</v>
      </c>
      <c r="J606" s="37" t="s">
        <v>347</v>
      </c>
      <c r="K606" s="37">
        <f t="shared" si="57"/>
        <v>0</v>
      </c>
      <c r="L606" s="37" t="s">
        <v>494</v>
      </c>
      <c r="M606" s="37">
        <f t="shared" si="58"/>
        <v>0</v>
      </c>
      <c r="N606" s="470" t="s">
        <v>347</v>
      </c>
      <c r="O606" s="470">
        <f t="shared" si="59"/>
        <v>0</v>
      </c>
      <c r="P606" s="37" t="str">
        <f t="shared" si="60"/>
        <v>None</v>
      </c>
      <c r="Q606" s="470" t="s">
        <v>346</v>
      </c>
      <c r="R606" s="37">
        <f t="shared" si="61"/>
        <v>0</v>
      </c>
      <c r="S606" s="470" t="s">
        <v>347</v>
      </c>
      <c r="T606" s="470">
        <f t="shared" si="62"/>
        <v>0</v>
      </c>
      <c r="U606" s="470" t="s">
        <v>346</v>
      </c>
      <c r="V606" s="111">
        <f>IF(OR(F606="none",G606="V"),0,VLOOKUP(F606,'Purchased Boons'!$AR$4:$AS$27,2,FALSE))</f>
        <v>0</v>
      </c>
      <c r="W606" s="39" t="s">
        <v>1540</v>
      </c>
      <c r="X606" s="37" t="s">
        <v>494</v>
      </c>
      <c r="Y606" s="37" t="s">
        <v>133</v>
      </c>
      <c r="Z606" s="111">
        <v>153</v>
      </c>
      <c r="AG606" s="24"/>
      <c r="AH606" s="24"/>
    </row>
    <row r="607" spans="1:34" x14ac:dyDescent="0.25">
      <c r="A607" s="468" t="s">
        <v>1276</v>
      </c>
      <c r="B607" s="36" t="s">
        <v>108</v>
      </c>
      <c r="C607" s="469">
        <v>9</v>
      </c>
      <c r="D607" s="470" t="s">
        <v>20</v>
      </c>
      <c r="E607" s="37">
        <f t="shared" si="54"/>
        <v>1</v>
      </c>
      <c r="F607" s="470" t="s">
        <v>47</v>
      </c>
      <c r="G607" s="37">
        <f t="shared" si="55"/>
        <v>0</v>
      </c>
      <c r="H607" s="37" t="s">
        <v>494</v>
      </c>
      <c r="I607" s="37">
        <f t="shared" si="56"/>
        <v>0</v>
      </c>
      <c r="J607" s="37" t="s">
        <v>347</v>
      </c>
      <c r="K607" s="37">
        <f t="shared" si="57"/>
        <v>0</v>
      </c>
      <c r="L607" s="37" t="s">
        <v>494</v>
      </c>
      <c r="M607" s="37">
        <f t="shared" si="58"/>
        <v>0</v>
      </c>
      <c r="N607" s="470" t="s">
        <v>347</v>
      </c>
      <c r="O607" s="470">
        <f t="shared" si="59"/>
        <v>0</v>
      </c>
      <c r="P607" s="37" t="str">
        <f t="shared" si="60"/>
        <v>1 + 0</v>
      </c>
      <c r="Q607" s="470" t="s">
        <v>346</v>
      </c>
      <c r="R607" s="37">
        <f t="shared" si="61"/>
        <v>0</v>
      </c>
      <c r="S607" s="470" t="s">
        <v>347</v>
      </c>
      <c r="T607" s="470">
        <f t="shared" si="62"/>
        <v>0</v>
      </c>
      <c r="U607" s="470" t="s">
        <v>346</v>
      </c>
      <c r="V607" s="111">
        <f>IF(OR(F607="none",G607="V"),0,VLOOKUP(F607,'Purchased Boons'!$AR$4:$AS$27,2,FALSE))</f>
        <v>0</v>
      </c>
      <c r="W607" s="39" t="s">
        <v>1637</v>
      </c>
      <c r="X607" s="37" t="s">
        <v>1585</v>
      </c>
      <c r="Y607" s="37" t="s">
        <v>5</v>
      </c>
      <c r="Z607" s="111">
        <v>92</v>
      </c>
      <c r="AG607" s="24"/>
      <c r="AH607" s="24"/>
    </row>
    <row r="608" spans="1:34" x14ac:dyDescent="0.25">
      <c r="A608" s="468" t="s">
        <v>1463</v>
      </c>
      <c r="B608" s="39" t="s">
        <v>180</v>
      </c>
      <c r="C608" s="469">
        <v>1</v>
      </c>
      <c r="D608" s="470" t="s">
        <v>494</v>
      </c>
      <c r="E608" s="37">
        <f t="shared" si="54"/>
        <v>0</v>
      </c>
      <c r="F608" s="470" t="s">
        <v>494</v>
      </c>
      <c r="G608" s="37">
        <f t="shared" si="55"/>
        <v>0</v>
      </c>
      <c r="H608" s="37" t="s">
        <v>494</v>
      </c>
      <c r="I608" s="37">
        <f t="shared" si="56"/>
        <v>0</v>
      </c>
      <c r="J608" s="37" t="s">
        <v>347</v>
      </c>
      <c r="K608" s="37">
        <f t="shared" si="57"/>
        <v>0</v>
      </c>
      <c r="L608" s="37" t="s">
        <v>494</v>
      </c>
      <c r="M608" s="37">
        <f t="shared" si="58"/>
        <v>0</v>
      </c>
      <c r="N608" s="470" t="s">
        <v>347</v>
      </c>
      <c r="O608" s="470">
        <f t="shared" si="59"/>
        <v>0</v>
      </c>
      <c r="P608" s="37" t="str">
        <f t="shared" si="60"/>
        <v>None</v>
      </c>
      <c r="Q608" s="470" t="s">
        <v>346</v>
      </c>
      <c r="R608" s="37">
        <f t="shared" si="61"/>
        <v>0</v>
      </c>
      <c r="S608" s="470" t="s">
        <v>347</v>
      </c>
      <c r="T608" s="470">
        <f t="shared" si="62"/>
        <v>0</v>
      </c>
      <c r="U608" s="470" t="s">
        <v>346</v>
      </c>
      <c r="V608" s="111">
        <f>IF(OR(F608="none",G608="V"),0,VLOOKUP(F608,'Purchased Boons'!$AR$4:$AS$27,2,FALSE))</f>
        <v>0</v>
      </c>
      <c r="W608" s="39" t="s">
        <v>2926</v>
      </c>
      <c r="X608" s="37" t="s">
        <v>494</v>
      </c>
      <c r="Y608" s="37" t="s">
        <v>1462</v>
      </c>
      <c r="Z608" s="111">
        <v>14</v>
      </c>
      <c r="AG608" s="24"/>
      <c r="AH608" s="24"/>
    </row>
    <row r="609" spans="1:34" x14ac:dyDescent="0.25">
      <c r="A609" s="468" t="s">
        <v>1244</v>
      </c>
      <c r="B609" s="36" t="s">
        <v>352</v>
      </c>
      <c r="C609" s="469">
        <v>9</v>
      </c>
      <c r="D609" s="470" t="s">
        <v>20</v>
      </c>
      <c r="E609" s="37">
        <f t="shared" si="54"/>
        <v>1</v>
      </c>
      <c r="F609" s="470" t="s">
        <v>36</v>
      </c>
      <c r="G609" s="37">
        <f t="shared" si="55"/>
        <v>0</v>
      </c>
      <c r="H609" s="37" t="s">
        <v>494</v>
      </c>
      <c r="I609" s="37">
        <f t="shared" si="56"/>
        <v>0</v>
      </c>
      <c r="J609" s="37" t="s">
        <v>347</v>
      </c>
      <c r="K609" s="37">
        <f t="shared" si="57"/>
        <v>0</v>
      </c>
      <c r="L609" s="37" t="s">
        <v>494</v>
      </c>
      <c r="M609" s="37">
        <f t="shared" si="58"/>
        <v>0</v>
      </c>
      <c r="N609" s="470" t="s">
        <v>347</v>
      </c>
      <c r="O609" s="470">
        <f t="shared" si="59"/>
        <v>0</v>
      </c>
      <c r="P609" s="37" t="str">
        <f t="shared" si="60"/>
        <v>1 + 0</v>
      </c>
      <c r="Q609" s="470" t="s">
        <v>346</v>
      </c>
      <c r="R609" s="37">
        <f t="shared" si="61"/>
        <v>0</v>
      </c>
      <c r="S609" s="470" t="s">
        <v>347</v>
      </c>
      <c r="T609" s="470">
        <f t="shared" si="62"/>
        <v>0</v>
      </c>
      <c r="U609" s="470" t="s">
        <v>346</v>
      </c>
      <c r="V609" s="111">
        <f>IF(OR(F609="none",G609="V"),0,VLOOKUP(F609,'Purchased Boons'!$AR$4:$AS$27,2,FALSE))</f>
        <v>0</v>
      </c>
      <c r="W609" s="39" t="s">
        <v>1624</v>
      </c>
      <c r="X609" s="37" t="s">
        <v>1516</v>
      </c>
      <c r="Y609" s="37" t="s">
        <v>5</v>
      </c>
      <c r="Z609" s="111">
        <v>81</v>
      </c>
      <c r="AG609" s="24"/>
      <c r="AH609" s="24"/>
    </row>
    <row r="610" spans="1:34" x14ac:dyDescent="0.25">
      <c r="A610" s="473" t="s">
        <v>1498</v>
      </c>
      <c r="B610" s="39" t="s">
        <v>359</v>
      </c>
      <c r="C610" s="37">
        <v>5</v>
      </c>
      <c r="D610" s="470" t="s">
        <v>14</v>
      </c>
      <c r="E610" s="37">
        <f t="shared" si="54"/>
        <v>1</v>
      </c>
      <c r="F610" s="470" t="s">
        <v>43</v>
      </c>
      <c r="G610" s="37">
        <f t="shared" si="55"/>
        <v>0</v>
      </c>
      <c r="H610" s="37" t="s">
        <v>494</v>
      </c>
      <c r="I610" s="37">
        <f t="shared" si="56"/>
        <v>0</v>
      </c>
      <c r="J610" s="37" t="s">
        <v>347</v>
      </c>
      <c r="K610" s="37">
        <f t="shared" si="57"/>
        <v>0</v>
      </c>
      <c r="L610" s="37" t="s">
        <v>494</v>
      </c>
      <c r="M610" s="37">
        <f t="shared" si="58"/>
        <v>0</v>
      </c>
      <c r="N610" s="470" t="s">
        <v>347</v>
      </c>
      <c r="O610" s="470">
        <f t="shared" si="59"/>
        <v>0</v>
      </c>
      <c r="P610" s="37" t="str">
        <f t="shared" si="60"/>
        <v>1 + 0</v>
      </c>
      <c r="Q610" s="470" t="s">
        <v>346</v>
      </c>
      <c r="R610" s="37">
        <f t="shared" si="61"/>
        <v>0</v>
      </c>
      <c r="S610" s="470" t="s">
        <v>347</v>
      </c>
      <c r="T610" s="470">
        <f t="shared" si="62"/>
        <v>0</v>
      </c>
      <c r="U610" s="470" t="s">
        <v>346</v>
      </c>
      <c r="V610" s="111">
        <f>IF(OR(F610="none",G610="V"),0,VLOOKUP(F610,'Purchased Boons'!$AR$4:$AS$27,2,FALSE))</f>
        <v>0</v>
      </c>
      <c r="W610" s="39" t="s">
        <v>1607</v>
      </c>
      <c r="X610" s="37" t="s">
        <v>1709</v>
      </c>
      <c r="Y610" s="37" t="s">
        <v>1484</v>
      </c>
      <c r="Z610" s="111">
        <v>34</v>
      </c>
      <c r="AG610" s="24"/>
      <c r="AH610" s="24"/>
    </row>
    <row r="611" spans="1:34" x14ac:dyDescent="0.25">
      <c r="A611" s="468" t="s">
        <v>1268</v>
      </c>
      <c r="B611" s="36" t="s">
        <v>358</v>
      </c>
      <c r="C611" s="469">
        <v>9</v>
      </c>
      <c r="D611" s="470" t="s">
        <v>16</v>
      </c>
      <c r="E611" s="37">
        <f t="shared" si="54"/>
        <v>1</v>
      </c>
      <c r="F611" s="470" t="s">
        <v>40</v>
      </c>
      <c r="G611" s="37">
        <f t="shared" si="55"/>
        <v>0</v>
      </c>
      <c r="H611" s="37" t="s">
        <v>494</v>
      </c>
      <c r="I611" s="37">
        <f t="shared" si="56"/>
        <v>0</v>
      </c>
      <c r="J611" s="37" t="s">
        <v>347</v>
      </c>
      <c r="K611" s="37">
        <f t="shared" si="57"/>
        <v>0</v>
      </c>
      <c r="L611" s="37" t="s">
        <v>494</v>
      </c>
      <c r="M611" s="37">
        <f t="shared" si="58"/>
        <v>0</v>
      </c>
      <c r="N611" s="470" t="s">
        <v>347</v>
      </c>
      <c r="O611" s="470">
        <f t="shared" si="59"/>
        <v>0</v>
      </c>
      <c r="P611" s="37" t="str">
        <f t="shared" si="60"/>
        <v>1 + 0</v>
      </c>
      <c r="Q611" s="470" t="s">
        <v>346</v>
      </c>
      <c r="R611" s="37">
        <f t="shared" si="61"/>
        <v>0</v>
      </c>
      <c r="S611" s="470" t="s">
        <v>347</v>
      </c>
      <c r="T611" s="470">
        <f t="shared" si="62"/>
        <v>0</v>
      </c>
      <c r="U611" s="470" t="s">
        <v>346</v>
      </c>
      <c r="V611" s="111">
        <f>IF(OR(F611="none",G611="V"),0,VLOOKUP(F611,'Purchased Boons'!$AR$4:$AS$27,2,FALSE))</f>
        <v>0</v>
      </c>
      <c r="W611" s="39" t="s">
        <v>1625</v>
      </c>
      <c r="X611" s="37" t="s">
        <v>1526</v>
      </c>
      <c r="Y611" s="37" t="s">
        <v>5</v>
      </c>
      <c r="Z611" s="111">
        <v>89</v>
      </c>
      <c r="AG611" s="24"/>
      <c r="AH611" s="24"/>
    </row>
    <row r="612" spans="1:34" x14ac:dyDescent="0.25">
      <c r="A612" s="473" t="s">
        <v>2340</v>
      </c>
      <c r="B612" s="39" t="s">
        <v>689</v>
      </c>
      <c r="C612" s="469">
        <v>1</v>
      </c>
      <c r="D612" s="470" t="s">
        <v>17</v>
      </c>
      <c r="E612" s="37">
        <f t="shared" si="54"/>
        <v>1</v>
      </c>
      <c r="F612" s="470" t="s">
        <v>49</v>
      </c>
      <c r="G612" s="37">
        <f t="shared" si="55"/>
        <v>0</v>
      </c>
      <c r="H612" s="37" t="s">
        <v>689</v>
      </c>
      <c r="I612" s="37">
        <f t="shared" si="56"/>
        <v>0</v>
      </c>
      <c r="J612" s="37" t="s">
        <v>347</v>
      </c>
      <c r="K612" s="37">
        <f t="shared" si="57"/>
        <v>0</v>
      </c>
      <c r="L612" s="37" t="s">
        <v>494</v>
      </c>
      <c r="M612" s="37">
        <f t="shared" si="58"/>
        <v>0</v>
      </c>
      <c r="N612" s="470" t="s">
        <v>347</v>
      </c>
      <c r="O612" s="470">
        <f t="shared" si="59"/>
        <v>0</v>
      </c>
      <c r="P612" s="37" t="str">
        <f t="shared" ref="P612:P621" si="63">IF(OR(D612="Varies",F612="Varies",H612="Varies",L612="Varies"),"Varies",IF(AND(D612="None",F612="None",H612="None",L612="None",J612="No",N612="No"),"None",CONCATENATE(E612+G612+V612+K612+M612+O612," + ",R612+I612+T612)))</f>
        <v>1 + 0</v>
      </c>
      <c r="Q612" s="470" t="s">
        <v>346</v>
      </c>
      <c r="R612" s="37">
        <f t="shared" si="61"/>
        <v>0</v>
      </c>
      <c r="S612" s="470" t="s">
        <v>347</v>
      </c>
      <c r="T612" s="470">
        <f t="shared" si="62"/>
        <v>0</v>
      </c>
      <c r="U612" s="470" t="s">
        <v>346</v>
      </c>
      <c r="V612" s="111">
        <f>IF(OR(F612="none",G612="V"),0,VLOOKUP(F612,'Purchased Boons'!$AR$4:$AS$27,2,FALSE))</f>
        <v>0</v>
      </c>
      <c r="W612" s="39" t="s">
        <v>1050</v>
      </c>
      <c r="X612" s="37" t="s">
        <v>1597</v>
      </c>
      <c r="Y612" s="37" t="s">
        <v>1046</v>
      </c>
      <c r="Z612" s="111">
        <v>14</v>
      </c>
      <c r="AG612" s="24"/>
      <c r="AH612" s="24"/>
    </row>
    <row r="613" spans="1:34" x14ac:dyDescent="0.25">
      <c r="A613" s="473" t="s">
        <v>2349</v>
      </c>
      <c r="B613" s="39" t="s">
        <v>689</v>
      </c>
      <c r="C613" s="469">
        <v>10</v>
      </c>
      <c r="D613" s="470" t="s">
        <v>17</v>
      </c>
      <c r="E613" s="37">
        <f t="shared" si="54"/>
        <v>1</v>
      </c>
      <c r="F613" s="470" t="s">
        <v>49</v>
      </c>
      <c r="G613" s="37">
        <f t="shared" si="55"/>
        <v>0</v>
      </c>
      <c r="H613" s="37" t="s">
        <v>689</v>
      </c>
      <c r="I613" s="37">
        <f t="shared" si="56"/>
        <v>0</v>
      </c>
      <c r="J613" s="37" t="s">
        <v>347</v>
      </c>
      <c r="K613" s="37">
        <f t="shared" si="57"/>
        <v>0</v>
      </c>
      <c r="L613" s="37" t="s">
        <v>494</v>
      </c>
      <c r="M613" s="37">
        <f t="shared" si="58"/>
        <v>0</v>
      </c>
      <c r="N613" s="470" t="s">
        <v>347</v>
      </c>
      <c r="O613" s="470">
        <f t="shared" si="59"/>
        <v>0</v>
      </c>
      <c r="P613" s="37" t="str">
        <f t="shared" si="63"/>
        <v>1 + 0</v>
      </c>
      <c r="Q613" s="470" t="s">
        <v>346</v>
      </c>
      <c r="R613" s="37">
        <f t="shared" si="61"/>
        <v>0</v>
      </c>
      <c r="S613" s="470" t="s">
        <v>347</v>
      </c>
      <c r="T613" s="470">
        <f t="shared" si="62"/>
        <v>0</v>
      </c>
      <c r="U613" s="470" t="s">
        <v>346</v>
      </c>
      <c r="V613" s="111">
        <f>IF(OR(F613="none",G613="V"),0,VLOOKUP(F613,'Purchased Boons'!$AR$4:$AS$27,2,FALSE))</f>
        <v>0</v>
      </c>
      <c r="W613" s="39" t="s">
        <v>1050</v>
      </c>
      <c r="X613" s="37" t="s">
        <v>1597</v>
      </c>
      <c r="Y613" s="37" t="s">
        <v>1046</v>
      </c>
      <c r="Z613" s="111">
        <v>14</v>
      </c>
      <c r="AG613" s="24"/>
      <c r="AH613" s="24"/>
    </row>
    <row r="614" spans="1:34" x14ac:dyDescent="0.25">
      <c r="A614" s="473" t="s">
        <v>2341</v>
      </c>
      <c r="B614" s="39" t="s">
        <v>689</v>
      </c>
      <c r="C614" s="469">
        <v>2</v>
      </c>
      <c r="D614" s="470" t="s">
        <v>17</v>
      </c>
      <c r="E614" s="37">
        <f t="shared" si="54"/>
        <v>1</v>
      </c>
      <c r="F614" s="470" t="s">
        <v>49</v>
      </c>
      <c r="G614" s="37">
        <f t="shared" si="55"/>
        <v>0</v>
      </c>
      <c r="H614" s="37" t="s">
        <v>689</v>
      </c>
      <c r="I614" s="37">
        <f t="shared" si="56"/>
        <v>0</v>
      </c>
      <c r="J614" s="37" t="s">
        <v>347</v>
      </c>
      <c r="K614" s="37">
        <f t="shared" si="57"/>
        <v>0</v>
      </c>
      <c r="L614" s="37" t="s">
        <v>494</v>
      </c>
      <c r="M614" s="37">
        <f t="shared" si="58"/>
        <v>0</v>
      </c>
      <c r="N614" s="470" t="s">
        <v>347</v>
      </c>
      <c r="O614" s="470">
        <f t="shared" si="59"/>
        <v>0</v>
      </c>
      <c r="P614" s="37" t="str">
        <f t="shared" si="63"/>
        <v>1 + 0</v>
      </c>
      <c r="Q614" s="470" t="s">
        <v>346</v>
      </c>
      <c r="R614" s="37">
        <f t="shared" si="61"/>
        <v>0</v>
      </c>
      <c r="S614" s="470" t="s">
        <v>347</v>
      </c>
      <c r="T614" s="470">
        <f t="shared" si="62"/>
        <v>0</v>
      </c>
      <c r="U614" s="470" t="s">
        <v>346</v>
      </c>
      <c r="V614" s="111">
        <f>IF(OR(F614="none",G614="V"),0,VLOOKUP(F614,'Purchased Boons'!$AR$4:$AS$27,2,FALSE))</f>
        <v>0</v>
      </c>
      <c r="W614" s="39" t="s">
        <v>1050</v>
      </c>
      <c r="X614" s="37" t="s">
        <v>1597</v>
      </c>
      <c r="Y614" s="37" t="s">
        <v>1046</v>
      </c>
      <c r="Z614" s="111">
        <v>14</v>
      </c>
      <c r="AG614" s="24"/>
      <c r="AH614" s="24"/>
    </row>
    <row r="615" spans="1:34" x14ac:dyDescent="0.25">
      <c r="A615" s="473" t="s">
        <v>2342</v>
      </c>
      <c r="B615" s="39" t="s">
        <v>689</v>
      </c>
      <c r="C615" s="469">
        <v>3</v>
      </c>
      <c r="D615" s="470" t="s">
        <v>17</v>
      </c>
      <c r="E615" s="37">
        <f t="shared" si="54"/>
        <v>1</v>
      </c>
      <c r="F615" s="470" t="s">
        <v>49</v>
      </c>
      <c r="G615" s="37">
        <f t="shared" si="55"/>
        <v>0</v>
      </c>
      <c r="H615" s="37" t="s">
        <v>689</v>
      </c>
      <c r="I615" s="37">
        <f t="shared" si="56"/>
        <v>0</v>
      </c>
      <c r="J615" s="37" t="s">
        <v>347</v>
      </c>
      <c r="K615" s="37">
        <f t="shared" si="57"/>
        <v>0</v>
      </c>
      <c r="L615" s="37" t="s">
        <v>494</v>
      </c>
      <c r="M615" s="37">
        <f t="shared" si="58"/>
        <v>0</v>
      </c>
      <c r="N615" s="470" t="s">
        <v>347</v>
      </c>
      <c r="O615" s="470">
        <f t="shared" si="59"/>
        <v>0</v>
      </c>
      <c r="P615" s="37" t="str">
        <f t="shared" si="63"/>
        <v>1 + 0</v>
      </c>
      <c r="Q615" s="470" t="s">
        <v>346</v>
      </c>
      <c r="R615" s="37">
        <f t="shared" si="61"/>
        <v>0</v>
      </c>
      <c r="S615" s="470" t="s">
        <v>347</v>
      </c>
      <c r="T615" s="470">
        <f t="shared" si="62"/>
        <v>0</v>
      </c>
      <c r="U615" s="470" t="s">
        <v>346</v>
      </c>
      <c r="V615" s="111">
        <f>IF(OR(F615="none",G615="V"),0,VLOOKUP(F615,'Purchased Boons'!$AR$4:$AS$27,2,FALSE))</f>
        <v>0</v>
      </c>
      <c r="W615" s="39" t="s">
        <v>1050</v>
      </c>
      <c r="X615" s="37" t="s">
        <v>1597</v>
      </c>
      <c r="Y615" s="37" t="s">
        <v>1046</v>
      </c>
      <c r="Z615" s="111">
        <v>14</v>
      </c>
      <c r="AG615" s="24"/>
      <c r="AH615" s="24"/>
    </row>
    <row r="616" spans="1:34" x14ac:dyDescent="0.25">
      <c r="A616" s="473" t="s">
        <v>2343</v>
      </c>
      <c r="B616" s="39" t="s">
        <v>689</v>
      </c>
      <c r="C616" s="469">
        <v>4</v>
      </c>
      <c r="D616" s="470" t="s">
        <v>17</v>
      </c>
      <c r="E616" s="37">
        <f t="shared" ref="E616:E679" si="64">VLOOKUP(D616,$AC$2:$AD$12,2,FALSE)</f>
        <v>1</v>
      </c>
      <c r="F616" s="470" t="s">
        <v>49</v>
      </c>
      <c r="G616" s="37">
        <f t="shared" ref="G616:G679" si="65">VLOOKUP(F616,$AF$2:$AH$27,2,FALSE)</f>
        <v>0</v>
      </c>
      <c r="H616" s="37" t="s">
        <v>689</v>
      </c>
      <c r="I616" s="37">
        <f t="shared" ref="I616:I679" si="66">VLOOKUP(H616,$AI$2:$AJ$42,2,FALSE)</f>
        <v>0</v>
      </c>
      <c r="J616" s="37" t="s">
        <v>347</v>
      </c>
      <c r="K616" s="37">
        <f t="shared" ref="K616:K679" si="67">IF(J616="Yes",$AJ$56,0)</f>
        <v>0</v>
      </c>
      <c r="L616" s="37" t="s">
        <v>494</v>
      </c>
      <c r="M616" s="37">
        <f t="shared" ref="M616:M679" si="68">VLOOKUP(L616,$AI$43:$AJ$55,2,FALSE)</f>
        <v>0</v>
      </c>
      <c r="N616" s="470" t="s">
        <v>347</v>
      </c>
      <c r="O616" s="470">
        <f t="shared" ref="O616:O679" si="69">IF(N616="Yes",$AJ$57,0)</f>
        <v>0</v>
      </c>
      <c r="P616" s="37" t="str">
        <f t="shared" si="63"/>
        <v>1 + 0</v>
      </c>
      <c r="Q616" s="470" t="s">
        <v>346</v>
      </c>
      <c r="R616" s="37">
        <f t="shared" ref="R616:R679" si="70">IF(Q616="Yes",VLOOKUP(D616,$AC$2:$AE$12,3,FALSE),0)</f>
        <v>0</v>
      </c>
      <c r="S616" s="470" t="s">
        <v>347</v>
      </c>
      <c r="T616" s="470">
        <f t="shared" ref="T616:T679" si="71">IF(S616="Yes",$AJ$57,0)</f>
        <v>0</v>
      </c>
      <c r="U616" s="470" t="s">
        <v>346</v>
      </c>
      <c r="V616" s="111">
        <f>IF(OR(F616="none",G616="V"),0,VLOOKUP(F616,'Purchased Boons'!$AR$4:$AS$27,2,FALSE))</f>
        <v>0</v>
      </c>
      <c r="W616" s="39" t="s">
        <v>1050</v>
      </c>
      <c r="X616" s="37" t="s">
        <v>1597</v>
      </c>
      <c r="Y616" s="37" t="s">
        <v>1046</v>
      </c>
      <c r="Z616" s="111">
        <v>14</v>
      </c>
      <c r="AG616" s="24"/>
      <c r="AH616" s="24"/>
    </row>
    <row r="617" spans="1:34" x14ac:dyDescent="0.25">
      <c r="A617" s="473" t="s">
        <v>2344</v>
      </c>
      <c r="B617" s="39" t="s">
        <v>689</v>
      </c>
      <c r="C617" s="469">
        <v>5</v>
      </c>
      <c r="D617" s="470" t="s">
        <v>17</v>
      </c>
      <c r="E617" s="37">
        <f t="shared" si="64"/>
        <v>1</v>
      </c>
      <c r="F617" s="470" t="s">
        <v>49</v>
      </c>
      <c r="G617" s="37">
        <f t="shared" si="65"/>
        <v>0</v>
      </c>
      <c r="H617" s="37" t="s">
        <v>689</v>
      </c>
      <c r="I617" s="37">
        <f t="shared" si="66"/>
        <v>0</v>
      </c>
      <c r="J617" s="37" t="s">
        <v>347</v>
      </c>
      <c r="K617" s="37">
        <f t="shared" si="67"/>
        <v>0</v>
      </c>
      <c r="L617" s="37" t="s">
        <v>494</v>
      </c>
      <c r="M617" s="37">
        <f t="shared" si="68"/>
        <v>0</v>
      </c>
      <c r="N617" s="470" t="s">
        <v>347</v>
      </c>
      <c r="O617" s="470">
        <f t="shared" si="69"/>
        <v>0</v>
      </c>
      <c r="P617" s="37" t="str">
        <f t="shared" si="63"/>
        <v>1 + 0</v>
      </c>
      <c r="Q617" s="470" t="s">
        <v>346</v>
      </c>
      <c r="R617" s="37">
        <f t="shared" si="70"/>
        <v>0</v>
      </c>
      <c r="S617" s="470" t="s">
        <v>347</v>
      </c>
      <c r="T617" s="470">
        <f t="shared" si="71"/>
        <v>0</v>
      </c>
      <c r="U617" s="470" t="s">
        <v>346</v>
      </c>
      <c r="V617" s="111">
        <f>IF(OR(F617="none",G617="V"),0,VLOOKUP(F617,'Purchased Boons'!$AR$4:$AS$27,2,FALSE))</f>
        <v>0</v>
      </c>
      <c r="W617" s="39" t="s">
        <v>1050</v>
      </c>
      <c r="X617" s="37" t="s">
        <v>1597</v>
      </c>
      <c r="Y617" s="37" t="s">
        <v>1046</v>
      </c>
      <c r="Z617" s="111">
        <v>14</v>
      </c>
      <c r="AG617" s="24"/>
      <c r="AH617" s="24"/>
    </row>
    <row r="618" spans="1:34" x14ac:dyDescent="0.25">
      <c r="A618" s="473" t="s">
        <v>2345</v>
      </c>
      <c r="B618" s="39" t="s">
        <v>689</v>
      </c>
      <c r="C618" s="469">
        <v>6</v>
      </c>
      <c r="D618" s="470" t="s">
        <v>17</v>
      </c>
      <c r="E618" s="37">
        <f t="shared" si="64"/>
        <v>1</v>
      </c>
      <c r="F618" s="470" t="s">
        <v>49</v>
      </c>
      <c r="G618" s="37">
        <f t="shared" si="65"/>
        <v>0</v>
      </c>
      <c r="H618" s="37" t="s">
        <v>689</v>
      </c>
      <c r="I618" s="37">
        <f t="shared" si="66"/>
        <v>0</v>
      </c>
      <c r="J618" s="37" t="s">
        <v>347</v>
      </c>
      <c r="K618" s="37">
        <f t="shared" si="67"/>
        <v>0</v>
      </c>
      <c r="L618" s="37" t="s">
        <v>494</v>
      </c>
      <c r="M618" s="37">
        <f t="shared" si="68"/>
        <v>0</v>
      </c>
      <c r="N618" s="470" t="s">
        <v>347</v>
      </c>
      <c r="O618" s="470">
        <f t="shared" si="69"/>
        <v>0</v>
      </c>
      <c r="P618" s="37" t="str">
        <f t="shared" si="63"/>
        <v>1 + 0</v>
      </c>
      <c r="Q618" s="470" t="s">
        <v>346</v>
      </c>
      <c r="R618" s="37">
        <f t="shared" si="70"/>
        <v>0</v>
      </c>
      <c r="S618" s="470" t="s">
        <v>347</v>
      </c>
      <c r="T618" s="470">
        <f t="shared" si="71"/>
        <v>0</v>
      </c>
      <c r="U618" s="470" t="s">
        <v>346</v>
      </c>
      <c r="V618" s="111">
        <f>IF(OR(F618="none",G618="V"),0,VLOOKUP(F618,'Purchased Boons'!$AR$4:$AS$27,2,FALSE))</f>
        <v>0</v>
      </c>
      <c r="W618" s="39" t="s">
        <v>1050</v>
      </c>
      <c r="X618" s="37" t="s">
        <v>1597</v>
      </c>
      <c r="Y618" s="37" t="s">
        <v>1046</v>
      </c>
      <c r="Z618" s="111">
        <v>14</v>
      </c>
      <c r="AG618" s="24"/>
      <c r="AH618" s="24"/>
    </row>
    <row r="619" spans="1:34" x14ac:dyDescent="0.25">
      <c r="A619" s="473" t="s">
        <v>2346</v>
      </c>
      <c r="B619" s="39" t="s">
        <v>689</v>
      </c>
      <c r="C619" s="469">
        <v>7</v>
      </c>
      <c r="D619" s="470" t="s">
        <v>17</v>
      </c>
      <c r="E619" s="37">
        <f t="shared" si="64"/>
        <v>1</v>
      </c>
      <c r="F619" s="470" t="s">
        <v>49</v>
      </c>
      <c r="G619" s="37">
        <f t="shared" si="65"/>
        <v>0</v>
      </c>
      <c r="H619" s="37" t="s">
        <v>689</v>
      </c>
      <c r="I619" s="37">
        <f t="shared" si="66"/>
        <v>0</v>
      </c>
      <c r="J619" s="37" t="s">
        <v>347</v>
      </c>
      <c r="K619" s="37">
        <f t="shared" si="67"/>
        <v>0</v>
      </c>
      <c r="L619" s="37" t="s">
        <v>494</v>
      </c>
      <c r="M619" s="37">
        <f t="shared" si="68"/>
        <v>0</v>
      </c>
      <c r="N619" s="470" t="s">
        <v>347</v>
      </c>
      <c r="O619" s="470">
        <f t="shared" si="69"/>
        <v>0</v>
      </c>
      <c r="P619" s="37" t="str">
        <f t="shared" si="63"/>
        <v>1 + 0</v>
      </c>
      <c r="Q619" s="470" t="s">
        <v>346</v>
      </c>
      <c r="R619" s="37">
        <f t="shared" si="70"/>
        <v>0</v>
      </c>
      <c r="S619" s="470" t="s">
        <v>347</v>
      </c>
      <c r="T619" s="470">
        <f t="shared" si="71"/>
        <v>0</v>
      </c>
      <c r="U619" s="470" t="s">
        <v>346</v>
      </c>
      <c r="V619" s="111">
        <f>IF(OR(F619="none",G619="V"),0,VLOOKUP(F619,'Purchased Boons'!$AR$4:$AS$27,2,FALSE))</f>
        <v>0</v>
      </c>
      <c r="W619" s="39" t="s">
        <v>1050</v>
      </c>
      <c r="X619" s="37" t="s">
        <v>1597</v>
      </c>
      <c r="Y619" s="37" t="s">
        <v>1046</v>
      </c>
      <c r="Z619" s="111">
        <v>14</v>
      </c>
      <c r="AG619" s="24"/>
      <c r="AH619" s="24"/>
    </row>
    <row r="620" spans="1:34" x14ac:dyDescent="0.25">
      <c r="A620" s="473" t="s">
        <v>2347</v>
      </c>
      <c r="B620" s="39" t="s">
        <v>689</v>
      </c>
      <c r="C620" s="469">
        <v>8</v>
      </c>
      <c r="D620" s="470" t="s">
        <v>17</v>
      </c>
      <c r="E620" s="37">
        <f t="shared" si="64"/>
        <v>1</v>
      </c>
      <c r="F620" s="470" t="s">
        <v>49</v>
      </c>
      <c r="G620" s="37">
        <f t="shared" si="65"/>
        <v>0</v>
      </c>
      <c r="H620" s="37" t="s">
        <v>689</v>
      </c>
      <c r="I620" s="37">
        <f t="shared" si="66"/>
        <v>0</v>
      </c>
      <c r="J620" s="37" t="s">
        <v>347</v>
      </c>
      <c r="K620" s="37">
        <f t="shared" si="67"/>
        <v>0</v>
      </c>
      <c r="L620" s="37" t="s">
        <v>494</v>
      </c>
      <c r="M620" s="37">
        <f t="shared" si="68"/>
        <v>0</v>
      </c>
      <c r="N620" s="470" t="s">
        <v>347</v>
      </c>
      <c r="O620" s="470">
        <f t="shared" si="69"/>
        <v>0</v>
      </c>
      <c r="P620" s="37" t="str">
        <f t="shared" si="63"/>
        <v>1 + 0</v>
      </c>
      <c r="Q620" s="470" t="s">
        <v>346</v>
      </c>
      <c r="R620" s="37">
        <f t="shared" si="70"/>
        <v>0</v>
      </c>
      <c r="S620" s="470" t="s">
        <v>347</v>
      </c>
      <c r="T620" s="470">
        <f t="shared" si="71"/>
        <v>0</v>
      </c>
      <c r="U620" s="470" t="s">
        <v>346</v>
      </c>
      <c r="V620" s="111">
        <f>IF(OR(F620="none",G620="V"),0,VLOOKUP(F620,'Purchased Boons'!$AR$4:$AS$27,2,FALSE))</f>
        <v>0</v>
      </c>
      <c r="W620" s="39" t="s">
        <v>1050</v>
      </c>
      <c r="X620" s="37" t="s">
        <v>1597</v>
      </c>
      <c r="Y620" s="37" t="s">
        <v>1046</v>
      </c>
      <c r="Z620" s="111">
        <v>14</v>
      </c>
      <c r="AG620" s="24"/>
      <c r="AH620" s="24"/>
    </row>
    <row r="621" spans="1:34" x14ac:dyDescent="0.25">
      <c r="A621" s="473" t="s">
        <v>2348</v>
      </c>
      <c r="B621" s="39" t="s">
        <v>689</v>
      </c>
      <c r="C621" s="469">
        <v>9</v>
      </c>
      <c r="D621" s="470" t="s">
        <v>17</v>
      </c>
      <c r="E621" s="37">
        <f t="shared" si="64"/>
        <v>1</v>
      </c>
      <c r="F621" s="470" t="s">
        <v>49</v>
      </c>
      <c r="G621" s="37">
        <f t="shared" si="65"/>
        <v>0</v>
      </c>
      <c r="H621" s="37" t="s">
        <v>689</v>
      </c>
      <c r="I621" s="37">
        <f t="shared" si="66"/>
        <v>0</v>
      </c>
      <c r="J621" s="37" t="s">
        <v>347</v>
      </c>
      <c r="K621" s="37">
        <f t="shared" si="67"/>
        <v>0</v>
      </c>
      <c r="L621" s="37" t="s">
        <v>494</v>
      </c>
      <c r="M621" s="37">
        <f t="shared" si="68"/>
        <v>0</v>
      </c>
      <c r="N621" s="470" t="s">
        <v>347</v>
      </c>
      <c r="O621" s="470">
        <f t="shared" si="69"/>
        <v>0</v>
      </c>
      <c r="P621" s="37" t="str">
        <f t="shared" si="63"/>
        <v>1 + 0</v>
      </c>
      <c r="Q621" s="470" t="s">
        <v>346</v>
      </c>
      <c r="R621" s="37">
        <f t="shared" si="70"/>
        <v>0</v>
      </c>
      <c r="S621" s="470" t="s">
        <v>347</v>
      </c>
      <c r="T621" s="470">
        <f t="shared" si="71"/>
        <v>0</v>
      </c>
      <c r="U621" s="470" t="s">
        <v>346</v>
      </c>
      <c r="V621" s="111">
        <f>IF(OR(F621="none",G621="V"),0,VLOOKUP(F621,'Purchased Boons'!$AR$4:$AS$27,2,FALSE))</f>
        <v>0</v>
      </c>
      <c r="W621" s="39" t="s">
        <v>1050</v>
      </c>
      <c r="X621" s="37" t="s">
        <v>1597</v>
      </c>
      <c r="Y621" s="37" t="s">
        <v>1046</v>
      </c>
      <c r="Z621" s="111">
        <v>14</v>
      </c>
      <c r="AG621" s="24"/>
      <c r="AH621" s="24"/>
    </row>
    <row r="622" spans="1:34" x14ac:dyDescent="0.25">
      <c r="A622" s="473" t="s">
        <v>1512</v>
      </c>
      <c r="B622" s="39" t="s">
        <v>371</v>
      </c>
      <c r="C622" s="37">
        <v>2</v>
      </c>
      <c r="D622" s="470" t="s">
        <v>17</v>
      </c>
      <c r="E622" s="37">
        <f t="shared" si="64"/>
        <v>1</v>
      </c>
      <c r="F622" s="470" t="s">
        <v>47</v>
      </c>
      <c r="G622" s="37">
        <f t="shared" si="65"/>
        <v>0</v>
      </c>
      <c r="H622" s="37" t="s">
        <v>494</v>
      </c>
      <c r="I622" s="37">
        <f t="shared" si="66"/>
        <v>0</v>
      </c>
      <c r="J622" s="37" t="s">
        <v>347</v>
      </c>
      <c r="K622" s="37">
        <f t="shared" si="67"/>
        <v>0</v>
      </c>
      <c r="L622" s="37" t="s">
        <v>494</v>
      </c>
      <c r="M622" s="37">
        <f t="shared" si="68"/>
        <v>0</v>
      </c>
      <c r="N622" s="470" t="s">
        <v>347</v>
      </c>
      <c r="O622" s="470">
        <f t="shared" si="69"/>
        <v>0</v>
      </c>
      <c r="P622" s="37" t="str">
        <f t="shared" ref="P622:P685" si="72">IF(OR(D622="Varies",F622="Varies",H622="Varies",L622="Varies"),"Varies",IF(AND(D622="None",F622="None",H622="None",L622="None",J622="No",N622="No"),"None",CONCATENATE(E622+G622+V622+I622+K622+M622+O622," + ",R622+T622)))</f>
        <v>1 + 0</v>
      </c>
      <c r="Q622" s="470" t="s">
        <v>346</v>
      </c>
      <c r="R622" s="37">
        <f t="shared" si="70"/>
        <v>0</v>
      </c>
      <c r="S622" s="470" t="s">
        <v>347</v>
      </c>
      <c r="T622" s="470">
        <f t="shared" si="71"/>
        <v>0</v>
      </c>
      <c r="U622" s="470" t="s">
        <v>346</v>
      </c>
      <c r="V622" s="111">
        <f>IF(OR(F622="none",G622="V"),0,VLOOKUP(F622,'Purchased Boons'!$AR$4:$AS$27,2,FALSE))</f>
        <v>0</v>
      </c>
      <c r="W622" s="39" t="s">
        <v>1050</v>
      </c>
      <c r="X622" s="37" t="s">
        <v>1584</v>
      </c>
      <c r="Y622" s="37" t="s">
        <v>1484</v>
      </c>
      <c r="Z622" s="111">
        <v>44</v>
      </c>
      <c r="AG622" s="24"/>
      <c r="AH622" s="24"/>
    </row>
    <row r="623" spans="1:34" x14ac:dyDescent="0.25">
      <c r="A623" s="468" t="s">
        <v>1264</v>
      </c>
      <c r="B623" s="36" t="s">
        <v>357</v>
      </c>
      <c r="C623" s="469">
        <v>9</v>
      </c>
      <c r="D623" s="470" t="s">
        <v>20</v>
      </c>
      <c r="E623" s="37">
        <f t="shared" si="64"/>
        <v>1</v>
      </c>
      <c r="F623" s="470" t="s">
        <v>53</v>
      </c>
      <c r="G623" s="37">
        <f t="shared" si="65"/>
        <v>0</v>
      </c>
      <c r="H623" s="37" t="s">
        <v>494</v>
      </c>
      <c r="I623" s="37">
        <f t="shared" si="66"/>
        <v>0</v>
      </c>
      <c r="J623" s="37" t="s">
        <v>347</v>
      </c>
      <c r="K623" s="37">
        <f t="shared" si="67"/>
        <v>0</v>
      </c>
      <c r="L623" s="37" t="s">
        <v>494</v>
      </c>
      <c r="M623" s="37">
        <f t="shared" si="68"/>
        <v>0</v>
      </c>
      <c r="N623" s="470" t="s">
        <v>347</v>
      </c>
      <c r="O623" s="470">
        <f t="shared" si="69"/>
        <v>0</v>
      </c>
      <c r="P623" s="37" t="str">
        <f t="shared" si="72"/>
        <v>1 + 0</v>
      </c>
      <c r="Q623" s="470" t="s">
        <v>346</v>
      </c>
      <c r="R623" s="37">
        <f t="shared" si="70"/>
        <v>0</v>
      </c>
      <c r="S623" s="470" t="s">
        <v>347</v>
      </c>
      <c r="T623" s="470">
        <f t="shared" si="71"/>
        <v>0</v>
      </c>
      <c r="U623" s="470" t="s">
        <v>346</v>
      </c>
      <c r="V623" s="111">
        <f>IF(OR(F623="none",G623="V"),0,VLOOKUP(F623,'Purchased Boons'!$AR$4:$AS$27,2,FALSE))</f>
        <v>0</v>
      </c>
      <c r="W623" s="39" t="s">
        <v>1053</v>
      </c>
      <c r="X623" s="37" t="s">
        <v>1582</v>
      </c>
      <c r="Y623" s="37" t="s">
        <v>5</v>
      </c>
      <c r="Z623" s="111">
        <v>88</v>
      </c>
      <c r="AG623" s="24"/>
      <c r="AH623" s="24"/>
    </row>
    <row r="624" spans="1:34" x14ac:dyDescent="0.25">
      <c r="A624" s="468" t="s">
        <v>1388</v>
      </c>
      <c r="B624" s="36" t="s">
        <v>356</v>
      </c>
      <c r="C624" s="469">
        <v>7</v>
      </c>
      <c r="D624" s="470" t="s">
        <v>30</v>
      </c>
      <c r="E624" s="37">
        <f t="shared" si="64"/>
        <v>1</v>
      </c>
      <c r="F624" s="470" t="s">
        <v>57</v>
      </c>
      <c r="G624" s="37">
        <f t="shared" si="65"/>
        <v>0</v>
      </c>
      <c r="H624" s="37" t="s">
        <v>494</v>
      </c>
      <c r="I624" s="37">
        <f t="shared" si="66"/>
        <v>0</v>
      </c>
      <c r="J624" s="37" t="s">
        <v>347</v>
      </c>
      <c r="K624" s="37">
        <f t="shared" si="67"/>
        <v>0</v>
      </c>
      <c r="L624" s="37" t="s">
        <v>494</v>
      </c>
      <c r="M624" s="37">
        <f t="shared" si="68"/>
        <v>0</v>
      </c>
      <c r="N624" s="470" t="s">
        <v>347</v>
      </c>
      <c r="O624" s="470">
        <f t="shared" si="69"/>
        <v>0</v>
      </c>
      <c r="P624" s="37" t="str">
        <f t="shared" si="72"/>
        <v>1 + 0</v>
      </c>
      <c r="Q624" s="470" t="s">
        <v>346</v>
      </c>
      <c r="R624" s="37">
        <f t="shared" si="70"/>
        <v>0</v>
      </c>
      <c r="S624" s="470" t="s">
        <v>347</v>
      </c>
      <c r="T624" s="470">
        <f t="shared" si="71"/>
        <v>0</v>
      </c>
      <c r="U624" s="470" t="s">
        <v>346</v>
      </c>
      <c r="V624" s="111">
        <f>IF(OR(F624="none",G624="V"),0,VLOOKUP(F624,'Purchased Boons'!$AR$4:$AS$27,2,FALSE))</f>
        <v>0</v>
      </c>
      <c r="W624" s="39" t="s">
        <v>1625</v>
      </c>
      <c r="X624" s="37" t="s">
        <v>1581</v>
      </c>
      <c r="Y624" s="37" t="s">
        <v>1046</v>
      </c>
      <c r="Z624" s="111">
        <v>73</v>
      </c>
      <c r="AG624" s="24"/>
      <c r="AH624" s="24"/>
    </row>
    <row r="625" spans="1:34" x14ac:dyDescent="0.25">
      <c r="A625" s="468" t="s">
        <v>1294</v>
      </c>
      <c r="B625" s="36" t="s">
        <v>365</v>
      </c>
      <c r="C625" s="469">
        <v>8</v>
      </c>
      <c r="D625" s="470" t="s">
        <v>30</v>
      </c>
      <c r="E625" s="37">
        <f t="shared" si="64"/>
        <v>1</v>
      </c>
      <c r="F625" s="470" t="s">
        <v>51</v>
      </c>
      <c r="G625" s="37">
        <f t="shared" si="65"/>
        <v>0</v>
      </c>
      <c r="H625" s="37" t="s">
        <v>494</v>
      </c>
      <c r="I625" s="37">
        <f t="shared" si="66"/>
        <v>0</v>
      </c>
      <c r="J625" s="37" t="s">
        <v>347</v>
      </c>
      <c r="K625" s="37">
        <f t="shared" si="67"/>
        <v>0</v>
      </c>
      <c r="L625" s="37" t="s">
        <v>494</v>
      </c>
      <c r="M625" s="37">
        <f t="shared" si="68"/>
        <v>0</v>
      </c>
      <c r="N625" s="470" t="s">
        <v>347</v>
      </c>
      <c r="O625" s="470">
        <f t="shared" si="69"/>
        <v>0</v>
      </c>
      <c r="P625" s="37" t="str">
        <f t="shared" si="72"/>
        <v>1 + 0</v>
      </c>
      <c r="Q625" s="470" t="s">
        <v>346</v>
      </c>
      <c r="R625" s="37">
        <f t="shared" si="70"/>
        <v>0</v>
      </c>
      <c r="S625" s="470" t="s">
        <v>347</v>
      </c>
      <c r="T625" s="470">
        <f t="shared" si="71"/>
        <v>0</v>
      </c>
      <c r="U625" s="470" t="s">
        <v>346</v>
      </c>
      <c r="V625" s="111">
        <f>IF(OR(F625="none",G625="V"),0,VLOOKUP(F625,'Purchased Boons'!$AR$4:$AS$27,2,FALSE))</f>
        <v>0</v>
      </c>
      <c r="W625" s="39" t="s">
        <v>1633</v>
      </c>
      <c r="X625" s="37" t="s">
        <v>1533</v>
      </c>
      <c r="Y625" s="37" t="s">
        <v>5</v>
      </c>
      <c r="Z625" s="111">
        <v>100</v>
      </c>
      <c r="AG625" s="24"/>
      <c r="AH625" s="24"/>
    </row>
    <row r="626" spans="1:34" x14ac:dyDescent="0.25">
      <c r="A626" s="468" t="s">
        <v>1169</v>
      </c>
      <c r="B626" s="36" t="s">
        <v>358</v>
      </c>
      <c r="C626" s="469">
        <v>6</v>
      </c>
      <c r="D626" s="470" t="s">
        <v>16</v>
      </c>
      <c r="E626" s="37">
        <f t="shared" si="64"/>
        <v>1</v>
      </c>
      <c r="F626" s="470" t="s">
        <v>57</v>
      </c>
      <c r="G626" s="37">
        <f t="shared" si="65"/>
        <v>0</v>
      </c>
      <c r="H626" s="37" t="s">
        <v>494</v>
      </c>
      <c r="I626" s="37">
        <f t="shared" si="66"/>
        <v>0</v>
      </c>
      <c r="J626" s="37" t="s">
        <v>347</v>
      </c>
      <c r="K626" s="37">
        <f t="shared" si="67"/>
        <v>0</v>
      </c>
      <c r="L626" s="37" t="s">
        <v>494</v>
      </c>
      <c r="M626" s="37">
        <f t="shared" si="68"/>
        <v>0</v>
      </c>
      <c r="N626" s="470" t="s">
        <v>347</v>
      </c>
      <c r="O626" s="470">
        <f t="shared" si="69"/>
        <v>0</v>
      </c>
      <c r="P626" s="37" t="str">
        <f t="shared" si="72"/>
        <v>1 + 0</v>
      </c>
      <c r="Q626" s="470" t="s">
        <v>346</v>
      </c>
      <c r="R626" s="37">
        <f t="shared" si="70"/>
        <v>0</v>
      </c>
      <c r="S626" s="470" t="s">
        <v>347</v>
      </c>
      <c r="T626" s="470">
        <f t="shared" si="71"/>
        <v>0</v>
      </c>
      <c r="U626" s="470" t="s">
        <v>346</v>
      </c>
      <c r="V626" s="111">
        <f>IF(OR(F626="none",G626="V"),0,VLOOKUP(F626,'Purchased Boons'!$AR$4:$AS$27,2,FALSE))</f>
        <v>0</v>
      </c>
      <c r="W626" s="39" t="s">
        <v>1055</v>
      </c>
      <c r="X626" s="37" t="s">
        <v>1583</v>
      </c>
      <c r="Y626" s="37" t="s">
        <v>1045</v>
      </c>
      <c r="Z626" s="111">
        <v>78</v>
      </c>
      <c r="AG626" s="24"/>
      <c r="AH626" s="24"/>
    </row>
    <row r="627" spans="1:34" x14ac:dyDescent="0.25">
      <c r="A627" s="468" t="s">
        <v>1215</v>
      </c>
      <c r="B627" s="36" t="s">
        <v>178</v>
      </c>
      <c r="C627" s="469">
        <v>4</v>
      </c>
      <c r="D627" s="470" t="s">
        <v>17</v>
      </c>
      <c r="E627" s="37">
        <f t="shared" si="64"/>
        <v>1</v>
      </c>
      <c r="F627" s="470" t="s">
        <v>51</v>
      </c>
      <c r="G627" s="37">
        <f t="shared" si="65"/>
        <v>0</v>
      </c>
      <c r="H627" s="37" t="s">
        <v>494</v>
      </c>
      <c r="I627" s="37">
        <f t="shared" si="66"/>
        <v>0</v>
      </c>
      <c r="J627" s="37" t="s">
        <v>347</v>
      </c>
      <c r="K627" s="37">
        <f t="shared" si="67"/>
        <v>0</v>
      </c>
      <c r="L627" s="37" t="s">
        <v>494</v>
      </c>
      <c r="M627" s="37">
        <f t="shared" si="68"/>
        <v>0</v>
      </c>
      <c r="N627" s="470" t="s">
        <v>347</v>
      </c>
      <c r="O627" s="470">
        <f t="shared" si="69"/>
        <v>0</v>
      </c>
      <c r="P627" s="37" t="str">
        <f t="shared" si="72"/>
        <v>1 + 0</v>
      </c>
      <c r="Q627" s="470" t="s">
        <v>346</v>
      </c>
      <c r="R627" s="37">
        <f t="shared" si="70"/>
        <v>0</v>
      </c>
      <c r="S627" s="470" t="s">
        <v>347</v>
      </c>
      <c r="T627" s="470">
        <f t="shared" si="71"/>
        <v>0</v>
      </c>
      <c r="U627" s="470" t="s">
        <v>346</v>
      </c>
      <c r="V627" s="111">
        <f>IF(OR(F627="none",G627="V"),0,VLOOKUP(F627,'Purchased Boons'!$AR$4:$AS$27,2,FALSE))</f>
        <v>0</v>
      </c>
      <c r="W627" s="39" t="s">
        <v>1601</v>
      </c>
      <c r="X627" s="37" t="s">
        <v>1553</v>
      </c>
      <c r="Y627" s="37" t="s">
        <v>1045</v>
      </c>
      <c r="Z627" s="111">
        <v>92</v>
      </c>
      <c r="AG627" s="24"/>
      <c r="AH627" s="24"/>
    </row>
    <row r="628" spans="1:34" x14ac:dyDescent="0.25">
      <c r="A628" s="468" t="s">
        <v>1450</v>
      </c>
      <c r="B628" s="36" t="s">
        <v>181</v>
      </c>
      <c r="C628" s="469">
        <v>9</v>
      </c>
      <c r="D628" s="470" t="s">
        <v>20</v>
      </c>
      <c r="E628" s="37">
        <f t="shared" si="64"/>
        <v>1</v>
      </c>
      <c r="F628" s="470" t="s">
        <v>57</v>
      </c>
      <c r="G628" s="37">
        <f t="shared" si="65"/>
        <v>0</v>
      </c>
      <c r="H628" s="37" t="s">
        <v>494</v>
      </c>
      <c r="I628" s="37">
        <f t="shared" si="66"/>
        <v>0</v>
      </c>
      <c r="J628" s="37" t="s">
        <v>347</v>
      </c>
      <c r="K628" s="37">
        <f t="shared" si="67"/>
        <v>0</v>
      </c>
      <c r="L628" s="37" t="s">
        <v>494</v>
      </c>
      <c r="M628" s="37">
        <f t="shared" si="68"/>
        <v>0</v>
      </c>
      <c r="N628" s="470" t="s">
        <v>347</v>
      </c>
      <c r="O628" s="470">
        <f t="shared" si="69"/>
        <v>0</v>
      </c>
      <c r="P628" s="37" t="str">
        <f t="shared" si="72"/>
        <v>1 + 0</v>
      </c>
      <c r="Q628" s="470" t="s">
        <v>346</v>
      </c>
      <c r="R628" s="37">
        <f t="shared" si="70"/>
        <v>0</v>
      </c>
      <c r="S628" s="470" t="s">
        <v>347</v>
      </c>
      <c r="T628" s="470">
        <f t="shared" si="71"/>
        <v>0</v>
      </c>
      <c r="U628" s="470" t="s">
        <v>346</v>
      </c>
      <c r="V628" s="111">
        <f>IF(OR(F628="none",G628="V"),0,VLOOKUP(F628,'Purchased Boons'!$AR$4:$AS$27,2,FALSE))</f>
        <v>0</v>
      </c>
      <c r="W628" s="39" t="s">
        <v>1687</v>
      </c>
      <c r="X628" s="37" t="s">
        <v>1579</v>
      </c>
      <c r="Y628" s="37" t="s">
        <v>1046</v>
      </c>
      <c r="Z628" s="111">
        <v>230</v>
      </c>
      <c r="AG628" s="24"/>
      <c r="AH628" s="24"/>
    </row>
    <row r="629" spans="1:34" x14ac:dyDescent="0.25">
      <c r="A629" s="468" t="s">
        <v>1247</v>
      </c>
      <c r="B629" s="36" t="s">
        <v>353</v>
      </c>
      <c r="C629" s="469">
        <v>8</v>
      </c>
      <c r="D629" s="470" t="s">
        <v>17</v>
      </c>
      <c r="E629" s="37">
        <f t="shared" si="64"/>
        <v>1</v>
      </c>
      <c r="F629" s="470" t="s">
        <v>41</v>
      </c>
      <c r="G629" s="37">
        <f t="shared" si="65"/>
        <v>0</v>
      </c>
      <c r="H629" s="37" t="s">
        <v>494</v>
      </c>
      <c r="I629" s="37">
        <f t="shared" si="66"/>
        <v>0</v>
      </c>
      <c r="J629" s="37" t="s">
        <v>347</v>
      </c>
      <c r="K629" s="37">
        <f t="shared" si="67"/>
        <v>0</v>
      </c>
      <c r="L629" s="37" t="s">
        <v>494</v>
      </c>
      <c r="M629" s="37">
        <f t="shared" si="68"/>
        <v>0</v>
      </c>
      <c r="N629" s="470" t="s">
        <v>347</v>
      </c>
      <c r="O629" s="470">
        <f t="shared" si="69"/>
        <v>0</v>
      </c>
      <c r="P629" s="37" t="str">
        <f t="shared" si="72"/>
        <v>1 + 0</v>
      </c>
      <c r="Q629" s="470" t="s">
        <v>346</v>
      </c>
      <c r="R629" s="37">
        <f t="shared" si="70"/>
        <v>0</v>
      </c>
      <c r="S629" s="470" t="s">
        <v>347</v>
      </c>
      <c r="T629" s="470">
        <f t="shared" si="71"/>
        <v>0</v>
      </c>
      <c r="U629" s="470" t="s">
        <v>346</v>
      </c>
      <c r="V629" s="111">
        <f>IF(OR(F629="none",G629="V"),0,VLOOKUP(F629,'Purchased Boons'!$AR$4:$AS$27,2,FALSE))</f>
        <v>0</v>
      </c>
      <c r="W629" s="39" t="s">
        <v>1625</v>
      </c>
      <c r="X629" s="37" t="s">
        <v>1599</v>
      </c>
      <c r="Y629" s="37" t="s">
        <v>5</v>
      </c>
      <c r="Z629" s="111">
        <v>83</v>
      </c>
      <c r="AG629" s="24"/>
      <c r="AH629" s="24"/>
    </row>
    <row r="630" spans="1:34" x14ac:dyDescent="0.25">
      <c r="A630" s="468" t="s">
        <v>1150</v>
      </c>
      <c r="B630" s="36" t="s">
        <v>353</v>
      </c>
      <c r="C630" s="469">
        <v>7</v>
      </c>
      <c r="D630" s="470" t="s">
        <v>16</v>
      </c>
      <c r="E630" s="37">
        <f t="shared" si="64"/>
        <v>1</v>
      </c>
      <c r="F630" s="470" t="s">
        <v>51</v>
      </c>
      <c r="G630" s="37">
        <f t="shared" si="65"/>
        <v>0</v>
      </c>
      <c r="H630" s="37" t="s">
        <v>494</v>
      </c>
      <c r="I630" s="37">
        <f t="shared" si="66"/>
        <v>0</v>
      </c>
      <c r="J630" s="37" t="s">
        <v>347</v>
      </c>
      <c r="K630" s="37">
        <f t="shared" si="67"/>
        <v>0</v>
      </c>
      <c r="L630" s="37" t="s">
        <v>494</v>
      </c>
      <c r="M630" s="37">
        <f t="shared" si="68"/>
        <v>0</v>
      </c>
      <c r="N630" s="470" t="s">
        <v>347</v>
      </c>
      <c r="O630" s="470">
        <f t="shared" si="69"/>
        <v>0</v>
      </c>
      <c r="P630" s="37" t="str">
        <f t="shared" si="72"/>
        <v>1 + 0</v>
      </c>
      <c r="Q630" s="470" t="s">
        <v>346</v>
      </c>
      <c r="R630" s="37">
        <f t="shared" si="70"/>
        <v>0</v>
      </c>
      <c r="S630" s="470" t="s">
        <v>347</v>
      </c>
      <c r="T630" s="470">
        <f t="shared" si="71"/>
        <v>0</v>
      </c>
      <c r="U630" s="470" t="s">
        <v>346</v>
      </c>
      <c r="V630" s="111">
        <f>IF(OR(F630="none",G630="V"),0,VLOOKUP(F630,'Purchased Boons'!$AR$4:$AS$27,2,FALSE))</f>
        <v>0</v>
      </c>
      <c r="W630" s="39" t="s">
        <v>1608</v>
      </c>
      <c r="X630" s="37" t="s">
        <v>1536</v>
      </c>
      <c r="Y630" s="37" t="s">
        <v>1045</v>
      </c>
      <c r="Z630" s="111">
        <v>72</v>
      </c>
      <c r="AG630" s="24"/>
      <c r="AH630" s="24"/>
    </row>
    <row r="631" spans="1:34" x14ac:dyDescent="0.25">
      <c r="A631" s="468" t="s">
        <v>1371</v>
      </c>
      <c r="B631" s="36" t="s">
        <v>1343</v>
      </c>
      <c r="C631" s="469">
        <v>3</v>
      </c>
      <c r="D631" s="470" t="s">
        <v>494</v>
      </c>
      <c r="E631" s="37">
        <f t="shared" si="64"/>
        <v>0</v>
      </c>
      <c r="F631" s="470" t="s">
        <v>494</v>
      </c>
      <c r="G631" s="37">
        <f t="shared" si="65"/>
        <v>0</v>
      </c>
      <c r="H631" s="37" t="s">
        <v>494</v>
      </c>
      <c r="I631" s="37">
        <f t="shared" si="66"/>
        <v>0</v>
      </c>
      <c r="J631" s="37" t="s">
        <v>347</v>
      </c>
      <c r="K631" s="37">
        <f t="shared" si="67"/>
        <v>0</v>
      </c>
      <c r="L631" s="37" t="s">
        <v>494</v>
      </c>
      <c r="M631" s="37">
        <f t="shared" si="68"/>
        <v>0</v>
      </c>
      <c r="N631" s="470" t="s">
        <v>347</v>
      </c>
      <c r="O631" s="470">
        <f t="shared" si="69"/>
        <v>0</v>
      </c>
      <c r="P631" s="37" t="str">
        <f t="shared" si="72"/>
        <v>None</v>
      </c>
      <c r="Q631" s="470" t="s">
        <v>346</v>
      </c>
      <c r="R631" s="37">
        <f t="shared" si="70"/>
        <v>0</v>
      </c>
      <c r="S631" s="470" t="s">
        <v>347</v>
      </c>
      <c r="T631" s="470">
        <f t="shared" si="71"/>
        <v>0</v>
      </c>
      <c r="U631" s="470" t="s">
        <v>346</v>
      </c>
      <c r="V631" s="111">
        <f>IF(OR(F631="none",G631="V"),0,VLOOKUP(F631,'Purchased Boons'!$AR$4:$AS$27,2,FALSE))</f>
        <v>0</v>
      </c>
      <c r="W631" s="39" t="s">
        <v>1050</v>
      </c>
      <c r="X631" s="37" t="s">
        <v>494</v>
      </c>
      <c r="Y631" s="37" t="s">
        <v>1046</v>
      </c>
      <c r="Z631" s="111">
        <v>68</v>
      </c>
      <c r="AG631" s="24"/>
      <c r="AH631" s="24"/>
    </row>
    <row r="632" spans="1:34" x14ac:dyDescent="0.25">
      <c r="A632" s="468" t="s">
        <v>1091</v>
      </c>
      <c r="B632" s="36" t="s">
        <v>360</v>
      </c>
      <c r="C632" s="469">
        <v>1</v>
      </c>
      <c r="D632" s="470" t="s">
        <v>19</v>
      </c>
      <c r="E632" s="37">
        <f t="shared" si="64"/>
        <v>1</v>
      </c>
      <c r="F632" s="470" t="s">
        <v>41</v>
      </c>
      <c r="G632" s="37">
        <f t="shared" si="65"/>
        <v>0</v>
      </c>
      <c r="H632" s="37" t="s">
        <v>494</v>
      </c>
      <c r="I632" s="37">
        <f t="shared" si="66"/>
        <v>0</v>
      </c>
      <c r="J632" s="37" t="s">
        <v>347</v>
      </c>
      <c r="K632" s="37">
        <f t="shared" si="67"/>
        <v>0</v>
      </c>
      <c r="L632" s="37" t="s">
        <v>494</v>
      </c>
      <c r="M632" s="37">
        <f t="shared" si="68"/>
        <v>0</v>
      </c>
      <c r="N632" s="470" t="s">
        <v>347</v>
      </c>
      <c r="O632" s="470">
        <f t="shared" si="69"/>
        <v>0</v>
      </c>
      <c r="P632" s="37" t="str">
        <f t="shared" si="72"/>
        <v>1 + 0</v>
      </c>
      <c r="Q632" s="470" t="s">
        <v>346</v>
      </c>
      <c r="R632" s="37">
        <f t="shared" si="70"/>
        <v>0</v>
      </c>
      <c r="S632" s="470" t="s">
        <v>347</v>
      </c>
      <c r="T632" s="470">
        <f t="shared" si="71"/>
        <v>0</v>
      </c>
      <c r="U632" s="470" t="s">
        <v>346</v>
      </c>
      <c r="V632" s="111">
        <f>IF(OR(F632="none",G632="V"),0,VLOOKUP(F632,'Purchased Boons'!$AR$4:$AS$27,2,FALSE))</f>
        <v>0</v>
      </c>
      <c r="W632" s="39" t="s">
        <v>494</v>
      </c>
      <c r="X632" s="37" t="s">
        <v>1525</v>
      </c>
      <c r="Y632" s="37" t="s">
        <v>133</v>
      </c>
      <c r="Z632" s="111">
        <v>144</v>
      </c>
      <c r="AG632" s="24"/>
      <c r="AH632" s="24"/>
    </row>
    <row r="633" spans="1:34" x14ac:dyDescent="0.25">
      <c r="A633" s="468" t="s">
        <v>1448</v>
      </c>
      <c r="B633" s="36" t="s">
        <v>181</v>
      </c>
      <c r="C633" s="469">
        <v>7</v>
      </c>
      <c r="D633" s="470" t="s">
        <v>20</v>
      </c>
      <c r="E633" s="37">
        <f t="shared" si="64"/>
        <v>1</v>
      </c>
      <c r="F633" s="470" t="s">
        <v>57</v>
      </c>
      <c r="G633" s="37">
        <f t="shared" si="65"/>
        <v>0</v>
      </c>
      <c r="H633" s="37" t="s">
        <v>494</v>
      </c>
      <c r="I633" s="37">
        <f t="shared" si="66"/>
        <v>0</v>
      </c>
      <c r="J633" s="37" t="s">
        <v>347</v>
      </c>
      <c r="K633" s="37">
        <f t="shared" si="67"/>
        <v>0</v>
      </c>
      <c r="L633" s="37" t="s">
        <v>494</v>
      </c>
      <c r="M633" s="37">
        <f t="shared" si="68"/>
        <v>0</v>
      </c>
      <c r="N633" s="470" t="s">
        <v>347</v>
      </c>
      <c r="O633" s="470">
        <f t="shared" si="69"/>
        <v>0</v>
      </c>
      <c r="P633" s="37" t="str">
        <f t="shared" si="72"/>
        <v>1 + 0</v>
      </c>
      <c r="Q633" s="470" t="s">
        <v>346</v>
      </c>
      <c r="R633" s="37">
        <f t="shared" si="70"/>
        <v>0</v>
      </c>
      <c r="S633" s="470" t="s">
        <v>347</v>
      </c>
      <c r="T633" s="470">
        <f t="shared" si="71"/>
        <v>0</v>
      </c>
      <c r="U633" s="470" t="s">
        <v>346</v>
      </c>
      <c r="V633" s="111">
        <f>IF(OR(F633="none",G633="V"),0,VLOOKUP(F633,'Purchased Boons'!$AR$4:$AS$27,2,FALSE))</f>
        <v>0</v>
      </c>
      <c r="W633" s="39" t="s">
        <v>1052</v>
      </c>
      <c r="X633" s="37" t="s">
        <v>1579</v>
      </c>
      <c r="Y633" s="37" t="s">
        <v>1046</v>
      </c>
      <c r="Z633" s="111">
        <v>230</v>
      </c>
      <c r="AG633" s="24"/>
      <c r="AH633" s="24"/>
    </row>
    <row r="634" spans="1:34" x14ac:dyDescent="0.25">
      <c r="A634" s="468" t="s">
        <v>1312</v>
      </c>
      <c r="B634" s="36" t="s">
        <v>178</v>
      </c>
      <c r="C634" s="469">
        <v>8</v>
      </c>
      <c r="D634" s="470" t="s">
        <v>494</v>
      </c>
      <c r="E634" s="37">
        <f t="shared" si="64"/>
        <v>0</v>
      </c>
      <c r="F634" s="470" t="s">
        <v>494</v>
      </c>
      <c r="G634" s="37">
        <f t="shared" si="65"/>
        <v>0</v>
      </c>
      <c r="H634" s="37" t="s">
        <v>494</v>
      </c>
      <c r="I634" s="37">
        <f t="shared" si="66"/>
        <v>0</v>
      </c>
      <c r="J634" s="37" t="s">
        <v>347</v>
      </c>
      <c r="K634" s="37">
        <f t="shared" si="67"/>
        <v>0</v>
      </c>
      <c r="L634" s="37" t="s">
        <v>494</v>
      </c>
      <c r="M634" s="37">
        <f t="shared" si="68"/>
        <v>0</v>
      </c>
      <c r="N634" s="470" t="s">
        <v>347</v>
      </c>
      <c r="O634" s="470">
        <f t="shared" si="69"/>
        <v>0</v>
      </c>
      <c r="P634" s="37" t="str">
        <f t="shared" si="72"/>
        <v>None</v>
      </c>
      <c r="Q634" s="470" t="s">
        <v>346</v>
      </c>
      <c r="R634" s="37">
        <f t="shared" si="70"/>
        <v>0</v>
      </c>
      <c r="S634" s="470" t="s">
        <v>347</v>
      </c>
      <c r="T634" s="470">
        <f t="shared" si="71"/>
        <v>0</v>
      </c>
      <c r="U634" s="470" t="s">
        <v>346</v>
      </c>
      <c r="V634" s="111">
        <f>IF(OR(F634="none",G634="V"),0,VLOOKUP(F634,'Purchased Boons'!$AR$4:$AS$27,2,FALSE))</f>
        <v>0</v>
      </c>
      <c r="W634" s="39" t="s">
        <v>1646</v>
      </c>
      <c r="X634" s="37" t="s">
        <v>494</v>
      </c>
      <c r="Y634" s="37" t="s">
        <v>5</v>
      </c>
      <c r="Z634" s="111">
        <v>105</v>
      </c>
      <c r="AG634" s="24"/>
      <c r="AH634" s="24"/>
    </row>
    <row r="635" spans="1:34" x14ac:dyDescent="0.25">
      <c r="A635" s="468" t="s">
        <v>1432</v>
      </c>
      <c r="B635" s="36" t="s">
        <v>170</v>
      </c>
      <c r="C635" s="469">
        <v>2</v>
      </c>
      <c r="D635" s="470" t="s">
        <v>494</v>
      </c>
      <c r="E635" s="37">
        <f t="shared" si="64"/>
        <v>0</v>
      </c>
      <c r="F635" s="470" t="s">
        <v>494</v>
      </c>
      <c r="G635" s="37">
        <f t="shared" si="65"/>
        <v>0</v>
      </c>
      <c r="H635" s="37" t="s">
        <v>494</v>
      </c>
      <c r="I635" s="37">
        <f t="shared" si="66"/>
        <v>0</v>
      </c>
      <c r="J635" s="37" t="s">
        <v>347</v>
      </c>
      <c r="K635" s="37">
        <f t="shared" si="67"/>
        <v>0</v>
      </c>
      <c r="L635" s="37" t="s">
        <v>494</v>
      </c>
      <c r="M635" s="37">
        <f t="shared" si="68"/>
        <v>0</v>
      </c>
      <c r="N635" s="470" t="s">
        <v>347</v>
      </c>
      <c r="O635" s="470">
        <f t="shared" si="69"/>
        <v>0</v>
      </c>
      <c r="P635" s="37" t="str">
        <f t="shared" si="72"/>
        <v>None</v>
      </c>
      <c r="Q635" s="470" t="s">
        <v>346</v>
      </c>
      <c r="R635" s="37">
        <f t="shared" si="70"/>
        <v>0</v>
      </c>
      <c r="S635" s="470" t="s">
        <v>347</v>
      </c>
      <c r="T635" s="470">
        <f t="shared" si="71"/>
        <v>0</v>
      </c>
      <c r="U635" s="470" t="s">
        <v>346</v>
      </c>
      <c r="V635" s="111">
        <f>IF(OR(F635="none",G635="V"),0,VLOOKUP(F635,'Purchased Boons'!$AR$4:$AS$27,2,FALSE))</f>
        <v>0</v>
      </c>
      <c r="W635" s="39" t="s">
        <v>1050</v>
      </c>
      <c r="X635" s="37" t="s">
        <v>494</v>
      </c>
      <c r="Y635" s="37" t="s">
        <v>1046</v>
      </c>
      <c r="Z635" s="111">
        <v>173</v>
      </c>
      <c r="AG635" s="24"/>
      <c r="AH635" s="24"/>
    </row>
    <row r="636" spans="1:34" x14ac:dyDescent="0.25">
      <c r="A636" s="468" t="s">
        <v>1313</v>
      </c>
      <c r="B636" s="36" t="s">
        <v>178</v>
      </c>
      <c r="C636" s="469">
        <v>9</v>
      </c>
      <c r="D636" s="470" t="s">
        <v>20</v>
      </c>
      <c r="E636" s="37">
        <f t="shared" si="64"/>
        <v>1</v>
      </c>
      <c r="F636" s="470" t="s">
        <v>51</v>
      </c>
      <c r="G636" s="37">
        <f t="shared" si="65"/>
        <v>0</v>
      </c>
      <c r="H636" s="37" t="s">
        <v>494</v>
      </c>
      <c r="I636" s="37">
        <f t="shared" si="66"/>
        <v>0</v>
      </c>
      <c r="J636" s="37" t="s">
        <v>347</v>
      </c>
      <c r="K636" s="37">
        <f t="shared" si="67"/>
        <v>0</v>
      </c>
      <c r="L636" s="37" t="s">
        <v>494</v>
      </c>
      <c r="M636" s="37">
        <f t="shared" si="68"/>
        <v>0</v>
      </c>
      <c r="N636" s="470" t="s">
        <v>347</v>
      </c>
      <c r="O636" s="470">
        <f t="shared" si="69"/>
        <v>0</v>
      </c>
      <c r="P636" s="37" t="str">
        <f t="shared" si="72"/>
        <v>1 + 0</v>
      </c>
      <c r="Q636" s="470" t="s">
        <v>346</v>
      </c>
      <c r="R636" s="37">
        <f t="shared" si="70"/>
        <v>0</v>
      </c>
      <c r="S636" s="470" t="s">
        <v>347</v>
      </c>
      <c r="T636" s="470">
        <f t="shared" si="71"/>
        <v>0</v>
      </c>
      <c r="U636" s="470" t="s">
        <v>346</v>
      </c>
      <c r="V636" s="111">
        <f>IF(OR(F636="none",G636="V"),0,VLOOKUP(F636,'Purchased Boons'!$AR$4:$AS$27,2,FALSE))</f>
        <v>0</v>
      </c>
      <c r="W636" s="39" t="s">
        <v>1647</v>
      </c>
      <c r="X636" s="37" t="s">
        <v>1664</v>
      </c>
      <c r="Y636" s="37" t="s">
        <v>5</v>
      </c>
      <c r="Z636" s="111">
        <v>106</v>
      </c>
      <c r="AG636" s="24"/>
      <c r="AH636" s="24"/>
    </row>
    <row r="637" spans="1:34" x14ac:dyDescent="0.25">
      <c r="A637" s="468" t="s">
        <v>1217</v>
      </c>
      <c r="B637" s="36" t="s">
        <v>178</v>
      </c>
      <c r="C637" s="469">
        <v>6</v>
      </c>
      <c r="D637" s="470" t="s">
        <v>20</v>
      </c>
      <c r="E637" s="37">
        <f t="shared" si="64"/>
        <v>1</v>
      </c>
      <c r="F637" s="470" t="s">
        <v>49</v>
      </c>
      <c r="G637" s="37">
        <f t="shared" si="65"/>
        <v>0</v>
      </c>
      <c r="H637" s="37" t="s">
        <v>494</v>
      </c>
      <c r="I637" s="37">
        <f t="shared" si="66"/>
        <v>0</v>
      </c>
      <c r="J637" s="37" t="s">
        <v>347</v>
      </c>
      <c r="K637" s="37">
        <f t="shared" si="67"/>
        <v>0</v>
      </c>
      <c r="L637" s="37" t="s">
        <v>494</v>
      </c>
      <c r="M637" s="37">
        <f t="shared" si="68"/>
        <v>0</v>
      </c>
      <c r="N637" s="470" t="s">
        <v>347</v>
      </c>
      <c r="O637" s="470">
        <f t="shared" si="69"/>
        <v>0</v>
      </c>
      <c r="P637" s="37" t="str">
        <f t="shared" si="72"/>
        <v>1 + 0</v>
      </c>
      <c r="Q637" s="470" t="s">
        <v>346</v>
      </c>
      <c r="R637" s="37">
        <f t="shared" si="70"/>
        <v>0</v>
      </c>
      <c r="S637" s="470" t="s">
        <v>347</v>
      </c>
      <c r="T637" s="470">
        <f t="shared" si="71"/>
        <v>0</v>
      </c>
      <c r="U637" s="470" t="s">
        <v>346</v>
      </c>
      <c r="V637" s="111">
        <f>IF(OR(F637="none",G637="V"),0,VLOOKUP(F637,'Purchased Boons'!$AR$4:$AS$27,2,FALSE))</f>
        <v>0</v>
      </c>
      <c r="W637" s="39" t="s">
        <v>1617</v>
      </c>
      <c r="X637" s="37" t="s">
        <v>1596</v>
      </c>
      <c r="Y637" s="37" t="s">
        <v>1045</v>
      </c>
      <c r="Z637" s="111">
        <v>93</v>
      </c>
      <c r="AG637" s="24"/>
      <c r="AH637" s="24"/>
    </row>
    <row r="638" spans="1:34" x14ac:dyDescent="0.25">
      <c r="A638" s="468" t="s">
        <v>1431</v>
      </c>
      <c r="B638" s="36" t="s">
        <v>170</v>
      </c>
      <c r="C638" s="469">
        <v>1</v>
      </c>
      <c r="D638" s="470" t="s">
        <v>494</v>
      </c>
      <c r="E638" s="37">
        <f t="shared" si="64"/>
        <v>0</v>
      </c>
      <c r="F638" s="470" t="s">
        <v>494</v>
      </c>
      <c r="G638" s="37">
        <f t="shared" si="65"/>
        <v>0</v>
      </c>
      <c r="H638" s="37" t="s">
        <v>494</v>
      </c>
      <c r="I638" s="37">
        <f t="shared" si="66"/>
        <v>0</v>
      </c>
      <c r="J638" s="37" t="s">
        <v>347</v>
      </c>
      <c r="K638" s="37">
        <f t="shared" si="67"/>
        <v>0</v>
      </c>
      <c r="L638" s="37" t="s">
        <v>494</v>
      </c>
      <c r="M638" s="37">
        <f t="shared" si="68"/>
        <v>0</v>
      </c>
      <c r="N638" s="470" t="s">
        <v>346</v>
      </c>
      <c r="O638" s="470">
        <f t="shared" si="69"/>
        <v>2</v>
      </c>
      <c r="P638" s="37" t="str">
        <f t="shared" si="72"/>
        <v>2 + 0</v>
      </c>
      <c r="Q638" s="470" t="s">
        <v>347</v>
      </c>
      <c r="R638" s="37">
        <f t="shared" si="70"/>
        <v>0</v>
      </c>
      <c r="S638" s="470" t="s">
        <v>347</v>
      </c>
      <c r="T638" s="470">
        <f t="shared" si="71"/>
        <v>0</v>
      </c>
      <c r="U638" s="470" t="s">
        <v>346</v>
      </c>
      <c r="V638" s="111">
        <f>IF(OR(F638="none",G638="V"),0,VLOOKUP(F638,'Purchased Boons'!$AR$4:$AS$27,2,FALSE))</f>
        <v>0</v>
      </c>
      <c r="W638" s="39" t="s">
        <v>494</v>
      </c>
      <c r="X638" s="37" t="s">
        <v>60</v>
      </c>
      <c r="Y638" s="37" t="s">
        <v>1046</v>
      </c>
      <c r="Z638" s="111">
        <v>172</v>
      </c>
      <c r="AG638" s="24"/>
      <c r="AH638" s="24"/>
    </row>
    <row r="639" spans="1:34" x14ac:dyDescent="0.25">
      <c r="A639" s="468" t="s">
        <v>1381</v>
      </c>
      <c r="B639" s="36" t="s">
        <v>353</v>
      </c>
      <c r="C639" s="469">
        <v>5</v>
      </c>
      <c r="D639" s="470" t="s">
        <v>21</v>
      </c>
      <c r="E639" s="37">
        <f t="shared" si="64"/>
        <v>1</v>
      </c>
      <c r="F639" s="470" t="s">
        <v>38</v>
      </c>
      <c r="G639" s="37">
        <f t="shared" si="65"/>
        <v>0</v>
      </c>
      <c r="H639" s="37" t="s">
        <v>494</v>
      </c>
      <c r="I639" s="37">
        <f t="shared" si="66"/>
        <v>0</v>
      </c>
      <c r="J639" s="37" t="s">
        <v>347</v>
      </c>
      <c r="K639" s="37">
        <f t="shared" si="67"/>
        <v>0</v>
      </c>
      <c r="L639" s="37" t="s">
        <v>494</v>
      </c>
      <c r="M639" s="37">
        <f t="shared" si="68"/>
        <v>0</v>
      </c>
      <c r="N639" s="470" t="s">
        <v>347</v>
      </c>
      <c r="O639" s="470">
        <f t="shared" si="69"/>
        <v>0</v>
      </c>
      <c r="P639" s="37" t="str">
        <f t="shared" si="72"/>
        <v>1 + 0</v>
      </c>
      <c r="Q639" s="470" t="s">
        <v>346</v>
      </c>
      <c r="R639" s="37">
        <f t="shared" si="70"/>
        <v>0</v>
      </c>
      <c r="S639" s="470" t="s">
        <v>347</v>
      </c>
      <c r="T639" s="470">
        <f t="shared" si="71"/>
        <v>0</v>
      </c>
      <c r="U639" s="470" t="s">
        <v>346</v>
      </c>
      <c r="V639" s="111">
        <f>IF(OR(F639="none",G639="V"),0,VLOOKUP(F639,'Purchased Boons'!$AR$4:$AS$27,2,FALSE))</f>
        <v>0</v>
      </c>
      <c r="W639" s="39" t="s">
        <v>1052</v>
      </c>
      <c r="X639" s="37" t="s">
        <v>1682</v>
      </c>
      <c r="Y639" s="37" t="s">
        <v>1046</v>
      </c>
      <c r="Z639" s="111">
        <v>71</v>
      </c>
      <c r="AG639" s="24"/>
      <c r="AH639" s="24"/>
    </row>
    <row r="640" spans="1:34" x14ac:dyDescent="0.25">
      <c r="A640" s="468" t="s">
        <v>1162</v>
      </c>
      <c r="B640" s="36" t="s">
        <v>356</v>
      </c>
      <c r="C640" s="469">
        <v>7</v>
      </c>
      <c r="D640" s="470" t="s">
        <v>30</v>
      </c>
      <c r="E640" s="37">
        <f t="shared" si="64"/>
        <v>1</v>
      </c>
      <c r="F640" s="470" t="s">
        <v>57</v>
      </c>
      <c r="G640" s="37">
        <f t="shared" si="65"/>
        <v>0</v>
      </c>
      <c r="H640" s="37" t="s">
        <v>494</v>
      </c>
      <c r="I640" s="37">
        <f t="shared" si="66"/>
        <v>0</v>
      </c>
      <c r="J640" s="37" t="s">
        <v>347</v>
      </c>
      <c r="K640" s="37">
        <f t="shared" si="67"/>
        <v>0</v>
      </c>
      <c r="L640" s="37" t="s">
        <v>494</v>
      </c>
      <c r="M640" s="37">
        <f t="shared" si="68"/>
        <v>0</v>
      </c>
      <c r="N640" s="470" t="s">
        <v>347</v>
      </c>
      <c r="O640" s="470">
        <f t="shared" si="69"/>
        <v>0</v>
      </c>
      <c r="P640" s="37" t="str">
        <f t="shared" si="72"/>
        <v>1 + 0</v>
      </c>
      <c r="Q640" s="470" t="s">
        <v>346</v>
      </c>
      <c r="R640" s="37">
        <f t="shared" si="70"/>
        <v>0</v>
      </c>
      <c r="S640" s="470" t="s">
        <v>347</v>
      </c>
      <c r="T640" s="470">
        <f t="shared" si="71"/>
        <v>0</v>
      </c>
      <c r="U640" s="470" t="s">
        <v>346</v>
      </c>
      <c r="V640" s="111">
        <f>IF(OR(F640="none",G640="V"),0,VLOOKUP(F640,'Purchased Boons'!$AR$4:$AS$27,2,FALSE))</f>
        <v>0</v>
      </c>
      <c r="W640" s="39" t="s">
        <v>1607</v>
      </c>
      <c r="X640" s="37" t="s">
        <v>1581</v>
      </c>
      <c r="Y640" s="37" t="s">
        <v>1045</v>
      </c>
      <c r="Z640" s="111">
        <v>75</v>
      </c>
      <c r="AG640" s="24"/>
      <c r="AH640" s="24"/>
    </row>
    <row r="641" spans="1:34" x14ac:dyDescent="0.25">
      <c r="A641" s="468" t="s">
        <v>1366</v>
      </c>
      <c r="B641" s="36" t="s">
        <v>179</v>
      </c>
      <c r="C641" s="469">
        <v>8</v>
      </c>
      <c r="D641" s="470" t="s">
        <v>16</v>
      </c>
      <c r="E641" s="37">
        <f t="shared" si="64"/>
        <v>1</v>
      </c>
      <c r="F641" s="470" t="s">
        <v>51</v>
      </c>
      <c r="G641" s="37">
        <f t="shared" si="65"/>
        <v>0</v>
      </c>
      <c r="H641" s="37" t="s">
        <v>494</v>
      </c>
      <c r="I641" s="37">
        <f t="shared" si="66"/>
        <v>0</v>
      </c>
      <c r="J641" s="37" t="s">
        <v>347</v>
      </c>
      <c r="K641" s="37">
        <f t="shared" si="67"/>
        <v>0</v>
      </c>
      <c r="L641" s="37" t="s">
        <v>494</v>
      </c>
      <c r="M641" s="37">
        <f t="shared" si="68"/>
        <v>0</v>
      </c>
      <c r="N641" s="470" t="s">
        <v>347</v>
      </c>
      <c r="O641" s="470">
        <f t="shared" si="69"/>
        <v>0</v>
      </c>
      <c r="P641" s="37" t="str">
        <f t="shared" si="72"/>
        <v>1 + 0</v>
      </c>
      <c r="Q641" s="470" t="s">
        <v>346</v>
      </c>
      <c r="R641" s="37">
        <f t="shared" si="70"/>
        <v>0</v>
      </c>
      <c r="S641" s="470" t="s">
        <v>347</v>
      </c>
      <c r="T641" s="470">
        <f t="shared" si="71"/>
        <v>0</v>
      </c>
      <c r="U641" s="470" t="s">
        <v>346</v>
      </c>
      <c r="V641" s="111">
        <f>IF(OR(F641="none",G641="V"),0,VLOOKUP(F641,'Purchased Boons'!$AR$4:$AS$27,2,FALSE))</f>
        <v>0</v>
      </c>
      <c r="W641" s="39" t="s">
        <v>1063</v>
      </c>
      <c r="X641" s="37" t="s">
        <v>1536</v>
      </c>
      <c r="Y641" s="37" t="s">
        <v>1046</v>
      </c>
      <c r="Z641" s="111">
        <v>25</v>
      </c>
      <c r="AG641" s="24"/>
      <c r="AH641" s="24"/>
    </row>
    <row r="642" spans="1:34" x14ac:dyDescent="0.25">
      <c r="A642" s="468" t="s">
        <v>1364</v>
      </c>
      <c r="B642" s="36" t="s">
        <v>179</v>
      </c>
      <c r="C642" s="469">
        <v>6</v>
      </c>
      <c r="D642" s="470" t="s">
        <v>16</v>
      </c>
      <c r="E642" s="37">
        <f t="shared" si="64"/>
        <v>1</v>
      </c>
      <c r="F642" s="470" t="s">
        <v>51</v>
      </c>
      <c r="G642" s="37">
        <f t="shared" si="65"/>
        <v>0</v>
      </c>
      <c r="H642" s="37" t="s">
        <v>494</v>
      </c>
      <c r="I642" s="37">
        <f t="shared" si="66"/>
        <v>0</v>
      </c>
      <c r="J642" s="37" t="s">
        <v>347</v>
      </c>
      <c r="K642" s="37">
        <f t="shared" si="67"/>
        <v>0</v>
      </c>
      <c r="L642" s="37" t="s">
        <v>494</v>
      </c>
      <c r="M642" s="37">
        <f t="shared" si="68"/>
        <v>0</v>
      </c>
      <c r="N642" s="470" t="s">
        <v>347</v>
      </c>
      <c r="O642" s="470">
        <f t="shared" si="69"/>
        <v>0</v>
      </c>
      <c r="P642" s="37" t="str">
        <f t="shared" si="72"/>
        <v>1 + 0</v>
      </c>
      <c r="Q642" s="470" t="s">
        <v>346</v>
      </c>
      <c r="R642" s="37">
        <f t="shared" si="70"/>
        <v>0</v>
      </c>
      <c r="S642" s="470" t="s">
        <v>347</v>
      </c>
      <c r="T642" s="470">
        <f t="shared" si="71"/>
        <v>0</v>
      </c>
      <c r="U642" s="470" t="s">
        <v>346</v>
      </c>
      <c r="V642" s="111">
        <f>IF(OR(F642="none",G642="V"),0,VLOOKUP(F642,'Purchased Boons'!$AR$4:$AS$27,2,FALSE))</f>
        <v>0</v>
      </c>
      <c r="W642" s="39" t="s">
        <v>1063</v>
      </c>
      <c r="X642" s="37" t="s">
        <v>1536</v>
      </c>
      <c r="Y642" s="37" t="s">
        <v>1046</v>
      </c>
      <c r="Z642" s="111">
        <v>24</v>
      </c>
      <c r="AG642" s="24"/>
      <c r="AH642" s="24"/>
    </row>
    <row r="643" spans="1:34" x14ac:dyDescent="0.25">
      <c r="A643" s="468" t="s">
        <v>1361</v>
      </c>
      <c r="B643" s="36" t="s">
        <v>179</v>
      </c>
      <c r="C643" s="469">
        <v>3</v>
      </c>
      <c r="D643" s="470" t="s">
        <v>16</v>
      </c>
      <c r="E643" s="37">
        <f t="shared" si="64"/>
        <v>1</v>
      </c>
      <c r="F643" s="470" t="s">
        <v>51</v>
      </c>
      <c r="G643" s="37">
        <f t="shared" si="65"/>
        <v>0</v>
      </c>
      <c r="H643" s="37" t="s">
        <v>494</v>
      </c>
      <c r="I643" s="37">
        <f t="shared" si="66"/>
        <v>0</v>
      </c>
      <c r="J643" s="37" t="s">
        <v>347</v>
      </c>
      <c r="K643" s="37">
        <f t="shared" si="67"/>
        <v>0</v>
      </c>
      <c r="L643" s="37" t="s">
        <v>494</v>
      </c>
      <c r="M643" s="37">
        <f t="shared" si="68"/>
        <v>0</v>
      </c>
      <c r="N643" s="470" t="s">
        <v>347</v>
      </c>
      <c r="O643" s="470">
        <f t="shared" si="69"/>
        <v>0</v>
      </c>
      <c r="P643" s="37" t="str">
        <f t="shared" si="72"/>
        <v>1 + 0</v>
      </c>
      <c r="Q643" s="470" t="s">
        <v>346</v>
      </c>
      <c r="R643" s="37">
        <f t="shared" si="70"/>
        <v>0</v>
      </c>
      <c r="S643" s="470" t="s">
        <v>347</v>
      </c>
      <c r="T643" s="470">
        <f t="shared" si="71"/>
        <v>0</v>
      </c>
      <c r="U643" s="470" t="s">
        <v>346</v>
      </c>
      <c r="V643" s="111">
        <f>IF(OR(F643="none",G643="V"),0,VLOOKUP(F643,'Purchased Boons'!$AR$4:$AS$27,2,FALSE))</f>
        <v>0</v>
      </c>
      <c r="W643" s="39" t="s">
        <v>1603</v>
      </c>
      <c r="X643" s="37" t="s">
        <v>1536</v>
      </c>
      <c r="Y643" s="37" t="s">
        <v>1046</v>
      </c>
      <c r="Z643" s="111">
        <v>22</v>
      </c>
      <c r="AG643" s="24"/>
      <c r="AH643" s="24"/>
    </row>
    <row r="644" spans="1:34" x14ac:dyDescent="0.25">
      <c r="A644" s="468" t="s">
        <v>1412</v>
      </c>
      <c r="B644" s="36" t="s">
        <v>371</v>
      </c>
      <c r="C644" s="469">
        <v>2</v>
      </c>
      <c r="D644" s="470" t="s">
        <v>21</v>
      </c>
      <c r="E644" s="37">
        <f t="shared" si="64"/>
        <v>1</v>
      </c>
      <c r="F644" s="470" t="s">
        <v>41</v>
      </c>
      <c r="G644" s="37">
        <f t="shared" si="65"/>
        <v>0</v>
      </c>
      <c r="H644" s="37" t="s">
        <v>494</v>
      </c>
      <c r="I644" s="37">
        <f t="shared" si="66"/>
        <v>0</v>
      </c>
      <c r="J644" s="37" t="s">
        <v>347</v>
      </c>
      <c r="K644" s="37">
        <f t="shared" si="67"/>
        <v>0</v>
      </c>
      <c r="L644" s="37" t="s">
        <v>494</v>
      </c>
      <c r="M644" s="37">
        <f t="shared" si="68"/>
        <v>0</v>
      </c>
      <c r="N644" s="470" t="s">
        <v>347</v>
      </c>
      <c r="O644" s="470">
        <f t="shared" si="69"/>
        <v>0</v>
      </c>
      <c r="P644" s="37" t="str">
        <f t="shared" si="72"/>
        <v>1 + 0</v>
      </c>
      <c r="Q644" s="470" t="s">
        <v>346</v>
      </c>
      <c r="R644" s="37">
        <f t="shared" si="70"/>
        <v>0</v>
      </c>
      <c r="S644" s="470" t="s">
        <v>347</v>
      </c>
      <c r="T644" s="470">
        <f t="shared" si="71"/>
        <v>0</v>
      </c>
      <c r="U644" s="470" t="s">
        <v>346</v>
      </c>
      <c r="V644" s="111">
        <f>IF(OR(F644="none",G644="V"),0,VLOOKUP(F644,'Purchased Boons'!$AR$4:$AS$27,2,FALSE))</f>
        <v>0</v>
      </c>
      <c r="W644" s="39" t="s">
        <v>1666</v>
      </c>
      <c r="X644" s="37" t="s">
        <v>1522</v>
      </c>
      <c r="Y644" s="37" t="s">
        <v>1046</v>
      </c>
      <c r="Z644" s="111">
        <v>80</v>
      </c>
      <c r="AG644" s="24"/>
      <c r="AH644" s="24"/>
    </row>
    <row r="645" spans="1:34" x14ac:dyDescent="0.25">
      <c r="A645" s="468" t="s">
        <v>1193</v>
      </c>
      <c r="B645" s="36" t="s">
        <v>363</v>
      </c>
      <c r="C645" s="469">
        <v>6</v>
      </c>
      <c r="D645" s="470" t="s">
        <v>21</v>
      </c>
      <c r="E645" s="37">
        <f t="shared" si="64"/>
        <v>1</v>
      </c>
      <c r="F645" s="470" t="s">
        <v>46</v>
      </c>
      <c r="G645" s="37">
        <f t="shared" si="65"/>
        <v>0</v>
      </c>
      <c r="H645" s="37" t="s">
        <v>494</v>
      </c>
      <c r="I645" s="37">
        <f t="shared" si="66"/>
        <v>0</v>
      </c>
      <c r="J645" s="37" t="s">
        <v>347</v>
      </c>
      <c r="K645" s="37">
        <f t="shared" si="67"/>
        <v>0</v>
      </c>
      <c r="L645" s="37" t="s">
        <v>494</v>
      </c>
      <c r="M645" s="37">
        <f t="shared" si="68"/>
        <v>0</v>
      </c>
      <c r="N645" s="470" t="s">
        <v>347</v>
      </c>
      <c r="O645" s="470">
        <f t="shared" si="69"/>
        <v>0</v>
      </c>
      <c r="P645" s="37" t="str">
        <f t="shared" si="72"/>
        <v>1 + 0</v>
      </c>
      <c r="Q645" s="470" t="s">
        <v>346</v>
      </c>
      <c r="R645" s="37">
        <f t="shared" si="70"/>
        <v>0</v>
      </c>
      <c r="S645" s="470" t="s">
        <v>347</v>
      </c>
      <c r="T645" s="470">
        <f t="shared" si="71"/>
        <v>0</v>
      </c>
      <c r="U645" s="470" t="s">
        <v>346</v>
      </c>
      <c r="V645" s="111">
        <f>IF(OR(F645="none",G645="V"),0,VLOOKUP(F645,'Purchased Boons'!$AR$4:$AS$27,2,FALSE))</f>
        <v>0</v>
      </c>
      <c r="W645" s="39" t="s">
        <v>1564</v>
      </c>
      <c r="X645" s="37" t="s">
        <v>1590</v>
      </c>
      <c r="Y645" s="37" t="s">
        <v>1045</v>
      </c>
      <c r="Z645" s="111">
        <v>87</v>
      </c>
      <c r="AG645" s="24"/>
      <c r="AH645" s="24"/>
    </row>
    <row r="646" spans="1:34" x14ac:dyDescent="0.25">
      <c r="A646" s="468" t="s">
        <v>1405</v>
      </c>
      <c r="B646" s="36" t="s">
        <v>365</v>
      </c>
      <c r="C646" s="469">
        <v>3</v>
      </c>
      <c r="D646" s="470" t="s">
        <v>16</v>
      </c>
      <c r="E646" s="37">
        <f t="shared" si="64"/>
        <v>1</v>
      </c>
      <c r="F646" s="470" t="s">
        <v>47</v>
      </c>
      <c r="G646" s="37">
        <f t="shared" si="65"/>
        <v>0</v>
      </c>
      <c r="H646" s="37" t="s">
        <v>494</v>
      </c>
      <c r="I646" s="37">
        <f t="shared" si="66"/>
        <v>0</v>
      </c>
      <c r="J646" s="37" t="s">
        <v>347</v>
      </c>
      <c r="K646" s="37">
        <f t="shared" si="67"/>
        <v>0</v>
      </c>
      <c r="L646" s="37" t="s">
        <v>494</v>
      </c>
      <c r="M646" s="37">
        <f t="shared" si="68"/>
        <v>0</v>
      </c>
      <c r="N646" s="470" t="s">
        <v>347</v>
      </c>
      <c r="O646" s="470">
        <f t="shared" si="69"/>
        <v>0</v>
      </c>
      <c r="P646" s="37" t="str">
        <f t="shared" si="72"/>
        <v>1 + 0</v>
      </c>
      <c r="Q646" s="470" t="s">
        <v>346</v>
      </c>
      <c r="R646" s="37">
        <f t="shared" si="70"/>
        <v>0</v>
      </c>
      <c r="S646" s="470" t="s">
        <v>347</v>
      </c>
      <c r="T646" s="470">
        <f t="shared" si="71"/>
        <v>0</v>
      </c>
      <c r="U646" s="470" t="s">
        <v>346</v>
      </c>
      <c r="V646" s="111">
        <f>IF(OR(F646="none",G646="V"),0,VLOOKUP(F646,'Purchased Boons'!$AR$4:$AS$27,2,FALSE))</f>
        <v>0</v>
      </c>
      <c r="W646" s="39" t="s">
        <v>1050</v>
      </c>
      <c r="X646" s="37" t="s">
        <v>1686</v>
      </c>
      <c r="Y646" s="37" t="s">
        <v>1046</v>
      </c>
      <c r="Z646" s="111">
        <v>78</v>
      </c>
      <c r="AG646" s="24"/>
      <c r="AH646" s="24"/>
    </row>
    <row r="647" spans="1:34" x14ac:dyDescent="0.25">
      <c r="A647" s="468" t="s">
        <v>1303</v>
      </c>
      <c r="B647" s="36" t="s">
        <v>367</v>
      </c>
      <c r="C647" s="469">
        <v>9</v>
      </c>
      <c r="D647" s="470" t="s">
        <v>494</v>
      </c>
      <c r="E647" s="37">
        <f t="shared" si="64"/>
        <v>0</v>
      </c>
      <c r="F647" s="470" t="s">
        <v>494</v>
      </c>
      <c r="G647" s="37">
        <f t="shared" si="65"/>
        <v>0</v>
      </c>
      <c r="H647" s="37" t="s">
        <v>494</v>
      </c>
      <c r="I647" s="37">
        <f t="shared" si="66"/>
        <v>0</v>
      </c>
      <c r="J647" s="37" t="s">
        <v>347</v>
      </c>
      <c r="K647" s="37">
        <f t="shared" si="67"/>
        <v>0</v>
      </c>
      <c r="L647" s="37" t="s">
        <v>494</v>
      </c>
      <c r="M647" s="37">
        <f t="shared" si="68"/>
        <v>0</v>
      </c>
      <c r="N647" s="470" t="s">
        <v>347</v>
      </c>
      <c r="O647" s="470">
        <f t="shared" si="69"/>
        <v>0</v>
      </c>
      <c r="P647" s="37" t="str">
        <f t="shared" si="72"/>
        <v>None</v>
      </c>
      <c r="Q647" s="470" t="s">
        <v>346</v>
      </c>
      <c r="R647" s="37">
        <f t="shared" si="70"/>
        <v>0</v>
      </c>
      <c r="S647" s="470" t="s">
        <v>347</v>
      </c>
      <c r="T647" s="470">
        <f t="shared" si="71"/>
        <v>0</v>
      </c>
      <c r="U647" s="470" t="s">
        <v>346</v>
      </c>
      <c r="V647" s="111">
        <f>IF(OR(F647="none",G647="V"),0,VLOOKUP(F647,'Purchased Boons'!$AR$4:$AS$27,2,FALSE))</f>
        <v>0</v>
      </c>
      <c r="W647" s="39" t="s">
        <v>1608</v>
      </c>
      <c r="X647" s="37" t="s">
        <v>494</v>
      </c>
      <c r="Y647" s="37" t="s">
        <v>5</v>
      </c>
      <c r="Z647" s="111">
        <v>103</v>
      </c>
      <c r="AG647" s="24"/>
      <c r="AH647" s="24"/>
    </row>
    <row r="648" spans="1:34" x14ac:dyDescent="0.25">
      <c r="A648" s="468" t="s">
        <v>1370</v>
      </c>
      <c r="B648" s="36" t="s">
        <v>1343</v>
      </c>
      <c r="C648" s="469">
        <v>2</v>
      </c>
      <c r="D648" s="470" t="s">
        <v>20</v>
      </c>
      <c r="E648" s="37">
        <f t="shared" si="64"/>
        <v>1</v>
      </c>
      <c r="F648" s="470" t="s">
        <v>58</v>
      </c>
      <c r="G648" s="37">
        <f t="shared" si="65"/>
        <v>0</v>
      </c>
      <c r="H648" s="37" t="s">
        <v>494</v>
      </c>
      <c r="I648" s="37">
        <f t="shared" si="66"/>
        <v>0</v>
      </c>
      <c r="J648" s="37" t="s">
        <v>347</v>
      </c>
      <c r="K648" s="37">
        <f t="shared" si="67"/>
        <v>0</v>
      </c>
      <c r="L648" s="37" t="s">
        <v>494</v>
      </c>
      <c r="M648" s="37">
        <f t="shared" si="68"/>
        <v>0</v>
      </c>
      <c r="N648" s="470" t="s">
        <v>347</v>
      </c>
      <c r="O648" s="470">
        <f t="shared" si="69"/>
        <v>0</v>
      </c>
      <c r="P648" s="37" t="str">
        <f t="shared" si="72"/>
        <v>1 + 0</v>
      </c>
      <c r="Q648" s="470" t="s">
        <v>346</v>
      </c>
      <c r="R648" s="37">
        <f t="shared" si="70"/>
        <v>0</v>
      </c>
      <c r="S648" s="470" t="s">
        <v>347</v>
      </c>
      <c r="T648" s="470">
        <f t="shared" si="71"/>
        <v>0</v>
      </c>
      <c r="U648" s="470" t="s">
        <v>346</v>
      </c>
      <c r="V648" s="111">
        <f>IF(OR(F648="none",G648="V"),0,VLOOKUP(F648,'Purchased Boons'!$AR$4:$AS$27,2,FALSE))</f>
        <v>0</v>
      </c>
      <c r="W648" s="39" t="s">
        <v>1050</v>
      </c>
      <c r="X648" s="37" t="s">
        <v>1658</v>
      </c>
      <c r="Y648" s="37" t="s">
        <v>1046</v>
      </c>
      <c r="Z648" s="111">
        <v>68</v>
      </c>
      <c r="AG648" s="24"/>
      <c r="AH648" s="24"/>
    </row>
    <row r="649" spans="1:34" x14ac:dyDescent="0.25">
      <c r="A649" s="468" t="s">
        <v>1426</v>
      </c>
      <c r="B649" s="36" t="s">
        <v>168</v>
      </c>
      <c r="C649" s="469">
        <v>6</v>
      </c>
      <c r="D649" s="470" t="s">
        <v>21</v>
      </c>
      <c r="E649" s="37">
        <f t="shared" si="64"/>
        <v>1</v>
      </c>
      <c r="F649" s="470" t="s">
        <v>47</v>
      </c>
      <c r="G649" s="37">
        <f t="shared" si="65"/>
        <v>0</v>
      </c>
      <c r="H649" s="37" t="s">
        <v>494</v>
      </c>
      <c r="I649" s="37">
        <f t="shared" si="66"/>
        <v>0</v>
      </c>
      <c r="J649" s="37" t="s">
        <v>347</v>
      </c>
      <c r="K649" s="37">
        <f t="shared" si="67"/>
        <v>0</v>
      </c>
      <c r="L649" s="37" t="s">
        <v>494</v>
      </c>
      <c r="M649" s="37">
        <f t="shared" si="68"/>
        <v>0</v>
      </c>
      <c r="N649" s="470" t="s">
        <v>347</v>
      </c>
      <c r="O649" s="470">
        <f t="shared" si="69"/>
        <v>0</v>
      </c>
      <c r="P649" s="37" t="str">
        <f t="shared" si="72"/>
        <v>1 + 0</v>
      </c>
      <c r="Q649" s="470" t="s">
        <v>346</v>
      </c>
      <c r="R649" s="37">
        <f t="shared" si="70"/>
        <v>0</v>
      </c>
      <c r="S649" s="470" t="s">
        <v>347</v>
      </c>
      <c r="T649" s="470">
        <f t="shared" si="71"/>
        <v>0</v>
      </c>
      <c r="U649" s="470" t="s">
        <v>346</v>
      </c>
      <c r="V649" s="111">
        <f>IF(OR(F649="none",G649="V"),0,VLOOKUP(F649,'Purchased Boons'!$AR$4:$AS$27,2,FALSE))</f>
        <v>0</v>
      </c>
      <c r="W649" s="39" t="s">
        <v>1052</v>
      </c>
      <c r="X649" s="37" t="s">
        <v>1657</v>
      </c>
      <c r="Y649" s="37" t="s">
        <v>1046</v>
      </c>
      <c r="Z649" s="111">
        <v>98</v>
      </c>
      <c r="AG649" s="24"/>
      <c r="AH649" s="24"/>
    </row>
    <row r="650" spans="1:34" x14ac:dyDescent="0.25">
      <c r="A650" s="473" t="s">
        <v>1503</v>
      </c>
      <c r="B650" s="39" t="s">
        <v>689</v>
      </c>
      <c r="C650" s="469">
        <v>5</v>
      </c>
      <c r="D650" s="470" t="s">
        <v>17</v>
      </c>
      <c r="E650" s="37">
        <f t="shared" si="64"/>
        <v>1</v>
      </c>
      <c r="F650" s="470" t="s">
        <v>51</v>
      </c>
      <c r="G650" s="37">
        <f t="shared" si="65"/>
        <v>0</v>
      </c>
      <c r="H650" s="37" t="s">
        <v>494</v>
      </c>
      <c r="I650" s="37">
        <f t="shared" si="66"/>
        <v>0</v>
      </c>
      <c r="J650" s="37" t="s">
        <v>347</v>
      </c>
      <c r="K650" s="37">
        <f t="shared" si="67"/>
        <v>0</v>
      </c>
      <c r="L650" s="37" t="s">
        <v>494</v>
      </c>
      <c r="M650" s="37">
        <f t="shared" si="68"/>
        <v>0</v>
      </c>
      <c r="N650" s="470" t="s">
        <v>347</v>
      </c>
      <c r="O650" s="470">
        <f t="shared" si="69"/>
        <v>0</v>
      </c>
      <c r="P650" s="37" t="str">
        <f t="shared" si="72"/>
        <v>1 + 0</v>
      </c>
      <c r="Q650" s="470" t="s">
        <v>346</v>
      </c>
      <c r="R650" s="37">
        <f t="shared" si="70"/>
        <v>0</v>
      </c>
      <c r="S650" s="470" t="s">
        <v>347</v>
      </c>
      <c r="T650" s="470">
        <f t="shared" si="71"/>
        <v>0</v>
      </c>
      <c r="U650" s="470" t="s">
        <v>346</v>
      </c>
      <c r="V650" s="111">
        <f>IF(OR(F650="none",G650="V"),0,VLOOKUP(F650,'Purchased Boons'!$AR$4:$AS$27,2,FALSE))</f>
        <v>0</v>
      </c>
      <c r="W650" s="39" t="s">
        <v>1052</v>
      </c>
      <c r="X650" s="37" t="s">
        <v>1553</v>
      </c>
      <c r="Y650" s="37" t="s">
        <v>1484</v>
      </c>
      <c r="Z650" s="111">
        <v>41</v>
      </c>
      <c r="AG650" s="24"/>
      <c r="AH650" s="24"/>
    </row>
    <row r="651" spans="1:34" x14ac:dyDescent="0.25">
      <c r="A651" s="468" t="s">
        <v>1478</v>
      </c>
      <c r="B651" s="36" t="s">
        <v>364</v>
      </c>
      <c r="C651" s="469">
        <v>6</v>
      </c>
      <c r="D651" s="470" t="s">
        <v>19</v>
      </c>
      <c r="E651" s="37">
        <f t="shared" si="64"/>
        <v>1</v>
      </c>
      <c r="F651" s="470" t="s">
        <v>38</v>
      </c>
      <c r="G651" s="37">
        <f t="shared" si="65"/>
        <v>0</v>
      </c>
      <c r="H651" s="37" t="s">
        <v>494</v>
      </c>
      <c r="I651" s="37">
        <f t="shared" si="66"/>
        <v>0</v>
      </c>
      <c r="J651" s="37" t="s">
        <v>347</v>
      </c>
      <c r="K651" s="37">
        <f t="shared" si="67"/>
        <v>0</v>
      </c>
      <c r="L651" s="37" t="s">
        <v>494</v>
      </c>
      <c r="M651" s="37">
        <f t="shared" si="68"/>
        <v>0</v>
      </c>
      <c r="N651" s="470" t="s">
        <v>347</v>
      </c>
      <c r="O651" s="470">
        <f t="shared" si="69"/>
        <v>0</v>
      </c>
      <c r="P651" s="37" t="str">
        <f t="shared" si="72"/>
        <v>1 + 0</v>
      </c>
      <c r="Q651" s="470" t="s">
        <v>346</v>
      </c>
      <c r="R651" s="37">
        <f t="shared" si="70"/>
        <v>0</v>
      </c>
      <c r="S651" s="470" t="s">
        <v>347</v>
      </c>
      <c r="T651" s="470">
        <f t="shared" si="71"/>
        <v>0</v>
      </c>
      <c r="U651" s="470" t="s">
        <v>346</v>
      </c>
      <c r="V651" s="111">
        <f>IF(OR(F651="none",G651="V"),0,VLOOKUP(F651,'Purchased Boons'!$AR$4:$AS$27,2,FALSE))</f>
        <v>0</v>
      </c>
      <c r="W651" s="39" t="s">
        <v>1052</v>
      </c>
      <c r="X651" s="37" t="s">
        <v>1527</v>
      </c>
      <c r="Y651" s="37" t="s">
        <v>1462</v>
      </c>
      <c r="Z651" s="111">
        <v>18</v>
      </c>
      <c r="AG651" s="24"/>
      <c r="AH651" s="24"/>
    </row>
    <row r="652" spans="1:34" x14ac:dyDescent="0.25">
      <c r="A652" s="468" t="s">
        <v>1183</v>
      </c>
      <c r="B652" s="36" t="s">
        <v>361</v>
      </c>
      <c r="C652" s="469">
        <v>4</v>
      </c>
      <c r="D652" s="470" t="s">
        <v>17</v>
      </c>
      <c r="E652" s="37">
        <f t="shared" si="64"/>
        <v>1</v>
      </c>
      <c r="F652" s="470" t="s">
        <v>51</v>
      </c>
      <c r="G652" s="37">
        <f t="shared" si="65"/>
        <v>0</v>
      </c>
      <c r="H652" s="37" t="s">
        <v>494</v>
      </c>
      <c r="I652" s="37">
        <f t="shared" si="66"/>
        <v>0</v>
      </c>
      <c r="J652" s="37" t="s">
        <v>347</v>
      </c>
      <c r="K652" s="37">
        <f t="shared" si="67"/>
        <v>0</v>
      </c>
      <c r="L652" s="37" t="s">
        <v>494</v>
      </c>
      <c r="M652" s="37">
        <f t="shared" si="68"/>
        <v>0</v>
      </c>
      <c r="N652" s="470" t="s">
        <v>347</v>
      </c>
      <c r="O652" s="470">
        <f t="shared" si="69"/>
        <v>0</v>
      </c>
      <c r="P652" s="37" t="str">
        <f t="shared" si="72"/>
        <v>1 + 0</v>
      </c>
      <c r="Q652" s="470" t="s">
        <v>346</v>
      </c>
      <c r="R652" s="37">
        <f t="shared" si="70"/>
        <v>0</v>
      </c>
      <c r="S652" s="470" t="s">
        <v>347</v>
      </c>
      <c r="T652" s="470">
        <f t="shared" si="71"/>
        <v>0</v>
      </c>
      <c r="U652" s="470" t="s">
        <v>346</v>
      </c>
      <c r="V652" s="111">
        <f>IF(OR(F652="none",G652="V"),0,VLOOKUP(F652,'Purchased Boons'!$AR$4:$AS$27,2,FALSE))</f>
        <v>0</v>
      </c>
      <c r="W652" s="39" t="s">
        <v>1560</v>
      </c>
      <c r="X652" s="37" t="s">
        <v>1553</v>
      </c>
      <c r="Y652" s="37" t="s">
        <v>1045</v>
      </c>
      <c r="Z652" s="111">
        <v>83</v>
      </c>
      <c r="AG652" s="24"/>
      <c r="AH652" s="24"/>
    </row>
    <row r="653" spans="1:34" x14ac:dyDescent="0.25">
      <c r="A653" s="468" t="s">
        <v>1283</v>
      </c>
      <c r="B653" s="36" t="s">
        <v>361</v>
      </c>
      <c r="C653" s="469">
        <v>9</v>
      </c>
      <c r="D653" s="470" t="s">
        <v>494</v>
      </c>
      <c r="E653" s="37">
        <f t="shared" si="64"/>
        <v>0</v>
      </c>
      <c r="F653" s="470" t="s">
        <v>494</v>
      </c>
      <c r="G653" s="37">
        <f t="shared" si="65"/>
        <v>0</v>
      </c>
      <c r="H653" s="37" t="s">
        <v>494</v>
      </c>
      <c r="I653" s="37">
        <f t="shared" si="66"/>
        <v>0</v>
      </c>
      <c r="J653" s="37" t="s">
        <v>347</v>
      </c>
      <c r="K653" s="37">
        <f t="shared" si="67"/>
        <v>0</v>
      </c>
      <c r="L653" s="37" t="s">
        <v>494</v>
      </c>
      <c r="M653" s="37">
        <f t="shared" si="68"/>
        <v>0</v>
      </c>
      <c r="N653" s="470" t="s">
        <v>347</v>
      </c>
      <c r="O653" s="470">
        <f t="shared" si="69"/>
        <v>0</v>
      </c>
      <c r="P653" s="37" t="str">
        <f t="shared" si="72"/>
        <v>None</v>
      </c>
      <c r="Q653" s="470" t="s">
        <v>346</v>
      </c>
      <c r="R653" s="37">
        <f t="shared" si="70"/>
        <v>0</v>
      </c>
      <c r="S653" s="470" t="s">
        <v>347</v>
      </c>
      <c r="T653" s="470">
        <f t="shared" si="71"/>
        <v>0</v>
      </c>
      <c r="U653" s="470" t="s">
        <v>346</v>
      </c>
      <c r="V653" s="111">
        <f>IF(OR(F653="none",G653="V"),0,VLOOKUP(F653,'Purchased Boons'!$AR$4:$AS$27,2,FALSE))</f>
        <v>0</v>
      </c>
      <c r="W653" s="39" t="s">
        <v>1625</v>
      </c>
      <c r="X653" s="37" t="s">
        <v>494</v>
      </c>
      <c r="Y653" s="37" t="s">
        <v>5</v>
      </c>
      <c r="Z653" s="111">
        <v>96</v>
      </c>
      <c r="AG653" s="24"/>
      <c r="AH653" s="24"/>
    </row>
    <row r="654" spans="1:34" x14ac:dyDescent="0.25">
      <c r="A654" s="468" t="s">
        <v>1420</v>
      </c>
      <c r="B654" s="36" t="s">
        <v>371</v>
      </c>
      <c r="C654" s="469">
        <v>10</v>
      </c>
      <c r="D654" s="470" t="s">
        <v>20</v>
      </c>
      <c r="E654" s="37">
        <f t="shared" si="64"/>
        <v>1</v>
      </c>
      <c r="F654" s="470" t="s">
        <v>49</v>
      </c>
      <c r="G654" s="37">
        <f t="shared" si="65"/>
        <v>0</v>
      </c>
      <c r="H654" s="37" t="s">
        <v>494</v>
      </c>
      <c r="I654" s="37">
        <f t="shared" si="66"/>
        <v>0</v>
      </c>
      <c r="J654" s="37" t="s">
        <v>347</v>
      </c>
      <c r="K654" s="37">
        <f t="shared" si="67"/>
        <v>0</v>
      </c>
      <c r="L654" s="37" t="s">
        <v>494</v>
      </c>
      <c r="M654" s="37">
        <f t="shared" si="68"/>
        <v>0</v>
      </c>
      <c r="N654" s="470" t="s">
        <v>347</v>
      </c>
      <c r="O654" s="470">
        <f t="shared" si="69"/>
        <v>0</v>
      </c>
      <c r="P654" s="37" t="str">
        <f t="shared" si="72"/>
        <v>1 + 0</v>
      </c>
      <c r="Q654" s="470" t="s">
        <v>346</v>
      </c>
      <c r="R654" s="37">
        <f t="shared" si="70"/>
        <v>0</v>
      </c>
      <c r="S654" s="470" t="s">
        <v>347</v>
      </c>
      <c r="T654" s="470">
        <f t="shared" si="71"/>
        <v>0</v>
      </c>
      <c r="U654" s="470" t="s">
        <v>346</v>
      </c>
      <c r="V654" s="111">
        <f>IF(OR(F654="none",G654="V"),0,VLOOKUP(F654,'Purchased Boons'!$AR$4:$AS$27,2,FALSE))</f>
        <v>0</v>
      </c>
      <c r="W654" s="39" t="s">
        <v>1653</v>
      </c>
      <c r="X654" s="37" t="s">
        <v>1596</v>
      </c>
      <c r="Y654" s="37" t="s">
        <v>1046</v>
      </c>
      <c r="Z654" s="111">
        <v>82</v>
      </c>
      <c r="AG654" s="24"/>
      <c r="AH654" s="24"/>
    </row>
    <row r="655" spans="1:34" x14ac:dyDescent="0.25">
      <c r="A655" s="468" t="s">
        <v>1261</v>
      </c>
      <c r="B655" s="36" t="s">
        <v>356</v>
      </c>
      <c r="C655" s="469">
        <v>10</v>
      </c>
      <c r="D655" s="470" t="s">
        <v>13</v>
      </c>
      <c r="E655" s="37">
        <f t="shared" si="64"/>
        <v>1</v>
      </c>
      <c r="F655" s="470" t="s">
        <v>57</v>
      </c>
      <c r="G655" s="37">
        <f t="shared" si="65"/>
        <v>0</v>
      </c>
      <c r="H655" s="37" t="s">
        <v>494</v>
      </c>
      <c r="I655" s="37">
        <f t="shared" si="66"/>
        <v>0</v>
      </c>
      <c r="J655" s="37" t="s">
        <v>347</v>
      </c>
      <c r="K655" s="37">
        <f t="shared" si="67"/>
        <v>0</v>
      </c>
      <c r="L655" s="37" t="s">
        <v>494</v>
      </c>
      <c r="M655" s="37">
        <f t="shared" si="68"/>
        <v>0</v>
      </c>
      <c r="N655" s="470" t="s">
        <v>347</v>
      </c>
      <c r="O655" s="470">
        <f t="shared" si="69"/>
        <v>0</v>
      </c>
      <c r="P655" s="37" t="str">
        <f t="shared" si="72"/>
        <v>1 + 0</v>
      </c>
      <c r="Q655" s="470" t="s">
        <v>346</v>
      </c>
      <c r="R655" s="37">
        <f t="shared" si="70"/>
        <v>0</v>
      </c>
      <c r="S655" s="470" t="s">
        <v>347</v>
      </c>
      <c r="T655" s="470">
        <f t="shared" si="71"/>
        <v>0</v>
      </c>
      <c r="U655" s="470" t="s">
        <v>346</v>
      </c>
      <c r="V655" s="111">
        <f>IF(OR(F655="none",G655="V"),0,VLOOKUP(F655,'Purchased Boons'!$AR$4:$AS$27,2,FALSE))</f>
        <v>0</v>
      </c>
      <c r="W655" s="39" t="s">
        <v>1053</v>
      </c>
      <c r="X655" s="37" t="s">
        <v>1528</v>
      </c>
      <c r="Y655" s="37" t="s">
        <v>5</v>
      </c>
      <c r="Z655" s="111">
        <v>87</v>
      </c>
      <c r="AG655" s="24"/>
      <c r="AH655" s="24"/>
    </row>
    <row r="656" spans="1:34" x14ac:dyDescent="0.25">
      <c r="A656" s="468" t="s">
        <v>1121</v>
      </c>
      <c r="B656" s="36" t="s">
        <v>166</v>
      </c>
      <c r="C656" s="469">
        <v>1</v>
      </c>
      <c r="D656" s="470" t="s">
        <v>494</v>
      </c>
      <c r="E656" s="37">
        <f t="shared" si="64"/>
        <v>0</v>
      </c>
      <c r="F656" s="470" t="s">
        <v>494</v>
      </c>
      <c r="G656" s="37">
        <f t="shared" si="65"/>
        <v>0</v>
      </c>
      <c r="H656" s="37" t="s">
        <v>494</v>
      </c>
      <c r="I656" s="37">
        <f t="shared" si="66"/>
        <v>0</v>
      </c>
      <c r="J656" s="37" t="s">
        <v>347</v>
      </c>
      <c r="K656" s="37">
        <f t="shared" si="67"/>
        <v>0</v>
      </c>
      <c r="L656" s="37" t="s">
        <v>494</v>
      </c>
      <c r="M656" s="37">
        <f t="shared" si="68"/>
        <v>0</v>
      </c>
      <c r="N656" s="470" t="s">
        <v>347</v>
      </c>
      <c r="O656" s="470">
        <f t="shared" si="69"/>
        <v>0</v>
      </c>
      <c r="P656" s="37" t="str">
        <f t="shared" si="72"/>
        <v>None</v>
      </c>
      <c r="Q656" s="470" t="s">
        <v>346</v>
      </c>
      <c r="R656" s="37">
        <f t="shared" si="70"/>
        <v>0</v>
      </c>
      <c r="S656" s="470" t="s">
        <v>347</v>
      </c>
      <c r="T656" s="470">
        <f t="shared" si="71"/>
        <v>0</v>
      </c>
      <c r="U656" s="470" t="s">
        <v>346</v>
      </c>
      <c r="V656" s="111">
        <f>IF(OR(F656="none",G656="V"),0,VLOOKUP(F656,'Purchased Boons'!$AR$4:$AS$27,2,FALSE))</f>
        <v>0</v>
      </c>
      <c r="W656" s="39" t="s">
        <v>1537</v>
      </c>
      <c r="X656" s="37" t="s">
        <v>494</v>
      </c>
      <c r="Y656" s="37" t="s">
        <v>133</v>
      </c>
      <c r="Z656" s="111">
        <v>152</v>
      </c>
      <c r="AG656" s="24"/>
      <c r="AH656" s="24"/>
    </row>
    <row r="657" spans="1:34" x14ac:dyDescent="0.25">
      <c r="A657" s="468" t="s">
        <v>1437</v>
      </c>
      <c r="B657" s="36" t="s">
        <v>170</v>
      </c>
      <c r="C657" s="469">
        <v>7</v>
      </c>
      <c r="D657" s="470" t="s">
        <v>19</v>
      </c>
      <c r="E657" s="37">
        <f t="shared" si="64"/>
        <v>1</v>
      </c>
      <c r="F657" s="470" t="s">
        <v>41</v>
      </c>
      <c r="G657" s="37">
        <f t="shared" si="65"/>
        <v>0</v>
      </c>
      <c r="H657" s="37" t="s">
        <v>494</v>
      </c>
      <c r="I657" s="37">
        <f t="shared" si="66"/>
        <v>0</v>
      </c>
      <c r="J657" s="37" t="s">
        <v>347</v>
      </c>
      <c r="K657" s="37">
        <f t="shared" si="67"/>
        <v>0</v>
      </c>
      <c r="L657" s="37" t="s">
        <v>494</v>
      </c>
      <c r="M657" s="37">
        <f t="shared" si="68"/>
        <v>0</v>
      </c>
      <c r="N657" s="470" t="s">
        <v>347</v>
      </c>
      <c r="O657" s="470">
        <f t="shared" si="69"/>
        <v>0</v>
      </c>
      <c r="P657" s="37" t="str">
        <f t="shared" si="72"/>
        <v>1 + 0</v>
      </c>
      <c r="Q657" s="470" t="s">
        <v>346</v>
      </c>
      <c r="R657" s="37">
        <f t="shared" si="70"/>
        <v>0</v>
      </c>
      <c r="S657" s="470" t="s">
        <v>347</v>
      </c>
      <c r="T657" s="470">
        <f t="shared" si="71"/>
        <v>0</v>
      </c>
      <c r="U657" s="470" t="s">
        <v>346</v>
      </c>
      <c r="V657" s="111">
        <f>IF(OR(F657="none",G657="V"),0,VLOOKUP(F657,'Purchased Boons'!$AR$4:$AS$27,2,FALSE))</f>
        <v>0</v>
      </c>
      <c r="W657" s="39" t="s">
        <v>1053</v>
      </c>
      <c r="X657" s="37" t="s">
        <v>1525</v>
      </c>
      <c r="Y657" s="37" t="s">
        <v>1046</v>
      </c>
      <c r="Z657" s="111">
        <v>174</v>
      </c>
      <c r="AG657" s="24"/>
      <c r="AH657" s="24"/>
    </row>
    <row r="658" spans="1:34" x14ac:dyDescent="0.25">
      <c r="A658" s="468" t="s">
        <v>1189</v>
      </c>
      <c r="B658" s="36" t="s">
        <v>362</v>
      </c>
      <c r="C658" s="469">
        <v>6</v>
      </c>
      <c r="D658" s="470" t="s">
        <v>494</v>
      </c>
      <c r="E658" s="37">
        <f t="shared" si="64"/>
        <v>0</v>
      </c>
      <c r="F658" s="470" t="s">
        <v>494</v>
      </c>
      <c r="G658" s="37">
        <f t="shared" si="65"/>
        <v>0</v>
      </c>
      <c r="H658" s="37" t="s">
        <v>494</v>
      </c>
      <c r="I658" s="37">
        <f t="shared" si="66"/>
        <v>0</v>
      </c>
      <c r="J658" s="37" t="s">
        <v>347</v>
      </c>
      <c r="K658" s="37">
        <f t="shared" si="67"/>
        <v>0</v>
      </c>
      <c r="L658" s="37" t="s">
        <v>494</v>
      </c>
      <c r="M658" s="37">
        <f t="shared" si="68"/>
        <v>0</v>
      </c>
      <c r="N658" s="470" t="s">
        <v>347</v>
      </c>
      <c r="O658" s="470">
        <f t="shared" si="69"/>
        <v>0</v>
      </c>
      <c r="P658" s="37" t="str">
        <f t="shared" si="72"/>
        <v>None</v>
      </c>
      <c r="Q658" s="470" t="s">
        <v>346</v>
      </c>
      <c r="R658" s="37">
        <f t="shared" si="70"/>
        <v>0</v>
      </c>
      <c r="S658" s="470" t="s">
        <v>347</v>
      </c>
      <c r="T658" s="470">
        <f t="shared" si="71"/>
        <v>0</v>
      </c>
      <c r="U658" s="470" t="s">
        <v>346</v>
      </c>
      <c r="V658" s="111">
        <f>IF(OR(F658="none",G658="V"),0,VLOOKUP(F658,'Purchased Boons'!$AR$4:$AS$27,2,FALSE))</f>
        <v>0</v>
      </c>
      <c r="W658" s="39" t="s">
        <v>1603</v>
      </c>
      <c r="X658" s="37" t="s">
        <v>494</v>
      </c>
      <c r="Y658" s="37" t="s">
        <v>1045</v>
      </c>
      <c r="Z658" s="111">
        <v>86</v>
      </c>
      <c r="AC658" s="482"/>
      <c r="AD658" s="482"/>
      <c r="AE658" s="482"/>
      <c r="AF658" s="483"/>
      <c r="AG658" s="24"/>
      <c r="AH658" s="24"/>
    </row>
    <row r="659" spans="1:34" x14ac:dyDescent="0.25">
      <c r="A659" s="468" t="s">
        <v>1375</v>
      </c>
      <c r="B659" s="36" t="s">
        <v>1343</v>
      </c>
      <c r="C659" s="469">
        <v>7</v>
      </c>
      <c r="D659" s="470" t="s">
        <v>21</v>
      </c>
      <c r="E659" s="37">
        <f t="shared" si="64"/>
        <v>1</v>
      </c>
      <c r="F659" s="470" t="s">
        <v>46</v>
      </c>
      <c r="G659" s="37">
        <f t="shared" si="65"/>
        <v>0</v>
      </c>
      <c r="H659" s="37" t="s">
        <v>494</v>
      </c>
      <c r="I659" s="37">
        <f t="shared" si="66"/>
        <v>0</v>
      </c>
      <c r="J659" s="37" t="s">
        <v>347</v>
      </c>
      <c r="K659" s="37">
        <f t="shared" si="67"/>
        <v>0</v>
      </c>
      <c r="L659" s="37" t="s">
        <v>494</v>
      </c>
      <c r="M659" s="37">
        <f t="shared" si="68"/>
        <v>0</v>
      </c>
      <c r="N659" s="470" t="s">
        <v>347</v>
      </c>
      <c r="O659" s="470">
        <f t="shared" si="69"/>
        <v>0</v>
      </c>
      <c r="P659" s="37" t="str">
        <f t="shared" si="72"/>
        <v>1 + 0</v>
      </c>
      <c r="Q659" s="470" t="s">
        <v>346</v>
      </c>
      <c r="R659" s="37">
        <f t="shared" si="70"/>
        <v>0</v>
      </c>
      <c r="S659" s="470" t="s">
        <v>347</v>
      </c>
      <c r="T659" s="470">
        <f t="shared" si="71"/>
        <v>0</v>
      </c>
      <c r="U659" s="470" t="s">
        <v>346</v>
      </c>
      <c r="V659" s="111">
        <f>IF(OR(F659="none",G659="V"),0,VLOOKUP(F659,'Purchased Boons'!$AR$4:$AS$27,2,FALSE))</f>
        <v>0</v>
      </c>
      <c r="W659" s="39" t="s">
        <v>1055</v>
      </c>
      <c r="X659" s="37" t="s">
        <v>1590</v>
      </c>
      <c r="Y659" s="37" t="s">
        <v>1046</v>
      </c>
      <c r="Z659" s="111">
        <v>69</v>
      </c>
      <c r="AC659" s="482"/>
      <c r="AD659" s="482"/>
      <c r="AE659" s="482"/>
      <c r="AF659" s="483"/>
      <c r="AG659" s="24"/>
      <c r="AH659" s="24"/>
    </row>
    <row r="660" spans="1:34" x14ac:dyDescent="0.25">
      <c r="A660" s="468" t="s">
        <v>1438</v>
      </c>
      <c r="B660" s="36" t="s">
        <v>170</v>
      </c>
      <c r="C660" s="469">
        <v>8</v>
      </c>
      <c r="D660" s="470" t="s">
        <v>17</v>
      </c>
      <c r="E660" s="37">
        <f t="shared" si="64"/>
        <v>1</v>
      </c>
      <c r="F660" s="470" t="s">
        <v>51</v>
      </c>
      <c r="G660" s="37">
        <f t="shared" si="65"/>
        <v>0</v>
      </c>
      <c r="H660" s="37" t="s">
        <v>494</v>
      </c>
      <c r="I660" s="37">
        <f t="shared" si="66"/>
        <v>0</v>
      </c>
      <c r="J660" s="37" t="s">
        <v>347</v>
      </c>
      <c r="K660" s="37">
        <f t="shared" si="67"/>
        <v>0</v>
      </c>
      <c r="L660" s="37" t="s">
        <v>494</v>
      </c>
      <c r="M660" s="37">
        <f t="shared" si="68"/>
        <v>0</v>
      </c>
      <c r="N660" s="470" t="s">
        <v>347</v>
      </c>
      <c r="O660" s="470">
        <f t="shared" si="69"/>
        <v>0</v>
      </c>
      <c r="P660" s="37" t="str">
        <f t="shared" si="72"/>
        <v>1 + 0</v>
      </c>
      <c r="Q660" s="470" t="s">
        <v>346</v>
      </c>
      <c r="R660" s="37">
        <f t="shared" si="70"/>
        <v>0</v>
      </c>
      <c r="S660" s="470" t="s">
        <v>347</v>
      </c>
      <c r="T660" s="470">
        <f t="shared" si="71"/>
        <v>0</v>
      </c>
      <c r="U660" s="470" t="s">
        <v>346</v>
      </c>
      <c r="V660" s="111">
        <f>IF(OR(F660="none",G660="V"),0,VLOOKUP(F660,'Purchased Boons'!$AR$4:$AS$27,2,FALSE))</f>
        <v>0</v>
      </c>
      <c r="W660" s="39" t="s">
        <v>1629</v>
      </c>
      <c r="X660" s="37" t="s">
        <v>1553</v>
      </c>
      <c r="Y660" s="37" t="s">
        <v>1046</v>
      </c>
      <c r="Z660" s="111">
        <v>174</v>
      </c>
      <c r="AC660" s="482"/>
      <c r="AD660" s="482"/>
      <c r="AE660" s="482"/>
      <c r="AF660" s="483"/>
      <c r="AG660" s="24"/>
      <c r="AH660" s="24"/>
    </row>
    <row r="661" spans="1:34" x14ac:dyDescent="0.25">
      <c r="A661" s="468" t="s">
        <v>1411</v>
      </c>
      <c r="B661" s="36" t="s">
        <v>371</v>
      </c>
      <c r="C661" s="469">
        <v>1</v>
      </c>
      <c r="D661" s="470" t="s">
        <v>19</v>
      </c>
      <c r="E661" s="37">
        <f t="shared" si="64"/>
        <v>1</v>
      </c>
      <c r="F661" s="470" t="s">
        <v>41</v>
      </c>
      <c r="G661" s="37">
        <f t="shared" si="65"/>
        <v>0</v>
      </c>
      <c r="H661" s="37" t="s">
        <v>494</v>
      </c>
      <c r="I661" s="37">
        <f t="shared" si="66"/>
        <v>0</v>
      </c>
      <c r="J661" s="37" t="s">
        <v>347</v>
      </c>
      <c r="K661" s="37">
        <f t="shared" si="67"/>
        <v>0</v>
      </c>
      <c r="L661" s="37" t="s">
        <v>494</v>
      </c>
      <c r="M661" s="37">
        <f t="shared" si="68"/>
        <v>0</v>
      </c>
      <c r="N661" s="470" t="s">
        <v>347</v>
      </c>
      <c r="O661" s="470">
        <f t="shared" si="69"/>
        <v>0</v>
      </c>
      <c r="P661" s="37" t="str">
        <f t="shared" si="72"/>
        <v>1 + 0</v>
      </c>
      <c r="Q661" s="470" t="s">
        <v>346</v>
      </c>
      <c r="R661" s="37">
        <f t="shared" si="70"/>
        <v>0</v>
      </c>
      <c r="S661" s="470" t="s">
        <v>347</v>
      </c>
      <c r="T661" s="470">
        <f t="shared" si="71"/>
        <v>0</v>
      </c>
      <c r="U661" s="470" t="s">
        <v>346</v>
      </c>
      <c r="V661" s="111">
        <f>IF(OR(F661="none",G661="V"),0,VLOOKUP(F661,'Purchased Boons'!$AR$4:$AS$27,2,FALSE))</f>
        <v>0</v>
      </c>
      <c r="W661" s="39" t="s">
        <v>1050</v>
      </c>
      <c r="X661" s="37" t="s">
        <v>1525</v>
      </c>
      <c r="Y661" s="37" t="s">
        <v>1046</v>
      </c>
      <c r="Z661" s="111">
        <v>80</v>
      </c>
      <c r="AC661" s="482"/>
      <c r="AD661" s="482"/>
      <c r="AE661" s="482"/>
      <c r="AF661" s="483"/>
      <c r="AG661" s="24"/>
      <c r="AH661" s="24"/>
    </row>
    <row r="662" spans="1:34" x14ac:dyDescent="0.25">
      <c r="A662" s="468" t="s">
        <v>1416</v>
      </c>
      <c r="B662" s="36" t="s">
        <v>371</v>
      </c>
      <c r="C662" s="469">
        <v>6</v>
      </c>
      <c r="D662" s="470" t="s">
        <v>17</v>
      </c>
      <c r="E662" s="37">
        <f t="shared" si="64"/>
        <v>1</v>
      </c>
      <c r="F662" s="470" t="s">
        <v>40</v>
      </c>
      <c r="G662" s="37">
        <f t="shared" si="65"/>
        <v>0</v>
      </c>
      <c r="H662" s="37" t="s">
        <v>494</v>
      </c>
      <c r="I662" s="37">
        <f t="shared" si="66"/>
        <v>0</v>
      </c>
      <c r="J662" s="37" t="s">
        <v>347</v>
      </c>
      <c r="K662" s="37">
        <f t="shared" si="67"/>
        <v>0</v>
      </c>
      <c r="L662" s="37" t="s">
        <v>494</v>
      </c>
      <c r="M662" s="37">
        <f t="shared" si="68"/>
        <v>0</v>
      </c>
      <c r="N662" s="470" t="s">
        <v>347</v>
      </c>
      <c r="O662" s="470">
        <f t="shared" si="69"/>
        <v>0</v>
      </c>
      <c r="P662" s="37" t="str">
        <f t="shared" si="72"/>
        <v>1 + 0</v>
      </c>
      <c r="Q662" s="470" t="s">
        <v>346</v>
      </c>
      <c r="R662" s="37">
        <f t="shared" si="70"/>
        <v>0</v>
      </c>
      <c r="S662" s="470" t="s">
        <v>347</v>
      </c>
      <c r="T662" s="470">
        <f t="shared" si="71"/>
        <v>0</v>
      </c>
      <c r="U662" s="470" t="s">
        <v>346</v>
      </c>
      <c r="V662" s="111">
        <f>IF(OR(F662="none",G662="V"),0,VLOOKUP(F662,'Purchased Boons'!$AR$4:$AS$27,2,FALSE))</f>
        <v>0</v>
      </c>
      <c r="W662" s="39" t="s">
        <v>1608</v>
      </c>
      <c r="X662" s="37" t="s">
        <v>1663</v>
      </c>
      <c r="Y662" s="37" t="s">
        <v>1046</v>
      </c>
      <c r="Z662" s="111">
        <v>81</v>
      </c>
      <c r="AC662" s="482"/>
      <c r="AD662" s="482"/>
      <c r="AE662" s="482"/>
      <c r="AF662" s="483"/>
      <c r="AG662" s="24"/>
      <c r="AH662" s="24"/>
    </row>
    <row r="663" spans="1:34" x14ac:dyDescent="0.25">
      <c r="A663" s="468" t="s">
        <v>1213</v>
      </c>
      <c r="B663" s="36" t="s">
        <v>175</v>
      </c>
      <c r="C663" s="469">
        <v>6</v>
      </c>
      <c r="D663" s="470" t="s">
        <v>20</v>
      </c>
      <c r="E663" s="37">
        <f t="shared" si="64"/>
        <v>1</v>
      </c>
      <c r="F663" s="470" t="s">
        <v>56</v>
      </c>
      <c r="G663" s="37">
        <f t="shared" si="65"/>
        <v>0</v>
      </c>
      <c r="H663" s="37" t="s">
        <v>494</v>
      </c>
      <c r="I663" s="37">
        <f t="shared" si="66"/>
        <v>0</v>
      </c>
      <c r="J663" s="37" t="s">
        <v>347</v>
      </c>
      <c r="K663" s="37">
        <f t="shared" si="67"/>
        <v>0</v>
      </c>
      <c r="L663" s="37" t="s">
        <v>494</v>
      </c>
      <c r="M663" s="37">
        <f t="shared" si="68"/>
        <v>0</v>
      </c>
      <c r="N663" s="470" t="s">
        <v>347</v>
      </c>
      <c r="O663" s="470">
        <f t="shared" si="69"/>
        <v>0</v>
      </c>
      <c r="P663" s="37" t="str">
        <f t="shared" si="72"/>
        <v>1 + 0</v>
      </c>
      <c r="Q663" s="470" t="s">
        <v>346</v>
      </c>
      <c r="R663" s="37">
        <f t="shared" si="70"/>
        <v>0</v>
      </c>
      <c r="S663" s="470" t="s">
        <v>347</v>
      </c>
      <c r="T663" s="470">
        <f t="shared" si="71"/>
        <v>0</v>
      </c>
      <c r="U663" s="470" t="s">
        <v>346</v>
      </c>
      <c r="V663" s="111">
        <f>IF(OR(F663="none",G663="V"),0,VLOOKUP(F663,'Purchased Boons'!$AR$4:$AS$27,2,FALSE))</f>
        <v>0</v>
      </c>
      <c r="W663" s="39" t="s">
        <v>1607</v>
      </c>
      <c r="X663" s="37" t="s">
        <v>1546</v>
      </c>
      <c r="Y663" s="37" t="s">
        <v>1045</v>
      </c>
      <c r="Z663" s="111">
        <v>91</v>
      </c>
      <c r="AC663" s="482"/>
      <c r="AD663" s="482"/>
      <c r="AE663" s="482"/>
      <c r="AF663" s="483"/>
      <c r="AG663" s="24"/>
      <c r="AH663" s="24"/>
    </row>
    <row r="664" spans="1:34" x14ac:dyDescent="0.25">
      <c r="A664" s="468" t="s">
        <v>1309</v>
      </c>
      <c r="B664" s="36" t="s">
        <v>175</v>
      </c>
      <c r="C664" s="469">
        <v>8</v>
      </c>
      <c r="D664" s="470" t="s">
        <v>16</v>
      </c>
      <c r="E664" s="37">
        <f t="shared" si="64"/>
        <v>1</v>
      </c>
      <c r="F664" s="470" t="s">
        <v>40</v>
      </c>
      <c r="G664" s="37">
        <f t="shared" si="65"/>
        <v>0</v>
      </c>
      <c r="H664" s="37" t="s">
        <v>494</v>
      </c>
      <c r="I664" s="37">
        <f t="shared" si="66"/>
        <v>0</v>
      </c>
      <c r="J664" s="37" t="s">
        <v>347</v>
      </c>
      <c r="K664" s="37">
        <f t="shared" si="67"/>
        <v>0</v>
      </c>
      <c r="L664" s="37" t="s">
        <v>494</v>
      </c>
      <c r="M664" s="37">
        <f t="shared" si="68"/>
        <v>0</v>
      </c>
      <c r="N664" s="470" t="s">
        <v>347</v>
      </c>
      <c r="O664" s="470">
        <f t="shared" si="69"/>
        <v>0</v>
      </c>
      <c r="P664" s="37" t="str">
        <f t="shared" si="72"/>
        <v>1 + 0</v>
      </c>
      <c r="Q664" s="470" t="s">
        <v>346</v>
      </c>
      <c r="R664" s="37">
        <f t="shared" si="70"/>
        <v>0</v>
      </c>
      <c r="S664" s="470" t="s">
        <v>347</v>
      </c>
      <c r="T664" s="470">
        <f t="shared" si="71"/>
        <v>0</v>
      </c>
      <c r="U664" s="470" t="s">
        <v>346</v>
      </c>
      <c r="V664" s="111">
        <f>IF(OR(F664="none",G664="V"),0,VLOOKUP(F664,'Purchased Boons'!$AR$4:$AS$27,2,FALSE))</f>
        <v>0</v>
      </c>
      <c r="W664" s="39" t="s">
        <v>1053</v>
      </c>
      <c r="X664" s="37" t="s">
        <v>1526</v>
      </c>
      <c r="Y664" s="37" t="s">
        <v>5</v>
      </c>
      <c r="Z664" s="111">
        <v>104</v>
      </c>
      <c r="AC664" s="482"/>
      <c r="AD664" s="482"/>
      <c r="AE664" s="482"/>
      <c r="AF664" s="483"/>
      <c r="AG664" s="24"/>
      <c r="AH664" s="24"/>
    </row>
    <row r="665" spans="1:34" x14ac:dyDescent="0.25">
      <c r="A665" s="468" t="s">
        <v>1211</v>
      </c>
      <c r="B665" s="36" t="s">
        <v>175</v>
      </c>
      <c r="C665" s="469">
        <v>4</v>
      </c>
      <c r="D665" s="470" t="s">
        <v>494</v>
      </c>
      <c r="E665" s="37">
        <f t="shared" si="64"/>
        <v>0</v>
      </c>
      <c r="F665" s="470" t="s">
        <v>494</v>
      </c>
      <c r="G665" s="37">
        <f t="shared" si="65"/>
        <v>0</v>
      </c>
      <c r="H665" s="37" t="s">
        <v>494</v>
      </c>
      <c r="I665" s="37">
        <f t="shared" si="66"/>
        <v>0</v>
      </c>
      <c r="J665" s="37" t="s">
        <v>347</v>
      </c>
      <c r="K665" s="37">
        <f t="shared" si="67"/>
        <v>0</v>
      </c>
      <c r="L665" s="37" t="s">
        <v>494</v>
      </c>
      <c r="M665" s="37">
        <f t="shared" si="68"/>
        <v>0</v>
      </c>
      <c r="N665" s="470" t="s">
        <v>347</v>
      </c>
      <c r="O665" s="470">
        <f t="shared" si="69"/>
        <v>0</v>
      </c>
      <c r="P665" s="37" t="str">
        <f t="shared" si="72"/>
        <v>None</v>
      </c>
      <c r="Q665" s="470" t="s">
        <v>346</v>
      </c>
      <c r="R665" s="37">
        <f t="shared" si="70"/>
        <v>0</v>
      </c>
      <c r="S665" s="470" t="s">
        <v>347</v>
      </c>
      <c r="T665" s="470">
        <f t="shared" si="71"/>
        <v>0</v>
      </c>
      <c r="U665" s="470" t="s">
        <v>346</v>
      </c>
      <c r="V665" s="111">
        <f>IF(OR(F665="none",G665="V"),0,VLOOKUP(F665,'Purchased Boons'!$AR$4:$AS$27,2,FALSE))</f>
        <v>0</v>
      </c>
      <c r="W665" s="39" t="s">
        <v>1050</v>
      </c>
      <c r="X665" s="37" t="s">
        <v>494</v>
      </c>
      <c r="Y665" s="37" t="s">
        <v>1045</v>
      </c>
      <c r="Z665" s="111">
        <v>91</v>
      </c>
      <c r="AC665" s="482"/>
      <c r="AD665" s="482"/>
      <c r="AE665" s="482"/>
      <c r="AF665" s="483"/>
      <c r="AG665" s="24"/>
      <c r="AH665" s="24"/>
    </row>
    <row r="666" spans="1:34" x14ac:dyDescent="0.25">
      <c r="A666" s="468" t="s">
        <v>1400</v>
      </c>
      <c r="B666" s="36" t="s">
        <v>361</v>
      </c>
      <c r="C666" s="469">
        <v>5</v>
      </c>
      <c r="D666" s="470" t="s">
        <v>17</v>
      </c>
      <c r="E666" s="37">
        <f t="shared" si="64"/>
        <v>1</v>
      </c>
      <c r="F666" s="470" t="s">
        <v>41</v>
      </c>
      <c r="G666" s="37">
        <f t="shared" si="65"/>
        <v>0</v>
      </c>
      <c r="H666" s="37" t="s">
        <v>494</v>
      </c>
      <c r="I666" s="37">
        <f t="shared" si="66"/>
        <v>0</v>
      </c>
      <c r="J666" s="37" t="s">
        <v>347</v>
      </c>
      <c r="K666" s="37">
        <f t="shared" si="67"/>
        <v>0</v>
      </c>
      <c r="L666" s="37" t="s">
        <v>494</v>
      </c>
      <c r="M666" s="37">
        <f t="shared" si="68"/>
        <v>0</v>
      </c>
      <c r="N666" s="470" t="s">
        <v>347</v>
      </c>
      <c r="O666" s="470">
        <f t="shared" si="69"/>
        <v>0</v>
      </c>
      <c r="P666" s="37" t="str">
        <f t="shared" si="72"/>
        <v>1 + 0</v>
      </c>
      <c r="Q666" s="470" t="s">
        <v>346</v>
      </c>
      <c r="R666" s="37">
        <f t="shared" si="70"/>
        <v>0</v>
      </c>
      <c r="S666" s="470" t="s">
        <v>347</v>
      </c>
      <c r="T666" s="470">
        <f t="shared" si="71"/>
        <v>0</v>
      </c>
      <c r="U666" s="470" t="s">
        <v>346</v>
      </c>
      <c r="V666" s="111">
        <f>IF(OR(F666="none",G666="V"),0,VLOOKUP(F666,'Purchased Boons'!$AR$4:$AS$27,2,FALSE))</f>
        <v>0</v>
      </c>
      <c r="W666" s="39" t="s">
        <v>1611</v>
      </c>
      <c r="X666" s="37" t="s">
        <v>1599</v>
      </c>
      <c r="Y666" s="37" t="s">
        <v>1046</v>
      </c>
      <c r="Z666" s="111">
        <v>76</v>
      </c>
      <c r="AC666" s="482"/>
      <c r="AD666" s="482"/>
      <c r="AE666" s="482"/>
      <c r="AF666" s="483"/>
      <c r="AG666" s="24"/>
      <c r="AH666" s="24"/>
    </row>
    <row r="667" spans="1:34" x14ac:dyDescent="0.25">
      <c r="A667" s="468" t="s">
        <v>1440</v>
      </c>
      <c r="B667" s="36" t="s">
        <v>170</v>
      </c>
      <c r="C667" s="469">
        <v>10</v>
      </c>
      <c r="D667" s="470" t="s">
        <v>20</v>
      </c>
      <c r="E667" s="37">
        <f t="shared" si="64"/>
        <v>1</v>
      </c>
      <c r="F667" s="470" t="s">
        <v>38</v>
      </c>
      <c r="G667" s="37">
        <f t="shared" si="65"/>
        <v>0</v>
      </c>
      <c r="H667" s="37" t="s">
        <v>494</v>
      </c>
      <c r="I667" s="37">
        <f t="shared" si="66"/>
        <v>0</v>
      </c>
      <c r="J667" s="37" t="s">
        <v>347</v>
      </c>
      <c r="K667" s="37">
        <f t="shared" si="67"/>
        <v>0</v>
      </c>
      <c r="L667" s="37" t="s">
        <v>494</v>
      </c>
      <c r="M667" s="37">
        <f t="shared" si="68"/>
        <v>0</v>
      </c>
      <c r="N667" s="470" t="s">
        <v>3573</v>
      </c>
      <c r="O667" s="470">
        <f t="shared" si="69"/>
        <v>2</v>
      </c>
      <c r="P667" s="37" t="str">
        <f t="shared" si="72"/>
        <v>3 + 0</v>
      </c>
      <c r="Q667" s="470" t="s">
        <v>346</v>
      </c>
      <c r="R667" s="37">
        <f t="shared" si="70"/>
        <v>0</v>
      </c>
      <c r="S667" s="470" t="s">
        <v>347</v>
      </c>
      <c r="T667" s="470">
        <f t="shared" si="71"/>
        <v>0</v>
      </c>
      <c r="U667" s="470" t="s">
        <v>346</v>
      </c>
      <c r="V667" s="111">
        <f>IF(OR(F667="none",G667="V"),0,VLOOKUP(F667,'Purchased Boons'!$AR$4:$AS$27,2,FALSE))</f>
        <v>0</v>
      </c>
      <c r="W667" s="39" t="s">
        <v>1699</v>
      </c>
      <c r="X667" s="37" t="s">
        <v>1521</v>
      </c>
      <c r="Y667" s="37" t="s">
        <v>1046</v>
      </c>
      <c r="Z667" s="111">
        <v>175</v>
      </c>
      <c r="AC667" s="482"/>
      <c r="AD667" s="482"/>
      <c r="AE667" s="482"/>
      <c r="AF667" s="483"/>
      <c r="AG667" s="24"/>
      <c r="AH667" s="24"/>
    </row>
    <row r="668" spans="1:34" x14ac:dyDescent="0.25">
      <c r="A668" s="468" t="s">
        <v>1186</v>
      </c>
      <c r="B668" s="36" t="s">
        <v>361</v>
      </c>
      <c r="C668" s="469">
        <v>7</v>
      </c>
      <c r="D668" s="470" t="s">
        <v>30</v>
      </c>
      <c r="E668" s="37">
        <f t="shared" si="64"/>
        <v>1</v>
      </c>
      <c r="F668" s="470" t="s">
        <v>56</v>
      </c>
      <c r="G668" s="37">
        <f t="shared" si="65"/>
        <v>0</v>
      </c>
      <c r="H668" s="37" t="s">
        <v>494</v>
      </c>
      <c r="I668" s="37">
        <f t="shared" si="66"/>
        <v>0</v>
      </c>
      <c r="J668" s="37" t="s">
        <v>347</v>
      </c>
      <c r="K668" s="37">
        <f t="shared" si="67"/>
        <v>0</v>
      </c>
      <c r="L668" s="37" t="s">
        <v>494</v>
      </c>
      <c r="M668" s="37">
        <f t="shared" si="68"/>
        <v>0</v>
      </c>
      <c r="N668" s="470" t="s">
        <v>347</v>
      </c>
      <c r="O668" s="470">
        <f t="shared" si="69"/>
        <v>0</v>
      </c>
      <c r="P668" s="37" t="str">
        <f t="shared" si="72"/>
        <v>1 + 0</v>
      </c>
      <c r="Q668" s="470" t="s">
        <v>346</v>
      </c>
      <c r="R668" s="37">
        <f t="shared" si="70"/>
        <v>0</v>
      </c>
      <c r="S668" s="470" t="s">
        <v>347</v>
      </c>
      <c r="T668" s="470">
        <f t="shared" si="71"/>
        <v>0</v>
      </c>
      <c r="U668" s="470" t="s">
        <v>346</v>
      </c>
      <c r="V668" s="111">
        <f>IF(OR(F668="none",G668="V"),0,VLOOKUP(F668,'Purchased Boons'!$AR$4:$AS$27,2,FALSE))</f>
        <v>0</v>
      </c>
      <c r="W668" s="39" t="s">
        <v>1561</v>
      </c>
      <c r="X668" s="37" t="s">
        <v>1588</v>
      </c>
      <c r="Y668" s="37" t="s">
        <v>1045</v>
      </c>
      <c r="Z668" s="111">
        <v>84</v>
      </c>
      <c r="AC668" s="482"/>
      <c r="AD668" s="482"/>
      <c r="AE668" s="482"/>
      <c r="AF668" s="483"/>
      <c r="AG668" s="24"/>
      <c r="AH668" s="24"/>
    </row>
    <row r="669" spans="1:34" x14ac:dyDescent="0.25">
      <c r="A669" s="468" t="s">
        <v>1200</v>
      </c>
      <c r="B669" s="36" t="s">
        <v>366</v>
      </c>
      <c r="C669" s="469">
        <v>5</v>
      </c>
      <c r="D669" s="470" t="s">
        <v>17</v>
      </c>
      <c r="E669" s="37">
        <f t="shared" si="64"/>
        <v>1</v>
      </c>
      <c r="F669" s="470" t="s">
        <v>51</v>
      </c>
      <c r="G669" s="37">
        <f t="shared" si="65"/>
        <v>0</v>
      </c>
      <c r="H669" s="37" t="s">
        <v>494</v>
      </c>
      <c r="I669" s="37">
        <f t="shared" si="66"/>
        <v>0</v>
      </c>
      <c r="J669" s="37" t="s">
        <v>347</v>
      </c>
      <c r="K669" s="37">
        <f t="shared" si="67"/>
        <v>0</v>
      </c>
      <c r="L669" s="37" t="s">
        <v>494</v>
      </c>
      <c r="M669" s="37">
        <f t="shared" si="68"/>
        <v>0</v>
      </c>
      <c r="N669" s="470" t="s">
        <v>347</v>
      </c>
      <c r="O669" s="470">
        <f t="shared" si="69"/>
        <v>0</v>
      </c>
      <c r="P669" s="37" t="str">
        <f t="shared" si="72"/>
        <v>1 + 0</v>
      </c>
      <c r="Q669" s="470" t="s">
        <v>346</v>
      </c>
      <c r="R669" s="37">
        <f t="shared" si="70"/>
        <v>0</v>
      </c>
      <c r="S669" s="470" t="s">
        <v>347</v>
      </c>
      <c r="T669" s="470">
        <f t="shared" si="71"/>
        <v>0</v>
      </c>
      <c r="U669" s="470" t="s">
        <v>346</v>
      </c>
      <c r="V669" s="111">
        <f>IF(OR(F669="none",G669="V"),0,VLOOKUP(F669,'Purchased Boons'!$AR$4:$AS$27,2,FALSE))</f>
        <v>0</v>
      </c>
      <c r="W669" s="39" t="s">
        <v>1567</v>
      </c>
      <c r="X669" s="37" t="s">
        <v>1553</v>
      </c>
      <c r="Y669" s="37" t="s">
        <v>1045</v>
      </c>
      <c r="Z669" s="111">
        <v>88</v>
      </c>
      <c r="AF669" s="483"/>
      <c r="AG669" s="24"/>
      <c r="AH669" s="24"/>
    </row>
    <row r="670" spans="1:34" x14ac:dyDescent="0.25">
      <c r="A670" s="468" t="s">
        <v>1407</v>
      </c>
      <c r="B670" s="36" t="s">
        <v>366</v>
      </c>
      <c r="C670" s="469">
        <v>5</v>
      </c>
      <c r="D670" s="470" t="s">
        <v>494</v>
      </c>
      <c r="E670" s="37">
        <f t="shared" si="64"/>
        <v>0</v>
      </c>
      <c r="F670" s="470" t="s">
        <v>494</v>
      </c>
      <c r="G670" s="37">
        <f t="shared" si="65"/>
        <v>0</v>
      </c>
      <c r="H670" s="37" t="s">
        <v>494</v>
      </c>
      <c r="I670" s="37">
        <f t="shared" si="66"/>
        <v>0</v>
      </c>
      <c r="J670" s="37" t="s">
        <v>347</v>
      </c>
      <c r="K670" s="37">
        <f t="shared" si="67"/>
        <v>0</v>
      </c>
      <c r="L670" s="37" t="s">
        <v>494</v>
      </c>
      <c r="M670" s="37">
        <f t="shared" si="68"/>
        <v>0</v>
      </c>
      <c r="N670" s="470" t="s">
        <v>347</v>
      </c>
      <c r="O670" s="470">
        <f t="shared" si="69"/>
        <v>0</v>
      </c>
      <c r="P670" s="37" t="str">
        <f t="shared" si="72"/>
        <v>None</v>
      </c>
      <c r="Q670" s="470" t="s">
        <v>346</v>
      </c>
      <c r="R670" s="37">
        <f t="shared" si="70"/>
        <v>0</v>
      </c>
      <c r="S670" s="470" t="s">
        <v>347</v>
      </c>
      <c r="T670" s="470">
        <f t="shared" si="71"/>
        <v>0</v>
      </c>
      <c r="U670" s="470" t="s">
        <v>346</v>
      </c>
      <c r="V670" s="111">
        <f>IF(OR(F670="none",G670="V"),0,VLOOKUP(F670,'Purchased Boons'!$AR$4:$AS$27,2,FALSE))</f>
        <v>0</v>
      </c>
      <c r="W670" s="39" t="s">
        <v>1603</v>
      </c>
      <c r="X670" s="37" t="s">
        <v>494</v>
      </c>
      <c r="Y670" s="37" t="s">
        <v>1046</v>
      </c>
      <c r="Z670" s="111">
        <v>79</v>
      </c>
      <c r="AF670" s="483"/>
      <c r="AG670" s="24"/>
      <c r="AH670" s="24"/>
    </row>
    <row r="671" spans="1:34" x14ac:dyDescent="0.25">
      <c r="A671" s="468" t="s">
        <v>1156</v>
      </c>
      <c r="B671" s="36" t="s">
        <v>355</v>
      </c>
      <c r="C671" s="469">
        <v>5</v>
      </c>
      <c r="D671" s="470" t="s">
        <v>494</v>
      </c>
      <c r="E671" s="37">
        <f t="shared" si="64"/>
        <v>0</v>
      </c>
      <c r="F671" s="470" t="s">
        <v>494</v>
      </c>
      <c r="G671" s="37">
        <f t="shared" si="65"/>
        <v>0</v>
      </c>
      <c r="H671" s="37" t="s">
        <v>494</v>
      </c>
      <c r="I671" s="37">
        <f t="shared" si="66"/>
        <v>0</v>
      </c>
      <c r="J671" s="37" t="s">
        <v>347</v>
      </c>
      <c r="K671" s="37">
        <f t="shared" si="67"/>
        <v>0</v>
      </c>
      <c r="L671" s="37" t="s">
        <v>494</v>
      </c>
      <c r="M671" s="37">
        <f t="shared" si="68"/>
        <v>0</v>
      </c>
      <c r="N671" s="470" t="s">
        <v>347</v>
      </c>
      <c r="O671" s="470">
        <f t="shared" si="69"/>
        <v>0</v>
      </c>
      <c r="P671" s="37" t="str">
        <f t="shared" si="72"/>
        <v>None</v>
      </c>
      <c r="Q671" s="470" t="s">
        <v>346</v>
      </c>
      <c r="R671" s="37">
        <f t="shared" si="70"/>
        <v>0</v>
      </c>
      <c r="S671" s="470" t="s">
        <v>347</v>
      </c>
      <c r="T671" s="470">
        <f t="shared" si="71"/>
        <v>0</v>
      </c>
      <c r="U671" s="470" t="s">
        <v>346</v>
      </c>
      <c r="V671" s="111">
        <f>IF(OR(F671="none",G671="V"),0,VLOOKUP(F671,'Purchased Boons'!$AR$4:$AS$27,2,FALSE))</f>
        <v>0</v>
      </c>
      <c r="W671" s="39" t="s">
        <v>1050</v>
      </c>
      <c r="X671" s="37" t="s">
        <v>494</v>
      </c>
      <c r="Y671" s="37" t="s">
        <v>1045</v>
      </c>
      <c r="Z671" s="111">
        <v>74</v>
      </c>
      <c r="AF671" s="483"/>
      <c r="AG671" s="24"/>
      <c r="AH671" s="24"/>
    </row>
    <row r="672" spans="1:34" x14ac:dyDescent="0.25">
      <c r="A672" s="468" t="s">
        <v>1137</v>
      </c>
      <c r="B672" s="36" t="s">
        <v>369</v>
      </c>
      <c r="C672" s="469">
        <v>1</v>
      </c>
      <c r="D672" s="470" t="s">
        <v>20</v>
      </c>
      <c r="E672" s="37">
        <f t="shared" si="64"/>
        <v>1</v>
      </c>
      <c r="F672" s="470" t="s">
        <v>494</v>
      </c>
      <c r="G672" s="37">
        <f t="shared" si="65"/>
        <v>0</v>
      </c>
      <c r="H672" s="37" t="s">
        <v>369</v>
      </c>
      <c r="I672" s="37">
        <f t="shared" si="66"/>
        <v>0</v>
      </c>
      <c r="J672" s="37" t="s">
        <v>347</v>
      </c>
      <c r="K672" s="37">
        <f t="shared" si="67"/>
        <v>0</v>
      </c>
      <c r="L672" s="37" t="s">
        <v>494</v>
      </c>
      <c r="M672" s="37">
        <f t="shared" si="68"/>
        <v>0</v>
      </c>
      <c r="N672" s="470" t="s">
        <v>347</v>
      </c>
      <c r="O672" s="470">
        <f t="shared" si="69"/>
        <v>0</v>
      </c>
      <c r="P672" s="37" t="str">
        <f t="shared" si="72"/>
        <v>1 + 0</v>
      </c>
      <c r="Q672" s="470" t="s">
        <v>347</v>
      </c>
      <c r="R672" s="37">
        <f t="shared" si="70"/>
        <v>0</v>
      </c>
      <c r="S672" s="470" t="s">
        <v>347</v>
      </c>
      <c r="T672" s="470">
        <f t="shared" si="71"/>
        <v>0</v>
      </c>
      <c r="U672" s="470" t="s">
        <v>346</v>
      </c>
      <c r="V672" s="111">
        <f>IF(OR(F672="none",G672="V"),0,VLOOKUP(F672,'Purchased Boons'!$AR$4:$AS$27,2,FALSE))</f>
        <v>0</v>
      </c>
      <c r="W672" s="39" t="s">
        <v>494</v>
      </c>
      <c r="X672" s="37" t="s">
        <v>1555</v>
      </c>
      <c r="Y672" s="37" t="s">
        <v>133</v>
      </c>
      <c r="Z672" s="111">
        <v>155</v>
      </c>
      <c r="AF672" s="483"/>
      <c r="AG672" s="24"/>
      <c r="AH672" s="24"/>
    </row>
    <row r="673" spans="1:34" x14ac:dyDescent="0.25">
      <c r="A673" s="468" t="s">
        <v>1330</v>
      </c>
      <c r="B673" s="36" t="s">
        <v>369</v>
      </c>
      <c r="C673" s="469">
        <v>10</v>
      </c>
      <c r="D673" s="470" t="s">
        <v>20</v>
      </c>
      <c r="E673" s="37">
        <f t="shared" si="64"/>
        <v>1</v>
      </c>
      <c r="F673" s="470" t="s">
        <v>494</v>
      </c>
      <c r="G673" s="37">
        <f t="shared" si="65"/>
        <v>0</v>
      </c>
      <c r="H673" s="37" t="s">
        <v>369</v>
      </c>
      <c r="I673" s="37">
        <f t="shared" si="66"/>
        <v>0</v>
      </c>
      <c r="J673" s="37" t="s">
        <v>347</v>
      </c>
      <c r="K673" s="37">
        <f t="shared" si="67"/>
        <v>0</v>
      </c>
      <c r="L673" s="37" t="s">
        <v>494</v>
      </c>
      <c r="M673" s="37">
        <f t="shared" si="68"/>
        <v>0</v>
      </c>
      <c r="N673" s="470" t="s">
        <v>347</v>
      </c>
      <c r="O673" s="470">
        <f t="shared" si="69"/>
        <v>0</v>
      </c>
      <c r="P673" s="37" t="str">
        <f t="shared" si="72"/>
        <v>1 + 0</v>
      </c>
      <c r="Q673" s="470" t="s">
        <v>347</v>
      </c>
      <c r="R673" s="37">
        <f t="shared" si="70"/>
        <v>0</v>
      </c>
      <c r="S673" s="470" t="s">
        <v>347</v>
      </c>
      <c r="T673" s="470">
        <f t="shared" si="71"/>
        <v>0</v>
      </c>
      <c r="U673" s="470" t="s">
        <v>346</v>
      </c>
      <c r="V673" s="111">
        <f>IF(OR(F673="none",G673="V"),0,VLOOKUP(F673,'Purchased Boons'!$AR$4:$AS$27,2,FALSE))</f>
        <v>0</v>
      </c>
      <c r="W673" s="39" t="s">
        <v>494</v>
      </c>
      <c r="X673" s="37" t="s">
        <v>1555</v>
      </c>
      <c r="Y673" s="37" t="s">
        <v>5</v>
      </c>
      <c r="Z673" s="111">
        <v>111</v>
      </c>
      <c r="AF673" s="483"/>
      <c r="AG673" s="24"/>
      <c r="AH673" s="24"/>
    </row>
    <row r="674" spans="1:34" x14ac:dyDescent="0.25">
      <c r="A674" s="468" t="s">
        <v>1138</v>
      </c>
      <c r="B674" s="36" t="s">
        <v>369</v>
      </c>
      <c r="C674" s="469">
        <v>2</v>
      </c>
      <c r="D674" s="470" t="s">
        <v>20</v>
      </c>
      <c r="E674" s="37">
        <f t="shared" si="64"/>
        <v>1</v>
      </c>
      <c r="F674" s="470" t="s">
        <v>494</v>
      </c>
      <c r="G674" s="37">
        <f t="shared" si="65"/>
        <v>0</v>
      </c>
      <c r="H674" s="37" t="s">
        <v>369</v>
      </c>
      <c r="I674" s="37">
        <f t="shared" si="66"/>
        <v>0</v>
      </c>
      <c r="J674" s="37" t="s">
        <v>347</v>
      </c>
      <c r="K674" s="37">
        <f t="shared" si="67"/>
        <v>0</v>
      </c>
      <c r="L674" s="37" t="s">
        <v>494</v>
      </c>
      <c r="M674" s="37">
        <f t="shared" si="68"/>
        <v>0</v>
      </c>
      <c r="N674" s="470" t="s">
        <v>347</v>
      </c>
      <c r="O674" s="470">
        <f t="shared" si="69"/>
        <v>0</v>
      </c>
      <c r="P674" s="37" t="str">
        <f t="shared" si="72"/>
        <v>1 + 0</v>
      </c>
      <c r="Q674" s="470" t="s">
        <v>347</v>
      </c>
      <c r="R674" s="37">
        <f t="shared" si="70"/>
        <v>0</v>
      </c>
      <c r="S674" s="470" t="s">
        <v>347</v>
      </c>
      <c r="T674" s="470">
        <f t="shared" si="71"/>
        <v>0</v>
      </c>
      <c r="U674" s="470" t="s">
        <v>346</v>
      </c>
      <c r="V674" s="111">
        <f>IF(OR(F674="none",G674="V"),0,VLOOKUP(F674,'Purchased Boons'!$AR$4:$AS$27,2,FALSE))</f>
        <v>0</v>
      </c>
      <c r="W674" s="39" t="s">
        <v>494</v>
      </c>
      <c r="X674" s="37" t="s">
        <v>1555</v>
      </c>
      <c r="Y674" s="37" t="s">
        <v>133</v>
      </c>
      <c r="Z674" s="111">
        <v>155</v>
      </c>
      <c r="AF674" s="483"/>
      <c r="AG674" s="24"/>
      <c r="AH674" s="24"/>
    </row>
    <row r="675" spans="1:34" x14ac:dyDescent="0.25">
      <c r="A675" s="468" t="s">
        <v>1139</v>
      </c>
      <c r="B675" s="36" t="s">
        <v>369</v>
      </c>
      <c r="C675" s="469">
        <v>3</v>
      </c>
      <c r="D675" s="470" t="s">
        <v>20</v>
      </c>
      <c r="E675" s="37">
        <f t="shared" si="64"/>
        <v>1</v>
      </c>
      <c r="F675" s="470" t="s">
        <v>494</v>
      </c>
      <c r="G675" s="37">
        <f t="shared" si="65"/>
        <v>0</v>
      </c>
      <c r="H675" s="37" t="s">
        <v>369</v>
      </c>
      <c r="I675" s="37">
        <f t="shared" si="66"/>
        <v>0</v>
      </c>
      <c r="J675" s="37" t="s">
        <v>347</v>
      </c>
      <c r="K675" s="37">
        <f t="shared" si="67"/>
        <v>0</v>
      </c>
      <c r="L675" s="37" t="s">
        <v>494</v>
      </c>
      <c r="M675" s="37">
        <f t="shared" si="68"/>
        <v>0</v>
      </c>
      <c r="N675" s="470" t="s">
        <v>347</v>
      </c>
      <c r="O675" s="470">
        <f t="shared" si="69"/>
        <v>0</v>
      </c>
      <c r="P675" s="37" t="str">
        <f t="shared" si="72"/>
        <v>1 + 0</v>
      </c>
      <c r="Q675" s="470" t="s">
        <v>347</v>
      </c>
      <c r="R675" s="37">
        <f t="shared" si="70"/>
        <v>0</v>
      </c>
      <c r="S675" s="470" t="s">
        <v>347</v>
      </c>
      <c r="T675" s="470">
        <f t="shared" si="71"/>
        <v>0</v>
      </c>
      <c r="U675" s="470" t="s">
        <v>346</v>
      </c>
      <c r="V675" s="111">
        <f>IF(OR(F675="none",G675="V"),0,VLOOKUP(F675,'Purchased Boons'!$AR$4:$AS$27,2,FALSE))</f>
        <v>0</v>
      </c>
      <c r="W675" s="39" t="s">
        <v>494</v>
      </c>
      <c r="X675" s="37" t="s">
        <v>1555</v>
      </c>
      <c r="Y675" s="37" t="s">
        <v>133</v>
      </c>
      <c r="Z675" s="111">
        <v>155</v>
      </c>
      <c r="AF675" s="483"/>
      <c r="AG675" s="24"/>
      <c r="AH675" s="24"/>
    </row>
    <row r="676" spans="1:34" x14ac:dyDescent="0.25">
      <c r="A676" s="468" t="s">
        <v>1235</v>
      </c>
      <c r="B676" s="36" t="s">
        <v>369</v>
      </c>
      <c r="C676" s="469">
        <v>4</v>
      </c>
      <c r="D676" s="470" t="s">
        <v>20</v>
      </c>
      <c r="E676" s="37">
        <f t="shared" si="64"/>
        <v>1</v>
      </c>
      <c r="F676" s="470" t="s">
        <v>494</v>
      </c>
      <c r="G676" s="37">
        <f t="shared" si="65"/>
        <v>0</v>
      </c>
      <c r="H676" s="37" t="s">
        <v>369</v>
      </c>
      <c r="I676" s="37">
        <f t="shared" si="66"/>
        <v>0</v>
      </c>
      <c r="J676" s="37" t="s">
        <v>347</v>
      </c>
      <c r="K676" s="37">
        <f t="shared" si="67"/>
        <v>0</v>
      </c>
      <c r="L676" s="37" t="s">
        <v>494</v>
      </c>
      <c r="M676" s="37">
        <f t="shared" si="68"/>
        <v>0</v>
      </c>
      <c r="N676" s="470" t="s">
        <v>347</v>
      </c>
      <c r="O676" s="470">
        <f t="shared" si="69"/>
        <v>0</v>
      </c>
      <c r="P676" s="37" t="str">
        <f t="shared" si="72"/>
        <v>1 + 0</v>
      </c>
      <c r="Q676" s="470" t="s">
        <v>347</v>
      </c>
      <c r="R676" s="37">
        <f t="shared" si="70"/>
        <v>0</v>
      </c>
      <c r="S676" s="470" t="s">
        <v>347</v>
      </c>
      <c r="T676" s="470">
        <f t="shared" si="71"/>
        <v>0</v>
      </c>
      <c r="U676" s="470" t="s">
        <v>346</v>
      </c>
      <c r="V676" s="111">
        <f>IF(OR(F676="none",G676="V"),0,VLOOKUP(F676,'Purchased Boons'!$AR$4:$AS$27,2,FALSE))</f>
        <v>0</v>
      </c>
      <c r="W676" s="39" t="s">
        <v>494</v>
      </c>
      <c r="X676" s="37" t="s">
        <v>1555</v>
      </c>
      <c r="Y676" s="37" t="s">
        <v>1045</v>
      </c>
      <c r="Z676" s="111">
        <v>99</v>
      </c>
      <c r="AF676" s="483"/>
      <c r="AG676" s="24"/>
      <c r="AH676" s="24"/>
    </row>
    <row r="677" spans="1:34" x14ac:dyDescent="0.25">
      <c r="A677" s="468" t="s">
        <v>1236</v>
      </c>
      <c r="B677" s="36" t="s">
        <v>369</v>
      </c>
      <c r="C677" s="469">
        <v>5</v>
      </c>
      <c r="D677" s="470" t="s">
        <v>20</v>
      </c>
      <c r="E677" s="37">
        <f t="shared" si="64"/>
        <v>1</v>
      </c>
      <c r="F677" s="470" t="s">
        <v>494</v>
      </c>
      <c r="G677" s="37">
        <f t="shared" si="65"/>
        <v>0</v>
      </c>
      <c r="H677" s="37" t="s">
        <v>369</v>
      </c>
      <c r="I677" s="37">
        <f t="shared" si="66"/>
        <v>0</v>
      </c>
      <c r="J677" s="37" t="s">
        <v>347</v>
      </c>
      <c r="K677" s="37">
        <f t="shared" si="67"/>
        <v>0</v>
      </c>
      <c r="L677" s="37" t="s">
        <v>494</v>
      </c>
      <c r="M677" s="37">
        <f t="shared" si="68"/>
        <v>0</v>
      </c>
      <c r="N677" s="470" t="s">
        <v>347</v>
      </c>
      <c r="O677" s="470">
        <f t="shared" si="69"/>
        <v>0</v>
      </c>
      <c r="P677" s="37" t="str">
        <f t="shared" si="72"/>
        <v>1 + 0</v>
      </c>
      <c r="Q677" s="470" t="s">
        <v>347</v>
      </c>
      <c r="R677" s="37">
        <f t="shared" si="70"/>
        <v>0</v>
      </c>
      <c r="S677" s="470" t="s">
        <v>347</v>
      </c>
      <c r="T677" s="470">
        <f t="shared" si="71"/>
        <v>0</v>
      </c>
      <c r="U677" s="470" t="s">
        <v>346</v>
      </c>
      <c r="V677" s="111">
        <f>IF(OR(F677="none",G677="V"),0,VLOOKUP(F677,'Purchased Boons'!$AR$4:$AS$27,2,FALSE))</f>
        <v>0</v>
      </c>
      <c r="W677" s="39" t="s">
        <v>494</v>
      </c>
      <c r="X677" s="37" t="s">
        <v>1555</v>
      </c>
      <c r="Y677" s="37" t="s">
        <v>1045</v>
      </c>
      <c r="Z677" s="111">
        <v>99</v>
      </c>
      <c r="AF677" s="483"/>
      <c r="AG677" s="24"/>
      <c r="AH677" s="24"/>
    </row>
    <row r="678" spans="1:34" x14ac:dyDescent="0.25">
      <c r="A678" s="468" t="s">
        <v>1237</v>
      </c>
      <c r="B678" s="36" t="s">
        <v>369</v>
      </c>
      <c r="C678" s="469">
        <v>6</v>
      </c>
      <c r="D678" s="470" t="s">
        <v>20</v>
      </c>
      <c r="E678" s="37">
        <f t="shared" si="64"/>
        <v>1</v>
      </c>
      <c r="F678" s="470" t="s">
        <v>494</v>
      </c>
      <c r="G678" s="37">
        <f t="shared" si="65"/>
        <v>0</v>
      </c>
      <c r="H678" s="37" t="s">
        <v>369</v>
      </c>
      <c r="I678" s="37">
        <f t="shared" si="66"/>
        <v>0</v>
      </c>
      <c r="J678" s="37" t="s">
        <v>347</v>
      </c>
      <c r="K678" s="37">
        <f t="shared" si="67"/>
        <v>0</v>
      </c>
      <c r="L678" s="37" t="s">
        <v>494</v>
      </c>
      <c r="M678" s="37">
        <f t="shared" si="68"/>
        <v>0</v>
      </c>
      <c r="N678" s="470" t="s">
        <v>347</v>
      </c>
      <c r="O678" s="470">
        <f t="shared" si="69"/>
        <v>0</v>
      </c>
      <c r="P678" s="37" t="str">
        <f t="shared" si="72"/>
        <v>1 + 0</v>
      </c>
      <c r="Q678" s="470" t="s">
        <v>347</v>
      </c>
      <c r="R678" s="37">
        <f t="shared" si="70"/>
        <v>0</v>
      </c>
      <c r="S678" s="470" t="s">
        <v>347</v>
      </c>
      <c r="T678" s="470">
        <f t="shared" si="71"/>
        <v>0</v>
      </c>
      <c r="U678" s="470" t="s">
        <v>346</v>
      </c>
      <c r="V678" s="111">
        <f>IF(OR(F678="none",G678="V"),0,VLOOKUP(F678,'Purchased Boons'!$AR$4:$AS$27,2,FALSE))</f>
        <v>0</v>
      </c>
      <c r="W678" s="39" t="s">
        <v>494</v>
      </c>
      <c r="X678" s="37" t="s">
        <v>1555</v>
      </c>
      <c r="Y678" s="37" t="s">
        <v>1045</v>
      </c>
      <c r="Z678" s="111">
        <v>99</v>
      </c>
      <c r="AF678" s="483"/>
      <c r="AG678" s="24"/>
      <c r="AH678" s="24"/>
    </row>
    <row r="679" spans="1:34" x14ac:dyDescent="0.25">
      <c r="A679" s="468" t="s">
        <v>1238</v>
      </c>
      <c r="B679" s="36" t="s">
        <v>369</v>
      </c>
      <c r="C679" s="469">
        <v>7</v>
      </c>
      <c r="D679" s="470" t="s">
        <v>20</v>
      </c>
      <c r="E679" s="37">
        <f t="shared" si="64"/>
        <v>1</v>
      </c>
      <c r="F679" s="470" t="s">
        <v>494</v>
      </c>
      <c r="G679" s="37">
        <f t="shared" si="65"/>
        <v>0</v>
      </c>
      <c r="H679" s="37" t="s">
        <v>369</v>
      </c>
      <c r="I679" s="37">
        <f t="shared" si="66"/>
        <v>0</v>
      </c>
      <c r="J679" s="37" t="s">
        <v>347</v>
      </c>
      <c r="K679" s="37">
        <f t="shared" si="67"/>
        <v>0</v>
      </c>
      <c r="L679" s="37" t="s">
        <v>494</v>
      </c>
      <c r="M679" s="37">
        <f t="shared" si="68"/>
        <v>0</v>
      </c>
      <c r="N679" s="470" t="s">
        <v>347</v>
      </c>
      <c r="O679" s="470">
        <f t="shared" si="69"/>
        <v>0</v>
      </c>
      <c r="P679" s="37" t="str">
        <f t="shared" si="72"/>
        <v>1 + 0</v>
      </c>
      <c r="Q679" s="470" t="s">
        <v>347</v>
      </c>
      <c r="R679" s="37">
        <f t="shared" si="70"/>
        <v>0</v>
      </c>
      <c r="S679" s="470" t="s">
        <v>347</v>
      </c>
      <c r="T679" s="470">
        <f t="shared" si="71"/>
        <v>0</v>
      </c>
      <c r="U679" s="470" t="s">
        <v>346</v>
      </c>
      <c r="V679" s="111">
        <f>IF(OR(F679="none",G679="V"),0,VLOOKUP(F679,'Purchased Boons'!$AR$4:$AS$27,2,FALSE))</f>
        <v>0</v>
      </c>
      <c r="W679" s="39" t="s">
        <v>494</v>
      </c>
      <c r="X679" s="37" t="s">
        <v>1555</v>
      </c>
      <c r="Y679" s="37" t="s">
        <v>1045</v>
      </c>
      <c r="Z679" s="111">
        <v>99</v>
      </c>
      <c r="AF679" s="483"/>
      <c r="AG679" s="24"/>
      <c r="AH679" s="24"/>
    </row>
    <row r="680" spans="1:34" x14ac:dyDescent="0.25">
      <c r="A680" s="468" t="s">
        <v>1328</v>
      </c>
      <c r="B680" s="36" t="s">
        <v>369</v>
      </c>
      <c r="C680" s="469">
        <v>8</v>
      </c>
      <c r="D680" s="470" t="s">
        <v>20</v>
      </c>
      <c r="E680" s="37">
        <f t="shared" ref="E680:E743" si="73">VLOOKUP(D680,$AC$2:$AD$12,2,FALSE)</f>
        <v>1</v>
      </c>
      <c r="F680" s="470" t="s">
        <v>494</v>
      </c>
      <c r="G680" s="37">
        <f t="shared" ref="G680:G743" si="74">VLOOKUP(F680,$AF$2:$AH$27,2,FALSE)</f>
        <v>0</v>
      </c>
      <c r="H680" s="37" t="s">
        <v>369</v>
      </c>
      <c r="I680" s="37">
        <f t="shared" ref="I680:I743" si="75">VLOOKUP(H680,$AI$2:$AJ$42,2,FALSE)</f>
        <v>0</v>
      </c>
      <c r="J680" s="37" t="s">
        <v>347</v>
      </c>
      <c r="K680" s="37">
        <f t="shared" ref="K680:K743" si="76">IF(J680="Yes",$AJ$56,0)</f>
        <v>0</v>
      </c>
      <c r="L680" s="37" t="s">
        <v>494</v>
      </c>
      <c r="M680" s="37">
        <f t="shared" ref="M680:M743" si="77">VLOOKUP(L680,$AI$43:$AJ$55,2,FALSE)</f>
        <v>0</v>
      </c>
      <c r="N680" s="470" t="s">
        <v>347</v>
      </c>
      <c r="O680" s="470">
        <f t="shared" ref="O680:O743" si="78">IF(N680="Yes",$AJ$57,0)</f>
        <v>0</v>
      </c>
      <c r="P680" s="37" t="str">
        <f t="shared" si="72"/>
        <v>1 + 0</v>
      </c>
      <c r="Q680" s="470" t="s">
        <v>347</v>
      </c>
      <c r="R680" s="37">
        <f t="shared" ref="R680:R743" si="79">IF(Q680="Yes",VLOOKUP(D680,$AC$2:$AE$12,3,FALSE),0)</f>
        <v>0</v>
      </c>
      <c r="S680" s="470" t="s">
        <v>347</v>
      </c>
      <c r="T680" s="470">
        <f t="shared" ref="T680:T743" si="80">IF(S680="Yes",$AJ$57,0)</f>
        <v>0</v>
      </c>
      <c r="U680" s="470" t="s">
        <v>346</v>
      </c>
      <c r="V680" s="111">
        <f>IF(OR(F680="none",G680="V"),0,VLOOKUP(F680,'Purchased Boons'!$AR$4:$AS$27,2,FALSE))</f>
        <v>0</v>
      </c>
      <c r="W680" s="39" t="s">
        <v>494</v>
      </c>
      <c r="X680" s="37" t="s">
        <v>1555</v>
      </c>
      <c r="Y680" s="37" t="s">
        <v>5</v>
      </c>
      <c r="Z680" s="111">
        <v>111</v>
      </c>
      <c r="AF680" s="483"/>
      <c r="AG680" s="24"/>
      <c r="AH680" s="24"/>
    </row>
    <row r="681" spans="1:34" x14ac:dyDescent="0.25">
      <c r="A681" s="468" t="s">
        <v>1329</v>
      </c>
      <c r="B681" s="36" t="s">
        <v>369</v>
      </c>
      <c r="C681" s="469">
        <v>9</v>
      </c>
      <c r="D681" s="470" t="s">
        <v>20</v>
      </c>
      <c r="E681" s="37">
        <f t="shared" si="73"/>
        <v>1</v>
      </c>
      <c r="F681" s="470" t="s">
        <v>494</v>
      </c>
      <c r="G681" s="37">
        <f t="shared" si="74"/>
        <v>0</v>
      </c>
      <c r="H681" s="37" t="s">
        <v>369</v>
      </c>
      <c r="I681" s="37">
        <f t="shared" si="75"/>
        <v>0</v>
      </c>
      <c r="J681" s="37" t="s">
        <v>347</v>
      </c>
      <c r="K681" s="37">
        <f t="shared" si="76"/>
        <v>0</v>
      </c>
      <c r="L681" s="37" t="s">
        <v>494</v>
      </c>
      <c r="M681" s="37">
        <f t="shared" si="77"/>
        <v>0</v>
      </c>
      <c r="N681" s="470" t="s">
        <v>347</v>
      </c>
      <c r="O681" s="470">
        <f t="shared" si="78"/>
        <v>0</v>
      </c>
      <c r="P681" s="37" t="str">
        <f t="shared" si="72"/>
        <v>1 + 0</v>
      </c>
      <c r="Q681" s="470" t="s">
        <v>347</v>
      </c>
      <c r="R681" s="37">
        <f t="shared" si="79"/>
        <v>0</v>
      </c>
      <c r="S681" s="470" t="s">
        <v>347</v>
      </c>
      <c r="T681" s="470">
        <f t="shared" si="80"/>
        <v>0</v>
      </c>
      <c r="U681" s="470" t="s">
        <v>346</v>
      </c>
      <c r="V681" s="111">
        <f>IF(OR(F681="none",G681="V"),0,VLOOKUP(F681,'Purchased Boons'!$AR$4:$AS$27,2,FALSE))</f>
        <v>0</v>
      </c>
      <c r="W681" s="39" t="s">
        <v>494</v>
      </c>
      <c r="X681" s="37" t="s">
        <v>1555</v>
      </c>
      <c r="Y681" s="37" t="s">
        <v>5</v>
      </c>
      <c r="Z681" s="111">
        <v>111</v>
      </c>
      <c r="AF681" s="483"/>
      <c r="AG681" s="24"/>
      <c r="AH681" s="24"/>
    </row>
    <row r="682" spans="1:34" x14ac:dyDescent="0.25">
      <c r="A682" s="468" t="s">
        <v>1163</v>
      </c>
      <c r="B682" s="36" t="s">
        <v>357</v>
      </c>
      <c r="C682" s="469">
        <v>4</v>
      </c>
      <c r="D682" s="470" t="s">
        <v>13</v>
      </c>
      <c r="E682" s="37">
        <f t="shared" si="73"/>
        <v>1</v>
      </c>
      <c r="F682" s="470" t="s">
        <v>52</v>
      </c>
      <c r="G682" s="37">
        <f t="shared" si="74"/>
        <v>0</v>
      </c>
      <c r="H682" s="37" t="s">
        <v>494</v>
      </c>
      <c r="I682" s="37">
        <f t="shared" si="75"/>
        <v>0</v>
      </c>
      <c r="J682" s="37" t="s">
        <v>347</v>
      </c>
      <c r="K682" s="37">
        <f t="shared" si="76"/>
        <v>0</v>
      </c>
      <c r="L682" s="37" t="s">
        <v>494</v>
      </c>
      <c r="M682" s="37">
        <f t="shared" si="77"/>
        <v>0</v>
      </c>
      <c r="N682" s="470" t="s">
        <v>347</v>
      </c>
      <c r="O682" s="470">
        <f t="shared" si="78"/>
        <v>0</v>
      </c>
      <c r="P682" s="37" t="str">
        <f t="shared" si="72"/>
        <v>1 + 0</v>
      </c>
      <c r="Q682" s="470" t="s">
        <v>346</v>
      </c>
      <c r="R682" s="37">
        <f t="shared" si="79"/>
        <v>0</v>
      </c>
      <c r="S682" s="470" t="s">
        <v>347</v>
      </c>
      <c r="T682" s="470">
        <f t="shared" si="80"/>
        <v>0</v>
      </c>
      <c r="U682" s="470" t="s">
        <v>346</v>
      </c>
      <c r="V682" s="111">
        <f>IF(OR(F682="none",G682="V"),0,VLOOKUP(F682,'Purchased Boons'!$AR$4:$AS$27,2,FALSE))</f>
        <v>0</v>
      </c>
      <c r="W682" s="39" t="s">
        <v>1050</v>
      </c>
      <c r="X682" s="37" t="s">
        <v>1524</v>
      </c>
      <c r="Y682" s="37" t="s">
        <v>1045</v>
      </c>
      <c r="Z682" s="111">
        <v>76</v>
      </c>
      <c r="AF682" s="483"/>
      <c r="AG682" s="24"/>
      <c r="AH682" s="24"/>
    </row>
    <row r="683" spans="1:34" x14ac:dyDescent="0.25">
      <c r="A683" s="468" t="s">
        <v>1070</v>
      </c>
      <c r="B683" s="36" t="s">
        <v>354</v>
      </c>
      <c r="C683" s="469">
        <v>1</v>
      </c>
      <c r="D683" s="470" t="s">
        <v>494</v>
      </c>
      <c r="E683" s="37">
        <f t="shared" si="73"/>
        <v>0</v>
      </c>
      <c r="F683" s="470" t="s">
        <v>494</v>
      </c>
      <c r="G683" s="37">
        <f t="shared" si="74"/>
        <v>0</v>
      </c>
      <c r="H683" s="37" t="s">
        <v>494</v>
      </c>
      <c r="I683" s="37">
        <f t="shared" si="75"/>
        <v>0</v>
      </c>
      <c r="J683" s="37" t="s">
        <v>347</v>
      </c>
      <c r="K683" s="37">
        <f t="shared" si="76"/>
        <v>0</v>
      </c>
      <c r="L683" s="37" t="s">
        <v>494</v>
      </c>
      <c r="M683" s="37">
        <f t="shared" si="77"/>
        <v>0</v>
      </c>
      <c r="N683" s="470" t="s">
        <v>347</v>
      </c>
      <c r="O683" s="470">
        <f t="shared" si="78"/>
        <v>0</v>
      </c>
      <c r="P683" s="37" t="str">
        <f t="shared" si="72"/>
        <v>None</v>
      </c>
      <c r="Q683" s="470" t="s">
        <v>346</v>
      </c>
      <c r="R683" s="37">
        <f t="shared" si="79"/>
        <v>0</v>
      </c>
      <c r="S683" s="470" t="s">
        <v>347</v>
      </c>
      <c r="T683" s="470">
        <f t="shared" si="80"/>
        <v>0</v>
      </c>
      <c r="U683" s="470" t="s">
        <v>346</v>
      </c>
      <c r="V683" s="111">
        <f>IF(OR(F683="none",G683="V"),0,VLOOKUP(F683,'Purchased Boons'!$AR$4:$AS$27,2,FALSE))</f>
        <v>0</v>
      </c>
      <c r="W683" s="39" t="s">
        <v>1764</v>
      </c>
      <c r="X683" s="37" t="s">
        <v>1764</v>
      </c>
      <c r="Y683" s="37" t="s">
        <v>133</v>
      </c>
      <c r="Z683" s="111">
        <v>140</v>
      </c>
      <c r="AF683" s="483"/>
      <c r="AG683" s="24"/>
      <c r="AH683" s="24"/>
    </row>
    <row r="684" spans="1:34" x14ac:dyDescent="0.25">
      <c r="A684" s="468" t="s">
        <v>1219</v>
      </c>
      <c r="B684" s="36" t="s">
        <v>166</v>
      </c>
      <c r="C684" s="469">
        <v>4</v>
      </c>
      <c r="D684" s="470" t="s">
        <v>494</v>
      </c>
      <c r="E684" s="37">
        <f t="shared" si="73"/>
        <v>0</v>
      </c>
      <c r="F684" s="470" t="s">
        <v>494</v>
      </c>
      <c r="G684" s="37">
        <f t="shared" si="74"/>
        <v>0</v>
      </c>
      <c r="H684" s="37" t="s">
        <v>494</v>
      </c>
      <c r="I684" s="37">
        <f t="shared" si="75"/>
        <v>0</v>
      </c>
      <c r="J684" s="37" t="s">
        <v>347</v>
      </c>
      <c r="K684" s="37">
        <f t="shared" si="76"/>
        <v>0</v>
      </c>
      <c r="L684" s="37" t="s">
        <v>494</v>
      </c>
      <c r="M684" s="37">
        <f t="shared" si="77"/>
        <v>0</v>
      </c>
      <c r="N684" s="470" t="s">
        <v>347</v>
      </c>
      <c r="O684" s="470">
        <f t="shared" si="78"/>
        <v>0</v>
      </c>
      <c r="P684" s="37" t="str">
        <f t="shared" si="72"/>
        <v>None</v>
      </c>
      <c r="Q684" s="470" t="s">
        <v>346</v>
      </c>
      <c r="R684" s="37">
        <f t="shared" si="79"/>
        <v>0</v>
      </c>
      <c r="S684" s="470" t="s">
        <v>347</v>
      </c>
      <c r="T684" s="470">
        <f t="shared" si="80"/>
        <v>0</v>
      </c>
      <c r="U684" s="470" t="s">
        <v>346</v>
      </c>
      <c r="V684" s="111">
        <f>IF(OR(F684="none",G684="V"),0,VLOOKUP(F684,'Purchased Boons'!$AR$4:$AS$27,2,FALSE))</f>
        <v>0</v>
      </c>
      <c r="W684" s="39" t="s">
        <v>1538</v>
      </c>
      <c r="X684" s="37" t="s">
        <v>494</v>
      </c>
      <c r="Y684" s="37" t="s">
        <v>1045</v>
      </c>
      <c r="Z684" s="111">
        <v>94</v>
      </c>
      <c r="AG684" s="24"/>
      <c r="AH684" s="24"/>
    </row>
    <row r="685" spans="1:34" x14ac:dyDescent="0.25">
      <c r="A685" s="468" t="s">
        <v>1123</v>
      </c>
      <c r="B685" s="36" t="s">
        <v>166</v>
      </c>
      <c r="C685" s="469">
        <v>3</v>
      </c>
      <c r="D685" s="470" t="s">
        <v>494</v>
      </c>
      <c r="E685" s="37">
        <f t="shared" si="73"/>
        <v>0</v>
      </c>
      <c r="F685" s="470" t="s">
        <v>494</v>
      </c>
      <c r="G685" s="37">
        <f t="shared" si="74"/>
        <v>0</v>
      </c>
      <c r="H685" s="37" t="s">
        <v>494</v>
      </c>
      <c r="I685" s="37">
        <f t="shared" si="75"/>
        <v>0</v>
      </c>
      <c r="J685" s="37" t="s">
        <v>347</v>
      </c>
      <c r="K685" s="37">
        <f t="shared" si="76"/>
        <v>0</v>
      </c>
      <c r="L685" s="37" t="s">
        <v>167</v>
      </c>
      <c r="M685" s="37">
        <f t="shared" si="77"/>
        <v>0</v>
      </c>
      <c r="N685" s="470" t="s">
        <v>347</v>
      </c>
      <c r="O685" s="470">
        <f t="shared" si="78"/>
        <v>0</v>
      </c>
      <c r="P685" s="37" t="str">
        <f t="shared" si="72"/>
        <v>0 + 0</v>
      </c>
      <c r="Q685" s="470" t="s">
        <v>346</v>
      </c>
      <c r="R685" s="37">
        <f t="shared" si="79"/>
        <v>0</v>
      </c>
      <c r="S685" s="470" t="s">
        <v>347</v>
      </c>
      <c r="T685" s="470">
        <f t="shared" si="80"/>
        <v>0</v>
      </c>
      <c r="U685" s="470" t="s">
        <v>346</v>
      </c>
      <c r="V685" s="111">
        <f>IF(OR(F685="none",G685="V"),0,VLOOKUP(F685,'Purchased Boons'!$AR$4:$AS$27,2,FALSE))</f>
        <v>0</v>
      </c>
      <c r="W685" s="39" t="s">
        <v>1538</v>
      </c>
      <c r="X685" s="37" t="s">
        <v>167</v>
      </c>
      <c r="Y685" s="37" t="s">
        <v>133</v>
      </c>
      <c r="Z685" s="111">
        <v>152</v>
      </c>
      <c r="AG685" s="24"/>
      <c r="AH685" s="24"/>
    </row>
    <row r="686" spans="1:34" x14ac:dyDescent="0.25">
      <c r="A686" s="468" t="s">
        <v>1460</v>
      </c>
      <c r="B686" s="36" t="s">
        <v>182</v>
      </c>
      <c r="C686" s="469">
        <v>9</v>
      </c>
      <c r="D686" s="470" t="s">
        <v>17</v>
      </c>
      <c r="E686" s="37">
        <f t="shared" si="73"/>
        <v>1</v>
      </c>
      <c r="F686" s="470" t="s">
        <v>51</v>
      </c>
      <c r="G686" s="37">
        <f t="shared" si="74"/>
        <v>0</v>
      </c>
      <c r="H686" s="37" t="s">
        <v>494</v>
      </c>
      <c r="I686" s="37">
        <f t="shared" si="75"/>
        <v>0</v>
      </c>
      <c r="J686" s="37" t="s">
        <v>347</v>
      </c>
      <c r="K686" s="37">
        <f t="shared" si="76"/>
        <v>0</v>
      </c>
      <c r="L686" s="37" t="s">
        <v>494</v>
      </c>
      <c r="M686" s="37">
        <f t="shared" si="77"/>
        <v>0</v>
      </c>
      <c r="N686" s="470" t="s">
        <v>347</v>
      </c>
      <c r="O686" s="470">
        <f t="shared" si="78"/>
        <v>0</v>
      </c>
      <c r="P686" s="37" t="str">
        <f t="shared" ref="P686:P749" si="81">IF(OR(D686="Varies",F686="Varies",H686="Varies",L686="Varies"),"Varies",IF(AND(D686="None",F686="None",H686="None",L686="None",J686="No",N686="No"),"None",CONCATENATE(E686+G686+V686+I686+K686+M686+O686," + ",R686+T686)))</f>
        <v>1 + 0</v>
      </c>
      <c r="Q686" s="470" t="s">
        <v>346</v>
      </c>
      <c r="R686" s="37">
        <f t="shared" si="79"/>
        <v>0</v>
      </c>
      <c r="S686" s="470" t="s">
        <v>347</v>
      </c>
      <c r="T686" s="470">
        <f t="shared" si="80"/>
        <v>0</v>
      </c>
      <c r="U686" s="470" t="s">
        <v>346</v>
      </c>
      <c r="V686" s="111">
        <f>IF(OR(F686="none",G686="V"),0,VLOOKUP(F686,'Purchased Boons'!$AR$4:$AS$27,2,FALSE))</f>
        <v>0</v>
      </c>
      <c r="W686" s="39" t="s">
        <v>1677</v>
      </c>
      <c r="X686" s="37" t="s">
        <v>1553</v>
      </c>
      <c r="Y686" s="37" t="s">
        <v>1046</v>
      </c>
      <c r="Z686" s="111">
        <v>246</v>
      </c>
      <c r="AG686" s="24"/>
      <c r="AH686" s="24"/>
    </row>
    <row r="687" spans="1:34" x14ac:dyDescent="0.25">
      <c r="A687" s="468" t="s">
        <v>1255</v>
      </c>
      <c r="B687" s="36" t="s">
        <v>355</v>
      </c>
      <c r="C687" s="469">
        <v>8</v>
      </c>
      <c r="D687" s="470" t="s">
        <v>13</v>
      </c>
      <c r="E687" s="37">
        <f t="shared" si="73"/>
        <v>1</v>
      </c>
      <c r="F687" s="470" t="s">
        <v>49</v>
      </c>
      <c r="G687" s="37">
        <f t="shared" si="74"/>
        <v>0</v>
      </c>
      <c r="H687" s="37" t="s">
        <v>494</v>
      </c>
      <c r="I687" s="37">
        <f t="shared" si="75"/>
        <v>0</v>
      </c>
      <c r="J687" s="37" t="s">
        <v>347</v>
      </c>
      <c r="K687" s="37">
        <f t="shared" si="76"/>
        <v>0</v>
      </c>
      <c r="L687" s="37" t="s">
        <v>494</v>
      </c>
      <c r="M687" s="37">
        <f t="shared" si="77"/>
        <v>0</v>
      </c>
      <c r="N687" s="470" t="s">
        <v>347</v>
      </c>
      <c r="O687" s="470">
        <f t="shared" si="78"/>
        <v>0</v>
      </c>
      <c r="P687" s="37" t="str">
        <f t="shared" si="81"/>
        <v>1 + 0</v>
      </c>
      <c r="Q687" s="470" t="s">
        <v>346</v>
      </c>
      <c r="R687" s="37">
        <f t="shared" si="79"/>
        <v>0</v>
      </c>
      <c r="S687" s="470" t="s">
        <v>347</v>
      </c>
      <c r="T687" s="470">
        <f t="shared" si="80"/>
        <v>0</v>
      </c>
      <c r="U687" s="470" t="s">
        <v>346</v>
      </c>
      <c r="V687" s="111">
        <f>IF(OR(F687="none",G687="V"),0,VLOOKUP(F687,'Purchased Boons'!$AR$4:$AS$27,2,FALSE))</f>
        <v>0</v>
      </c>
      <c r="W687" s="39" t="s">
        <v>1052</v>
      </c>
      <c r="X687" s="37" t="s">
        <v>1600</v>
      </c>
      <c r="Y687" s="37" t="s">
        <v>5</v>
      </c>
      <c r="Z687" s="111">
        <v>85</v>
      </c>
      <c r="AG687" s="24"/>
      <c r="AH687" s="24"/>
    </row>
    <row r="688" spans="1:34" x14ac:dyDescent="0.25">
      <c r="A688" s="468" t="s">
        <v>1287</v>
      </c>
      <c r="B688" s="36" t="s">
        <v>362</v>
      </c>
      <c r="C688" s="469">
        <v>9</v>
      </c>
      <c r="D688" s="470" t="s">
        <v>20</v>
      </c>
      <c r="E688" s="37">
        <f t="shared" si="73"/>
        <v>1</v>
      </c>
      <c r="F688" s="470" t="s">
        <v>38</v>
      </c>
      <c r="G688" s="37">
        <f t="shared" si="74"/>
        <v>0</v>
      </c>
      <c r="H688" s="37" t="s">
        <v>494</v>
      </c>
      <c r="I688" s="37">
        <f t="shared" si="75"/>
        <v>0</v>
      </c>
      <c r="J688" s="37" t="s">
        <v>347</v>
      </c>
      <c r="K688" s="37">
        <f t="shared" si="76"/>
        <v>0</v>
      </c>
      <c r="L688" s="37" t="s">
        <v>494</v>
      </c>
      <c r="M688" s="37">
        <f t="shared" si="77"/>
        <v>0</v>
      </c>
      <c r="N688" s="470" t="s">
        <v>347</v>
      </c>
      <c r="O688" s="470">
        <f t="shared" si="78"/>
        <v>0</v>
      </c>
      <c r="P688" s="37" t="str">
        <f t="shared" si="81"/>
        <v>1 + 0</v>
      </c>
      <c r="Q688" s="470" t="s">
        <v>346</v>
      </c>
      <c r="R688" s="37">
        <f t="shared" si="79"/>
        <v>0</v>
      </c>
      <c r="S688" s="470" t="s">
        <v>347</v>
      </c>
      <c r="T688" s="470">
        <f t="shared" si="80"/>
        <v>0</v>
      </c>
      <c r="U688" s="470" t="s">
        <v>346</v>
      </c>
      <c r="V688" s="111">
        <f>IF(OR(F688="none",G688="V"),0,VLOOKUP(F688,'Purchased Boons'!$AR$4:$AS$27,2,FALSE))</f>
        <v>0</v>
      </c>
      <c r="W688" s="39" t="s">
        <v>1633</v>
      </c>
      <c r="X688" s="37" t="s">
        <v>1521</v>
      </c>
      <c r="Y688" s="37" t="s">
        <v>5</v>
      </c>
      <c r="Z688" s="111">
        <v>97</v>
      </c>
      <c r="AG688" s="24"/>
      <c r="AH688" s="24"/>
    </row>
    <row r="689" spans="1:26" x14ac:dyDescent="0.25">
      <c r="A689" s="468" t="s">
        <v>1252</v>
      </c>
      <c r="B689" s="36" t="s">
        <v>354</v>
      </c>
      <c r="C689" s="469">
        <v>9</v>
      </c>
      <c r="D689" s="470" t="s">
        <v>1645</v>
      </c>
      <c r="E689" s="37" t="str">
        <f t="shared" si="73"/>
        <v>V</v>
      </c>
      <c r="F689" s="470" t="s">
        <v>39</v>
      </c>
      <c r="G689" s="37">
        <f t="shared" si="74"/>
        <v>0</v>
      </c>
      <c r="H689" s="37" t="s">
        <v>494</v>
      </c>
      <c r="I689" s="37">
        <f t="shared" si="75"/>
        <v>0</v>
      </c>
      <c r="J689" s="37" t="s">
        <v>347</v>
      </c>
      <c r="K689" s="37">
        <f t="shared" si="76"/>
        <v>0</v>
      </c>
      <c r="L689" s="37" t="s">
        <v>494</v>
      </c>
      <c r="M689" s="37">
        <f t="shared" si="77"/>
        <v>0</v>
      </c>
      <c r="N689" s="470" t="s">
        <v>347</v>
      </c>
      <c r="O689" s="470">
        <f t="shared" si="78"/>
        <v>0</v>
      </c>
      <c r="P689" s="37" t="str">
        <f t="shared" si="81"/>
        <v>Varies</v>
      </c>
      <c r="Q689" s="470" t="s">
        <v>346</v>
      </c>
      <c r="R689" s="37" t="str">
        <f t="shared" si="79"/>
        <v>V</v>
      </c>
      <c r="S689" s="470" t="s">
        <v>347</v>
      </c>
      <c r="T689" s="470">
        <f t="shared" si="80"/>
        <v>0</v>
      </c>
      <c r="U689" s="470" t="s">
        <v>346</v>
      </c>
      <c r="V689" s="111">
        <f>IF(OR(F689="none",G689="V"),0,VLOOKUP(F689,'Purchased Boons'!$AR$4:$AS$27,2,FALSE))</f>
        <v>0</v>
      </c>
      <c r="W689" s="39" t="s">
        <v>1053</v>
      </c>
      <c r="X689" s="37" t="s">
        <v>1738</v>
      </c>
      <c r="Y689" s="37" t="s">
        <v>5</v>
      </c>
      <c r="Z689" s="111">
        <v>84</v>
      </c>
    </row>
    <row r="690" spans="1:26" x14ac:dyDescent="0.25">
      <c r="A690" s="468" t="s">
        <v>1280</v>
      </c>
      <c r="B690" s="36" t="s">
        <v>360</v>
      </c>
      <c r="C690" s="469">
        <v>9</v>
      </c>
      <c r="D690" s="470" t="s">
        <v>17</v>
      </c>
      <c r="E690" s="37">
        <f t="shared" si="73"/>
        <v>1</v>
      </c>
      <c r="F690" s="470" t="s">
        <v>51</v>
      </c>
      <c r="G690" s="37">
        <f t="shared" si="74"/>
        <v>0</v>
      </c>
      <c r="H690" s="37" t="s">
        <v>494</v>
      </c>
      <c r="I690" s="37">
        <f t="shared" si="75"/>
        <v>0</v>
      </c>
      <c r="J690" s="37" t="s">
        <v>347</v>
      </c>
      <c r="K690" s="37">
        <f t="shared" si="76"/>
        <v>0</v>
      </c>
      <c r="L690" s="37" t="s">
        <v>494</v>
      </c>
      <c r="M690" s="37">
        <f t="shared" si="77"/>
        <v>0</v>
      </c>
      <c r="N690" s="470" t="s">
        <v>3573</v>
      </c>
      <c r="O690" s="470">
        <f t="shared" si="78"/>
        <v>2</v>
      </c>
      <c r="P690" s="37" t="str">
        <f t="shared" si="81"/>
        <v>3 + 0</v>
      </c>
      <c r="Q690" s="470" t="s">
        <v>346</v>
      </c>
      <c r="R690" s="37">
        <f t="shared" si="79"/>
        <v>0</v>
      </c>
      <c r="S690" s="470" t="s">
        <v>347</v>
      </c>
      <c r="T690" s="470">
        <f t="shared" si="80"/>
        <v>0</v>
      </c>
      <c r="U690" s="470" t="s">
        <v>346</v>
      </c>
      <c r="V690" s="111">
        <f>IF(OR(F690="none",G690="V"),0,VLOOKUP(F690,'Purchased Boons'!$AR$4:$AS$27,2,FALSE))</f>
        <v>0</v>
      </c>
      <c r="W690" s="39" t="s">
        <v>1629</v>
      </c>
      <c r="X690" s="37" t="s">
        <v>1553</v>
      </c>
      <c r="Y690" s="37" t="s">
        <v>5</v>
      </c>
      <c r="Z690" s="111">
        <v>94</v>
      </c>
    </row>
    <row r="691" spans="1:26" x14ac:dyDescent="0.25">
      <c r="A691" s="468" t="s">
        <v>1380</v>
      </c>
      <c r="B691" s="36" t="s">
        <v>352</v>
      </c>
      <c r="C691" s="469">
        <v>7</v>
      </c>
      <c r="D691" s="470" t="s">
        <v>20</v>
      </c>
      <c r="E691" s="37">
        <f t="shared" si="73"/>
        <v>1</v>
      </c>
      <c r="F691" s="470" t="s">
        <v>55</v>
      </c>
      <c r="G691" s="37">
        <f t="shared" si="74"/>
        <v>0</v>
      </c>
      <c r="H691" s="37" t="s">
        <v>494</v>
      </c>
      <c r="I691" s="37">
        <f t="shared" si="75"/>
        <v>0</v>
      </c>
      <c r="J691" s="37" t="s">
        <v>347</v>
      </c>
      <c r="K691" s="37">
        <f t="shared" si="76"/>
        <v>0</v>
      </c>
      <c r="L691" s="37" t="s">
        <v>494</v>
      </c>
      <c r="M691" s="37">
        <f t="shared" si="77"/>
        <v>0</v>
      </c>
      <c r="N691" s="470" t="s">
        <v>347</v>
      </c>
      <c r="O691" s="470">
        <f t="shared" si="78"/>
        <v>0</v>
      </c>
      <c r="P691" s="37" t="str">
        <f t="shared" si="81"/>
        <v>1 + 0</v>
      </c>
      <c r="Q691" s="470" t="s">
        <v>346</v>
      </c>
      <c r="R691" s="37">
        <f t="shared" si="79"/>
        <v>0</v>
      </c>
      <c r="S691" s="470" t="s">
        <v>347</v>
      </c>
      <c r="T691" s="470">
        <f t="shared" si="80"/>
        <v>0</v>
      </c>
      <c r="U691" s="470" t="s">
        <v>346</v>
      </c>
      <c r="V691" s="111">
        <f>IF(OR(F691="none",G691="V"),0,VLOOKUP(F691,'Purchased Boons'!$AR$4:$AS$27,2,FALSE))</f>
        <v>0</v>
      </c>
      <c r="W691" s="39" t="s">
        <v>1063</v>
      </c>
      <c r="X691" s="37" t="s">
        <v>1681</v>
      </c>
      <c r="Y691" s="37" t="s">
        <v>1046</v>
      </c>
      <c r="Z691" s="111">
        <v>71</v>
      </c>
    </row>
    <row r="692" spans="1:26" x14ac:dyDescent="0.25">
      <c r="A692" s="468" t="s">
        <v>1069</v>
      </c>
      <c r="B692" s="36" t="s">
        <v>353</v>
      </c>
      <c r="C692" s="469">
        <v>3</v>
      </c>
      <c r="D692" s="470" t="s">
        <v>21</v>
      </c>
      <c r="E692" s="37">
        <f t="shared" si="73"/>
        <v>1</v>
      </c>
      <c r="F692" s="470" t="s">
        <v>41</v>
      </c>
      <c r="G692" s="37">
        <f t="shared" si="74"/>
        <v>0</v>
      </c>
      <c r="H692" s="37" t="s">
        <v>494</v>
      </c>
      <c r="I692" s="37">
        <f t="shared" si="75"/>
        <v>0</v>
      </c>
      <c r="J692" s="37" t="s">
        <v>347</v>
      </c>
      <c r="K692" s="37">
        <f t="shared" si="76"/>
        <v>0</v>
      </c>
      <c r="L692" s="37" t="s">
        <v>494</v>
      </c>
      <c r="M692" s="37">
        <f t="shared" si="77"/>
        <v>0</v>
      </c>
      <c r="N692" s="470" t="s">
        <v>347</v>
      </c>
      <c r="O692" s="470">
        <f t="shared" si="78"/>
        <v>0</v>
      </c>
      <c r="P692" s="37" t="str">
        <f t="shared" si="81"/>
        <v>1 + 0</v>
      </c>
      <c r="Q692" s="470" t="s">
        <v>346</v>
      </c>
      <c r="R692" s="37">
        <f t="shared" si="79"/>
        <v>0</v>
      </c>
      <c r="S692" s="470" t="s">
        <v>347</v>
      </c>
      <c r="T692" s="470">
        <f t="shared" si="80"/>
        <v>0</v>
      </c>
      <c r="U692" s="470" t="s">
        <v>346</v>
      </c>
      <c r="V692" s="111">
        <f>IF(OR(F692="none",G692="V"),0,VLOOKUP(F692,'Purchased Boons'!$AR$4:$AS$27,2,FALSE))</f>
        <v>0</v>
      </c>
      <c r="W692" s="39" t="s">
        <v>1601</v>
      </c>
      <c r="X692" s="37" t="s">
        <v>1522</v>
      </c>
      <c r="Y692" s="37" t="s">
        <v>133</v>
      </c>
      <c r="Z692" s="111">
        <v>140</v>
      </c>
    </row>
    <row r="693" spans="1:26" x14ac:dyDescent="0.25">
      <c r="A693" s="473" t="s">
        <v>1510</v>
      </c>
      <c r="B693" s="39" t="s">
        <v>371</v>
      </c>
      <c r="C693" s="37">
        <v>1</v>
      </c>
      <c r="D693" s="470" t="s">
        <v>16</v>
      </c>
      <c r="E693" s="37">
        <f t="shared" si="73"/>
        <v>1</v>
      </c>
      <c r="F693" s="470" t="s">
        <v>40</v>
      </c>
      <c r="G693" s="37">
        <f t="shared" si="74"/>
        <v>0</v>
      </c>
      <c r="H693" s="37" t="s">
        <v>494</v>
      </c>
      <c r="I693" s="37">
        <f t="shared" si="75"/>
        <v>0</v>
      </c>
      <c r="J693" s="37" t="s">
        <v>347</v>
      </c>
      <c r="K693" s="37">
        <f t="shared" si="76"/>
        <v>0</v>
      </c>
      <c r="L693" s="37" t="s">
        <v>494</v>
      </c>
      <c r="M693" s="37">
        <f t="shared" si="77"/>
        <v>0</v>
      </c>
      <c r="N693" s="470" t="s">
        <v>347</v>
      </c>
      <c r="O693" s="470">
        <f t="shared" si="78"/>
        <v>0</v>
      </c>
      <c r="P693" s="37" t="str">
        <f t="shared" si="81"/>
        <v>1 + 0</v>
      </c>
      <c r="Q693" s="470" t="s">
        <v>346</v>
      </c>
      <c r="R693" s="37">
        <f t="shared" si="79"/>
        <v>0</v>
      </c>
      <c r="S693" s="470" t="s">
        <v>347</v>
      </c>
      <c r="T693" s="470">
        <f t="shared" si="80"/>
        <v>0</v>
      </c>
      <c r="U693" s="470" t="s">
        <v>346</v>
      </c>
      <c r="V693" s="111">
        <f>IF(OR(F693="none",G693="V"),0,VLOOKUP(F693,'Purchased Boons'!$AR$4:$AS$27,2,FALSE))</f>
        <v>0</v>
      </c>
      <c r="W693" s="39" t="s">
        <v>1050</v>
      </c>
      <c r="X693" s="37" t="s">
        <v>1526</v>
      </c>
      <c r="Y693" s="37" t="s">
        <v>1484</v>
      </c>
      <c r="Z693" s="111">
        <v>44</v>
      </c>
    </row>
    <row r="694" spans="1:26" x14ac:dyDescent="0.25">
      <c r="A694" s="468" t="s">
        <v>1103</v>
      </c>
      <c r="B694" s="36" t="s">
        <v>365</v>
      </c>
      <c r="C694" s="469">
        <v>1</v>
      </c>
      <c r="D694" s="470" t="s">
        <v>494</v>
      </c>
      <c r="E694" s="37">
        <f t="shared" si="73"/>
        <v>0</v>
      </c>
      <c r="F694" s="470" t="s">
        <v>494</v>
      </c>
      <c r="G694" s="37">
        <f t="shared" si="74"/>
        <v>0</v>
      </c>
      <c r="H694" s="37" t="s">
        <v>494</v>
      </c>
      <c r="I694" s="37">
        <f t="shared" si="75"/>
        <v>0</v>
      </c>
      <c r="J694" s="37" t="s">
        <v>347</v>
      </c>
      <c r="K694" s="37">
        <f t="shared" si="76"/>
        <v>0</v>
      </c>
      <c r="L694" s="37" t="s">
        <v>494</v>
      </c>
      <c r="M694" s="37">
        <f t="shared" si="77"/>
        <v>0</v>
      </c>
      <c r="N694" s="470" t="s">
        <v>347</v>
      </c>
      <c r="O694" s="470">
        <f t="shared" si="78"/>
        <v>0</v>
      </c>
      <c r="P694" s="37" t="str">
        <f t="shared" si="81"/>
        <v>None</v>
      </c>
      <c r="Q694" s="470" t="s">
        <v>346</v>
      </c>
      <c r="R694" s="37">
        <f t="shared" si="79"/>
        <v>0</v>
      </c>
      <c r="S694" s="470" t="s">
        <v>347</v>
      </c>
      <c r="T694" s="470">
        <f t="shared" si="80"/>
        <v>0</v>
      </c>
      <c r="U694" s="470" t="s">
        <v>346</v>
      </c>
      <c r="V694" s="111">
        <f>IF(OR(F694="none",G694="V"),0,VLOOKUP(F694,'Purchased Boons'!$AR$4:$AS$27,2,FALSE))</f>
        <v>0</v>
      </c>
      <c r="W694" s="39" t="s">
        <v>494</v>
      </c>
      <c r="X694" s="37" t="s">
        <v>494</v>
      </c>
      <c r="Y694" s="37" t="s">
        <v>133</v>
      </c>
      <c r="Z694" s="111">
        <v>147</v>
      </c>
    </row>
    <row r="695" spans="1:26" x14ac:dyDescent="0.25">
      <c r="A695" s="468" t="s">
        <v>3536</v>
      </c>
      <c r="B695" s="36" t="s">
        <v>361</v>
      </c>
      <c r="C695" s="469">
        <v>1</v>
      </c>
      <c r="D695" s="470" t="s">
        <v>19</v>
      </c>
      <c r="E695" s="37">
        <f t="shared" si="73"/>
        <v>1</v>
      </c>
      <c r="F695" s="470" t="s">
        <v>58</v>
      </c>
      <c r="G695" s="37">
        <f t="shared" si="74"/>
        <v>0</v>
      </c>
      <c r="H695" s="37" t="s">
        <v>494</v>
      </c>
      <c r="I695" s="37">
        <f t="shared" si="75"/>
        <v>0</v>
      </c>
      <c r="J695" s="37" t="s">
        <v>347</v>
      </c>
      <c r="K695" s="37">
        <f t="shared" si="76"/>
        <v>0</v>
      </c>
      <c r="L695" s="37" t="s">
        <v>494</v>
      </c>
      <c r="M695" s="37">
        <f t="shared" si="77"/>
        <v>0</v>
      </c>
      <c r="N695" s="470" t="s">
        <v>347</v>
      </c>
      <c r="O695" s="470">
        <f t="shared" si="78"/>
        <v>0</v>
      </c>
      <c r="P695" s="37" t="str">
        <f t="shared" si="81"/>
        <v>1 + 0</v>
      </c>
      <c r="Q695" s="470" t="s">
        <v>346</v>
      </c>
      <c r="R695" s="37">
        <f t="shared" si="79"/>
        <v>0</v>
      </c>
      <c r="S695" s="470" t="s">
        <v>347</v>
      </c>
      <c r="T695" s="470">
        <f t="shared" si="80"/>
        <v>0</v>
      </c>
      <c r="U695" s="470" t="s">
        <v>346</v>
      </c>
      <c r="V695" s="111">
        <f>IF(OR(F695="none",G695="V"),0,VLOOKUP(F695,'Purchased Boons'!$AR$4:$AS$27,2,FALSE))</f>
        <v>0</v>
      </c>
      <c r="W695" s="39" t="s">
        <v>494</v>
      </c>
      <c r="X695" s="37" t="s">
        <v>1669</v>
      </c>
      <c r="Y695" s="37" t="s">
        <v>1462</v>
      </c>
      <c r="Z695" s="111">
        <v>17</v>
      </c>
    </row>
    <row r="696" spans="1:26" x14ac:dyDescent="0.25">
      <c r="A696" s="468" t="s">
        <v>3535</v>
      </c>
      <c r="B696" s="36" t="s">
        <v>364</v>
      </c>
      <c r="C696" s="469">
        <v>1</v>
      </c>
      <c r="D696" s="470" t="s">
        <v>19</v>
      </c>
      <c r="E696" s="37">
        <f t="shared" si="73"/>
        <v>1</v>
      </c>
      <c r="F696" s="470" t="s">
        <v>58</v>
      </c>
      <c r="G696" s="37">
        <f t="shared" si="74"/>
        <v>0</v>
      </c>
      <c r="H696" s="37" t="s">
        <v>494</v>
      </c>
      <c r="I696" s="37">
        <f t="shared" si="75"/>
        <v>0</v>
      </c>
      <c r="J696" s="37" t="s">
        <v>347</v>
      </c>
      <c r="K696" s="37">
        <f t="shared" si="76"/>
        <v>0</v>
      </c>
      <c r="L696" s="37" t="s">
        <v>494</v>
      </c>
      <c r="M696" s="37">
        <f t="shared" si="77"/>
        <v>0</v>
      </c>
      <c r="N696" s="470" t="s">
        <v>347</v>
      </c>
      <c r="O696" s="470">
        <f t="shared" si="78"/>
        <v>0</v>
      </c>
      <c r="P696" s="37" t="str">
        <f t="shared" si="81"/>
        <v>1 + 0</v>
      </c>
      <c r="Q696" s="470" t="s">
        <v>346</v>
      </c>
      <c r="R696" s="37">
        <f t="shared" si="79"/>
        <v>0</v>
      </c>
      <c r="S696" s="470" t="s">
        <v>347</v>
      </c>
      <c r="T696" s="470">
        <f t="shared" si="80"/>
        <v>0</v>
      </c>
      <c r="U696" s="470" t="s">
        <v>346</v>
      </c>
      <c r="V696" s="111">
        <f>IF(OR(F696="none",G696="V"),0,VLOOKUP(F696,'Purchased Boons'!$AR$4:$AS$27,2,FALSE))</f>
        <v>0</v>
      </c>
      <c r="W696" s="39" t="s">
        <v>494</v>
      </c>
      <c r="X696" s="37" t="s">
        <v>1669</v>
      </c>
      <c r="Y696" s="37" t="s">
        <v>1462</v>
      </c>
      <c r="Z696" s="111">
        <v>17</v>
      </c>
    </row>
    <row r="697" spans="1:26" x14ac:dyDescent="0.25">
      <c r="A697" s="468" t="s">
        <v>1116</v>
      </c>
      <c r="B697" s="36" t="s">
        <v>175</v>
      </c>
      <c r="C697" s="469">
        <v>2</v>
      </c>
      <c r="D697" s="470" t="s">
        <v>20</v>
      </c>
      <c r="E697" s="37">
        <f t="shared" si="73"/>
        <v>1</v>
      </c>
      <c r="F697" s="470" t="s">
        <v>56</v>
      </c>
      <c r="G697" s="37">
        <f t="shared" si="74"/>
        <v>0</v>
      </c>
      <c r="H697" s="37" t="s">
        <v>494</v>
      </c>
      <c r="I697" s="37">
        <f t="shared" si="75"/>
        <v>0</v>
      </c>
      <c r="J697" s="37" t="s">
        <v>347</v>
      </c>
      <c r="K697" s="37">
        <f t="shared" si="76"/>
        <v>0</v>
      </c>
      <c r="L697" s="37" t="s">
        <v>494</v>
      </c>
      <c r="M697" s="37">
        <f t="shared" si="77"/>
        <v>0</v>
      </c>
      <c r="N697" s="470" t="s">
        <v>347</v>
      </c>
      <c r="O697" s="470">
        <f t="shared" si="78"/>
        <v>0</v>
      </c>
      <c r="P697" s="37" t="str">
        <f t="shared" si="81"/>
        <v>1 + 0</v>
      </c>
      <c r="Q697" s="470" t="s">
        <v>346</v>
      </c>
      <c r="R697" s="37">
        <f t="shared" si="79"/>
        <v>0</v>
      </c>
      <c r="S697" s="470" t="s">
        <v>347</v>
      </c>
      <c r="T697" s="470">
        <f t="shared" si="80"/>
        <v>0</v>
      </c>
      <c r="U697" s="470" t="s">
        <v>346</v>
      </c>
      <c r="V697" s="111">
        <f>IF(OR(F697="none",G697="V"),0,VLOOKUP(F697,'Purchased Boons'!$AR$4:$AS$27,2,FALSE))</f>
        <v>0</v>
      </c>
      <c r="W697" s="39" t="s">
        <v>1601</v>
      </c>
      <c r="X697" s="37" t="s">
        <v>1546</v>
      </c>
      <c r="Y697" s="37" t="s">
        <v>133</v>
      </c>
      <c r="Z697" s="111">
        <v>150</v>
      </c>
    </row>
    <row r="698" spans="1:26" x14ac:dyDescent="0.25">
      <c r="A698" s="468" t="s">
        <v>1185</v>
      </c>
      <c r="B698" s="36" t="s">
        <v>361</v>
      </c>
      <c r="C698" s="469">
        <v>6</v>
      </c>
      <c r="D698" s="470" t="s">
        <v>13</v>
      </c>
      <c r="E698" s="37">
        <f t="shared" si="73"/>
        <v>1</v>
      </c>
      <c r="F698" s="470" t="s">
        <v>52</v>
      </c>
      <c r="G698" s="37">
        <f t="shared" si="74"/>
        <v>0</v>
      </c>
      <c r="H698" s="37" t="s">
        <v>494</v>
      </c>
      <c r="I698" s="37">
        <f t="shared" si="75"/>
        <v>0</v>
      </c>
      <c r="J698" s="37" t="s">
        <v>347</v>
      </c>
      <c r="K698" s="37">
        <f t="shared" si="76"/>
        <v>0</v>
      </c>
      <c r="L698" s="37" t="s">
        <v>494</v>
      </c>
      <c r="M698" s="37">
        <f t="shared" si="77"/>
        <v>0</v>
      </c>
      <c r="N698" s="470" t="s">
        <v>347</v>
      </c>
      <c r="O698" s="470">
        <f t="shared" si="78"/>
        <v>0</v>
      </c>
      <c r="P698" s="37" t="str">
        <f t="shared" si="81"/>
        <v>1 + 0</v>
      </c>
      <c r="Q698" s="470" t="s">
        <v>346</v>
      </c>
      <c r="R698" s="37">
        <f t="shared" si="79"/>
        <v>0</v>
      </c>
      <c r="S698" s="470" t="s">
        <v>347</v>
      </c>
      <c r="T698" s="470">
        <f t="shared" si="80"/>
        <v>0</v>
      </c>
      <c r="U698" s="470" t="s">
        <v>346</v>
      </c>
      <c r="V698" s="111">
        <f>IF(OR(F698="none",G698="V"),0,VLOOKUP(F698,'Purchased Boons'!$AR$4:$AS$27,2,FALSE))</f>
        <v>0</v>
      </c>
      <c r="W698" s="39" t="s">
        <v>1052</v>
      </c>
      <c r="X698" s="37" t="s">
        <v>1524</v>
      </c>
      <c r="Y698" s="37" t="s">
        <v>1045</v>
      </c>
      <c r="Z698" s="111">
        <v>84</v>
      </c>
    </row>
    <row r="699" spans="1:26" x14ac:dyDescent="0.25">
      <c r="A699" s="468" t="s">
        <v>1096</v>
      </c>
      <c r="B699" s="36" t="s">
        <v>361</v>
      </c>
      <c r="C699" s="469">
        <v>3</v>
      </c>
      <c r="D699" s="470" t="s">
        <v>13</v>
      </c>
      <c r="E699" s="37">
        <f t="shared" si="73"/>
        <v>1</v>
      </c>
      <c r="F699" s="470" t="s">
        <v>52</v>
      </c>
      <c r="G699" s="37">
        <f t="shared" si="74"/>
        <v>0</v>
      </c>
      <c r="H699" s="37" t="s">
        <v>494</v>
      </c>
      <c r="I699" s="37">
        <f t="shared" si="75"/>
        <v>0</v>
      </c>
      <c r="J699" s="37" t="s">
        <v>347</v>
      </c>
      <c r="K699" s="37">
        <f t="shared" si="76"/>
        <v>0</v>
      </c>
      <c r="L699" s="37" t="s">
        <v>494</v>
      </c>
      <c r="M699" s="37">
        <f t="shared" si="77"/>
        <v>0</v>
      </c>
      <c r="N699" s="470" t="s">
        <v>347</v>
      </c>
      <c r="O699" s="470">
        <f t="shared" si="78"/>
        <v>0</v>
      </c>
      <c r="P699" s="37" t="str">
        <f t="shared" si="81"/>
        <v>1 + 0</v>
      </c>
      <c r="Q699" s="470" t="s">
        <v>346</v>
      </c>
      <c r="R699" s="37">
        <f t="shared" si="79"/>
        <v>0</v>
      </c>
      <c r="S699" s="470" t="s">
        <v>347</v>
      </c>
      <c r="T699" s="470">
        <f t="shared" si="80"/>
        <v>0</v>
      </c>
      <c r="U699" s="470" t="s">
        <v>346</v>
      </c>
      <c r="V699" s="111">
        <f>IF(OR(F699="none",G699="V"),0,VLOOKUP(F699,'Purchased Boons'!$AR$4:$AS$27,2,FALSE))</f>
        <v>0</v>
      </c>
      <c r="W699" s="39" t="s">
        <v>1050</v>
      </c>
      <c r="X699" s="37" t="s">
        <v>1524</v>
      </c>
      <c r="Y699" s="37" t="s">
        <v>133</v>
      </c>
      <c r="Z699" s="111">
        <v>145</v>
      </c>
    </row>
    <row r="700" spans="1:26" x14ac:dyDescent="0.25">
      <c r="A700" s="468" t="s">
        <v>1277</v>
      </c>
      <c r="B700" s="36" t="s">
        <v>108</v>
      </c>
      <c r="C700" s="469">
        <v>10</v>
      </c>
      <c r="D700" s="470" t="s">
        <v>20</v>
      </c>
      <c r="E700" s="37">
        <f t="shared" si="73"/>
        <v>1</v>
      </c>
      <c r="F700" s="470" t="s">
        <v>47</v>
      </c>
      <c r="G700" s="37">
        <f t="shared" si="74"/>
        <v>0</v>
      </c>
      <c r="H700" s="37" t="s">
        <v>494</v>
      </c>
      <c r="I700" s="37">
        <f t="shared" si="75"/>
        <v>0</v>
      </c>
      <c r="J700" s="37" t="s">
        <v>347</v>
      </c>
      <c r="K700" s="37">
        <f t="shared" si="76"/>
        <v>0</v>
      </c>
      <c r="L700" s="37" t="s">
        <v>494</v>
      </c>
      <c r="M700" s="37">
        <f t="shared" si="77"/>
        <v>0</v>
      </c>
      <c r="N700" s="470" t="s">
        <v>347</v>
      </c>
      <c r="O700" s="470">
        <f t="shared" si="78"/>
        <v>0</v>
      </c>
      <c r="P700" s="37" t="str">
        <f t="shared" si="81"/>
        <v>1 + 0</v>
      </c>
      <c r="Q700" s="470" t="s">
        <v>346</v>
      </c>
      <c r="R700" s="37">
        <f t="shared" si="79"/>
        <v>0</v>
      </c>
      <c r="S700" s="470" t="s">
        <v>347</v>
      </c>
      <c r="T700" s="470">
        <f t="shared" si="80"/>
        <v>0</v>
      </c>
      <c r="U700" s="470" t="s">
        <v>346</v>
      </c>
      <c r="V700" s="111">
        <f>IF(OR(F700="none",G700="V"),0,VLOOKUP(F700,'Purchased Boons'!$AR$4:$AS$27,2,FALSE))</f>
        <v>0</v>
      </c>
      <c r="W700" s="39" t="s">
        <v>1629</v>
      </c>
      <c r="X700" s="37" t="s">
        <v>1585</v>
      </c>
      <c r="Y700" s="37" t="s">
        <v>5</v>
      </c>
      <c r="Z700" s="111">
        <v>93</v>
      </c>
    </row>
    <row r="701" spans="1:26" x14ac:dyDescent="0.25">
      <c r="A701" s="468" t="s">
        <v>1221</v>
      </c>
      <c r="B701" s="36" t="s">
        <v>166</v>
      </c>
      <c r="C701" s="469">
        <v>6</v>
      </c>
      <c r="D701" s="470" t="s">
        <v>494</v>
      </c>
      <c r="E701" s="37">
        <f t="shared" si="73"/>
        <v>0</v>
      </c>
      <c r="F701" s="470" t="s">
        <v>494</v>
      </c>
      <c r="G701" s="37">
        <f t="shared" si="74"/>
        <v>0</v>
      </c>
      <c r="H701" s="37" t="s">
        <v>494</v>
      </c>
      <c r="I701" s="37">
        <f t="shared" si="75"/>
        <v>0</v>
      </c>
      <c r="J701" s="37" t="s">
        <v>347</v>
      </c>
      <c r="K701" s="37">
        <f t="shared" si="76"/>
        <v>0</v>
      </c>
      <c r="L701" s="37" t="s">
        <v>494</v>
      </c>
      <c r="M701" s="37">
        <f t="shared" si="77"/>
        <v>0</v>
      </c>
      <c r="N701" s="470" t="s">
        <v>347</v>
      </c>
      <c r="O701" s="470">
        <f t="shared" si="78"/>
        <v>0</v>
      </c>
      <c r="P701" s="37" t="str">
        <f t="shared" si="81"/>
        <v>None</v>
      </c>
      <c r="Q701" s="470" t="s">
        <v>346</v>
      </c>
      <c r="R701" s="37">
        <f t="shared" si="79"/>
        <v>0</v>
      </c>
      <c r="S701" s="470" t="s">
        <v>347</v>
      </c>
      <c r="T701" s="470">
        <f t="shared" si="80"/>
        <v>0</v>
      </c>
      <c r="U701" s="470" t="s">
        <v>346</v>
      </c>
      <c r="V701" s="111">
        <f>IF(OR(F701="none",G701="V"),0,VLOOKUP(F701,'Purchased Boons'!$AR$4:$AS$27,2,FALSE))</f>
        <v>0</v>
      </c>
      <c r="W701" s="39" t="s">
        <v>1571</v>
      </c>
      <c r="X701" s="37" t="s">
        <v>494</v>
      </c>
      <c r="Y701" s="37" t="s">
        <v>1045</v>
      </c>
      <c r="Z701" s="111">
        <v>94</v>
      </c>
    </row>
    <row r="702" spans="1:26" x14ac:dyDescent="0.25">
      <c r="A702" s="468" t="s">
        <v>1453</v>
      </c>
      <c r="B702" s="36" t="s">
        <v>182</v>
      </c>
      <c r="C702" s="469">
        <v>2</v>
      </c>
      <c r="D702" s="470" t="s">
        <v>20</v>
      </c>
      <c r="E702" s="37">
        <f t="shared" si="73"/>
        <v>1</v>
      </c>
      <c r="F702" s="470" t="s">
        <v>40</v>
      </c>
      <c r="G702" s="37">
        <f t="shared" si="74"/>
        <v>0</v>
      </c>
      <c r="H702" s="37" t="s">
        <v>494</v>
      </c>
      <c r="I702" s="37">
        <f t="shared" si="75"/>
        <v>0</v>
      </c>
      <c r="J702" s="37" t="s">
        <v>347</v>
      </c>
      <c r="K702" s="37">
        <f t="shared" si="76"/>
        <v>0</v>
      </c>
      <c r="L702" s="37" t="s">
        <v>494</v>
      </c>
      <c r="M702" s="37">
        <f t="shared" si="77"/>
        <v>0</v>
      </c>
      <c r="N702" s="470" t="s">
        <v>347</v>
      </c>
      <c r="O702" s="470">
        <f t="shared" si="78"/>
        <v>0</v>
      </c>
      <c r="P702" s="37" t="str">
        <f t="shared" si="81"/>
        <v>1 + 0</v>
      </c>
      <c r="Q702" s="470" t="s">
        <v>346</v>
      </c>
      <c r="R702" s="37">
        <f t="shared" si="79"/>
        <v>0</v>
      </c>
      <c r="S702" s="470" t="s">
        <v>347</v>
      </c>
      <c r="T702" s="470">
        <f t="shared" si="80"/>
        <v>0</v>
      </c>
      <c r="U702" s="470" t="s">
        <v>346</v>
      </c>
      <c r="V702" s="111">
        <f>IF(OR(F702="none",G702="V"),0,VLOOKUP(F702,'Purchased Boons'!$AR$4:$AS$27,2,FALSE))</f>
        <v>0</v>
      </c>
      <c r="W702" s="39" t="s">
        <v>1054</v>
      </c>
      <c r="X702" s="37" t="s">
        <v>1701</v>
      </c>
      <c r="Y702" s="37" t="s">
        <v>1046</v>
      </c>
      <c r="Z702" s="111">
        <v>245</v>
      </c>
    </row>
    <row r="703" spans="1:26" x14ac:dyDescent="0.25">
      <c r="A703" s="468" t="s">
        <v>1459</v>
      </c>
      <c r="B703" s="36" t="s">
        <v>182</v>
      </c>
      <c r="C703" s="469">
        <v>8</v>
      </c>
      <c r="D703" s="470" t="s">
        <v>19</v>
      </c>
      <c r="E703" s="37">
        <f t="shared" si="73"/>
        <v>1</v>
      </c>
      <c r="F703" s="470" t="s">
        <v>47</v>
      </c>
      <c r="G703" s="37">
        <f t="shared" si="74"/>
        <v>0</v>
      </c>
      <c r="H703" s="37" t="s">
        <v>494</v>
      </c>
      <c r="I703" s="37">
        <f t="shared" si="75"/>
        <v>0</v>
      </c>
      <c r="J703" s="37" t="s">
        <v>347</v>
      </c>
      <c r="K703" s="37">
        <f t="shared" si="76"/>
        <v>0</v>
      </c>
      <c r="L703" s="37" t="s">
        <v>494</v>
      </c>
      <c r="M703" s="37">
        <f t="shared" si="77"/>
        <v>0</v>
      </c>
      <c r="N703" s="470" t="s">
        <v>347</v>
      </c>
      <c r="O703" s="470">
        <f t="shared" si="78"/>
        <v>0</v>
      </c>
      <c r="P703" s="37" t="str">
        <f t="shared" si="81"/>
        <v>1 + 0</v>
      </c>
      <c r="Q703" s="470" t="s">
        <v>346</v>
      </c>
      <c r="R703" s="37">
        <f t="shared" si="79"/>
        <v>0</v>
      </c>
      <c r="S703" s="470" t="s">
        <v>347</v>
      </c>
      <c r="T703" s="470">
        <f t="shared" si="80"/>
        <v>0</v>
      </c>
      <c r="U703" s="470" t="s">
        <v>346</v>
      </c>
      <c r="V703" s="111">
        <f>IF(OR(F703="none",G703="V"),0,VLOOKUP(F703,'Purchased Boons'!$AR$4:$AS$27,2,FALSE))</f>
        <v>0</v>
      </c>
      <c r="W703" s="39" t="s">
        <v>1691</v>
      </c>
      <c r="X703" s="37" t="s">
        <v>1706</v>
      </c>
      <c r="Y703" s="37" t="s">
        <v>1046</v>
      </c>
      <c r="Z703" s="111">
        <v>246</v>
      </c>
    </row>
    <row r="704" spans="1:26" x14ac:dyDescent="0.25">
      <c r="A704" s="468" t="s">
        <v>1409</v>
      </c>
      <c r="B704" s="36" t="s">
        <v>367</v>
      </c>
      <c r="C704" s="469">
        <v>1</v>
      </c>
      <c r="D704" s="470" t="s">
        <v>494</v>
      </c>
      <c r="E704" s="37">
        <f t="shared" si="73"/>
        <v>0</v>
      </c>
      <c r="F704" s="470" t="s">
        <v>494</v>
      </c>
      <c r="G704" s="37">
        <f t="shared" si="74"/>
        <v>0</v>
      </c>
      <c r="H704" s="37" t="s">
        <v>494</v>
      </c>
      <c r="I704" s="37">
        <f t="shared" si="75"/>
        <v>0</v>
      </c>
      <c r="J704" s="37" t="s">
        <v>347</v>
      </c>
      <c r="K704" s="37">
        <f t="shared" si="76"/>
        <v>0</v>
      </c>
      <c r="L704" s="37" t="s">
        <v>494</v>
      </c>
      <c r="M704" s="37">
        <f t="shared" si="77"/>
        <v>0</v>
      </c>
      <c r="N704" s="470" t="s">
        <v>347</v>
      </c>
      <c r="O704" s="470">
        <f t="shared" si="78"/>
        <v>0</v>
      </c>
      <c r="P704" s="37" t="str">
        <f t="shared" si="81"/>
        <v>None</v>
      </c>
      <c r="Q704" s="470" t="s">
        <v>346</v>
      </c>
      <c r="R704" s="37">
        <f t="shared" si="79"/>
        <v>0</v>
      </c>
      <c r="S704" s="470" t="s">
        <v>347</v>
      </c>
      <c r="T704" s="470">
        <f t="shared" si="80"/>
        <v>0</v>
      </c>
      <c r="U704" s="470" t="s">
        <v>346</v>
      </c>
      <c r="V704" s="111">
        <f>IF(OR(F704="none",G704="V"),0,VLOOKUP(F704,'Purchased Boons'!$AR$4:$AS$27,2,FALSE))</f>
        <v>0</v>
      </c>
      <c r="W704" s="39" t="s">
        <v>1050</v>
      </c>
      <c r="X704" s="37" t="s">
        <v>494</v>
      </c>
      <c r="Y704" s="37" t="s">
        <v>1046</v>
      </c>
      <c r="Z704" s="111">
        <v>79</v>
      </c>
    </row>
    <row r="705" spans="1:26" x14ac:dyDescent="0.25">
      <c r="A705" s="468" t="s">
        <v>1433</v>
      </c>
      <c r="B705" s="36" t="s">
        <v>170</v>
      </c>
      <c r="C705" s="469">
        <v>3</v>
      </c>
      <c r="D705" s="470" t="s">
        <v>1063</v>
      </c>
      <c r="E705" s="37" t="str">
        <f t="shared" si="73"/>
        <v>V</v>
      </c>
      <c r="F705" s="470" t="s">
        <v>1063</v>
      </c>
      <c r="G705" s="37" t="str">
        <f t="shared" si="74"/>
        <v>V</v>
      </c>
      <c r="H705" s="37" t="s">
        <v>494</v>
      </c>
      <c r="I705" s="37">
        <f t="shared" si="75"/>
        <v>0</v>
      </c>
      <c r="J705" s="37" t="s">
        <v>347</v>
      </c>
      <c r="K705" s="37">
        <f t="shared" si="76"/>
        <v>0</v>
      </c>
      <c r="L705" s="37" t="s">
        <v>494</v>
      </c>
      <c r="M705" s="37">
        <f t="shared" si="77"/>
        <v>0</v>
      </c>
      <c r="N705" s="470" t="s">
        <v>347</v>
      </c>
      <c r="O705" s="470">
        <f t="shared" si="78"/>
        <v>0</v>
      </c>
      <c r="P705" s="37" t="str">
        <f t="shared" si="81"/>
        <v>Varies</v>
      </c>
      <c r="Q705" s="470" t="s">
        <v>346</v>
      </c>
      <c r="R705" s="37" t="str">
        <f t="shared" si="79"/>
        <v>V</v>
      </c>
      <c r="S705" s="470" t="s">
        <v>347</v>
      </c>
      <c r="T705" s="470">
        <f t="shared" si="80"/>
        <v>0</v>
      </c>
      <c r="U705" s="470" t="s">
        <v>346</v>
      </c>
      <c r="V705" s="111">
        <f>IF(OR(F705="none",G705="V"),0,VLOOKUP(F705,'Purchased Boons'!$AR$4:$AS$27,2,FALSE))</f>
        <v>0</v>
      </c>
      <c r="W705" s="39" t="s">
        <v>1603</v>
      </c>
      <c r="X705" s="37" t="s">
        <v>1063</v>
      </c>
      <c r="Y705" s="37" t="s">
        <v>1046</v>
      </c>
      <c r="Z705" s="111">
        <v>173</v>
      </c>
    </row>
    <row r="706" spans="1:26" x14ac:dyDescent="0.25">
      <c r="A706" s="468" t="s">
        <v>1373</v>
      </c>
      <c r="B706" s="36" t="s">
        <v>1343</v>
      </c>
      <c r="C706" s="469">
        <v>5</v>
      </c>
      <c r="D706" s="470" t="s">
        <v>494</v>
      </c>
      <c r="E706" s="37">
        <f t="shared" si="73"/>
        <v>0</v>
      </c>
      <c r="F706" s="470" t="s">
        <v>494</v>
      </c>
      <c r="G706" s="37">
        <f t="shared" si="74"/>
        <v>0</v>
      </c>
      <c r="H706" s="37" t="s">
        <v>494</v>
      </c>
      <c r="I706" s="37">
        <f t="shared" si="75"/>
        <v>0</v>
      </c>
      <c r="J706" s="37" t="s">
        <v>347</v>
      </c>
      <c r="K706" s="37">
        <f t="shared" si="76"/>
        <v>0</v>
      </c>
      <c r="L706" s="37" t="s">
        <v>494</v>
      </c>
      <c r="M706" s="37">
        <f t="shared" si="77"/>
        <v>0</v>
      </c>
      <c r="N706" s="470" t="s">
        <v>347</v>
      </c>
      <c r="O706" s="470">
        <f t="shared" si="78"/>
        <v>0</v>
      </c>
      <c r="P706" s="37" t="str">
        <f t="shared" si="81"/>
        <v>None</v>
      </c>
      <c r="Q706" s="470" t="s">
        <v>346</v>
      </c>
      <c r="R706" s="37">
        <f t="shared" si="79"/>
        <v>0</v>
      </c>
      <c r="S706" s="470" t="s">
        <v>347</v>
      </c>
      <c r="T706" s="470">
        <f t="shared" si="80"/>
        <v>0</v>
      </c>
      <c r="U706" s="470" t="s">
        <v>346</v>
      </c>
      <c r="V706" s="111">
        <f>IF(OR(F706="none",G706="V"),0,VLOOKUP(F706,'Purchased Boons'!$AR$4:$AS$27,2,FALSE))</f>
        <v>0</v>
      </c>
      <c r="W706" s="39" t="s">
        <v>1054</v>
      </c>
      <c r="X706" s="37" t="s">
        <v>494</v>
      </c>
      <c r="Y706" s="37" t="s">
        <v>1046</v>
      </c>
      <c r="Z706" s="111">
        <v>69</v>
      </c>
    </row>
    <row r="707" spans="1:26" x14ac:dyDescent="0.25">
      <c r="A707" s="468" t="s">
        <v>1260</v>
      </c>
      <c r="B707" s="36" t="s">
        <v>356</v>
      </c>
      <c r="C707" s="469">
        <v>9</v>
      </c>
      <c r="D707" s="470" t="s">
        <v>20</v>
      </c>
      <c r="E707" s="37">
        <f t="shared" si="73"/>
        <v>1</v>
      </c>
      <c r="F707" s="470" t="s">
        <v>58</v>
      </c>
      <c r="G707" s="37">
        <f t="shared" si="74"/>
        <v>0</v>
      </c>
      <c r="H707" s="37" t="s">
        <v>494</v>
      </c>
      <c r="I707" s="37">
        <f t="shared" si="75"/>
        <v>0</v>
      </c>
      <c r="J707" s="37" t="s">
        <v>347</v>
      </c>
      <c r="K707" s="37">
        <f t="shared" si="76"/>
        <v>0</v>
      </c>
      <c r="L707" s="37" t="s">
        <v>494</v>
      </c>
      <c r="M707" s="37">
        <f t="shared" si="77"/>
        <v>0</v>
      </c>
      <c r="N707" s="470" t="s">
        <v>347</v>
      </c>
      <c r="O707" s="470">
        <f t="shared" si="78"/>
        <v>0</v>
      </c>
      <c r="P707" s="37" t="str">
        <f t="shared" si="81"/>
        <v>1 + 0</v>
      </c>
      <c r="Q707" s="470" t="s">
        <v>346</v>
      </c>
      <c r="R707" s="37">
        <f t="shared" si="79"/>
        <v>0</v>
      </c>
      <c r="S707" s="470" t="s">
        <v>347</v>
      </c>
      <c r="T707" s="470">
        <f t="shared" si="80"/>
        <v>0</v>
      </c>
      <c r="U707" s="470" t="s">
        <v>346</v>
      </c>
      <c r="V707" s="111">
        <f>IF(OR(F707="none",G707="V"),0,VLOOKUP(F707,'Purchased Boons'!$AR$4:$AS$27,2,FALSE))</f>
        <v>0</v>
      </c>
      <c r="W707" s="39" t="s">
        <v>1627</v>
      </c>
      <c r="X707" s="37" t="s">
        <v>1658</v>
      </c>
      <c r="Y707" s="37" t="s">
        <v>5</v>
      </c>
      <c r="Z707" s="111">
        <v>87</v>
      </c>
    </row>
    <row r="708" spans="1:26" x14ac:dyDescent="0.25">
      <c r="A708" s="468" t="s">
        <v>1140</v>
      </c>
      <c r="B708" s="36" t="s">
        <v>370</v>
      </c>
      <c r="C708" s="469">
        <v>1</v>
      </c>
      <c r="D708" s="470" t="s">
        <v>20</v>
      </c>
      <c r="E708" s="37">
        <f t="shared" si="73"/>
        <v>1</v>
      </c>
      <c r="F708" s="470" t="s">
        <v>494</v>
      </c>
      <c r="G708" s="37">
        <f t="shared" si="74"/>
        <v>0</v>
      </c>
      <c r="H708" s="37" t="s">
        <v>370</v>
      </c>
      <c r="I708" s="37">
        <f t="shared" si="75"/>
        <v>0</v>
      </c>
      <c r="J708" s="37" t="s">
        <v>347</v>
      </c>
      <c r="K708" s="37">
        <f t="shared" si="76"/>
        <v>0</v>
      </c>
      <c r="L708" s="37" t="s">
        <v>494</v>
      </c>
      <c r="M708" s="37">
        <f t="shared" si="77"/>
        <v>0</v>
      </c>
      <c r="N708" s="470" t="s">
        <v>347</v>
      </c>
      <c r="O708" s="470">
        <f t="shared" si="78"/>
        <v>0</v>
      </c>
      <c r="P708" s="37" t="str">
        <f t="shared" si="81"/>
        <v>1 + 0</v>
      </c>
      <c r="Q708" s="470" t="s">
        <v>347</v>
      </c>
      <c r="R708" s="37">
        <f t="shared" si="79"/>
        <v>0</v>
      </c>
      <c r="S708" s="470" t="s">
        <v>347</v>
      </c>
      <c r="T708" s="470">
        <f t="shared" si="80"/>
        <v>0</v>
      </c>
      <c r="U708" s="470" t="s">
        <v>346</v>
      </c>
      <c r="V708" s="111">
        <f>IF(OR(F708="none",G708="V"),0,VLOOKUP(F708,'Purchased Boons'!$AR$4:$AS$27,2,FALSE))</f>
        <v>0</v>
      </c>
      <c r="W708" s="39" t="s">
        <v>494</v>
      </c>
      <c r="X708" s="37" t="s">
        <v>1556</v>
      </c>
      <c r="Y708" s="37" t="s">
        <v>133</v>
      </c>
      <c r="Z708" s="111">
        <v>156</v>
      </c>
    </row>
    <row r="709" spans="1:26" x14ac:dyDescent="0.25">
      <c r="A709" s="468" t="s">
        <v>1334</v>
      </c>
      <c r="B709" s="36" t="s">
        <v>370</v>
      </c>
      <c r="C709" s="469">
        <v>10</v>
      </c>
      <c r="D709" s="470" t="s">
        <v>20</v>
      </c>
      <c r="E709" s="37">
        <f t="shared" si="73"/>
        <v>1</v>
      </c>
      <c r="F709" s="470" t="s">
        <v>494</v>
      </c>
      <c r="G709" s="37">
        <f t="shared" si="74"/>
        <v>0</v>
      </c>
      <c r="H709" s="37" t="s">
        <v>370</v>
      </c>
      <c r="I709" s="37">
        <f t="shared" si="75"/>
        <v>0</v>
      </c>
      <c r="J709" s="37" t="s">
        <v>347</v>
      </c>
      <c r="K709" s="37">
        <f t="shared" si="76"/>
        <v>0</v>
      </c>
      <c r="L709" s="37" t="s">
        <v>494</v>
      </c>
      <c r="M709" s="37">
        <f t="shared" si="77"/>
        <v>0</v>
      </c>
      <c r="N709" s="470" t="s">
        <v>347</v>
      </c>
      <c r="O709" s="470">
        <f t="shared" si="78"/>
        <v>0</v>
      </c>
      <c r="P709" s="37" t="str">
        <f t="shared" si="81"/>
        <v>1 + 0</v>
      </c>
      <c r="Q709" s="470" t="s">
        <v>347</v>
      </c>
      <c r="R709" s="37">
        <f t="shared" si="79"/>
        <v>0</v>
      </c>
      <c r="S709" s="470" t="s">
        <v>347</v>
      </c>
      <c r="T709" s="470">
        <f t="shared" si="80"/>
        <v>0</v>
      </c>
      <c r="U709" s="470" t="s">
        <v>346</v>
      </c>
      <c r="V709" s="111">
        <f>IF(OR(F709="none",G709="V"),0,VLOOKUP(F709,'Purchased Boons'!$AR$4:$AS$27,2,FALSE))</f>
        <v>0</v>
      </c>
      <c r="W709" s="39" t="s">
        <v>494</v>
      </c>
      <c r="X709" s="37" t="s">
        <v>1556</v>
      </c>
      <c r="Y709" s="37" t="s">
        <v>5</v>
      </c>
      <c r="Z709" s="111">
        <v>111</v>
      </c>
    </row>
    <row r="710" spans="1:26" x14ac:dyDescent="0.25">
      <c r="A710" s="468" t="s">
        <v>1141</v>
      </c>
      <c r="B710" s="36" t="s">
        <v>370</v>
      </c>
      <c r="C710" s="469">
        <v>2</v>
      </c>
      <c r="D710" s="470" t="s">
        <v>20</v>
      </c>
      <c r="E710" s="37">
        <f t="shared" si="73"/>
        <v>1</v>
      </c>
      <c r="F710" s="470" t="s">
        <v>494</v>
      </c>
      <c r="G710" s="37">
        <f t="shared" si="74"/>
        <v>0</v>
      </c>
      <c r="H710" s="37" t="s">
        <v>370</v>
      </c>
      <c r="I710" s="37">
        <f t="shared" si="75"/>
        <v>0</v>
      </c>
      <c r="J710" s="37" t="s">
        <v>347</v>
      </c>
      <c r="K710" s="37">
        <f t="shared" si="76"/>
        <v>0</v>
      </c>
      <c r="L710" s="37" t="s">
        <v>494</v>
      </c>
      <c r="M710" s="37">
        <f t="shared" si="77"/>
        <v>0</v>
      </c>
      <c r="N710" s="470" t="s">
        <v>347</v>
      </c>
      <c r="O710" s="470">
        <f t="shared" si="78"/>
        <v>0</v>
      </c>
      <c r="P710" s="37" t="str">
        <f t="shared" si="81"/>
        <v>1 + 0</v>
      </c>
      <c r="Q710" s="470" t="s">
        <v>347</v>
      </c>
      <c r="R710" s="37">
        <f t="shared" si="79"/>
        <v>0</v>
      </c>
      <c r="S710" s="470" t="s">
        <v>347</v>
      </c>
      <c r="T710" s="470">
        <f t="shared" si="80"/>
        <v>0</v>
      </c>
      <c r="U710" s="470" t="s">
        <v>346</v>
      </c>
      <c r="V710" s="111">
        <f>IF(OR(F710="none",G710="V"),0,VLOOKUP(F710,'Purchased Boons'!$AR$4:$AS$27,2,FALSE))</f>
        <v>0</v>
      </c>
      <c r="W710" s="39" t="s">
        <v>494</v>
      </c>
      <c r="X710" s="37" t="s">
        <v>1556</v>
      </c>
      <c r="Y710" s="37" t="s">
        <v>133</v>
      </c>
      <c r="Z710" s="111">
        <v>156</v>
      </c>
    </row>
    <row r="711" spans="1:26" x14ac:dyDescent="0.25">
      <c r="A711" s="468" t="s">
        <v>1142</v>
      </c>
      <c r="B711" s="36" t="s">
        <v>370</v>
      </c>
      <c r="C711" s="469">
        <v>3</v>
      </c>
      <c r="D711" s="470" t="s">
        <v>20</v>
      </c>
      <c r="E711" s="37">
        <f t="shared" si="73"/>
        <v>1</v>
      </c>
      <c r="F711" s="470" t="s">
        <v>494</v>
      </c>
      <c r="G711" s="37">
        <f t="shared" si="74"/>
        <v>0</v>
      </c>
      <c r="H711" s="37" t="s">
        <v>370</v>
      </c>
      <c r="I711" s="37">
        <f t="shared" si="75"/>
        <v>0</v>
      </c>
      <c r="J711" s="37" t="s">
        <v>347</v>
      </c>
      <c r="K711" s="37">
        <f t="shared" si="76"/>
        <v>0</v>
      </c>
      <c r="L711" s="37" t="s">
        <v>494</v>
      </c>
      <c r="M711" s="37">
        <f t="shared" si="77"/>
        <v>0</v>
      </c>
      <c r="N711" s="470" t="s">
        <v>347</v>
      </c>
      <c r="O711" s="470">
        <f t="shared" si="78"/>
        <v>0</v>
      </c>
      <c r="P711" s="37" t="str">
        <f t="shared" si="81"/>
        <v>1 + 0</v>
      </c>
      <c r="Q711" s="470" t="s">
        <v>347</v>
      </c>
      <c r="R711" s="37">
        <f t="shared" si="79"/>
        <v>0</v>
      </c>
      <c r="S711" s="470" t="s">
        <v>347</v>
      </c>
      <c r="T711" s="470">
        <f t="shared" si="80"/>
        <v>0</v>
      </c>
      <c r="U711" s="470" t="s">
        <v>346</v>
      </c>
      <c r="V711" s="111">
        <f>IF(OR(F711="none",G711="V"),0,VLOOKUP(F711,'Purchased Boons'!$AR$4:$AS$27,2,FALSE))</f>
        <v>0</v>
      </c>
      <c r="W711" s="39" t="s">
        <v>494</v>
      </c>
      <c r="X711" s="37" t="s">
        <v>1556</v>
      </c>
      <c r="Y711" s="37" t="s">
        <v>133</v>
      </c>
      <c r="Z711" s="111">
        <v>156</v>
      </c>
    </row>
    <row r="712" spans="1:26" x14ac:dyDescent="0.25">
      <c r="A712" s="468" t="s">
        <v>1239</v>
      </c>
      <c r="B712" s="36" t="s">
        <v>370</v>
      </c>
      <c r="C712" s="469">
        <v>4</v>
      </c>
      <c r="D712" s="470" t="s">
        <v>20</v>
      </c>
      <c r="E712" s="37">
        <f t="shared" si="73"/>
        <v>1</v>
      </c>
      <c r="F712" s="470" t="s">
        <v>494</v>
      </c>
      <c r="G712" s="37">
        <f t="shared" si="74"/>
        <v>0</v>
      </c>
      <c r="H712" s="37" t="s">
        <v>370</v>
      </c>
      <c r="I712" s="37">
        <f t="shared" si="75"/>
        <v>0</v>
      </c>
      <c r="J712" s="37" t="s">
        <v>347</v>
      </c>
      <c r="K712" s="37">
        <f t="shared" si="76"/>
        <v>0</v>
      </c>
      <c r="L712" s="37" t="s">
        <v>494</v>
      </c>
      <c r="M712" s="37">
        <f t="shared" si="77"/>
        <v>0</v>
      </c>
      <c r="N712" s="470" t="s">
        <v>347</v>
      </c>
      <c r="O712" s="470">
        <f t="shared" si="78"/>
        <v>0</v>
      </c>
      <c r="P712" s="37" t="str">
        <f t="shared" si="81"/>
        <v>1 + 0</v>
      </c>
      <c r="Q712" s="470" t="s">
        <v>347</v>
      </c>
      <c r="R712" s="37">
        <f t="shared" si="79"/>
        <v>0</v>
      </c>
      <c r="S712" s="470" t="s">
        <v>347</v>
      </c>
      <c r="T712" s="470">
        <f t="shared" si="80"/>
        <v>0</v>
      </c>
      <c r="U712" s="470" t="s">
        <v>346</v>
      </c>
      <c r="V712" s="111">
        <f>IF(OR(F712="none",G712="V"),0,VLOOKUP(F712,'Purchased Boons'!$AR$4:$AS$27,2,FALSE))</f>
        <v>0</v>
      </c>
      <c r="W712" s="39" t="s">
        <v>494</v>
      </c>
      <c r="X712" s="37" t="s">
        <v>1556</v>
      </c>
      <c r="Y712" s="37" t="s">
        <v>1045</v>
      </c>
      <c r="Z712" s="111">
        <v>99</v>
      </c>
    </row>
    <row r="713" spans="1:26" x14ac:dyDescent="0.25">
      <c r="A713" s="468" t="s">
        <v>1240</v>
      </c>
      <c r="B713" s="36" t="s">
        <v>370</v>
      </c>
      <c r="C713" s="469">
        <v>5</v>
      </c>
      <c r="D713" s="470" t="s">
        <v>20</v>
      </c>
      <c r="E713" s="37">
        <f t="shared" si="73"/>
        <v>1</v>
      </c>
      <c r="F713" s="470" t="s">
        <v>494</v>
      </c>
      <c r="G713" s="37">
        <f t="shared" si="74"/>
        <v>0</v>
      </c>
      <c r="H713" s="37" t="s">
        <v>370</v>
      </c>
      <c r="I713" s="37">
        <f t="shared" si="75"/>
        <v>0</v>
      </c>
      <c r="J713" s="37" t="s">
        <v>347</v>
      </c>
      <c r="K713" s="37">
        <f t="shared" si="76"/>
        <v>0</v>
      </c>
      <c r="L713" s="37" t="s">
        <v>494</v>
      </c>
      <c r="M713" s="37">
        <f t="shared" si="77"/>
        <v>0</v>
      </c>
      <c r="N713" s="470" t="s">
        <v>347</v>
      </c>
      <c r="O713" s="470">
        <f t="shared" si="78"/>
        <v>0</v>
      </c>
      <c r="P713" s="37" t="str">
        <f t="shared" si="81"/>
        <v>1 + 0</v>
      </c>
      <c r="Q713" s="470" t="s">
        <v>347</v>
      </c>
      <c r="R713" s="37">
        <f t="shared" si="79"/>
        <v>0</v>
      </c>
      <c r="S713" s="470" t="s">
        <v>347</v>
      </c>
      <c r="T713" s="470">
        <f t="shared" si="80"/>
        <v>0</v>
      </c>
      <c r="U713" s="470" t="s">
        <v>346</v>
      </c>
      <c r="V713" s="111">
        <f>IF(OR(F713="none",G713="V"),0,VLOOKUP(F713,'Purchased Boons'!$AR$4:$AS$27,2,FALSE))</f>
        <v>0</v>
      </c>
      <c r="W713" s="39" t="s">
        <v>494</v>
      </c>
      <c r="X713" s="37" t="s">
        <v>1556</v>
      </c>
      <c r="Y713" s="37" t="s">
        <v>1045</v>
      </c>
      <c r="Z713" s="111">
        <v>99</v>
      </c>
    </row>
    <row r="714" spans="1:26" x14ac:dyDescent="0.25">
      <c r="A714" s="468" t="s">
        <v>1241</v>
      </c>
      <c r="B714" s="36" t="s">
        <v>370</v>
      </c>
      <c r="C714" s="469">
        <v>6</v>
      </c>
      <c r="D714" s="470" t="s">
        <v>20</v>
      </c>
      <c r="E714" s="37">
        <f t="shared" si="73"/>
        <v>1</v>
      </c>
      <c r="F714" s="470" t="s">
        <v>494</v>
      </c>
      <c r="G714" s="37">
        <f t="shared" si="74"/>
        <v>0</v>
      </c>
      <c r="H714" s="37" t="s">
        <v>370</v>
      </c>
      <c r="I714" s="37">
        <f t="shared" si="75"/>
        <v>0</v>
      </c>
      <c r="J714" s="37" t="s">
        <v>347</v>
      </c>
      <c r="K714" s="37">
        <f t="shared" si="76"/>
        <v>0</v>
      </c>
      <c r="L714" s="37" t="s">
        <v>494</v>
      </c>
      <c r="M714" s="37">
        <f t="shared" si="77"/>
        <v>0</v>
      </c>
      <c r="N714" s="470" t="s">
        <v>347</v>
      </c>
      <c r="O714" s="470">
        <f t="shared" si="78"/>
        <v>0</v>
      </c>
      <c r="P714" s="37" t="str">
        <f t="shared" si="81"/>
        <v>1 + 0</v>
      </c>
      <c r="Q714" s="470" t="s">
        <v>347</v>
      </c>
      <c r="R714" s="37">
        <f t="shared" si="79"/>
        <v>0</v>
      </c>
      <c r="S714" s="470" t="s">
        <v>347</v>
      </c>
      <c r="T714" s="470">
        <f t="shared" si="80"/>
        <v>0</v>
      </c>
      <c r="U714" s="470" t="s">
        <v>346</v>
      </c>
      <c r="V714" s="111">
        <f>IF(OR(F714="none",G714="V"),0,VLOOKUP(F714,'Purchased Boons'!$AR$4:$AS$27,2,FALSE))</f>
        <v>0</v>
      </c>
      <c r="W714" s="39" t="s">
        <v>494</v>
      </c>
      <c r="X714" s="37" t="s">
        <v>1556</v>
      </c>
      <c r="Y714" s="37" t="s">
        <v>1045</v>
      </c>
      <c r="Z714" s="111">
        <v>99</v>
      </c>
    </row>
    <row r="715" spans="1:26" x14ac:dyDescent="0.25">
      <c r="A715" s="468" t="s">
        <v>1242</v>
      </c>
      <c r="B715" s="36" t="s">
        <v>370</v>
      </c>
      <c r="C715" s="469">
        <v>7</v>
      </c>
      <c r="D715" s="470" t="s">
        <v>20</v>
      </c>
      <c r="E715" s="37">
        <f t="shared" si="73"/>
        <v>1</v>
      </c>
      <c r="F715" s="470" t="s">
        <v>494</v>
      </c>
      <c r="G715" s="37">
        <f t="shared" si="74"/>
        <v>0</v>
      </c>
      <c r="H715" s="37" t="s">
        <v>370</v>
      </c>
      <c r="I715" s="37">
        <f t="shared" si="75"/>
        <v>0</v>
      </c>
      <c r="J715" s="37" t="s">
        <v>347</v>
      </c>
      <c r="K715" s="37">
        <f t="shared" si="76"/>
        <v>0</v>
      </c>
      <c r="L715" s="37" t="s">
        <v>494</v>
      </c>
      <c r="M715" s="37">
        <f t="shared" si="77"/>
        <v>0</v>
      </c>
      <c r="N715" s="470" t="s">
        <v>347</v>
      </c>
      <c r="O715" s="470">
        <f t="shared" si="78"/>
        <v>0</v>
      </c>
      <c r="P715" s="37" t="str">
        <f t="shared" si="81"/>
        <v>1 + 0</v>
      </c>
      <c r="Q715" s="470" t="s">
        <v>347</v>
      </c>
      <c r="R715" s="37">
        <f t="shared" si="79"/>
        <v>0</v>
      </c>
      <c r="S715" s="470" t="s">
        <v>347</v>
      </c>
      <c r="T715" s="470">
        <f t="shared" si="80"/>
        <v>0</v>
      </c>
      <c r="U715" s="470" t="s">
        <v>346</v>
      </c>
      <c r="V715" s="111">
        <f>IF(OR(F715="none",G715="V"),0,VLOOKUP(F715,'Purchased Boons'!$AR$4:$AS$27,2,FALSE))</f>
        <v>0</v>
      </c>
      <c r="W715" s="39" t="s">
        <v>494</v>
      </c>
      <c r="X715" s="37" t="s">
        <v>1556</v>
      </c>
      <c r="Y715" s="37" t="s">
        <v>1045</v>
      </c>
      <c r="Z715" s="111">
        <v>99</v>
      </c>
    </row>
    <row r="716" spans="1:26" x14ac:dyDescent="0.25">
      <c r="A716" s="468" t="s">
        <v>1332</v>
      </c>
      <c r="B716" s="36" t="s">
        <v>370</v>
      </c>
      <c r="C716" s="469">
        <v>8</v>
      </c>
      <c r="D716" s="470" t="s">
        <v>20</v>
      </c>
      <c r="E716" s="37">
        <f t="shared" si="73"/>
        <v>1</v>
      </c>
      <c r="F716" s="470" t="s">
        <v>494</v>
      </c>
      <c r="G716" s="37">
        <f t="shared" si="74"/>
        <v>0</v>
      </c>
      <c r="H716" s="37" t="s">
        <v>370</v>
      </c>
      <c r="I716" s="37">
        <f t="shared" si="75"/>
        <v>0</v>
      </c>
      <c r="J716" s="37" t="s">
        <v>347</v>
      </c>
      <c r="K716" s="37">
        <f t="shared" si="76"/>
        <v>0</v>
      </c>
      <c r="L716" s="37" t="s">
        <v>494</v>
      </c>
      <c r="M716" s="37">
        <f t="shared" si="77"/>
        <v>0</v>
      </c>
      <c r="N716" s="470" t="s">
        <v>347</v>
      </c>
      <c r="O716" s="470">
        <f t="shared" si="78"/>
        <v>0</v>
      </c>
      <c r="P716" s="37" t="str">
        <f t="shared" si="81"/>
        <v>1 + 0</v>
      </c>
      <c r="Q716" s="470" t="s">
        <v>347</v>
      </c>
      <c r="R716" s="37">
        <f t="shared" si="79"/>
        <v>0</v>
      </c>
      <c r="S716" s="470" t="s">
        <v>347</v>
      </c>
      <c r="T716" s="470">
        <f t="shared" si="80"/>
        <v>0</v>
      </c>
      <c r="U716" s="470" t="s">
        <v>346</v>
      </c>
      <c r="V716" s="111">
        <f>IF(OR(F716="none",G716="V"),0,VLOOKUP(F716,'Purchased Boons'!$AR$4:$AS$27,2,FALSE))</f>
        <v>0</v>
      </c>
      <c r="W716" s="39" t="s">
        <v>494</v>
      </c>
      <c r="X716" s="37" t="s">
        <v>1556</v>
      </c>
      <c r="Y716" s="37" t="s">
        <v>5</v>
      </c>
      <c r="Z716" s="111">
        <v>111</v>
      </c>
    </row>
    <row r="717" spans="1:26" x14ac:dyDescent="0.25">
      <c r="A717" s="468" t="s">
        <v>1333</v>
      </c>
      <c r="B717" s="36" t="s">
        <v>370</v>
      </c>
      <c r="C717" s="469">
        <v>9</v>
      </c>
      <c r="D717" s="470" t="s">
        <v>20</v>
      </c>
      <c r="E717" s="37">
        <f t="shared" si="73"/>
        <v>1</v>
      </c>
      <c r="F717" s="470" t="s">
        <v>494</v>
      </c>
      <c r="G717" s="37">
        <f t="shared" si="74"/>
        <v>0</v>
      </c>
      <c r="H717" s="37" t="s">
        <v>370</v>
      </c>
      <c r="I717" s="37">
        <f t="shared" si="75"/>
        <v>0</v>
      </c>
      <c r="J717" s="37" t="s">
        <v>347</v>
      </c>
      <c r="K717" s="37">
        <f t="shared" si="76"/>
        <v>0</v>
      </c>
      <c r="L717" s="37" t="s">
        <v>494</v>
      </c>
      <c r="M717" s="37">
        <f t="shared" si="77"/>
        <v>0</v>
      </c>
      <c r="N717" s="470" t="s">
        <v>347</v>
      </c>
      <c r="O717" s="470">
        <f t="shared" si="78"/>
        <v>0</v>
      </c>
      <c r="P717" s="37" t="str">
        <f t="shared" si="81"/>
        <v>1 + 0</v>
      </c>
      <c r="Q717" s="470" t="s">
        <v>347</v>
      </c>
      <c r="R717" s="37">
        <f t="shared" si="79"/>
        <v>0</v>
      </c>
      <c r="S717" s="470" t="s">
        <v>347</v>
      </c>
      <c r="T717" s="470">
        <f t="shared" si="80"/>
        <v>0</v>
      </c>
      <c r="U717" s="470" t="s">
        <v>346</v>
      </c>
      <c r="V717" s="111">
        <f>IF(OR(F717="none",G717="V"),0,VLOOKUP(F717,'Purchased Boons'!$AR$4:$AS$27,2,FALSE))</f>
        <v>0</v>
      </c>
      <c r="W717" s="39" t="s">
        <v>494</v>
      </c>
      <c r="X717" s="37" t="s">
        <v>1556</v>
      </c>
      <c r="Y717" s="37" t="s">
        <v>5</v>
      </c>
      <c r="Z717" s="111">
        <v>111</v>
      </c>
    </row>
    <row r="718" spans="1:26" x14ac:dyDescent="0.25">
      <c r="A718" s="468" t="s">
        <v>1245</v>
      </c>
      <c r="B718" s="36" t="s">
        <v>352</v>
      </c>
      <c r="C718" s="469">
        <v>10</v>
      </c>
      <c r="D718" s="470" t="s">
        <v>494</v>
      </c>
      <c r="E718" s="37">
        <f t="shared" si="73"/>
        <v>0</v>
      </c>
      <c r="F718" s="470" t="s">
        <v>494</v>
      </c>
      <c r="G718" s="37">
        <f t="shared" si="74"/>
        <v>0</v>
      </c>
      <c r="H718" s="37" t="s">
        <v>494</v>
      </c>
      <c r="I718" s="37">
        <f t="shared" si="75"/>
        <v>0</v>
      </c>
      <c r="J718" s="37" t="s">
        <v>347</v>
      </c>
      <c r="K718" s="37">
        <f t="shared" si="76"/>
        <v>0</v>
      </c>
      <c r="L718" s="37" t="s">
        <v>494</v>
      </c>
      <c r="M718" s="37">
        <f t="shared" si="77"/>
        <v>0</v>
      </c>
      <c r="N718" s="470" t="s">
        <v>347</v>
      </c>
      <c r="O718" s="470">
        <f t="shared" si="78"/>
        <v>0</v>
      </c>
      <c r="P718" s="37" t="str">
        <f t="shared" si="81"/>
        <v>None</v>
      </c>
      <c r="Q718" s="470" t="s">
        <v>346</v>
      </c>
      <c r="R718" s="37">
        <f t="shared" si="79"/>
        <v>0</v>
      </c>
      <c r="S718" s="470" t="s">
        <v>347</v>
      </c>
      <c r="T718" s="470">
        <f t="shared" si="80"/>
        <v>0</v>
      </c>
      <c r="U718" s="470" t="s">
        <v>346</v>
      </c>
      <c r="V718" s="111">
        <f>IF(OR(F718="none",G718="V"),0,VLOOKUP(F718,'Purchased Boons'!$AR$4:$AS$27,2,FALSE))</f>
        <v>0</v>
      </c>
      <c r="W718" s="39" t="s">
        <v>1764</v>
      </c>
      <c r="X718" s="37" t="s">
        <v>1764</v>
      </c>
      <c r="Y718" s="37" t="s">
        <v>5</v>
      </c>
      <c r="Z718" s="111">
        <v>82</v>
      </c>
    </row>
    <row r="719" spans="1:26" x14ac:dyDescent="0.25">
      <c r="A719" s="468" t="s">
        <v>1182</v>
      </c>
      <c r="B719" s="36" t="s">
        <v>360</v>
      </c>
      <c r="C719" s="469">
        <v>7</v>
      </c>
      <c r="D719" s="470" t="s">
        <v>20</v>
      </c>
      <c r="E719" s="37">
        <f t="shared" si="73"/>
        <v>1</v>
      </c>
      <c r="F719" s="470" t="s">
        <v>41</v>
      </c>
      <c r="G719" s="37">
        <f t="shared" si="74"/>
        <v>0</v>
      </c>
      <c r="H719" s="37" t="s">
        <v>494</v>
      </c>
      <c r="I719" s="37">
        <f t="shared" si="75"/>
        <v>0</v>
      </c>
      <c r="J719" s="37" t="s">
        <v>347</v>
      </c>
      <c r="K719" s="37">
        <f t="shared" si="76"/>
        <v>0</v>
      </c>
      <c r="L719" s="37" t="s">
        <v>494</v>
      </c>
      <c r="M719" s="37">
        <f t="shared" si="77"/>
        <v>0</v>
      </c>
      <c r="N719" s="470" t="s">
        <v>347</v>
      </c>
      <c r="O719" s="470">
        <f t="shared" si="78"/>
        <v>0</v>
      </c>
      <c r="P719" s="37" t="str">
        <f t="shared" si="81"/>
        <v>1 + 0</v>
      </c>
      <c r="Q719" s="470" t="s">
        <v>346</v>
      </c>
      <c r="R719" s="37">
        <f t="shared" si="79"/>
        <v>0</v>
      </c>
      <c r="S719" s="470" t="s">
        <v>347</v>
      </c>
      <c r="T719" s="470">
        <f t="shared" si="80"/>
        <v>0</v>
      </c>
      <c r="U719" s="470" t="s">
        <v>346</v>
      </c>
      <c r="V719" s="111">
        <f>IF(OR(F719="none",G719="V"),0,VLOOKUP(F719,'Purchased Boons'!$AR$4:$AS$27,2,FALSE))</f>
        <v>0</v>
      </c>
      <c r="W719" s="39" t="s">
        <v>1055</v>
      </c>
      <c r="X719" s="37" t="s">
        <v>1586</v>
      </c>
      <c r="Y719" s="37" t="s">
        <v>1045</v>
      </c>
      <c r="Z719" s="111">
        <v>83</v>
      </c>
    </row>
    <row r="720" spans="1:26" x14ac:dyDescent="0.25">
      <c r="A720" s="468" t="s">
        <v>1302</v>
      </c>
      <c r="B720" s="36" t="s">
        <v>367</v>
      </c>
      <c r="C720" s="469">
        <v>8</v>
      </c>
      <c r="D720" s="470" t="s">
        <v>14</v>
      </c>
      <c r="E720" s="37">
        <f t="shared" si="73"/>
        <v>1</v>
      </c>
      <c r="F720" s="470" t="s">
        <v>47</v>
      </c>
      <c r="G720" s="37">
        <f t="shared" si="74"/>
        <v>0</v>
      </c>
      <c r="H720" s="37" t="s">
        <v>494</v>
      </c>
      <c r="I720" s="37">
        <f t="shared" si="75"/>
        <v>0</v>
      </c>
      <c r="J720" s="37" t="s">
        <v>347</v>
      </c>
      <c r="K720" s="37">
        <f t="shared" si="76"/>
        <v>0</v>
      </c>
      <c r="L720" s="37" t="s">
        <v>494</v>
      </c>
      <c r="M720" s="37">
        <f t="shared" si="77"/>
        <v>0</v>
      </c>
      <c r="N720" s="470" t="s">
        <v>347</v>
      </c>
      <c r="O720" s="470">
        <f t="shared" si="78"/>
        <v>0</v>
      </c>
      <c r="P720" s="37" t="str">
        <f t="shared" si="81"/>
        <v>1 + 0</v>
      </c>
      <c r="Q720" s="470" t="s">
        <v>346</v>
      </c>
      <c r="R720" s="37">
        <f t="shared" si="79"/>
        <v>0</v>
      </c>
      <c r="S720" s="470" t="s">
        <v>347</v>
      </c>
      <c r="T720" s="470">
        <f t="shared" si="80"/>
        <v>0</v>
      </c>
      <c r="U720" s="470" t="s">
        <v>346</v>
      </c>
      <c r="V720" s="111">
        <f>IF(OR(F720="none",G720="V"),0,VLOOKUP(F720,'Purchased Boons'!$AR$4:$AS$27,2,FALSE))</f>
        <v>0</v>
      </c>
      <c r="W720" s="39" t="s">
        <v>1608</v>
      </c>
      <c r="X720" s="37" t="s">
        <v>1531</v>
      </c>
      <c r="Y720" s="37" t="s">
        <v>5</v>
      </c>
      <c r="Z720" s="111">
        <v>103</v>
      </c>
    </row>
    <row r="721" spans="1:26" x14ac:dyDescent="0.25">
      <c r="A721" s="468" t="s">
        <v>1425</v>
      </c>
      <c r="B721" s="36" t="s">
        <v>168</v>
      </c>
      <c r="C721" s="469">
        <v>5</v>
      </c>
      <c r="D721" s="470" t="s">
        <v>494</v>
      </c>
      <c r="E721" s="37">
        <f t="shared" si="73"/>
        <v>0</v>
      </c>
      <c r="F721" s="470" t="s">
        <v>494</v>
      </c>
      <c r="G721" s="37">
        <f t="shared" si="74"/>
        <v>0</v>
      </c>
      <c r="H721" s="37" t="s">
        <v>494</v>
      </c>
      <c r="I721" s="37">
        <f t="shared" si="75"/>
        <v>0</v>
      </c>
      <c r="J721" s="37" t="s">
        <v>347</v>
      </c>
      <c r="K721" s="37">
        <f t="shared" si="76"/>
        <v>0</v>
      </c>
      <c r="L721" s="37" t="s">
        <v>494</v>
      </c>
      <c r="M721" s="37">
        <f t="shared" si="77"/>
        <v>0</v>
      </c>
      <c r="N721" s="470" t="s">
        <v>347</v>
      </c>
      <c r="O721" s="470">
        <f t="shared" si="78"/>
        <v>0</v>
      </c>
      <c r="P721" s="37" t="str">
        <f t="shared" si="81"/>
        <v>None</v>
      </c>
      <c r="Q721" s="470" t="s">
        <v>346</v>
      </c>
      <c r="R721" s="37">
        <f t="shared" si="79"/>
        <v>0</v>
      </c>
      <c r="S721" s="470" t="s">
        <v>347</v>
      </c>
      <c r="T721" s="470">
        <f t="shared" si="80"/>
        <v>0</v>
      </c>
      <c r="U721" s="470" t="s">
        <v>346</v>
      </c>
      <c r="V721" s="111">
        <f>IF(OR(F721="none",G721="V"),0,VLOOKUP(F721,'Purchased Boons'!$AR$4:$AS$27,2,FALSE))</f>
        <v>0</v>
      </c>
      <c r="W721" s="39" t="s">
        <v>1691</v>
      </c>
      <c r="X721" s="37" t="s">
        <v>674</v>
      </c>
      <c r="Y721" s="37" t="s">
        <v>1046</v>
      </c>
      <c r="Z721" s="111">
        <v>97</v>
      </c>
    </row>
    <row r="722" spans="1:26" x14ac:dyDescent="0.25">
      <c r="A722" s="468" t="s">
        <v>1115</v>
      </c>
      <c r="B722" s="36" t="s">
        <v>175</v>
      </c>
      <c r="C722" s="469">
        <v>1</v>
      </c>
      <c r="D722" s="470" t="s">
        <v>19</v>
      </c>
      <c r="E722" s="37">
        <f t="shared" si="73"/>
        <v>1</v>
      </c>
      <c r="F722" s="470" t="s">
        <v>41</v>
      </c>
      <c r="G722" s="37">
        <f t="shared" si="74"/>
        <v>0</v>
      </c>
      <c r="H722" s="37" t="s">
        <v>494</v>
      </c>
      <c r="I722" s="37">
        <f t="shared" si="75"/>
        <v>0</v>
      </c>
      <c r="J722" s="37" t="s">
        <v>347</v>
      </c>
      <c r="K722" s="37">
        <f t="shared" si="76"/>
        <v>0</v>
      </c>
      <c r="L722" s="37" t="s">
        <v>494</v>
      </c>
      <c r="M722" s="37">
        <f t="shared" si="77"/>
        <v>0</v>
      </c>
      <c r="N722" s="470" t="s">
        <v>347</v>
      </c>
      <c r="O722" s="470">
        <f t="shared" si="78"/>
        <v>0</v>
      </c>
      <c r="P722" s="37" t="str">
        <f t="shared" si="81"/>
        <v>1 + 0</v>
      </c>
      <c r="Q722" s="470" t="s">
        <v>346</v>
      </c>
      <c r="R722" s="37">
        <f t="shared" si="79"/>
        <v>0</v>
      </c>
      <c r="S722" s="470" t="s">
        <v>347</v>
      </c>
      <c r="T722" s="470">
        <f t="shared" si="80"/>
        <v>0</v>
      </c>
      <c r="U722" s="470" t="s">
        <v>346</v>
      </c>
      <c r="V722" s="111">
        <f>IF(OR(F722="none",G722="V"),0,VLOOKUP(F722,'Purchased Boons'!$AR$4:$AS$27,2,FALSE))</f>
        <v>0</v>
      </c>
      <c r="W722" s="39" t="s">
        <v>1050</v>
      </c>
      <c r="X722" s="37" t="s">
        <v>1525</v>
      </c>
      <c r="Y722" s="37" t="s">
        <v>133</v>
      </c>
      <c r="Z722" s="111">
        <v>150</v>
      </c>
    </row>
    <row r="723" spans="1:26" x14ac:dyDescent="0.25">
      <c r="A723" s="468" t="s">
        <v>1269</v>
      </c>
      <c r="B723" s="36" t="s">
        <v>358</v>
      </c>
      <c r="C723" s="469">
        <v>10</v>
      </c>
      <c r="D723" s="470" t="s">
        <v>16</v>
      </c>
      <c r="E723" s="37">
        <f t="shared" si="73"/>
        <v>1</v>
      </c>
      <c r="F723" s="470" t="s">
        <v>53</v>
      </c>
      <c r="G723" s="37">
        <f t="shared" si="74"/>
        <v>0</v>
      </c>
      <c r="H723" s="37" t="s">
        <v>494</v>
      </c>
      <c r="I723" s="37">
        <f t="shared" si="75"/>
        <v>0</v>
      </c>
      <c r="J723" s="37" t="s">
        <v>347</v>
      </c>
      <c r="K723" s="37">
        <f t="shared" si="76"/>
        <v>0</v>
      </c>
      <c r="L723" s="37" t="s">
        <v>494</v>
      </c>
      <c r="M723" s="37">
        <f t="shared" si="77"/>
        <v>0</v>
      </c>
      <c r="N723" s="470" t="s">
        <v>347</v>
      </c>
      <c r="O723" s="470">
        <f t="shared" si="78"/>
        <v>0</v>
      </c>
      <c r="P723" s="37" t="str">
        <f t="shared" si="81"/>
        <v>1 + 0</v>
      </c>
      <c r="Q723" s="470" t="s">
        <v>346</v>
      </c>
      <c r="R723" s="37">
        <f t="shared" si="79"/>
        <v>0</v>
      </c>
      <c r="S723" s="470" t="s">
        <v>347</v>
      </c>
      <c r="T723" s="470">
        <f t="shared" si="80"/>
        <v>0</v>
      </c>
      <c r="U723" s="470" t="s">
        <v>346</v>
      </c>
      <c r="V723" s="111">
        <f>IF(OR(F723="none",G723="V"),0,VLOOKUP(F723,'Purchased Boons'!$AR$4:$AS$27,2,FALSE))</f>
        <v>0</v>
      </c>
      <c r="W723" s="39" t="s">
        <v>1629</v>
      </c>
      <c r="X723" s="37" t="s">
        <v>1659</v>
      </c>
      <c r="Y723" s="37" t="s">
        <v>5</v>
      </c>
      <c r="Z723" s="111">
        <v>90</v>
      </c>
    </row>
    <row r="724" spans="1:26" x14ac:dyDescent="0.25">
      <c r="A724" s="468" t="s">
        <v>1190</v>
      </c>
      <c r="B724" s="36" t="s">
        <v>362</v>
      </c>
      <c r="C724" s="469">
        <v>7</v>
      </c>
      <c r="D724" s="470" t="s">
        <v>20</v>
      </c>
      <c r="E724" s="37">
        <f t="shared" si="73"/>
        <v>1</v>
      </c>
      <c r="F724" s="470" t="s">
        <v>38</v>
      </c>
      <c r="G724" s="37">
        <f t="shared" si="74"/>
        <v>0</v>
      </c>
      <c r="H724" s="37" t="s">
        <v>494</v>
      </c>
      <c r="I724" s="37">
        <f t="shared" si="75"/>
        <v>0</v>
      </c>
      <c r="J724" s="37" t="s">
        <v>347</v>
      </c>
      <c r="K724" s="37">
        <f t="shared" si="76"/>
        <v>0</v>
      </c>
      <c r="L724" s="37" t="s">
        <v>494</v>
      </c>
      <c r="M724" s="37">
        <f t="shared" si="77"/>
        <v>0</v>
      </c>
      <c r="N724" s="470" t="s">
        <v>347</v>
      </c>
      <c r="O724" s="470">
        <f t="shared" si="78"/>
        <v>0</v>
      </c>
      <c r="P724" s="37" t="str">
        <f t="shared" si="81"/>
        <v>1 + 0</v>
      </c>
      <c r="Q724" s="470" t="s">
        <v>346</v>
      </c>
      <c r="R724" s="37">
        <f t="shared" si="79"/>
        <v>0</v>
      </c>
      <c r="S724" s="470" t="s">
        <v>347</v>
      </c>
      <c r="T724" s="470">
        <f t="shared" si="80"/>
        <v>0</v>
      </c>
      <c r="U724" s="470" t="s">
        <v>346</v>
      </c>
      <c r="V724" s="111">
        <f>IF(OR(F724="none",G724="V"),0,VLOOKUP(F724,'Purchased Boons'!$AR$4:$AS$27,2,FALSE))</f>
        <v>0</v>
      </c>
      <c r="W724" s="39" t="s">
        <v>1563</v>
      </c>
      <c r="X724" s="37" t="s">
        <v>1521</v>
      </c>
      <c r="Y724" s="37" t="s">
        <v>1045</v>
      </c>
      <c r="Z724" s="111">
        <v>86</v>
      </c>
    </row>
    <row r="725" spans="1:26" x14ac:dyDescent="0.25">
      <c r="A725" s="468" t="s">
        <v>1315</v>
      </c>
      <c r="B725" s="36" t="s">
        <v>166</v>
      </c>
      <c r="C725" s="469">
        <v>8</v>
      </c>
      <c r="D725" s="470" t="s">
        <v>16</v>
      </c>
      <c r="E725" s="37">
        <f t="shared" si="73"/>
        <v>1</v>
      </c>
      <c r="F725" s="470" t="s">
        <v>494</v>
      </c>
      <c r="G725" s="37">
        <f t="shared" si="74"/>
        <v>0</v>
      </c>
      <c r="H725" s="37" t="s">
        <v>494</v>
      </c>
      <c r="I725" s="37">
        <f t="shared" si="75"/>
        <v>0</v>
      </c>
      <c r="J725" s="37" t="s">
        <v>347</v>
      </c>
      <c r="K725" s="37">
        <f t="shared" si="76"/>
        <v>0</v>
      </c>
      <c r="L725" s="37" t="s">
        <v>494</v>
      </c>
      <c r="M725" s="37">
        <f t="shared" si="77"/>
        <v>0</v>
      </c>
      <c r="N725" s="470" t="s">
        <v>3573</v>
      </c>
      <c r="O725" s="470">
        <f t="shared" si="78"/>
        <v>2</v>
      </c>
      <c r="P725" s="37" t="str">
        <f t="shared" si="81"/>
        <v>3 + 0</v>
      </c>
      <c r="Q725" s="470" t="s">
        <v>346</v>
      </c>
      <c r="R725" s="37">
        <f t="shared" si="79"/>
        <v>0</v>
      </c>
      <c r="S725" s="470" t="s">
        <v>347</v>
      </c>
      <c r="T725" s="470">
        <f t="shared" si="80"/>
        <v>0</v>
      </c>
      <c r="U725" s="470" t="s">
        <v>346</v>
      </c>
      <c r="V725" s="111">
        <f>IF(OR(F725="none",G725="V"),0,VLOOKUP(F725,'Purchased Boons'!$AR$4:$AS$27,2,FALSE))</f>
        <v>0</v>
      </c>
      <c r="W725" s="39" t="s">
        <v>1601</v>
      </c>
      <c r="X725" s="37" t="s">
        <v>1665</v>
      </c>
      <c r="Y725" s="37" t="s">
        <v>5</v>
      </c>
      <c r="Z725" s="111">
        <v>107</v>
      </c>
    </row>
    <row r="726" spans="1:26" x14ac:dyDescent="0.25">
      <c r="A726" s="468" t="s">
        <v>1148</v>
      </c>
      <c r="B726" s="36" t="s">
        <v>353</v>
      </c>
      <c r="C726" s="469">
        <v>5</v>
      </c>
      <c r="D726" s="470" t="s">
        <v>21</v>
      </c>
      <c r="E726" s="37">
        <f t="shared" si="73"/>
        <v>1</v>
      </c>
      <c r="F726" s="470" t="s">
        <v>41</v>
      </c>
      <c r="G726" s="37">
        <f t="shared" si="74"/>
        <v>0</v>
      </c>
      <c r="H726" s="37" t="s">
        <v>494</v>
      </c>
      <c r="I726" s="37">
        <f t="shared" si="75"/>
        <v>0</v>
      </c>
      <c r="J726" s="37" t="s">
        <v>347</v>
      </c>
      <c r="K726" s="37">
        <f t="shared" si="76"/>
        <v>0</v>
      </c>
      <c r="L726" s="37" t="s">
        <v>494</v>
      </c>
      <c r="M726" s="37">
        <f t="shared" si="77"/>
        <v>0</v>
      </c>
      <c r="N726" s="470" t="s">
        <v>347</v>
      </c>
      <c r="O726" s="470">
        <f t="shared" si="78"/>
        <v>0</v>
      </c>
      <c r="P726" s="37" t="str">
        <f t="shared" si="81"/>
        <v>1 + 0</v>
      </c>
      <c r="Q726" s="470" t="s">
        <v>346</v>
      </c>
      <c r="R726" s="37">
        <f t="shared" si="79"/>
        <v>0</v>
      </c>
      <c r="S726" s="470" t="s">
        <v>347</v>
      </c>
      <c r="T726" s="470">
        <f t="shared" si="80"/>
        <v>0</v>
      </c>
      <c r="U726" s="470" t="s">
        <v>346</v>
      </c>
      <c r="V726" s="111">
        <f>IF(OR(F726="none",G726="V"),0,VLOOKUP(F726,'Purchased Boons'!$AR$4:$AS$27,2,FALSE))</f>
        <v>0</v>
      </c>
      <c r="W726" s="39" t="s">
        <v>1557</v>
      </c>
      <c r="X726" s="37" t="s">
        <v>1522</v>
      </c>
      <c r="Y726" s="37" t="s">
        <v>1045</v>
      </c>
      <c r="Z726" s="111">
        <v>71</v>
      </c>
    </row>
    <row r="727" spans="1:26" x14ac:dyDescent="0.25">
      <c r="A727" s="468" t="s">
        <v>1374</v>
      </c>
      <c r="B727" s="36" t="s">
        <v>1343</v>
      </c>
      <c r="C727" s="469">
        <v>6</v>
      </c>
      <c r="D727" s="470" t="s">
        <v>13</v>
      </c>
      <c r="E727" s="37">
        <f t="shared" si="73"/>
        <v>1</v>
      </c>
      <c r="F727" s="470" t="s">
        <v>56</v>
      </c>
      <c r="G727" s="37">
        <f t="shared" si="74"/>
        <v>0</v>
      </c>
      <c r="H727" s="37" t="s">
        <v>494</v>
      </c>
      <c r="I727" s="37">
        <f t="shared" si="75"/>
        <v>0</v>
      </c>
      <c r="J727" s="37" t="s">
        <v>347</v>
      </c>
      <c r="K727" s="37">
        <f t="shared" si="76"/>
        <v>0</v>
      </c>
      <c r="L727" s="37" t="s">
        <v>494</v>
      </c>
      <c r="M727" s="37">
        <f t="shared" si="77"/>
        <v>0</v>
      </c>
      <c r="N727" s="470" t="s">
        <v>347</v>
      </c>
      <c r="O727" s="470">
        <f t="shared" si="78"/>
        <v>0</v>
      </c>
      <c r="P727" s="37" t="str">
        <f t="shared" si="81"/>
        <v>1 + 0</v>
      </c>
      <c r="Q727" s="470" t="s">
        <v>346</v>
      </c>
      <c r="R727" s="37">
        <f t="shared" si="79"/>
        <v>0</v>
      </c>
      <c r="S727" s="470" t="s">
        <v>347</v>
      </c>
      <c r="T727" s="470">
        <f t="shared" si="80"/>
        <v>0</v>
      </c>
      <c r="U727" s="470" t="s">
        <v>346</v>
      </c>
      <c r="V727" s="111">
        <f>IF(OR(F727="none",G727="V"),0,VLOOKUP(F727,'Purchased Boons'!$AR$4:$AS$27,2,FALSE))</f>
        <v>0</v>
      </c>
      <c r="W727" s="39" t="s">
        <v>1055</v>
      </c>
      <c r="X727" s="37" t="s">
        <v>1678</v>
      </c>
      <c r="Y727" s="37" t="s">
        <v>1046</v>
      </c>
      <c r="Z727" s="111">
        <v>69</v>
      </c>
    </row>
    <row r="728" spans="1:26" x14ac:dyDescent="0.25">
      <c r="A728" s="468" t="s">
        <v>1118</v>
      </c>
      <c r="B728" s="36" t="s">
        <v>178</v>
      </c>
      <c r="C728" s="469">
        <v>1</v>
      </c>
      <c r="D728" s="470" t="s">
        <v>16</v>
      </c>
      <c r="E728" s="37">
        <f t="shared" si="73"/>
        <v>1</v>
      </c>
      <c r="F728" s="470" t="s">
        <v>41</v>
      </c>
      <c r="G728" s="37">
        <f t="shared" si="74"/>
        <v>0</v>
      </c>
      <c r="H728" s="37" t="s">
        <v>494</v>
      </c>
      <c r="I728" s="37">
        <f t="shared" si="75"/>
        <v>0</v>
      </c>
      <c r="J728" s="37" t="s">
        <v>347</v>
      </c>
      <c r="K728" s="37">
        <f t="shared" si="76"/>
        <v>0</v>
      </c>
      <c r="L728" s="37" t="s">
        <v>494</v>
      </c>
      <c r="M728" s="37">
        <f t="shared" si="77"/>
        <v>0</v>
      </c>
      <c r="N728" s="470" t="s">
        <v>347</v>
      </c>
      <c r="O728" s="470">
        <f t="shared" si="78"/>
        <v>0</v>
      </c>
      <c r="P728" s="37" t="str">
        <f t="shared" si="81"/>
        <v>1 + 0</v>
      </c>
      <c r="Q728" s="470" t="s">
        <v>346</v>
      </c>
      <c r="R728" s="37">
        <f t="shared" si="79"/>
        <v>0</v>
      </c>
      <c r="S728" s="470" t="s">
        <v>347</v>
      </c>
      <c r="T728" s="470">
        <f t="shared" si="80"/>
        <v>0</v>
      </c>
      <c r="U728" s="470" t="s">
        <v>346</v>
      </c>
      <c r="V728" s="111">
        <f>IF(OR(F728="none",G728="V"),0,VLOOKUP(F728,'Purchased Boons'!$AR$4:$AS$27,2,FALSE))</f>
        <v>0</v>
      </c>
      <c r="W728" s="39" t="s">
        <v>494</v>
      </c>
      <c r="X728" s="37" t="s">
        <v>1547</v>
      </c>
      <c r="Y728" s="37" t="s">
        <v>133</v>
      </c>
      <c r="Z728" s="111">
        <v>151</v>
      </c>
    </row>
    <row r="729" spans="1:26" x14ac:dyDescent="0.25">
      <c r="A729" s="468" t="s">
        <v>1314</v>
      </c>
      <c r="B729" s="36" t="s">
        <v>178</v>
      </c>
      <c r="C729" s="469">
        <v>10</v>
      </c>
      <c r="D729" s="470" t="s">
        <v>20</v>
      </c>
      <c r="E729" s="37">
        <f t="shared" si="73"/>
        <v>1</v>
      </c>
      <c r="F729" s="470" t="s">
        <v>41</v>
      </c>
      <c r="G729" s="37">
        <f t="shared" si="74"/>
        <v>0</v>
      </c>
      <c r="H729" s="37" t="s">
        <v>494</v>
      </c>
      <c r="I729" s="37">
        <f t="shared" si="75"/>
        <v>0</v>
      </c>
      <c r="J729" s="37" t="s">
        <v>347</v>
      </c>
      <c r="K729" s="37">
        <f t="shared" si="76"/>
        <v>0</v>
      </c>
      <c r="L729" s="37" t="s">
        <v>494</v>
      </c>
      <c r="M729" s="37">
        <f t="shared" si="77"/>
        <v>0</v>
      </c>
      <c r="N729" s="470" t="s">
        <v>347</v>
      </c>
      <c r="O729" s="470">
        <f t="shared" si="78"/>
        <v>0</v>
      </c>
      <c r="P729" s="37" t="str">
        <f t="shared" si="81"/>
        <v>1 + 0</v>
      </c>
      <c r="Q729" s="470" t="s">
        <v>346</v>
      </c>
      <c r="R729" s="37">
        <f t="shared" si="79"/>
        <v>0</v>
      </c>
      <c r="S729" s="470" t="s">
        <v>347</v>
      </c>
      <c r="T729" s="470">
        <f t="shared" si="80"/>
        <v>0</v>
      </c>
      <c r="U729" s="470" t="s">
        <v>346</v>
      </c>
      <c r="V729" s="111">
        <f>IF(OR(F729="none",G729="V"),0,VLOOKUP(F729,'Purchased Boons'!$AR$4:$AS$27,2,FALSE))</f>
        <v>0</v>
      </c>
      <c r="W729" s="39" t="s">
        <v>1648</v>
      </c>
      <c r="X729" s="37" t="s">
        <v>1586</v>
      </c>
      <c r="Y729" s="37" t="s">
        <v>5</v>
      </c>
      <c r="Z729" s="111">
        <v>106</v>
      </c>
    </row>
    <row r="730" spans="1:26" x14ac:dyDescent="0.25">
      <c r="A730" s="468" t="s">
        <v>1430</v>
      </c>
      <c r="B730" s="36" t="s">
        <v>168</v>
      </c>
      <c r="C730" s="469">
        <v>10</v>
      </c>
      <c r="D730" s="470" t="s">
        <v>494</v>
      </c>
      <c r="E730" s="37">
        <f t="shared" si="73"/>
        <v>0</v>
      </c>
      <c r="F730" s="470" t="s">
        <v>494</v>
      </c>
      <c r="G730" s="37">
        <f t="shared" si="74"/>
        <v>0</v>
      </c>
      <c r="H730" s="37" t="s">
        <v>494</v>
      </c>
      <c r="I730" s="37">
        <f t="shared" si="75"/>
        <v>0</v>
      </c>
      <c r="J730" s="37" t="s">
        <v>347</v>
      </c>
      <c r="K730" s="37">
        <f t="shared" si="76"/>
        <v>0</v>
      </c>
      <c r="L730" s="37" t="s">
        <v>494</v>
      </c>
      <c r="M730" s="37">
        <f t="shared" si="77"/>
        <v>0</v>
      </c>
      <c r="N730" s="470" t="s">
        <v>347</v>
      </c>
      <c r="O730" s="470">
        <f t="shared" si="78"/>
        <v>0</v>
      </c>
      <c r="P730" s="37" t="str">
        <f t="shared" si="81"/>
        <v>None</v>
      </c>
      <c r="Q730" s="470" t="s">
        <v>346</v>
      </c>
      <c r="R730" s="37">
        <f t="shared" si="79"/>
        <v>0</v>
      </c>
      <c r="S730" s="470" t="s">
        <v>347</v>
      </c>
      <c r="T730" s="470">
        <f t="shared" si="80"/>
        <v>0</v>
      </c>
      <c r="U730" s="470" t="s">
        <v>346</v>
      </c>
      <c r="V730" s="111">
        <f>IF(OR(F730="none",G730="V"),0,VLOOKUP(F730,'Purchased Boons'!$AR$4:$AS$27,2,FALSE))</f>
        <v>0</v>
      </c>
      <c r="W730" s="39" t="s">
        <v>1694</v>
      </c>
      <c r="X730" s="37" t="s">
        <v>1695</v>
      </c>
      <c r="Y730" s="37" t="s">
        <v>1046</v>
      </c>
      <c r="Z730" s="111">
        <v>99</v>
      </c>
    </row>
    <row r="731" spans="1:26" x14ac:dyDescent="0.25">
      <c r="A731" s="468" t="s">
        <v>1427</v>
      </c>
      <c r="B731" s="36" t="s">
        <v>168</v>
      </c>
      <c r="C731" s="469">
        <v>7</v>
      </c>
      <c r="D731" s="470" t="s">
        <v>494</v>
      </c>
      <c r="E731" s="37">
        <f t="shared" si="73"/>
        <v>0</v>
      </c>
      <c r="F731" s="470" t="s">
        <v>494</v>
      </c>
      <c r="G731" s="37">
        <f t="shared" si="74"/>
        <v>0</v>
      </c>
      <c r="H731" s="37" t="s">
        <v>494</v>
      </c>
      <c r="I731" s="37">
        <f t="shared" si="75"/>
        <v>0</v>
      </c>
      <c r="J731" s="37" t="s">
        <v>347</v>
      </c>
      <c r="K731" s="37">
        <f t="shared" si="76"/>
        <v>0</v>
      </c>
      <c r="L731" s="37" t="s">
        <v>494</v>
      </c>
      <c r="M731" s="37">
        <f t="shared" si="77"/>
        <v>0</v>
      </c>
      <c r="N731" s="470" t="s">
        <v>347</v>
      </c>
      <c r="O731" s="470">
        <f t="shared" si="78"/>
        <v>0</v>
      </c>
      <c r="P731" s="37" t="str">
        <f t="shared" si="81"/>
        <v>None</v>
      </c>
      <c r="Q731" s="470" t="s">
        <v>346</v>
      </c>
      <c r="R731" s="37">
        <f t="shared" si="79"/>
        <v>0</v>
      </c>
      <c r="S731" s="470" t="s">
        <v>347</v>
      </c>
      <c r="T731" s="470">
        <f t="shared" si="80"/>
        <v>0</v>
      </c>
      <c r="U731" s="470" t="s">
        <v>346</v>
      </c>
      <c r="V731" s="111">
        <f>IF(OR(F731="none",G731="V"),0,VLOOKUP(F731,'Purchased Boons'!$AR$4:$AS$27,2,FALSE))</f>
        <v>0</v>
      </c>
      <c r="W731" s="39" t="s">
        <v>1053</v>
      </c>
      <c r="X731" s="37" t="s">
        <v>494</v>
      </c>
      <c r="Y731" s="37" t="s">
        <v>1046</v>
      </c>
      <c r="Z731" s="111">
        <v>98</v>
      </c>
    </row>
    <row r="732" spans="1:26" x14ac:dyDescent="0.25">
      <c r="A732" s="468" t="s">
        <v>1177</v>
      </c>
      <c r="B732" s="36" t="s">
        <v>108</v>
      </c>
      <c r="C732" s="469">
        <v>6</v>
      </c>
      <c r="D732" s="470" t="s">
        <v>20</v>
      </c>
      <c r="E732" s="37">
        <f t="shared" si="73"/>
        <v>1</v>
      </c>
      <c r="F732" s="470" t="s">
        <v>47</v>
      </c>
      <c r="G732" s="37">
        <f t="shared" si="74"/>
        <v>0</v>
      </c>
      <c r="H732" s="37" t="s">
        <v>494</v>
      </c>
      <c r="I732" s="37">
        <f t="shared" si="75"/>
        <v>0</v>
      </c>
      <c r="J732" s="37" t="s">
        <v>347</v>
      </c>
      <c r="K732" s="37">
        <f t="shared" si="76"/>
        <v>0</v>
      </c>
      <c r="L732" s="37" t="s">
        <v>494</v>
      </c>
      <c r="M732" s="37">
        <f t="shared" si="77"/>
        <v>0</v>
      </c>
      <c r="N732" s="470" t="s">
        <v>347</v>
      </c>
      <c r="O732" s="470">
        <f t="shared" si="78"/>
        <v>0</v>
      </c>
      <c r="P732" s="37" t="str">
        <f t="shared" si="81"/>
        <v>1 + 0</v>
      </c>
      <c r="Q732" s="470" t="s">
        <v>346</v>
      </c>
      <c r="R732" s="37">
        <f t="shared" si="79"/>
        <v>0</v>
      </c>
      <c r="S732" s="470" t="s">
        <v>347</v>
      </c>
      <c r="T732" s="470">
        <f t="shared" si="80"/>
        <v>0</v>
      </c>
      <c r="U732" s="470" t="s">
        <v>346</v>
      </c>
      <c r="V732" s="111">
        <f>IF(OR(F732="none",G732="V"),0,VLOOKUP(F732,'Purchased Boons'!$AR$4:$AS$27,2,FALSE))</f>
        <v>0</v>
      </c>
      <c r="W732" s="39" t="s">
        <v>1050</v>
      </c>
      <c r="X732" s="37" t="s">
        <v>1585</v>
      </c>
      <c r="Y732" s="37" t="s">
        <v>1045</v>
      </c>
      <c r="Z732" s="111">
        <v>81</v>
      </c>
    </row>
    <row r="733" spans="1:26" x14ac:dyDescent="0.25">
      <c r="A733" s="468" t="s">
        <v>1358</v>
      </c>
      <c r="B733" s="36" t="s">
        <v>366</v>
      </c>
      <c r="C733" s="469">
        <v>4</v>
      </c>
      <c r="D733" s="470" t="s">
        <v>494</v>
      </c>
      <c r="E733" s="37">
        <f t="shared" si="73"/>
        <v>0</v>
      </c>
      <c r="F733" s="470" t="s">
        <v>494</v>
      </c>
      <c r="G733" s="37">
        <f t="shared" si="74"/>
        <v>0</v>
      </c>
      <c r="H733" s="37" t="s">
        <v>494</v>
      </c>
      <c r="I733" s="37">
        <f t="shared" si="75"/>
        <v>0</v>
      </c>
      <c r="J733" s="37" t="s">
        <v>347</v>
      </c>
      <c r="K733" s="37">
        <f t="shared" si="76"/>
        <v>0</v>
      </c>
      <c r="L733" s="37" t="s">
        <v>494</v>
      </c>
      <c r="M733" s="37">
        <f t="shared" si="77"/>
        <v>0</v>
      </c>
      <c r="N733" s="470" t="s">
        <v>347</v>
      </c>
      <c r="O733" s="470">
        <f t="shared" si="78"/>
        <v>0</v>
      </c>
      <c r="P733" s="37" t="str">
        <f t="shared" si="81"/>
        <v>None</v>
      </c>
      <c r="Q733" s="470" t="s">
        <v>346</v>
      </c>
      <c r="R733" s="37">
        <f t="shared" si="79"/>
        <v>0</v>
      </c>
      <c r="S733" s="470" t="s">
        <v>347</v>
      </c>
      <c r="T733" s="470">
        <f t="shared" si="80"/>
        <v>0</v>
      </c>
      <c r="U733" s="470" t="s">
        <v>346</v>
      </c>
      <c r="V733" s="111">
        <f>IF(OR(F733="none",G733="V"),0,VLOOKUP(F733,'Purchased Boons'!$AR$4:$AS$27,2,FALSE))</f>
        <v>0</v>
      </c>
      <c r="W733" s="39" t="s">
        <v>1063</v>
      </c>
      <c r="X733" s="37" t="s">
        <v>494</v>
      </c>
      <c r="Y733" s="37" t="s">
        <v>1046</v>
      </c>
      <c r="Z733" s="111">
        <v>20</v>
      </c>
    </row>
    <row r="734" spans="1:26" x14ac:dyDescent="0.25">
      <c r="A734" s="468" t="s">
        <v>1286</v>
      </c>
      <c r="B734" s="36" t="s">
        <v>362</v>
      </c>
      <c r="C734" s="469">
        <v>8</v>
      </c>
      <c r="D734" s="470" t="s">
        <v>494</v>
      </c>
      <c r="E734" s="37">
        <f t="shared" si="73"/>
        <v>0</v>
      </c>
      <c r="F734" s="470" t="s">
        <v>494</v>
      </c>
      <c r="G734" s="37">
        <f t="shared" si="74"/>
        <v>0</v>
      </c>
      <c r="H734" s="37" t="s">
        <v>494</v>
      </c>
      <c r="I734" s="37">
        <f t="shared" si="75"/>
        <v>0</v>
      </c>
      <c r="J734" s="37" t="s">
        <v>347</v>
      </c>
      <c r="K734" s="37">
        <f t="shared" si="76"/>
        <v>0</v>
      </c>
      <c r="L734" s="37" t="s">
        <v>494</v>
      </c>
      <c r="M734" s="37">
        <f t="shared" si="77"/>
        <v>0</v>
      </c>
      <c r="N734" s="470" t="s">
        <v>347</v>
      </c>
      <c r="O734" s="470">
        <f t="shared" si="78"/>
        <v>0</v>
      </c>
      <c r="P734" s="37" t="str">
        <f t="shared" si="81"/>
        <v>None</v>
      </c>
      <c r="Q734" s="470" t="s">
        <v>346</v>
      </c>
      <c r="R734" s="37">
        <f t="shared" si="79"/>
        <v>0</v>
      </c>
      <c r="S734" s="470" t="s">
        <v>347</v>
      </c>
      <c r="T734" s="470">
        <f t="shared" si="80"/>
        <v>0</v>
      </c>
      <c r="U734" s="470" t="s">
        <v>346</v>
      </c>
      <c r="V734" s="111">
        <f>IF(OR(F734="none",G734="V"),0,VLOOKUP(F734,'Purchased Boons'!$AR$4:$AS$27,2,FALSE))</f>
        <v>0</v>
      </c>
      <c r="W734" s="39" t="s">
        <v>1640</v>
      </c>
      <c r="X734" s="37" t="s">
        <v>494</v>
      </c>
      <c r="Y734" s="37" t="s">
        <v>5</v>
      </c>
      <c r="Z734" s="111">
        <v>97</v>
      </c>
    </row>
    <row r="735" spans="1:26" x14ac:dyDescent="0.25">
      <c r="A735" s="468" t="s">
        <v>1143</v>
      </c>
      <c r="B735" s="36" t="s">
        <v>352</v>
      </c>
      <c r="C735" s="469">
        <v>4</v>
      </c>
      <c r="D735" s="470" t="s">
        <v>20</v>
      </c>
      <c r="E735" s="37">
        <f t="shared" si="73"/>
        <v>1</v>
      </c>
      <c r="F735" s="470" t="s">
        <v>36</v>
      </c>
      <c r="G735" s="37">
        <f t="shared" si="74"/>
        <v>0</v>
      </c>
      <c r="H735" s="37" t="s">
        <v>494</v>
      </c>
      <c r="I735" s="37">
        <f t="shared" si="75"/>
        <v>0</v>
      </c>
      <c r="J735" s="37" t="s">
        <v>347</v>
      </c>
      <c r="K735" s="37">
        <f t="shared" si="76"/>
        <v>0</v>
      </c>
      <c r="L735" s="37" t="s">
        <v>494</v>
      </c>
      <c r="M735" s="37">
        <f t="shared" si="77"/>
        <v>0</v>
      </c>
      <c r="N735" s="470" t="s">
        <v>347</v>
      </c>
      <c r="O735" s="470">
        <f t="shared" si="78"/>
        <v>0</v>
      </c>
      <c r="P735" s="37" t="str">
        <f t="shared" si="81"/>
        <v>1 + 0</v>
      </c>
      <c r="Q735" s="470" t="s">
        <v>346</v>
      </c>
      <c r="R735" s="37">
        <f t="shared" si="79"/>
        <v>0</v>
      </c>
      <c r="S735" s="470" t="s">
        <v>347</v>
      </c>
      <c r="T735" s="470">
        <f t="shared" si="80"/>
        <v>0</v>
      </c>
      <c r="U735" s="470" t="s">
        <v>346</v>
      </c>
      <c r="V735" s="111">
        <f>IF(OR(F735="none",G735="V"),0,VLOOKUP(F735,'Purchased Boons'!$AR$4:$AS$27,2,FALSE))</f>
        <v>0</v>
      </c>
      <c r="W735" s="39" t="s">
        <v>1050</v>
      </c>
      <c r="X735" s="37" t="s">
        <v>1516</v>
      </c>
      <c r="Y735" s="37" t="s">
        <v>1045</v>
      </c>
      <c r="Z735" s="111">
        <v>70</v>
      </c>
    </row>
    <row r="736" spans="1:26" x14ac:dyDescent="0.25">
      <c r="A736" s="468" t="s">
        <v>1387</v>
      </c>
      <c r="B736" s="36" t="s">
        <v>356</v>
      </c>
      <c r="C736" s="469">
        <v>4</v>
      </c>
      <c r="D736" s="470" t="s">
        <v>494</v>
      </c>
      <c r="E736" s="37">
        <f t="shared" si="73"/>
        <v>0</v>
      </c>
      <c r="F736" s="470" t="s">
        <v>494</v>
      </c>
      <c r="G736" s="37">
        <f t="shared" si="74"/>
        <v>0</v>
      </c>
      <c r="H736" s="37" t="s">
        <v>494</v>
      </c>
      <c r="I736" s="37">
        <f t="shared" si="75"/>
        <v>0</v>
      </c>
      <c r="J736" s="37" t="s">
        <v>347</v>
      </c>
      <c r="K736" s="37">
        <f t="shared" si="76"/>
        <v>0</v>
      </c>
      <c r="L736" s="37" t="s">
        <v>494</v>
      </c>
      <c r="M736" s="37">
        <f t="shared" si="77"/>
        <v>0</v>
      </c>
      <c r="N736" s="470" t="s">
        <v>347</v>
      </c>
      <c r="O736" s="470">
        <f t="shared" si="78"/>
        <v>0</v>
      </c>
      <c r="P736" s="37" t="str">
        <f t="shared" si="81"/>
        <v>None</v>
      </c>
      <c r="Q736" s="470" t="s">
        <v>346</v>
      </c>
      <c r="R736" s="37">
        <f t="shared" si="79"/>
        <v>0</v>
      </c>
      <c r="S736" s="470" t="s">
        <v>347</v>
      </c>
      <c r="T736" s="470">
        <f t="shared" si="80"/>
        <v>0</v>
      </c>
      <c r="U736" s="470" t="s">
        <v>346</v>
      </c>
      <c r="V736" s="111">
        <f>IF(OR(F736="none",G736="V"),0,VLOOKUP(F736,'Purchased Boons'!$AR$4:$AS$27,2,FALSE))</f>
        <v>0</v>
      </c>
      <c r="W736" s="39" t="s">
        <v>1054</v>
      </c>
      <c r="X736" s="37" t="s">
        <v>494</v>
      </c>
      <c r="Y736" s="37" t="s">
        <v>1046</v>
      </c>
      <c r="Z736" s="111">
        <v>72</v>
      </c>
    </row>
    <row r="737" spans="1:26" x14ac:dyDescent="0.25">
      <c r="A737" s="468" t="s">
        <v>1147</v>
      </c>
      <c r="B737" s="36" t="s">
        <v>353</v>
      </c>
      <c r="C737" s="469">
        <v>4</v>
      </c>
      <c r="D737" s="470" t="s">
        <v>20</v>
      </c>
      <c r="E737" s="37">
        <f t="shared" si="73"/>
        <v>1</v>
      </c>
      <c r="F737" s="470" t="s">
        <v>57</v>
      </c>
      <c r="G737" s="37">
        <f t="shared" si="74"/>
        <v>0</v>
      </c>
      <c r="H737" s="37" t="s">
        <v>494</v>
      </c>
      <c r="I737" s="37">
        <f t="shared" si="75"/>
        <v>0</v>
      </c>
      <c r="J737" s="37" t="s">
        <v>347</v>
      </c>
      <c r="K737" s="37">
        <f t="shared" si="76"/>
        <v>0</v>
      </c>
      <c r="L737" s="37" t="s">
        <v>494</v>
      </c>
      <c r="M737" s="37">
        <f t="shared" si="77"/>
        <v>0</v>
      </c>
      <c r="N737" s="470" t="s">
        <v>347</v>
      </c>
      <c r="O737" s="470">
        <f t="shared" si="78"/>
        <v>0</v>
      </c>
      <c r="P737" s="37" t="str">
        <f t="shared" si="81"/>
        <v>1 + 0</v>
      </c>
      <c r="Q737" s="470" t="s">
        <v>346</v>
      </c>
      <c r="R737" s="37">
        <f t="shared" si="79"/>
        <v>0</v>
      </c>
      <c r="S737" s="470" t="s">
        <v>347</v>
      </c>
      <c r="T737" s="470">
        <f t="shared" si="80"/>
        <v>0</v>
      </c>
      <c r="U737" s="470" t="s">
        <v>346</v>
      </c>
      <c r="V737" s="111">
        <f>IF(OR(F737="none",G737="V"),0,VLOOKUP(F737,'Purchased Boons'!$AR$4:$AS$27,2,FALSE))</f>
        <v>0</v>
      </c>
      <c r="W737" s="39" t="s">
        <v>1601</v>
      </c>
      <c r="X737" s="37" t="s">
        <v>1579</v>
      </c>
      <c r="Y737" s="37" t="s">
        <v>1045</v>
      </c>
      <c r="Z737" s="111">
        <v>71</v>
      </c>
    </row>
    <row r="738" spans="1:26" x14ac:dyDescent="0.25">
      <c r="A738" s="468" t="s">
        <v>1220</v>
      </c>
      <c r="B738" s="36" t="s">
        <v>166</v>
      </c>
      <c r="C738" s="469">
        <v>5</v>
      </c>
      <c r="D738" s="470" t="s">
        <v>494</v>
      </c>
      <c r="E738" s="37">
        <f t="shared" si="73"/>
        <v>0</v>
      </c>
      <c r="F738" s="470" t="s">
        <v>494</v>
      </c>
      <c r="G738" s="37">
        <f t="shared" si="74"/>
        <v>0</v>
      </c>
      <c r="H738" s="37" t="s">
        <v>494</v>
      </c>
      <c r="I738" s="37">
        <f t="shared" si="75"/>
        <v>0</v>
      </c>
      <c r="J738" s="37" t="s">
        <v>347</v>
      </c>
      <c r="K738" s="37">
        <f t="shared" si="76"/>
        <v>0</v>
      </c>
      <c r="L738" s="37" t="s">
        <v>167</v>
      </c>
      <c r="M738" s="37">
        <f t="shared" si="77"/>
        <v>0</v>
      </c>
      <c r="N738" s="470" t="s">
        <v>347</v>
      </c>
      <c r="O738" s="470">
        <f t="shared" si="78"/>
        <v>0</v>
      </c>
      <c r="P738" s="37" t="str">
        <f t="shared" si="81"/>
        <v>0 + 0</v>
      </c>
      <c r="Q738" s="470" t="s">
        <v>346</v>
      </c>
      <c r="R738" s="37">
        <f t="shared" si="79"/>
        <v>0</v>
      </c>
      <c r="S738" s="470" t="s">
        <v>347</v>
      </c>
      <c r="T738" s="470">
        <f t="shared" si="80"/>
        <v>0</v>
      </c>
      <c r="U738" s="470" t="s">
        <v>346</v>
      </c>
      <c r="V738" s="111">
        <f>IF(OR(F738="none",G738="V"),0,VLOOKUP(F738,'Purchased Boons'!$AR$4:$AS$27,2,FALSE))</f>
        <v>0</v>
      </c>
      <c r="W738" s="39" t="s">
        <v>1601</v>
      </c>
      <c r="X738" s="37" t="s">
        <v>167</v>
      </c>
      <c r="Y738" s="37" t="s">
        <v>1045</v>
      </c>
      <c r="Z738" s="111">
        <v>94</v>
      </c>
    </row>
    <row r="739" spans="1:26" x14ac:dyDescent="0.25">
      <c r="A739" s="468" t="s">
        <v>1076</v>
      </c>
      <c r="B739" s="36" t="s">
        <v>356</v>
      </c>
      <c r="C739" s="469">
        <v>1</v>
      </c>
      <c r="D739" s="470" t="s">
        <v>494</v>
      </c>
      <c r="E739" s="37">
        <f t="shared" si="73"/>
        <v>0</v>
      </c>
      <c r="F739" s="470" t="s">
        <v>494</v>
      </c>
      <c r="G739" s="37">
        <f t="shared" si="74"/>
        <v>0</v>
      </c>
      <c r="H739" s="37" t="s">
        <v>494</v>
      </c>
      <c r="I739" s="37">
        <f t="shared" si="75"/>
        <v>0</v>
      </c>
      <c r="J739" s="37" t="s">
        <v>347</v>
      </c>
      <c r="K739" s="37">
        <f t="shared" si="76"/>
        <v>0</v>
      </c>
      <c r="L739" s="37" t="s">
        <v>494</v>
      </c>
      <c r="M739" s="37">
        <f t="shared" si="77"/>
        <v>0</v>
      </c>
      <c r="N739" s="470" t="s">
        <v>347</v>
      </c>
      <c r="O739" s="470">
        <f t="shared" si="78"/>
        <v>0</v>
      </c>
      <c r="P739" s="37" t="str">
        <f t="shared" si="81"/>
        <v>None</v>
      </c>
      <c r="Q739" s="470" t="s">
        <v>346</v>
      </c>
      <c r="R739" s="37">
        <f t="shared" si="79"/>
        <v>0</v>
      </c>
      <c r="S739" s="470" t="s">
        <v>347</v>
      </c>
      <c r="T739" s="470">
        <f t="shared" si="80"/>
        <v>0</v>
      </c>
      <c r="U739" s="470" t="s">
        <v>346</v>
      </c>
      <c r="V739" s="111">
        <f>IF(OR(F739="none",G739="V"),0,VLOOKUP(F739,'Purchased Boons'!$AR$4:$AS$27,2,FALSE))</f>
        <v>0</v>
      </c>
      <c r="W739" s="39" t="s">
        <v>1764</v>
      </c>
      <c r="X739" s="37" t="s">
        <v>1764</v>
      </c>
      <c r="Y739" s="37" t="s">
        <v>133</v>
      </c>
      <c r="Z739" s="111">
        <v>141</v>
      </c>
    </row>
    <row r="740" spans="1:26" x14ac:dyDescent="0.25">
      <c r="A740" s="468" t="s">
        <v>1273</v>
      </c>
      <c r="B740" s="36" t="s">
        <v>359</v>
      </c>
      <c r="C740" s="469">
        <v>10</v>
      </c>
      <c r="D740" s="470" t="s">
        <v>494</v>
      </c>
      <c r="E740" s="37">
        <f t="shared" si="73"/>
        <v>0</v>
      </c>
      <c r="F740" s="470" t="s">
        <v>494</v>
      </c>
      <c r="G740" s="37">
        <f t="shared" si="74"/>
        <v>0</v>
      </c>
      <c r="H740" s="37" t="s">
        <v>494</v>
      </c>
      <c r="I740" s="37">
        <f t="shared" si="75"/>
        <v>0</v>
      </c>
      <c r="J740" s="37" t="s">
        <v>347</v>
      </c>
      <c r="K740" s="37">
        <f t="shared" si="76"/>
        <v>0</v>
      </c>
      <c r="L740" s="37" t="s">
        <v>494</v>
      </c>
      <c r="M740" s="37">
        <f t="shared" si="77"/>
        <v>0</v>
      </c>
      <c r="N740" s="470" t="s">
        <v>347</v>
      </c>
      <c r="O740" s="470">
        <f t="shared" si="78"/>
        <v>0</v>
      </c>
      <c r="P740" s="37" t="str">
        <f t="shared" si="81"/>
        <v>None</v>
      </c>
      <c r="Q740" s="470" t="s">
        <v>346</v>
      </c>
      <c r="R740" s="37">
        <f t="shared" si="79"/>
        <v>0</v>
      </c>
      <c r="S740" s="470" t="s">
        <v>347</v>
      </c>
      <c r="T740" s="470">
        <f t="shared" si="80"/>
        <v>0</v>
      </c>
      <c r="U740" s="470" t="s">
        <v>346</v>
      </c>
      <c r="V740" s="111">
        <f>IF(OR(F740="none",G740="V"),0,VLOOKUP(F740,'Purchased Boons'!$AR$4:$AS$27,2,FALSE))</f>
        <v>0</v>
      </c>
      <c r="W740" s="39" t="s">
        <v>1631</v>
      </c>
      <c r="X740" s="37" t="s">
        <v>494</v>
      </c>
      <c r="Y740" s="37" t="s">
        <v>5</v>
      </c>
      <c r="Z740" s="111">
        <v>91</v>
      </c>
    </row>
    <row r="741" spans="1:26" x14ac:dyDescent="0.25">
      <c r="A741" s="468" t="s">
        <v>1439</v>
      </c>
      <c r="B741" s="36" t="s">
        <v>170</v>
      </c>
      <c r="C741" s="469">
        <v>9</v>
      </c>
      <c r="D741" s="470" t="s">
        <v>494</v>
      </c>
      <c r="E741" s="37">
        <f t="shared" si="73"/>
        <v>0</v>
      </c>
      <c r="F741" s="470" t="s">
        <v>494</v>
      </c>
      <c r="G741" s="37">
        <f t="shared" si="74"/>
        <v>0</v>
      </c>
      <c r="H741" s="37" t="s">
        <v>494</v>
      </c>
      <c r="I741" s="37">
        <f t="shared" si="75"/>
        <v>0</v>
      </c>
      <c r="J741" s="37" t="s">
        <v>347</v>
      </c>
      <c r="K741" s="37">
        <f t="shared" si="76"/>
        <v>0</v>
      </c>
      <c r="L741" s="37" t="s">
        <v>494</v>
      </c>
      <c r="M741" s="37">
        <f t="shared" si="77"/>
        <v>0</v>
      </c>
      <c r="N741" s="470" t="s">
        <v>347</v>
      </c>
      <c r="O741" s="470">
        <f t="shared" si="78"/>
        <v>0</v>
      </c>
      <c r="P741" s="37" t="str">
        <f t="shared" si="81"/>
        <v>None</v>
      </c>
      <c r="Q741" s="470" t="s">
        <v>346</v>
      </c>
      <c r="R741" s="37">
        <f t="shared" si="79"/>
        <v>0</v>
      </c>
      <c r="S741" s="470" t="s">
        <v>347</v>
      </c>
      <c r="T741" s="470">
        <f t="shared" si="80"/>
        <v>0</v>
      </c>
      <c r="U741" s="470" t="s">
        <v>346</v>
      </c>
      <c r="V741" s="111">
        <f>IF(OR(F741="none",G741="V"),0,VLOOKUP(F741,'Purchased Boons'!$AR$4:$AS$27,2,FALSE))</f>
        <v>0</v>
      </c>
      <c r="W741" s="39" t="s">
        <v>1698</v>
      </c>
      <c r="X741" s="37" t="s">
        <v>494</v>
      </c>
      <c r="Y741" s="37" t="s">
        <v>1046</v>
      </c>
      <c r="Z741" s="111">
        <v>175</v>
      </c>
    </row>
    <row r="742" spans="1:26" x14ac:dyDescent="0.25">
      <c r="A742" s="468" t="s">
        <v>1415</v>
      </c>
      <c r="B742" s="36" t="s">
        <v>371</v>
      </c>
      <c r="C742" s="469">
        <v>5</v>
      </c>
      <c r="D742" s="470" t="s">
        <v>16</v>
      </c>
      <c r="E742" s="37">
        <f t="shared" si="73"/>
        <v>1</v>
      </c>
      <c r="F742" s="470" t="s">
        <v>51</v>
      </c>
      <c r="G742" s="37">
        <f t="shared" si="74"/>
        <v>0</v>
      </c>
      <c r="H742" s="37" t="s">
        <v>494</v>
      </c>
      <c r="I742" s="37">
        <f t="shared" si="75"/>
        <v>0</v>
      </c>
      <c r="J742" s="37" t="s">
        <v>347</v>
      </c>
      <c r="K742" s="37">
        <f t="shared" si="76"/>
        <v>0</v>
      </c>
      <c r="L742" s="37" t="s">
        <v>494</v>
      </c>
      <c r="M742" s="37">
        <f t="shared" si="77"/>
        <v>0</v>
      </c>
      <c r="N742" s="470" t="s">
        <v>347</v>
      </c>
      <c r="O742" s="470">
        <f t="shared" si="78"/>
        <v>0</v>
      </c>
      <c r="P742" s="37" t="str">
        <f t="shared" si="81"/>
        <v>1 + 0</v>
      </c>
      <c r="Q742" s="470" t="s">
        <v>346</v>
      </c>
      <c r="R742" s="37">
        <f t="shared" si="79"/>
        <v>0</v>
      </c>
      <c r="S742" s="470" t="s">
        <v>347</v>
      </c>
      <c r="T742" s="470">
        <f t="shared" si="80"/>
        <v>0</v>
      </c>
      <c r="U742" s="470" t="s">
        <v>346</v>
      </c>
      <c r="V742" s="111">
        <f>IF(OR(F742="none",G742="V"),0,VLOOKUP(F742,'Purchased Boons'!$AR$4:$AS$27,2,FALSE))</f>
        <v>0</v>
      </c>
      <c r="W742" s="39" t="s">
        <v>1690</v>
      </c>
      <c r="X742" s="37" t="s">
        <v>1536</v>
      </c>
      <c r="Y742" s="37" t="s">
        <v>1046</v>
      </c>
      <c r="Z742" s="111">
        <v>81</v>
      </c>
    </row>
    <row r="743" spans="1:26" x14ac:dyDescent="0.25">
      <c r="A743" s="468" t="s">
        <v>1279</v>
      </c>
      <c r="B743" s="36" t="s">
        <v>360</v>
      </c>
      <c r="C743" s="469">
        <v>8</v>
      </c>
      <c r="D743" s="470" t="s">
        <v>16</v>
      </c>
      <c r="E743" s="37">
        <f t="shared" si="73"/>
        <v>1</v>
      </c>
      <c r="F743" s="470" t="s">
        <v>40</v>
      </c>
      <c r="G743" s="37">
        <f t="shared" si="74"/>
        <v>0</v>
      </c>
      <c r="H743" s="37" t="s">
        <v>494</v>
      </c>
      <c r="I743" s="37">
        <f t="shared" si="75"/>
        <v>0</v>
      </c>
      <c r="J743" s="37" t="s">
        <v>347</v>
      </c>
      <c r="K743" s="37">
        <f t="shared" si="76"/>
        <v>0</v>
      </c>
      <c r="L743" s="37" t="s">
        <v>494</v>
      </c>
      <c r="M743" s="37">
        <f t="shared" si="77"/>
        <v>0</v>
      </c>
      <c r="N743" s="470" t="s">
        <v>3573</v>
      </c>
      <c r="O743" s="470">
        <f t="shared" si="78"/>
        <v>2</v>
      </c>
      <c r="P743" s="37" t="str">
        <f t="shared" si="81"/>
        <v>3 + 0</v>
      </c>
      <c r="Q743" s="470" t="s">
        <v>346</v>
      </c>
      <c r="R743" s="37">
        <f t="shared" si="79"/>
        <v>0</v>
      </c>
      <c r="S743" s="470" t="s">
        <v>347</v>
      </c>
      <c r="T743" s="470">
        <f t="shared" si="80"/>
        <v>0</v>
      </c>
      <c r="U743" s="470" t="s">
        <v>346</v>
      </c>
      <c r="V743" s="111">
        <f>IF(OR(F743="none",G743="V"),0,VLOOKUP(F743,'Purchased Boons'!$AR$4:$AS$27,2,FALSE))</f>
        <v>0</v>
      </c>
      <c r="W743" s="39" t="s">
        <v>1053</v>
      </c>
      <c r="X743" s="37" t="s">
        <v>1526</v>
      </c>
      <c r="Y743" s="37" t="s">
        <v>5</v>
      </c>
      <c r="Z743" s="111">
        <v>93</v>
      </c>
    </row>
    <row r="744" spans="1:26" x14ac:dyDescent="0.25">
      <c r="A744" s="468" t="s">
        <v>1180</v>
      </c>
      <c r="B744" s="36" t="s">
        <v>360</v>
      </c>
      <c r="C744" s="469">
        <v>5</v>
      </c>
      <c r="D744" s="470" t="s">
        <v>494</v>
      </c>
      <c r="E744" s="37">
        <f t="shared" ref="E744:E807" si="82">VLOOKUP(D744,$AC$2:$AD$12,2,FALSE)</f>
        <v>0</v>
      </c>
      <c r="F744" s="470" t="s">
        <v>494</v>
      </c>
      <c r="G744" s="37">
        <f t="shared" ref="G744:G807" si="83">VLOOKUP(F744,$AF$2:$AH$27,2,FALSE)</f>
        <v>0</v>
      </c>
      <c r="H744" s="37" t="s">
        <v>494</v>
      </c>
      <c r="I744" s="37">
        <f t="shared" ref="I744:I807" si="84">VLOOKUP(H744,$AI$2:$AJ$42,2,FALSE)</f>
        <v>0</v>
      </c>
      <c r="J744" s="37" t="s">
        <v>347</v>
      </c>
      <c r="K744" s="37">
        <f t="shared" ref="K744:K807" si="85">IF(J744="Yes",$AJ$56,0)</f>
        <v>0</v>
      </c>
      <c r="L744" s="37" t="s">
        <v>494</v>
      </c>
      <c r="M744" s="37">
        <f t="shared" ref="M744:M807" si="86">VLOOKUP(L744,$AI$43:$AJ$55,2,FALSE)</f>
        <v>0</v>
      </c>
      <c r="N744" s="470" t="s">
        <v>347</v>
      </c>
      <c r="O744" s="470">
        <f t="shared" ref="O744:O807" si="87">IF(N744="Yes",$AJ$57,0)</f>
        <v>0</v>
      </c>
      <c r="P744" s="37" t="str">
        <f t="shared" si="81"/>
        <v>None</v>
      </c>
      <c r="Q744" s="470" t="s">
        <v>346</v>
      </c>
      <c r="R744" s="37">
        <f t="shared" ref="R744:R807" si="88">IF(Q744="Yes",VLOOKUP(D744,$AC$2:$AE$12,3,FALSE),0)</f>
        <v>0</v>
      </c>
      <c r="S744" s="470" t="s">
        <v>347</v>
      </c>
      <c r="T744" s="470">
        <f t="shared" ref="T744:T807" si="89">IF(S744="Yes",$AJ$57,0)</f>
        <v>0</v>
      </c>
      <c r="U744" s="470" t="s">
        <v>346</v>
      </c>
      <c r="V744" s="111">
        <f>IF(OR(F744="none",G744="V"),0,VLOOKUP(F744,'Purchased Boons'!$AR$4:$AS$27,2,FALSE))</f>
        <v>0</v>
      </c>
      <c r="W744" s="39" t="s">
        <v>1602</v>
      </c>
      <c r="X744" s="37" t="s">
        <v>494</v>
      </c>
      <c r="Y744" s="37" t="s">
        <v>1045</v>
      </c>
      <c r="Z744" s="111">
        <v>82</v>
      </c>
    </row>
    <row r="745" spans="1:26" x14ac:dyDescent="0.25">
      <c r="A745" s="468" t="s">
        <v>1325</v>
      </c>
      <c r="B745" s="36" t="s">
        <v>371</v>
      </c>
      <c r="C745" s="469">
        <v>9</v>
      </c>
      <c r="D745" s="470" t="s">
        <v>16</v>
      </c>
      <c r="E745" s="37">
        <f t="shared" si="82"/>
        <v>1</v>
      </c>
      <c r="F745" s="470" t="s">
        <v>49</v>
      </c>
      <c r="G745" s="37">
        <f t="shared" si="83"/>
        <v>0</v>
      </c>
      <c r="H745" s="37" t="s">
        <v>494</v>
      </c>
      <c r="I745" s="37">
        <f t="shared" si="84"/>
        <v>0</v>
      </c>
      <c r="J745" s="37" t="s">
        <v>347</v>
      </c>
      <c r="K745" s="37">
        <f t="shared" si="85"/>
        <v>0</v>
      </c>
      <c r="L745" s="37" t="s">
        <v>494</v>
      </c>
      <c r="M745" s="37">
        <f t="shared" si="86"/>
        <v>0</v>
      </c>
      <c r="N745" s="470" t="s">
        <v>347</v>
      </c>
      <c r="O745" s="470">
        <f t="shared" si="87"/>
        <v>0</v>
      </c>
      <c r="P745" s="37" t="str">
        <f t="shared" si="81"/>
        <v>1 + 0</v>
      </c>
      <c r="Q745" s="470" t="s">
        <v>346</v>
      </c>
      <c r="R745" s="37">
        <f t="shared" si="88"/>
        <v>0</v>
      </c>
      <c r="S745" s="470" t="s">
        <v>347</v>
      </c>
      <c r="T745" s="470">
        <f t="shared" si="89"/>
        <v>0</v>
      </c>
      <c r="U745" s="470" t="s">
        <v>346</v>
      </c>
      <c r="V745" s="111">
        <f>IF(OR(F745="none",G745="V"),0,VLOOKUP(F745,'Purchased Boons'!$AR$4:$AS$27,2,FALSE))</f>
        <v>0</v>
      </c>
      <c r="W745" s="39" t="s">
        <v>1053</v>
      </c>
      <c r="X745" s="37" t="s">
        <v>1549</v>
      </c>
      <c r="Y745" s="37" t="s">
        <v>5</v>
      </c>
      <c r="Z745" s="111">
        <v>111</v>
      </c>
    </row>
    <row r="746" spans="1:26" x14ac:dyDescent="0.25">
      <c r="A746" s="468" t="s">
        <v>1120</v>
      </c>
      <c r="B746" s="36" t="s">
        <v>178</v>
      </c>
      <c r="C746" s="469">
        <v>3</v>
      </c>
      <c r="D746" s="470" t="s">
        <v>18</v>
      </c>
      <c r="E746" s="37">
        <f t="shared" si="82"/>
        <v>1</v>
      </c>
      <c r="F746" s="470" t="s">
        <v>40</v>
      </c>
      <c r="G746" s="37">
        <f t="shared" si="83"/>
        <v>0</v>
      </c>
      <c r="H746" s="37" t="s">
        <v>494</v>
      </c>
      <c r="I746" s="37">
        <f t="shared" si="84"/>
        <v>0</v>
      </c>
      <c r="J746" s="37" t="s">
        <v>347</v>
      </c>
      <c r="K746" s="37">
        <f t="shared" si="85"/>
        <v>0</v>
      </c>
      <c r="L746" s="37" t="s">
        <v>494</v>
      </c>
      <c r="M746" s="37">
        <f t="shared" si="86"/>
        <v>0</v>
      </c>
      <c r="N746" s="470" t="s">
        <v>347</v>
      </c>
      <c r="O746" s="470">
        <f t="shared" si="87"/>
        <v>0</v>
      </c>
      <c r="P746" s="37" t="str">
        <f t="shared" si="81"/>
        <v>1 + 0</v>
      </c>
      <c r="Q746" s="470" t="s">
        <v>346</v>
      </c>
      <c r="R746" s="37">
        <f t="shared" si="88"/>
        <v>0</v>
      </c>
      <c r="S746" s="470" t="s">
        <v>347</v>
      </c>
      <c r="T746" s="470">
        <f t="shared" si="89"/>
        <v>0</v>
      </c>
      <c r="U746" s="470" t="s">
        <v>346</v>
      </c>
      <c r="V746" s="111">
        <f>IF(OR(F746="none",G746="V"),0,VLOOKUP(F746,'Purchased Boons'!$AR$4:$AS$27,2,FALSE))</f>
        <v>0</v>
      </c>
      <c r="W746" s="39" t="s">
        <v>1050</v>
      </c>
      <c r="X746" s="37" t="s">
        <v>1548</v>
      </c>
      <c r="Y746" s="37" t="s">
        <v>133</v>
      </c>
      <c r="Z746" s="111">
        <v>152</v>
      </c>
    </row>
    <row r="747" spans="1:26" x14ac:dyDescent="0.25">
      <c r="A747" s="468" t="s">
        <v>1119</v>
      </c>
      <c r="B747" s="36" t="s">
        <v>178</v>
      </c>
      <c r="C747" s="469">
        <v>2</v>
      </c>
      <c r="D747" s="470" t="s">
        <v>494</v>
      </c>
      <c r="E747" s="37">
        <f t="shared" si="82"/>
        <v>0</v>
      </c>
      <c r="F747" s="470" t="s">
        <v>494</v>
      </c>
      <c r="G747" s="37">
        <f t="shared" si="83"/>
        <v>0</v>
      </c>
      <c r="H747" s="37" t="s">
        <v>494</v>
      </c>
      <c r="I747" s="37">
        <f t="shared" si="84"/>
        <v>0</v>
      </c>
      <c r="J747" s="37" t="s">
        <v>347</v>
      </c>
      <c r="K747" s="37">
        <f t="shared" si="85"/>
        <v>0</v>
      </c>
      <c r="L747" s="37" t="s">
        <v>494</v>
      </c>
      <c r="M747" s="37">
        <f t="shared" si="86"/>
        <v>0</v>
      </c>
      <c r="N747" s="470" t="s">
        <v>347</v>
      </c>
      <c r="O747" s="470">
        <f t="shared" si="87"/>
        <v>0</v>
      </c>
      <c r="P747" s="37" t="str">
        <f t="shared" si="81"/>
        <v>None</v>
      </c>
      <c r="Q747" s="470" t="s">
        <v>346</v>
      </c>
      <c r="R747" s="37">
        <f t="shared" si="88"/>
        <v>0</v>
      </c>
      <c r="S747" s="470" t="s">
        <v>347</v>
      </c>
      <c r="T747" s="470">
        <f t="shared" si="89"/>
        <v>0</v>
      </c>
      <c r="U747" s="470" t="s">
        <v>346</v>
      </c>
      <c r="V747" s="111">
        <f>IF(OR(F747="none",G747="V"),0,VLOOKUP(F747,'Purchased Boons'!$AR$4:$AS$27,2,FALSE))</f>
        <v>0</v>
      </c>
      <c r="W747" s="39" t="s">
        <v>1050</v>
      </c>
      <c r="X747" s="37" t="s">
        <v>494</v>
      </c>
      <c r="Y747" s="37" t="s">
        <v>133</v>
      </c>
      <c r="Z747" s="111">
        <v>151</v>
      </c>
    </row>
    <row r="748" spans="1:26" x14ac:dyDescent="0.25">
      <c r="A748" s="468" t="s">
        <v>1474</v>
      </c>
      <c r="B748" s="36" t="s">
        <v>364</v>
      </c>
      <c r="C748" s="469">
        <v>2</v>
      </c>
      <c r="D748" s="470" t="s">
        <v>19</v>
      </c>
      <c r="E748" s="37">
        <f t="shared" si="82"/>
        <v>1</v>
      </c>
      <c r="F748" s="470" t="s">
        <v>38</v>
      </c>
      <c r="G748" s="37">
        <f t="shared" si="83"/>
        <v>0</v>
      </c>
      <c r="H748" s="37" t="s">
        <v>494</v>
      </c>
      <c r="I748" s="37">
        <f t="shared" si="84"/>
        <v>0</v>
      </c>
      <c r="J748" s="37" t="s">
        <v>347</v>
      </c>
      <c r="K748" s="37">
        <f t="shared" si="85"/>
        <v>0</v>
      </c>
      <c r="L748" s="37" t="s">
        <v>494</v>
      </c>
      <c r="M748" s="37">
        <f t="shared" si="86"/>
        <v>0</v>
      </c>
      <c r="N748" s="470" t="s">
        <v>347</v>
      </c>
      <c r="O748" s="470">
        <f t="shared" si="87"/>
        <v>0</v>
      </c>
      <c r="P748" s="37" t="str">
        <f t="shared" si="81"/>
        <v>1 + 0</v>
      </c>
      <c r="Q748" s="470" t="s">
        <v>346</v>
      </c>
      <c r="R748" s="37">
        <f t="shared" si="88"/>
        <v>0</v>
      </c>
      <c r="S748" s="470" t="s">
        <v>347</v>
      </c>
      <c r="T748" s="470">
        <f t="shared" si="89"/>
        <v>0</v>
      </c>
      <c r="U748" s="470" t="s">
        <v>346</v>
      </c>
      <c r="V748" s="111">
        <f>IF(OR(F748="none",G748="V"),0,VLOOKUP(F748,'Purchased Boons'!$AR$4:$AS$27,2,FALSE))</f>
        <v>0</v>
      </c>
      <c r="W748" s="39" t="s">
        <v>494</v>
      </c>
      <c r="X748" s="37" t="s">
        <v>1527</v>
      </c>
      <c r="Y748" s="37" t="s">
        <v>1462</v>
      </c>
      <c r="Z748" s="111">
        <v>17</v>
      </c>
    </row>
    <row r="749" spans="1:26" x14ac:dyDescent="0.25">
      <c r="A749" s="468" t="s">
        <v>1471</v>
      </c>
      <c r="B749" s="39" t="s">
        <v>180</v>
      </c>
      <c r="C749" s="469">
        <v>9</v>
      </c>
      <c r="D749" s="470" t="s">
        <v>494</v>
      </c>
      <c r="E749" s="37">
        <f t="shared" si="82"/>
        <v>0</v>
      </c>
      <c r="F749" s="470" t="s">
        <v>43</v>
      </c>
      <c r="G749" s="37">
        <f t="shared" si="83"/>
        <v>0</v>
      </c>
      <c r="H749" s="37" t="s">
        <v>494</v>
      </c>
      <c r="I749" s="37">
        <f t="shared" si="84"/>
        <v>0</v>
      </c>
      <c r="J749" s="37" t="s">
        <v>347</v>
      </c>
      <c r="K749" s="37">
        <f t="shared" si="85"/>
        <v>0</v>
      </c>
      <c r="L749" s="37" t="s">
        <v>494</v>
      </c>
      <c r="M749" s="37">
        <f t="shared" si="86"/>
        <v>0</v>
      </c>
      <c r="N749" s="470" t="s">
        <v>3573</v>
      </c>
      <c r="O749" s="470">
        <f t="shared" si="87"/>
        <v>2</v>
      </c>
      <c r="P749" s="37" t="str">
        <f t="shared" si="81"/>
        <v>2 + 0</v>
      </c>
      <c r="Q749" s="470" t="s">
        <v>346</v>
      </c>
      <c r="R749" s="37">
        <f t="shared" si="88"/>
        <v>0</v>
      </c>
      <c r="S749" s="470" t="s">
        <v>347</v>
      </c>
      <c r="T749" s="470">
        <f t="shared" si="89"/>
        <v>0</v>
      </c>
      <c r="U749" s="470" t="s">
        <v>346</v>
      </c>
      <c r="V749" s="111">
        <f>IF(OR(F749="none",G749="V"),0,VLOOKUP(F749,'Purchased Boons'!$AR$4:$AS$27,2,FALSE))</f>
        <v>0</v>
      </c>
      <c r="W749" s="39" t="s">
        <v>1629</v>
      </c>
      <c r="X749" s="37" t="s">
        <v>1668</v>
      </c>
      <c r="Y749" s="37" t="s">
        <v>1462</v>
      </c>
      <c r="Z749" s="111">
        <v>16</v>
      </c>
    </row>
    <row r="750" spans="1:26" x14ac:dyDescent="0.25">
      <c r="A750" s="468" t="s">
        <v>1154</v>
      </c>
      <c r="B750" s="36" t="s">
        <v>354</v>
      </c>
      <c r="C750" s="469">
        <v>7</v>
      </c>
      <c r="D750" s="470" t="s">
        <v>16</v>
      </c>
      <c r="E750" s="37">
        <f t="shared" si="82"/>
        <v>1</v>
      </c>
      <c r="F750" s="470" t="s">
        <v>51</v>
      </c>
      <c r="G750" s="37">
        <f t="shared" si="83"/>
        <v>0</v>
      </c>
      <c r="H750" s="37" t="s">
        <v>494</v>
      </c>
      <c r="I750" s="37">
        <f t="shared" si="84"/>
        <v>0</v>
      </c>
      <c r="J750" s="37" t="s">
        <v>347</v>
      </c>
      <c r="K750" s="37">
        <f t="shared" si="85"/>
        <v>0</v>
      </c>
      <c r="L750" s="37" t="s">
        <v>494</v>
      </c>
      <c r="M750" s="37">
        <f t="shared" si="86"/>
        <v>0</v>
      </c>
      <c r="N750" s="470" t="s">
        <v>347</v>
      </c>
      <c r="O750" s="470">
        <f t="shared" si="87"/>
        <v>0</v>
      </c>
      <c r="P750" s="37" t="str">
        <f t="shared" ref="P750:P813" si="90">IF(OR(D750="Varies",F750="Varies",H750="Varies",L750="Varies"),"Varies",IF(AND(D750="None",F750="None",H750="None",L750="None",J750="No",N750="No"),"None",CONCATENATE(E750+G750+V750+I750+K750+M750+O750," + ",R750+T750)))</f>
        <v>1 + 0</v>
      </c>
      <c r="Q750" s="470" t="s">
        <v>346</v>
      </c>
      <c r="R750" s="37">
        <f t="shared" si="88"/>
        <v>0</v>
      </c>
      <c r="S750" s="470" t="s">
        <v>347</v>
      </c>
      <c r="T750" s="470">
        <f t="shared" si="89"/>
        <v>0</v>
      </c>
      <c r="U750" s="470" t="s">
        <v>346</v>
      </c>
      <c r="V750" s="111">
        <f>IF(OR(F750="none",G750="V"),0,VLOOKUP(F750,'Purchased Boons'!$AR$4:$AS$27,2,FALSE))</f>
        <v>0</v>
      </c>
      <c r="W750" s="39" t="s">
        <v>1608</v>
      </c>
      <c r="X750" s="37" t="s">
        <v>1536</v>
      </c>
      <c r="Y750" s="37" t="s">
        <v>1045</v>
      </c>
      <c r="Z750" s="111">
        <v>73</v>
      </c>
    </row>
    <row r="751" spans="1:26" x14ac:dyDescent="0.25">
      <c r="A751" s="468" t="s">
        <v>1152</v>
      </c>
      <c r="B751" s="36" t="s">
        <v>354</v>
      </c>
      <c r="C751" s="469">
        <v>5</v>
      </c>
      <c r="D751" s="470" t="s">
        <v>13</v>
      </c>
      <c r="E751" s="37">
        <f t="shared" si="82"/>
        <v>1</v>
      </c>
      <c r="F751" s="470" t="s">
        <v>55</v>
      </c>
      <c r="G751" s="37">
        <f t="shared" si="83"/>
        <v>0</v>
      </c>
      <c r="H751" s="37" t="s">
        <v>494</v>
      </c>
      <c r="I751" s="37">
        <f t="shared" si="84"/>
        <v>0</v>
      </c>
      <c r="J751" s="37" t="s">
        <v>347</v>
      </c>
      <c r="K751" s="37">
        <f t="shared" si="85"/>
        <v>0</v>
      </c>
      <c r="L751" s="37" t="s">
        <v>494</v>
      </c>
      <c r="M751" s="37">
        <f t="shared" si="86"/>
        <v>0</v>
      </c>
      <c r="N751" s="470" t="s">
        <v>347</v>
      </c>
      <c r="O751" s="470">
        <f t="shared" si="87"/>
        <v>0</v>
      </c>
      <c r="P751" s="37" t="str">
        <f t="shared" si="90"/>
        <v>1 + 0</v>
      </c>
      <c r="Q751" s="470" t="s">
        <v>346</v>
      </c>
      <c r="R751" s="37">
        <f t="shared" si="88"/>
        <v>0</v>
      </c>
      <c r="S751" s="470" t="s">
        <v>347</v>
      </c>
      <c r="T751" s="470">
        <f t="shared" si="89"/>
        <v>0</v>
      </c>
      <c r="U751" s="470" t="s">
        <v>346</v>
      </c>
      <c r="V751" s="111">
        <f>IF(OR(F751="none",G751="V"),0,VLOOKUP(F751,'Purchased Boons'!$AR$4:$AS$27,2,FALSE))</f>
        <v>0</v>
      </c>
      <c r="W751" s="39" t="s">
        <v>1609</v>
      </c>
      <c r="X751" s="37" t="s">
        <v>1580</v>
      </c>
      <c r="Y751" s="37" t="s">
        <v>1045</v>
      </c>
      <c r="Z751" s="111">
        <v>72</v>
      </c>
    </row>
    <row r="752" spans="1:26" x14ac:dyDescent="0.25">
      <c r="A752" s="468" t="s">
        <v>1071</v>
      </c>
      <c r="B752" s="36" t="s">
        <v>354</v>
      </c>
      <c r="C752" s="469">
        <v>2</v>
      </c>
      <c r="D752" s="470" t="s">
        <v>13</v>
      </c>
      <c r="E752" s="37">
        <f t="shared" si="82"/>
        <v>1</v>
      </c>
      <c r="F752" s="470" t="s">
        <v>45</v>
      </c>
      <c r="G752" s="37">
        <f t="shared" si="83"/>
        <v>0</v>
      </c>
      <c r="H752" s="37" t="s">
        <v>494</v>
      </c>
      <c r="I752" s="37">
        <f t="shared" si="84"/>
        <v>0</v>
      </c>
      <c r="J752" s="37" t="s">
        <v>347</v>
      </c>
      <c r="K752" s="37">
        <f t="shared" si="85"/>
        <v>0</v>
      </c>
      <c r="L752" s="37" t="s">
        <v>494</v>
      </c>
      <c r="M752" s="37">
        <f t="shared" si="86"/>
        <v>0</v>
      </c>
      <c r="N752" s="470" t="s">
        <v>347</v>
      </c>
      <c r="O752" s="470">
        <f t="shared" si="87"/>
        <v>0</v>
      </c>
      <c r="P752" s="37" t="str">
        <f t="shared" si="90"/>
        <v>1 + 0</v>
      </c>
      <c r="Q752" s="470" t="s">
        <v>346</v>
      </c>
      <c r="R752" s="37">
        <f t="shared" si="88"/>
        <v>0</v>
      </c>
      <c r="S752" s="470" t="s">
        <v>347</v>
      </c>
      <c r="T752" s="470">
        <f t="shared" si="89"/>
        <v>0</v>
      </c>
      <c r="U752" s="470" t="s">
        <v>346</v>
      </c>
      <c r="V752" s="111">
        <f>IF(OR(F752="none",G752="V"),0,VLOOKUP(F752,'Purchased Boons'!$AR$4:$AS$27,2,FALSE))</f>
        <v>0</v>
      </c>
      <c r="W752" s="39" t="s">
        <v>1050</v>
      </c>
      <c r="X752" s="37" t="s">
        <v>1523</v>
      </c>
      <c r="Y752" s="37" t="s">
        <v>133</v>
      </c>
      <c r="Z752" s="111">
        <v>140</v>
      </c>
    </row>
    <row r="753" spans="1:26" x14ac:dyDescent="0.25">
      <c r="A753" s="468" t="s">
        <v>1072</v>
      </c>
      <c r="B753" s="36" t="s">
        <v>354</v>
      </c>
      <c r="C753" s="469">
        <v>3</v>
      </c>
      <c r="D753" s="470" t="s">
        <v>13</v>
      </c>
      <c r="E753" s="37">
        <f t="shared" si="82"/>
        <v>1</v>
      </c>
      <c r="F753" s="470" t="s">
        <v>52</v>
      </c>
      <c r="G753" s="37">
        <f t="shared" si="83"/>
        <v>0</v>
      </c>
      <c r="H753" s="37" t="s">
        <v>494</v>
      </c>
      <c r="I753" s="37">
        <f t="shared" si="84"/>
        <v>0</v>
      </c>
      <c r="J753" s="37" t="s">
        <v>347</v>
      </c>
      <c r="K753" s="37">
        <f t="shared" si="85"/>
        <v>0</v>
      </c>
      <c r="L753" s="37" t="s">
        <v>494</v>
      </c>
      <c r="M753" s="37">
        <f t="shared" si="86"/>
        <v>0</v>
      </c>
      <c r="N753" s="470" t="s">
        <v>347</v>
      </c>
      <c r="O753" s="470">
        <f t="shared" si="87"/>
        <v>0</v>
      </c>
      <c r="P753" s="37" t="str">
        <f t="shared" si="90"/>
        <v>1 + 0</v>
      </c>
      <c r="Q753" s="470" t="s">
        <v>346</v>
      </c>
      <c r="R753" s="37">
        <f t="shared" si="88"/>
        <v>0</v>
      </c>
      <c r="S753" s="470" t="s">
        <v>347</v>
      </c>
      <c r="T753" s="470">
        <f t="shared" si="89"/>
        <v>0</v>
      </c>
      <c r="U753" s="470" t="s">
        <v>346</v>
      </c>
      <c r="V753" s="111">
        <f>IF(OR(F753="none",G753="V"),0,VLOOKUP(F753,'Purchased Boons'!$AR$4:$AS$27,2,FALSE))</f>
        <v>0</v>
      </c>
      <c r="W753" s="39" t="s">
        <v>1050</v>
      </c>
      <c r="X753" s="37" t="s">
        <v>1524</v>
      </c>
      <c r="Y753" s="37" t="s">
        <v>133</v>
      </c>
      <c r="Z753" s="111">
        <v>140</v>
      </c>
    </row>
    <row r="754" spans="1:26" x14ac:dyDescent="0.25">
      <c r="A754" s="468" t="s">
        <v>1153</v>
      </c>
      <c r="B754" s="36" t="s">
        <v>354</v>
      </c>
      <c r="C754" s="469">
        <v>6</v>
      </c>
      <c r="D754" s="470" t="s">
        <v>30</v>
      </c>
      <c r="E754" s="37">
        <f t="shared" si="82"/>
        <v>1</v>
      </c>
      <c r="F754" s="470" t="s">
        <v>494</v>
      </c>
      <c r="G754" s="37">
        <f t="shared" si="83"/>
        <v>0</v>
      </c>
      <c r="H754" s="37" t="s">
        <v>494</v>
      </c>
      <c r="I754" s="37">
        <f t="shared" si="84"/>
        <v>0</v>
      </c>
      <c r="J754" s="37" t="s">
        <v>347</v>
      </c>
      <c r="K754" s="37">
        <f t="shared" si="85"/>
        <v>0</v>
      </c>
      <c r="L754" s="37" t="s">
        <v>494</v>
      </c>
      <c r="M754" s="37">
        <f t="shared" si="86"/>
        <v>0</v>
      </c>
      <c r="N754" s="470" t="s">
        <v>347</v>
      </c>
      <c r="O754" s="470">
        <f t="shared" si="87"/>
        <v>0</v>
      </c>
      <c r="P754" s="37" t="str">
        <f t="shared" si="90"/>
        <v>1 + 0</v>
      </c>
      <c r="Q754" s="470" t="s">
        <v>346</v>
      </c>
      <c r="R754" s="37">
        <f t="shared" si="88"/>
        <v>0</v>
      </c>
      <c r="S754" s="470" t="s">
        <v>347</v>
      </c>
      <c r="T754" s="470">
        <f t="shared" si="89"/>
        <v>0</v>
      </c>
      <c r="U754" s="470" t="s">
        <v>346</v>
      </c>
      <c r="V754" s="111">
        <f>IF(OR(F754="none",G754="V"),0,VLOOKUP(F754,'Purchased Boons'!$AR$4:$AS$27,2,FALSE))</f>
        <v>0</v>
      </c>
      <c r="W754" s="39" t="s">
        <v>1607</v>
      </c>
      <c r="X754" s="37" t="s">
        <v>30</v>
      </c>
      <c r="Y754" s="37" t="s">
        <v>1045</v>
      </c>
      <c r="Z754" s="111">
        <v>73</v>
      </c>
    </row>
    <row r="755" spans="1:26" x14ac:dyDescent="0.25">
      <c r="A755" s="468" t="s">
        <v>1151</v>
      </c>
      <c r="B755" s="36" t="s">
        <v>354</v>
      </c>
      <c r="C755" s="469">
        <v>4</v>
      </c>
      <c r="D755" s="470" t="s">
        <v>494</v>
      </c>
      <c r="E755" s="37">
        <f t="shared" si="82"/>
        <v>0</v>
      </c>
      <c r="F755" s="470" t="s">
        <v>494</v>
      </c>
      <c r="G755" s="37">
        <f t="shared" si="83"/>
        <v>0</v>
      </c>
      <c r="H755" s="37" t="s">
        <v>494</v>
      </c>
      <c r="I755" s="37">
        <f t="shared" si="84"/>
        <v>0</v>
      </c>
      <c r="J755" s="37" t="s">
        <v>347</v>
      </c>
      <c r="K755" s="37">
        <f t="shared" si="85"/>
        <v>0</v>
      </c>
      <c r="L755" s="37" t="s">
        <v>494</v>
      </c>
      <c r="M755" s="37">
        <f t="shared" si="86"/>
        <v>0</v>
      </c>
      <c r="N755" s="470" t="s">
        <v>347</v>
      </c>
      <c r="O755" s="470">
        <f t="shared" si="87"/>
        <v>0</v>
      </c>
      <c r="P755" s="37" t="str">
        <f t="shared" si="90"/>
        <v>None</v>
      </c>
      <c r="Q755" s="470" t="s">
        <v>346</v>
      </c>
      <c r="R755" s="37">
        <f t="shared" si="88"/>
        <v>0</v>
      </c>
      <c r="S755" s="470" t="s">
        <v>347</v>
      </c>
      <c r="T755" s="470">
        <f t="shared" si="89"/>
        <v>0</v>
      </c>
      <c r="U755" s="470" t="s">
        <v>346</v>
      </c>
      <c r="V755" s="111">
        <f>IF(OR(F755="none",G755="V"),0,VLOOKUP(F755,'Purchased Boons'!$AR$4:$AS$27,2,FALSE))</f>
        <v>0</v>
      </c>
      <c r="W755" s="39" t="s">
        <v>1050</v>
      </c>
      <c r="X755" s="37" t="s">
        <v>494</v>
      </c>
      <c r="Y755" s="37" t="s">
        <v>1045</v>
      </c>
      <c r="Z755" s="111">
        <v>72</v>
      </c>
    </row>
    <row r="756" spans="1:26" x14ac:dyDescent="0.25">
      <c r="A756" s="468" t="s">
        <v>1078</v>
      </c>
      <c r="B756" s="36" t="s">
        <v>356</v>
      </c>
      <c r="C756" s="469">
        <v>3</v>
      </c>
      <c r="D756" s="470" t="s">
        <v>13</v>
      </c>
      <c r="E756" s="37">
        <f t="shared" si="82"/>
        <v>1</v>
      </c>
      <c r="F756" s="470" t="s">
        <v>57</v>
      </c>
      <c r="G756" s="37">
        <f t="shared" si="83"/>
        <v>0</v>
      </c>
      <c r="H756" s="37" t="s">
        <v>494</v>
      </c>
      <c r="I756" s="37">
        <f t="shared" si="84"/>
        <v>0</v>
      </c>
      <c r="J756" s="37" t="s">
        <v>347</v>
      </c>
      <c r="K756" s="37">
        <f t="shared" si="85"/>
        <v>0</v>
      </c>
      <c r="L756" s="37" t="s">
        <v>494</v>
      </c>
      <c r="M756" s="37">
        <f t="shared" si="86"/>
        <v>0</v>
      </c>
      <c r="N756" s="470" t="s">
        <v>347</v>
      </c>
      <c r="O756" s="470">
        <f t="shared" si="87"/>
        <v>0</v>
      </c>
      <c r="P756" s="37" t="str">
        <f t="shared" si="90"/>
        <v>1 + 0</v>
      </c>
      <c r="Q756" s="470" t="s">
        <v>346</v>
      </c>
      <c r="R756" s="37">
        <f t="shared" si="88"/>
        <v>0</v>
      </c>
      <c r="S756" s="470" t="s">
        <v>347</v>
      </c>
      <c r="T756" s="470">
        <f t="shared" si="89"/>
        <v>0</v>
      </c>
      <c r="U756" s="470" t="s">
        <v>346</v>
      </c>
      <c r="V756" s="111">
        <f>IF(OR(F756="none",G756="V"),0,VLOOKUP(F756,'Purchased Boons'!$AR$4:$AS$27,2,FALSE))</f>
        <v>0</v>
      </c>
      <c r="W756" s="39" t="s">
        <v>1050</v>
      </c>
      <c r="X756" s="37" t="s">
        <v>1528</v>
      </c>
      <c r="Y756" s="37" t="s">
        <v>133</v>
      </c>
      <c r="Z756" s="111">
        <v>142</v>
      </c>
    </row>
    <row r="757" spans="1:26" x14ac:dyDescent="0.25">
      <c r="A757" s="468" t="s">
        <v>1093</v>
      </c>
      <c r="B757" s="36" t="s">
        <v>360</v>
      </c>
      <c r="C757" s="469">
        <v>3</v>
      </c>
      <c r="D757" s="470" t="s">
        <v>494</v>
      </c>
      <c r="E757" s="37">
        <f t="shared" si="82"/>
        <v>0</v>
      </c>
      <c r="F757" s="470" t="s">
        <v>494</v>
      </c>
      <c r="G757" s="37">
        <f t="shared" si="83"/>
        <v>0</v>
      </c>
      <c r="H757" s="37" t="s">
        <v>494</v>
      </c>
      <c r="I757" s="37">
        <f t="shared" si="84"/>
        <v>0</v>
      </c>
      <c r="J757" s="37" t="s">
        <v>347</v>
      </c>
      <c r="K757" s="37">
        <f t="shared" si="85"/>
        <v>0</v>
      </c>
      <c r="L757" s="37" t="s">
        <v>494</v>
      </c>
      <c r="M757" s="37">
        <f t="shared" si="86"/>
        <v>0</v>
      </c>
      <c r="N757" s="470" t="s">
        <v>347</v>
      </c>
      <c r="O757" s="470">
        <f t="shared" si="87"/>
        <v>0</v>
      </c>
      <c r="P757" s="37" t="str">
        <f t="shared" si="90"/>
        <v>None</v>
      </c>
      <c r="Q757" s="470" t="s">
        <v>346</v>
      </c>
      <c r="R757" s="37">
        <f t="shared" si="88"/>
        <v>0</v>
      </c>
      <c r="S757" s="470" t="s">
        <v>347</v>
      </c>
      <c r="T757" s="470">
        <f t="shared" si="89"/>
        <v>0</v>
      </c>
      <c r="U757" s="470" t="s">
        <v>346</v>
      </c>
      <c r="V757" s="111">
        <f>IF(OR(F757="none",G757="V"),0,VLOOKUP(F757,'Purchased Boons'!$AR$4:$AS$27,2,FALSE))</f>
        <v>0</v>
      </c>
      <c r="W757" s="39" t="s">
        <v>1603</v>
      </c>
      <c r="X757" s="37" t="s">
        <v>494</v>
      </c>
      <c r="Y757" s="37" t="s">
        <v>133</v>
      </c>
      <c r="Z757" s="111">
        <v>145</v>
      </c>
    </row>
    <row r="758" spans="1:26" x14ac:dyDescent="0.25">
      <c r="A758" s="468" t="s">
        <v>1248</v>
      </c>
      <c r="B758" s="36" t="s">
        <v>353</v>
      </c>
      <c r="C758" s="469">
        <v>9</v>
      </c>
      <c r="D758" s="470" t="s">
        <v>21</v>
      </c>
      <c r="E758" s="37">
        <f t="shared" si="82"/>
        <v>1</v>
      </c>
      <c r="F758" s="470" t="s">
        <v>49</v>
      </c>
      <c r="G758" s="37">
        <f t="shared" si="83"/>
        <v>0</v>
      </c>
      <c r="H758" s="37" t="s">
        <v>494</v>
      </c>
      <c r="I758" s="37">
        <f t="shared" si="84"/>
        <v>0</v>
      </c>
      <c r="J758" s="37" t="s">
        <v>347</v>
      </c>
      <c r="K758" s="37">
        <f t="shared" si="85"/>
        <v>0</v>
      </c>
      <c r="L758" s="37" t="s">
        <v>494</v>
      </c>
      <c r="M758" s="37">
        <f t="shared" si="86"/>
        <v>0</v>
      </c>
      <c r="N758" s="470" t="s">
        <v>347</v>
      </c>
      <c r="O758" s="470">
        <f t="shared" si="87"/>
        <v>0</v>
      </c>
      <c r="P758" s="37" t="str">
        <f t="shared" si="90"/>
        <v>1 + 0</v>
      </c>
      <c r="Q758" s="470" t="s">
        <v>346</v>
      </c>
      <c r="R758" s="37">
        <f t="shared" si="88"/>
        <v>0</v>
      </c>
      <c r="S758" s="470" t="s">
        <v>347</v>
      </c>
      <c r="T758" s="470">
        <f t="shared" si="89"/>
        <v>0</v>
      </c>
      <c r="U758" s="470" t="s">
        <v>346</v>
      </c>
      <c r="V758" s="111">
        <f>IF(OR(F758="none",G758="V"),0,VLOOKUP(F758,'Purchased Boons'!$AR$4:$AS$27,2,FALSE))</f>
        <v>0</v>
      </c>
      <c r="W758" s="39" t="s">
        <v>1636</v>
      </c>
      <c r="X758" s="37" t="s">
        <v>1552</v>
      </c>
      <c r="Y758" s="37" t="s">
        <v>5</v>
      </c>
      <c r="Z758" s="111">
        <v>83</v>
      </c>
    </row>
    <row r="759" spans="1:26" x14ac:dyDescent="0.25">
      <c r="A759" s="468" t="s">
        <v>1408</v>
      </c>
      <c r="B759" s="36" t="s">
        <v>366</v>
      </c>
      <c r="C759" s="469">
        <v>7</v>
      </c>
      <c r="D759" s="470" t="s">
        <v>494</v>
      </c>
      <c r="E759" s="37">
        <f t="shared" si="82"/>
        <v>0</v>
      </c>
      <c r="F759" s="470" t="s">
        <v>494</v>
      </c>
      <c r="G759" s="37">
        <f t="shared" si="83"/>
        <v>0</v>
      </c>
      <c r="H759" s="37" t="s">
        <v>494</v>
      </c>
      <c r="I759" s="37">
        <f t="shared" si="84"/>
        <v>0</v>
      </c>
      <c r="J759" s="37" t="s">
        <v>347</v>
      </c>
      <c r="K759" s="37">
        <f t="shared" si="85"/>
        <v>0</v>
      </c>
      <c r="L759" s="37" t="s">
        <v>494</v>
      </c>
      <c r="M759" s="37">
        <f t="shared" si="86"/>
        <v>0</v>
      </c>
      <c r="N759" s="470" t="s">
        <v>347</v>
      </c>
      <c r="O759" s="470">
        <f t="shared" si="87"/>
        <v>0</v>
      </c>
      <c r="P759" s="37" t="str">
        <f t="shared" si="90"/>
        <v>None</v>
      </c>
      <c r="Q759" s="470" t="s">
        <v>346</v>
      </c>
      <c r="R759" s="37">
        <f t="shared" si="88"/>
        <v>0</v>
      </c>
      <c r="S759" s="470" t="s">
        <v>347</v>
      </c>
      <c r="T759" s="470">
        <f t="shared" si="89"/>
        <v>0</v>
      </c>
      <c r="U759" s="470" t="s">
        <v>346</v>
      </c>
      <c r="V759" s="111">
        <f>IF(OR(F759="none",G759="V"),0,VLOOKUP(F759,'Purchased Boons'!$AR$4:$AS$27,2,FALSE))</f>
        <v>0</v>
      </c>
      <c r="W759" s="39" t="s">
        <v>1053</v>
      </c>
      <c r="X759" s="37" t="s">
        <v>494</v>
      </c>
      <c r="Y759" s="37" t="s">
        <v>1046</v>
      </c>
      <c r="Z759" s="111">
        <v>79</v>
      </c>
    </row>
    <row r="760" spans="1:26" x14ac:dyDescent="0.25">
      <c r="A760" s="468" t="s">
        <v>1399</v>
      </c>
      <c r="B760" s="36" t="s">
        <v>361</v>
      </c>
      <c r="C760" s="469">
        <v>2</v>
      </c>
      <c r="D760" s="470" t="s">
        <v>494</v>
      </c>
      <c r="E760" s="37">
        <f t="shared" si="82"/>
        <v>0</v>
      </c>
      <c r="F760" s="470" t="s">
        <v>494</v>
      </c>
      <c r="G760" s="37">
        <f t="shared" si="83"/>
        <v>0</v>
      </c>
      <c r="H760" s="37" t="s">
        <v>494</v>
      </c>
      <c r="I760" s="37">
        <f t="shared" si="84"/>
        <v>0</v>
      </c>
      <c r="J760" s="37" t="s">
        <v>347</v>
      </c>
      <c r="K760" s="37">
        <f t="shared" si="85"/>
        <v>0</v>
      </c>
      <c r="L760" s="37" t="s">
        <v>494</v>
      </c>
      <c r="M760" s="37">
        <f t="shared" si="86"/>
        <v>0</v>
      </c>
      <c r="N760" s="470" t="s">
        <v>347</v>
      </c>
      <c r="O760" s="470">
        <f t="shared" si="87"/>
        <v>0</v>
      </c>
      <c r="P760" s="37" t="str">
        <f t="shared" si="90"/>
        <v>None</v>
      </c>
      <c r="Q760" s="470" t="s">
        <v>346</v>
      </c>
      <c r="R760" s="37">
        <f t="shared" si="88"/>
        <v>0</v>
      </c>
      <c r="S760" s="470" t="s">
        <v>347</v>
      </c>
      <c r="T760" s="470">
        <f t="shared" si="89"/>
        <v>0</v>
      </c>
      <c r="U760" s="470" t="s">
        <v>346</v>
      </c>
      <c r="V760" s="111">
        <f>IF(OR(F760="none",G760="V"),0,VLOOKUP(F760,'Purchased Boons'!$AR$4:$AS$27,2,FALSE))</f>
        <v>0</v>
      </c>
      <c r="W760" s="39" t="s">
        <v>1050</v>
      </c>
      <c r="X760" s="37" t="s">
        <v>494</v>
      </c>
      <c r="Y760" s="37" t="s">
        <v>1046</v>
      </c>
      <c r="Z760" s="111">
        <v>76</v>
      </c>
    </row>
    <row r="761" spans="1:26" x14ac:dyDescent="0.25">
      <c r="A761" s="468" t="s">
        <v>1100</v>
      </c>
      <c r="B761" s="36" t="s">
        <v>363</v>
      </c>
      <c r="C761" s="469">
        <v>1</v>
      </c>
      <c r="D761" s="470" t="s">
        <v>494</v>
      </c>
      <c r="E761" s="37">
        <f t="shared" si="82"/>
        <v>0</v>
      </c>
      <c r="F761" s="470" t="s">
        <v>494</v>
      </c>
      <c r="G761" s="37">
        <f t="shared" si="83"/>
        <v>0</v>
      </c>
      <c r="H761" s="37" t="s">
        <v>494</v>
      </c>
      <c r="I761" s="37">
        <f t="shared" si="84"/>
        <v>0</v>
      </c>
      <c r="J761" s="37" t="s">
        <v>347</v>
      </c>
      <c r="K761" s="37">
        <f t="shared" si="85"/>
        <v>0</v>
      </c>
      <c r="L761" s="37" t="s">
        <v>494</v>
      </c>
      <c r="M761" s="37">
        <f t="shared" si="86"/>
        <v>0</v>
      </c>
      <c r="N761" s="470" t="s">
        <v>347</v>
      </c>
      <c r="O761" s="470">
        <f t="shared" si="87"/>
        <v>0</v>
      </c>
      <c r="P761" s="37" t="str">
        <f t="shared" si="90"/>
        <v>None</v>
      </c>
      <c r="Q761" s="470" t="s">
        <v>346</v>
      </c>
      <c r="R761" s="37">
        <f t="shared" si="88"/>
        <v>0</v>
      </c>
      <c r="S761" s="470" t="s">
        <v>347</v>
      </c>
      <c r="T761" s="470">
        <f t="shared" si="89"/>
        <v>0</v>
      </c>
      <c r="U761" s="470" t="s">
        <v>346</v>
      </c>
      <c r="V761" s="111">
        <f>IF(OR(F761="none",G761="V"),0,VLOOKUP(F761,'Purchased Boons'!$AR$4:$AS$27,2,FALSE))</f>
        <v>0</v>
      </c>
      <c r="W761" s="39" t="s">
        <v>1050</v>
      </c>
      <c r="X761" s="37" t="s">
        <v>494</v>
      </c>
      <c r="Y761" s="37" t="s">
        <v>133</v>
      </c>
      <c r="Z761" s="111">
        <v>146</v>
      </c>
    </row>
    <row r="762" spans="1:26" x14ac:dyDescent="0.25">
      <c r="A762" s="468" t="s">
        <v>1094</v>
      </c>
      <c r="B762" s="36" t="s">
        <v>361</v>
      </c>
      <c r="C762" s="469">
        <v>1</v>
      </c>
      <c r="D762" s="470" t="s">
        <v>494</v>
      </c>
      <c r="E762" s="37">
        <f t="shared" si="82"/>
        <v>0</v>
      </c>
      <c r="F762" s="470" t="s">
        <v>494</v>
      </c>
      <c r="G762" s="37">
        <f t="shared" si="83"/>
        <v>0</v>
      </c>
      <c r="H762" s="37" t="s">
        <v>494</v>
      </c>
      <c r="I762" s="37">
        <f t="shared" si="84"/>
        <v>0</v>
      </c>
      <c r="J762" s="37" t="s">
        <v>347</v>
      </c>
      <c r="K762" s="37">
        <f t="shared" si="85"/>
        <v>0</v>
      </c>
      <c r="L762" s="37" t="s">
        <v>494</v>
      </c>
      <c r="M762" s="37">
        <f t="shared" si="86"/>
        <v>0</v>
      </c>
      <c r="N762" s="470" t="s">
        <v>347</v>
      </c>
      <c r="O762" s="470">
        <f t="shared" si="87"/>
        <v>0</v>
      </c>
      <c r="P762" s="37" t="str">
        <f t="shared" si="90"/>
        <v>None</v>
      </c>
      <c r="Q762" s="470" t="s">
        <v>346</v>
      </c>
      <c r="R762" s="37">
        <f t="shared" si="88"/>
        <v>0</v>
      </c>
      <c r="S762" s="470" t="s">
        <v>347</v>
      </c>
      <c r="T762" s="470">
        <f t="shared" si="89"/>
        <v>0</v>
      </c>
      <c r="U762" s="470" t="s">
        <v>346</v>
      </c>
      <c r="V762" s="111">
        <f>IF(OR(F762="none",G762="V"),0,VLOOKUP(F762,'Purchased Boons'!$AR$4:$AS$27,2,FALSE))</f>
        <v>0</v>
      </c>
      <c r="W762" s="39" t="s">
        <v>1050</v>
      </c>
      <c r="X762" s="37" t="s">
        <v>494</v>
      </c>
      <c r="Y762" s="37" t="s">
        <v>133</v>
      </c>
      <c r="Z762" s="111">
        <v>145</v>
      </c>
    </row>
    <row r="763" spans="1:26" x14ac:dyDescent="0.25">
      <c r="A763" s="468" t="s">
        <v>1296</v>
      </c>
      <c r="B763" s="36" t="s">
        <v>365</v>
      </c>
      <c r="C763" s="469">
        <v>10</v>
      </c>
      <c r="D763" s="470" t="s">
        <v>13</v>
      </c>
      <c r="E763" s="37">
        <f t="shared" si="82"/>
        <v>1</v>
      </c>
      <c r="F763" s="470" t="s">
        <v>49</v>
      </c>
      <c r="G763" s="37">
        <f t="shared" si="83"/>
        <v>0</v>
      </c>
      <c r="H763" s="37" t="s">
        <v>494</v>
      </c>
      <c r="I763" s="37">
        <f t="shared" si="84"/>
        <v>0</v>
      </c>
      <c r="J763" s="37" t="s">
        <v>347</v>
      </c>
      <c r="K763" s="37">
        <f t="shared" si="85"/>
        <v>0</v>
      </c>
      <c r="L763" s="37" t="s">
        <v>494</v>
      </c>
      <c r="M763" s="37">
        <f t="shared" si="86"/>
        <v>0</v>
      </c>
      <c r="N763" s="470" t="s">
        <v>347</v>
      </c>
      <c r="O763" s="470">
        <f t="shared" si="87"/>
        <v>0</v>
      </c>
      <c r="P763" s="37" t="str">
        <f t="shared" si="90"/>
        <v>1 + 0</v>
      </c>
      <c r="Q763" s="470" t="s">
        <v>346</v>
      </c>
      <c r="R763" s="37">
        <f t="shared" si="88"/>
        <v>0</v>
      </c>
      <c r="S763" s="470" t="s">
        <v>347</v>
      </c>
      <c r="T763" s="470">
        <f t="shared" si="89"/>
        <v>0</v>
      </c>
      <c r="U763" s="470" t="s">
        <v>346</v>
      </c>
      <c r="V763" s="111">
        <f>IF(OR(F763="none",G763="V"),0,VLOOKUP(F763,'Purchased Boons'!$AR$4:$AS$27,2,FALSE))</f>
        <v>0</v>
      </c>
      <c r="W763" s="39" t="s">
        <v>1629</v>
      </c>
      <c r="X763" s="37" t="s">
        <v>1600</v>
      </c>
      <c r="Y763" s="37" t="s">
        <v>5</v>
      </c>
      <c r="Z763" s="111">
        <v>100</v>
      </c>
    </row>
    <row r="764" spans="1:26" x14ac:dyDescent="0.25">
      <c r="A764" s="468" t="s">
        <v>1197</v>
      </c>
      <c r="B764" s="36" t="s">
        <v>365</v>
      </c>
      <c r="C764" s="469">
        <v>6</v>
      </c>
      <c r="D764" s="470" t="s">
        <v>18</v>
      </c>
      <c r="E764" s="37">
        <f t="shared" si="82"/>
        <v>1</v>
      </c>
      <c r="F764" s="470" t="s">
        <v>51</v>
      </c>
      <c r="G764" s="37">
        <f t="shared" si="83"/>
        <v>0</v>
      </c>
      <c r="H764" s="37" t="s">
        <v>494</v>
      </c>
      <c r="I764" s="37">
        <f t="shared" si="84"/>
        <v>0</v>
      </c>
      <c r="J764" s="37" t="s">
        <v>347</v>
      </c>
      <c r="K764" s="37">
        <f t="shared" si="85"/>
        <v>0</v>
      </c>
      <c r="L764" s="37" t="s">
        <v>494</v>
      </c>
      <c r="M764" s="37">
        <f t="shared" si="86"/>
        <v>0</v>
      </c>
      <c r="N764" s="470" t="s">
        <v>347</v>
      </c>
      <c r="O764" s="470">
        <f t="shared" si="87"/>
        <v>0</v>
      </c>
      <c r="P764" s="37" t="str">
        <f t="shared" si="90"/>
        <v>1 + 0</v>
      </c>
      <c r="Q764" s="470" t="s">
        <v>346</v>
      </c>
      <c r="R764" s="37">
        <f t="shared" si="88"/>
        <v>0</v>
      </c>
      <c r="S764" s="470" t="s">
        <v>347</v>
      </c>
      <c r="T764" s="470">
        <f t="shared" si="89"/>
        <v>0</v>
      </c>
      <c r="U764" s="470" t="s">
        <v>346</v>
      </c>
      <c r="V764" s="111">
        <f>IF(OR(F764="none",G764="V"),0,VLOOKUP(F764,'Purchased Boons'!$AR$4:$AS$27,2,FALSE))</f>
        <v>0</v>
      </c>
      <c r="W764" s="39" t="s">
        <v>1055</v>
      </c>
      <c r="X764" s="37" t="s">
        <v>1535</v>
      </c>
      <c r="Y764" s="37" t="s">
        <v>1045</v>
      </c>
      <c r="Z764" s="111">
        <v>88</v>
      </c>
    </row>
    <row r="765" spans="1:26" x14ac:dyDescent="0.25">
      <c r="A765" s="468" t="s">
        <v>1401</v>
      </c>
      <c r="B765" s="36" t="s">
        <v>362</v>
      </c>
      <c r="C765" s="469">
        <v>4</v>
      </c>
      <c r="D765" s="470" t="s">
        <v>16</v>
      </c>
      <c r="E765" s="37">
        <f t="shared" si="82"/>
        <v>1</v>
      </c>
      <c r="F765" s="470" t="s">
        <v>49</v>
      </c>
      <c r="G765" s="37">
        <f t="shared" si="83"/>
        <v>0</v>
      </c>
      <c r="H765" s="37" t="s">
        <v>494</v>
      </c>
      <c r="I765" s="37">
        <f t="shared" si="84"/>
        <v>0</v>
      </c>
      <c r="J765" s="37" t="s">
        <v>347</v>
      </c>
      <c r="K765" s="37">
        <f t="shared" si="85"/>
        <v>0</v>
      </c>
      <c r="L765" s="37" t="s">
        <v>494</v>
      </c>
      <c r="M765" s="37">
        <f t="shared" si="86"/>
        <v>0</v>
      </c>
      <c r="N765" s="470" t="s">
        <v>347</v>
      </c>
      <c r="O765" s="470">
        <f t="shared" si="87"/>
        <v>0</v>
      </c>
      <c r="P765" s="37" t="str">
        <f t="shared" si="90"/>
        <v>1 + 0</v>
      </c>
      <c r="Q765" s="470" t="s">
        <v>346</v>
      </c>
      <c r="R765" s="37">
        <f t="shared" si="88"/>
        <v>0</v>
      </c>
      <c r="S765" s="470" t="s">
        <v>347</v>
      </c>
      <c r="T765" s="470">
        <f t="shared" si="89"/>
        <v>0</v>
      </c>
      <c r="U765" s="470" t="s">
        <v>346</v>
      </c>
      <c r="V765" s="111">
        <f>IF(OR(F765="none",G765="V"),0,VLOOKUP(F765,'Purchased Boons'!$AR$4:$AS$27,2,FALSE))</f>
        <v>0</v>
      </c>
      <c r="W765" s="39" t="s">
        <v>1054</v>
      </c>
      <c r="X765" s="37" t="s">
        <v>1549</v>
      </c>
      <c r="Y765" s="37" t="s">
        <v>1046</v>
      </c>
      <c r="Z765" s="111">
        <v>76</v>
      </c>
    </row>
    <row r="766" spans="1:26" x14ac:dyDescent="0.25">
      <c r="A766" s="468" t="s">
        <v>1398</v>
      </c>
      <c r="B766" s="36" t="s">
        <v>360</v>
      </c>
      <c r="C766" s="469">
        <v>7</v>
      </c>
      <c r="D766" s="470" t="s">
        <v>16</v>
      </c>
      <c r="E766" s="37">
        <f t="shared" si="82"/>
        <v>1</v>
      </c>
      <c r="F766" s="470" t="s">
        <v>50</v>
      </c>
      <c r="G766" s="37">
        <f t="shared" si="83"/>
        <v>0</v>
      </c>
      <c r="H766" s="37" t="s">
        <v>494</v>
      </c>
      <c r="I766" s="37">
        <f t="shared" si="84"/>
        <v>0</v>
      </c>
      <c r="J766" s="37" t="s">
        <v>347</v>
      </c>
      <c r="K766" s="37">
        <f t="shared" si="85"/>
        <v>0</v>
      </c>
      <c r="L766" s="37" t="s">
        <v>494</v>
      </c>
      <c r="M766" s="37">
        <f t="shared" si="86"/>
        <v>0</v>
      </c>
      <c r="N766" s="470" t="s">
        <v>347</v>
      </c>
      <c r="O766" s="470">
        <f t="shared" si="87"/>
        <v>0</v>
      </c>
      <c r="P766" s="37" t="str">
        <f t="shared" si="90"/>
        <v>1 + 0</v>
      </c>
      <c r="Q766" s="470" t="s">
        <v>346</v>
      </c>
      <c r="R766" s="37">
        <f t="shared" si="88"/>
        <v>0</v>
      </c>
      <c r="S766" s="470" t="s">
        <v>347</v>
      </c>
      <c r="T766" s="470">
        <f t="shared" si="89"/>
        <v>0</v>
      </c>
      <c r="U766" s="470" t="s">
        <v>346</v>
      </c>
      <c r="V766" s="111">
        <f>IF(OR(F766="none",G766="V"),0,VLOOKUP(F766,'Purchased Boons'!$AR$4:$AS$27,2,FALSE))</f>
        <v>0</v>
      </c>
      <c r="W766" s="39" t="s">
        <v>1670</v>
      </c>
      <c r="X766" s="37" t="s">
        <v>1685</v>
      </c>
      <c r="Y766" s="37" t="s">
        <v>1046</v>
      </c>
      <c r="Z766" s="111">
        <v>75</v>
      </c>
    </row>
    <row r="767" spans="1:26" x14ac:dyDescent="0.25">
      <c r="A767" s="473" t="s">
        <v>1479</v>
      </c>
      <c r="B767" s="36" t="s">
        <v>364</v>
      </c>
      <c r="C767" s="469">
        <v>7</v>
      </c>
      <c r="D767" s="470" t="s">
        <v>494</v>
      </c>
      <c r="E767" s="37">
        <f t="shared" si="82"/>
        <v>0</v>
      </c>
      <c r="F767" s="470" t="s">
        <v>494</v>
      </c>
      <c r="G767" s="37">
        <f t="shared" si="83"/>
        <v>0</v>
      </c>
      <c r="H767" s="37" t="s">
        <v>494</v>
      </c>
      <c r="I767" s="37">
        <f t="shared" si="84"/>
        <v>0</v>
      </c>
      <c r="J767" s="37" t="s">
        <v>347</v>
      </c>
      <c r="K767" s="37">
        <f t="shared" si="85"/>
        <v>0</v>
      </c>
      <c r="L767" s="37" t="s">
        <v>494</v>
      </c>
      <c r="M767" s="37">
        <f t="shared" si="86"/>
        <v>0</v>
      </c>
      <c r="N767" s="470" t="s">
        <v>347</v>
      </c>
      <c r="O767" s="470">
        <f t="shared" si="87"/>
        <v>0</v>
      </c>
      <c r="P767" s="37" t="str">
        <f t="shared" si="90"/>
        <v>None</v>
      </c>
      <c r="Q767" s="470" t="s">
        <v>346</v>
      </c>
      <c r="R767" s="37">
        <f t="shared" si="88"/>
        <v>0</v>
      </c>
      <c r="S767" s="470" t="s">
        <v>347</v>
      </c>
      <c r="T767" s="470">
        <f t="shared" si="89"/>
        <v>0</v>
      </c>
      <c r="U767" s="470" t="s">
        <v>346</v>
      </c>
      <c r="V767" s="111">
        <f>IF(OR(F767="none",G767="V"),0,VLOOKUP(F767,'Purchased Boons'!$AR$4:$AS$27,2,FALSE))</f>
        <v>0</v>
      </c>
      <c r="W767" s="39" t="s">
        <v>1673</v>
      </c>
      <c r="X767" s="37" t="s">
        <v>494</v>
      </c>
      <c r="Y767" s="37" t="s">
        <v>1462</v>
      </c>
      <c r="Z767" s="111">
        <v>18</v>
      </c>
    </row>
    <row r="768" spans="1:26" x14ac:dyDescent="0.25">
      <c r="A768" s="468" t="s">
        <v>1418</v>
      </c>
      <c r="B768" s="36" t="s">
        <v>371</v>
      </c>
      <c r="C768" s="469">
        <v>8</v>
      </c>
      <c r="D768" s="470" t="s">
        <v>17</v>
      </c>
      <c r="E768" s="37">
        <f t="shared" si="82"/>
        <v>1</v>
      </c>
      <c r="F768" s="470" t="s">
        <v>52</v>
      </c>
      <c r="G768" s="37">
        <f t="shared" si="83"/>
        <v>0</v>
      </c>
      <c r="H768" s="37" t="s">
        <v>494</v>
      </c>
      <c r="I768" s="37">
        <f t="shared" si="84"/>
        <v>0</v>
      </c>
      <c r="J768" s="37" t="s">
        <v>347</v>
      </c>
      <c r="K768" s="37">
        <f t="shared" si="85"/>
        <v>0</v>
      </c>
      <c r="L768" s="37" t="s">
        <v>494</v>
      </c>
      <c r="M768" s="37">
        <f t="shared" si="86"/>
        <v>0</v>
      </c>
      <c r="N768" s="470" t="s">
        <v>347</v>
      </c>
      <c r="O768" s="470">
        <f t="shared" si="87"/>
        <v>0</v>
      </c>
      <c r="P768" s="37" t="str">
        <f t="shared" si="90"/>
        <v>1 + 0</v>
      </c>
      <c r="Q768" s="470" t="s">
        <v>346</v>
      </c>
      <c r="R768" s="37">
        <f t="shared" si="88"/>
        <v>0</v>
      </c>
      <c r="S768" s="470" t="s">
        <v>347</v>
      </c>
      <c r="T768" s="470">
        <f t="shared" si="89"/>
        <v>0</v>
      </c>
      <c r="U768" s="470" t="s">
        <v>346</v>
      </c>
      <c r="V768" s="111">
        <f>IF(OR(F768="none",G768="V"),0,VLOOKUP(F768,'Purchased Boons'!$AR$4:$AS$27,2,FALSE))</f>
        <v>0</v>
      </c>
      <c r="W768" s="39" t="s">
        <v>1666</v>
      </c>
      <c r="X768" s="37" t="s">
        <v>1692</v>
      </c>
      <c r="Y768" s="37" t="s">
        <v>1046</v>
      </c>
      <c r="Z768" s="111">
        <v>82</v>
      </c>
    </row>
    <row r="769" spans="1:26" x14ac:dyDescent="0.25">
      <c r="A769" s="468" t="s">
        <v>1476</v>
      </c>
      <c r="B769" s="36" t="s">
        <v>364</v>
      </c>
      <c r="C769" s="469">
        <v>4</v>
      </c>
      <c r="D769" s="470" t="s">
        <v>19</v>
      </c>
      <c r="E769" s="37">
        <f t="shared" si="82"/>
        <v>1</v>
      </c>
      <c r="F769" s="470" t="s">
        <v>494</v>
      </c>
      <c r="G769" s="37">
        <f t="shared" si="83"/>
        <v>0</v>
      </c>
      <c r="H769" s="37" t="s">
        <v>494</v>
      </c>
      <c r="I769" s="37">
        <f t="shared" si="84"/>
        <v>0</v>
      </c>
      <c r="J769" s="37" t="s">
        <v>347</v>
      </c>
      <c r="K769" s="37">
        <f t="shared" si="85"/>
        <v>0</v>
      </c>
      <c r="L769" s="37" t="s">
        <v>494</v>
      </c>
      <c r="M769" s="37">
        <f t="shared" si="86"/>
        <v>0</v>
      </c>
      <c r="N769" s="470" t="s">
        <v>346</v>
      </c>
      <c r="O769" s="470">
        <f t="shared" si="87"/>
        <v>2</v>
      </c>
      <c r="P769" s="37" t="str">
        <f t="shared" si="90"/>
        <v>3 + 0</v>
      </c>
      <c r="Q769" s="470" t="s">
        <v>346</v>
      </c>
      <c r="R769" s="37">
        <f t="shared" si="88"/>
        <v>0</v>
      </c>
      <c r="S769" s="470" t="s">
        <v>347</v>
      </c>
      <c r="T769" s="470">
        <f t="shared" si="89"/>
        <v>0</v>
      </c>
      <c r="U769" s="470" t="s">
        <v>346</v>
      </c>
      <c r="V769" s="111">
        <f>IF(OR(F769="none",G769="V"),0,VLOOKUP(F769,'Purchased Boons'!$AR$4:$AS$27,2,FALSE))</f>
        <v>0</v>
      </c>
      <c r="W769" s="39" t="s">
        <v>1063</v>
      </c>
      <c r="X769" s="37" t="s">
        <v>1671</v>
      </c>
      <c r="Y769" s="37" t="s">
        <v>1462</v>
      </c>
      <c r="Z769" s="111">
        <v>17</v>
      </c>
    </row>
    <row r="770" spans="1:26" x14ac:dyDescent="0.25">
      <c r="A770" s="473" t="s">
        <v>1497</v>
      </c>
      <c r="B770" s="39" t="s">
        <v>689</v>
      </c>
      <c r="C770" s="469">
        <v>2</v>
      </c>
      <c r="D770" s="470" t="s">
        <v>17</v>
      </c>
      <c r="E770" s="37">
        <f t="shared" si="82"/>
        <v>1</v>
      </c>
      <c r="F770" s="470" t="s">
        <v>51</v>
      </c>
      <c r="G770" s="37">
        <f t="shared" si="83"/>
        <v>0</v>
      </c>
      <c r="H770" s="37" t="s">
        <v>494</v>
      </c>
      <c r="I770" s="37">
        <f t="shared" si="84"/>
        <v>0</v>
      </c>
      <c r="J770" s="37" t="s">
        <v>347</v>
      </c>
      <c r="K770" s="37">
        <f t="shared" si="85"/>
        <v>0</v>
      </c>
      <c r="L770" s="37" t="s">
        <v>494</v>
      </c>
      <c r="M770" s="37">
        <f t="shared" si="86"/>
        <v>0</v>
      </c>
      <c r="N770" s="470" t="s">
        <v>347</v>
      </c>
      <c r="O770" s="470">
        <f t="shared" si="87"/>
        <v>0</v>
      </c>
      <c r="P770" s="37" t="str">
        <f t="shared" si="90"/>
        <v>1 + 0</v>
      </c>
      <c r="Q770" s="470" t="s">
        <v>346</v>
      </c>
      <c r="R770" s="37">
        <f t="shared" si="88"/>
        <v>0</v>
      </c>
      <c r="S770" s="470" t="s">
        <v>347</v>
      </c>
      <c r="T770" s="470">
        <f t="shared" si="89"/>
        <v>0</v>
      </c>
      <c r="U770" s="470" t="s">
        <v>346</v>
      </c>
      <c r="V770" s="111">
        <f>IF(OR(F770="none",G770="V"),0,VLOOKUP(F770,'Purchased Boons'!$AR$4:$AS$27,2,FALSE))</f>
        <v>0</v>
      </c>
      <c r="W770" s="39" t="s">
        <v>1602</v>
      </c>
      <c r="X770" s="37" t="s">
        <v>1553</v>
      </c>
      <c r="Y770" s="37" t="s">
        <v>1484</v>
      </c>
      <c r="Z770" s="111">
        <v>39</v>
      </c>
    </row>
    <row r="771" spans="1:26" x14ac:dyDescent="0.25">
      <c r="A771" s="468" t="s">
        <v>1102</v>
      </c>
      <c r="B771" s="36" t="s">
        <v>363</v>
      </c>
      <c r="C771" s="469">
        <v>3</v>
      </c>
      <c r="D771" s="470" t="s">
        <v>18</v>
      </c>
      <c r="E771" s="37">
        <f t="shared" si="82"/>
        <v>1</v>
      </c>
      <c r="F771" s="470" t="s">
        <v>51</v>
      </c>
      <c r="G771" s="37">
        <f t="shared" si="83"/>
        <v>0</v>
      </c>
      <c r="H771" s="37" t="s">
        <v>494</v>
      </c>
      <c r="I771" s="37">
        <f t="shared" si="84"/>
        <v>0</v>
      </c>
      <c r="J771" s="37" t="s">
        <v>347</v>
      </c>
      <c r="K771" s="37">
        <f t="shared" si="85"/>
        <v>0</v>
      </c>
      <c r="L771" s="37" t="s">
        <v>494</v>
      </c>
      <c r="M771" s="37">
        <f t="shared" si="86"/>
        <v>0</v>
      </c>
      <c r="N771" s="470" t="s">
        <v>347</v>
      </c>
      <c r="O771" s="470">
        <f t="shared" si="87"/>
        <v>0</v>
      </c>
      <c r="P771" s="37" t="str">
        <f t="shared" si="90"/>
        <v>1 + 0</v>
      </c>
      <c r="Q771" s="470" t="s">
        <v>346</v>
      </c>
      <c r="R771" s="37">
        <f t="shared" si="88"/>
        <v>0</v>
      </c>
      <c r="S771" s="470" t="s">
        <v>347</v>
      </c>
      <c r="T771" s="470">
        <f t="shared" si="89"/>
        <v>0</v>
      </c>
      <c r="U771" s="470" t="s">
        <v>346</v>
      </c>
      <c r="V771" s="111">
        <f>IF(OR(F771="none",G771="V"),0,VLOOKUP(F771,'Purchased Boons'!$AR$4:$AS$27,2,FALSE))</f>
        <v>0</v>
      </c>
      <c r="W771" s="39" t="s">
        <v>1534</v>
      </c>
      <c r="X771" s="37" t="s">
        <v>1535</v>
      </c>
      <c r="Y771" s="37" t="s">
        <v>133</v>
      </c>
      <c r="Z771" s="111">
        <v>146</v>
      </c>
    </row>
    <row r="772" spans="1:26" x14ac:dyDescent="0.25">
      <c r="A772" s="468" t="s">
        <v>1441</v>
      </c>
      <c r="B772" s="36" t="s">
        <v>362</v>
      </c>
      <c r="C772" s="469">
        <v>5</v>
      </c>
      <c r="D772" s="470" t="s">
        <v>20</v>
      </c>
      <c r="E772" s="37">
        <f t="shared" si="82"/>
        <v>1</v>
      </c>
      <c r="F772" s="470" t="s">
        <v>40</v>
      </c>
      <c r="G772" s="37">
        <f t="shared" si="83"/>
        <v>0</v>
      </c>
      <c r="H772" s="37" t="s">
        <v>494</v>
      </c>
      <c r="I772" s="37">
        <f t="shared" si="84"/>
        <v>0</v>
      </c>
      <c r="J772" s="37" t="s">
        <v>347</v>
      </c>
      <c r="K772" s="37">
        <f t="shared" si="85"/>
        <v>0</v>
      </c>
      <c r="L772" s="37" t="s">
        <v>494</v>
      </c>
      <c r="M772" s="37">
        <f t="shared" si="86"/>
        <v>0</v>
      </c>
      <c r="N772" s="470" t="s">
        <v>347</v>
      </c>
      <c r="O772" s="470">
        <f t="shared" si="87"/>
        <v>0</v>
      </c>
      <c r="P772" s="37" t="str">
        <f t="shared" si="90"/>
        <v>1 + 0</v>
      </c>
      <c r="Q772" s="470" t="s">
        <v>346</v>
      </c>
      <c r="R772" s="37">
        <f t="shared" si="88"/>
        <v>0</v>
      </c>
      <c r="S772" s="470" t="s">
        <v>347</v>
      </c>
      <c r="T772" s="470">
        <f t="shared" si="89"/>
        <v>0</v>
      </c>
      <c r="U772" s="470" t="s">
        <v>346</v>
      </c>
      <c r="V772" s="111">
        <f>IF(OR(F772="none",G772="V"),0,VLOOKUP(F772,'Purchased Boons'!$AR$4:$AS$27,2,FALSE))</f>
        <v>0</v>
      </c>
      <c r="W772" s="39" t="s">
        <v>1700</v>
      </c>
      <c r="X772" s="37" t="s">
        <v>1701</v>
      </c>
      <c r="Y772" s="37" t="s">
        <v>1046</v>
      </c>
      <c r="Z772" s="111">
        <v>228</v>
      </c>
    </row>
    <row r="773" spans="1:26" x14ac:dyDescent="0.25">
      <c r="A773" s="468" t="s">
        <v>1251</v>
      </c>
      <c r="B773" s="36" t="s">
        <v>354</v>
      </c>
      <c r="C773" s="469">
        <v>8</v>
      </c>
      <c r="D773" s="470" t="s">
        <v>21</v>
      </c>
      <c r="E773" s="37">
        <f t="shared" si="82"/>
        <v>1</v>
      </c>
      <c r="F773" s="470" t="s">
        <v>47</v>
      </c>
      <c r="G773" s="37">
        <f t="shared" si="83"/>
        <v>0</v>
      </c>
      <c r="H773" s="37" t="s">
        <v>494</v>
      </c>
      <c r="I773" s="37">
        <f t="shared" si="84"/>
        <v>0</v>
      </c>
      <c r="J773" s="37" t="s">
        <v>347</v>
      </c>
      <c r="K773" s="37">
        <f t="shared" si="85"/>
        <v>0</v>
      </c>
      <c r="L773" s="37" t="s">
        <v>494</v>
      </c>
      <c r="M773" s="37">
        <f t="shared" si="86"/>
        <v>0</v>
      </c>
      <c r="N773" s="470" t="s">
        <v>347</v>
      </c>
      <c r="O773" s="470">
        <f t="shared" si="87"/>
        <v>0</v>
      </c>
      <c r="P773" s="37" t="str">
        <f t="shared" si="90"/>
        <v>1 + 0</v>
      </c>
      <c r="Q773" s="470" t="s">
        <v>346</v>
      </c>
      <c r="R773" s="37">
        <f t="shared" si="88"/>
        <v>0</v>
      </c>
      <c r="S773" s="470" t="s">
        <v>347</v>
      </c>
      <c r="T773" s="470">
        <f t="shared" si="89"/>
        <v>0</v>
      </c>
      <c r="U773" s="470" t="s">
        <v>346</v>
      </c>
      <c r="V773" s="111">
        <f>IF(OR(F773="none",G773="V"),0,VLOOKUP(F773,'Purchased Boons'!$AR$4:$AS$27,2,FALSE))</f>
        <v>0</v>
      </c>
      <c r="W773" s="39" t="s">
        <v>1625</v>
      </c>
      <c r="X773" s="37" t="s">
        <v>1657</v>
      </c>
      <c r="Y773" s="37" t="s">
        <v>5</v>
      </c>
      <c r="Z773" s="111">
        <v>84</v>
      </c>
    </row>
    <row r="774" spans="1:26" x14ac:dyDescent="0.25">
      <c r="A774" s="468" t="s">
        <v>1257</v>
      </c>
      <c r="B774" s="36" t="s">
        <v>355</v>
      </c>
      <c r="C774" s="469">
        <v>10</v>
      </c>
      <c r="D774" s="470" t="s">
        <v>17</v>
      </c>
      <c r="E774" s="37">
        <f t="shared" si="82"/>
        <v>1</v>
      </c>
      <c r="F774" s="470" t="s">
        <v>47</v>
      </c>
      <c r="G774" s="37">
        <f t="shared" si="83"/>
        <v>0</v>
      </c>
      <c r="H774" s="37" t="s">
        <v>494</v>
      </c>
      <c r="I774" s="37">
        <f t="shared" si="84"/>
        <v>0</v>
      </c>
      <c r="J774" s="37" t="s">
        <v>347</v>
      </c>
      <c r="K774" s="37">
        <f t="shared" si="85"/>
        <v>0</v>
      </c>
      <c r="L774" s="37" t="s">
        <v>494</v>
      </c>
      <c r="M774" s="37">
        <f t="shared" si="86"/>
        <v>0</v>
      </c>
      <c r="N774" s="470" t="s">
        <v>347</v>
      </c>
      <c r="O774" s="470">
        <f t="shared" si="87"/>
        <v>0</v>
      </c>
      <c r="P774" s="37" t="str">
        <f t="shared" si="90"/>
        <v>1 + 0</v>
      </c>
      <c r="Q774" s="470" t="s">
        <v>346</v>
      </c>
      <c r="R774" s="37">
        <f t="shared" si="88"/>
        <v>0</v>
      </c>
      <c r="S774" s="470" t="s">
        <v>347</v>
      </c>
      <c r="T774" s="470">
        <f t="shared" si="89"/>
        <v>0</v>
      </c>
      <c r="U774" s="470" t="s">
        <v>346</v>
      </c>
      <c r="V774" s="111">
        <f>IF(OR(F774="none",G774="V"),0,VLOOKUP(F774,'Purchased Boons'!$AR$4:$AS$27,2,FALSE))</f>
        <v>0</v>
      </c>
      <c r="W774" s="39" t="s">
        <v>1053</v>
      </c>
      <c r="X774" s="37" t="s">
        <v>1584</v>
      </c>
      <c r="Y774" s="37" t="s">
        <v>5</v>
      </c>
      <c r="Z774" s="111">
        <v>86</v>
      </c>
    </row>
    <row r="775" spans="1:26" x14ac:dyDescent="0.25">
      <c r="A775" s="468" t="s">
        <v>1155</v>
      </c>
      <c r="B775" s="36" t="s">
        <v>355</v>
      </c>
      <c r="C775" s="469">
        <v>4</v>
      </c>
      <c r="D775" s="470" t="s">
        <v>16</v>
      </c>
      <c r="E775" s="37">
        <f t="shared" si="82"/>
        <v>1</v>
      </c>
      <c r="F775" s="470" t="s">
        <v>49</v>
      </c>
      <c r="G775" s="37">
        <f t="shared" si="83"/>
        <v>0</v>
      </c>
      <c r="H775" s="37" t="s">
        <v>494</v>
      </c>
      <c r="I775" s="37">
        <f t="shared" si="84"/>
        <v>0</v>
      </c>
      <c r="J775" s="37" t="s">
        <v>347</v>
      </c>
      <c r="K775" s="37">
        <f t="shared" si="85"/>
        <v>0</v>
      </c>
      <c r="L775" s="37" t="s">
        <v>494</v>
      </c>
      <c r="M775" s="37">
        <f t="shared" si="86"/>
        <v>0</v>
      </c>
      <c r="N775" s="470" t="s">
        <v>347</v>
      </c>
      <c r="O775" s="470">
        <f t="shared" si="87"/>
        <v>0</v>
      </c>
      <c r="P775" s="37" t="str">
        <f t="shared" si="90"/>
        <v>1 + 0</v>
      </c>
      <c r="Q775" s="470" t="s">
        <v>346</v>
      </c>
      <c r="R775" s="37">
        <f t="shared" si="88"/>
        <v>0</v>
      </c>
      <c r="S775" s="470" t="s">
        <v>347</v>
      </c>
      <c r="T775" s="470">
        <f t="shared" si="89"/>
        <v>0</v>
      </c>
      <c r="U775" s="470" t="s">
        <v>346</v>
      </c>
      <c r="V775" s="111">
        <f>IF(OR(F775="none",G775="V"),0,VLOOKUP(F775,'Purchased Boons'!$AR$4:$AS$27,2,FALSE))</f>
        <v>0</v>
      </c>
      <c r="W775" s="39" t="s">
        <v>1050</v>
      </c>
      <c r="X775" s="37" t="s">
        <v>1549</v>
      </c>
      <c r="Y775" s="37" t="s">
        <v>1045</v>
      </c>
      <c r="Z775" s="111">
        <v>74</v>
      </c>
    </row>
    <row r="776" spans="1:26" x14ac:dyDescent="0.25">
      <c r="A776" s="468" t="s">
        <v>1198</v>
      </c>
      <c r="B776" s="36" t="s">
        <v>365</v>
      </c>
      <c r="C776" s="469">
        <v>7</v>
      </c>
      <c r="D776" s="470" t="s">
        <v>30</v>
      </c>
      <c r="E776" s="37">
        <f t="shared" si="82"/>
        <v>1</v>
      </c>
      <c r="F776" s="470" t="s">
        <v>56</v>
      </c>
      <c r="G776" s="37">
        <f t="shared" si="83"/>
        <v>0</v>
      </c>
      <c r="H776" s="37" t="s">
        <v>494</v>
      </c>
      <c r="I776" s="37">
        <f t="shared" si="84"/>
        <v>0</v>
      </c>
      <c r="J776" s="37" t="s">
        <v>347</v>
      </c>
      <c r="K776" s="37">
        <f t="shared" si="85"/>
        <v>0</v>
      </c>
      <c r="L776" s="37" t="s">
        <v>494</v>
      </c>
      <c r="M776" s="37">
        <f t="shared" si="86"/>
        <v>0</v>
      </c>
      <c r="N776" s="470" t="s">
        <v>347</v>
      </c>
      <c r="O776" s="470">
        <f t="shared" si="87"/>
        <v>0</v>
      </c>
      <c r="P776" s="37" t="str">
        <f t="shared" si="90"/>
        <v>1 + 0</v>
      </c>
      <c r="Q776" s="470" t="s">
        <v>346</v>
      </c>
      <c r="R776" s="37">
        <f t="shared" si="88"/>
        <v>0</v>
      </c>
      <c r="S776" s="470" t="s">
        <v>347</v>
      </c>
      <c r="T776" s="470">
        <f t="shared" si="89"/>
        <v>0</v>
      </c>
      <c r="U776" s="470" t="s">
        <v>346</v>
      </c>
      <c r="V776" s="111">
        <f>IF(OR(F776="none",G776="V"),0,VLOOKUP(F776,'Purchased Boons'!$AR$4:$AS$27,2,FALSE))</f>
        <v>0</v>
      </c>
      <c r="W776" s="39" t="s">
        <v>1561</v>
      </c>
      <c r="X776" s="37" t="s">
        <v>1588</v>
      </c>
      <c r="Y776" s="37" t="s">
        <v>1045</v>
      </c>
      <c r="Z776" s="111">
        <v>88</v>
      </c>
    </row>
    <row r="777" spans="1:26" x14ac:dyDescent="0.25">
      <c r="A777" s="468" t="s">
        <v>1223</v>
      </c>
      <c r="B777" s="36" t="s">
        <v>155</v>
      </c>
      <c r="C777" s="469">
        <v>4</v>
      </c>
      <c r="D777" s="470" t="s">
        <v>494</v>
      </c>
      <c r="E777" s="37">
        <f t="shared" si="82"/>
        <v>0</v>
      </c>
      <c r="F777" s="470" t="s">
        <v>494</v>
      </c>
      <c r="G777" s="37">
        <f t="shared" si="83"/>
        <v>0</v>
      </c>
      <c r="H777" s="37" t="s">
        <v>494</v>
      </c>
      <c r="I777" s="37">
        <f t="shared" si="84"/>
        <v>0</v>
      </c>
      <c r="J777" s="37" t="s">
        <v>347</v>
      </c>
      <c r="K777" s="37">
        <f t="shared" si="85"/>
        <v>0</v>
      </c>
      <c r="L777" s="37" t="s">
        <v>494</v>
      </c>
      <c r="M777" s="37">
        <f t="shared" si="86"/>
        <v>0</v>
      </c>
      <c r="N777" s="470" t="s">
        <v>347</v>
      </c>
      <c r="O777" s="470">
        <f t="shared" si="87"/>
        <v>0</v>
      </c>
      <c r="P777" s="37" t="str">
        <f t="shared" si="90"/>
        <v>None</v>
      </c>
      <c r="Q777" s="470" t="s">
        <v>346</v>
      </c>
      <c r="R777" s="37">
        <f t="shared" si="88"/>
        <v>0</v>
      </c>
      <c r="S777" s="470" t="s">
        <v>347</v>
      </c>
      <c r="T777" s="470">
        <f t="shared" si="89"/>
        <v>0</v>
      </c>
      <c r="U777" s="470" t="s">
        <v>346</v>
      </c>
      <c r="V777" s="111">
        <f>IF(OR(F777="none",G777="V"),0,VLOOKUP(F777,'Purchased Boons'!$AR$4:$AS$27,2,FALSE))</f>
        <v>0</v>
      </c>
      <c r="W777" s="39" t="s">
        <v>1573</v>
      </c>
      <c r="X777" s="37" t="s">
        <v>494</v>
      </c>
      <c r="Y777" s="37" t="s">
        <v>1045</v>
      </c>
      <c r="Z777" s="111">
        <v>95</v>
      </c>
    </row>
    <row r="778" spans="1:26" x14ac:dyDescent="0.25">
      <c r="A778" s="468" t="s">
        <v>1224</v>
      </c>
      <c r="B778" s="36" t="s">
        <v>155</v>
      </c>
      <c r="C778" s="469">
        <v>5</v>
      </c>
      <c r="D778" s="470" t="s">
        <v>494</v>
      </c>
      <c r="E778" s="37">
        <f t="shared" si="82"/>
        <v>0</v>
      </c>
      <c r="F778" s="470" t="s">
        <v>494</v>
      </c>
      <c r="G778" s="37">
        <f t="shared" si="83"/>
        <v>0</v>
      </c>
      <c r="H778" s="37" t="s">
        <v>494</v>
      </c>
      <c r="I778" s="37">
        <f t="shared" si="84"/>
        <v>0</v>
      </c>
      <c r="J778" s="37" t="s">
        <v>347</v>
      </c>
      <c r="K778" s="37">
        <f t="shared" si="85"/>
        <v>0</v>
      </c>
      <c r="L778" s="37" t="s">
        <v>494</v>
      </c>
      <c r="M778" s="37">
        <f t="shared" si="86"/>
        <v>0</v>
      </c>
      <c r="N778" s="470" t="s">
        <v>347</v>
      </c>
      <c r="O778" s="470">
        <f t="shared" si="87"/>
        <v>0</v>
      </c>
      <c r="P778" s="37" t="str">
        <f t="shared" si="90"/>
        <v>None</v>
      </c>
      <c r="Q778" s="470" t="s">
        <v>346</v>
      </c>
      <c r="R778" s="37">
        <f t="shared" si="88"/>
        <v>0</v>
      </c>
      <c r="S778" s="470" t="s">
        <v>347</v>
      </c>
      <c r="T778" s="470">
        <f t="shared" si="89"/>
        <v>0</v>
      </c>
      <c r="U778" s="470" t="s">
        <v>346</v>
      </c>
      <c r="V778" s="111">
        <f>IF(OR(F778="none",G778="V"),0,VLOOKUP(F778,'Purchased Boons'!$AR$4:$AS$27,2,FALSE))</f>
        <v>0</v>
      </c>
      <c r="W778" s="39" t="s">
        <v>1574</v>
      </c>
      <c r="X778" s="37" t="s">
        <v>494</v>
      </c>
      <c r="Y778" s="37" t="s">
        <v>1045</v>
      </c>
      <c r="Z778" s="111">
        <v>95</v>
      </c>
    </row>
    <row r="779" spans="1:26" x14ac:dyDescent="0.25">
      <c r="A779" s="468" t="s">
        <v>1446</v>
      </c>
      <c r="B779" s="36" t="s">
        <v>181</v>
      </c>
      <c r="C779" s="469">
        <v>5</v>
      </c>
      <c r="D779" s="470" t="s">
        <v>20</v>
      </c>
      <c r="E779" s="37">
        <f t="shared" si="82"/>
        <v>1</v>
      </c>
      <c r="F779" s="470" t="s">
        <v>50</v>
      </c>
      <c r="G779" s="37">
        <f t="shared" si="83"/>
        <v>0</v>
      </c>
      <c r="H779" s="37" t="s">
        <v>494</v>
      </c>
      <c r="I779" s="37">
        <f t="shared" si="84"/>
        <v>0</v>
      </c>
      <c r="J779" s="37" t="s">
        <v>347</v>
      </c>
      <c r="K779" s="37">
        <f t="shared" si="85"/>
        <v>0</v>
      </c>
      <c r="L779" s="37" t="s">
        <v>494</v>
      </c>
      <c r="M779" s="37">
        <f t="shared" si="86"/>
        <v>0</v>
      </c>
      <c r="N779" s="470" t="s">
        <v>347</v>
      </c>
      <c r="O779" s="470">
        <f t="shared" si="87"/>
        <v>0</v>
      </c>
      <c r="P779" s="37" t="str">
        <f t="shared" si="90"/>
        <v>1 + 0</v>
      </c>
      <c r="Q779" s="470" t="s">
        <v>346</v>
      </c>
      <c r="R779" s="37">
        <f t="shared" si="88"/>
        <v>0</v>
      </c>
      <c r="S779" s="470" t="s">
        <v>347</v>
      </c>
      <c r="T779" s="470">
        <f t="shared" si="89"/>
        <v>0</v>
      </c>
      <c r="U779" s="470" t="s">
        <v>346</v>
      </c>
      <c r="V779" s="111">
        <f>IF(OR(F779="none",G779="V"),0,VLOOKUP(F779,'Purchased Boons'!$AR$4:$AS$27,2,FALSE))</f>
        <v>0</v>
      </c>
      <c r="W779" s="39" t="s">
        <v>1696</v>
      </c>
      <c r="X779" s="37" t="s">
        <v>1704</v>
      </c>
      <c r="Y779" s="37" t="s">
        <v>1046</v>
      </c>
      <c r="Z779" s="111">
        <v>229</v>
      </c>
    </row>
    <row r="780" spans="1:26" x14ac:dyDescent="0.25">
      <c r="A780" s="468" t="s">
        <v>1300</v>
      </c>
      <c r="B780" s="36" t="s">
        <v>366</v>
      </c>
      <c r="C780" s="469">
        <v>10</v>
      </c>
      <c r="D780" s="470" t="s">
        <v>17</v>
      </c>
      <c r="E780" s="37">
        <f t="shared" si="82"/>
        <v>1</v>
      </c>
      <c r="F780" s="470" t="s">
        <v>40</v>
      </c>
      <c r="G780" s="37">
        <f t="shared" si="83"/>
        <v>0</v>
      </c>
      <c r="H780" s="37" t="s">
        <v>494</v>
      </c>
      <c r="I780" s="37">
        <f t="shared" si="84"/>
        <v>0</v>
      </c>
      <c r="J780" s="37" t="s">
        <v>347</v>
      </c>
      <c r="K780" s="37">
        <f t="shared" si="85"/>
        <v>0</v>
      </c>
      <c r="L780" s="37" t="s">
        <v>494</v>
      </c>
      <c r="M780" s="37">
        <f t="shared" si="86"/>
        <v>0</v>
      </c>
      <c r="N780" s="470" t="s">
        <v>347</v>
      </c>
      <c r="O780" s="470">
        <f t="shared" si="87"/>
        <v>0</v>
      </c>
      <c r="P780" s="37" t="str">
        <f t="shared" si="90"/>
        <v>1 + 0</v>
      </c>
      <c r="Q780" s="470" t="s">
        <v>346</v>
      </c>
      <c r="R780" s="37">
        <f t="shared" si="88"/>
        <v>0</v>
      </c>
      <c r="S780" s="470" t="s">
        <v>347</v>
      </c>
      <c r="T780" s="470">
        <f t="shared" si="89"/>
        <v>0</v>
      </c>
      <c r="U780" s="470" t="s">
        <v>346</v>
      </c>
      <c r="V780" s="111">
        <f>IF(OR(F780="none",G780="V"),0,VLOOKUP(F780,'Purchased Boons'!$AR$4:$AS$27,2,FALSE))</f>
        <v>0</v>
      </c>
      <c r="W780" s="39" t="s">
        <v>1629</v>
      </c>
      <c r="X780" s="37" t="s">
        <v>1663</v>
      </c>
      <c r="Y780" s="37" t="s">
        <v>5</v>
      </c>
      <c r="Z780" s="111">
        <v>102</v>
      </c>
    </row>
    <row r="781" spans="1:26" x14ac:dyDescent="0.25">
      <c r="A781" s="468" t="s">
        <v>1181</v>
      </c>
      <c r="B781" s="36" t="s">
        <v>360</v>
      </c>
      <c r="C781" s="469">
        <v>6</v>
      </c>
      <c r="D781" s="470" t="s">
        <v>21</v>
      </c>
      <c r="E781" s="37">
        <f t="shared" si="82"/>
        <v>1</v>
      </c>
      <c r="F781" s="470" t="s">
        <v>40</v>
      </c>
      <c r="G781" s="37">
        <f t="shared" si="83"/>
        <v>0</v>
      </c>
      <c r="H781" s="37" t="s">
        <v>494</v>
      </c>
      <c r="I781" s="37">
        <f t="shared" si="84"/>
        <v>0</v>
      </c>
      <c r="J781" s="37" t="s">
        <v>347</v>
      </c>
      <c r="K781" s="37">
        <f t="shared" si="85"/>
        <v>0</v>
      </c>
      <c r="L781" s="37" t="s">
        <v>494</v>
      </c>
      <c r="M781" s="37">
        <f t="shared" si="86"/>
        <v>0</v>
      </c>
      <c r="N781" s="470" t="s">
        <v>347</v>
      </c>
      <c r="O781" s="470">
        <f t="shared" si="87"/>
        <v>0</v>
      </c>
      <c r="P781" s="37" t="str">
        <f t="shared" si="90"/>
        <v>1 + 0</v>
      </c>
      <c r="Q781" s="470" t="s">
        <v>346</v>
      </c>
      <c r="R781" s="37">
        <f t="shared" si="88"/>
        <v>0</v>
      </c>
      <c r="S781" s="470" t="s">
        <v>347</v>
      </c>
      <c r="T781" s="470">
        <f t="shared" si="89"/>
        <v>0</v>
      </c>
      <c r="U781" s="470" t="s">
        <v>346</v>
      </c>
      <c r="V781" s="111">
        <f>IF(OR(F781="none",G781="V"),0,VLOOKUP(F781,'Purchased Boons'!$AR$4:$AS$27,2,FALSE))</f>
        <v>0</v>
      </c>
      <c r="W781" s="39" t="s">
        <v>1614</v>
      </c>
      <c r="X781" s="37" t="s">
        <v>1587</v>
      </c>
      <c r="Y781" s="37" t="s">
        <v>1045</v>
      </c>
      <c r="Z781" s="111">
        <v>82</v>
      </c>
    </row>
    <row r="782" spans="1:26" x14ac:dyDescent="0.25">
      <c r="A782" s="468" t="s">
        <v>1434</v>
      </c>
      <c r="B782" s="36" t="s">
        <v>170</v>
      </c>
      <c r="C782" s="469">
        <v>4</v>
      </c>
      <c r="D782" s="470" t="s">
        <v>19</v>
      </c>
      <c r="E782" s="37">
        <f t="shared" si="82"/>
        <v>1</v>
      </c>
      <c r="F782" s="470" t="s">
        <v>494</v>
      </c>
      <c r="G782" s="37">
        <f t="shared" si="83"/>
        <v>0</v>
      </c>
      <c r="H782" s="37" t="s">
        <v>170</v>
      </c>
      <c r="I782" s="37">
        <f t="shared" si="84"/>
        <v>0</v>
      </c>
      <c r="J782" s="37" t="s">
        <v>347</v>
      </c>
      <c r="K782" s="37">
        <f t="shared" si="85"/>
        <v>0</v>
      </c>
      <c r="L782" s="37" t="s">
        <v>494</v>
      </c>
      <c r="M782" s="37">
        <f t="shared" si="86"/>
        <v>0</v>
      </c>
      <c r="N782" s="470" t="s">
        <v>346</v>
      </c>
      <c r="O782" s="470">
        <f t="shared" si="87"/>
        <v>2</v>
      </c>
      <c r="P782" s="37" t="str">
        <f t="shared" si="90"/>
        <v>3 + 0</v>
      </c>
      <c r="Q782" s="470" t="s">
        <v>346</v>
      </c>
      <c r="R782" s="37">
        <f t="shared" si="88"/>
        <v>0</v>
      </c>
      <c r="S782" s="470" t="s">
        <v>347</v>
      </c>
      <c r="T782" s="470">
        <f t="shared" si="89"/>
        <v>0</v>
      </c>
      <c r="U782" s="470" t="s">
        <v>346</v>
      </c>
      <c r="V782" s="111">
        <f>IF(OR(F782="none",G782="V"),0,VLOOKUP(F782,'Purchased Boons'!$AR$4:$AS$27,2,FALSE))</f>
        <v>0</v>
      </c>
      <c r="W782" s="39" t="s">
        <v>1601</v>
      </c>
      <c r="X782" s="37" t="s">
        <v>1063</v>
      </c>
      <c r="Y782" s="37" t="s">
        <v>1046</v>
      </c>
      <c r="Z782" s="111">
        <v>173</v>
      </c>
    </row>
    <row r="783" spans="1:26" x14ac:dyDescent="0.25">
      <c r="A783" s="468" t="s">
        <v>1214</v>
      </c>
      <c r="B783" s="36" t="s">
        <v>175</v>
      </c>
      <c r="C783" s="469">
        <v>7</v>
      </c>
      <c r="D783" s="470" t="s">
        <v>20</v>
      </c>
      <c r="E783" s="37">
        <f t="shared" si="82"/>
        <v>1</v>
      </c>
      <c r="F783" s="470" t="s">
        <v>56</v>
      </c>
      <c r="G783" s="37">
        <f t="shared" si="83"/>
        <v>0</v>
      </c>
      <c r="H783" s="37" t="s">
        <v>494</v>
      </c>
      <c r="I783" s="37">
        <f t="shared" si="84"/>
        <v>0</v>
      </c>
      <c r="J783" s="37" t="s">
        <v>347</v>
      </c>
      <c r="K783" s="37">
        <f t="shared" si="85"/>
        <v>0</v>
      </c>
      <c r="L783" s="37" t="s">
        <v>494</v>
      </c>
      <c r="M783" s="37">
        <f t="shared" si="86"/>
        <v>0</v>
      </c>
      <c r="N783" s="470" t="s">
        <v>347</v>
      </c>
      <c r="O783" s="470">
        <f t="shared" si="87"/>
        <v>0</v>
      </c>
      <c r="P783" s="37" t="str">
        <f t="shared" si="90"/>
        <v>1 + 0</v>
      </c>
      <c r="Q783" s="470" t="s">
        <v>346</v>
      </c>
      <c r="R783" s="37">
        <f t="shared" si="88"/>
        <v>0</v>
      </c>
      <c r="S783" s="470" t="s">
        <v>347</v>
      </c>
      <c r="T783" s="470">
        <f t="shared" si="89"/>
        <v>0</v>
      </c>
      <c r="U783" s="470" t="s">
        <v>346</v>
      </c>
      <c r="V783" s="111">
        <f>IF(OR(F783="none",G783="V"),0,VLOOKUP(F783,'Purchased Boons'!$AR$4:$AS$27,2,FALSE))</f>
        <v>0</v>
      </c>
      <c r="W783" s="39" t="s">
        <v>1608</v>
      </c>
      <c r="X783" s="37" t="s">
        <v>1546</v>
      </c>
      <c r="Y783" s="37" t="s">
        <v>1045</v>
      </c>
      <c r="Z783" s="111">
        <v>92</v>
      </c>
    </row>
    <row r="784" spans="1:26" x14ac:dyDescent="0.25">
      <c r="A784" s="468" t="s">
        <v>1188</v>
      </c>
      <c r="B784" s="36" t="s">
        <v>362</v>
      </c>
      <c r="C784" s="469">
        <v>5</v>
      </c>
      <c r="D784" s="470" t="s">
        <v>19</v>
      </c>
      <c r="E784" s="37">
        <f t="shared" si="82"/>
        <v>1</v>
      </c>
      <c r="F784" s="470" t="s">
        <v>38</v>
      </c>
      <c r="G784" s="37">
        <f t="shared" si="83"/>
        <v>0</v>
      </c>
      <c r="H784" s="37" t="s">
        <v>494</v>
      </c>
      <c r="I784" s="37">
        <f t="shared" si="84"/>
        <v>0</v>
      </c>
      <c r="J784" s="37" t="s">
        <v>347</v>
      </c>
      <c r="K784" s="37">
        <f t="shared" si="85"/>
        <v>0</v>
      </c>
      <c r="L784" s="37" t="s">
        <v>494</v>
      </c>
      <c r="M784" s="37">
        <f t="shared" si="86"/>
        <v>0</v>
      </c>
      <c r="N784" s="470" t="s">
        <v>347</v>
      </c>
      <c r="O784" s="470">
        <f t="shared" si="87"/>
        <v>0</v>
      </c>
      <c r="P784" s="37" t="str">
        <f t="shared" si="90"/>
        <v>1 + 0</v>
      </c>
      <c r="Q784" s="470" t="s">
        <v>346</v>
      </c>
      <c r="R784" s="37">
        <f t="shared" si="88"/>
        <v>0</v>
      </c>
      <c r="S784" s="470" t="s">
        <v>347</v>
      </c>
      <c r="T784" s="470">
        <f t="shared" si="89"/>
        <v>0</v>
      </c>
      <c r="U784" s="470" t="s">
        <v>346</v>
      </c>
      <c r="V784" s="111">
        <f>IF(OR(F784="none",G784="V"),0,VLOOKUP(F784,'Purchased Boons'!$AR$4:$AS$27,2,FALSE))</f>
        <v>0</v>
      </c>
      <c r="W784" s="39" t="s">
        <v>494</v>
      </c>
      <c r="X784" s="37" t="s">
        <v>1527</v>
      </c>
      <c r="Y784" s="37" t="s">
        <v>1045</v>
      </c>
      <c r="Z784" s="111">
        <v>85</v>
      </c>
    </row>
    <row r="785" spans="1:26" x14ac:dyDescent="0.25">
      <c r="A785" s="468" t="s">
        <v>1230</v>
      </c>
      <c r="B785" s="36" t="s">
        <v>691</v>
      </c>
      <c r="C785" s="469">
        <v>7</v>
      </c>
      <c r="D785" s="470" t="s">
        <v>16</v>
      </c>
      <c r="E785" s="37">
        <f t="shared" si="82"/>
        <v>1</v>
      </c>
      <c r="F785" s="470" t="s">
        <v>494</v>
      </c>
      <c r="G785" s="37">
        <f t="shared" si="83"/>
        <v>0</v>
      </c>
      <c r="H785" s="37" t="s">
        <v>691</v>
      </c>
      <c r="I785" s="37">
        <f t="shared" si="84"/>
        <v>0</v>
      </c>
      <c r="J785" s="37" t="s">
        <v>347</v>
      </c>
      <c r="K785" s="37">
        <f t="shared" si="85"/>
        <v>0</v>
      </c>
      <c r="L785" s="37" t="s">
        <v>494</v>
      </c>
      <c r="M785" s="37">
        <f t="shared" si="86"/>
        <v>0</v>
      </c>
      <c r="N785" s="470" t="s">
        <v>347</v>
      </c>
      <c r="O785" s="470">
        <f t="shared" si="87"/>
        <v>0</v>
      </c>
      <c r="P785" s="37" t="str">
        <f t="shared" si="90"/>
        <v>1 + 0</v>
      </c>
      <c r="Q785" s="470" t="s">
        <v>346</v>
      </c>
      <c r="R785" s="37">
        <f t="shared" si="88"/>
        <v>0</v>
      </c>
      <c r="S785" s="470" t="s">
        <v>347</v>
      </c>
      <c r="T785" s="470">
        <f t="shared" si="89"/>
        <v>0</v>
      </c>
      <c r="U785" s="470" t="s">
        <v>346</v>
      </c>
      <c r="V785" s="111">
        <f>IF(OR(F785="none",G785="V"),0,VLOOKUP(F785,'Purchased Boons'!$AR$4:$AS$27,2,FALSE))</f>
        <v>0</v>
      </c>
      <c r="W785" s="39" t="s">
        <v>1602</v>
      </c>
      <c r="X785" s="37" t="s">
        <v>1598</v>
      </c>
      <c r="Y785" s="37" t="s">
        <v>1045</v>
      </c>
      <c r="Z785" s="111">
        <v>97</v>
      </c>
    </row>
    <row r="786" spans="1:26" x14ac:dyDescent="0.25">
      <c r="A786" s="473" t="s">
        <v>1508</v>
      </c>
      <c r="B786" s="39" t="s">
        <v>689</v>
      </c>
      <c r="C786" s="469">
        <v>10</v>
      </c>
      <c r="D786" s="470" t="s">
        <v>17</v>
      </c>
      <c r="E786" s="37">
        <f t="shared" si="82"/>
        <v>1</v>
      </c>
      <c r="F786" s="470" t="s">
        <v>57</v>
      </c>
      <c r="G786" s="37">
        <f t="shared" si="83"/>
        <v>0</v>
      </c>
      <c r="H786" s="37" t="s">
        <v>494</v>
      </c>
      <c r="I786" s="37">
        <f t="shared" si="84"/>
        <v>0</v>
      </c>
      <c r="J786" s="37" t="s">
        <v>347</v>
      </c>
      <c r="K786" s="37">
        <f t="shared" si="85"/>
        <v>0</v>
      </c>
      <c r="L786" s="37" t="s">
        <v>494</v>
      </c>
      <c r="M786" s="37">
        <f t="shared" si="86"/>
        <v>0</v>
      </c>
      <c r="N786" s="470" t="s">
        <v>347</v>
      </c>
      <c r="O786" s="470">
        <f t="shared" si="87"/>
        <v>0</v>
      </c>
      <c r="P786" s="37" t="str">
        <f t="shared" si="90"/>
        <v>1 + 0</v>
      </c>
      <c r="Q786" s="470" t="s">
        <v>346</v>
      </c>
      <c r="R786" s="37">
        <f t="shared" si="88"/>
        <v>0</v>
      </c>
      <c r="S786" s="470" t="s">
        <v>347</v>
      </c>
      <c r="T786" s="470">
        <f t="shared" si="89"/>
        <v>0</v>
      </c>
      <c r="U786" s="470" t="s">
        <v>346</v>
      </c>
      <c r="V786" s="111">
        <f>IF(OR(F786="none",G786="V"),0,VLOOKUP(F786,'Purchased Boons'!$AR$4:$AS$27,2,FALSE))</f>
        <v>0</v>
      </c>
      <c r="W786" s="39" t="s">
        <v>1629</v>
      </c>
      <c r="X786" s="37" t="s">
        <v>1716</v>
      </c>
      <c r="Y786" s="37" t="s">
        <v>1484</v>
      </c>
      <c r="Z786" s="111">
        <v>43</v>
      </c>
    </row>
    <row r="787" spans="1:26" x14ac:dyDescent="0.25">
      <c r="A787" s="468" t="s">
        <v>1229</v>
      </c>
      <c r="B787" s="36" t="s">
        <v>691</v>
      </c>
      <c r="C787" s="469">
        <v>6</v>
      </c>
      <c r="D787" s="470" t="s">
        <v>17</v>
      </c>
      <c r="E787" s="37">
        <f t="shared" si="82"/>
        <v>1</v>
      </c>
      <c r="F787" s="470" t="s">
        <v>49</v>
      </c>
      <c r="G787" s="37">
        <f t="shared" si="83"/>
        <v>0</v>
      </c>
      <c r="H787" s="37" t="s">
        <v>494</v>
      </c>
      <c r="I787" s="37">
        <f t="shared" si="84"/>
        <v>0</v>
      </c>
      <c r="J787" s="37" t="s">
        <v>347</v>
      </c>
      <c r="K787" s="37">
        <f t="shared" si="85"/>
        <v>0</v>
      </c>
      <c r="L787" s="37" t="s">
        <v>494</v>
      </c>
      <c r="M787" s="37">
        <f t="shared" si="86"/>
        <v>0</v>
      </c>
      <c r="N787" s="470" t="s">
        <v>347</v>
      </c>
      <c r="O787" s="470">
        <f t="shared" si="87"/>
        <v>0</v>
      </c>
      <c r="P787" s="37" t="str">
        <f t="shared" si="90"/>
        <v>1 + 0</v>
      </c>
      <c r="Q787" s="470" t="s">
        <v>346</v>
      </c>
      <c r="R787" s="37">
        <f t="shared" si="88"/>
        <v>0</v>
      </c>
      <c r="S787" s="470" t="s">
        <v>347</v>
      </c>
      <c r="T787" s="470">
        <f t="shared" si="89"/>
        <v>0</v>
      </c>
      <c r="U787" s="470" t="s">
        <v>346</v>
      </c>
      <c r="V787" s="111">
        <f>IF(OR(F787="none",G787="V"),0,VLOOKUP(F787,'Purchased Boons'!$AR$4:$AS$27,2,FALSE))</f>
        <v>0</v>
      </c>
      <c r="W787" s="39" t="s">
        <v>1618</v>
      </c>
      <c r="X787" s="37" t="s">
        <v>1597</v>
      </c>
      <c r="Y787" s="37" t="s">
        <v>1045</v>
      </c>
      <c r="Z787" s="111">
        <v>96</v>
      </c>
    </row>
    <row r="788" spans="1:26" x14ac:dyDescent="0.25">
      <c r="A788" s="468" t="s">
        <v>1222</v>
      </c>
      <c r="B788" s="36" t="s">
        <v>166</v>
      </c>
      <c r="C788" s="469">
        <v>7</v>
      </c>
      <c r="D788" s="470" t="s">
        <v>494</v>
      </c>
      <c r="E788" s="37">
        <f t="shared" si="82"/>
        <v>0</v>
      </c>
      <c r="F788" s="470" t="s">
        <v>494</v>
      </c>
      <c r="G788" s="37">
        <f t="shared" si="83"/>
        <v>0</v>
      </c>
      <c r="H788" s="37" t="s">
        <v>494</v>
      </c>
      <c r="I788" s="37">
        <f t="shared" si="84"/>
        <v>0</v>
      </c>
      <c r="J788" s="37" t="s">
        <v>347</v>
      </c>
      <c r="K788" s="37">
        <f t="shared" si="85"/>
        <v>0</v>
      </c>
      <c r="L788" s="37" t="s">
        <v>494</v>
      </c>
      <c r="M788" s="37">
        <f t="shared" si="86"/>
        <v>0</v>
      </c>
      <c r="N788" s="470" t="s">
        <v>347</v>
      </c>
      <c r="O788" s="470">
        <f t="shared" si="87"/>
        <v>0</v>
      </c>
      <c r="P788" s="37" t="str">
        <f t="shared" si="90"/>
        <v>None</v>
      </c>
      <c r="Q788" s="470" t="s">
        <v>346</v>
      </c>
      <c r="R788" s="37">
        <f t="shared" si="88"/>
        <v>0</v>
      </c>
      <c r="S788" s="470" t="s">
        <v>347</v>
      </c>
      <c r="T788" s="470">
        <f t="shared" si="89"/>
        <v>0</v>
      </c>
      <c r="U788" s="470" t="s">
        <v>346</v>
      </c>
      <c r="V788" s="111">
        <f>IF(OR(F788="none",G788="V"),0,VLOOKUP(F788,'Purchased Boons'!$AR$4:$AS$27,2,FALSE))</f>
        <v>0</v>
      </c>
      <c r="W788" s="39" t="s">
        <v>1572</v>
      </c>
      <c r="X788" s="37" t="s">
        <v>494</v>
      </c>
      <c r="Y788" s="37" t="s">
        <v>1045</v>
      </c>
      <c r="Z788" s="111">
        <v>95</v>
      </c>
    </row>
    <row r="789" spans="1:26" x14ac:dyDescent="0.25">
      <c r="A789" s="468" t="s">
        <v>1322</v>
      </c>
      <c r="B789" s="36" t="s">
        <v>691</v>
      </c>
      <c r="C789" s="469">
        <v>9</v>
      </c>
      <c r="D789" s="470" t="s">
        <v>16</v>
      </c>
      <c r="E789" s="37">
        <f t="shared" si="82"/>
        <v>1</v>
      </c>
      <c r="F789" s="470" t="s">
        <v>49</v>
      </c>
      <c r="G789" s="37">
        <f t="shared" si="83"/>
        <v>0</v>
      </c>
      <c r="H789" s="37" t="s">
        <v>494</v>
      </c>
      <c r="I789" s="37">
        <f t="shared" si="84"/>
        <v>0</v>
      </c>
      <c r="J789" s="37" t="s">
        <v>347</v>
      </c>
      <c r="K789" s="37">
        <f t="shared" si="85"/>
        <v>0</v>
      </c>
      <c r="L789" s="37" t="s">
        <v>494</v>
      </c>
      <c r="M789" s="37">
        <f t="shared" si="86"/>
        <v>0</v>
      </c>
      <c r="N789" s="470" t="s">
        <v>347</v>
      </c>
      <c r="O789" s="470">
        <f t="shared" si="87"/>
        <v>0</v>
      </c>
      <c r="P789" s="37" t="str">
        <f t="shared" si="90"/>
        <v>1 + 0</v>
      </c>
      <c r="Q789" s="470" t="s">
        <v>346</v>
      </c>
      <c r="R789" s="37">
        <f t="shared" si="88"/>
        <v>0</v>
      </c>
      <c r="S789" s="470" t="s">
        <v>347</v>
      </c>
      <c r="T789" s="470">
        <f t="shared" si="89"/>
        <v>0</v>
      </c>
      <c r="U789" s="470" t="s">
        <v>346</v>
      </c>
      <c r="V789" s="111">
        <f>IF(OR(F789="none",G789="V"),0,VLOOKUP(F789,'Purchased Boons'!$AR$4:$AS$27,2,FALSE))</f>
        <v>0</v>
      </c>
      <c r="W789" s="39" t="s">
        <v>1652</v>
      </c>
      <c r="X789" s="37" t="s">
        <v>1549</v>
      </c>
      <c r="Y789" s="37" t="s">
        <v>5</v>
      </c>
      <c r="Z789" s="111">
        <v>109</v>
      </c>
    </row>
    <row r="790" spans="1:26" x14ac:dyDescent="0.25">
      <c r="A790" s="468" t="s">
        <v>1129</v>
      </c>
      <c r="B790" s="36" t="s">
        <v>691</v>
      </c>
      <c r="C790" s="469">
        <v>3</v>
      </c>
      <c r="D790" s="470" t="s">
        <v>16</v>
      </c>
      <c r="E790" s="37">
        <f t="shared" si="82"/>
        <v>1</v>
      </c>
      <c r="F790" s="470" t="s">
        <v>49</v>
      </c>
      <c r="G790" s="37">
        <f t="shared" si="83"/>
        <v>0</v>
      </c>
      <c r="H790" s="37" t="s">
        <v>494</v>
      </c>
      <c r="I790" s="37">
        <f t="shared" si="84"/>
        <v>0</v>
      </c>
      <c r="J790" s="37" t="s">
        <v>347</v>
      </c>
      <c r="K790" s="37">
        <f t="shared" si="85"/>
        <v>0</v>
      </c>
      <c r="L790" s="37" t="s">
        <v>494</v>
      </c>
      <c r="M790" s="37">
        <f t="shared" si="86"/>
        <v>0</v>
      </c>
      <c r="N790" s="470" t="s">
        <v>347</v>
      </c>
      <c r="O790" s="470">
        <f t="shared" si="87"/>
        <v>0</v>
      </c>
      <c r="P790" s="37" t="str">
        <f t="shared" si="90"/>
        <v>1 + 0</v>
      </c>
      <c r="Q790" s="470" t="s">
        <v>346</v>
      </c>
      <c r="R790" s="37">
        <f t="shared" si="88"/>
        <v>0</v>
      </c>
      <c r="S790" s="470" t="s">
        <v>347</v>
      </c>
      <c r="T790" s="470">
        <f t="shared" si="89"/>
        <v>0</v>
      </c>
      <c r="U790" s="470" t="s">
        <v>346</v>
      </c>
      <c r="V790" s="111">
        <f>IF(OR(F790="none",G790="V"),0,VLOOKUP(F790,'Purchased Boons'!$AR$4:$AS$27,2,FALSE))</f>
        <v>0</v>
      </c>
      <c r="W790" s="39" t="s">
        <v>1542</v>
      </c>
      <c r="X790" s="37" t="s">
        <v>1549</v>
      </c>
      <c r="Y790" s="37" t="s">
        <v>133</v>
      </c>
      <c r="Z790" s="111">
        <v>153</v>
      </c>
    </row>
    <row r="791" spans="1:26" x14ac:dyDescent="0.25">
      <c r="A791" s="468" t="s">
        <v>1228</v>
      </c>
      <c r="B791" s="36" t="s">
        <v>691</v>
      </c>
      <c r="C791" s="469">
        <v>5</v>
      </c>
      <c r="D791" s="470" t="s">
        <v>13</v>
      </c>
      <c r="E791" s="37">
        <f t="shared" si="82"/>
        <v>1</v>
      </c>
      <c r="F791" s="470" t="s">
        <v>57</v>
      </c>
      <c r="G791" s="37">
        <f t="shared" si="83"/>
        <v>0</v>
      </c>
      <c r="H791" s="37" t="s">
        <v>494</v>
      </c>
      <c r="I791" s="37">
        <f t="shared" si="84"/>
        <v>0</v>
      </c>
      <c r="J791" s="37" t="s">
        <v>347</v>
      </c>
      <c r="K791" s="37">
        <f t="shared" si="85"/>
        <v>0</v>
      </c>
      <c r="L791" s="37" t="s">
        <v>494</v>
      </c>
      <c r="M791" s="37">
        <f t="shared" si="86"/>
        <v>0</v>
      </c>
      <c r="N791" s="470" t="s">
        <v>347</v>
      </c>
      <c r="O791" s="470">
        <f t="shared" si="87"/>
        <v>0</v>
      </c>
      <c r="P791" s="37" t="str">
        <f t="shared" si="90"/>
        <v>1 + 0</v>
      </c>
      <c r="Q791" s="470" t="s">
        <v>346</v>
      </c>
      <c r="R791" s="37">
        <f t="shared" si="88"/>
        <v>0</v>
      </c>
      <c r="S791" s="470" t="s">
        <v>347</v>
      </c>
      <c r="T791" s="470">
        <f t="shared" si="89"/>
        <v>0</v>
      </c>
      <c r="U791" s="470" t="s">
        <v>346</v>
      </c>
      <c r="V791" s="111">
        <f>IF(OR(F791="none",G791="V"),0,VLOOKUP(F791,'Purchased Boons'!$AR$4:$AS$27,2,FALSE))</f>
        <v>0</v>
      </c>
      <c r="W791" s="39" t="s">
        <v>1577</v>
      </c>
      <c r="X791" s="37" t="s">
        <v>1528</v>
      </c>
      <c r="Y791" s="37" t="s">
        <v>1045</v>
      </c>
      <c r="Z791" s="111">
        <v>96</v>
      </c>
    </row>
    <row r="792" spans="1:26" x14ac:dyDescent="0.25">
      <c r="A792" s="468" t="s">
        <v>1321</v>
      </c>
      <c r="B792" s="36" t="s">
        <v>691</v>
      </c>
      <c r="C792" s="469">
        <v>8</v>
      </c>
      <c r="D792" s="470" t="s">
        <v>16</v>
      </c>
      <c r="E792" s="37">
        <f t="shared" si="82"/>
        <v>1</v>
      </c>
      <c r="F792" s="470" t="s">
        <v>49</v>
      </c>
      <c r="G792" s="37">
        <f t="shared" si="83"/>
        <v>0</v>
      </c>
      <c r="H792" s="37" t="s">
        <v>494</v>
      </c>
      <c r="I792" s="37">
        <f t="shared" si="84"/>
        <v>0</v>
      </c>
      <c r="J792" s="37" t="s">
        <v>347</v>
      </c>
      <c r="K792" s="37">
        <f t="shared" si="85"/>
        <v>0</v>
      </c>
      <c r="L792" s="37" t="s">
        <v>494</v>
      </c>
      <c r="M792" s="37">
        <f t="shared" si="86"/>
        <v>0</v>
      </c>
      <c r="N792" s="470" t="s">
        <v>347</v>
      </c>
      <c r="O792" s="470">
        <f t="shared" si="87"/>
        <v>0</v>
      </c>
      <c r="P792" s="37" t="str">
        <f t="shared" si="90"/>
        <v>1 + 0</v>
      </c>
      <c r="Q792" s="470" t="s">
        <v>346</v>
      </c>
      <c r="R792" s="37">
        <f t="shared" si="88"/>
        <v>0</v>
      </c>
      <c r="S792" s="470" t="s">
        <v>347</v>
      </c>
      <c r="T792" s="470">
        <f t="shared" si="89"/>
        <v>0</v>
      </c>
      <c r="U792" s="470" t="s">
        <v>346</v>
      </c>
      <c r="V792" s="111">
        <f>IF(OR(F792="none",G792="V"),0,VLOOKUP(F792,'Purchased Boons'!$AR$4:$AS$27,2,FALSE))</f>
        <v>0</v>
      </c>
      <c r="W792" s="39" t="s">
        <v>1654</v>
      </c>
      <c r="X792" s="37" t="s">
        <v>1549</v>
      </c>
      <c r="Y792" s="37" t="s">
        <v>5</v>
      </c>
      <c r="Z792" s="111">
        <v>109</v>
      </c>
    </row>
    <row r="793" spans="1:26" x14ac:dyDescent="0.25">
      <c r="A793" s="468" t="s">
        <v>1451</v>
      </c>
      <c r="B793" s="36" t="s">
        <v>181</v>
      </c>
      <c r="C793" s="469">
        <v>10</v>
      </c>
      <c r="D793" s="470" t="s">
        <v>20</v>
      </c>
      <c r="E793" s="37">
        <f t="shared" si="82"/>
        <v>1</v>
      </c>
      <c r="F793" s="470" t="s">
        <v>58</v>
      </c>
      <c r="G793" s="37">
        <f t="shared" si="83"/>
        <v>0</v>
      </c>
      <c r="H793" s="37" t="s">
        <v>494</v>
      </c>
      <c r="I793" s="37">
        <f t="shared" si="84"/>
        <v>0</v>
      </c>
      <c r="J793" s="37" t="s">
        <v>347</v>
      </c>
      <c r="K793" s="37">
        <f t="shared" si="85"/>
        <v>0</v>
      </c>
      <c r="L793" s="37" t="s">
        <v>494</v>
      </c>
      <c r="M793" s="37">
        <f t="shared" si="86"/>
        <v>0</v>
      </c>
      <c r="N793" s="470" t="s">
        <v>347</v>
      </c>
      <c r="O793" s="470">
        <f t="shared" si="87"/>
        <v>0</v>
      </c>
      <c r="P793" s="37" t="str">
        <f t="shared" si="90"/>
        <v>1 + 0</v>
      </c>
      <c r="Q793" s="470" t="s">
        <v>346</v>
      </c>
      <c r="R793" s="37">
        <f t="shared" si="88"/>
        <v>0</v>
      </c>
      <c r="S793" s="470" t="s">
        <v>347</v>
      </c>
      <c r="T793" s="470">
        <f t="shared" si="89"/>
        <v>0</v>
      </c>
      <c r="U793" s="470" t="s">
        <v>346</v>
      </c>
      <c r="V793" s="111">
        <f>IF(OR(F793="none",G793="V"),0,VLOOKUP(F793,'Purchased Boons'!$AR$4:$AS$27,2,FALSE))</f>
        <v>0</v>
      </c>
      <c r="W793" s="39" t="s">
        <v>1677</v>
      </c>
      <c r="X793" s="37" t="s">
        <v>1658</v>
      </c>
      <c r="Y793" s="37" t="s">
        <v>1046</v>
      </c>
      <c r="Z793" s="111">
        <v>231</v>
      </c>
    </row>
    <row r="794" spans="1:26" x14ac:dyDescent="0.25">
      <c r="A794" s="468" t="s">
        <v>1323</v>
      </c>
      <c r="B794" s="36" t="s">
        <v>691</v>
      </c>
      <c r="C794" s="469">
        <v>10</v>
      </c>
      <c r="D794" s="470" t="s">
        <v>17</v>
      </c>
      <c r="E794" s="37">
        <f t="shared" si="82"/>
        <v>1</v>
      </c>
      <c r="F794" s="470" t="s">
        <v>49</v>
      </c>
      <c r="G794" s="37">
        <f t="shared" si="83"/>
        <v>0</v>
      </c>
      <c r="H794" s="37" t="s">
        <v>494</v>
      </c>
      <c r="I794" s="37">
        <f t="shared" si="84"/>
        <v>0</v>
      </c>
      <c r="J794" s="37" t="s">
        <v>347</v>
      </c>
      <c r="K794" s="37">
        <f t="shared" si="85"/>
        <v>0</v>
      </c>
      <c r="L794" s="37" t="s">
        <v>494</v>
      </c>
      <c r="M794" s="37">
        <f t="shared" si="86"/>
        <v>0</v>
      </c>
      <c r="N794" s="470" t="s">
        <v>347</v>
      </c>
      <c r="O794" s="470">
        <f t="shared" si="87"/>
        <v>0</v>
      </c>
      <c r="P794" s="37" t="str">
        <f t="shared" si="90"/>
        <v>1 + 0</v>
      </c>
      <c r="Q794" s="470" t="s">
        <v>346</v>
      </c>
      <c r="R794" s="37">
        <f t="shared" si="88"/>
        <v>0</v>
      </c>
      <c r="S794" s="470" t="s">
        <v>347</v>
      </c>
      <c r="T794" s="470">
        <f t="shared" si="89"/>
        <v>0</v>
      </c>
      <c r="U794" s="470" t="s">
        <v>346</v>
      </c>
      <c r="V794" s="111">
        <f>IF(OR(F794="none",G794="V"),0,VLOOKUP(F794,'Purchased Boons'!$AR$4:$AS$27,2,FALSE))</f>
        <v>0</v>
      </c>
      <c r="W794" s="39" t="s">
        <v>1653</v>
      </c>
      <c r="X794" s="37" t="s">
        <v>1597</v>
      </c>
      <c r="Y794" s="37" t="s">
        <v>5</v>
      </c>
      <c r="Z794" s="111">
        <v>109</v>
      </c>
    </row>
    <row r="795" spans="1:26" x14ac:dyDescent="0.25">
      <c r="A795" s="473" t="s">
        <v>1496</v>
      </c>
      <c r="B795" s="39" t="s">
        <v>689</v>
      </c>
      <c r="C795" s="469">
        <v>1</v>
      </c>
      <c r="D795" s="470" t="s">
        <v>17</v>
      </c>
      <c r="E795" s="37">
        <f t="shared" si="82"/>
        <v>1</v>
      </c>
      <c r="F795" s="470" t="s">
        <v>45</v>
      </c>
      <c r="G795" s="37">
        <f t="shared" si="83"/>
        <v>0</v>
      </c>
      <c r="H795" s="37" t="s">
        <v>494</v>
      </c>
      <c r="I795" s="37">
        <f t="shared" si="84"/>
        <v>0</v>
      </c>
      <c r="J795" s="37" t="s">
        <v>347</v>
      </c>
      <c r="K795" s="37">
        <f t="shared" si="85"/>
        <v>0</v>
      </c>
      <c r="L795" s="37" t="s">
        <v>494</v>
      </c>
      <c r="M795" s="37">
        <f t="shared" si="86"/>
        <v>0</v>
      </c>
      <c r="N795" s="470" t="s">
        <v>347</v>
      </c>
      <c r="O795" s="470">
        <f t="shared" si="87"/>
        <v>0</v>
      </c>
      <c r="P795" s="37" t="str">
        <f t="shared" si="90"/>
        <v>1 + 0</v>
      </c>
      <c r="Q795" s="470" t="s">
        <v>346</v>
      </c>
      <c r="R795" s="37">
        <f t="shared" si="88"/>
        <v>0</v>
      </c>
      <c r="S795" s="470" t="s">
        <v>347</v>
      </c>
      <c r="T795" s="470">
        <f t="shared" si="89"/>
        <v>0</v>
      </c>
      <c r="U795" s="470" t="s">
        <v>346</v>
      </c>
      <c r="V795" s="111">
        <f>IF(OR(F795="none",G795="V"),0,VLOOKUP(F795,'Purchased Boons'!$AR$4:$AS$27,2,FALSE))</f>
        <v>0</v>
      </c>
      <c r="W795" s="39" t="s">
        <v>1666</v>
      </c>
      <c r="X795" s="37" t="s">
        <v>1710</v>
      </c>
      <c r="Y795" s="37" t="s">
        <v>1484</v>
      </c>
      <c r="Z795" s="111">
        <v>39</v>
      </c>
    </row>
    <row r="796" spans="1:26" x14ac:dyDescent="0.25">
      <c r="A796" s="468" t="s">
        <v>1227</v>
      </c>
      <c r="B796" s="36" t="s">
        <v>691</v>
      </c>
      <c r="C796" s="469">
        <v>4</v>
      </c>
      <c r="D796" s="470" t="s">
        <v>16</v>
      </c>
      <c r="E796" s="37">
        <f t="shared" si="82"/>
        <v>1</v>
      </c>
      <c r="F796" s="470" t="s">
        <v>49</v>
      </c>
      <c r="G796" s="37">
        <f t="shared" si="83"/>
        <v>0</v>
      </c>
      <c r="H796" s="37" t="s">
        <v>494</v>
      </c>
      <c r="I796" s="37">
        <f t="shared" si="84"/>
        <v>0</v>
      </c>
      <c r="J796" s="37" t="s">
        <v>347</v>
      </c>
      <c r="K796" s="37">
        <f t="shared" si="85"/>
        <v>0</v>
      </c>
      <c r="L796" s="37" t="s">
        <v>494</v>
      </c>
      <c r="M796" s="37">
        <f t="shared" si="86"/>
        <v>0</v>
      </c>
      <c r="N796" s="470" t="s">
        <v>347</v>
      </c>
      <c r="O796" s="470">
        <f t="shared" si="87"/>
        <v>0</v>
      </c>
      <c r="P796" s="37" t="str">
        <f t="shared" si="90"/>
        <v>1 + 0</v>
      </c>
      <c r="Q796" s="470" t="s">
        <v>346</v>
      </c>
      <c r="R796" s="37">
        <f t="shared" si="88"/>
        <v>0</v>
      </c>
      <c r="S796" s="470" t="s">
        <v>347</v>
      </c>
      <c r="T796" s="470">
        <f t="shared" si="89"/>
        <v>0</v>
      </c>
      <c r="U796" s="470" t="s">
        <v>346</v>
      </c>
      <c r="V796" s="111">
        <f>IF(OR(F796="none",G796="V"),0,VLOOKUP(F796,'Purchased Boons'!$AR$4:$AS$27,2,FALSE))</f>
        <v>0</v>
      </c>
      <c r="W796" s="39" t="s">
        <v>1050</v>
      </c>
      <c r="X796" s="37" t="s">
        <v>1549</v>
      </c>
      <c r="Y796" s="37" t="s">
        <v>1045</v>
      </c>
      <c r="Z796" s="111">
        <v>96</v>
      </c>
    </row>
    <row r="797" spans="1:26" x14ac:dyDescent="0.25">
      <c r="A797" s="468" t="s">
        <v>1131</v>
      </c>
      <c r="B797" s="36" t="s">
        <v>371</v>
      </c>
      <c r="C797" s="469">
        <v>1</v>
      </c>
      <c r="D797" s="470" t="s">
        <v>19</v>
      </c>
      <c r="E797" s="37">
        <f t="shared" si="82"/>
        <v>1</v>
      </c>
      <c r="F797" s="470" t="s">
        <v>49</v>
      </c>
      <c r="G797" s="37">
        <f t="shared" si="83"/>
        <v>0</v>
      </c>
      <c r="H797" s="37" t="s">
        <v>494</v>
      </c>
      <c r="I797" s="37">
        <f t="shared" si="84"/>
        <v>0</v>
      </c>
      <c r="J797" s="37" t="s">
        <v>347</v>
      </c>
      <c r="K797" s="37">
        <f t="shared" si="85"/>
        <v>0</v>
      </c>
      <c r="L797" s="37" t="s">
        <v>494</v>
      </c>
      <c r="M797" s="37">
        <f t="shared" si="86"/>
        <v>0</v>
      </c>
      <c r="N797" s="470" t="s">
        <v>347</v>
      </c>
      <c r="O797" s="470">
        <f t="shared" si="87"/>
        <v>0</v>
      </c>
      <c r="P797" s="37" t="str">
        <f t="shared" si="90"/>
        <v>1 + 0</v>
      </c>
      <c r="Q797" s="470" t="s">
        <v>346</v>
      </c>
      <c r="R797" s="37">
        <f t="shared" si="88"/>
        <v>0</v>
      </c>
      <c r="S797" s="470" t="s">
        <v>347</v>
      </c>
      <c r="T797" s="470">
        <f t="shared" si="89"/>
        <v>0</v>
      </c>
      <c r="U797" s="470" t="s">
        <v>346</v>
      </c>
      <c r="V797" s="111">
        <f>IF(OR(F797="none",G797="V"),0,VLOOKUP(F797,'Purchased Boons'!$AR$4:$AS$27,2,FALSE))</f>
        <v>0</v>
      </c>
      <c r="W797" s="39" t="s">
        <v>1601</v>
      </c>
      <c r="X797" s="37" t="s">
        <v>1551</v>
      </c>
      <c r="Y797" s="37" t="s">
        <v>133</v>
      </c>
      <c r="Z797" s="111">
        <v>154</v>
      </c>
    </row>
    <row r="798" spans="1:26" x14ac:dyDescent="0.25">
      <c r="A798" s="468" t="s">
        <v>1127</v>
      </c>
      <c r="B798" s="36" t="s">
        <v>691</v>
      </c>
      <c r="C798" s="469">
        <v>1</v>
      </c>
      <c r="D798" s="470" t="s">
        <v>16</v>
      </c>
      <c r="E798" s="37">
        <f t="shared" si="82"/>
        <v>1</v>
      </c>
      <c r="F798" s="470" t="s">
        <v>51</v>
      </c>
      <c r="G798" s="37">
        <f t="shared" si="83"/>
        <v>0</v>
      </c>
      <c r="H798" s="37" t="s">
        <v>494</v>
      </c>
      <c r="I798" s="37">
        <f t="shared" si="84"/>
        <v>0</v>
      </c>
      <c r="J798" s="37" t="s">
        <v>347</v>
      </c>
      <c r="K798" s="37">
        <f t="shared" si="85"/>
        <v>0</v>
      </c>
      <c r="L798" s="37" t="s">
        <v>494</v>
      </c>
      <c r="M798" s="37">
        <f t="shared" si="86"/>
        <v>0</v>
      </c>
      <c r="N798" s="470" t="s">
        <v>347</v>
      </c>
      <c r="O798" s="470">
        <f t="shared" si="87"/>
        <v>0</v>
      </c>
      <c r="P798" s="37" t="str">
        <f t="shared" si="90"/>
        <v>1 + 0</v>
      </c>
      <c r="Q798" s="470" t="s">
        <v>346</v>
      </c>
      <c r="R798" s="37">
        <f t="shared" si="88"/>
        <v>0</v>
      </c>
      <c r="S798" s="470" t="s">
        <v>347</v>
      </c>
      <c r="T798" s="470">
        <f t="shared" si="89"/>
        <v>0</v>
      </c>
      <c r="U798" s="470" t="s">
        <v>346</v>
      </c>
      <c r="V798" s="111">
        <f>IF(OR(F798="none",G798="V"),0,VLOOKUP(F798,'Purchased Boons'!$AR$4:$AS$27,2,FALSE))</f>
        <v>0</v>
      </c>
      <c r="W798" s="39" t="s">
        <v>494</v>
      </c>
      <c r="X798" s="37" t="s">
        <v>1536</v>
      </c>
      <c r="Y798" s="37" t="s">
        <v>133</v>
      </c>
      <c r="Z798" s="111">
        <v>153</v>
      </c>
    </row>
    <row r="799" spans="1:26" x14ac:dyDescent="0.25">
      <c r="A799" s="468" t="s">
        <v>1128</v>
      </c>
      <c r="B799" s="36" t="s">
        <v>691</v>
      </c>
      <c r="C799" s="469">
        <v>2</v>
      </c>
      <c r="D799" s="470" t="s">
        <v>16</v>
      </c>
      <c r="E799" s="37">
        <f t="shared" si="82"/>
        <v>1</v>
      </c>
      <c r="F799" s="470" t="s">
        <v>51</v>
      </c>
      <c r="G799" s="37">
        <f t="shared" si="83"/>
        <v>0</v>
      </c>
      <c r="H799" s="37" t="s">
        <v>494</v>
      </c>
      <c r="I799" s="37">
        <f t="shared" si="84"/>
        <v>0</v>
      </c>
      <c r="J799" s="37" t="s">
        <v>347</v>
      </c>
      <c r="K799" s="37">
        <f t="shared" si="85"/>
        <v>0</v>
      </c>
      <c r="L799" s="37" t="s">
        <v>494</v>
      </c>
      <c r="M799" s="37">
        <f t="shared" si="86"/>
        <v>0</v>
      </c>
      <c r="N799" s="470" t="s">
        <v>347</v>
      </c>
      <c r="O799" s="470">
        <f t="shared" si="87"/>
        <v>0</v>
      </c>
      <c r="P799" s="37" t="str">
        <f t="shared" si="90"/>
        <v>1 + 0</v>
      </c>
      <c r="Q799" s="470" t="s">
        <v>346</v>
      </c>
      <c r="R799" s="37">
        <f t="shared" si="88"/>
        <v>0</v>
      </c>
      <c r="S799" s="470" t="s">
        <v>347</v>
      </c>
      <c r="T799" s="470">
        <f t="shared" si="89"/>
        <v>0</v>
      </c>
      <c r="U799" s="470" t="s">
        <v>346</v>
      </c>
      <c r="V799" s="111">
        <f>IF(OR(F799="none",G799="V"),0,VLOOKUP(F799,'Purchased Boons'!$AR$4:$AS$27,2,FALSE))</f>
        <v>0</v>
      </c>
      <c r="W799" s="39" t="s">
        <v>1050</v>
      </c>
      <c r="X799" s="37" t="s">
        <v>1536</v>
      </c>
      <c r="Y799" s="37" t="s">
        <v>133</v>
      </c>
      <c r="Z799" s="111">
        <v>153</v>
      </c>
    </row>
    <row r="800" spans="1:26" x14ac:dyDescent="0.25">
      <c r="A800" s="468" t="s">
        <v>1095</v>
      </c>
      <c r="B800" s="36" t="s">
        <v>361</v>
      </c>
      <c r="C800" s="469">
        <v>2</v>
      </c>
      <c r="D800" s="470" t="s">
        <v>30</v>
      </c>
      <c r="E800" s="37">
        <f t="shared" si="82"/>
        <v>1</v>
      </c>
      <c r="F800" s="470" t="s">
        <v>51</v>
      </c>
      <c r="G800" s="37">
        <f t="shared" si="83"/>
        <v>0</v>
      </c>
      <c r="H800" s="37" t="s">
        <v>494</v>
      </c>
      <c r="I800" s="37">
        <f t="shared" si="84"/>
        <v>0</v>
      </c>
      <c r="J800" s="37" t="s">
        <v>347</v>
      </c>
      <c r="K800" s="37">
        <f t="shared" si="85"/>
        <v>0</v>
      </c>
      <c r="L800" s="37" t="s">
        <v>494</v>
      </c>
      <c r="M800" s="37">
        <f t="shared" si="86"/>
        <v>0</v>
      </c>
      <c r="N800" s="470" t="s">
        <v>347</v>
      </c>
      <c r="O800" s="470">
        <f t="shared" si="87"/>
        <v>0</v>
      </c>
      <c r="P800" s="37" t="str">
        <f t="shared" si="90"/>
        <v>1 + 0</v>
      </c>
      <c r="Q800" s="470" t="s">
        <v>346</v>
      </c>
      <c r="R800" s="37">
        <f t="shared" si="88"/>
        <v>0</v>
      </c>
      <c r="S800" s="470" t="s">
        <v>347</v>
      </c>
      <c r="T800" s="470">
        <f t="shared" si="89"/>
        <v>0</v>
      </c>
      <c r="U800" s="470" t="s">
        <v>346</v>
      </c>
      <c r="V800" s="111">
        <f>IF(OR(F800="none",G800="V"),0,VLOOKUP(F800,'Purchased Boons'!$AR$4:$AS$27,2,FALSE))</f>
        <v>0</v>
      </c>
      <c r="W800" s="39" t="s">
        <v>1622</v>
      </c>
      <c r="X800" s="37" t="s">
        <v>1533</v>
      </c>
      <c r="Y800" s="37" t="s">
        <v>133</v>
      </c>
      <c r="Z800" s="111">
        <v>145</v>
      </c>
    </row>
    <row r="801" spans="1:26" x14ac:dyDescent="0.25">
      <c r="A801" s="468" t="s">
        <v>1194</v>
      </c>
      <c r="B801" s="36" t="s">
        <v>363</v>
      </c>
      <c r="C801" s="469">
        <v>7</v>
      </c>
      <c r="D801" s="470" t="s">
        <v>21</v>
      </c>
      <c r="E801" s="37">
        <f t="shared" si="82"/>
        <v>1</v>
      </c>
      <c r="F801" s="470" t="s">
        <v>56</v>
      </c>
      <c r="G801" s="37">
        <f t="shared" si="83"/>
        <v>0</v>
      </c>
      <c r="H801" s="37" t="s">
        <v>494</v>
      </c>
      <c r="I801" s="37">
        <f t="shared" si="84"/>
        <v>0</v>
      </c>
      <c r="J801" s="37" t="s">
        <v>347</v>
      </c>
      <c r="K801" s="37">
        <f t="shared" si="85"/>
        <v>0</v>
      </c>
      <c r="L801" s="37" t="s">
        <v>494</v>
      </c>
      <c r="M801" s="37">
        <f t="shared" si="86"/>
        <v>0</v>
      </c>
      <c r="N801" s="470" t="s">
        <v>347</v>
      </c>
      <c r="O801" s="470">
        <f t="shared" si="87"/>
        <v>0</v>
      </c>
      <c r="P801" s="37" t="str">
        <f t="shared" si="90"/>
        <v>1 + 0</v>
      </c>
      <c r="Q801" s="470" t="s">
        <v>346</v>
      </c>
      <c r="R801" s="37">
        <f t="shared" si="88"/>
        <v>0</v>
      </c>
      <c r="S801" s="470" t="s">
        <v>347</v>
      </c>
      <c r="T801" s="470">
        <f t="shared" si="89"/>
        <v>0</v>
      </c>
      <c r="U801" s="470" t="s">
        <v>346</v>
      </c>
      <c r="V801" s="111">
        <f>IF(OR(F801="none",G801="V"),0,VLOOKUP(F801,'Purchased Boons'!$AR$4:$AS$27,2,FALSE))</f>
        <v>0</v>
      </c>
      <c r="W801" s="39" t="s">
        <v>1565</v>
      </c>
      <c r="X801" s="37" t="s">
        <v>1591</v>
      </c>
      <c r="Y801" s="37" t="s">
        <v>1045</v>
      </c>
      <c r="Z801" s="111">
        <v>87</v>
      </c>
    </row>
    <row r="802" spans="1:26" x14ac:dyDescent="0.25">
      <c r="A802" s="468" t="s">
        <v>1389</v>
      </c>
      <c r="B802" s="36" t="s">
        <v>357</v>
      </c>
      <c r="C802" s="469">
        <v>2</v>
      </c>
      <c r="D802" s="470" t="s">
        <v>20</v>
      </c>
      <c r="E802" s="37">
        <f t="shared" si="82"/>
        <v>1</v>
      </c>
      <c r="F802" s="470" t="s">
        <v>58</v>
      </c>
      <c r="G802" s="37">
        <f t="shared" si="83"/>
        <v>0</v>
      </c>
      <c r="H802" s="37" t="s">
        <v>494</v>
      </c>
      <c r="I802" s="37">
        <f t="shared" si="84"/>
        <v>0</v>
      </c>
      <c r="J802" s="37" t="s">
        <v>347</v>
      </c>
      <c r="K802" s="37">
        <f t="shared" si="85"/>
        <v>0</v>
      </c>
      <c r="L802" s="37" t="s">
        <v>494</v>
      </c>
      <c r="M802" s="37">
        <f t="shared" si="86"/>
        <v>0</v>
      </c>
      <c r="N802" s="470" t="s">
        <v>347</v>
      </c>
      <c r="O802" s="470">
        <f t="shared" si="87"/>
        <v>0</v>
      </c>
      <c r="P802" s="37" t="str">
        <f t="shared" si="90"/>
        <v>1 + 0</v>
      </c>
      <c r="Q802" s="470" t="s">
        <v>346</v>
      </c>
      <c r="R802" s="37">
        <f t="shared" si="88"/>
        <v>0</v>
      </c>
      <c r="S802" s="470" t="s">
        <v>347</v>
      </c>
      <c r="T802" s="470">
        <f t="shared" si="89"/>
        <v>0</v>
      </c>
      <c r="U802" s="470" t="s">
        <v>346</v>
      </c>
      <c r="V802" s="111">
        <f>IF(OR(F802="none",G802="V"),0,VLOOKUP(F802,'Purchased Boons'!$AR$4:$AS$27,2,FALSE))</f>
        <v>0</v>
      </c>
      <c r="W802" s="39" t="s">
        <v>1050</v>
      </c>
      <c r="X802" s="37" t="s">
        <v>1658</v>
      </c>
      <c r="Y802" s="37" t="s">
        <v>1046</v>
      </c>
      <c r="Z802" s="111">
        <v>73</v>
      </c>
    </row>
    <row r="803" spans="1:26" x14ac:dyDescent="0.25">
      <c r="A803" s="468" t="s">
        <v>1134</v>
      </c>
      <c r="B803" s="36" t="s">
        <v>371</v>
      </c>
      <c r="C803" s="469">
        <v>2</v>
      </c>
      <c r="D803" s="470" t="s">
        <v>21</v>
      </c>
      <c r="E803" s="37">
        <f t="shared" si="82"/>
        <v>1</v>
      </c>
      <c r="F803" s="470" t="s">
        <v>51</v>
      </c>
      <c r="G803" s="37">
        <f t="shared" si="83"/>
        <v>0</v>
      </c>
      <c r="H803" s="37" t="s">
        <v>494</v>
      </c>
      <c r="I803" s="37">
        <f t="shared" si="84"/>
        <v>0</v>
      </c>
      <c r="J803" s="37" t="s">
        <v>347</v>
      </c>
      <c r="K803" s="37">
        <f t="shared" si="85"/>
        <v>0</v>
      </c>
      <c r="L803" s="37" t="s">
        <v>494</v>
      </c>
      <c r="M803" s="37">
        <f t="shared" si="86"/>
        <v>0</v>
      </c>
      <c r="N803" s="470" t="s">
        <v>347</v>
      </c>
      <c r="O803" s="470">
        <f t="shared" si="87"/>
        <v>0</v>
      </c>
      <c r="P803" s="37" t="str">
        <f t="shared" si="90"/>
        <v>1 + 0</v>
      </c>
      <c r="Q803" s="470" t="s">
        <v>346</v>
      </c>
      <c r="R803" s="37">
        <f t="shared" si="88"/>
        <v>0</v>
      </c>
      <c r="S803" s="470" t="s">
        <v>347</v>
      </c>
      <c r="T803" s="470">
        <f t="shared" si="89"/>
        <v>0</v>
      </c>
      <c r="U803" s="470" t="s">
        <v>346</v>
      </c>
      <c r="V803" s="111">
        <f>IF(OR(F803="none",G803="V"),0,VLOOKUP(F803,'Purchased Boons'!$AR$4:$AS$27,2,FALSE))</f>
        <v>0</v>
      </c>
      <c r="W803" s="39" t="s">
        <v>1543</v>
      </c>
      <c r="X803" s="37" t="s">
        <v>1554</v>
      </c>
      <c r="Y803" s="37" t="s">
        <v>133</v>
      </c>
      <c r="Z803" s="111">
        <v>154</v>
      </c>
    </row>
    <row r="804" spans="1:26" x14ac:dyDescent="0.25">
      <c r="A804" s="473" t="s">
        <v>1511</v>
      </c>
      <c r="B804" s="39" t="s">
        <v>371</v>
      </c>
      <c r="C804" s="37">
        <v>1</v>
      </c>
      <c r="D804" s="470" t="s">
        <v>21</v>
      </c>
      <c r="E804" s="37">
        <f t="shared" si="82"/>
        <v>1</v>
      </c>
      <c r="F804" s="470" t="s">
        <v>55</v>
      </c>
      <c r="G804" s="37">
        <f t="shared" si="83"/>
        <v>0</v>
      </c>
      <c r="H804" s="37" t="s">
        <v>494</v>
      </c>
      <c r="I804" s="37">
        <f t="shared" si="84"/>
        <v>0</v>
      </c>
      <c r="J804" s="37" t="s">
        <v>347</v>
      </c>
      <c r="K804" s="37">
        <f t="shared" si="85"/>
        <v>0</v>
      </c>
      <c r="L804" s="37" t="s">
        <v>494</v>
      </c>
      <c r="M804" s="37">
        <f t="shared" si="86"/>
        <v>0</v>
      </c>
      <c r="N804" s="470" t="s">
        <v>347</v>
      </c>
      <c r="O804" s="470">
        <f t="shared" si="87"/>
        <v>0</v>
      </c>
      <c r="P804" s="37" t="str">
        <f t="shared" si="90"/>
        <v>1 + 0</v>
      </c>
      <c r="Q804" s="470" t="s">
        <v>346</v>
      </c>
      <c r="R804" s="37">
        <f t="shared" si="88"/>
        <v>0</v>
      </c>
      <c r="S804" s="470" t="s">
        <v>347</v>
      </c>
      <c r="T804" s="470">
        <f t="shared" si="89"/>
        <v>0</v>
      </c>
      <c r="U804" s="470" t="s">
        <v>346</v>
      </c>
      <c r="V804" s="111">
        <f>IF(OR(F804="none",G804="V"),0,VLOOKUP(F804,'Purchased Boons'!$AR$4:$AS$27,2,FALSE))</f>
        <v>0</v>
      </c>
      <c r="W804" s="39" t="s">
        <v>1717</v>
      </c>
      <c r="X804" s="37" t="s">
        <v>1718</v>
      </c>
      <c r="Y804" s="37" t="s">
        <v>1484</v>
      </c>
      <c r="Z804" s="111">
        <v>44</v>
      </c>
    </row>
    <row r="805" spans="1:26" x14ac:dyDescent="0.25">
      <c r="A805" s="468" t="s">
        <v>1282</v>
      </c>
      <c r="B805" s="36" t="s">
        <v>361</v>
      </c>
      <c r="C805" s="469">
        <v>8</v>
      </c>
      <c r="D805" s="470" t="s">
        <v>20</v>
      </c>
      <c r="E805" s="37">
        <f t="shared" si="82"/>
        <v>1</v>
      </c>
      <c r="F805" s="470" t="s">
        <v>41</v>
      </c>
      <c r="G805" s="37">
        <f t="shared" si="83"/>
        <v>0</v>
      </c>
      <c r="H805" s="37" t="s">
        <v>494</v>
      </c>
      <c r="I805" s="37">
        <f t="shared" si="84"/>
        <v>0</v>
      </c>
      <c r="J805" s="37" t="s">
        <v>347</v>
      </c>
      <c r="K805" s="37">
        <f t="shared" si="85"/>
        <v>0</v>
      </c>
      <c r="L805" s="37" t="s">
        <v>494</v>
      </c>
      <c r="M805" s="37">
        <f t="shared" si="86"/>
        <v>0</v>
      </c>
      <c r="N805" s="470" t="s">
        <v>347</v>
      </c>
      <c r="O805" s="470">
        <f t="shared" si="87"/>
        <v>0</v>
      </c>
      <c r="P805" s="37" t="str">
        <f t="shared" si="90"/>
        <v>1 + 0</v>
      </c>
      <c r="Q805" s="470" t="s">
        <v>346</v>
      </c>
      <c r="R805" s="37">
        <f t="shared" si="88"/>
        <v>0</v>
      </c>
      <c r="S805" s="470" t="s">
        <v>347</v>
      </c>
      <c r="T805" s="470">
        <f t="shared" si="89"/>
        <v>0</v>
      </c>
      <c r="U805" s="470" t="s">
        <v>346</v>
      </c>
      <c r="V805" s="111">
        <f>IF(OR(F805="none",G805="V"),0,VLOOKUP(F805,'Purchased Boons'!$AR$4:$AS$27,2,FALSE))</f>
        <v>0</v>
      </c>
      <c r="W805" s="39" t="s">
        <v>1633</v>
      </c>
      <c r="X805" s="37" t="s">
        <v>1586</v>
      </c>
      <c r="Y805" s="37" t="s">
        <v>5</v>
      </c>
      <c r="Z805" s="111">
        <v>95</v>
      </c>
    </row>
    <row r="806" spans="1:26" x14ac:dyDescent="0.25">
      <c r="A806" s="468" t="s">
        <v>1234</v>
      </c>
      <c r="B806" s="36" t="s">
        <v>371</v>
      </c>
      <c r="C806" s="469">
        <v>7</v>
      </c>
      <c r="D806" s="470" t="s">
        <v>13</v>
      </c>
      <c r="E806" s="37">
        <f t="shared" si="82"/>
        <v>1</v>
      </c>
      <c r="F806" s="470" t="s">
        <v>49</v>
      </c>
      <c r="G806" s="37">
        <f t="shared" si="83"/>
        <v>0</v>
      </c>
      <c r="H806" s="37" t="s">
        <v>494</v>
      </c>
      <c r="I806" s="37">
        <f t="shared" si="84"/>
        <v>0</v>
      </c>
      <c r="J806" s="37" t="s">
        <v>347</v>
      </c>
      <c r="K806" s="37">
        <f t="shared" si="85"/>
        <v>0</v>
      </c>
      <c r="L806" s="37" t="s">
        <v>494</v>
      </c>
      <c r="M806" s="37">
        <f t="shared" si="86"/>
        <v>0</v>
      </c>
      <c r="N806" s="470" t="s">
        <v>347</v>
      </c>
      <c r="O806" s="470">
        <f t="shared" si="87"/>
        <v>0</v>
      </c>
      <c r="P806" s="37" t="str">
        <f t="shared" si="90"/>
        <v>1 + 0</v>
      </c>
      <c r="Q806" s="470" t="s">
        <v>346</v>
      </c>
      <c r="R806" s="37">
        <f t="shared" si="88"/>
        <v>0</v>
      </c>
      <c r="S806" s="470" t="s">
        <v>347</v>
      </c>
      <c r="T806" s="470">
        <f t="shared" si="89"/>
        <v>0</v>
      </c>
      <c r="U806" s="470" t="s">
        <v>346</v>
      </c>
      <c r="V806" s="111">
        <f>IF(OR(F806="none",G806="V"),0,VLOOKUP(F806,'Purchased Boons'!$AR$4:$AS$27,2,FALSE))</f>
        <v>0</v>
      </c>
      <c r="W806" s="39" t="s">
        <v>1578</v>
      </c>
      <c r="X806" s="37" t="s">
        <v>1600</v>
      </c>
      <c r="Y806" s="37" t="s">
        <v>1045</v>
      </c>
      <c r="Z806" s="111">
        <v>98</v>
      </c>
    </row>
    <row r="807" spans="1:26" x14ac:dyDescent="0.25">
      <c r="A807" s="468" t="s">
        <v>1417</v>
      </c>
      <c r="B807" s="36" t="s">
        <v>371</v>
      </c>
      <c r="C807" s="469">
        <v>7</v>
      </c>
      <c r="D807" s="470" t="s">
        <v>16</v>
      </c>
      <c r="E807" s="37">
        <f t="shared" si="82"/>
        <v>1</v>
      </c>
      <c r="F807" s="470" t="s">
        <v>51</v>
      </c>
      <c r="G807" s="37">
        <f t="shared" si="83"/>
        <v>0</v>
      </c>
      <c r="H807" s="37" t="s">
        <v>494</v>
      </c>
      <c r="I807" s="37">
        <f t="shared" si="84"/>
        <v>0</v>
      </c>
      <c r="J807" s="37" t="s">
        <v>347</v>
      </c>
      <c r="K807" s="37">
        <f t="shared" si="85"/>
        <v>0</v>
      </c>
      <c r="L807" s="37" t="s">
        <v>494</v>
      </c>
      <c r="M807" s="37">
        <f t="shared" si="86"/>
        <v>0</v>
      </c>
      <c r="N807" s="470" t="s">
        <v>347</v>
      </c>
      <c r="O807" s="470">
        <f t="shared" si="87"/>
        <v>0</v>
      </c>
      <c r="P807" s="37" t="str">
        <f t="shared" si="90"/>
        <v>1 + 0</v>
      </c>
      <c r="Q807" s="470" t="s">
        <v>346</v>
      </c>
      <c r="R807" s="37">
        <f t="shared" si="88"/>
        <v>0</v>
      </c>
      <c r="S807" s="470" t="s">
        <v>347</v>
      </c>
      <c r="T807" s="470">
        <f t="shared" si="89"/>
        <v>0</v>
      </c>
      <c r="U807" s="470" t="s">
        <v>346</v>
      </c>
      <c r="V807" s="111">
        <f>IF(OR(F807="none",G807="V"),0,VLOOKUP(F807,'Purchased Boons'!$AR$4:$AS$27,2,FALSE))</f>
        <v>0</v>
      </c>
      <c r="W807" s="39" t="s">
        <v>1608</v>
      </c>
      <c r="X807" s="37" t="s">
        <v>1536</v>
      </c>
      <c r="Y807" s="37" t="s">
        <v>1046</v>
      </c>
      <c r="Z807" s="111">
        <v>81</v>
      </c>
    </row>
    <row r="808" spans="1:26" x14ac:dyDescent="0.25">
      <c r="A808" s="468" t="s">
        <v>1304</v>
      </c>
      <c r="B808" s="36" t="s">
        <v>367</v>
      </c>
      <c r="C808" s="469">
        <v>10</v>
      </c>
      <c r="D808" s="470" t="s">
        <v>13</v>
      </c>
      <c r="E808" s="37">
        <f t="shared" ref="E808:E844" si="91">VLOOKUP(D808,$AC$2:$AD$12,2,FALSE)</f>
        <v>1</v>
      </c>
      <c r="F808" s="470" t="s">
        <v>57</v>
      </c>
      <c r="G808" s="37">
        <f t="shared" ref="G808:G844" si="92">VLOOKUP(F808,$AF$2:$AH$27,2,FALSE)</f>
        <v>0</v>
      </c>
      <c r="H808" s="37" t="s">
        <v>494</v>
      </c>
      <c r="I808" s="37">
        <f t="shared" ref="I808:I844" si="93">VLOOKUP(H808,$AI$2:$AJ$42,2,FALSE)</f>
        <v>0</v>
      </c>
      <c r="J808" s="37" t="s">
        <v>347</v>
      </c>
      <c r="K808" s="37">
        <f t="shared" ref="K808:K844" si="94">IF(J808="Yes",$AJ$56,0)</f>
        <v>0</v>
      </c>
      <c r="L808" s="37" t="s">
        <v>494</v>
      </c>
      <c r="M808" s="37">
        <f t="shared" ref="M808:M844" si="95">VLOOKUP(L808,$AI$43:$AJ$55,2,FALSE)</f>
        <v>0</v>
      </c>
      <c r="N808" s="470" t="s">
        <v>347</v>
      </c>
      <c r="O808" s="470">
        <f t="shared" ref="O808:O844" si="96">IF(N808="Yes",$AJ$57,0)</f>
        <v>0</v>
      </c>
      <c r="P808" s="37" t="str">
        <f t="shared" si="90"/>
        <v>1 + 0</v>
      </c>
      <c r="Q808" s="470" t="s">
        <v>346</v>
      </c>
      <c r="R808" s="37">
        <f t="shared" ref="R808:R844" si="97">IF(Q808="Yes",VLOOKUP(D808,$AC$2:$AE$12,3,FALSE),0)</f>
        <v>0</v>
      </c>
      <c r="S808" s="470" t="s">
        <v>347</v>
      </c>
      <c r="T808" s="470">
        <f t="shared" ref="T808:T844" si="98">IF(S808="Yes",$AJ$57,0)</f>
        <v>0</v>
      </c>
      <c r="U808" s="470" t="s">
        <v>346</v>
      </c>
      <c r="V808" s="111">
        <f>IF(OR(F808="none",G808="V"),0,VLOOKUP(F808,'Purchased Boons'!$AR$4:$AS$27,2,FALSE))</f>
        <v>0</v>
      </c>
      <c r="W808" s="39" t="s">
        <v>1643</v>
      </c>
      <c r="X808" s="37" t="s">
        <v>1528</v>
      </c>
      <c r="Y808" s="37" t="s">
        <v>5</v>
      </c>
      <c r="Z808" s="111">
        <v>104</v>
      </c>
    </row>
    <row r="809" spans="1:26" x14ac:dyDescent="0.25">
      <c r="A809" s="468" t="s">
        <v>1413</v>
      </c>
      <c r="B809" s="36" t="s">
        <v>371</v>
      </c>
      <c r="C809" s="469">
        <v>3</v>
      </c>
      <c r="D809" s="470" t="s">
        <v>16</v>
      </c>
      <c r="E809" s="37">
        <f t="shared" si="91"/>
        <v>1</v>
      </c>
      <c r="F809" s="470" t="s">
        <v>51</v>
      </c>
      <c r="G809" s="37">
        <f t="shared" si="92"/>
        <v>0</v>
      </c>
      <c r="H809" s="37" t="s">
        <v>494</v>
      </c>
      <c r="I809" s="37">
        <f t="shared" si="93"/>
        <v>0</v>
      </c>
      <c r="J809" s="37" t="s">
        <v>347</v>
      </c>
      <c r="K809" s="37">
        <f t="shared" si="94"/>
        <v>0</v>
      </c>
      <c r="L809" s="37" t="s">
        <v>494</v>
      </c>
      <c r="M809" s="37">
        <f t="shared" si="95"/>
        <v>0</v>
      </c>
      <c r="N809" s="470" t="s">
        <v>347</v>
      </c>
      <c r="O809" s="470">
        <f t="shared" si="96"/>
        <v>0</v>
      </c>
      <c r="P809" s="37" t="str">
        <f t="shared" si="90"/>
        <v>1 + 0</v>
      </c>
      <c r="Q809" s="470" t="s">
        <v>346</v>
      </c>
      <c r="R809" s="37">
        <f t="shared" si="97"/>
        <v>0</v>
      </c>
      <c r="S809" s="470" t="s">
        <v>347</v>
      </c>
      <c r="T809" s="470">
        <f t="shared" si="98"/>
        <v>0</v>
      </c>
      <c r="U809" s="470" t="s">
        <v>346</v>
      </c>
      <c r="V809" s="111">
        <f>IF(OR(F809="none",G809="V"),0,VLOOKUP(F809,'Purchased Boons'!$AR$4:$AS$27,2,FALSE))</f>
        <v>0</v>
      </c>
      <c r="W809" s="39" t="s">
        <v>1666</v>
      </c>
      <c r="X809" s="37" t="s">
        <v>1536</v>
      </c>
      <c r="Y809" s="37" t="s">
        <v>1046</v>
      </c>
      <c r="Z809" s="111">
        <v>80</v>
      </c>
    </row>
    <row r="810" spans="1:26" x14ac:dyDescent="0.25">
      <c r="A810" s="468" t="s">
        <v>1367</v>
      </c>
      <c r="B810" s="36" t="s">
        <v>179</v>
      </c>
      <c r="C810" s="469">
        <v>9</v>
      </c>
      <c r="D810" s="470" t="s">
        <v>17</v>
      </c>
      <c r="E810" s="37">
        <f t="shared" si="91"/>
        <v>1</v>
      </c>
      <c r="F810" s="470" t="s">
        <v>51</v>
      </c>
      <c r="G810" s="37">
        <f t="shared" si="92"/>
        <v>0</v>
      </c>
      <c r="H810" s="37" t="s">
        <v>494</v>
      </c>
      <c r="I810" s="37">
        <f t="shared" si="93"/>
        <v>0</v>
      </c>
      <c r="J810" s="37" t="s">
        <v>347</v>
      </c>
      <c r="K810" s="37">
        <f t="shared" si="94"/>
        <v>0</v>
      </c>
      <c r="L810" s="37" t="s">
        <v>494</v>
      </c>
      <c r="M810" s="37">
        <f t="shared" si="95"/>
        <v>0</v>
      </c>
      <c r="N810" s="470" t="s">
        <v>347</v>
      </c>
      <c r="O810" s="470">
        <f t="shared" si="96"/>
        <v>0</v>
      </c>
      <c r="P810" s="37" t="str">
        <f t="shared" si="90"/>
        <v>1 + 0</v>
      </c>
      <c r="Q810" s="470" t="s">
        <v>346</v>
      </c>
      <c r="R810" s="37">
        <f t="shared" si="97"/>
        <v>0</v>
      </c>
      <c r="S810" s="470" t="s">
        <v>347</v>
      </c>
      <c r="T810" s="470">
        <f t="shared" si="98"/>
        <v>0</v>
      </c>
      <c r="U810" s="470" t="s">
        <v>346</v>
      </c>
      <c r="V810" s="111">
        <f>IF(OR(F810="none",G810="V"),0,VLOOKUP(F810,'Purchased Boons'!$AR$4:$AS$27,2,FALSE))</f>
        <v>0</v>
      </c>
      <c r="W810" s="39" t="s">
        <v>1645</v>
      </c>
      <c r="X810" s="37" t="s">
        <v>1553</v>
      </c>
      <c r="Y810" s="37" t="s">
        <v>1046</v>
      </c>
      <c r="Z810" s="111">
        <v>25</v>
      </c>
    </row>
    <row r="811" spans="1:26" x14ac:dyDescent="0.25">
      <c r="A811" s="468" t="s">
        <v>1164</v>
      </c>
      <c r="B811" s="36" t="s">
        <v>357</v>
      </c>
      <c r="C811" s="469">
        <v>5</v>
      </c>
      <c r="D811" s="470" t="s">
        <v>20</v>
      </c>
      <c r="E811" s="37">
        <f t="shared" si="91"/>
        <v>1</v>
      </c>
      <c r="F811" s="470" t="s">
        <v>53</v>
      </c>
      <c r="G811" s="37">
        <f t="shared" si="92"/>
        <v>0</v>
      </c>
      <c r="H811" s="37" t="s">
        <v>494</v>
      </c>
      <c r="I811" s="37">
        <f t="shared" si="93"/>
        <v>0</v>
      </c>
      <c r="J811" s="37" t="s">
        <v>347</v>
      </c>
      <c r="K811" s="37">
        <f t="shared" si="94"/>
        <v>0</v>
      </c>
      <c r="L811" s="37" t="s">
        <v>494</v>
      </c>
      <c r="M811" s="37">
        <f t="shared" si="95"/>
        <v>0</v>
      </c>
      <c r="N811" s="470" t="s">
        <v>347</v>
      </c>
      <c r="O811" s="470">
        <f t="shared" si="96"/>
        <v>0</v>
      </c>
      <c r="P811" s="37" t="str">
        <f t="shared" si="90"/>
        <v>1 + 0</v>
      </c>
      <c r="Q811" s="470" t="s">
        <v>346</v>
      </c>
      <c r="R811" s="37">
        <f t="shared" si="97"/>
        <v>0</v>
      </c>
      <c r="S811" s="470" t="s">
        <v>347</v>
      </c>
      <c r="T811" s="470">
        <f t="shared" si="98"/>
        <v>0</v>
      </c>
      <c r="U811" s="470" t="s">
        <v>346</v>
      </c>
      <c r="V811" s="111">
        <f>IF(OR(F811="none",G811="V"),0,VLOOKUP(F811,'Purchased Boons'!$AR$4:$AS$27,2,FALSE))</f>
        <v>0</v>
      </c>
      <c r="W811" s="39" t="s">
        <v>1054</v>
      </c>
      <c r="X811" s="37" t="s">
        <v>1582</v>
      </c>
      <c r="Y811" s="37" t="s">
        <v>1045</v>
      </c>
      <c r="Z811" s="111">
        <v>76</v>
      </c>
    </row>
    <row r="812" spans="1:26" x14ac:dyDescent="0.25">
      <c r="A812" s="468" t="s">
        <v>1477</v>
      </c>
      <c r="B812" s="36" t="s">
        <v>364</v>
      </c>
      <c r="C812" s="469">
        <v>5</v>
      </c>
      <c r="D812" s="470" t="s">
        <v>494</v>
      </c>
      <c r="E812" s="37">
        <f t="shared" si="91"/>
        <v>0</v>
      </c>
      <c r="F812" s="470" t="s">
        <v>494</v>
      </c>
      <c r="G812" s="37">
        <f t="shared" si="92"/>
        <v>0</v>
      </c>
      <c r="H812" s="37" t="s">
        <v>494</v>
      </c>
      <c r="I812" s="37">
        <f t="shared" si="93"/>
        <v>0</v>
      </c>
      <c r="J812" s="37" t="s">
        <v>346</v>
      </c>
      <c r="K812" s="37">
        <f t="shared" si="94"/>
        <v>2</v>
      </c>
      <c r="L812" s="37" t="s">
        <v>494</v>
      </c>
      <c r="M812" s="37">
        <f t="shared" si="95"/>
        <v>0</v>
      </c>
      <c r="N812" s="470" t="s">
        <v>346</v>
      </c>
      <c r="O812" s="470">
        <f t="shared" si="96"/>
        <v>2</v>
      </c>
      <c r="P812" s="37" t="str">
        <f t="shared" si="90"/>
        <v>4 + 0</v>
      </c>
      <c r="Q812" s="470" t="s">
        <v>346</v>
      </c>
      <c r="R812" s="37">
        <f t="shared" si="97"/>
        <v>0</v>
      </c>
      <c r="S812" s="470" t="s">
        <v>347</v>
      </c>
      <c r="T812" s="470">
        <f t="shared" si="98"/>
        <v>0</v>
      </c>
      <c r="U812" s="470" t="s">
        <v>346</v>
      </c>
      <c r="V812" s="111">
        <f>IF(OR(F812="none",G812="V"),0,VLOOKUP(F812,'Purchased Boons'!$AR$4:$AS$27,2,FALSE))</f>
        <v>0</v>
      </c>
      <c r="W812" s="39" t="s">
        <v>1063</v>
      </c>
      <c r="X812" s="37" t="s">
        <v>1672</v>
      </c>
      <c r="Y812" s="37" t="s">
        <v>1462</v>
      </c>
      <c r="Z812" s="111">
        <v>18</v>
      </c>
    </row>
    <row r="813" spans="1:26" x14ac:dyDescent="0.25">
      <c r="A813" s="468" t="s">
        <v>1311</v>
      </c>
      <c r="B813" s="36" t="s">
        <v>175</v>
      </c>
      <c r="C813" s="469">
        <v>10</v>
      </c>
      <c r="D813" s="470" t="s">
        <v>1645</v>
      </c>
      <c r="E813" s="37" t="str">
        <f t="shared" si="91"/>
        <v>V</v>
      </c>
      <c r="F813" s="470" t="s">
        <v>1063</v>
      </c>
      <c r="G813" s="37" t="str">
        <f t="shared" si="92"/>
        <v>V</v>
      </c>
      <c r="H813" s="37" t="s">
        <v>494</v>
      </c>
      <c r="I813" s="37">
        <f t="shared" si="93"/>
        <v>0</v>
      </c>
      <c r="J813" s="37" t="s">
        <v>347</v>
      </c>
      <c r="K813" s="37">
        <f t="shared" si="94"/>
        <v>0</v>
      </c>
      <c r="L813" s="37" t="s">
        <v>494</v>
      </c>
      <c r="M813" s="37">
        <f t="shared" si="95"/>
        <v>0</v>
      </c>
      <c r="N813" s="470" t="s">
        <v>347</v>
      </c>
      <c r="O813" s="470">
        <f t="shared" si="96"/>
        <v>0</v>
      </c>
      <c r="P813" s="37" t="str">
        <f t="shared" si="90"/>
        <v>Varies</v>
      </c>
      <c r="Q813" s="470" t="s">
        <v>346</v>
      </c>
      <c r="R813" s="37" t="str">
        <f t="shared" si="97"/>
        <v>V</v>
      </c>
      <c r="S813" s="470" t="s">
        <v>347</v>
      </c>
      <c r="T813" s="470">
        <f t="shared" si="98"/>
        <v>0</v>
      </c>
      <c r="U813" s="470" t="s">
        <v>346</v>
      </c>
      <c r="V813" s="111">
        <f>IF(OR(F813="none",G813="V"),0,VLOOKUP(F813,'Purchased Boons'!$AR$4:$AS$27,2,FALSE))</f>
        <v>0</v>
      </c>
      <c r="W813" s="39" t="s">
        <v>1645</v>
      </c>
      <c r="X813" s="37" t="s">
        <v>1063</v>
      </c>
      <c r="Y813" s="37" t="s">
        <v>5</v>
      </c>
      <c r="Z813" s="111">
        <v>105</v>
      </c>
    </row>
    <row r="814" spans="1:26" x14ac:dyDescent="0.25">
      <c r="A814" s="473" t="s">
        <v>1486</v>
      </c>
      <c r="B814" s="39" t="s">
        <v>690</v>
      </c>
      <c r="C814" s="469">
        <v>2</v>
      </c>
      <c r="D814" s="470" t="s">
        <v>494</v>
      </c>
      <c r="E814" s="37">
        <f t="shared" si="91"/>
        <v>0</v>
      </c>
      <c r="F814" s="470" t="s">
        <v>494</v>
      </c>
      <c r="G814" s="37">
        <f t="shared" si="92"/>
        <v>0</v>
      </c>
      <c r="H814" s="37" t="s">
        <v>494</v>
      </c>
      <c r="I814" s="37">
        <f t="shared" si="93"/>
        <v>0</v>
      </c>
      <c r="J814" s="37" t="s">
        <v>347</v>
      </c>
      <c r="K814" s="37">
        <f t="shared" si="94"/>
        <v>0</v>
      </c>
      <c r="L814" s="37" t="s">
        <v>494</v>
      </c>
      <c r="M814" s="37">
        <f t="shared" si="95"/>
        <v>0</v>
      </c>
      <c r="N814" s="470" t="s">
        <v>347</v>
      </c>
      <c r="O814" s="470">
        <f t="shared" si="96"/>
        <v>0</v>
      </c>
      <c r="P814" s="37" t="str">
        <f t="shared" ref="P814:P844" si="99">IF(OR(D814="Varies",F814="Varies",H814="Varies",L814="Varies"),"Varies",IF(AND(D814="None",F814="None",H814="None",L814="None",J814="No",N814="No"),"None",CONCATENATE(E814+G814+V814+I814+K814+M814+O814," + ",R814+T814)))</f>
        <v>None</v>
      </c>
      <c r="Q814" s="470" t="s">
        <v>346</v>
      </c>
      <c r="R814" s="37">
        <f t="shared" si="97"/>
        <v>0</v>
      </c>
      <c r="S814" s="470" t="s">
        <v>347</v>
      </c>
      <c r="T814" s="470">
        <f t="shared" si="98"/>
        <v>0</v>
      </c>
      <c r="U814" s="470" t="s">
        <v>346</v>
      </c>
      <c r="V814" s="111">
        <f>IF(OR(F814="none",G814="V"),0,VLOOKUP(F814,'Purchased Boons'!$AR$4:$AS$27,2,FALSE))</f>
        <v>0</v>
      </c>
      <c r="W814" s="39" t="s">
        <v>1050</v>
      </c>
      <c r="X814" s="37" t="s">
        <v>494</v>
      </c>
      <c r="Y814" s="37" t="s">
        <v>1484</v>
      </c>
      <c r="Z814" s="111">
        <v>36</v>
      </c>
    </row>
    <row r="815" spans="1:26" x14ac:dyDescent="0.25">
      <c r="A815" s="468" t="s">
        <v>1378</v>
      </c>
      <c r="B815" s="36" t="s">
        <v>1343</v>
      </c>
      <c r="C815" s="469">
        <v>10</v>
      </c>
      <c r="D815" s="470" t="s">
        <v>20</v>
      </c>
      <c r="E815" s="37">
        <f t="shared" si="91"/>
        <v>1</v>
      </c>
      <c r="F815" s="470" t="s">
        <v>58</v>
      </c>
      <c r="G815" s="37">
        <f t="shared" si="92"/>
        <v>0</v>
      </c>
      <c r="H815" s="37" t="s">
        <v>494</v>
      </c>
      <c r="I815" s="37">
        <f t="shared" si="93"/>
        <v>0</v>
      </c>
      <c r="J815" s="37" t="s">
        <v>347</v>
      </c>
      <c r="K815" s="37">
        <f t="shared" si="94"/>
        <v>0</v>
      </c>
      <c r="L815" s="37" t="s">
        <v>494</v>
      </c>
      <c r="M815" s="37">
        <f t="shared" si="95"/>
        <v>0</v>
      </c>
      <c r="N815" s="470" t="s">
        <v>347</v>
      </c>
      <c r="O815" s="470">
        <f t="shared" si="96"/>
        <v>0</v>
      </c>
      <c r="P815" s="37" t="str">
        <f t="shared" si="99"/>
        <v>1 + 0</v>
      </c>
      <c r="Q815" s="470" t="s">
        <v>346</v>
      </c>
      <c r="R815" s="37">
        <f t="shared" si="97"/>
        <v>0</v>
      </c>
      <c r="S815" s="470" t="s">
        <v>347</v>
      </c>
      <c r="T815" s="470">
        <f t="shared" si="98"/>
        <v>0</v>
      </c>
      <c r="U815" s="470" t="s">
        <v>346</v>
      </c>
      <c r="V815" s="111">
        <f>IF(OR(F815="none",G815="V"),0,VLOOKUP(F815,'Purchased Boons'!$AR$4:$AS$27,2,FALSE))</f>
        <v>0</v>
      </c>
      <c r="W815" s="39" t="s">
        <v>1653</v>
      </c>
      <c r="X815" s="37" t="s">
        <v>1658</v>
      </c>
      <c r="Y815" s="37" t="s">
        <v>1046</v>
      </c>
      <c r="Z815" s="111">
        <v>70</v>
      </c>
    </row>
    <row r="816" spans="1:26" x14ac:dyDescent="0.25">
      <c r="A816" s="468" t="s">
        <v>1099</v>
      </c>
      <c r="B816" s="36" t="s">
        <v>362</v>
      </c>
      <c r="C816" s="469">
        <v>3</v>
      </c>
      <c r="D816" s="470" t="s">
        <v>494</v>
      </c>
      <c r="E816" s="37">
        <f t="shared" si="91"/>
        <v>0</v>
      </c>
      <c r="F816" s="470" t="s">
        <v>494</v>
      </c>
      <c r="G816" s="37">
        <f t="shared" si="92"/>
        <v>0</v>
      </c>
      <c r="H816" s="37" t="s">
        <v>494</v>
      </c>
      <c r="I816" s="37">
        <f t="shared" si="93"/>
        <v>0</v>
      </c>
      <c r="J816" s="37" t="s">
        <v>347</v>
      </c>
      <c r="K816" s="37">
        <f t="shared" si="94"/>
        <v>0</v>
      </c>
      <c r="L816" s="37" t="s">
        <v>494</v>
      </c>
      <c r="M816" s="37">
        <f t="shared" si="95"/>
        <v>0</v>
      </c>
      <c r="N816" s="470" t="s">
        <v>347</v>
      </c>
      <c r="O816" s="470">
        <f t="shared" si="96"/>
        <v>0</v>
      </c>
      <c r="P816" s="37" t="str">
        <f t="shared" si="99"/>
        <v>None</v>
      </c>
      <c r="Q816" s="470" t="s">
        <v>346</v>
      </c>
      <c r="R816" s="37">
        <f t="shared" si="97"/>
        <v>0</v>
      </c>
      <c r="S816" s="470" t="s">
        <v>347</v>
      </c>
      <c r="T816" s="470">
        <f t="shared" si="98"/>
        <v>0</v>
      </c>
      <c r="U816" s="470" t="s">
        <v>346</v>
      </c>
      <c r="V816" s="111">
        <f>IF(OR(F816="none",G816="V"),0,VLOOKUP(F816,'Purchased Boons'!$AR$4:$AS$27,2,FALSE))</f>
        <v>0</v>
      </c>
      <c r="W816" s="39" t="s">
        <v>1050</v>
      </c>
      <c r="X816" s="37" t="s">
        <v>494</v>
      </c>
      <c r="Y816" s="37" t="s">
        <v>133</v>
      </c>
      <c r="Z816" s="111">
        <v>146</v>
      </c>
    </row>
    <row r="817" spans="1:26" x14ac:dyDescent="0.25">
      <c r="A817" s="468" t="s">
        <v>1097</v>
      </c>
      <c r="B817" s="36" t="s">
        <v>362</v>
      </c>
      <c r="C817" s="469">
        <v>1</v>
      </c>
      <c r="D817" s="470" t="s">
        <v>494</v>
      </c>
      <c r="E817" s="37">
        <f t="shared" si="91"/>
        <v>0</v>
      </c>
      <c r="F817" s="470" t="s">
        <v>494</v>
      </c>
      <c r="G817" s="37">
        <f t="shared" si="92"/>
        <v>0</v>
      </c>
      <c r="H817" s="37" t="s">
        <v>494</v>
      </c>
      <c r="I817" s="37">
        <f t="shared" si="93"/>
        <v>0</v>
      </c>
      <c r="J817" s="37" t="s">
        <v>347</v>
      </c>
      <c r="K817" s="37">
        <f t="shared" si="94"/>
        <v>0</v>
      </c>
      <c r="L817" s="37" t="s">
        <v>494</v>
      </c>
      <c r="M817" s="37">
        <f t="shared" si="95"/>
        <v>0</v>
      </c>
      <c r="N817" s="470" t="s">
        <v>347</v>
      </c>
      <c r="O817" s="470">
        <f t="shared" si="96"/>
        <v>0</v>
      </c>
      <c r="P817" s="37" t="str">
        <f t="shared" si="99"/>
        <v>None</v>
      </c>
      <c r="Q817" s="470" t="s">
        <v>346</v>
      </c>
      <c r="R817" s="37">
        <f t="shared" si="97"/>
        <v>0</v>
      </c>
      <c r="S817" s="470" t="s">
        <v>347</v>
      </c>
      <c r="T817" s="470">
        <f t="shared" si="98"/>
        <v>0</v>
      </c>
      <c r="U817" s="470" t="s">
        <v>346</v>
      </c>
      <c r="V817" s="111">
        <f>IF(OR(F817="none",G817="V"),0,VLOOKUP(F817,'Purchased Boons'!$AR$4:$AS$27,2,FALSE))</f>
        <v>0</v>
      </c>
      <c r="W817" s="39" t="s">
        <v>1050</v>
      </c>
      <c r="X817" s="37" t="s">
        <v>494</v>
      </c>
      <c r="Y817" s="37" t="s">
        <v>133</v>
      </c>
      <c r="Z817" s="111">
        <v>146</v>
      </c>
    </row>
    <row r="818" spans="1:26" x14ac:dyDescent="0.25">
      <c r="A818" s="468" t="s">
        <v>1249</v>
      </c>
      <c r="B818" s="36" t="s">
        <v>353</v>
      </c>
      <c r="C818" s="469">
        <v>10</v>
      </c>
      <c r="D818" s="470" t="s">
        <v>21</v>
      </c>
      <c r="E818" s="37">
        <f t="shared" si="91"/>
        <v>1</v>
      </c>
      <c r="F818" s="470" t="s">
        <v>57</v>
      </c>
      <c r="G818" s="37">
        <f t="shared" si="92"/>
        <v>0</v>
      </c>
      <c r="H818" s="37" t="s">
        <v>494</v>
      </c>
      <c r="I818" s="37">
        <f t="shared" si="93"/>
        <v>0</v>
      </c>
      <c r="J818" s="37" t="s">
        <v>347</v>
      </c>
      <c r="K818" s="37">
        <f t="shared" si="94"/>
        <v>0</v>
      </c>
      <c r="L818" s="37" t="s">
        <v>494</v>
      </c>
      <c r="M818" s="37">
        <f t="shared" si="95"/>
        <v>0</v>
      </c>
      <c r="N818" s="470" t="s">
        <v>347</v>
      </c>
      <c r="O818" s="470">
        <f t="shared" si="96"/>
        <v>0</v>
      </c>
      <c r="P818" s="37" t="str">
        <f t="shared" si="99"/>
        <v>1 + 0</v>
      </c>
      <c r="Q818" s="470" t="s">
        <v>346</v>
      </c>
      <c r="R818" s="37">
        <f t="shared" si="97"/>
        <v>0</v>
      </c>
      <c r="S818" s="470" t="s">
        <v>347</v>
      </c>
      <c r="T818" s="470">
        <f t="shared" si="98"/>
        <v>0</v>
      </c>
      <c r="U818" s="470" t="s">
        <v>346</v>
      </c>
      <c r="V818" s="111">
        <f>IF(OR(F818="none",G818="V"),0,VLOOKUP(F818,'Purchased Boons'!$AR$4:$AS$27,2,FALSE))</f>
        <v>0</v>
      </c>
      <c r="W818" s="39" t="s">
        <v>1637</v>
      </c>
      <c r="X818" s="37" t="s">
        <v>1656</v>
      </c>
      <c r="Y818" s="37" t="s">
        <v>5</v>
      </c>
      <c r="Z818" s="111">
        <v>84</v>
      </c>
    </row>
    <row r="819" spans="1:26" x14ac:dyDescent="0.25">
      <c r="A819" s="468" t="s">
        <v>1382</v>
      </c>
      <c r="B819" s="36" t="s">
        <v>353</v>
      </c>
      <c r="C819" s="469">
        <v>8</v>
      </c>
      <c r="D819" s="470" t="s">
        <v>21</v>
      </c>
      <c r="E819" s="37">
        <f t="shared" si="91"/>
        <v>1</v>
      </c>
      <c r="F819" s="470" t="s">
        <v>57</v>
      </c>
      <c r="G819" s="37">
        <f t="shared" si="92"/>
        <v>0</v>
      </c>
      <c r="H819" s="37" t="s">
        <v>494</v>
      </c>
      <c r="I819" s="37">
        <f t="shared" si="93"/>
        <v>0</v>
      </c>
      <c r="J819" s="37" t="s">
        <v>347</v>
      </c>
      <c r="K819" s="37">
        <f t="shared" si="94"/>
        <v>0</v>
      </c>
      <c r="L819" s="37" t="s">
        <v>494</v>
      </c>
      <c r="M819" s="37">
        <f t="shared" si="95"/>
        <v>0</v>
      </c>
      <c r="N819" s="470" t="s">
        <v>347</v>
      </c>
      <c r="O819" s="470">
        <f t="shared" si="96"/>
        <v>0</v>
      </c>
      <c r="P819" s="37" t="str">
        <f t="shared" si="99"/>
        <v>1 + 0</v>
      </c>
      <c r="Q819" s="470" t="s">
        <v>346</v>
      </c>
      <c r="R819" s="37">
        <f t="shared" si="97"/>
        <v>0</v>
      </c>
      <c r="S819" s="470" t="s">
        <v>347</v>
      </c>
      <c r="T819" s="470">
        <f t="shared" si="98"/>
        <v>0</v>
      </c>
      <c r="U819" s="470" t="s">
        <v>346</v>
      </c>
      <c r="V819" s="111">
        <f>IF(OR(F819="none",G819="V"),0,VLOOKUP(F819,'Purchased Boons'!$AR$4:$AS$27,2,FALSE))</f>
        <v>0</v>
      </c>
      <c r="W819" s="39" t="s">
        <v>1679</v>
      </c>
      <c r="X819" s="37" t="s">
        <v>1656</v>
      </c>
      <c r="Y819" s="37" t="s">
        <v>1046</v>
      </c>
      <c r="Z819" s="111">
        <v>71</v>
      </c>
    </row>
    <row r="820" spans="1:26" x14ac:dyDescent="0.25">
      <c r="A820" s="468" t="s">
        <v>1075</v>
      </c>
      <c r="B820" s="36" t="s">
        <v>355</v>
      </c>
      <c r="C820" s="469">
        <v>3</v>
      </c>
      <c r="D820" s="470" t="s">
        <v>16</v>
      </c>
      <c r="E820" s="37">
        <f t="shared" si="91"/>
        <v>1</v>
      </c>
      <c r="F820" s="470" t="s">
        <v>40</v>
      </c>
      <c r="G820" s="37">
        <f t="shared" si="92"/>
        <v>0</v>
      </c>
      <c r="H820" s="37" t="s">
        <v>494</v>
      </c>
      <c r="I820" s="37">
        <f t="shared" si="93"/>
        <v>0</v>
      </c>
      <c r="J820" s="37" t="s">
        <v>347</v>
      </c>
      <c r="K820" s="37">
        <f t="shared" si="94"/>
        <v>0</v>
      </c>
      <c r="L820" s="37" t="s">
        <v>494</v>
      </c>
      <c r="M820" s="37">
        <f t="shared" si="95"/>
        <v>0</v>
      </c>
      <c r="N820" s="470" t="s">
        <v>347</v>
      </c>
      <c r="O820" s="470">
        <f t="shared" si="96"/>
        <v>0</v>
      </c>
      <c r="P820" s="37" t="str">
        <f t="shared" si="99"/>
        <v>1 + 0</v>
      </c>
      <c r="Q820" s="470" t="s">
        <v>346</v>
      </c>
      <c r="R820" s="37">
        <f t="shared" si="97"/>
        <v>0</v>
      </c>
      <c r="S820" s="470" t="s">
        <v>347</v>
      </c>
      <c r="T820" s="470">
        <f t="shared" si="98"/>
        <v>0</v>
      </c>
      <c r="U820" s="470" t="s">
        <v>346</v>
      </c>
      <c r="V820" s="111">
        <f>IF(OR(F820="none",G820="V"),0,VLOOKUP(F820,'Purchased Boons'!$AR$4:$AS$27,2,FALSE))</f>
        <v>0</v>
      </c>
      <c r="W820" s="39" t="s">
        <v>1602</v>
      </c>
      <c r="X820" s="37" t="s">
        <v>1526</v>
      </c>
      <c r="Y820" s="37" t="s">
        <v>133</v>
      </c>
      <c r="Z820" s="111">
        <v>141</v>
      </c>
    </row>
    <row r="821" spans="1:26" x14ac:dyDescent="0.25">
      <c r="A821" s="468" t="s">
        <v>1171</v>
      </c>
      <c r="B821" s="36" t="s">
        <v>359</v>
      </c>
      <c r="C821" s="469">
        <v>4</v>
      </c>
      <c r="D821" s="470" t="s">
        <v>14</v>
      </c>
      <c r="E821" s="37">
        <f t="shared" si="91"/>
        <v>1</v>
      </c>
      <c r="F821" s="470" t="s">
        <v>42</v>
      </c>
      <c r="G821" s="37">
        <f t="shared" si="92"/>
        <v>0</v>
      </c>
      <c r="H821" s="37" t="s">
        <v>494</v>
      </c>
      <c r="I821" s="37">
        <f t="shared" si="93"/>
        <v>0</v>
      </c>
      <c r="J821" s="37" t="s">
        <v>347</v>
      </c>
      <c r="K821" s="37">
        <f t="shared" si="94"/>
        <v>0</v>
      </c>
      <c r="L821" s="37" t="s">
        <v>494</v>
      </c>
      <c r="M821" s="37">
        <f t="shared" si="95"/>
        <v>0</v>
      </c>
      <c r="N821" s="470" t="s">
        <v>347</v>
      </c>
      <c r="O821" s="470">
        <f t="shared" si="96"/>
        <v>0</v>
      </c>
      <c r="P821" s="37" t="str">
        <f t="shared" si="99"/>
        <v>1 + 0</v>
      </c>
      <c r="Q821" s="470" t="s">
        <v>346</v>
      </c>
      <c r="R821" s="37">
        <f t="shared" si="97"/>
        <v>0</v>
      </c>
      <c r="S821" s="470" t="s">
        <v>347</v>
      </c>
      <c r="T821" s="470">
        <f t="shared" si="98"/>
        <v>0</v>
      </c>
      <c r="U821" s="470" t="s">
        <v>346</v>
      </c>
      <c r="V821" s="111">
        <f>IF(OR(F821="none",G821="V"),0,VLOOKUP(F821,'Purchased Boons'!$AR$4:$AS$27,2,FALSE))</f>
        <v>0</v>
      </c>
      <c r="W821" s="39" t="s">
        <v>1611</v>
      </c>
      <c r="X821" s="37" t="s">
        <v>1530</v>
      </c>
      <c r="Y821" s="37" t="s">
        <v>1045</v>
      </c>
      <c r="Z821" s="111">
        <v>79</v>
      </c>
    </row>
    <row r="822" spans="1:26" x14ac:dyDescent="0.25">
      <c r="A822" s="468" t="s">
        <v>1310</v>
      </c>
      <c r="B822" s="36" t="s">
        <v>175</v>
      </c>
      <c r="C822" s="469">
        <v>9</v>
      </c>
      <c r="D822" s="470" t="s">
        <v>17</v>
      </c>
      <c r="E822" s="37">
        <f t="shared" si="91"/>
        <v>1</v>
      </c>
      <c r="F822" s="470" t="s">
        <v>494</v>
      </c>
      <c r="G822" s="37">
        <f t="shared" si="92"/>
        <v>0</v>
      </c>
      <c r="H822" s="37" t="s">
        <v>175</v>
      </c>
      <c r="I822" s="37">
        <f t="shared" si="93"/>
        <v>0</v>
      </c>
      <c r="J822" s="37" t="s">
        <v>347</v>
      </c>
      <c r="K822" s="37">
        <f t="shared" si="94"/>
        <v>0</v>
      </c>
      <c r="L822" s="37" t="s">
        <v>494</v>
      </c>
      <c r="M822" s="37">
        <f t="shared" si="95"/>
        <v>0</v>
      </c>
      <c r="N822" s="470" t="s">
        <v>347</v>
      </c>
      <c r="O822" s="470">
        <f t="shared" si="96"/>
        <v>0</v>
      </c>
      <c r="P822" s="37" t="str">
        <f t="shared" si="99"/>
        <v>1 + 0</v>
      </c>
      <c r="Q822" s="470" t="s">
        <v>346</v>
      </c>
      <c r="R822" s="37">
        <f t="shared" si="97"/>
        <v>0</v>
      </c>
      <c r="S822" s="470" t="s">
        <v>347</v>
      </c>
      <c r="T822" s="470">
        <f t="shared" si="98"/>
        <v>0</v>
      </c>
      <c r="U822" s="470" t="s">
        <v>346</v>
      </c>
      <c r="V822" s="111">
        <f>IF(OR(F822="none",G822="V"),0,VLOOKUP(F822,'Purchased Boons'!$AR$4:$AS$27,2,FALSE))</f>
        <v>0</v>
      </c>
      <c r="W822" s="39" t="s">
        <v>1644</v>
      </c>
      <c r="X822" s="37" t="s">
        <v>1595</v>
      </c>
      <c r="Y822" s="37" t="s">
        <v>5</v>
      </c>
      <c r="Z822" s="111">
        <v>105</v>
      </c>
    </row>
    <row r="823" spans="1:26" x14ac:dyDescent="0.25">
      <c r="A823" s="468" t="s">
        <v>1166</v>
      </c>
      <c r="B823" s="36" t="s">
        <v>357</v>
      </c>
      <c r="C823" s="469">
        <v>7</v>
      </c>
      <c r="D823" s="470" t="s">
        <v>20</v>
      </c>
      <c r="E823" s="37">
        <f t="shared" si="91"/>
        <v>1</v>
      </c>
      <c r="F823" s="470" t="s">
        <v>53</v>
      </c>
      <c r="G823" s="37">
        <f t="shared" si="92"/>
        <v>0</v>
      </c>
      <c r="H823" s="37" t="s">
        <v>494</v>
      </c>
      <c r="I823" s="37">
        <f t="shared" si="93"/>
        <v>0</v>
      </c>
      <c r="J823" s="37" t="s">
        <v>347</v>
      </c>
      <c r="K823" s="37">
        <f t="shared" si="94"/>
        <v>0</v>
      </c>
      <c r="L823" s="37" t="s">
        <v>494</v>
      </c>
      <c r="M823" s="37">
        <f t="shared" si="95"/>
        <v>0</v>
      </c>
      <c r="N823" s="470" t="s">
        <v>347</v>
      </c>
      <c r="O823" s="470">
        <f t="shared" si="96"/>
        <v>0</v>
      </c>
      <c r="P823" s="37" t="str">
        <f t="shared" si="99"/>
        <v>1 + 0</v>
      </c>
      <c r="Q823" s="470" t="s">
        <v>346</v>
      </c>
      <c r="R823" s="37">
        <f t="shared" si="97"/>
        <v>0</v>
      </c>
      <c r="S823" s="470" t="s">
        <v>347</v>
      </c>
      <c r="T823" s="470">
        <f t="shared" si="98"/>
        <v>0</v>
      </c>
      <c r="U823" s="470" t="s">
        <v>346</v>
      </c>
      <c r="V823" s="111">
        <f>IF(OR(F823="none",G823="V"),0,VLOOKUP(F823,'Purchased Boons'!$AR$4:$AS$27,2,FALSE))</f>
        <v>0</v>
      </c>
      <c r="W823" s="39" t="s">
        <v>1607</v>
      </c>
      <c r="X823" s="37" t="s">
        <v>1582</v>
      </c>
      <c r="Y823" s="37" t="s">
        <v>1045</v>
      </c>
      <c r="Z823" s="111">
        <v>77</v>
      </c>
    </row>
    <row r="824" spans="1:26" x14ac:dyDescent="0.25">
      <c r="A824" s="468" t="s">
        <v>1085</v>
      </c>
      <c r="B824" s="36" t="s">
        <v>359</v>
      </c>
      <c r="C824" s="469">
        <v>1</v>
      </c>
      <c r="D824" s="470" t="s">
        <v>19</v>
      </c>
      <c r="E824" s="37">
        <f t="shared" si="91"/>
        <v>1</v>
      </c>
      <c r="F824" s="470" t="s">
        <v>41</v>
      </c>
      <c r="G824" s="37">
        <f t="shared" si="92"/>
        <v>0</v>
      </c>
      <c r="H824" s="37" t="s">
        <v>494</v>
      </c>
      <c r="I824" s="37">
        <f t="shared" si="93"/>
        <v>0</v>
      </c>
      <c r="J824" s="37" t="s">
        <v>347</v>
      </c>
      <c r="K824" s="37">
        <f t="shared" si="94"/>
        <v>0</v>
      </c>
      <c r="L824" s="37" t="s">
        <v>494</v>
      </c>
      <c r="M824" s="37">
        <f t="shared" si="95"/>
        <v>0</v>
      </c>
      <c r="N824" s="470" t="s">
        <v>347</v>
      </c>
      <c r="O824" s="470">
        <f t="shared" si="96"/>
        <v>0</v>
      </c>
      <c r="P824" s="37" t="str">
        <f t="shared" si="99"/>
        <v>1 + 0</v>
      </c>
      <c r="Q824" s="470" t="s">
        <v>346</v>
      </c>
      <c r="R824" s="37">
        <f t="shared" si="97"/>
        <v>0</v>
      </c>
      <c r="S824" s="470" t="s">
        <v>347</v>
      </c>
      <c r="T824" s="470">
        <f t="shared" si="98"/>
        <v>0</v>
      </c>
      <c r="U824" s="470" t="s">
        <v>346</v>
      </c>
      <c r="V824" s="111">
        <f>IF(OR(F824="none",G824="V"),0,VLOOKUP(F824,'Purchased Boons'!$AR$4:$AS$27,2,FALSE))</f>
        <v>0</v>
      </c>
      <c r="W824" s="39" t="s">
        <v>1050</v>
      </c>
      <c r="X824" s="37" t="s">
        <v>1525</v>
      </c>
      <c r="Y824" s="37" t="s">
        <v>133</v>
      </c>
      <c r="Z824" s="111">
        <v>143</v>
      </c>
    </row>
    <row r="825" spans="1:26" x14ac:dyDescent="0.25">
      <c r="A825" s="473" t="s">
        <v>1499</v>
      </c>
      <c r="B825" s="39" t="s">
        <v>108</v>
      </c>
      <c r="C825" s="37">
        <v>4</v>
      </c>
      <c r="D825" s="470" t="s">
        <v>14</v>
      </c>
      <c r="E825" s="37">
        <f t="shared" si="91"/>
        <v>1</v>
      </c>
      <c r="F825" s="470" t="s">
        <v>47</v>
      </c>
      <c r="G825" s="37">
        <f t="shared" si="92"/>
        <v>0</v>
      </c>
      <c r="H825" s="37" t="s">
        <v>494</v>
      </c>
      <c r="I825" s="37">
        <f t="shared" si="93"/>
        <v>0</v>
      </c>
      <c r="J825" s="37" t="s">
        <v>347</v>
      </c>
      <c r="K825" s="37">
        <f t="shared" si="94"/>
        <v>0</v>
      </c>
      <c r="L825" s="37" t="s">
        <v>494</v>
      </c>
      <c r="M825" s="37">
        <f t="shared" si="95"/>
        <v>0</v>
      </c>
      <c r="N825" s="470" t="s">
        <v>347</v>
      </c>
      <c r="O825" s="470">
        <f t="shared" si="96"/>
        <v>0</v>
      </c>
      <c r="P825" s="37" t="str">
        <f t="shared" si="99"/>
        <v>1 + 0</v>
      </c>
      <c r="Q825" s="470" t="s">
        <v>346</v>
      </c>
      <c r="R825" s="37">
        <f t="shared" si="97"/>
        <v>0</v>
      </c>
      <c r="S825" s="470" t="s">
        <v>347</v>
      </c>
      <c r="T825" s="470">
        <f t="shared" si="98"/>
        <v>0</v>
      </c>
      <c r="U825" s="470" t="s">
        <v>346</v>
      </c>
      <c r="V825" s="111">
        <f>IF(OR(F825="none",G825="V"),0,VLOOKUP(F825,'Purchased Boons'!$AR$4:$AS$27,2,FALSE))</f>
        <v>0</v>
      </c>
      <c r="W825" s="39" t="s">
        <v>1055</v>
      </c>
      <c r="X825" s="37" t="s">
        <v>1531</v>
      </c>
      <c r="Y825" s="37" t="s">
        <v>1484</v>
      </c>
      <c r="Z825" s="111">
        <v>34</v>
      </c>
    </row>
    <row r="826" spans="1:26" x14ac:dyDescent="0.25">
      <c r="A826" s="468" t="s">
        <v>1212</v>
      </c>
      <c r="B826" s="36" t="s">
        <v>175</v>
      </c>
      <c r="C826" s="469">
        <v>5</v>
      </c>
      <c r="D826" s="470" t="s">
        <v>17</v>
      </c>
      <c r="E826" s="37">
        <f t="shared" si="91"/>
        <v>1</v>
      </c>
      <c r="F826" s="470" t="s">
        <v>494</v>
      </c>
      <c r="G826" s="37">
        <f t="shared" si="92"/>
        <v>0</v>
      </c>
      <c r="H826" s="37" t="s">
        <v>175</v>
      </c>
      <c r="I826" s="37">
        <f t="shared" si="93"/>
        <v>0</v>
      </c>
      <c r="J826" s="37" t="s">
        <v>347</v>
      </c>
      <c r="K826" s="37">
        <f t="shared" si="94"/>
        <v>0</v>
      </c>
      <c r="L826" s="37" t="s">
        <v>494</v>
      </c>
      <c r="M826" s="37">
        <f t="shared" si="95"/>
        <v>0</v>
      </c>
      <c r="N826" s="470" t="s">
        <v>347</v>
      </c>
      <c r="O826" s="470">
        <f t="shared" si="96"/>
        <v>0</v>
      </c>
      <c r="P826" s="37" t="str">
        <f t="shared" si="99"/>
        <v>1 + 0</v>
      </c>
      <c r="Q826" s="470" t="s">
        <v>346</v>
      </c>
      <c r="R826" s="37">
        <f t="shared" si="97"/>
        <v>0</v>
      </c>
      <c r="S826" s="470" t="s">
        <v>347</v>
      </c>
      <c r="T826" s="470">
        <f t="shared" si="98"/>
        <v>0</v>
      </c>
      <c r="U826" s="470" t="s">
        <v>346</v>
      </c>
      <c r="V826" s="111">
        <f>IF(OR(F826="none",G826="V"),0,VLOOKUP(F826,'Purchased Boons'!$AR$4:$AS$27,2,FALSE))</f>
        <v>0</v>
      </c>
      <c r="W826" s="39" t="s">
        <v>1601</v>
      </c>
      <c r="X826" s="37" t="s">
        <v>1595</v>
      </c>
      <c r="Y826" s="37" t="s">
        <v>1045</v>
      </c>
      <c r="Z826" s="111">
        <v>91</v>
      </c>
    </row>
    <row r="827" spans="1:26" x14ac:dyDescent="0.25">
      <c r="A827" s="468" t="s">
        <v>1087</v>
      </c>
      <c r="B827" s="36" t="s">
        <v>359</v>
      </c>
      <c r="C827" s="469">
        <v>3</v>
      </c>
      <c r="D827" s="470" t="s">
        <v>14</v>
      </c>
      <c r="E827" s="37">
        <f t="shared" si="91"/>
        <v>1</v>
      </c>
      <c r="F827" s="470" t="s">
        <v>42</v>
      </c>
      <c r="G827" s="37">
        <f t="shared" si="92"/>
        <v>0</v>
      </c>
      <c r="H827" s="37" t="s">
        <v>494</v>
      </c>
      <c r="I827" s="37">
        <f t="shared" si="93"/>
        <v>0</v>
      </c>
      <c r="J827" s="37" t="s">
        <v>347</v>
      </c>
      <c r="K827" s="37">
        <f t="shared" si="94"/>
        <v>0</v>
      </c>
      <c r="L827" s="37" t="s">
        <v>494</v>
      </c>
      <c r="M827" s="37">
        <f t="shared" si="95"/>
        <v>0</v>
      </c>
      <c r="N827" s="470" t="s">
        <v>347</v>
      </c>
      <c r="O827" s="470">
        <f t="shared" si="96"/>
        <v>0</v>
      </c>
      <c r="P827" s="37" t="str">
        <f t="shared" si="99"/>
        <v>1 + 0</v>
      </c>
      <c r="Q827" s="470" t="s">
        <v>346</v>
      </c>
      <c r="R827" s="37">
        <f t="shared" si="97"/>
        <v>0</v>
      </c>
      <c r="S827" s="470" t="s">
        <v>347</v>
      </c>
      <c r="T827" s="470">
        <f t="shared" si="98"/>
        <v>0</v>
      </c>
      <c r="U827" s="470" t="s">
        <v>346</v>
      </c>
      <c r="V827" s="111">
        <f>IF(OR(F827="none",G827="V"),0,VLOOKUP(F827,'Purchased Boons'!$AR$4:$AS$27,2,FALSE))</f>
        <v>0</v>
      </c>
      <c r="W827" s="39" t="s">
        <v>1603</v>
      </c>
      <c r="X827" s="37" t="s">
        <v>1530</v>
      </c>
      <c r="Y827" s="37" t="s">
        <v>133</v>
      </c>
      <c r="Z827" s="111">
        <v>144</v>
      </c>
    </row>
    <row r="828" spans="1:26" x14ac:dyDescent="0.25">
      <c r="A828" s="468" t="s">
        <v>1393</v>
      </c>
      <c r="B828" s="36" t="s">
        <v>359</v>
      </c>
      <c r="C828" s="469">
        <v>1</v>
      </c>
      <c r="D828" s="470" t="s">
        <v>19</v>
      </c>
      <c r="E828" s="37">
        <f t="shared" si="91"/>
        <v>1</v>
      </c>
      <c r="F828" s="470" t="s">
        <v>38</v>
      </c>
      <c r="G828" s="37">
        <f t="shared" si="92"/>
        <v>0</v>
      </c>
      <c r="H828" s="37" t="s">
        <v>494</v>
      </c>
      <c r="I828" s="37">
        <f t="shared" si="93"/>
        <v>0</v>
      </c>
      <c r="J828" s="37" t="s">
        <v>347</v>
      </c>
      <c r="K828" s="37">
        <f t="shared" si="94"/>
        <v>0</v>
      </c>
      <c r="L828" s="37" t="s">
        <v>494</v>
      </c>
      <c r="M828" s="37">
        <f t="shared" si="95"/>
        <v>0</v>
      </c>
      <c r="N828" s="470" t="s">
        <v>347</v>
      </c>
      <c r="O828" s="470">
        <f t="shared" si="96"/>
        <v>0</v>
      </c>
      <c r="P828" s="37" t="str">
        <f t="shared" si="99"/>
        <v>1 + 0</v>
      </c>
      <c r="Q828" s="470" t="s">
        <v>346</v>
      </c>
      <c r="R828" s="37">
        <f t="shared" si="97"/>
        <v>0</v>
      </c>
      <c r="S828" s="470" t="s">
        <v>347</v>
      </c>
      <c r="T828" s="470">
        <f t="shared" si="98"/>
        <v>0</v>
      </c>
      <c r="U828" s="470" t="s">
        <v>346</v>
      </c>
      <c r="V828" s="111">
        <f>IF(OR(F828="none",G828="V"),0,VLOOKUP(F828,'Purchased Boons'!$AR$4:$AS$27,2,FALSE))</f>
        <v>0</v>
      </c>
      <c r="W828" s="39" t="s">
        <v>1050</v>
      </c>
      <c r="X828" s="37" t="s">
        <v>1527</v>
      </c>
      <c r="Y828" s="37" t="s">
        <v>1046</v>
      </c>
      <c r="Z828" s="111">
        <v>74</v>
      </c>
    </row>
    <row r="829" spans="1:26" x14ac:dyDescent="0.25">
      <c r="A829" s="468" t="s">
        <v>1108</v>
      </c>
      <c r="B829" s="36" t="s">
        <v>366</v>
      </c>
      <c r="C829" s="469">
        <v>3</v>
      </c>
      <c r="D829" s="470" t="s">
        <v>16</v>
      </c>
      <c r="E829" s="37">
        <f t="shared" si="91"/>
        <v>1</v>
      </c>
      <c r="F829" s="470" t="s">
        <v>51</v>
      </c>
      <c r="G829" s="37">
        <f t="shared" si="92"/>
        <v>0</v>
      </c>
      <c r="H829" s="37" t="s">
        <v>494</v>
      </c>
      <c r="I829" s="37">
        <f t="shared" si="93"/>
        <v>0</v>
      </c>
      <c r="J829" s="37" t="s">
        <v>347</v>
      </c>
      <c r="K829" s="37">
        <f t="shared" si="94"/>
        <v>0</v>
      </c>
      <c r="L829" s="37" t="s">
        <v>494</v>
      </c>
      <c r="M829" s="37">
        <f t="shared" si="95"/>
        <v>0</v>
      </c>
      <c r="N829" s="470" t="s">
        <v>347</v>
      </c>
      <c r="O829" s="470">
        <f t="shared" si="96"/>
        <v>0</v>
      </c>
      <c r="P829" s="37" t="str">
        <f t="shared" si="99"/>
        <v>1 + 0</v>
      </c>
      <c r="Q829" s="470" t="s">
        <v>346</v>
      </c>
      <c r="R829" s="37">
        <f t="shared" si="97"/>
        <v>0</v>
      </c>
      <c r="S829" s="470" t="s">
        <v>347</v>
      </c>
      <c r="T829" s="470">
        <f t="shared" si="98"/>
        <v>0</v>
      </c>
      <c r="U829" s="470" t="s">
        <v>346</v>
      </c>
      <c r="V829" s="111">
        <f>IF(OR(F829="none",G829="V"),0,VLOOKUP(F829,'Purchased Boons'!$AR$4:$AS$27,2,FALSE))</f>
        <v>0</v>
      </c>
      <c r="W829" s="39" t="s">
        <v>1050</v>
      </c>
      <c r="X829" s="37" t="s">
        <v>1536</v>
      </c>
      <c r="Y829" s="37" t="s">
        <v>133</v>
      </c>
      <c r="Z829" s="111">
        <v>148</v>
      </c>
    </row>
    <row r="830" spans="1:26" x14ac:dyDescent="0.25">
      <c r="A830" s="468" t="s">
        <v>1394</v>
      </c>
      <c r="B830" s="36" t="s">
        <v>359</v>
      </c>
      <c r="C830" s="469">
        <v>6</v>
      </c>
      <c r="D830" s="470" t="s">
        <v>494</v>
      </c>
      <c r="E830" s="37">
        <f t="shared" si="91"/>
        <v>0</v>
      </c>
      <c r="F830" s="470" t="s">
        <v>494</v>
      </c>
      <c r="G830" s="37">
        <f t="shared" si="92"/>
        <v>0</v>
      </c>
      <c r="H830" s="37" t="s">
        <v>494</v>
      </c>
      <c r="I830" s="37">
        <f t="shared" si="93"/>
        <v>0</v>
      </c>
      <c r="J830" s="37" t="s">
        <v>347</v>
      </c>
      <c r="K830" s="37">
        <f t="shared" si="94"/>
        <v>0</v>
      </c>
      <c r="L830" s="37" t="s">
        <v>494</v>
      </c>
      <c r="M830" s="37">
        <f t="shared" si="95"/>
        <v>0</v>
      </c>
      <c r="N830" s="470" t="s">
        <v>347</v>
      </c>
      <c r="O830" s="470">
        <f t="shared" si="96"/>
        <v>0</v>
      </c>
      <c r="P830" s="37" t="str">
        <f t="shared" si="99"/>
        <v>None</v>
      </c>
      <c r="Q830" s="470" t="s">
        <v>346</v>
      </c>
      <c r="R830" s="37">
        <f t="shared" si="97"/>
        <v>0</v>
      </c>
      <c r="S830" s="470" t="s">
        <v>347</v>
      </c>
      <c r="T830" s="470">
        <f t="shared" si="98"/>
        <v>0</v>
      </c>
      <c r="U830" s="470" t="s">
        <v>346</v>
      </c>
      <c r="V830" s="111">
        <f>IF(OR(F830="none",G830="V"),0,VLOOKUP(F830,'Purchased Boons'!$AR$4:$AS$27,2,FALSE))</f>
        <v>0</v>
      </c>
      <c r="W830" s="39" t="s">
        <v>1052</v>
      </c>
      <c r="X830" s="37" t="s">
        <v>494</v>
      </c>
      <c r="Y830" s="37" t="s">
        <v>1046</v>
      </c>
      <c r="Z830" s="111">
        <v>74</v>
      </c>
    </row>
    <row r="831" spans="1:26" x14ac:dyDescent="0.25">
      <c r="A831" s="468" t="s">
        <v>1109</v>
      </c>
      <c r="B831" s="36" t="s">
        <v>367</v>
      </c>
      <c r="C831" s="469">
        <v>1</v>
      </c>
      <c r="D831" s="470" t="s">
        <v>494</v>
      </c>
      <c r="E831" s="37">
        <f t="shared" si="91"/>
        <v>0</v>
      </c>
      <c r="F831" s="470" t="s">
        <v>494</v>
      </c>
      <c r="G831" s="37">
        <f t="shared" si="92"/>
        <v>0</v>
      </c>
      <c r="H831" s="37" t="s">
        <v>494</v>
      </c>
      <c r="I831" s="37">
        <f t="shared" si="93"/>
        <v>0</v>
      </c>
      <c r="J831" s="37" t="s">
        <v>347</v>
      </c>
      <c r="K831" s="37">
        <f t="shared" si="94"/>
        <v>0</v>
      </c>
      <c r="L831" s="37" t="s">
        <v>494</v>
      </c>
      <c r="M831" s="37">
        <f t="shared" si="95"/>
        <v>0</v>
      </c>
      <c r="N831" s="470" t="s">
        <v>347</v>
      </c>
      <c r="O831" s="470">
        <f t="shared" si="96"/>
        <v>0</v>
      </c>
      <c r="P831" s="37" t="str">
        <f t="shared" si="99"/>
        <v>None</v>
      </c>
      <c r="Q831" s="470" t="s">
        <v>346</v>
      </c>
      <c r="R831" s="37">
        <f t="shared" si="97"/>
        <v>0</v>
      </c>
      <c r="S831" s="470" t="s">
        <v>347</v>
      </c>
      <c r="T831" s="470">
        <f t="shared" si="98"/>
        <v>0</v>
      </c>
      <c r="U831" s="470" t="s">
        <v>346</v>
      </c>
      <c r="V831" s="111">
        <f>IF(OR(F831="none",G831="V"),0,VLOOKUP(F831,'Purchased Boons'!$AR$4:$AS$27,2,FALSE))</f>
        <v>0</v>
      </c>
      <c r="W831" s="39" t="s">
        <v>1764</v>
      </c>
      <c r="X831" s="37" t="s">
        <v>1764</v>
      </c>
      <c r="Y831" s="37" t="s">
        <v>133</v>
      </c>
      <c r="Z831" s="111">
        <v>148</v>
      </c>
    </row>
    <row r="832" spans="1:26" x14ac:dyDescent="0.25">
      <c r="A832" s="468" t="s">
        <v>1110</v>
      </c>
      <c r="B832" s="36" t="s">
        <v>367</v>
      </c>
      <c r="C832" s="469">
        <v>2</v>
      </c>
      <c r="D832" s="470" t="s">
        <v>13</v>
      </c>
      <c r="E832" s="37">
        <f t="shared" si="91"/>
        <v>1</v>
      </c>
      <c r="F832" s="470" t="s">
        <v>57</v>
      </c>
      <c r="G832" s="37">
        <f t="shared" si="92"/>
        <v>0</v>
      </c>
      <c r="H832" s="37" t="s">
        <v>494</v>
      </c>
      <c r="I832" s="37">
        <f t="shared" si="93"/>
        <v>0</v>
      </c>
      <c r="J832" s="37" t="s">
        <v>347</v>
      </c>
      <c r="K832" s="37">
        <f t="shared" si="94"/>
        <v>0</v>
      </c>
      <c r="L832" s="37" t="s">
        <v>494</v>
      </c>
      <c r="M832" s="37">
        <f t="shared" si="95"/>
        <v>0</v>
      </c>
      <c r="N832" s="470" t="s">
        <v>347</v>
      </c>
      <c r="O832" s="470">
        <f t="shared" si="96"/>
        <v>0</v>
      </c>
      <c r="P832" s="37" t="str">
        <f t="shared" si="99"/>
        <v>1 + 0</v>
      </c>
      <c r="Q832" s="470" t="s">
        <v>346</v>
      </c>
      <c r="R832" s="37">
        <f t="shared" si="97"/>
        <v>0</v>
      </c>
      <c r="S832" s="470" t="s">
        <v>347</v>
      </c>
      <c r="T832" s="470">
        <f t="shared" si="98"/>
        <v>0</v>
      </c>
      <c r="U832" s="470" t="s">
        <v>346</v>
      </c>
      <c r="V832" s="111">
        <f>IF(OR(F832="none",G832="V"),0,VLOOKUP(F832,'Purchased Boons'!$AR$4:$AS$27,2,FALSE))</f>
        <v>0</v>
      </c>
      <c r="W832" s="39" t="s">
        <v>1050</v>
      </c>
      <c r="X832" s="37" t="s">
        <v>1528</v>
      </c>
      <c r="Y832" s="37" t="s">
        <v>133</v>
      </c>
      <c r="Z832" s="111">
        <v>148</v>
      </c>
    </row>
    <row r="833" spans="1:26" x14ac:dyDescent="0.25">
      <c r="A833" s="468" t="s">
        <v>1205</v>
      </c>
      <c r="B833" s="36" t="s">
        <v>367</v>
      </c>
      <c r="C833" s="469">
        <v>6</v>
      </c>
      <c r="D833" s="470" t="s">
        <v>13</v>
      </c>
      <c r="E833" s="37">
        <f t="shared" si="91"/>
        <v>1</v>
      </c>
      <c r="F833" s="470" t="s">
        <v>57</v>
      </c>
      <c r="G833" s="37">
        <f t="shared" si="92"/>
        <v>0</v>
      </c>
      <c r="H833" s="37" t="s">
        <v>494</v>
      </c>
      <c r="I833" s="37">
        <f t="shared" si="93"/>
        <v>0</v>
      </c>
      <c r="J833" s="37" t="s">
        <v>347</v>
      </c>
      <c r="K833" s="37">
        <f t="shared" si="94"/>
        <v>0</v>
      </c>
      <c r="L833" s="37" t="s">
        <v>494</v>
      </c>
      <c r="M833" s="37">
        <f t="shared" si="95"/>
        <v>0</v>
      </c>
      <c r="N833" s="470" t="s">
        <v>347</v>
      </c>
      <c r="O833" s="470">
        <f t="shared" si="96"/>
        <v>0</v>
      </c>
      <c r="P833" s="37" t="str">
        <f t="shared" si="99"/>
        <v>1 + 0</v>
      </c>
      <c r="Q833" s="470" t="s">
        <v>346</v>
      </c>
      <c r="R833" s="37">
        <f t="shared" si="97"/>
        <v>0</v>
      </c>
      <c r="S833" s="470" t="s">
        <v>347</v>
      </c>
      <c r="T833" s="470">
        <f t="shared" si="98"/>
        <v>0</v>
      </c>
      <c r="U833" s="470" t="s">
        <v>346</v>
      </c>
      <c r="V833" s="111">
        <f>IF(OR(F833="none",G833="V"),0,VLOOKUP(F833,'Purchased Boons'!$AR$4:$AS$27,2,FALSE))</f>
        <v>0</v>
      </c>
      <c r="W833" s="39" t="s">
        <v>1570</v>
      </c>
      <c r="X833" s="37" t="s">
        <v>1528</v>
      </c>
      <c r="Y833" s="37" t="s">
        <v>1045</v>
      </c>
      <c r="Z833" s="111">
        <v>90</v>
      </c>
    </row>
    <row r="834" spans="1:26" x14ac:dyDescent="0.25">
      <c r="A834" s="468" t="s">
        <v>1206</v>
      </c>
      <c r="B834" s="36" t="s">
        <v>367</v>
      </c>
      <c r="C834" s="469">
        <v>7</v>
      </c>
      <c r="D834" s="470" t="s">
        <v>21</v>
      </c>
      <c r="E834" s="37">
        <f t="shared" si="91"/>
        <v>1</v>
      </c>
      <c r="F834" s="470" t="s">
        <v>56</v>
      </c>
      <c r="G834" s="37">
        <f t="shared" si="92"/>
        <v>0</v>
      </c>
      <c r="H834" s="37" t="s">
        <v>494</v>
      </c>
      <c r="I834" s="37">
        <f t="shared" si="93"/>
        <v>0</v>
      </c>
      <c r="J834" s="37" t="s">
        <v>347</v>
      </c>
      <c r="K834" s="37">
        <f t="shared" si="94"/>
        <v>0</v>
      </c>
      <c r="L834" s="37" t="s">
        <v>494</v>
      </c>
      <c r="M834" s="37">
        <f t="shared" si="95"/>
        <v>0</v>
      </c>
      <c r="N834" s="470" t="s">
        <v>347</v>
      </c>
      <c r="O834" s="470">
        <f t="shared" si="96"/>
        <v>0</v>
      </c>
      <c r="P834" s="37" t="str">
        <f t="shared" si="99"/>
        <v>1 + 0</v>
      </c>
      <c r="Q834" s="470" t="s">
        <v>346</v>
      </c>
      <c r="R834" s="37">
        <f t="shared" si="97"/>
        <v>0</v>
      </c>
      <c r="S834" s="470" t="s">
        <v>347</v>
      </c>
      <c r="T834" s="470">
        <f t="shared" si="98"/>
        <v>0</v>
      </c>
      <c r="U834" s="470" t="s">
        <v>346</v>
      </c>
      <c r="V834" s="111">
        <f>IF(OR(F834="none",G834="V"),0,VLOOKUP(F834,'Purchased Boons'!$AR$4:$AS$27,2,FALSE))</f>
        <v>0</v>
      </c>
      <c r="W834" s="39" t="s">
        <v>1565</v>
      </c>
      <c r="X834" s="37" t="s">
        <v>1591</v>
      </c>
      <c r="Y834" s="37" t="s">
        <v>1045</v>
      </c>
      <c r="Z834" s="111">
        <v>90</v>
      </c>
    </row>
    <row r="835" spans="1:26" x14ac:dyDescent="0.25">
      <c r="A835" s="468" t="s">
        <v>1292</v>
      </c>
      <c r="B835" s="36" t="s">
        <v>363</v>
      </c>
      <c r="C835" s="469">
        <v>10</v>
      </c>
      <c r="D835" s="470" t="s">
        <v>30</v>
      </c>
      <c r="E835" s="37">
        <f t="shared" si="91"/>
        <v>1</v>
      </c>
      <c r="F835" s="470" t="s">
        <v>53</v>
      </c>
      <c r="G835" s="37">
        <f t="shared" si="92"/>
        <v>0</v>
      </c>
      <c r="H835" s="37" t="s">
        <v>494</v>
      </c>
      <c r="I835" s="37">
        <f t="shared" si="93"/>
        <v>0</v>
      </c>
      <c r="J835" s="37" t="s">
        <v>347</v>
      </c>
      <c r="K835" s="37">
        <f t="shared" si="94"/>
        <v>0</v>
      </c>
      <c r="L835" s="37" t="s">
        <v>494</v>
      </c>
      <c r="M835" s="37">
        <f t="shared" si="95"/>
        <v>0</v>
      </c>
      <c r="N835" s="470" t="s">
        <v>347</v>
      </c>
      <c r="O835" s="470">
        <f t="shared" si="96"/>
        <v>0</v>
      </c>
      <c r="P835" s="37" t="str">
        <f t="shared" si="99"/>
        <v>1 + 0</v>
      </c>
      <c r="Q835" s="470" t="s">
        <v>346</v>
      </c>
      <c r="R835" s="37">
        <f t="shared" si="97"/>
        <v>0</v>
      </c>
      <c r="S835" s="470" t="s">
        <v>347</v>
      </c>
      <c r="T835" s="470">
        <f t="shared" si="98"/>
        <v>0</v>
      </c>
      <c r="U835" s="470" t="s">
        <v>346</v>
      </c>
      <c r="V835" s="111">
        <f>IF(OR(F835="none",G835="V"),0,VLOOKUP(F835,'Purchased Boons'!$AR$4:$AS$27,2,FALSE))</f>
        <v>0</v>
      </c>
      <c r="W835" s="39" t="s">
        <v>1063</v>
      </c>
      <c r="X835" s="37" t="s">
        <v>1662</v>
      </c>
      <c r="Y835" s="37" t="s">
        <v>5</v>
      </c>
      <c r="Z835" s="111">
        <v>99</v>
      </c>
    </row>
    <row r="836" spans="1:26" x14ac:dyDescent="0.25">
      <c r="A836" s="468" t="s">
        <v>1403</v>
      </c>
      <c r="B836" s="36" t="s">
        <v>363</v>
      </c>
      <c r="C836" s="469">
        <v>1</v>
      </c>
      <c r="D836" s="470" t="s">
        <v>20</v>
      </c>
      <c r="E836" s="37">
        <f t="shared" si="91"/>
        <v>1</v>
      </c>
      <c r="F836" s="470" t="s">
        <v>58</v>
      </c>
      <c r="G836" s="37">
        <f t="shared" si="92"/>
        <v>0</v>
      </c>
      <c r="H836" s="37" t="s">
        <v>494</v>
      </c>
      <c r="I836" s="37">
        <f t="shared" si="93"/>
        <v>0</v>
      </c>
      <c r="J836" s="37" t="s">
        <v>347</v>
      </c>
      <c r="K836" s="37">
        <f t="shared" si="94"/>
        <v>0</v>
      </c>
      <c r="L836" s="37" t="s">
        <v>494</v>
      </c>
      <c r="M836" s="37">
        <f t="shared" si="95"/>
        <v>0</v>
      </c>
      <c r="N836" s="470" t="s">
        <v>347</v>
      </c>
      <c r="O836" s="470">
        <f t="shared" si="96"/>
        <v>0</v>
      </c>
      <c r="P836" s="37" t="str">
        <f t="shared" si="99"/>
        <v>1 + 0</v>
      </c>
      <c r="Q836" s="470" t="s">
        <v>346</v>
      </c>
      <c r="R836" s="37">
        <f t="shared" si="97"/>
        <v>0</v>
      </c>
      <c r="S836" s="470" t="s">
        <v>347</v>
      </c>
      <c r="T836" s="470">
        <f t="shared" si="98"/>
        <v>0</v>
      </c>
      <c r="U836" s="470" t="s">
        <v>346</v>
      </c>
      <c r="V836" s="111">
        <f>IF(OR(F836="none",G836="V"),0,VLOOKUP(F836,'Purchased Boons'!$AR$4:$AS$27,2,FALSE))</f>
        <v>0</v>
      </c>
      <c r="W836" s="39" t="s">
        <v>1050</v>
      </c>
      <c r="X836" s="37" t="s">
        <v>1658</v>
      </c>
      <c r="Y836" s="37" t="s">
        <v>1046</v>
      </c>
      <c r="Z836" s="111">
        <v>77</v>
      </c>
    </row>
    <row r="837" spans="1:26" x14ac:dyDescent="0.25">
      <c r="A837" s="468" t="s">
        <v>3599</v>
      </c>
      <c r="B837" s="36" t="s">
        <v>362</v>
      </c>
      <c r="C837" s="469">
        <v>2</v>
      </c>
      <c r="D837" s="470" t="s">
        <v>20</v>
      </c>
      <c r="E837" s="37">
        <f t="shared" si="91"/>
        <v>1</v>
      </c>
      <c r="F837" s="470" t="s">
        <v>38</v>
      </c>
      <c r="G837" s="37">
        <f t="shared" si="92"/>
        <v>0</v>
      </c>
      <c r="H837" s="37" t="s">
        <v>494</v>
      </c>
      <c r="I837" s="37">
        <f t="shared" si="93"/>
        <v>0</v>
      </c>
      <c r="J837" s="37" t="s">
        <v>347</v>
      </c>
      <c r="K837" s="37">
        <f t="shared" si="94"/>
        <v>0</v>
      </c>
      <c r="L837" s="37" t="s">
        <v>494</v>
      </c>
      <c r="M837" s="37">
        <f t="shared" si="95"/>
        <v>0</v>
      </c>
      <c r="N837" s="470" t="s">
        <v>347</v>
      </c>
      <c r="O837" s="470">
        <f t="shared" si="96"/>
        <v>0</v>
      </c>
      <c r="P837" s="37" t="str">
        <f t="shared" si="99"/>
        <v>1 + 0</v>
      </c>
      <c r="Q837" s="470" t="s">
        <v>346</v>
      </c>
      <c r="R837" s="37">
        <f t="shared" si="97"/>
        <v>0</v>
      </c>
      <c r="S837" s="470" t="s">
        <v>347</v>
      </c>
      <c r="T837" s="470">
        <f t="shared" si="98"/>
        <v>0</v>
      </c>
      <c r="U837" s="470" t="s">
        <v>346</v>
      </c>
      <c r="V837" s="111">
        <f>IF(OR(F837="none",G837="V"),0,VLOOKUP(F837,'Purchased Boons'!$AR$4:$AS$27,2,FALSE))</f>
        <v>0</v>
      </c>
      <c r="W837" s="39" t="s">
        <v>494</v>
      </c>
      <c r="X837" s="37" t="s">
        <v>1521</v>
      </c>
      <c r="Y837" s="37" t="s">
        <v>133</v>
      </c>
      <c r="Z837" s="111">
        <v>146</v>
      </c>
    </row>
    <row r="838" spans="1:26" x14ac:dyDescent="0.25">
      <c r="A838" s="468" t="s">
        <v>1191</v>
      </c>
      <c r="B838" s="36" t="s">
        <v>363</v>
      </c>
      <c r="C838" s="469">
        <v>4</v>
      </c>
      <c r="D838" s="470" t="s">
        <v>21</v>
      </c>
      <c r="E838" s="37">
        <f t="shared" si="91"/>
        <v>1</v>
      </c>
      <c r="F838" s="470" t="s">
        <v>39</v>
      </c>
      <c r="G838" s="37">
        <f t="shared" si="92"/>
        <v>0</v>
      </c>
      <c r="H838" s="37" t="s">
        <v>494</v>
      </c>
      <c r="I838" s="37">
        <f t="shared" si="93"/>
        <v>0</v>
      </c>
      <c r="J838" s="37" t="s">
        <v>347</v>
      </c>
      <c r="K838" s="37">
        <f t="shared" si="94"/>
        <v>0</v>
      </c>
      <c r="L838" s="37" t="s">
        <v>494</v>
      </c>
      <c r="M838" s="37">
        <f t="shared" si="95"/>
        <v>0</v>
      </c>
      <c r="N838" s="470" t="s">
        <v>347</v>
      </c>
      <c r="O838" s="470">
        <f t="shared" si="96"/>
        <v>0</v>
      </c>
      <c r="P838" s="37" t="str">
        <f t="shared" si="99"/>
        <v>1 + 0</v>
      </c>
      <c r="Q838" s="470" t="s">
        <v>346</v>
      </c>
      <c r="R838" s="37">
        <f t="shared" si="97"/>
        <v>0</v>
      </c>
      <c r="S838" s="470" t="s">
        <v>347</v>
      </c>
      <c r="T838" s="470">
        <f t="shared" si="98"/>
        <v>0</v>
      </c>
      <c r="U838" s="470" t="s">
        <v>346</v>
      </c>
      <c r="V838" s="111">
        <f>IF(OR(F838="none",G838="V"),0,VLOOKUP(F838,'Purchased Boons'!$AR$4:$AS$27,2,FALSE))</f>
        <v>0</v>
      </c>
      <c r="W838" s="39" t="s">
        <v>1518</v>
      </c>
      <c r="X838" s="37" t="s">
        <v>1589</v>
      </c>
      <c r="Y838" s="37" t="s">
        <v>1045</v>
      </c>
      <c r="Z838" s="111">
        <v>86</v>
      </c>
    </row>
    <row r="839" spans="1:26" x14ac:dyDescent="0.25">
      <c r="A839" s="468" t="s">
        <v>1101</v>
      </c>
      <c r="B839" s="36" t="s">
        <v>363</v>
      </c>
      <c r="C839" s="469">
        <v>2</v>
      </c>
      <c r="D839" s="470" t="s">
        <v>494</v>
      </c>
      <c r="E839" s="37">
        <f t="shared" si="91"/>
        <v>0</v>
      </c>
      <c r="F839" s="470" t="s">
        <v>494</v>
      </c>
      <c r="G839" s="37">
        <f t="shared" si="92"/>
        <v>0</v>
      </c>
      <c r="H839" s="37" t="s">
        <v>494</v>
      </c>
      <c r="I839" s="37">
        <f t="shared" si="93"/>
        <v>0</v>
      </c>
      <c r="J839" s="37" t="s">
        <v>347</v>
      </c>
      <c r="K839" s="37">
        <f t="shared" si="94"/>
        <v>0</v>
      </c>
      <c r="L839" s="37" t="s">
        <v>494</v>
      </c>
      <c r="M839" s="37">
        <f t="shared" si="95"/>
        <v>0</v>
      </c>
      <c r="N839" s="470" t="s">
        <v>347</v>
      </c>
      <c r="O839" s="470">
        <f t="shared" si="96"/>
        <v>0</v>
      </c>
      <c r="P839" s="37" t="str">
        <f t="shared" si="99"/>
        <v>None</v>
      </c>
      <c r="Q839" s="470" t="s">
        <v>346</v>
      </c>
      <c r="R839" s="37">
        <f t="shared" si="97"/>
        <v>0</v>
      </c>
      <c r="S839" s="470" t="s">
        <v>347</v>
      </c>
      <c r="T839" s="470">
        <f t="shared" si="98"/>
        <v>0</v>
      </c>
      <c r="U839" s="470" t="s">
        <v>346</v>
      </c>
      <c r="V839" s="111">
        <f>IF(OR(F839="none",G839="V"),0,VLOOKUP(F839,'Purchased Boons'!$AR$4:$AS$27,2,FALSE))</f>
        <v>0</v>
      </c>
      <c r="W839" s="39" t="s">
        <v>1605</v>
      </c>
      <c r="X839" s="37" t="s">
        <v>494</v>
      </c>
      <c r="Y839" s="37" t="s">
        <v>133</v>
      </c>
      <c r="Z839" s="111">
        <v>146</v>
      </c>
    </row>
    <row r="840" spans="1:26" x14ac:dyDescent="0.25">
      <c r="A840" s="473" t="s">
        <v>1489</v>
      </c>
      <c r="B840" s="39" t="s">
        <v>690</v>
      </c>
      <c r="C840" s="469">
        <v>5</v>
      </c>
      <c r="D840" s="470" t="s">
        <v>494</v>
      </c>
      <c r="E840" s="37">
        <f t="shared" si="91"/>
        <v>0</v>
      </c>
      <c r="F840" s="470" t="s">
        <v>494</v>
      </c>
      <c r="G840" s="37">
        <f t="shared" si="92"/>
        <v>0</v>
      </c>
      <c r="H840" s="37" t="s">
        <v>494</v>
      </c>
      <c r="I840" s="37">
        <f t="shared" si="93"/>
        <v>0</v>
      </c>
      <c r="J840" s="37" t="s">
        <v>347</v>
      </c>
      <c r="K840" s="37">
        <f t="shared" si="94"/>
        <v>0</v>
      </c>
      <c r="L840" s="37" t="s">
        <v>494</v>
      </c>
      <c r="M840" s="37">
        <f t="shared" si="95"/>
        <v>0</v>
      </c>
      <c r="N840" s="470" t="s">
        <v>347</v>
      </c>
      <c r="O840" s="470">
        <f t="shared" si="96"/>
        <v>0</v>
      </c>
      <c r="P840" s="37" t="str">
        <f t="shared" si="99"/>
        <v>None</v>
      </c>
      <c r="Q840" s="470" t="s">
        <v>346</v>
      </c>
      <c r="R840" s="37">
        <f t="shared" si="97"/>
        <v>0</v>
      </c>
      <c r="S840" s="470" t="s">
        <v>347</v>
      </c>
      <c r="T840" s="470">
        <f t="shared" si="98"/>
        <v>0</v>
      </c>
      <c r="U840" s="470" t="s">
        <v>346</v>
      </c>
      <c r="V840" s="111">
        <f>IF(OR(F840="none",G840="V"),0,VLOOKUP(F840,'Purchased Boons'!$AR$4:$AS$27,2,FALSE))</f>
        <v>0</v>
      </c>
      <c r="W840" s="39" t="s">
        <v>1666</v>
      </c>
      <c r="X840" s="37" t="s">
        <v>494</v>
      </c>
      <c r="Y840" s="37" t="s">
        <v>1484</v>
      </c>
      <c r="Z840" s="111">
        <v>37</v>
      </c>
    </row>
    <row r="841" spans="1:26" x14ac:dyDescent="0.25">
      <c r="A841" s="468" t="s">
        <v>1442</v>
      </c>
      <c r="B841" s="36" t="s">
        <v>181</v>
      </c>
      <c r="C841" s="469">
        <v>1</v>
      </c>
      <c r="D841" s="470" t="s">
        <v>14</v>
      </c>
      <c r="E841" s="37">
        <f t="shared" si="91"/>
        <v>1</v>
      </c>
      <c r="F841" s="470" t="s">
        <v>53</v>
      </c>
      <c r="G841" s="37">
        <f t="shared" si="92"/>
        <v>0</v>
      </c>
      <c r="H841" s="37" t="s">
        <v>494</v>
      </c>
      <c r="I841" s="37">
        <f t="shared" si="93"/>
        <v>0</v>
      </c>
      <c r="J841" s="37" t="s">
        <v>347</v>
      </c>
      <c r="K841" s="37">
        <f t="shared" si="94"/>
        <v>0</v>
      </c>
      <c r="L841" s="37" t="s">
        <v>494</v>
      </c>
      <c r="M841" s="37">
        <f t="shared" si="95"/>
        <v>0</v>
      </c>
      <c r="N841" s="470" t="s">
        <v>347</v>
      </c>
      <c r="O841" s="470">
        <f t="shared" si="96"/>
        <v>0</v>
      </c>
      <c r="P841" s="37" t="str">
        <f t="shared" si="99"/>
        <v>1 + 0</v>
      </c>
      <c r="Q841" s="470" t="s">
        <v>346</v>
      </c>
      <c r="R841" s="37">
        <f t="shared" si="97"/>
        <v>0</v>
      </c>
      <c r="S841" s="470" t="s">
        <v>347</v>
      </c>
      <c r="T841" s="470">
        <f t="shared" si="98"/>
        <v>0</v>
      </c>
      <c r="U841" s="470" t="s">
        <v>346</v>
      </c>
      <c r="V841" s="111">
        <f>IF(OR(F841="none",G841="V"),0,VLOOKUP(F841,'Purchased Boons'!$AR$4:$AS$27,2,FALSE))</f>
        <v>0</v>
      </c>
      <c r="W841" s="39" t="s">
        <v>1603</v>
      </c>
      <c r="X841" s="37" t="s">
        <v>1702</v>
      </c>
      <c r="Y841" s="37" t="s">
        <v>1046</v>
      </c>
      <c r="Z841" s="111">
        <v>228</v>
      </c>
    </row>
    <row r="842" spans="1:26" x14ac:dyDescent="0.25">
      <c r="A842" s="468" t="s">
        <v>1443</v>
      </c>
      <c r="B842" s="36" t="s">
        <v>181</v>
      </c>
      <c r="C842" s="469">
        <v>2</v>
      </c>
      <c r="D842" s="470" t="s">
        <v>494</v>
      </c>
      <c r="E842" s="37">
        <f t="shared" si="91"/>
        <v>0</v>
      </c>
      <c r="F842" s="470" t="s">
        <v>494</v>
      </c>
      <c r="G842" s="37">
        <f t="shared" si="92"/>
        <v>0</v>
      </c>
      <c r="H842" s="37" t="s">
        <v>494</v>
      </c>
      <c r="I842" s="37">
        <f t="shared" si="93"/>
        <v>0</v>
      </c>
      <c r="J842" s="37" t="s">
        <v>347</v>
      </c>
      <c r="K842" s="37">
        <f t="shared" si="94"/>
        <v>0</v>
      </c>
      <c r="L842" s="37" t="s">
        <v>494</v>
      </c>
      <c r="M842" s="37">
        <f t="shared" si="95"/>
        <v>0</v>
      </c>
      <c r="N842" s="470" t="s">
        <v>347</v>
      </c>
      <c r="O842" s="470">
        <f t="shared" si="96"/>
        <v>0</v>
      </c>
      <c r="P842" s="37" t="str">
        <f t="shared" si="99"/>
        <v>None</v>
      </c>
      <c r="Q842" s="470" t="s">
        <v>346</v>
      </c>
      <c r="R842" s="37">
        <f t="shared" si="97"/>
        <v>0</v>
      </c>
      <c r="S842" s="470" t="s">
        <v>347</v>
      </c>
      <c r="T842" s="470">
        <f t="shared" si="98"/>
        <v>0</v>
      </c>
      <c r="U842" s="470" t="s">
        <v>346</v>
      </c>
      <c r="V842" s="111">
        <f>IF(OR(F842="none",G842="V"),0,VLOOKUP(F842,'Purchased Boons'!$AR$4:$AS$27,2,FALSE))</f>
        <v>0</v>
      </c>
      <c r="W842" s="39" t="s">
        <v>1050</v>
      </c>
      <c r="X842" s="37" t="s">
        <v>494</v>
      </c>
      <c r="Y842" s="37" t="s">
        <v>1046</v>
      </c>
      <c r="Z842" s="111">
        <v>228</v>
      </c>
    </row>
    <row r="843" spans="1:26" x14ac:dyDescent="0.25">
      <c r="A843" s="468" t="s">
        <v>1422</v>
      </c>
      <c r="B843" s="36" t="s">
        <v>168</v>
      </c>
      <c r="C843" s="469">
        <v>2</v>
      </c>
      <c r="D843" s="470" t="s">
        <v>494</v>
      </c>
      <c r="E843" s="37">
        <f t="shared" si="91"/>
        <v>0</v>
      </c>
      <c r="F843" s="470" t="s">
        <v>1063</v>
      </c>
      <c r="G843" s="37" t="str">
        <f t="shared" si="92"/>
        <v>V</v>
      </c>
      <c r="H843" s="37" t="s">
        <v>494</v>
      </c>
      <c r="I843" s="37">
        <f t="shared" si="93"/>
        <v>0</v>
      </c>
      <c r="J843" s="37" t="s">
        <v>347</v>
      </c>
      <c r="K843" s="37">
        <f t="shared" si="94"/>
        <v>0</v>
      </c>
      <c r="L843" s="37" t="s">
        <v>494</v>
      </c>
      <c r="M843" s="37">
        <f t="shared" si="95"/>
        <v>0</v>
      </c>
      <c r="N843" s="470" t="s">
        <v>346</v>
      </c>
      <c r="O843" s="470">
        <f t="shared" si="96"/>
        <v>2</v>
      </c>
      <c r="P843" s="37" t="str">
        <f t="shared" si="99"/>
        <v>Varies</v>
      </c>
      <c r="Q843" s="470" t="s">
        <v>347</v>
      </c>
      <c r="R843" s="37">
        <f t="shared" si="97"/>
        <v>0</v>
      </c>
      <c r="S843" s="470" t="s">
        <v>347</v>
      </c>
      <c r="T843" s="470">
        <f t="shared" si="98"/>
        <v>0</v>
      </c>
      <c r="U843" s="470" t="s">
        <v>346</v>
      </c>
      <c r="V843" s="111">
        <f>IF(OR(F843="none",G843="V"),0,VLOOKUP(F843,'Purchased Boons'!$AR$4:$AS$27,2,FALSE))</f>
        <v>0</v>
      </c>
      <c r="W843" s="39" t="s">
        <v>1050</v>
      </c>
      <c r="X843" s="37" t="s">
        <v>1063</v>
      </c>
      <c r="Y843" s="37" t="s">
        <v>1046</v>
      </c>
      <c r="Z843" s="111">
        <v>96</v>
      </c>
    </row>
    <row r="844" spans="1:26" ht="15.75" thickBot="1" x14ac:dyDescent="0.3">
      <c r="A844" s="476" t="s">
        <v>1494</v>
      </c>
      <c r="B844" s="196" t="s">
        <v>690</v>
      </c>
      <c r="C844" s="477">
        <v>10</v>
      </c>
      <c r="D844" s="478" t="s">
        <v>13</v>
      </c>
      <c r="E844" s="479">
        <f t="shared" si="91"/>
        <v>1</v>
      </c>
      <c r="F844" s="478" t="s">
        <v>57</v>
      </c>
      <c r="G844" s="479">
        <f t="shared" si="92"/>
        <v>0</v>
      </c>
      <c r="H844" s="479" t="s">
        <v>494</v>
      </c>
      <c r="I844" s="479">
        <f t="shared" si="93"/>
        <v>0</v>
      </c>
      <c r="J844" s="479" t="s">
        <v>347</v>
      </c>
      <c r="K844" s="479">
        <f t="shared" si="94"/>
        <v>0</v>
      </c>
      <c r="L844" s="479" t="s">
        <v>494</v>
      </c>
      <c r="M844" s="479">
        <f t="shared" si="95"/>
        <v>0</v>
      </c>
      <c r="N844" s="478" t="s">
        <v>347</v>
      </c>
      <c r="O844" s="478">
        <f t="shared" si="96"/>
        <v>0</v>
      </c>
      <c r="P844" s="479" t="str">
        <f t="shared" si="99"/>
        <v>1 + 0</v>
      </c>
      <c r="Q844" s="478" t="s">
        <v>346</v>
      </c>
      <c r="R844" s="479">
        <f t="shared" si="97"/>
        <v>0</v>
      </c>
      <c r="S844" s="478" t="s">
        <v>347</v>
      </c>
      <c r="T844" s="478">
        <f t="shared" si="98"/>
        <v>0</v>
      </c>
      <c r="U844" s="478" t="s">
        <v>346</v>
      </c>
      <c r="V844" s="112">
        <f>IF(OR(F844="none",G844="V"),0,VLOOKUP(F844,'Purchased Boons'!$AR$4:$AS$27,2,FALSE))</f>
        <v>0</v>
      </c>
      <c r="W844" s="196" t="s">
        <v>1629</v>
      </c>
      <c r="X844" s="479" t="s">
        <v>1528</v>
      </c>
      <c r="Y844" s="479" t="s">
        <v>1484</v>
      </c>
      <c r="Z844" s="112">
        <v>38</v>
      </c>
    </row>
  </sheetData>
  <sheetProtection password="E9C2" sheet="1" objects="1" scenarios="1" selectLockedCells="1" selectUnlockedCells="1"/>
  <sortState ref="A2:Z614">
    <sortCondition ref="A2:A614"/>
  </sortState>
  <conditionalFormatting sqref="A175:A414">
    <cfRule type="duplicateValues" dxfId="0" priority="1"/>
  </conditionalFormatting>
  <dataValidations count="5">
    <dataValidation type="list" allowBlank="1" showInputMessage="1" showErrorMessage="1" sqref="N813:N844 S813:S844 U813:U844 Q813:Q844 Q2:Q657 N2:N657 S2:S657 U2:U657">
      <formula1>Test</formula1>
    </dataValidation>
    <dataValidation type="list" allowBlank="1" showInputMessage="1" showErrorMessage="1" sqref="D813:D844 D2:D657">
      <formula1>BRList1</formula1>
    </dataValidation>
    <dataValidation type="list" allowBlank="1" showInputMessage="1" showErrorMessage="1" sqref="F813:F844 F157:F657">
      <formula1>BRList2</formula1>
    </dataValidation>
    <dataValidation type="list" allowBlank="1" showInputMessage="1" showErrorMessage="1" sqref="H813:H844 H2:H657">
      <formula1>BRList3</formula1>
    </dataValidation>
    <dataValidation type="list" allowBlank="1" showInputMessage="1" showErrorMessage="1" sqref="L813:L844 L2:L657">
      <formula1>BRList4</formula1>
    </dataValidation>
  </dataValidation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XFD156"/>
  <sheetViews>
    <sheetView zoomScaleNormal="100" workbookViewId="0">
      <selection activeCell="AA13" sqref="AA13"/>
    </sheetView>
  </sheetViews>
  <sheetFormatPr defaultColWidth="3.7109375" defaultRowHeight="15" x14ac:dyDescent="0.25"/>
  <cols>
    <col min="1" max="25" width="3.7109375" style="114"/>
    <col min="26" max="16384" width="3.7109375" style="113"/>
  </cols>
  <sheetData>
    <row r="1" spans="1:16384" x14ac:dyDescent="0.25">
      <c r="A1" s="596" t="s">
        <v>1750</v>
      </c>
      <c r="B1" s="597"/>
      <c r="C1" s="597"/>
      <c r="D1" s="597"/>
      <c r="E1" s="597"/>
      <c r="F1" s="597"/>
      <c r="G1" s="597"/>
      <c r="H1" s="597"/>
      <c r="I1" s="597"/>
      <c r="J1" s="597"/>
      <c r="K1" s="597"/>
      <c r="L1" s="597"/>
      <c r="M1" s="597"/>
      <c r="N1" s="597"/>
      <c r="O1" s="597"/>
      <c r="P1" s="597"/>
      <c r="Q1" s="597"/>
      <c r="R1" s="597"/>
      <c r="S1" s="597"/>
      <c r="T1" s="597"/>
      <c r="U1" s="597"/>
      <c r="V1" s="597"/>
      <c r="W1" s="597"/>
      <c r="X1" s="598"/>
    </row>
    <row r="2" spans="1:16384" ht="15.75" thickBot="1" x14ac:dyDescent="0.3">
      <c r="A2" s="599"/>
      <c r="B2" s="600"/>
      <c r="C2" s="600"/>
      <c r="D2" s="600"/>
      <c r="E2" s="600"/>
      <c r="F2" s="600"/>
      <c r="G2" s="600"/>
      <c r="H2" s="600"/>
      <c r="I2" s="600"/>
      <c r="J2" s="600"/>
      <c r="K2" s="600"/>
      <c r="L2" s="600"/>
      <c r="M2" s="600"/>
      <c r="N2" s="600"/>
      <c r="O2" s="600"/>
      <c r="P2" s="600"/>
      <c r="Q2" s="600"/>
      <c r="R2" s="600"/>
      <c r="S2" s="600"/>
      <c r="T2" s="600"/>
      <c r="U2" s="600"/>
      <c r="V2" s="600"/>
      <c r="W2" s="600"/>
      <c r="X2" s="601"/>
    </row>
    <row r="3" spans="1:16384" ht="18.75" customHeight="1" x14ac:dyDescent="0.25">
      <c r="A3" s="602" t="s">
        <v>2041</v>
      </c>
      <c r="B3" s="603"/>
      <c r="C3" s="603"/>
      <c r="D3" s="603"/>
      <c r="E3" s="603"/>
      <c r="F3" s="603"/>
      <c r="G3" s="603"/>
      <c r="H3" s="603"/>
      <c r="I3" s="603"/>
      <c r="J3" s="603"/>
      <c r="K3" s="603"/>
      <c r="L3" s="603"/>
      <c r="M3" s="603"/>
      <c r="N3" s="603"/>
      <c r="O3" s="603"/>
      <c r="P3" s="603"/>
      <c r="Q3" s="603"/>
      <c r="R3" s="603"/>
      <c r="S3" s="603"/>
      <c r="T3" s="603"/>
      <c r="U3" s="603"/>
      <c r="V3" s="603"/>
      <c r="W3" s="603"/>
      <c r="X3" s="604"/>
    </row>
    <row r="4" spans="1:16384" ht="18.75" customHeight="1" x14ac:dyDescent="0.25">
      <c r="A4" s="635"/>
      <c r="B4" s="636"/>
      <c r="C4" s="636"/>
      <c r="D4" s="636"/>
      <c r="E4" s="636"/>
      <c r="F4" s="636"/>
      <c r="G4" s="636"/>
      <c r="H4" s="636"/>
      <c r="I4" s="636"/>
      <c r="J4" s="636"/>
      <c r="K4" s="636"/>
      <c r="L4" s="636"/>
      <c r="M4" s="636"/>
      <c r="N4" s="636"/>
      <c r="O4" s="636"/>
      <c r="P4" s="636"/>
      <c r="Q4" s="636"/>
      <c r="R4" s="636"/>
      <c r="S4" s="636"/>
      <c r="T4" s="636"/>
      <c r="U4" s="636"/>
      <c r="V4" s="636"/>
      <c r="W4" s="636"/>
      <c r="X4" s="637"/>
    </row>
    <row r="5" spans="1:16384" ht="18.75" customHeight="1" x14ac:dyDescent="0.25">
      <c r="A5" s="635"/>
      <c r="B5" s="636"/>
      <c r="C5" s="636"/>
      <c r="D5" s="636"/>
      <c r="E5" s="636"/>
      <c r="F5" s="636"/>
      <c r="G5" s="636"/>
      <c r="H5" s="636"/>
      <c r="I5" s="636"/>
      <c r="J5" s="636"/>
      <c r="K5" s="636"/>
      <c r="L5" s="636"/>
      <c r="M5" s="636"/>
      <c r="N5" s="636"/>
      <c r="O5" s="636"/>
      <c r="P5" s="636"/>
      <c r="Q5" s="636"/>
      <c r="R5" s="636"/>
      <c r="S5" s="636"/>
      <c r="T5" s="636"/>
      <c r="U5" s="636"/>
      <c r="V5" s="636"/>
      <c r="W5" s="636"/>
      <c r="X5" s="637"/>
    </row>
    <row r="6" spans="1:16384" x14ac:dyDescent="0.25">
      <c r="A6" s="635"/>
      <c r="B6" s="636"/>
      <c r="C6" s="636"/>
      <c r="D6" s="636"/>
      <c r="E6" s="636"/>
      <c r="F6" s="636"/>
      <c r="G6" s="636"/>
      <c r="H6" s="636"/>
      <c r="I6" s="636"/>
      <c r="J6" s="636"/>
      <c r="K6" s="636"/>
      <c r="L6" s="636"/>
      <c r="M6" s="636"/>
      <c r="N6" s="636"/>
      <c r="O6" s="636"/>
      <c r="P6" s="636"/>
      <c r="Q6" s="636"/>
      <c r="R6" s="636"/>
      <c r="S6" s="636"/>
      <c r="T6" s="636"/>
      <c r="U6" s="636"/>
      <c r="V6" s="636"/>
      <c r="W6" s="636"/>
      <c r="X6" s="637"/>
    </row>
    <row r="7" spans="1:16384" x14ac:dyDescent="0.25">
      <c r="A7" s="635"/>
      <c r="B7" s="636"/>
      <c r="C7" s="636"/>
      <c r="D7" s="636"/>
      <c r="E7" s="636"/>
      <c r="F7" s="636"/>
      <c r="G7" s="636"/>
      <c r="H7" s="636"/>
      <c r="I7" s="636"/>
      <c r="J7" s="636"/>
      <c r="K7" s="636"/>
      <c r="L7" s="636"/>
      <c r="M7" s="636"/>
      <c r="N7" s="636"/>
      <c r="O7" s="636"/>
      <c r="P7" s="636"/>
      <c r="Q7" s="636"/>
      <c r="R7" s="636"/>
      <c r="S7" s="636"/>
      <c r="T7" s="636"/>
      <c r="U7" s="636"/>
      <c r="V7" s="636"/>
      <c r="W7" s="636"/>
      <c r="X7" s="637"/>
    </row>
    <row r="8" spans="1:16384" x14ac:dyDescent="0.25">
      <c r="A8" s="635"/>
      <c r="B8" s="636"/>
      <c r="C8" s="636"/>
      <c r="D8" s="636"/>
      <c r="E8" s="636"/>
      <c r="F8" s="636"/>
      <c r="G8" s="636"/>
      <c r="H8" s="636"/>
      <c r="I8" s="636"/>
      <c r="J8" s="636"/>
      <c r="K8" s="636"/>
      <c r="L8" s="636"/>
      <c r="M8" s="636"/>
      <c r="N8" s="636"/>
      <c r="O8" s="636"/>
      <c r="P8" s="636"/>
      <c r="Q8" s="636"/>
      <c r="R8" s="636"/>
      <c r="S8" s="636"/>
      <c r="T8" s="636"/>
      <c r="U8" s="636"/>
      <c r="V8" s="636"/>
      <c r="W8" s="636"/>
      <c r="X8" s="637"/>
    </row>
    <row r="9" spans="1:16384" ht="15.75" thickBot="1" x14ac:dyDescent="0.3">
      <c r="A9" s="644"/>
      <c r="B9" s="645"/>
      <c r="C9" s="645"/>
      <c r="D9" s="645"/>
      <c r="E9" s="645"/>
      <c r="F9" s="645"/>
      <c r="G9" s="645"/>
      <c r="H9" s="645"/>
      <c r="I9" s="645"/>
      <c r="J9" s="645"/>
      <c r="K9" s="645"/>
      <c r="L9" s="645"/>
      <c r="M9" s="645"/>
      <c r="N9" s="645"/>
      <c r="O9" s="645"/>
      <c r="P9" s="645"/>
      <c r="Q9" s="645"/>
      <c r="R9" s="645"/>
      <c r="S9" s="645"/>
      <c r="T9" s="645"/>
      <c r="U9" s="645"/>
      <c r="V9" s="645"/>
      <c r="W9" s="645"/>
      <c r="X9" s="646"/>
    </row>
    <row r="10" spans="1:16384" x14ac:dyDescent="0.25">
      <c r="A10" s="602" t="s">
        <v>3606</v>
      </c>
      <c r="B10" s="603"/>
      <c r="C10" s="603"/>
      <c r="D10" s="603"/>
      <c r="E10" s="603"/>
      <c r="F10" s="603"/>
      <c r="G10" s="603"/>
      <c r="H10" s="603"/>
      <c r="I10" s="603"/>
      <c r="J10" s="603"/>
      <c r="K10" s="603"/>
      <c r="L10" s="603"/>
      <c r="M10" s="603"/>
      <c r="N10" s="603"/>
      <c r="O10" s="603"/>
      <c r="P10" s="603"/>
      <c r="Q10" s="603"/>
      <c r="R10" s="603"/>
      <c r="S10" s="603"/>
      <c r="T10" s="603"/>
      <c r="U10" s="603"/>
      <c r="V10" s="603"/>
      <c r="W10" s="603"/>
      <c r="X10" s="604"/>
      <c r="Y10" s="554"/>
      <c r="Z10" s="554"/>
      <c r="AA10" s="554"/>
      <c r="AB10" s="554"/>
      <c r="AC10" s="554"/>
      <c r="AD10" s="554"/>
      <c r="AE10" s="554"/>
      <c r="AF10" s="554"/>
      <c r="AG10" s="554"/>
      <c r="AH10" s="554"/>
      <c r="AI10" s="554"/>
      <c r="AJ10" s="554"/>
      <c r="AK10" s="554"/>
      <c r="AL10" s="554"/>
      <c r="AM10" s="554"/>
      <c r="AN10" s="554"/>
      <c r="AO10" s="554"/>
      <c r="AP10" s="554"/>
      <c r="AQ10" s="554"/>
      <c r="AR10" s="554"/>
      <c r="AS10" s="554"/>
      <c r="AT10" s="554"/>
      <c r="AU10" s="554"/>
      <c r="AV10" s="554"/>
      <c r="AW10" s="554"/>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4"/>
      <c r="DI10" s="554"/>
      <c r="DJ10" s="554"/>
      <c r="DK10" s="554"/>
      <c r="DL10" s="554"/>
      <c r="DM10" s="554"/>
      <c r="DN10" s="554"/>
      <c r="DO10" s="554"/>
      <c r="DP10" s="554"/>
      <c r="DQ10" s="554"/>
      <c r="DR10" s="554"/>
      <c r="DS10" s="554"/>
      <c r="DT10" s="554"/>
      <c r="DU10" s="554"/>
      <c r="DV10" s="554"/>
      <c r="DW10" s="554"/>
      <c r="DX10" s="554"/>
      <c r="DY10" s="554"/>
      <c r="DZ10" s="554"/>
      <c r="EA10" s="554"/>
      <c r="EB10" s="554"/>
      <c r="EC10" s="554"/>
      <c r="ED10" s="554"/>
      <c r="EE10" s="554"/>
      <c r="EF10" s="554"/>
      <c r="EG10" s="554"/>
      <c r="EH10" s="554"/>
      <c r="EI10" s="554"/>
      <c r="EJ10" s="554"/>
      <c r="EK10" s="554"/>
      <c r="EL10" s="554"/>
      <c r="EM10" s="554"/>
      <c r="EN10" s="554"/>
      <c r="EO10" s="554"/>
      <c r="EP10" s="554"/>
      <c r="EQ10" s="554"/>
      <c r="ER10" s="554"/>
      <c r="ES10" s="554"/>
      <c r="ET10" s="554"/>
      <c r="EU10" s="554"/>
      <c r="EV10" s="554"/>
      <c r="EW10" s="554"/>
      <c r="EX10" s="554"/>
      <c r="EY10" s="554"/>
      <c r="EZ10" s="554"/>
      <c r="FA10" s="554"/>
      <c r="FB10" s="554"/>
      <c r="FC10" s="554"/>
      <c r="FD10" s="554"/>
      <c r="FE10" s="554"/>
      <c r="FF10" s="554"/>
      <c r="FG10" s="554"/>
      <c r="FH10" s="554"/>
      <c r="FI10" s="554"/>
      <c r="FJ10" s="554"/>
      <c r="FK10" s="554"/>
      <c r="FL10" s="554"/>
      <c r="FM10" s="554"/>
      <c r="FN10" s="554"/>
      <c r="FO10" s="554"/>
      <c r="FP10" s="554"/>
      <c r="FQ10" s="554"/>
      <c r="FR10" s="554"/>
      <c r="FS10" s="554"/>
      <c r="FT10" s="554"/>
      <c r="FU10" s="554"/>
      <c r="FV10" s="554"/>
      <c r="FW10" s="554"/>
      <c r="FX10" s="554"/>
      <c r="FY10" s="554"/>
      <c r="FZ10" s="554"/>
      <c r="GA10" s="554"/>
      <c r="GB10" s="554"/>
      <c r="GC10" s="554"/>
      <c r="GD10" s="554"/>
      <c r="GE10" s="554"/>
      <c r="GF10" s="554"/>
      <c r="GG10" s="554"/>
      <c r="GH10" s="554"/>
      <c r="GI10" s="554"/>
      <c r="GJ10" s="554"/>
      <c r="GK10" s="554"/>
      <c r="GL10" s="554"/>
      <c r="GM10" s="554"/>
      <c r="GN10" s="554"/>
      <c r="GO10" s="554"/>
      <c r="GP10" s="554"/>
      <c r="GQ10" s="554"/>
      <c r="GR10" s="554"/>
      <c r="GS10" s="554"/>
      <c r="GT10" s="554"/>
      <c r="GU10" s="554"/>
      <c r="GV10" s="554"/>
      <c r="GW10" s="554"/>
      <c r="GX10" s="554"/>
      <c r="GY10" s="554"/>
      <c r="GZ10" s="554"/>
      <c r="HA10" s="554"/>
      <c r="HB10" s="554"/>
      <c r="HC10" s="554"/>
      <c r="HD10" s="554"/>
      <c r="HE10" s="554"/>
      <c r="HF10" s="554"/>
      <c r="HG10" s="554"/>
      <c r="HH10" s="554"/>
      <c r="HI10" s="554"/>
      <c r="HJ10" s="554"/>
      <c r="HK10" s="554"/>
      <c r="HL10" s="554"/>
      <c r="HM10" s="554"/>
      <c r="HN10" s="554"/>
      <c r="HO10" s="554"/>
      <c r="HP10" s="554"/>
      <c r="HQ10" s="554"/>
      <c r="HR10" s="554"/>
      <c r="HS10" s="554"/>
      <c r="HT10" s="554"/>
      <c r="HU10" s="554"/>
      <c r="HV10" s="554"/>
      <c r="HW10" s="554"/>
      <c r="HX10" s="554"/>
      <c r="HY10" s="554"/>
      <c r="HZ10" s="554"/>
      <c r="IA10" s="554"/>
      <c r="IB10" s="554"/>
      <c r="IC10" s="554"/>
      <c r="ID10" s="554"/>
      <c r="IE10" s="554"/>
      <c r="IF10" s="554"/>
      <c r="IG10" s="554"/>
      <c r="IH10" s="554"/>
      <c r="II10" s="554"/>
      <c r="IJ10" s="554"/>
      <c r="IK10" s="554"/>
      <c r="IL10" s="554"/>
      <c r="IM10" s="554"/>
      <c r="IN10" s="554"/>
      <c r="IO10" s="554"/>
      <c r="IP10" s="554"/>
      <c r="IQ10" s="554"/>
      <c r="IR10" s="554"/>
      <c r="IS10" s="554"/>
      <c r="IT10" s="554"/>
      <c r="IU10" s="554"/>
      <c r="IV10" s="554"/>
      <c r="IW10" s="554"/>
      <c r="IX10" s="554"/>
      <c r="IY10" s="554"/>
      <c r="IZ10" s="554"/>
      <c r="JA10" s="554"/>
      <c r="JB10" s="554"/>
      <c r="JC10" s="554"/>
      <c r="JD10" s="554"/>
      <c r="JE10" s="554"/>
      <c r="JF10" s="554"/>
      <c r="JG10" s="554"/>
      <c r="JH10" s="554"/>
      <c r="JI10" s="554"/>
      <c r="JJ10" s="554"/>
      <c r="JK10" s="554"/>
      <c r="JL10" s="554"/>
      <c r="JM10" s="554"/>
      <c r="JN10" s="554"/>
      <c r="JO10" s="554"/>
      <c r="JP10" s="554"/>
      <c r="JQ10" s="554"/>
      <c r="JR10" s="554"/>
      <c r="JS10" s="554"/>
      <c r="JT10" s="554"/>
      <c r="JU10" s="554"/>
      <c r="JV10" s="554"/>
      <c r="JW10" s="554"/>
      <c r="JX10" s="554"/>
      <c r="JY10" s="554"/>
      <c r="JZ10" s="554"/>
      <c r="KA10" s="554"/>
      <c r="KB10" s="554"/>
      <c r="KC10" s="554"/>
      <c r="KD10" s="554"/>
      <c r="KE10" s="554"/>
      <c r="KF10" s="554"/>
      <c r="KG10" s="554"/>
      <c r="KH10" s="554"/>
      <c r="KI10" s="554"/>
      <c r="KJ10" s="554"/>
      <c r="KK10" s="554"/>
      <c r="KL10" s="554"/>
      <c r="KM10" s="554"/>
      <c r="KN10" s="554"/>
      <c r="KO10" s="554"/>
      <c r="KP10" s="554"/>
      <c r="KQ10" s="554"/>
      <c r="KR10" s="554"/>
      <c r="KS10" s="554"/>
      <c r="KT10" s="554"/>
      <c r="KU10" s="554"/>
      <c r="KV10" s="554"/>
      <c r="KW10" s="554"/>
      <c r="KX10" s="554"/>
      <c r="KY10" s="554"/>
      <c r="KZ10" s="554"/>
      <c r="LA10" s="554"/>
      <c r="LB10" s="554"/>
      <c r="LC10" s="554"/>
      <c r="LD10" s="554"/>
      <c r="LE10" s="554"/>
      <c r="LF10" s="554"/>
      <c r="LG10" s="554"/>
      <c r="LH10" s="554"/>
      <c r="LI10" s="554"/>
      <c r="LJ10" s="554"/>
      <c r="LK10" s="554"/>
      <c r="LL10" s="554"/>
      <c r="LM10" s="554"/>
      <c r="LN10" s="554"/>
      <c r="LO10" s="554"/>
      <c r="LP10" s="554"/>
      <c r="LQ10" s="554"/>
      <c r="LR10" s="554"/>
      <c r="LS10" s="554"/>
      <c r="LT10" s="554"/>
      <c r="LU10" s="554"/>
      <c r="LV10" s="554"/>
      <c r="LW10" s="554"/>
      <c r="LX10" s="554"/>
      <c r="LY10" s="554"/>
      <c r="LZ10" s="554"/>
      <c r="MA10" s="554"/>
      <c r="MB10" s="554"/>
      <c r="MC10" s="554"/>
      <c r="MD10" s="554"/>
      <c r="ME10" s="554"/>
      <c r="MF10" s="554"/>
      <c r="MG10" s="554"/>
      <c r="MH10" s="554"/>
      <c r="MI10" s="554"/>
      <c r="MJ10" s="554"/>
      <c r="MK10" s="554"/>
      <c r="ML10" s="554"/>
      <c r="MM10" s="554"/>
      <c r="MN10" s="554"/>
      <c r="MO10" s="554"/>
      <c r="MP10" s="554"/>
      <c r="MQ10" s="554"/>
      <c r="MR10" s="554"/>
      <c r="MS10" s="554"/>
      <c r="MT10" s="554"/>
      <c r="MU10" s="554"/>
      <c r="MV10" s="554"/>
      <c r="MW10" s="554"/>
      <c r="MX10" s="554"/>
      <c r="MY10" s="554"/>
      <c r="MZ10" s="554"/>
      <c r="NA10" s="554"/>
      <c r="NB10" s="554"/>
      <c r="NC10" s="554"/>
      <c r="ND10" s="554"/>
      <c r="NE10" s="554"/>
      <c r="NF10" s="554"/>
      <c r="NG10" s="554"/>
      <c r="NH10" s="554"/>
      <c r="NI10" s="554"/>
      <c r="NJ10" s="554"/>
      <c r="NK10" s="554"/>
      <c r="NL10" s="554"/>
      <c r="NM10" s="554"/>
      <c r="NN10" s="554"/>
      <c r="NO10" s="554"/>
      <c r="NP10" s="554"/>
      <c r="NQ10" s="554"/>
      <c r="NR10" s="554"/>
      <c r="NS10" s="554"/>
      <c r="NT10" s="554"/>
      <c r="NU10" s="554"/>
      <c r="NV10" s="554"/>
      <c r="NW10" s="554"/>
      <c r="NX10" s="554"/>
      <c r="NY10" s="554"/>
      <c r="NZ10" s="554"/>
      <c r="OA10" s="554"/>
      <c r="OB10" s="554"/>
      <c r="OC10" s="554"/>
      <c r="OD10" s="554"/>
      <c r="OE10" s="554"/>
      <c r="OF10" s="554"/>
      <c r="OG10" s="554"/>
      <c r="OH10" s="554"/>
      <c r="OI10" s="554"/>
      <c r="OJ10" s="554"/>
      <c r="OK10" s="554"/>
      <c r="OL10" s="554"/>
      <c r="OM10" s="554"/>
      <c r="ON10" s="554"/>
      <c r="OO10" s="554"/>
      <c r="OP10" s="554"/>
      <c r="OQ10" s="554"/>
      <c r="OR10" s="554"/>
      <c r="OS10" s="554"/>
      <c r="OT10" s="554"/>
      <c r="OU10" s="554"/>
      <c r="OV10" s="554"/>
      <c r="OW10" s="554"/>
      <c r="OX10" s="554"/>
      <c r="OY10" s="554"/>
      <c r="OZ10" s="554"/>
      <c r="PA10" s="554"/>
      <c r="PB10" s="554"/>
      <c r="PC10" s="554"/>
      <c r="PD10" s="554"/>
      <c r="PE10" s="554"/>
      <c r="PF10" s="554"/>
      <c r="PG10" s="554"/>
      <c r="PH10" s="554"/>
      <c r="PI10" s="554"/>
      <c r="PJ10" s="554"/>
      <c r="PK10" s="554"/>
      <c r="PL10" s="554"/>
      <c r="PM10" s="554"/>
      <c r="PN10" s="554"/>
      <c r="PO10" s="554"/>
      <c r="PP10" s="554"/>
      <c r="PQ10" s="554"/>
      <c r="PR10" s="554"/>
      <c r="PS10" s="554"/>
      <c r="PT10" s="554"/>
      <c r="PU10" s="554"/>
      <c r="PV10" s="554"/>
      <c r="PW10" s="554"/>
      <c r="PX10" s="554"/>
      <c r="PY10" s="554"/>
      <c r="PZ10" s="554"/>
      <c r="QA10" s="554"/>
      <c r="QB10" s="554"/>
      <c r="QC10" s="554"/>
      <c r="QD10" s="554"/>
      <c r="QE10" s="554"/>
      <c r="QF10" s="554"/>
      <c r="QG10" s="554"/>
      <c r="QH10" s="554"/>
      <c r="QI10" s="554"/>
      <c r="QJ10" s="554"/>
      <c r="QK10" s="554"/>
      <c r="QL10" s="554"/>
      <c r="QM10" s="554"/>
      <c r="QN10" s="554"/>
      <c r="QO10" s="554"/>
      <c r="QP10" s="554"/>
      <c r="QQ10" s="554"/>
      <c r="QR10" s="554"/>
      <c r="QS10" s="554"/>
      <c r="QT10" s="554"/>
      <c r="QU10" s="554"/>
      <c r="QV10" s="554"/>
      <c r="QW10" s="554"/>
      <c r="QX10" s="554"/>
      <c r="QY10" s="554"/>
      <c r="QZ10" s="554"/>
      <c r="RA10" s="554"/>
      <c r="RB10" s="554"/>
      <c r="RC10" s="554"/>
      <c r="RD10" s="554"/>
      <c r="RE10" s="554"/>
      <c r="RF10" s="554"/>
      <c r="RG10" s="554"/>
      <c r="RH10" s="554"/>
      <c r="RI10" s="554"/>
      <c r="RJ10" s="554"/>
      <c r="RK10" s="554"/>
      <c r="RL10" s="554"/>
      <c r="RM10" s="554"/>
      <c r="RN10" s="554"/>
      <c r="RO10" s="554"/>
      <c r="RP10" s="554"/>
      <c r="RQ10" s="554"/>
      <c r="RR10" s="554"/>
      <c r="RS10" s="554"/>
      <c r="RT10" s="554"/>
      <c r="RU10" s="554"/>
      <c r="RV10" s="554"/>
      <c r="RW10" s="554"/>
      <c r="RX10" s="554"/>
      <c r="RY10" s="554"/>
      <c r="RZ10" s="554"/>
      <c r="SA10" s="554"/>
      <c r="SB10" s="554"/>
      <c r="SC10" s="554"/>
      <c r="SD10" s="554"/>
      <c r="SE10" s="554"/>
      <c r="SF10" s="554"/>
      <c r="SG10" s="554"/>
      <c r="SH10" s="554"/>
      <c r="SI10" s="554"/>
      <c r="SJ10" s="554"/>
      <c r="SK10" s="554"/>
      <c r="SL10" s="554"/>
      <c r="SM10" s="554"/>
      <c r="SN10" s="554"/>
      <c r="SO10" s="554"/>
      <c r="SP10" s="554"/>
      <c r="SQ10" s="554"/>
      <c r="SR10" s="554"/>
      <c r="SS10" s="554"/>
      <c r="ST10" s="554"/>
      <c r="SU10" s="554"/>
      <c r="SV10" s="554"/>
      <c r="SW10" s="554"/>
      <c r="SX10" s="554"/>
      <c r="SY10" s="554"/>
      <c r="SZ10" s="554"/>
      <c r="TA10" s="554"/>
      <c r="TB10" s="554"/>
      <c r="TC10" s="554"/>
      <c r="TD10" s="554"/>
      <c r="TE10" s="554"/>
      <c r="TF10" s="554"/>
      <c r="TG10" s="554"/>
      <c r="TH10" s="554"/>
      <c r="TI10" s="554"/>
      <c r="TJ10" s="554"/>
      <c r="TK10" s="554"/>
      <c r="TL10" s="554"/>
      <c r="TM10" s="554"/>
      <c r="TN10" s="554"/>
      <c r="TO10" s="554"/>
      <c r="TP10" s="554"/>
      <c r="TQ10" s="554"/>
      <c r="TR10" s="554"/>
      <c r="TS10" s="554"/>
      <c r="TT10" s="554"/>
      <c r="TU10" s="554"/>
      <c r="TV10" s="554"/>
      <c r="TW10" s="554"/>
      <c r="TX10" s="554"/>
      <c r="TY10" s="554"/>
      <c r="TZ10" s="554"/>
      <c r="UA10" s="554"/>
      <c r="UB10" s="554"/>
      <c r="UC10" s="554"/>
      <c r="UD10" s="554"/>
      <c r="UE10" s="554"/>
      <c r="UF10" s="554"/>
      <c r="UG10" s="554"/>
      <c r="UH10" s="554"/>
      <c r="UI10" s="554"/>
      <c r="UJ10" s="554"/>
      <c r="UK10" s="554"/>
      <c r="UL10" s="554"/>
      <c r="UM10" s="554"/>
      <c r="UN10" s="554"/>
      <c r="UO10" s="554"/>
      <c r="UP10" s="554"/>
      <c r="UQ10" s="554"/>
      <c r="UR10" s="554"/>
      <c r="US10" s="554"/>
      <c r="UT10" s="554"/>
      <c r="UU10" s="554"/>
      <c r="UV10" s="554"/>
      <c r="UW10" s="554"/>
      <c r="UX10" s="554"/>
      <c r="UY10" s="554"/>
      <c r="UZ10" s="554"/>
      <c r="VA10" s="554"/>
      <c r="VB10" s="554"/>
      <c r="VC10" s="554"/>
      <c r="VD10" s="554"/>
      <c r="VE10" s="554"/>
      <c r="VF10" s="554"/>
      <c r="VG10" s="554"/>
      <c r="VH10" s="554"/>
      <c r="VI10" s="554"/>
      <c r="VJ10" s="554"/>
      <c r="VK10" s="554"/>
      <c r="VL10" s="554"/>
      <c r="VM10" s="554"/>
      <c r="VN10" s="554"/>
      <c r="VO10" s="554"/>
      <c r="VP10" s="554"/>
      <c r="VQ10" s="554"/>
      <c r="VR10" s="554"/>
      <c r="VS10" s="554"/>
      <c r="VT10" s="554"/>
      <c r="VU10" s="554"/>
      <c r="VV10" s="554"/>
      <c r="VW10" s="554"/>
      <c r="VX10" s="554"/>
      <c r="VY10" s="554"/>
      <c r="VZ10" s="554"/>
      <c r="WA10" s="554"/>
      <c r="WB10" s="554"/>
      <c r="WC10" s="554"/>
      <c r="WD10" s="554"/>
      <c r="WE10" s="554"/>
      <c r="WF10" s="554"/>
      <c r="WG10" s="554"/>
      <c r="WH10" s="554"/>
      <c r="WI10" s="554"/>
      <c r="WJ10" s="554"/>
      <c r="WK10" s="554"/>
      <c r="WL10" s="554"/>
      <c r="WM10" s="554"/>
      <c r="WN10" s="554"/>
      <c r="WO10" s="554"/>
      <c r="WP10" s="554"/>
      <c r="WQ10" s="554"/>
      <c r="WR10" s="554"/>
      <c r="WS10" s="554"/>
      <c r="WT10" s="554"/>
      <c r="WU10" s="554"/>
      <c r="WV10" s="554"/>
      <c r="WW10" s="554"/>
      <c r="WX10" s="554"/>
      <c r="WY10" s="554"/>
      <c r="WZ10" s="554"/>
      <c r="XA10" s="554"/>
      <c r="XB10" s="554"/>
      <c r="XC10" s="554"/>
      <c r="XD10" s="554"/>
      <c r="XE10" s="554"/>
      <c r="XF10" s="554"/>
      <c r="XG10" s="554"/>
      <c r="XH10" s="554"/>
      <c r="XI10" s="554"/>
      <c r="XJ10" s="554"/>
      <c r="XK10" s="554"/>
      <c r="XL10" s="554"/>
      <c r="XM10" s="554"/>
      <c r="XN10" s="554"/>
      <c r="XO10" s="554"/>
      <c r="XP10" s="554"/>
      <c r="XQ10" s="554"/>
      <c r="XR10" s="554"/>
      <c r="XS10" s="554"/>
      <c r="XT10" s="554"/>
      <c r="XU10" s="554"/>
      <c r="XV10" s="554"/>
      <c r="XW10" s="554"/>
      <c r="XX10" s="554"/>
      <c r="XY10" s="554"/>
      <c r="XZ10" s="554"/>
      <c r="YA10" s="554"/>
      <c r="YB10" s="554"/>
      <c r="YC10" s="554"/>
      <c r="YD10" s="554"/>
      <c r="YE10" s="554"/>
      <c r="YF10" s="554"/>
      <c r="YG10" s="554"/>
      <c r="YH10" s="554"/>
      <c r="YI10" s="554"/>
      <c r="YJ10" s="554"/>
      <c r="YK10" s="554"/>
      <c r="YL10" s="554"/>
      <c r="YM10" s="554"/>
      <c r="YN10" s="554"/>
      <c r="YO10" s="554"/>
      <c r="YP10" s="554"/>
      <c r="YQ10" s="554"/>
      <c r="YR10" s="554"/>
      <c r="YS10" s="554"/>
      <c r="YT10" s="554"/>
      <c r="YU10" s="554"/>
      <c r="YV10" s="554"/>
      <c r="YW10" s="554"/>
      <c r="YX10" s="554"/>
      <c r="YY10" s="554"/>
      <c r="YZ10" s="554"/>
      <c r="ZA10" s="554"/>
      <c r="ZB10" s="554"/>
      <c r="ZC10" s="554"/>
      <c r="ZD10" s="554"/>
      <c r="ZE10" s="554"/>
      <c r="ZF10" s="554"/>
      <c r="ZG10" s="554"/>
      <c r="ZH10" s="554"/>
      <c r="ZI10" s="554"/>
      <c r="ZJ10" s="554"/>
      <c r="ZK10" s="554"/>
      <c r="ZL10" s="554"/>
      <c r="ZM10" s="554"/>
      <c r="ZN10" s="554"/>
      <c r="ZO10" s="554"/>
      <c r="ZP10" s="554"/>
      <c r="ZQ10" s="554"/>
      <c r="ZR10" s="554"/>
      <c r="ZS10" s="554"/>
      <c r="ZT10" s="554"/>
      <c r="ZU10" s="554"/>
      <c r="ZV10" s="554"/>
      <c r="ZW10" s="554"/>
      <c r="ZX10" s="554"/>
      <c r="ZY10" s="554"/>
      <c r="ZZ10" s="554"/>
      <c r="AAA10" s="554"/>
      <c r="AAB10" s="554"/>
      <c r="AAC10" s="554"/>
      <c r="AAD10" s="554"/>
      <c r="AAE10" s="554"/>
      <c r="AAF10" s="554"/>
      <c r="AAG10" s="554"/>
      <c r="AAH10" s="554"/>
      <c r="AAI10" s="554"/>
      <c r="AAJ10" s="554"/>
      <c r="AAK10" s="554"/>
      <c r="AAL10" s="554"/>
      <c r="AAM10" s="554"/>
      <c r="AAN10" s="554"/>
      <c r="AAO10" s="554"/>
      <c r="AAP10" s="554"/>
      <c r="AAQ10" s="554"/>
      <c r="AAR10" s="554"/>
      <c r="AAS10" s="554"/>
      <c r="AAT10" s="554"/>
      <c r="AAU10" s="554"/>
      <c r="AAV10" s="554"/>
      <c r="AAW10" s="554"/>
      <c r="AAX10" s="554"/>
      <c r="AAY10" s="554"/>
      <c r="AAZ10" s="554"/>
      <c r="ABA10" s="554"/>
      <c r="ABB10" s="554"/>
      <c r="ABC10" s="554"/>
      <c r="ABD10" s="554"/>
      <c r="ABE10" s="554"/>
      <c r="ABF10" s="554"/>
      <c r="ABG10" s="554"/>
      <c r="ABH10" s="554"/>
      <c r="ABI10" s="554"/>
      <c r="ABJ10" s="554"/>
      <c r="ABK10" s="554"/>
      <c r="ABL10" s="554"/>
      <c r="ABM10" s="554"/>
      <c r="ABN10" s="554"/>
      <c r="ABO10" s="554"/>
      <c r="ABP10" s="554"/>
      <c r="ABQ10" s="554"/>
      <c r="ABR10" s="554"/>
      <c r="ABS10" s="554"/>
      <c r="ABT10" s="554"/>
      <c r="ABU10" s="554"/>
      <c r="ABV10" s="554"/>
      <c r="ABW10" s="554"/>
      <c r="ABX10" s="554"/>
      <c r="ABY10" s="554"/>
      <c r="ABZ10" s="554"/>
      <c r="ACA10" s="554"/>
      <c r="ACB10" s="554"/>
      <c r="ACC10" s="554"/>
      <c r="ACD10" s="554"/>
      <c r="ACE10" s="554"/>
      <c r="ACF10" s="554"/>
      <c r="ACG10" s="554"/>
      <c r="ACH10" s="554"/>
      <c r="ACI10" s="554"/>
      <c r="ACJ10" s="554"/>
      <c r="ACK10" s="554"/>
      <c r="ACL10" s="554"/>
      <c r="ACM10" s="554"/>
      <c r="ACN10" s="554"/>
      <c r="ACO10" s="554"/>
      <c r="ACP10" s="554"/>
      <c r="ACQ10" s="554"/>
      <c r="ACR10" s="554"/>
      <c r="ACS10" s="554"/>
      <c r="ACT10" s="554"/>
      <c r="ACU10" s="554"/>
      <c r="ACV10" s="554"/>
      <c r="ACW10" s="554"/>
      <c r="ACX10" s="554"/>
      <c r="ACY10" s="554"/>
      <c r="ACZ10" s="554"/>
      <c r="ADA10" s="554"/>
      <c r="ADB10" s="554"/>
      <c r="ADC10" s="554"/>
      <c r="ADD10" s="554"/>
      <c r="ADE10" s="554"/>
      <c r="ADF10" s="554"/>
      <c r="ADG10" s="554"/>
      <c r="ADH10" s="554"/>
      <c r="ADI10" s="554"/>
      <c r="ADJ10" s="554"/>
      <c r="ADK10" s="554"/>
      <c r="ADL10" s="554"/>
      <c r="ADM10" s="554"/>
      <c r="ADN10" s="554"/>
      <c r="ADO10" s="554"/>
      <c r="ADP10" s="554"/>
      <c r="ADQ10" s="554"/>
      <c r="ADR10" s="554"/>
      <c r="ADS10" s="554"/>
      <c r="ADT10" s="554"/>
      <c r="ADU10" s="554"/>
      <c r="ADV10" s="554"/>
      <c r="ADW10" s="554"/>
      <c r="ADX10" s="554"/>
      <c r="ADY10" s="554"/>
      <c r="ADZ10" s="554"/>
      <c r="AEA10" s="554"/>
      <c r="AEB10" s="554"/>
      <c r="AEC10" s="554"/>
      <c r="AED10" s="554"/>
      <c r="AEE10" s="554"/>
      <c r="AEF10" s="554"/>
      <c r="AEG10" s="554"/>
      <c r="AEH10" s="554"/>
      <c r="AEI10" s="554"/>
      <c r="AEJ10" s="554"/>
      <c r="AEK10" s="554"/>
      <c r="AEL10" s="554"/>
      <c r="AEM10" s="554"/>
      <c r="AEN10" s="554"/>
      <c r="AEO10" s="554"/>
      <c r="AEP10" s="554"/>
      <c r="AEQ10" s="554"/>
      <c r="AER10" s="554"/>
      <c r="AES10" s="554"/>
      <c r="AET10" s="554"/>
      <c r="AEU10" s="554"/>
      <c r="AEV10" s="554"/>
      <c r="AEW10" s="554"/>
      <c r="AEX10" s="554"/>
      <c r="AEY10" s="554"/>
      <c r="AEZ10" s="554"/>
      <c r="AFA10" s="554"/>
      <c r="AFB10" s="554"/>
      <c r="AFC10" s="554"/>
      <c r="AFD10" s="554"/>
      <c r="AFE10" s="554"/>
      <c r="AFF10" s="554"/>
      <c r="AFG10" s="554"/>
      <c r="AFH10" s="554"/>
      <c r="AFI10" s="554"/>
      <c r="AFJ10" s="554"/>
      <c r="AFK10" s="554"/>
      <c r="AFL10" s="554"/>
      <c r="AFM10" s="554"/>
      <c r="AFN10" s="554"/>
      <c r="AFO10" s="554"/>
      <c r="AFP10" s="554"/>
      <c r="AFQ10" s="554"/>
      <c r="AFR10" s="554"/>
      <c r="AFS10" s="554"/>
      <c r="AFT10" s="554"/>
      <c r="AFU10" s="554"/>
      <c r="AFV10" s="554"/>
      <c r="AFW10" s="554"/>
      <c r="AFX10" s="554"/>
      <c r="AFY10" s="554"/>
      <c r="AFZ10" s="554"/>
      <c r="AGA10" s="554"/>
      <c r="AGB10" s="554"/>
      <c r="AGC10" s="554"/>
      <c r="AGD10" s="554"/>
      <c r="AGE10" s="554"/>
      <c r="AGF10" s="554"/>
      <c r="AGG10" s="554"/>
      <c r="AGH10" s="554"/>
      <c r="AGI10" s="554"/>
      <c r="AGJ10" s="554"/>
      <c r="AGK10" s="554"/>
      <c r="AGL10" s="554"/>
      <c r="AGM10" s="554"/>
      <c r="AGN10" s="554"/>
      <c r="AGO10" s="554"/>
      <c r="AGP10" s="554"/>
      <c r="AGQ10" s="554"/>
      <c r="AGR10" s="554"/>
      <c r="AGS10" s="554"/>
      <c r="AGT10" s="554"/>
      <c r="AGU10" s="554"/>
      <c r="AGV10" s="554"/>
      <c r="AGW10" s="554"/>
      <c r="AGX10" s="554"/>
      <c r="AGY10" s="554"/>
      <c r="AGZ10" s="554"/>
      <c r="AHA10" s="554"/>
      <c r="AHB10" s="554"/>
      <c r="AHC10" s="554"/>
      <c r="AHD10" s="554"/>
      <c r="AHE10" s="554"/>
      <c r="AHF10" s="554"/>
      <c r="AHG10" s="554"/>
      <c r="AHH10" s="554"/>
      <c r="AHI10" s="554"/>
      <c r="AHJ10" s="554"/>
      <c r="AHK10" s="554"/>
      <c r="AHL10" s="554"/>
      <c r="AHM10" s="554"/>
      <c r="AHN10" s="554"/>
      <c r="AHO10" s="554"/>
      <c r="AHP10" s="554"/>
      <c r="AHQ10" s="554"/>
      <c r="AHR10" s="554"/>
      <c r="AHS10" s="554"/>
      <c r="AHT10" s="554"/>
      <c r="AHU10" s="554"/>
      <c r="AHV10" s="554"/>
      <c r="AHW10" s="554"/>
      <c r="AHX10" s="554"/>
      <c r="AHY10" s="554"/>
      <c r="AHZ10" s="554"/>
      <c r="AIA10" s="554"/>
      <c r="AIB10" s="554"/>
      <c r="AIC10" s="554"/>
      <c r="AID10" s="554"/>
      <c r="AIE10" s="554"/>
      <c r="AIF10" s="554"/>
      <c r="AIG10" s="554"/>
      <c r="AIH10" s="554"/>
      <c r="AII10" s="554"/>
      <c r="AIJ10" s="554"/>
      <c r="AIK10" s="554"/>
      <c r="AIL10" s="554"/>
      <c r="AIM10" s="554"/>
      <c r="AIN10" s="554"/>
      <c r="AIO10" s="554"/>
      <c r="AIP10" s="554"/>
      <c r="AIQ10" s="554"/>
      <c r="AIR10" s="554"/>
      <c r="AIS10" s="554"/>
      <c r="AIT10" s="554"/>
      <c r="AIU10" s="554"/>
      <c r="AIV10" s="554"/>
      <c r="AIW10" s="554"/>
      <c r="AIX10" s="554"/>
      <c r="AIY10" s="554"/>
      <c r="AIZ10" s="554"/>
      <c r="AJA10" s="554"/>
      <c r="AJB10" s="554"/>
      <c r="AJC10" s="554"/>
      <c r="AJD10" s="554"/>
      <c r="AJE10" s="554"/>
      <c r="AJF10" s="554"/>
      <c r="AJG10" s="554"/>
      <c r="AJH10" s="554"/>
      <c r="AJI10" s="554"/>
      <c r="AJJ10" s="554"/>
      <c r="AJK10" s="554"/>
      <c r="AJL10" s="554"/>
      <c r="AJM10" s="554"/>
      <c r="AJN10" s="554"/>
      <c r="AJO10" s="554"/>
      <c r="AJP10" s="554"/>
      <c r="AJQ10" s="554"/>
      <c r="AJR10" s="554"/>
      <c r="AJS10" s="554"/>
      <c r="AJT10" s="554"/>
      <c r="AJU10" s="554"/>
      <c r="AJV10" s="554"/>
      <c r="AJW10" s="554"/>
      <c r="AJX10" s="554"/>
      <c r="AJY10" s="554"/>
      <c r="AJZ10" s="554"/>
      <c r="AKA10" s="554"/>
      <c r="AKB10" s="554"/>
      <c r="AKC10" s="554"/>
      <c r="AKD10" s="554"/>
      <c r="AKE10" s="554"/>
      <c r="AKF10" s="554"/>
      <c r="AKG10" s="554"/>
      <c r="AKH10" s="554"/>
      <c r="AKI10" s="554"/>
      <c r="AKJ10" s="554"/>
      <c r="AKK10" s="554"/>
      <c r="AKL10" s="554"/>
      <c r="AKM10" s="554"/>
      <c r="AKN10" s="554"/>
      <c r="AKO10" s="554"/>
      <c r="AKP10" s="554"/>
      <c r="AKQ10" s="554"/>
      <c r="AKR10" s="554"/>
      <c r="AKS10" s="554"/>
      <c r="AKT10" s="554"/>
      <c r="AKU10" s="554"/>
      <c r="AKV10" s="554"/>
      <c r="AKW10" s="554"/>
      <c r="AKX10" s="554"/>
      <c r="AKY10" s="554"/>
      <c r="AKZ10" s="554"/>
      <c r="ALA10" s="554"/>
      <c r="ALB10" s="554"/>
      <c r="ALC10" s="554"/>
      <c r="ALD10" s="554"/>
      <c r="ALE10" s="554"/>
      <c r="ALF10" s="554"/>
      <c r="ALG10" s="554"/>
      <c r="ALH10" s="554"/>
      <c r="ALI10" s="554"/>
      <c r="ALJ10" s="554"/>
      <c r="ALK10" s="554"/>
      <c r="ALL10" s="554"/>
      <c r="ALM10" s="554"/>
      <c r="ALN10" s="554"/>
      <c r="ALO10" s="554"/>
      <c r="ALP10" s="554"/>
      <c r="ALQ10" s="554"/>
      <c r="ALR10" s="554"/>
      <c r="ALS10" s="554"/>
      <c r="ALT10" s="554"/>
      <c r="ALU10" s="554"/>
      <c r="ALV10" s="554"/>
      <c r="ALW10" s="554"/>
      <c r="ALX10" s="554"/>
      <c r="ALY10" s="554"/>
      <c r="ALZ10" s="554"/>
      <c r="AMA10" s="554"/>
      <c r="AMB10" s="554"/>
      <c r="AMC10" s="554"/>
      <c r="AMD10" s="554"/>
      <c r="AME10" s="554"/>
      <c r="AMF10" s="554"/>
      <c r="AMG10" s="554"/>
      <c r="AMH10" s="554"/>
      <c r="AMI10" s="554"/>
      <c r="AMJ10" s="554"/>
      <c r="AMK10" s="554"/>
      <c r="AML10" s="554"/>
      <c r="AMM10" s="554"/>
      <c r="AMN10" s="554"/>
      <c r="AMO10" s="554"/>
      <c r="AMP10" s="554"/>
      <c r="AMQ10" s="554"/>
      <c r="AMR10" s="554"/>
      <c r="AMS10" s="554"/>
      <c r="AMT10" s="554"/>
      <c r="AMU10" s="554"/>
      <c r="AMV10" s="554"/>
      <c r="AMW10" s="554"/>
      <c r="AMX10" s="554"/>
      <c r="AMY10" s="554"/>
      <c r="AMZ10" s="554"/>
      <c r="ANA10" s="554"/>
      <c r="ANB10" s="554"/>
      <c r="ANC10" s="554"/>
      <c r="AND10" s="554"/>
      <c r="ANE10" s="554"/>
      <c r="ANF10" s="554"/>
      <c r="ANG10" s="554"/>
      <c r="ANH10" s="554"/>
      <c r="ANI10" s="554"/>
      <c r="ANJ10" s="554"/>
      <c r="ANK10" s="554"/>
      <c r="ANL10" s="554"/>
      <c r="ANM10" s="554"/>
      <c r="ANN10" s="554"/>
      <c r="ANO10" s="554"/>
      <c r="ANP10" s="554"/>
      <c r="ANQ10" s="554"/>
      <c r="ANR10" s="554"/>
      <c r="ANS10" s="554"/>
      <c r="ANT10" s="554"/>
      <c r="ANU10" s="554"/>
      <c r="ANV10" s="554"/>
      <c r="ANW10" s="554"/>
      <c r="ANX10" s="554"/>
      <c r="ANY10" s="554"/>
      <c r="ANZ10" s="554"/>
      <c r="AOA10" s="554"/>
      <c r="AOB10" s="554"/>
      <c r="AOC10" s="554"/>
      <c r="AOD10" s="554"/>
      <c r="AOE10" s="554"/>
      <c r="AOF10" s="554"/>
      <c r="AOG10" s="554"/>
      <c r="AOH10" s="554"/>
      <c r="AOI10" s="554"/>
      <c r="AOJ10" s="554"/>
      <c r="AOK10" s="554"/>
      <c r="AOL10" s="554"/>
      <c r="AOM10" s="554"/>
      <c r="AON10" s="554"/>
      <c r="AOO10" s="554"/>
      <c r="AOP10" s="554"/>
      <c r="AOQ10" s="554"/>
      <c r="AOR10" s="554"/>
      <c r="AOS10" s="554"/>
      <c r="AOT10" s="554"/>
      <c r="AOU10" s="554"/>
      <c r="AOV10" s="554"/>
      <c r="AOW10" s="554"/>
      <c r="AOX10" s="554"/>
      <c r="AOY10" s="554"/>
      <c r="AOZ10" s="554"/>
      <c r="APA10" s="554"/>
      <c r="APB10" s="554"/>
      <c r="APC10" s="554"/>
      <c r="APD10" s="554"/>
      <c r="APE10" s="554"/>
      <c r="APF10" s="554"/>
      <c r="APG10" s="554"/>
      <c r="APH10" s="554"/>
      <c r="API10" s="554"/>
      <c r="APJ10" s="554"/>
      <c r="APK10" s="554"/>
      <c r="APL10" s="554"/>
      <c r="APM10" s="554"/>
      <c r="APN10" s="554"/>
      <c r="APO10" s="554"/>
      <c r="APP10" s="554"/>
      <c r="APQ10" s="554"/>
      <c r="APR10" s="554"/>
      <c r="APS10" s="554"/>
      <c r="APT10" s="554"/>
      <c r="APU10" s="554"/>
      <c r="APV10" s="554"/>
      <c r="APW10" s="554"/>
      <c r="APX10" s="554"/>
      <c r="APY10" s="554"/>
      <c r="APZ10" s="554"/>
      <c r="AQA10" s="554"/>
      <c r="AQB10" s="554"/>
      <c r="AQC10" s="554"/>
      <c r="AQD10" s="554"/>
      <c r="AQE10" s="554"/>
      <c r="AQF10" s="554"/>
      <c r="AQG10" s="554"/>
      <c r="AQH10" s="554"/>
      <c r="AQI10" s="554"/>
      <c r="AQJ10" s="554"/>
      <c r="AQK10" s="554"/>
      <c r="AQL10" s="554"/>
      <c r="AQM10" s="554"/>
      <c r="AQN10" s="554"/>
      <c r="AQO10" s="554"/>
      <c r="AQP10" s="554"/>
      <c r="AQQ10" s="554"/>
      <c r="AQR10" s="554"/>
      <c r="AQS10" s="554"/>
      <c r="AQT10" s="554"/>
      <c r="AQU10" s="554"/>
      <c r="AQV10" s="554"/>
      <c r="AQW10" s="554"/>
      <c r="AQX10" s="554"/>
      <c r="AQY10" s="554"/>
      <c r="AQZ10" s="554"/>
      <c r="ARA10" s="554"/>
      <c r="ARB10" s="554"/>
      <c r="ARC10" s="554"/>
      <c r="ARD10" s="554"/>
      <c r="ARE10" s="554"/>
      <c r="ARF10" s="554"/>
      <c r="ARG10" s="554"/>
      <c r="ARH10" s="554"/>
      <c r="ARI10" s="554"/>
      <c r="ARJ10" s="554"/>
      <c r="ARK10" s="554"/>
      <c r="ARL10" s="554"/>
      <c r="ARM10" s="554"/>
      <c r="ARN10" s="554"/>
      <c r="ARO10" s="554"/>
      <c r="ARP10" s="554"/>
      <c r="ARQ10" s="554"/>
      <c r="ARR10" s="554"/>
      <c r="ARS10" s="554"/>
      <c r="ART10" s="554"/>
      <c r="ARU10" s="554"/>
      <c r="ARV10" s="554"/>
      <c r="ARW10" s="554"/>
      <c r="ARX10" s="554"/>
      <c r="ARY10" s="554"/>
      <c r="ARZ10" s="554"/>
      <c r="ASA10" s="554"/>
      <c r="ASB10" s="554"/>
      <c r="ASC10" s="554"/>
      <c r="ASD10" s="554"/>
      <c r="ASE10" s="554"/>
      <c r="ASF10" s="554"/>
      <c r="ASG10" s="554"/>
      <c r="ASH10" s="554"/>
      <c r="ASI10" s="554"/>
      <c r="ASJ10" s="554"/>
      <c r="ASK10" s="554"/>
      <c r="ASL10" s="554"/>
      <c r="ASM10" s="554"/>
      <c r="ASN10" s="554"/>
      <c r="ASO10" s="554"/>
      <c r="ASP10" s="554"/>
      <c r="ASQ10" s="554"/>
      <c r="ASR10" s="554"/>
      <c r="ASS10" s="554"/>
      <c r="AST10" s="554"/>
      <c r="ASU10" s="554"/>
      <c r="ASV10" s="554"/>
      <c r="ASW10" s="554"/>
      <c r="ASX10" s="554"/>
      <c r="ASY10" s="554"/>
      <c r="ASZ10" s="554"/>
      <c r="ATA10" s="554"/>
      <c r="ATB10" s="554"/>
      <c r="ATC10" s="554"/>
      <c r="ATD10" s="554"/>
      <c r="ATE10" s="554"/>
      <c r="ATF10" s="554"/>
      <c r="ATG10" s="554"/>
      <c r="ATH10" s="554"/>
      <c r="ATI10" s="554"/>
      <c r="ATJ10" s="554"/>
      <c r="ATK10" s="554"/>
      <c r="ATL10" s="554"/>
      <c r="ATM10" s="554"/>
      <c r="ATN10" s="554"/>
      <c r="ATO10" s="554"/>
      <c r="ATP10" s="554"/>
      <c r="ATQ10" s="554"/>
      <c r="ATR10" s="554"/>
      <c r="ATS10" s="554"/>
      <c r="ATT10" s="554"/>
      <c r="ATU10" s="554"/>
      <c r="ATV10" s="554"/>
      <c r="ATW10" s="554"/>
      <c r="ATX10" s="554"/>
      <c r="ATY10" s="554"/>
      <c r="ATZ10" s="554"/>
      <c r="AUA10" s="554"/>
      <c r="AUB10" s="554"/>
      <c r="AUC10" s="554"/>
      <c r="AUD10" s="554"/>
      <c r="AUE10" s="554"/>
      <c r="AUF10" s="554"/>
      <c r="AUG10" s="554"/>
      <c r="AUH10" s="554"/>
      <c r="AUI10" s="554"/>
      <c r="AUJ10" s="554"/>
      <c r="AUK10" s="554"/>
      <c r="AUL10" s="554"/>
      <c r="AUM10" s="554"/>
      <c r="AUN10" s="554"/>
      <c r="AUO10" s="554"/>
      <c r="AUP10" s="554"/>
      <c r="AUQ10" s="554"/>
      <c r="AUR10" s="554"/>
      <c r="AUS10" s="554"/>
      <c r="AUT10" s="554"/>
      <c r="AUU10" s="554"/>
      <c r="AUV10" s="554"/>
      <c r="AUW10" s="554"/>
      <c r="AUX10" s="554"/>
      <c r="AUY10" s="554"/>
      <c r="AUZ10" s="554"/>
      <c r="AVA10" s="554"/>
      <c r="AVB10" s="554"/>
      <c r="AVC10" s="554"/>
      <c r="AVD10" s="554"/>
      <c r="AVE10" s="554"/>
      <c r="AVF10" s="554"/>
      <c r="AVG10" s="554"/>
      <c r="AVH10" s="554"/>
      <c r="AVI10" s="554"/>
      <c r="AVJ10" s="554"/>
      <c r="AVK10" s="554"/>
      <c r="AVL10" s="554"/>
      <c r="AVM10" s="554"/>
      <c r="AVN10" s="554"/>
      <c r="AVO10" s="554"/>
      <c r="AVP10" s="554"/>
      <c r="AVQ10" s="554"/>
      <c r="AVR10" s="554"/>
      <c r="AVS10" s="554"/>
      <c r="AVT10" s="554"/>
      <c r="AVU10" s="554"/>
      <c r="AVV10" s="554"/>
      <c r="AVW10" s="554"/>
      <c r="AVX10" s="554"/>
      <c r="AVY10" s="554"/>
      <c r="AVZ10" s="554"/>
      <c r="AWA10" s="554"/>
      <c r="AWB10" s="554"/>
      <c r="AWC10" s="554"/>
      <c r="AWD10" s="554"/>
      <c r="AWE10" s="554"/>
      <c r="AWF10" s="554"/>
      <c r="AWG10" s="554"/>
      <c r="AWH10" s="554"/>
      <c r="AWI10" s="554"/>
      <c r="AWJ10" s="554"/>
      <c r="AWK10" s="554"/>
      <c r="AWL10" s="554"/>
      <c r="AWM10" s="554"/>
      <c r="AWN10" s="554"/>
      <c r="AWO10" s="554"/>
      <c r="AWP10" s="554"/>
      <c r="AWQ10" s="554"/>
      <c r="AWR10" s="554"/>
      <c r="AWS10" s="554"/>
      <c r="AWT10" s="554"/>
      <c r="AWU10" s="554"/>
      <c r="AWV10" s="554"/>
      <c r="AWW10" s="554"/>
      <c r="AWX10" s="554"/>
      <c r="AWY10" s="554"/>
      <c r="AWZ10" s="554"/>
      <c r="AXA10" s="554"/>
      <c r="AXB10" s="554"/>
      <c r="AXC10" s="554"/>
      <c r="AXD10" s="554"/>
      <c r="AXE10" s="554"/>
      <c r="AXF10" s="554"/>
      <c r="AXG10" s="554"/>
      <c r="AXH10" s="554"/>
      <c r="AXI10" s="554"/>
      <c r="AXJ10" s="554"/>
      <c r="AXK10" s="554"/>
      <c r="AXL10" s="554"/>
      <c r="AXM10" s="554"/>
      <c r="AXN10" s="554"/>
      <c r="AXO10" s="554"/>
      <c r="AXP10" s="554"/>
      <c r="AXQ10" s="554"/>
      <c r="AXR10" s="554"/>
      <c r="AXS10" s="554"/>
      <c r="AXT10" s="554"/>
      <c r="AXU10" s="554"/>
      <c r="AXV10" s="554"/>
      <c r="AXW10" s="554"/>
      <c r="AXX10" s="554"/>
      <c r="AXY10" s="554"/>
      <c r="AXZ10" s="554"/>
      <c r="AYA10" s="554"/>
      <c r="AYB10" s="554"/>
      <c r="AYC10" s="554"/>
      <c r="AYD10" s="554"/>
      <c r="AYE10" s="554"/>
      <c r="AYF10" s="554"/>
      <c r="AYG10" s="554"/>
      <c r="AYH10" s="554"/>
      <c r="AYI10" s="554"/>
      <c r="AYJ10" s="554"/>
      <c r="AYK10" s="554"/>
      <c r="AYL10" s="554"/>
      <c r="AYM10" s="554"/>
      <c r="AYN10" s="554"/>
      <c r="AYO10" s="554"/>
      <c r="AYP10" s="554"/>
      <c r="AYQ10" s="554"/>
      <c r="AYR10" s="554"/>
      <c r="AYS10" s="554"/>
      <c r="AYT10" s="554"/>
      <c r="AYU10" s="554"/>
      <c r="AYV10" s="554"/>
      <c r="AYW10" s="554"/>
      <c r="AYX10" s="554"/>
      <c r="AYY10" s="554"/>
      <c r="AYZ10" s="554"/>
      <c r="AZA10" s="554"/>
      <c r="AZB10" s="554"/>
      <c r="AZC10" s="554"/>
      <c r="AZD10" s="554"/>
      <c r="AZE10" s="554"/>
      <c r="AZF10" s="554"/>
      <c r="AZG10" s="554"/>
      <c r="AZH10" s="554"/>
      <c r="AZI10" s="554"/>
      <c r="AZJ10" s="554"/>
      <c r="AZK10" s="554"/>
      <c r="AZL10" s="554"/>
      <c r="AZM10" s="554"/>
      <c r="AZN10" s="554"/>
      <c r="AZO10" s="554"/>
      <c r="AZP10" s="554"/>
      <c r="AZQ10" s="554"/>
      <c r="AZR10" s="554"/>
      <c r="AZS10" s="554"/>
      <c r="AZT10" s="554"/>
      <c r="AZU10" s="554"/>
      <c r="AZV10" s="554"/>
      <c r="AZW10" s="554"/>
      <c r="AZX10" s="554"/>
      <c r="AZY10" s="554"/>
      <c r="AZZ10" s="554"/>
      <c r="BAA10" s="554"/>
      <c r="BAB10" s="554"/>
      <c r="BAC10" s="554"/>
      <c r="BAD10" s="554"/>
      <c r="BAE10" s="554"/>
      <c r="BAF10" s="554"/>
      <c r="BAG10" s="554"/>
      <c r="BAH10" s="554"/>
      <c r="BAI10" s="554"/>
      <c r="BAJ10" s="554"/>
      <c r="BAK10" s="554"/>
      <c r="BAL10" s="554"/>
      <c r="BAM10" s="554"/>
      <c r="BAN10" s="554"/>
      <c r="BAO10" s="554"/>
      <c r="BAP10" s="554"/>
      <c r="BAQ10" s="554"/>
      <c r="BAR10" s="554"/>
      <c r="BAS10" s="554"/>
      <c r="BAT10" s="554"/>
      <c r="BAU10" s="554"/>
      <c r="BAV10" s="554"/>
      <c r="BAW10" s="554"/>
      <c r="BAX10" s="554"/>
      <c r="BAY10" s="554"/>
      <c r="BAZ10" s="554"/>
      <c r="BBA10" s="554"/>
      <c r="BBB10" s="554"/>
      <c r="BBC10" s="554"/>
      <c r="BBD10" s="554"/>
      <c r="BBE10" s="554"/>
      <c r="BBF10" s="554"/>
      <c r="BBG10" s="554"/>
      <c r="BBH10" s="554"/>
      <c r="BBI10" s="554"/>
      <c r="BBJ10" s="554"/>
      <c r="BBK10" s="554"/>
      <c r="BBL10" s="554"/>
      <c r="BBM10" s="554"/>
      <c r="BBN10" s="554"/>
      <c r="BBO10" s="554"/>
      <c r="BBP10" s="554"/>
      <c r="BBQ10" s="554"/>
      <c r="BBR10" s="554"/>
      <c r="BBS10" s="554"/>
      <c r="BBT10" s="554"/>
      <c r="BBU10" s="554"/>
      <c r="BBV10" s="554"/>
      <c r="BBW10" s="554"/>
      <c r="BBX10" s="554"/>
      <c r="BBY10" s="554"/>
      <c r="BBZ10" s="554"/>
      <c r="BCA10" s="554"/>
      <c r="BCB10" s="554"/>
      <c r="BCC10" s="554"/>
      <c r="BCD10" s="554"/>
      <c r="BCE10" s="554"/>
      <c r="BCF10" s="554"/>
      <c r="BCG10" s="554"/>
      <c r="BCH10" s="554"/>
      <c r="BCI10" s="554"/>
      <c r="BCJ10" s="554"/>
      <c r="BCK10" s="554"/>
      <c r="BCL10" s="554"/>
      <c r="BCM10" s="554"/>
      <c r="BCN10" s="554"/>
      <c r="BCO10" s="554"/>
      <c r="BCP10" s="554"/>
      <c r="BCQ10" s="554"/>
      <c r="BCR10" s="554"/>
      <c r="BCS10" s="554"/>
      <c r="BCT10" s="554"/>
      <c r="BCU10" s="554"/>
      <c r="BCV10" s="554"/>
      <c r="BCW10" s="554"/>
      <c r="BCX10" s="554"/>
      <c r="BCY10" s="554"/>
      <c r="BCZ10" s="554"/>
      <c r="BDA10" s="554"/>
      <c r="BDB10" s="554"/>
      <c r="BDC10" s="554"/>
      <c r="BDD10" s="554"/>
      <c r="BDE10" s="554"/>
      <c r="BDF10" s="554"/>
      <c r="BDG10" s="554"/>
      <c r="BDH10" s="554"/>
      <c r="BDI10" s="554"/>
      <c r="BDJ10" s="554"/>
      <c r="BDK10" s="554"/>
      <c r="BDL10" s="554"/>
      <c r="BDM10" s="554"/>
      <c r="BDN10" s="554"/>
      <c r="BDO10" s="554"/>
      <c r="BDP10" s="554"/>
      <c r="BDQ10" s="554"/>
      <c r="BDR10" s="554"/>
      <c r="BDS10" s="554"/>
      <c r="BDT10" s="554"/>
      <c r="BDU10" s="554"/>
      <c r="BDV10" s="554"/>
      <c r="BDW10" s="554"/>
      <c r="BDX10" s="554"/>
      <c r="BDY10" s="554"/>
      <c r="BDZ10" s="554"/>
      <c r="BEA10" s="554"/>
      <c r="BEB10" s="554"/>
      <c r="BEC10" s="554"/>
      <c r="BED10" s="554"/>
      <c r="BEE10" s="554"/>
      <c r="BEF10" s="554"/>
      <c r="BEG10" s="554"/>
      <c r="BEH10" s="554"/>
      <c r="BEI10" s="554"/>
      <c r="BEJ10" s="554"/>
      <c r="BEK10" s="554"/>
      <c r="BEL10" s="554"/>
      <c r="BEM10" s="554"/>
      <c r="BEN10" s="554"/>
      <c r="BEO10" s="554"/>
      <c r="BEP10" s="554"/>
      <c r="BEQ10" s="554"/>
      <c r="BER10" s="554"/>
      <c r="BES10" s="554"/>
      <c r="BET10" s="554"/>
      <c r="BEU10" s="554"/>
      <c r="BEV10" s="554"/>
      <c r="BEW10" s="554"/>
      <c r="BEX10" s="554"/>
      <c r="BEY10" s="554"/>
      <c r="BEZ10" s="554"/>
      <c r="BFA10" s="554"/>
      <c r="BFB10" s="554"/>
      <c r="BFC10" s="554"/>
      <c r="BFD10" s="554"/>
      <c r="BFE10" s="554"/>
      <c r="BFF10" s="554"/>
      <c r="BFG10" s="554"/>
      <c r="BFH10" s="554"/>
      <c r="BFI10" s="554"/>
      <c r="BFJ10" s="554"/>
      <c r="BFK10" s="554"/>
      <c r="BFL10" s="554"/>
      <c r="BFM10" s="554"/>
      <c r="BFN10" s="554"/>
      <c r="BFO10" s="554"/>
      <c r="BFP10" s="554"/>
      <c r="BFQ10" s="554"/>
      <c r="BFR10" s="554"/>
      <c r="BFS10" s="554"/>
      <c r="BFT10" s="554"/>
      <c r="BFU10" s="554"/>
      <c r="BFV10" s="554"/>
      <c r="BFW10" s="554"/>
      <c r="BFX10" s="554"/>
      <c r="BFY10" s="554"/>
      <c r="BFZ10" s="554"/>
      <c r="BGA10" s="554"/>
      <c r="BGB10" s="554"/>
      <c r="BGC10" s="554"/>
      <c r="BGD10" s="554"/>
      <c r="BGE10" s="554"/>
      <c r="BGF10" s="554"/>
      <c r="BGG10" s="554"/>
      <c r="BGH10" s="554"/>
      <c r="BGI10" s="554"/>
      <c r="BGJ10" s="554"/>
      <c r="BGK10" s="554"/>
      <c r="BGL10" s="554"/>
      <c r="BGM10" s="554"/>
      <c r="BGN10" s="554"/>
      <c r="BGO10" s="554"/>
      <c r="BGP10" s="554"/>
      <c r="BGQ10" s="554"/>
      <c r="BGR10" s="554"/>
      <c r="BGS10" s="554"/>
      <c r="BGT10" s="554"/>
      <c r="BGU10" s="554"/>
      <c r="BGV10" s="554"/>
      <c r="BGW10" s="554"/>
      <c r="BGX10" s="554"/>
      <c r="BGY10" s="554"/>
      <c r="BGZ10" s="554"/>
      <c r="BHA10" s="554"/>
      <c r="BHB10" s="554"/>
      <c r="BHC10" s="554"/>
      <c r="BHD10" s="554"/>
      <c r="BHE10" s="554"/>
      <c r="BHF10" s="554"/>
      <c r="BHG10" s="554"/>
      <c r="BHH10" s="554"/>
      <c r="BHI10" s="554"/>
      <c r="BHJ10" s="554"/>
      <c r="BHK10" s="554"/>
      <c r="BHL10" s="554"/>
      <c r="BHM10" s="554"/>
      <c r="BHN10" s="554"/>
      <c r="BHO10" s="554"/>
      <c r="BHP10" s="554"/>
      <c r="BHQ10" s="554"/>
      <c r="BHR10" s="554"/>
      <c r="BHS10" s="554"/>
      <c r="BHT10" s="554"/>
      <c r="BHU10" s="554"/>
      <c r="BHV10" s="554"/>
      <c r="BHW10" s="554"/>
      <c r="BHX10" s="554"/>
      <c r="BHY10" s="554"/>
      <c r="BHZ10" s="554"/>
      <c r="BIA10" s="554"/>
      <c r="BIB10" s="554"/>
      <c r="BIC10" s="554"/>
      <c r="BID10" s="554"/>
      <c r="BIE10" s="554"/>
      <c r="BIF10" s="554"/>
      <c r="BIG10" s="554"/>
      <c r="BIH10" s="554"/>
      <c r="BII10" s="554"/>
      <c r="BIJ10" s="554"/>
      <c r="BIK10" s="554"/>
      <c r="BIL10" s="554"/>
      <c r="BIM10" s="554"/>
      <c r="BIN10" s="554"/>
      <c r="BIO10" s="554"/>
      <c r="BIP10" s="554"/>
      <c r="BIQ10" s="554"/>
      <c r="BIR10" s="554"/>
      <c r="BIS10" s="554"/>
      <c r="BIT10" s="554"/>
      <c r="BIU10" s="554"/>
      <c r="BIV10" s="554"/>
      <c r="BIW10" s="554"/>
      <c r="BIX10" s="554"/>
      <c r="BIY10" s="554"/>
      <c r="BIZ10" s="554"/>
      <c r="BJA10" s="554"/>
      <c r="BJB10" s="554"/>
      <c r="BJC10" s="554"/>
      <c r="BJD10" s="554"/>
      <c r="BJE10" s="554"/>
      <c r="BJF10" s="554"/>
      <c r="BJG10" s="554"/>
      <c r="BJH10" s="554"/>
      <c r="BJI10" s="554"/>
      <c r="BJJ10" s="554"/>
      <c r="BJK10" s="554"/>
      <c r="BJL10" s="554"/>
      <c r="BJM10" s="554"/>
      <c r="BJN10" s="554"/>
      <c r="BJO10" s="554"/>
      <c r="BJP10" s="554"/>
      <c r="BJQ10" s="554"/>
      <c r="BJR10" s="554"/>
      <c r="BJS10" s="554"/>
      <c r="BJT10" s="554"/>
      <c r="BJU10" s="554"/>
      <c r="BJV10" s="554"/>
      <c r="BJW10" s="554"/>
      <c r="BJX10" s="554"/>
      <c r="BJY10" s="554"/>
      <c r="BJZ10" s="554"/>
      <c r="BKA10" s="554"/>
      <c r="BKB10" s="554"/>
      <c r="BKC10" s="554"/>
      <c r="BKD10" s="554"/>
      <c r="BKE10" s="554"/>
      <c r="BKF10" s="554"/>
      <c r="BKG10" s="554"/>
      <c r="BKH10" s="554"/>
      <c r="BKI10" s="554"/>
      <c r="BKJ10" s="554"/>
      <c r="BKK10" s="554"/>
      <c r="BKL10" s="554"/>
      <c r="BKM10" s="554"/>
      <c r="BKN10" s="554"/>
      <c r="BKO10" s="554"/>
      <c r="BKP10" s="554"/>
      <c r="BKQ10" s="554"/>
      <c r="BKR10" s="554"/>
      <c r="BKS10" s="554"/>
      <c r="BKT10" s="554"/>
      <c r="BKU10" s="554"/>
      <c r="BKV10" s="554"/>
      <c r="BKW10" s="554"/>
      <c r="BKX10" s="554"/>
      <c r="BKY10" s="554"/>
      <c r="BKZ10" s="554"/>
      <c r="BLA10" s="554"/>
      <c r="BLB10" s="554"/>
      <c r="BLC10" s="554"/>
      <c r="BLD10" s="554"/>
      <c r="BLE10" s="554"/>
      <c r="BLF10" s="554"/>
      <c r="BLG10" s="554"/>
      <c r="BLH10" s="554"/>
      <c r="BLI10" s="554"/>
      <c r="BLJ10" s="554"/>
      <c r="BLK10" s="554"/>
      <c r="BLL10" s="554"/>
      <c r="BLM10" s="554"/>
      <c r="BLN10" s="554"/>
      <c r="BLO10" s="554"/>
      <c r="BLP10" s="554"/>
      <c r="BLQ10" s="554"/>
      <c r="BLR10" s="554"/>
      <c r="BLS10" s="554"/>
      <c r="BLT10" s="554"/>
      <c r="BLU10" s="554"/>
      <c r="BLV10" s="554"/>
      <c r="BLW10" s="554"/>
      <c r="BLX10" s="554"/>
      <c r="BLY10" s="554"/>
      <c r="BLZ10" s="554"/>
      <c r="BMA10" s="554"/>
      <c r="BMB10" s="554"/>
      <c r="BMC10" s="554"/>
      <c r="BMD10" s="554"/>
      <c r="BME10" s="554"/>
      <c r="BMF10" s="554"/>
      <c r="BMG10" s="554"/>
      <c r="BMH10" s="554"/>
      <c r="BMI10" s="554"/>
      <c r="BMJ10" s="554"/>
      <c r="BMK10" s="554"/>
      <c r="BML10" s="554"/>
      <c r="BMM10" s="554"/>
      <c r="BMN10" s="554"/>
      <c r="BMO10" s="554"/>
      <c r="BMP10" s="554"/>
      <c r="BMQ10" s="554"/>
      <c r="BMR10" s="554"/>
      <c r="BMS10" s="554"/>
      <c r="BMT10" s="554"/>
      <c r="BMU10" s="554"/>
      <c r="BMV10" s="554"/>
      <c r="BMW10" s="554"/>
      <c r="BMX10" s="554"/>
      <c r="BMY10" s="554"/>
      <c r="BMZ10" s="554"/>
      <c r="BNA10" s="554"/>
      <c r="BNB10" s="554"/>
      <c r="BNC10" s="554"/>
      <c r="BND10" s="554"/>
      <c r="BNE10" s="554"/>
      <c r="BNF10" s="554"/>
      <c r="BNG10" s="554"/>
      <c r="BNH10" s="554"/>
      <c r="BNI10" s="554"/>
      <c r="BNJ10" s="554"/>
      <c r="BNK10" s="554"/>
      <c r="BNL10" s="554"/>
      <c r="BNM10" s="554"/>
      <c r="BNN10" s="554"/>
      <c r="BNO10" s="554"/>
      <c r="BNP10" s="554"/>
      <c r="BNQ10" s="554"/>
      <c r="BNR10" s="554"/>
      <c r="BNS10" s="554"/>
      <c r="BNT10" s="554"/>
      <c r="BNU10" s="554"/>
      <c r="BNV10" s="554"/>
      <c r="BNW10" s="554"/>
      <c r="BNX10" s="554"/>
      <c r="BNY10" s="554"/>
      <c r="BNZ10" s="554"/>
      <c r="BOA10" s="554"/>
      <c r="BOB10" s="554"/>
      <c r="BOC10" s="554"/>
      <c r="BOD10" s="554"/>
      <c r="BOE10" s="554"/>
      <c r="BOF10" s="554"/>
      <c r="BOG10" s="554"/>
      <c r="BOH10" s="554"/>
      <c r="BOI10" s="554"/>
      <c r="BOJ10" s="554"/>
      <c r="BOK10" s="554"/>
      <c r="BOL10" s="554"/>
      <c r="BOM10" s="554"/>
      <c r="BON10" s="554"/>
      <c r="BOO10" s="554"/>
      <c r="BOP10" s="554"/>
      <c r="BOQ10" s="554"/>
      <c r="BOR10" s="554"/>
      <c r="BOS10" s="554"/>
      <c r="BOT10" s="554"/>
      <c r="BOU10" s="554"/>
      <c r="BOV10" s="554"/>
      <c r="BOW10" s="554"/>
      <c r="BOX10" s="554"/>
      <c r="BOY10" s="554"/>
      <c r="BOZ10" s="554"/>
      <c r="BPA10" s="554"/>
      <c r="BPB10" s="554"/>
      <c r="BPC10" s="554"/>
      <c r="BPD10" s="554"/>
      <c r="BPE10" s="554"/>
      <c r="BPF10" s="554"/>
      <c r="BPG10" s="554"/>
      <c r="BPH10" s="554"/>
      <c r="BPI10" s="554"/>
      <c r="BPJ10" s="554"/>
      <c r="BPK10" s="554"/>
      <c r="BPL10" s="554"/>
      <c r="BPM10" s="554"/>
      <c r="BPN10" s="554"/>
      <c r="BPO10" s="554"/>
      <c r="BPP10" s="554"/>
      <c r="BPQ10" s="554"/>
      <c r="BPR10" s="554"/>
      <c r="BPS10" s="554"/>
      <c r="BPT10" s="554"/>
      <c r="BPU10" s="554"/>
      <c r="BPV10" s="554"/>
      <c r="BPW10" s="554"/>
      <c r="BPX10" s="554"/>
      <c r="BPY10" s="554"/>
      <c r="BPZ10" s="554"/>
      <c r="BQA10" s="554"/>
      <c r="BQB10" s="554"/>
      <c r="BQC10" s="554"/>
      <c r="BQD10" s="554"/>
      <c r="BQE10" s="554"/>
      <c r="BQF10" s="554"/>
      <c r="BQG10" s="554"/>
      <c r="BQH10" s="554"/>
      <c r="BQI10" s="554"/>
      <c r="BQJ10" s="554"/>
      <c r="BQK10" s="554"/>
      <c r="BQL10" s="554"/>
      <c r="BQM10" s="554"/>
      <c r="BQN10" s="554"/>
      <c r="BQO10" s="554"/>
      <c r="BQP10" s="554"/>
      <c r="BQQ10" s="554"/>
      <c r="BQR10" s="554"/>
      <c r="BQS10" s="554"/>
      <c r="BQT10" s="554"/>
      <c r="BQU10" s="554"/>
      <c r="BQV10" s="554"/>
      <c r="BQW10" s="554"/>
      <c r="BQX10" s="554"/>
      <c r="BQY10" s="554"/>
      <c r="BQZ10" s="554"/>
      <c r="BRA10" s="554"/>
      <c r="BRB10" s="554"/>
      <c r="BRC10" s="554"/>
      <c r="BRD10" s="554"/>
      <c r="BRE10" s="554"/>
      <c r="BRF10" s="554"/>
      <c r="BRG10" s="554"/>
      <c r="BRH10" s="554"/>
      <c r="BRI10" s="554"/>
      <c r="BRJ10" s="554"/>
      <c r="BRK10" s="554"/>
      <c r="BRL10" s="554"/>
      <c r="BRM10" s="554"/>
      <c r="BRN10" s="554"/>
      <c r="BRO10" s="554"/>
      <c r="BRP10" s="554"/>
      <c r="BRQ10" s="554"/>
      <c r="BRR10" s="554"/>
      <c r="BRS10" s="554"/>
      <c r="BRT10" s="554"/>
      <c r="BRU10" s="554"/>
      <c r="BRV10" s="554"/>
      <c r="BRW10" s="554"/>
      <c r="BRX10" s="554"/>
      <c r="BRY10" s="554"/>
      <c r="BRZ10" s="554"/>
      <c r="BSA10" s="554"/>
      <c r="BSB10" s="554"/>
      <c r="BSC10" s="554"/>
      <c r="BSD10" s="554"/>
      <c r="BSE10" s="554"/>
      <c r="BSF10" s="554"/>
      <c r="BSG10" s="554"/>
      <c r="BSH10" s="554"/>
      <c r="BSI10" s="554"/>
      <c r="BSJ10" s="554"/>
      <c r="BSK10" s="554"/>
      <c r="BSL10" s="554"/>
      <c r="BSM10" s="554"/>
      <c r="BSN10" s="554"/>
      <c r="BSO10" s="554"/>
      <c r="BSP10" s="554"/>
      <c r="BSQ10" s="554"/>
      <c r="BSR10" s="554"/>
      <c r="BSS10" s="554"/>
      <c r="BST10" s="554"/>
      <c r="BSU10" s="554"/>
      <c r="BSV10" s="554"/>
      <c r="BSW10" s="554"/>
      <c r="BSX10" s="554"/>
      <c r="BSY10" s="554"/>
      <c r="BSZ10" s="554"/>
      <c r="BTA10" s="554"/>
      <c r="BTB10" s="554"/>
      <c r="BTC10" s="554"/>
      <c r="BTD10" s="554"/>
      <c r="BTE10" s="554"/>
      <c r="BTF10" s="554"/>
      <c r="BTG10" s="554"/>
      <c r="BTH10" s="554"/>
      <c r="BTI10" s="554"/>
      <c r="BTJ10" s="554"/>
      <c r="BTK10" s="554"/>
      <c r="BTL10" s="554"/>
      <c r="BTM10" s="554"/>
      <c r="BTN10" s="554"/>
      <c r="BTO10" s="554"/>
      <c r="BTP10" s="554"/>
      <c r="BTQ10" s="554"/>
      <c r="BTR10" s="554"/>
      <c r="BTS10" s="554"/>
      <c r="BTT10" s="554"/>
      <c r="BTU10" s="554"/>
      <c r="BTV10" s="554"/>
      <c r="BTW10" s="554"/>
      <c r="BTX10" s="554"/>
      <c r="BTY10" s="554"/>
      <c r="BTZ10" s="554"/>
      <c r="BUA10" s="554"/>
      <c r="BUB10" s="554"/>
      <c r="BUC10" s="554"/>
      <c r="BUD10" s="554"/>
      <c r="BUE10" s="554"/>
      <c r="BUF10" s="554"/>
      <c r="BUG10" s="554"/>
      <c r="BUH10" s="554"/>
      <c r="BUI10" s="554"/>
      <c r="BUJ10" s="554"/>
      <c r="BUK10" s="554"/>
      <c r="BUL10" s="554"/>
      <c r="BUM10" s="554"/>
      <c r="BUN10" s="554"/>
      <c r="BUO10" s="554"/>
      <c r="BUP10" s="554"/>
      <c r="BUQ10" s="554"/>
      <c r="BUR10" s="554"/>
      <c r="BUS10" s="554"/>
      <c r="BUT10" s="554"/>
      <c r="BUU10" s="554"/>
      <c r="BUV10" s="554"/>
      <c r="BUW10" s="554"/>
      <c r="BUX10" s="554"/>
      <c r="BUY10" s="554"/>
      <c r="BUZ10" s="554"/>
      <c r="BVA10" s="554"/>
      <c r="BVB10" s="554"/>
      <c r="BVC10" s="554"/>
      <c r="BVD10" s="554"/>
      <c r="BVE10" s="554"/>
      <c r="BVF10" s="554"/>
      <c r="BVG10" s="554"/>
      <c r="BVH10" s="554"/>
      <c r="BVI10" s="554"/>
      <c r="BVJ10" s="554"/>
      <c r="BVK10" s="554"/>
      <c r="BVL10" s="554"/>
      <c r="BVM10" s="554"/>
      <c r="BVN10" s="554"/>
      <c r="BVO10" s="554"/>
      <c r="BVP10" s="554"/>
      <c r="BVQ10" s="554"/>
      <c r="BVR10" s="554"/>
      <c r="BVS10" s="554"/>
      <c r="BVT10" s="554"/>
      <c r="BVU10" s="554"/>
      <c r="BVV10" s="554"/>
      <c r="BVW10" s="554"/>
      <c r="BVX10" s="554"/>
      <c r="BVY10" s="554"/>
      <c r="BVZ10" s="554"/>
      <c r="BWA10" s="554"/>
      <c r="BWB10" s="554"/>
      <c r="BWC10" s="554"/>
      <c r="BWD10" s="554"/>
      <c r="BWE10" s="554"/>
      <c r="BWF10" s="554"/>
      <c r="BWG10" s="554"/>
      <c r="BWH10" s="554"/>
      <c r="BWI10" s="554"/>
      <c r="BWJ10" s="554"/>
      <c r="BWK10" s="554"/>
      <c r="BWL10" s="554"/>
      <c r="BWM10" s="554"/>
      <c r="BWN10" s="554"/>
      <c r="BWO10" s="554"/>
      <c r="BWP10" s="554"/>
      <c r="BWQ10" s="554"/>
      <c r="BWR10" s="554"/>
      <c r="BWS10" s="554"/>
      <c r="BWT10" s="554"/>
      <c r="BWU10" s="554"/>
      <c r="BWV10" s="554"/>
      <c r="BWW10" s="554"/>
      <c r="BWX10" s="554"/>
      <c r="BWY10" s="554"/>
      <c r="BWZ10" s="554"/>
      <c r="BXA10" s="554"/>
      <c r="BXB10" s="554"/>
      <c r="BXC10" s="554"/>
      <c r="BXD10" s="554"/>
      <c r="BXE10" s="554"/>
      <c r="BXF10" s="554"/>
      <c r="BXG10" s="554"/>
      <c r="BXH10" s="554"/>
      <c r="BXI10" s="554"/>
      <c r="BXJ10" s="554"/>
      <c r="BXK10" s="554"/>
      <c r="BXL10" s="554"/>
      <c r="BXM10" s="554"/>
      <c r="BXN10" s="554"/>
      <c r="BXO10" s="554"/>
      <c r="BXP10" s="554"/>
      <c r="BXQ10" s="554"/>
      <c r="BXR10" s="554"/>
      <c r="BXS10" s="554"/>
      <c r="BXT10" s="554"/>
      <c r="BXU10" s="554"/>
      <c r="BXV10" s="554"/>
      <c r="BXW10" s="554"/>
      <c r="BXX10" s="554"/>
      <c r="BXY10" s="554"/>
      <c r="BXZ10" s="554"/>
      <c r="BYA10" s="554"/>
      <c r="BYB10" s="554"/>
      <c r="BYC10" s="554"/>
      <c r="BYD10" s="554"/>
      <c r="BYE10" s="554"/>
      <c r="BYF10" s="554"/>
      <c r="BYG10" s="554"/>
      <c r="BYH10" s="554"/>
      <c r="BYI10" s="554"/>
      <c r="BYJ10" s="554"/>
      <c r="BYK10" s="554"/>
      <c r="BYL10" s="554"/>
      <c r="BYM10" s="554"/>
      <c r="BYN10" s="554"/>
      <c r="BYO10" s="554"/>
      <c r="BYP10" s="554"/>
      <c r="BYQ10" s="554"/>
      <c r="BYR10" s="554"/>
      <c r="BYS10" s="554"/>
      <c r="BYT10" s="554"/>
      <c r="BYU10" s="554"/>
      <c r="BYV10" s="554"/>
      <c r="BYW10" s="554"/>
      <c r="BYX10" s="554"/>
      <c r="BYY10" s="554"/>
      <c r="BYZ10" s="554"/>
      <c r="BZA10" s="554"/>
      <c r="BZB10" s="554"/>
      <c r="BZC10" s="554"/>
      <c r="BZD10" s="554"/>
      <c r="BZE10" s="554"/>
      <c r="BZF10" s="554"/>
      <c r="BZG10" s="554"/>
      <c r="BZH10" s="554"/>
      <c r="BZI10" s="554"/>
      <c r="BZJ10" s="554"/>
      <c r="BZK10" s="554"/>
      <c r="BZL10" s="554"/>
      <c r="BZM10" s="554"/>
      <c r="BZN10" s="554"/>
      <c r="BZO10" s="554"/>
      <c r="BZP10" s="554"/>
      <c r="BZQ10" s="554"/>
      <c r="BZR10" s="554"/>
      <c r="BZS10" s="554"/>
      <c r="BZT10" s="554"/>
      <c r="BZU10" s="554"/>
      <c r="BZV10" s="554"/>
      <c r="BZW10" s="554"/>
      <c r="BZX10" s="554"/>
      <c r="BZY10" s="554"/>
      <c r="BZZ10" s="554"/>
      <c r="CAA10" s="554"/>
      <c r="CAB10" s="554"/>
      <c r="CAC10" s="554"/>
      <c r="CAD10" s="554"/>
      <c r="CAE10" s="554"/>
      <c r="CAF10" s="554"/>
      <c r="CAG10" s="554"/>
      <c r="CAH10" s="554"/>
      <c r="CAI10" s="554"/>
      <c r="CAJ10" s="554"/>
      <c r="CAK10" s="554"/>
      <c r="CAL10" s="554"/>
      <c r="CAM10" s="554"/>
      <c r="CAN10" s="554"/>
      <c r="CAO10" s="554"/>
      <c r="CAP10" s="554"/>
      <c r="CAQ10" s="554"/>
      <c r="CAR10" s="554"/>
      <c r="CAS10" s="554"/>
      <c r="CAT10" s="554"/>
      <c r="CAU10" s="554"/>
      <c r="CAV10" s="554"/>
      <c r="CAW10" s="554"/>
      <c r="CAX10" s="554"/>
      <c r="CAY10" s="554"/>
      <c r="CAZ10" s="554"/>
      <c r="CBA10" s="554"/>
      <c r="CBB10" s="554"/>
      <c r="CBC10" s="554"/>
      <c r="CBD10" s="554"/>
      <c r="CBE10" s="554"/>
      <c r="CBF10" s="554"/>
      <c r="CBG10" s="554"/>
      <c r="CBH10" s="554"/>
      <c r="CBI10" s="554"/>
      <c r="CBJ10" s="554"/>
      <c r="CBK10" s="554"/>
      <c r="CBL10" s="554"/>
      <c r="CBM10" s="554"/>
      <c r="CBN10" s="554"/>
      <c r="CBO10" s="554"/>
      <c r="CBP10" s="554"/>
      <c r="CBQ10" s="554"/>
      <c r="CBR10" s="554"/>
      <c r="CBS10" s="554"/>
      <c r="CBT10" s="554"/>
      <c r="CBU10" s="554"/>
      <c r="CBV10" s="554"/>
      <c r="CBW10" s="554"/>
      <c r="CBX10" s="554"/>
      <c r="CBY10" s="554"/>
      <c r="CBZ10" s="554"/>
      <c r="CCA10" s="554"/>
      <c r="CCB10" s="554"/>
      <c r="CCC10" s="554"/>
      <c r="CCD10" s="554"/>
      <c r="CCE10" s="554"/>
      <c r="CCF10" s="554"/>
      <c r="CCG10" s="554"/>
      <c r="CCH10" s="554"/>
      <c r="CCI10" s="554"/>
      <c r="CCJ10" s="554"/>
      <c r="CCK10" s="554"/>
      <c r="CCL10" s="554"/>
      <c r="CCM10" s="554"/>
      <c r="CCN10" s="554"/>
      <c r="CCO10" s="554"/>
      <c r="CCP10" s="554"/>
      <c r="CCQ10" s="554"/>
      <c r="CCR10" s="554"/>
      <c r="CCS10" s="554"/>
      <c r="CCT10" s="554"/>
      <c r="CCU10" s="554"/>
      <c r="CCV10" s="554"/>
      <c r="CCW10" s="554"/>
      <c r="CCX10" s="554"/>
      <c r="CCY10" s="554"/>
      <c r="CCZ10" s="554"/>
      <c r="CDA10" s="554"/>
      <c r="CDB10" s="554"/>
      <c r="CDC10" s="554"/>
      <c r="CDD10" s="554"/>
      <c r="CDE10" s="554"/>
      <c r="CDF10" s="554"/>
      <c r="CDG10" s="554"/>
      <c r="CDH10" s="554"/>
      <c r="CDI10" s="554"/>
      <c r="CDJ10" s="554"/>
      <c r="CDK10" s="554"/>
      <c r="CDL10" s="554"/>
      <c r="CDM10" s="554"/>
      <c r="CDN10" s="554"/>
      <c r="CDO10" s="554"/>
      <c r="CDP10" s="554"/>
      <c r="CDQ10" s="554"/>
      <c r="CDR10" s="554"/>
      <c r="CDS10" s="554"/>
      <c r="CDT10" s="554"/>
      <c r="CDU10" s="554"/>
      <c r="CDV10" s="554"/>
      <c r="CDW10" s="554"/>
      <c r="CDX10" s="554"/>
      <c r="CDY10" s="554"/>
      <c r="CDZ10" s="554"/>
      <c r="CEA10" s="554"/>
      <c r="CEB10" s="554"/>
      <c r="CEC10" s="554"/>
      <c r="CED10" s="554"/>
      <c r="CEE10" s="554"/>
      <c r="CEF10" s="554"/>
      <c r="CEG10" s="554"/>
      <c r="CEH10" s="554"/>
      <c r="CEI10" s="554"/>
      <c r="CEJ10" s="554"/>
      <c r="CEK10" s="554"/>
      <c r="CEL10" s="554"/>
      <c r="CEM10" s="554"/>
      <c r="CEN10" s="554"/>
      <c r="CEO10" s="554"/>
      <c r="CEP10" s="554"/>
      <c r="CEQ10" s="554"/>
      <c r="CER10" s="554"/>
      <c r="CES10" s="554"/>
      <c r="CET10" s="554"/>
      <c r="CEU10" s="554"/>
      <c r="CEV10" s="554"/>
      <c r="CEW10" s="554"/>
      <c r="CEX10" s="554"/>
      <c r="CEY10" s="554"/>
      <c r="CEZ10" s="554"/>
      <c r="CFA10" s="554"/>
      <c r="CFB10" s="554"/>
      <c r="CFC10" s="554"/>
      <c r="CFD10" s="554"/>
      <c r="CFE10" s="554"/>
      <c r="CFF10" s="554"/>
      <c r="CFG10" s="554"/>
      <c r="CFH10" s="554"/>
      <c r="CFI10" s="554"/>
      <c r="CFJ10" s="554"/>
      <c r="CFK10" s="554"/>
      <c r="CFL10" s="554"/>
      <c r="CFM10" s="554"/>
      <c r="CFN10" s="554"/>
      <c r="CFO10" s="554"/>
      <c r="CFP10" s="554"/>
      <c r="CFQ10" s="554"/>
      <c r="CFR10" s="554"/>
      <c r="CFS10" s="554"/>
      <c r="CFT10" s="554"/>
      <c r="CFU10" s="554"/>
      <c r="CFV10" s="554"/>
      <c r="CFW10" s="554"/>
      <c r="CFX10" s="554"/>
      <c r="CFY10" s="554"/>
      <c r="CFZ10" s="554"/>
      <c r="CGA10" s="554"/>
      <c r="CGB10" s="554"/>
      <c r="CGC10" s="554"/>
      <c r="CGD10" s="554"/>
      <c r="CGE10" s="554"/>
      <c r="CGF10" s="554"/>
      <c r="CGG10" s="554"/>
      <c r="CGH10" s="554"/>
      <c r="CGI10" s="554"/>
      <c r="CGJ10" s="554"/>
      <c r="CGK10" s="554"/>
      <c r="CGL10" s="554"/>
      <c r="CGM10" s="554"/>
      <c r="CGN10" s="554"/>
      <c r="CGO10" s="554"/>
      <c r="CGP10" s="554"/>
      <c r="CGQ10" s="554"/>
      <c r="CGR10" s="554"/>
      <c r="CGS10" s="554"/>
      <c r="CGT10" s="554"/>
      <c r="CGU10" s="554"/>
      <c r="CGV10" s="554"/>
      <c r="CGW10" s="554"/>
      <c r="CGX10" s="554"/>
      <c r="CGY10" s="554"/>
      <c r="CGZ10" s="554"/>
      <c r="CHA10" s="554"/>
      <c r="CHB10" s="554"/>
      <c r="CHC10" s="554"/>
      <c r="CHD10" s="554"/>
      <c r="CHE10" s="554"/>
      <c r="CHF10" s="554"/>
      <c r="CHG10" s="554"/>
      <c r="CHH10" s="554"/>
      <c r="CHI10" s="554"/>
      <c r="CHJ10" s="554"/>
      <c r="CHK10" s="554"/>
      <c r="CHL10" s="554"/>
      <c r="CHM10" s="554"/>
      <c r="CHN10" s="554"/>
      <c r="CHO10" s="554"/>
      <c r="CHP10" s="554"/>
      <c r="CHQ10" s="554"/>
      <c r="CHR10" s="554"/>
      <c r="CHS10" s="554"/>
      <c r="CHT10" s="554"/>
      <c r="CHU10" s="554"/>
      <c r="CHV10" s="554"/>
      <c r="CHW10" s="554"/>
      <c r="CHX10" s="554"/>
      <c r="CHY10" s="554"/>
      <c r="CHZ10" s="554"/>
      <c r="CIA10" s="554"/>
      <c r="CIB10" s="554"/>
      <c r="CIC10" s="554"/>
      <c r="CID10" s="554"/>
      <c r="CIE10" s="554"/>
      <c r="CIF10" s="554"/>
      <c r="CIG10" s="554"/>
      <c r="CIH10" s="554"/>
      <c r="CII10" s="554"/>
      <c r="CIJ10" s="554"/>
      <c r="CIK10" s="554"/>
      <c r="CIL10" s="554"/>
      <c r="CIM10" s="554"/>
      <c r="CIN10" s="554"/>
      <c r="CIO10" s="554"/>
      <c r="CIP10" s="554"/>
      <c r="CIQ10" s="554"/>
      <c r="CIR10" s="554"/>
      <c r="CIS10" s="554"/>
      <c r="CIT10" s="554"/>
      <c r="CIU10" s="554"/>
      <c r="CIV10" s="554"/>
      <c r="CIW10" s="554"/>
      <c r="CIX10" s="554"/>
      <c r="CIY10" s="554"/>
      <c r="CIZ10" s="554"/>
      <c r="CJA10" s="554"/>
      <c r="CJB10" s="554"/>
      <c r="CJC10" s="554"/>
      <c r="CJD10" s="554"/>
      <c r="CJE10" s="554"/>
      <c r="CJF10" s="554"/>
      <c r="CJG10" s="554"/>
      <c r="CJH10" s="554"/>
      <c r="CJI10" s="554"/>
      <c r="CJJ10" s="554"/>
      <c r="CJK10" s="554"/>
      <c r="CJL10" s="554"/>
      <c r="CJM10" s="554"/>
      <c r="CJN10" s="554"/>
      <c r="CJO10" s="554"/>
      <c r="CJP10" s="554"/>
      <c r="CJQ10" s="554"/>
      <c r="CJR10" s="554"/>
      <c r="CJS10" s="554"/>
      <c r="CJT10" s="554"/>
      <c r="CJU10" s="554"/>
      <c r="CJV10" s="554"/>
      <c r="CJW10" s="554"/>
      <c r="CJX10" s="554"/>
      <c r="CJY10" s="554"/>
      <c r="CJZ10" s="554"/>
      <c r="CKA10" s="554"/>
      <c r="CKB10" s="554"/>
      <c r="CKC10" s="554"/>
      <c r="CKD10" s="554"/>
      <c r="CKE10" s="554"/>
      <c r="CKF10" s="554"/>
      <c r="CKG10" s="554"/>
      <c r="CKH10" s="554"/>
      <c r="CKI10" s="554"/>
      <c r="CKJ10" s="554"/>
      <c r="CKK10" s="554"/>
      <c r="CKL10" s="554"/>
      <c r="CKM10" s="554"/>
      <c r="CKN10" s="554"/>
      <c r="CKO10" s="554"/>
      <c r="CKP10" s="554"/>
      <c r="CKQ10" s="554"/>
      <c r="CKR10" s="554"/>
      <c r="CKS10" s="554"/>
      <c r="CKT10" s="554"/>
      <c r="CKU10" s="554"/>
      <c r="CKV10" s="554"/>
      <c r="CKW10" s="554"/>
      <c r="CKX10" s="554"/>
      <c r="CKY10" s="554"/>
      <c r="CKZ10" s="554"/>
      <c r="CLA10" s="554"/>
      <c r="CLB10" s="554"/>
      <c r="CLC10" s="554"/>
      <c r="CLD10" s="554"/>
      <c r="CLE10" s="554"/>
      <c r="CLF10" s="554"/>
      <c r="CLG10" s="554"/>
      <c r="CLH10" s="554"/>
      <c r="CLI10" s="554"/>
      <c r="CLJ10" s="554"/>
      <c r="CLK10" s="554"/>
      <c r="CLL10" s="554"/>
      <c r="CLM10" s="554"/>
      <c r="CLN10" s="554"/>
      <c r="CLO10" s="554"/>
      <c r="CLP10" s="554"/>
      <c r="CLQ10" s="554"/>
      <c r="CLR10" s="554"/>
      <c r="CLS10" s="554"/>
      <c r="CLT10" s="554"/>
      <c r="CLU10" s="554"/>
      <c r="CLV10" s="554"/>
      <c r="CLW10" s="554"/>
      <c r="CLX10" s="554"/>
      <c r="CLY10" s="554"/>
      <c r="CLZ10" s="554"/>
      <c r="CMA10" s="554"/>
      <c r="CMB10" s="554"/>
      <c r="CMC10" s="554"/>
      <c r="CMD10" s="554"/>
      <c r="CME10" s="554"/>
      <c r="CMF10" s="554"/>
      <c r="CMG10" s="554"/>
      <c r="CMH10" s="554"/>
      <c r="CMI10" s="554"/>
      <c r="CMJ10" s="554"/>
      <c r="CMK10" s="554"/>
      <c r="CML10" s="554"/>
      <c r="CMM10" s="554"/>
      <c r="CMN10" s="554"/>
      <c r="CMO10" s="554"/>
      <c r="CMP10" s="554"/>
      <c r="CMQ10" s="554"/>
      <c r="CMR10" s="554"/>
      <c r="CMS10" s="554"/>
      <c r="CMT10" s="554"/>
      <c r="CMU10" s="554"/>
      <c r="CMV10" s="554"/>
      <c r="CMW10" s="554"/>
      <c r="CMX10" s="554"/>
      <c r="CMY10" s="554"/>
      <c r="CMZ10" s="554"/>
      <c r="CNA10" s="554"/>
      <c r="CNB10" s="554"/>
      <c r="CNC10" s="554"/>
      <c r="CND10" s="554"/>
      <c r="CNE10" s="554"/>
      <c r="CNF10" s="554"/>
      <c r="CNG10" s="554"/>
      <c r="CNH10" s="554"/>
      <c r="CNI10" s="554"/>
      <c r="CNJ10" s="554"/>
      <c r="CNK10" s="554"/>
      <c r="CNL10" s="554"/>
      <c r="CNM10" s="554"/>
      <c r="CNN10" s="554"/>
      <c r="CNO10" s="554"/>
      <c r="CNP10" s="554"/>
      <c r="CNQ10" s="554"/>
      <c r="CNR10" s="554"/>
      <c r="CNS10" s="554"/>
      <c r="CNT10" s="554"/>
      <c r="CNU10" s="554"/>
      <c r="CNV10" s="554"/>
      <c r="CNW10" s="554"/>
      <c r="CNX10" s="554"/>
      <c r="CNY10" s="554"/>
      <c r="CNZ10" s="554"/>
      <c r="COA10" s="554"/>
      <c r="COB10" s="554"/>
      <c r="COC10" s="554"/>
      <c r="COD10" s="554"/>
      <c r="COE10" s="554"/>
      <c r="COF10" s="554"/>
      <c r="COG10" s="554"/>
      <c r="COH10" s="554"/>
      <c r="COI10" s="554"/>
      <c r="COJ10" s="554"/>
      <c r="COK10" s="554"/>
      <c r="COL10" s="554"/>
      <c r="COM10" s="554"/>
      <c r="CON10" s="554"/>
      <c r="COO10" s="554"/>
      <c r="COP10" s="554"/>
      <c r="COQ10" s="554"/>
      <c r="COR10" s="554"/>
      <c r="COS10" s="554"/>
      <c r="COT10" s="554"/>
      <c r="COU10" s="554"/>
      <c r="COV10" s="554"/>
      <c r="COW10" s="554"/>
      <c r="COX10" s="554"/>
      <c r="COY10" s="554"/>
      <c r="COZ10" s="554"/>
      <c r="CPA10" s="554"/>
      <c r="CPB10" s="554"/>
      <c r="CPC10" s="554"/>
      <c r="CPD10" s="554"/>
      <c r="CPE10" s="554"/>
      <c r="CPF10" s="554"/>
      <c r="CPG10" s="554"/>
      <c r="CPH10" s="554"/>
      <c r="CPI10" s="554"/>
      <c r="CPJ10" s="554"/>
      <c r="CPK10" s="554"/>
      <c r="CPL10" s="554"/>
      <c r="CPM10" s="554"/>
      <c r="CPN10" s="554"/>
      <c r="CPO10" s="554"/>
      <c r="CPP10" s="554"/>
      <c r="CPQ10" s="554"/>
      <c r="CPR10" s="554"/>
      <c r="CPS10" s="554"/>
      <c r="CPT10" s="554"/>
      <c r="CPU10" s="554"/>
      <c r="CPV10" s="554"/>
      <c r="CPW10" s="554"/>
      <c r="CPX10" s="554"/>
      <c r="CPY10" s="554"/>
      <c r="CPZ10" s="554"/>
      <c r="CQA10" s="554"/>
      <c r="CQB10" s="554"/>
      <c r="CQC10" s="554"/>
      <c r="CQD10" s="554"/>
      <c r="CQE10" s="554"/>
      <c r="CQF10" s="554"/>
      <c r="CQG10" s="554"/>
      <c r="CQH10" s="554"/>
      <c r="CQI10" s="554"/>
      <c r="CQJ10" s="554"/>
      <c r="CQK10" s="554"/>
      <c r="CQL10" s="554"/>
      <c r="CQM10" s="554"/>
      <c r="CQN10" s="554"/>
      <c r="CQO10" s="554"/>
      <c r="CQP10" s="554"/>
      <c r="CQQ10" s="554"/>
      <c r="CQR10" s="554"/>
      <c r="CQS10" s="554"/>
      <c r="CQT10" s="554"/>
      <c r="CQU10" s="554"/>
      <c r="CQV10" s="554"/>
      <c r="CQW10" s="554"/>
      <c r="CQX10" s="554"/>
      <c r="CQY10" s="554"/>
      <c r="CQZ10" s="554"/>
      <c r="CRA10" s="554"/>
      <c r="CRB10" s="554"/>
      <c r="CRC10" s="554"/>
      <c r="CRD10" s="554"/>
      <c r="CRE10" s="554"/>
      <c r="CRF10" s="554"/>
      <c r="CRG10" s="554"/>
      <c r="CRH10" s="554"/>
      <c r="CRI10" s="554"/>
      <c r="CRJ10" s="554"/>
      <c r="CRK10" s="554"/>
      <c r="CRL10" s="554"/>
      <c r="CRM10" s="554"/>
      <c r="CRN10" s="554"/>
      <c r="CRO10" s="554"/>
      <c r="CRP10" s="554"/>
      <c r="CRQ10" s="554"/>
      <c r="CRR10" s="554"/>
      <c r="CRS10" s="554"/>
      <c r="CRT10" s="554"/>
      <c r="CRU10" s="554"/>
      <c r="CRV10" s="554"/>
      <c r="CRW10" s="554"/>
      <c r="CRX10" s="554"/>
      <c r="CRY10" s="554"/>
      <c r="CRZ10" s="554"/>
      <c r="CSA10" s="554"/>
      <c r="CSB10" s="554"/>
      <c r="CSC10" s="554"/>
      <c r="CSD10" s="554"/>
      <c r="CSE10" s="554"/>
      <c r="CSF10" s="554"/>
      <c r="CSG10" s="554"/>
      <c r="CSH10" s="554"/>
      <c r="CSI10" s="554"/>
      <c r="CSJ10" s="554"/>
      <c r="CSK10" s="554"/>
      <c r="CSL10" s="554"/>
      <c r="CSM10" s="554"/>
      <c r="CSN10" s="554"/>
      <c r="CSO10" s="554"/>
      <c r="CSP10" s="554"/>
      <c r="CSQ10" s="554"/>
      <c r="CSR10" s="554"/>
      <c r="CSS10" s="554"/>
      <c r="CST10" s="554"/>
      <c r="CSU10" s="554"/>
      <c r="CSV10" s="554"/>
      <c r="CSW10" s="554"/>
      <c r="CSX10" s="554"/>
      <c r="CSY10" s="554"/>
      <c r="CSZ10" s="554"/>
      <c r="CTA10" s="554"/>
      <c r="CTB10" s="554"/>
      <c r="CTC10" s="554"/>
      <c r="CTD10" s="554"/>
      <c r="CTE10" s="554"/>
      <c r="CTF10" s="554"/>
      <c r="CTG10" s="554"/>
      <c r="CTH10" s="554"/>
      <c r="CTI10" s="554"/>
      <c r="CTJ10" s="554"/>
      <c r="CTK10" s="554"/>
      <c r="CTL10" s="554"/>
      <c r="CTM10" s="554"/>
      <c r="CTN10" s="554"/>
      <c r="CTO10" s="554"/>
      <c r="CTP10" s="554"/>
      <c r="CTQ10" s="554"/>
      <c r="CTR10" s="554"/>
      <c r="CTS10" s="554"/>
      <c r="CTT10" s="554"/>
      <c r="CTU10" s="554"/>
      <c r="CTV10" s="554"/>
      <c r="CTW10" s="554"/>
      <c r="CTX10" s="554"/>
      <c r="CTY10" s="554"/>
      <c r="CTZ10" s="554"/>
      <c r="CUA10" s="554"/>
      <c r="CUB10" s="554"/>
      <c r="CUC10" s="554"/>
      <c r="CUD10" s="554"/>
      <c r="CUE10" s="554"/>
      <c r="CUF10" s="554"/>
      <c r="CUG10" s="554"/>
      <c r="CUH10" s="554"/>
      <c r="CUI10" s="554"/>
      <c r="CUJ10" s="554"/>
      <c r="CUK10" s="554"/>
      <c r="CUL10" s="554"/>
      <c r="CUM10" s="554"/>
      <c r="CUN10" s="554"/>
      <c r="CUO10" s="554"/>
      <c r="CUP10" s="554"/>
      <c r="CUQ10" s="554"/>
      <c r="CUR10" s="554"/>
      <c r="CUS10" s="554"/>
      <c r="CUT10" s="554"/>
      <c r="CUU10" s="554"/>
      <c r="CUV10" s="554"/>
      <c r="CUW10" s="554"/>
      <c r="CUX10" s="554"/>
      <c r="CUY10" s="554"/>
      <c r="CUZ10" s="554"/>
      <c r="CVA10" s="554"/>
      <c r="CVB10" s="554"/>
      <c r="CVC10" s="554"/>
      <c r="CVD10" s="554"/>
      <c r="CVE10" s="554"/>
      <c r="CVF10" s="554"/>
      <c r="CVG10" s="554"/>
      <c r="CVH10" s="554"/>
      <c r="CVI10" s="554"/>
      <c r="CVJ10" s="554"/>
      <c r="CVK10" s="554"/>
      <c r="CVL10" s="554"/>
      <c r="CVM10" s="554"/>
      <c r="CVN10" s="554"/>
      <c r="CVO10" s="554"/>
      <c r="CVP10" s="554"/>
      <c r="CVQ10" s="554"/>
      <c r="CVR10" s="554"/>
      <c r="CVS10" s="554"/>
      <c r="CVT10" s="554"/>
      <c r="CVU10" s="554"/>
      <c r="CVV10" s="554"/>
      <c r="CVW10" s="554"/>
      <c r="CVX10" s="554"/>
      <c r="CVY10" s="554"/>
      <c r="CVZ10" s="554"/>
      <c r="CWA10" s="554"/>
      <c r="CWB10" s="554"/>
      <c r="CWC10" s="554"/>
      <c r="CWD10" s="554"/>
      <c r="CWE10" s="554"/>
      <c r="CWF10" s="554"/>
      <c r="CWG10" s="554"/>
      <c r="CWH10" s="554"/>
      <c r="CWI10" s="554"/>
      <c r="CWJ10" s="554"/>
      <c r="CWK10" s="554"/>
      <c r="CWL10" s="554"/>
      <c r="CWM10" s="554"/>
      <c r="CWN10" s="554"/>
      <c r="CWO10" s="554"/>
      <c r="CWP10" s="554"/>
      <c r="CWQ10" s="554"/>
      <c r="CWR10" s="554"/>
      <c r="CWS10" s="554"/>
      <c r="CWT10" s="554"/>
      <c r="CWU10" s="554"/>
      <c r="CWV10" s="554"/>
      <c r="CWW10" s="554"/>
      <c r="CWX10" s="554"/>
      <c r="CWY10" s="554"/>
      <c r="CWZ10" s="554"/>
      <c r="CXA10" s="554"/>
      <c r="CXB10" s="554"/>
      <c r="CXC10" s="554"/>
      <c r="CXD10" s="554"/>
      <c r="CXE10" s="554"/>
      <c r="CXF10" s="554"/>
      <c r="CXG10" s="554"/>
      <c r="CXH10" s="554"/>
      <c r="CXI10" s="554"/>
      <c r="CXJ10" s="554"/>
      <c r="CXK10" s="554"/>
      <c r="CXL10" s="554"/>
      <c r="CXM10" s="554"/>
      <c r="CXN10" s="554"/>
      <c r="CXO10" s="554"/>
      <c r="CXP10" s="554"/>
      <c r="CXQ10" s="554"/>
      <c r="CXR10" s="554"/>
      <c r="CXS10" s="554"/>
      <c r="CXT10" s="554"/>
      <c r="CXU10" s="554"/>
      <c r="CXV10" s="554"/>
      <c r="CXW10" s="554"/>
      <c r="CXX10" s="554"/>
      <c r="CXY10" s="554"/>
      <c r="CXZ10" s="554"/>
      <c r="CYA10" s="554"/>
      <c r="CYB10" s="554"/>
      <c r="CYC10" s="554"/>
      <c r="CYD10" s="554"/>
      <c r="CYE10" s="554"/>
      <c r="CYF10" s="554"/>
      <c r="CYG10" s="554"/>
      <c r="CYH10" s="554"/>
      <c r="CYI10" s="554"/>
      <c r="CYJ10" s="554"/>
      <c r="CYK10" s="554"/>
      <c r="CYL10" s="554"/>
      <c r="CYM10" s="554"/>
      <c r="CYN10" s="554"/>
      <c r="CYO10" s="554"/>
      <c r="CYP10" s="554"/>
      <c r="CYQ10" s="554"/>
      <c r="CYR10" s="554"/>
      <c r="CYS10" s="554"/>
      <c r="CYT10" s="554"/>
      <c r="CYU10" s="554"/>
      <c r="CYV10" s="554"/>
      <c r="CYW10" s="554"/>
      <c r="CYX10" s="554"/>
      <c r="CYY10" s="554"/>
      <c r="CYZ10" s="554"/>
      <c r="CZA10" s="554"/>
      <c r="CZB10" s="554"/>
      <c r="CZC10" s="554"/>
      <c r="CZD10" s="554"/>
      <c r="CZE10" s="554"/>
      <c r="CZF10" s="554"/>
      <c r="CZG10" s="554"/>
      <c r="CZH10" s="554"/>
      <c r="CZI10" s="554"/>
      <c r="CZJ10" s="554"/>
      <c r="CZK10" s="554"/>
      <c r="CZL10" s="554"/>
      <c r="CZM10" s="554"/>
      <c r="CZN10" s="554"/>
      <c r="CZO10" s="554"/>
      <c r="CZP10" s="554"/>
      <c r="CZQ10" s="554"/>
      <c r="CZR10" s="554"/>
      <c r="CZS10" s="554"/>
      <c r="CZT10" s="554"/>
      <c r="CZU10" s="554"/>
      <c r="CZV10" s="554"/>
      <c r="CZW10" s="554"/>
      <c r="CZX10" s="554"/>
      <c r="CZY10" s="554"/>
      <c r="CZZ10" s="554"/>
      <c r="DAA10" s="554"/>
      <c r="DAB10" s="554"/>
      <c r="DAC10" s="554"/>
      <c r="DAD10" s="554"/>
      <c r="DAE10" s="554"/>
      <c r="DAF10" s="554"/>
      <c r="DAG10" s="554"/>
      <c r="DAH10" s="554"/>
      <c r="DAI10" s="554"/>
      <c r="DAJ10" s="554"/>
      <c r="DAK10" s="554"/>
      <c r="DAL10" s="554"/>
      <c r="DAM10" s="554"/>
      <c r="DAN10" s="554"/>
      <c r="DAO10" s="554"/>
      <c r="DAP10" s="554"/>
      <c r="DAQ10" s="554"/>
      <c r="DAR10" s="554"/>
      <c r="DAS10" s="554"/>
      <c r="DAT10" s="554"/>
      <c r="DAU10" s="554"/>
      <c r="DAV10" s="554"/>
      <c r="DAW10" s="554"/>
      <c r="DAX10" s="554"/>
      <c r="DAY10" s="554"/>
      <c r="DAZ10" s="554"/>
      <c r="DBA10" s="554"/>
      <c r="DBB10" s="554"/>
      <c r="DBC10" s="554"/>
      <c r="DBD10" s="554"/>
      <c r="DBE10" s="554"/>
      <c r="DBF10" s="554"/>
      <c r="DBG10" s="554"/>
      <c r="DBH10" s="554"/>
      <c r="DBI10" s="554"/>
      <c r="DBJ10" s="554"/>
      <c r="DBK10" s="554"/>
      <c r="DBL10" s="554"/>
      <c r="DBM10" s="554"/>
      <c r="DBN10" s="554"/>
      <c r="DBO10" s="554"/>
      <c r="DBP10" s="554"/>
      <c r="DBQ10" s="554"/>
      <c r="DBR10" s="554"/>
      <c r="DBS10" s="554"/>
      <c r="DBT10" s="554"/>
      <c r="DBU10" s="554"/>
      <c r="DBV10" s="554"/>
      <c r="DBW10" s="554"/>
      <c r="DBX10" s="554"/>
      <c r="DBY10" s="554"/>
      <c r="DBZ10" s="554"/>
      <c r="DCA10" s="554"/>
      <c r="DCB10" s="554"/>
      <c r="DCC10" s="554"/>
      <c r="DCD10" s="554"/>
      <c r="DCE10" s="554"/>
      <c r="DCF10" s="554"/>
      <c r="DCG10" s="554"/>
      <c r="DCH10" s="554"/>
      <c r="DCI10" s="554"/>
      <c r="DCJ10" s="554"/>
      <c r="DCK10" s="554"/>
      <c r="DCL10" s="554"/>
      <c r="DCM10" s="554"/>
      <c r="DCN10" s="554"/>
      <c r="DCO10" s="554"/>
      <c r="DCP10" s="554"/>
      <c r="DCQ10" s="554"/>
      <c r="DCR10" s="554"/>
      <c r="DCS10" s="554"/>
      <c r="DCT10" s="554"/>
      <c r="DCU10" s="554"/>
      <c r="DCV10" s="554"/>
      <c r="DCW10" s="554"/>
      <c r="DCX10" s="554"/>
      <c r="DCY10" s="554"/>
      <c r="DCZ10" s="554"/>
      <c r="DDA10" s="554"/>
      <c r="DDB10" s="554"/>
      <c r="DDC10" s="554"/>
      <c r="DDD10" s="554"/>
      <c r="DDE10" s="554"/>
      <c r="DDF10" s="554"/>
      <c r="DDG10" s="554"/>
      <c r="DDH10" s="554"/>
      <c r="DDI10" s="554"/>
      <c r="DDJ10" s="554"/>
      <c r="DDK10" s="554"/>
      <c r="DDL10" s="554"/>
      <c r="DDM10" s="554"/>
      <c r="DDN10" s="554"/>
      <c r="DDO10" s="554"/>
      <c r="DDP10" s="554"/>
      <c r="DDQ10" s="554"/>
      <c r="DDR10" s="554"/>
      <c r="DDS10" s="554"/>
      <c r="DDT10" s="554"/>
      <c r="DDU10" s="554"/>
      <c r="DDV10" s="554"/>
      <c r="DDW10" s="554"/>
      <c r="DDX10" s="554"/>
      <c r="DDY10" s="554"/>
      <c r="DDZ10" s="554"/>
      <c r="DEA10" s="554"/>
      <c r="DEB10" s="554"/>
      <c r="DEC10" s="554"/>
      <c r="DED10" s="554"/>
      <c r="DEE10" s="554"/>
      <c r="DEF10" s="554"/>
      <c r="DEG10" s="554"/>
      <c r="DEH10" s="554"/>
      <c r="DEI10" s="554"/>
      <c r="DEJ10" s="554"/>
      <c r="DEK10" s="554"/>
      <c r="DEL10" s="554"/>
      <c r="DEM10" s="554"/>
      <c r="DEN10" s="554"/>
      <c r="DEO10" s="554"/>
      <c r="DEP10" s="554"/>
      <c r="DEQ10" s="554"/>
      <c r="DER10" s="554"/>
      <c r="DES10" s="554"/>
      <c r="DET10" s="554"/>
      <c r="DEU10" s="554"/>
      <c r="DEV10" s="554"/>
      <c r="DEW10" s="554"/>
      <c r="DEX10" s="554"/>
      <c r="DEY10" s="554"/>
      <c r="DEZ10" s="554"/>
      <c r="DFA10" s="554"/>
      <c r="DFB10" s="554"/>
      <c r="DFC10" s="554"/>
      <c r="DFD10" s="554"/>
      <c r="DFE10" s="554"/>
      <c r="DFF10" s="554"/>
      <c r="DFG10" s="554"/>
      <c r="DFH10" s="554"/>
      <c r="DFI10" s="554"/>
      <c r="DFJ10" s="554"/>
      <c r="DFK10" s="554"/>
      <c r="DFL10" s="554"/>
      <c r="DFM10" s="554"/>
      <c r="DFN10" s="554"/>
      <c r="DFO10" s="554"/>
      <c r="DFP10" s="554"/>
      <c r="DFQ10" s="554"/>
      <c r="DFR10" s="554"/>
      <c r="DFS10" s="554"/>
      <c r="DFT10" s="554"/>
      <c r="DFU10" s="554"/>
      <c r="DFV10" s="554"/>
      <c r="DFW10" s="554"/>
      <c r="DFX10" s="554"/>
      <c r="DFY10" s="554"/>
      <c r="DFZ10" s="554"/>
      <c r="DGA10" s="554"/>
      <c r="DGB10" s="554"/>
      <c r="DGC10" s="554"/>
      <c r="DGD10" s="554"/>
      <c r="DGE10" s="554"/>
      <c r="DGF10" s="554"/>
      <c r="DGG10" s="554"/>
      <c r="DGH10" s="554"/>
      <c r="DGI10" s="554"/>
      <c r="DGJ10" s="554"/>
      <c r="DGK10" s="554"/>
      <c r="DGL10" s="554"/>
      <c r="DGM10" s="554"/>
      <c r="DGN10" s="554"/>
      <c r="DGO10" s="554"/>
      <c r="DGP10" s="554"/>
      <c r="DGQ10" s="554"/>
      <c r="DGR10" s="554"/>
      <c r="DGS10" s="554"/>
      <c r="DGT10" s="554"/>
      <c r="DGU10" s="554"/>
      <c r="DGV10" s="554"/>
      <c r="DGW10" s="554"/>
      <c r="DGX10" s="554"/>
      <c r="DGY10" s="554"/>
      <c r="DGZ10" s="554"/>
      <c r="DHA10" s="554"/>
      <c r="DHB10" s="554"/>
      <c r="DHC10" s="554"/>
      <c r="DHD10" s="554"/>
      <c r="DHE10" s="554"/>
      <c r="DHF10" s="554"/>
      <c r="DHG10" s="554"/>
      <c r="DHH10" s="554"/>
      <c r="DHI10" s="554"/>
      <c r="DHJ10" s="554"/>
      <c r="DHK10" s="554"/>
      <c r="DHL10" s="554"/>
      <c r="DHM10" s="554"/>
      <c r="DHN10" s="554"/>
      <c r="DHO10" s="554"/>
      <c r="DHP10" s="554"/>
      <c r="DHQ10" s="554"/>
      <c r="DHR10" s="554"/>
      <c r="DHS10" s="554"/>
      <c r="DHT10" s="554"/>
      <c r="DHU10" s="554"/>
      <c r="DHV10" s="554"/>
      <c r="DHW10" s="554"/>
      <c r="DHX10" s="554"/>
      <c r="DHY10" s="554"/>
      <c r="DHZ10" s="554"/>
      <c r="DIA10" s="554"/>
      <c r="DIB10" s="554"/>
      <c r="DIC10" s="554"/>
      <c r="DID10" s="554"/>
      <c r="DIE10" s="554"/>
      <c r="DIF10" s="554"/>
      <c r="DIG10" s="554"/>
      <c r="DIH10" s="554"/>
      <c r="DII10" s="554"/>
      <c r="DIJ10" s="554"/>
      <c r="DIK10" s="554"/>
      <c r="DIL10" s="554"/>
      <c r="DIM10" s="554"/>
      <c r="DIN10" s="554"/>
      <c r="DIO10" s="554"/>
      <c r="DIP10" s="554"/>
      <c r="DIQ10" s="554"/>
      <c r="DIR10" s="554"/>
      <c r="DIS10" s="554"/>
      <c r="DIT10" s="554"/>
      <c r="DIU10" s="554"/>
      <c r="DIV10" s="554"/>
      <c r="DIW10" s="554"/>
      <c r="DIX10" s="554"/>
      <c r="DIY10" s="554"/>
      <c r="DIZ10" s="554"/>
      <c r="DJA10" s="554"/>
      <c r="DJB10" s="554"/>
      <c r="DJC10" s="554"/>
      <c r="DJD10" s="554"/>
      <c r="DJE10" s="554"/>
      <c r="DJF10" s="554"/>
      <c r="DJG10" s="554"/>
      <c r="DJH10" s="554"/>
      <c r="DJI10" s="554"/>
      <c r="DJJ10" s="554"/>
      <c r="DJK10" s="554"/>
      <c r="DJL10" s="554"/>
      <c r="DJM10" s="554"/>
      <c r="DJN10" s="554"/>
      <c r="DJO10" s="554"/>
      <c r="DJP10" s="554"/>
      <c r="DJQ10" s="554"/>
      <c r="DJR10" s="554"/>
      <c r="DJS10" s="554"/>
      <c r="DJT10" s="554"/>
      <c r="DJU10" s="554"/>
      <c r="DJV10" s="554"/>
      <c r="DJW10" s="554"/>
      <c r="DJX10" s="554"/>
      <c r="DJY10" s="554"/>
      <c r="DJZ10" s="554"/>
      <c r="DKA10" s="554"/>
      <c r="DKB10" s="554"/>
      <c r="DKC10" s="554"/>
      <c r="DKD10" s="554"/>
      <c r="DKE10" s="554"/>
      <c r="DKF10" s="554"/>
      <c r="DKG10" s="554"/>
      <c r="DKH10" s="554"/>
      <c r="DKI10" s="554"/>
      <c r="DKJ10" s="554"/>
      <c r="DKK10" s="554"/>
      <c r="DKL10" s="554"/>
      <c r="DKM10" s="554"/>
      <c r="DKN10" s="554"/>
      <c r="DKO10" s="554"/>
      <c r="DKP10" s="554"/>
      <c r="DKQ10" s="554"/>
      <c r="DKR10" s="554"/>
      <c r="DKS10" s="554"/>
      <c r="DKT10" s="554"/>
      <c r="DKU10" s="554"/>
      <c r="DKV10" s="554"/>
      <c r="DKW10" s="554"/>
      <c r="DKX10" s="554"/>
      <c r="DKY10" s="554"/>
      <c r="DKZ10" s="554"/>
      <c r="DLA10" s="554"/>
      <c r="DLB10" s="554"/>
      <c r="DLC10" s="554"/>
      <c r="DLD10" s="554"/>
      <c r="DLE10" s="554"/>
      <c r="DLF10" s="554"/>
      <c r="DLG10" s="554"/>
      <c r="DLH10" s="554"/>
      <c r="DLI10" s="554"/>
      <c r="DLJ10" s="554"/>
      <c r="DLK10" s="554"/>
      <c r="DLL10" s="554"/>
      <c r="DLM10" s="554"/>
      <c r="DLN10" s="554"/>
      <c r="DLO10" s="554"/>
      <c r="DLP10" s="554"/>
      <c r="DLQ10" s="554"/>
      <c r="DLR10" s="554"/>
      <c r="DLS10" s="554"/>
      <c r="DLT10" s="554"/>
      <c r="DLU10" s="554"/>
      <c r="DLV10" s="554"/>
      <c r="DLW10" s="554"/>
      <c r="DLX10" s="554"/>
      <c r="DLY10" s="554"/>
      <c r="DLZ10" s="554"/>
      <c r="DMA10" s="554"/>
      <c r="DMB10" s="554"/>
      <c r="DMC10" s="554"/>
      <c r="DMD10" s="554"/>
      <c r="DME10" s="554"/>
      <c r="DMF10" s="554"/>
      <c r="DMG10" s="554"/>
      <c r="DMH10" s="554"/>
      <c r="DMI10" s="554"/>
      <c r="DMJ10" s="554"/>
      <c r="DMK10" s="554"/>
      <c r="DML10" s="554"/>
      <c r="DMM10" s="554"/>
      <c r="DMN10" s="554"/>
      <c r="DMO10" s="554"/>
      <c r="DMP10" s="554"/>
      <c r="DMQ10" s="554"/>
      <c r="DMR10" s="554"/>
      <c r="DMS10" s="554"/>
      <c r="DMT10" s="554"/>
      <c r="DMU10" s="554"/>
      <c r="DMV10" s="554"/>
      <c r="DMW10" s="554"/>
      <c r="DMX10" s="554"/>
      <c r="DMY10" s="554"/>
      <c r="DMZ10" s="554"/>
      <c r="DNA10" s="554"/>
      <c r="DNB10" s="554"/>
      <c r="DNC10" s="554"/>
      <c r="DND10" s="554"/>
      <c r="DNE10" s="554"/>
      <c r="DNF10" s="554"/>
      <c r="DNG10" s="554"/>
      <c r="DNH10" s="554"/>
      <c r="DNI10" s="554"/>
      <c r="DNJ10" s="554"/>
      <c r="DNK10" s="554"/>
      <c r="DNL10" s="554"/>
      <c r="DNM10" s="554"/>
      <c r="DNN10" s="554"/>
      <c r="DNO10" s="554"/>
      <c r="DNP10" s="554"/>
      <c r="DNQ10" s="554"/>
      <c r="DNR10" s="554"/>
      <c r="DNS10" s="554"/>
      <c r="DNT10" s="554"/>
      <c r="DNU10" s="554"/>
      <c r="DNV10" s="554"/>
      <c r="DNW10" s="554"/>
      <c r="DNX10" s="554"/>
      <c r="DNY10" s="554"/>
      <c r="DNZ10" s="554"/>
      <c r="DOA10" s="554"/>
      <c r="DOB10" s="554"/>
      <c r="DOC10" s="554"/>
      <c r="DOD10" s="554"/>
      <c r="DOE10" s="554"/>
      <c r="DOF10" s="554"/>
      <c r="DOG10" s="554"/>
      <c r="DOH10" s="554"/>
      <c r="DOI10" s="554"/>
      <c r="DOJ10" s="554"/>
      <c r="DOK10" s="554"/>
      <c r="DOL10" s="554"/>
      <c r="DOM10" s="554"/>
      <c r="DON10" s="554"/>
      <c r="DOO10" s="554"/>
      <c r="DOP10" s="554"/>
      <c r="DOQ10" s="554"/>
      <c r="DOR10" s="554"/>
      <c r="DOS10" s="554"/>
      <c r="DOT10" s="554"/>
      <c r="DOU10" s="554"/>
      <c r="DOV10" s="554"/>
      <c r="DOW10" s="554"/>
      <c r="DOX10" s="554"/>
      <c r="DOY10" s="554"/>
      <c r="DOZ10" s="554"/>
      <c r="DPA10" s="554"/>
      <c r="DPB10" s="554"/>
      <c r="DPC10" s="554"/>
      <c r="DPD10" s="554"/>
      <c r="DPE10" s="554"/>
      <c r="DPF10" s="554"/>
      <c r="DPG10" s="554"/>
      <c r="DPH10" s="554"/>
      <c r="DPI10" s="554"/>
      <c r="DPJ10" s="554"/>
      <c r="DPK10" s="554"/>
      <c r="DPL10" s="554"/>
      <c r="DPM10" s="554"/>
      <c r="DPN10" s="554"/>
      <c r="DPO10" s="554"/>
      <c r="DPP10" s="554"/>
      <c r="DPQ10" s="554"/>
      <c r="DPR10" s="554"/>
      <c r="DPS10" s="554"/>
      <c r="DPT10" s="554"/>
      <c r="DPU10" s="554"/>
      <c r="DPV10" s="554"/>
      <c r="DPW10" s="554"/>
      <c r="DPX10" s="554"/>
      <c r="DPY10" s="554"/>
      <c r="DPZ10" s="554"/>
      <c r="DQA10" s="554"/>
      <c r="DQB10" s="554"/>
      <c r="DQC10" s="554"/>
      <c r="DQD10" s="554"/>
      <c r="DQE10" s="554"/>
      <c r="DQF10" s="554"/>
      <c r="DQG10" s="554"/>
      <c r="DQH10" s="554"/>
      <c r="DQI10" s="554"/>
      <c r="DQJ10" s="554"/>
      <c r="DQK10" s="554"/>
      <c r="DQL10" s="554"/>
      <c r="DQM10" s="554"/>
      <c r="DQN10" s="554"/>
      <c r="DQO10" s="554"/>
      <c r="DQP10" s="554"/>
      <c r="DQQ10" s="554"/>
      <c r="DQR10" s="554"/>
      <c r="DQS10" s="554"/>
      <c r="DQT10" s="554"/>
      <c r="DQU10" s="554"/>
      <c r="DQV10" s="554"/>
      <c r="DQW10" s="554"/>
      <c r="DQX10" s="554"/>
      <c r="DQY10" s="554"/>
      <c r="DQZ10" s="554"/>
      <c r="DRA10" s="554"/>
      <c r="DRB10" s="554"/>
      <c r="DRC10" s="554"/>
      <c r="DRD10" s="554"/>
      <c r="DRE10" s="554"/>
      <c r="DRF10" s="554"/>
      <c r="DRG10" s="554"/>
      <c r="DRH10" s="554"/>
      <c r="DRI10" s="554"/>
      <c r="DRJ10" s="554"/>
      <c r="DRK10" s="554"/>
      <c r="DRL10" s="554"/>
      <c r="DRM10" s="554"/>
      <c r="DRN10" s="554"/>
      <c r="DRO10" s="554"/>
      <c r="DRP10" s="554"/>
      <c r="DRQ10" s="554"/>
      <c r="DRR10" s="554"/>
      <c r="DRS10" s="554"/>
      <c r="DRT10" s="554"/>
      <c r="DRU10" s="554"/>
      <c r="DRV10" s="554"/>
      <c r="DRW10" s="554"/>
      <c r="DRX10" s="554"/>
      <c r="DRY10" s="554"/>
      <c r="DRZ10" s="554"/>
      <c r="DSA10" s="554"/>
      <c r="DSB10" s="554"/>
      <c r="DSC10" s="554"/>
      <c r="DSD10" s="554"/>
      <c r="DSE10" s="554"/>
      <c r="DSF10" s="554"/>
      <c r="DSG10" s="554"/>
      <c r="DSH10" s="554"/>
      <c r="DSI10" s="554"/>
      <c r="DSJ10" s="554"/>
      <c r="DSK10" s="554"/>
      <c r="DSL10" s="554"/>
      <c r="DSM10" s="554"/>
      <c r="DSN10" s="554"/>
      <c r="DSO10" s="554"/>
      <c r="DSP10" s="554"/>
      <c r="DSQ10" s="554"/>
      <c r="DSR10" s="554"/>
      <c r="DSS10" s="554"/>
      <c r="DST10" s="554"/>
      <c r="DSU10" s="554"/>
      <c r="DSV10" s="554"/>
      <c r="DSW10" s="554"/>
      <c r="DSX10" s="554"/>
      <c r="DSY10" s="554"/>
      <c r="DSZ10" s="554"/>
      <c r="DTA10" s="554"/>
      <c r="DTB10" s="554"/>
      <c r="DTC10" s="554"/>
      <c r="DTD10" s="554"/>
      <c r="DTE10" s="554"/>
      <c r="DTF10" s="554"/>
      <c r="DTG10" s="554"/>
      <c r="DTH10" s="554"/>
      <c r="DTI10" s="554"/>
      <c r="DTJ10" s="554"/>
      <c r="DTK10" s="554"/>
      <c r="DTL10" s="554"/>
      <c r="DTM10" s="554"/>
      <c r="DTN10" s="554"/>
      <c r="DTO10" s="554"/>
      <c r="DTP10" s="554"/>
      <c r="DTQ10" s="554"/>
      <c r="DTR10" s="554"/>
      <c r="DTS10" s="554"/>
      <c r="DTT10" s="554"/>
      <c r="DTU10" s="554"/>
      <c r="DTV10" s="554"/>
      <c r="DTW10" s="554"/>
      <c r="DTX10" s="554"/>
      <c r="DTY10" s="554"/>
      <c r="DTZ10" s="554"/>
      <c r="DUA10" s="554"/>
      <c r="DUB10" s="554"/>
      <c r="DUC10" s="554"/>
      <c r="DUD10" s="554"/>
      <c r="DUE10" s="554"/>
      <c r="DUF10" s="554"/>
      <c r="DUG10" s="554"/>
      <c r="DUH10" s="554"/>
      <c r="DUI10" s="554"/>
      <c r="DUJ10" s="554"/>
      <c r="DUK10" s="554"/>
      <c r="DUL10" s="554"/>
      <c r="DUM10" s="554"/>
      <c r="DUN10" s="554"/>
      <c r="DUO10" s="554"/>
      <c r="DUP10" s="554"/>
      <c r="DUQ10" s="554"/>
      <c r="DUR10" s="554"/>
      <c r="DUS10" s="554"/>
      <c r="DUT10" s="554"/>
      <c r="DUU10" s="554"/>
      <c r="DUV10" s="554"/>
      <c r="DUW10" s="554"/>
      <c r="DUX10" s="554"/>
      <c r="DUY10" s="554"/>
      <c r="DUZ10" s="554"/>
      <c r="DVA10" s="554"/>
      <c r="DVB10" s="554"/>
      <c r="DVC10" s="554"/>
      <c r="DVD10" s="554"/>
      <c r="DVE10" s="554"/>
      <c r="DVF10" s="554"/>
      <c r="DVG10" s="554"/>
      <c r="DVH10" s="554"/>
      <c r="DVI10" s="554"/>
      <c r="DVJ10" s="554"/>
      <c r="DVK10" s="554"/>
      <c r="DVL10" s="554"/>
      <c r="DVM10" s="554"/>
      <c r="DVN10" s="554"/>
      <c r="DVO10" s="554"/>
      <c r="DVP10" s="554"/>
      <c r="DVQ10" s="554"/>
      <c r="DVR10" s="554"/>
      <c r="DVS10" s="554"/>
      <c r="DVT10" s="554"/>
      <c r="DVU10" s="554"/>
      <c r="DVV10" s="554"/>
      <c r="DVW10" s="554"/>
      <c r="DVX10" s="554"/>
      <c r="DVY10" s="554"/>
      <c r="DVZ10" s="554"/>
      <c r="DWA10" s="554"/>
      <c r="DWB10" s="554"/>
      <c r="DWC10" s="554"/>
      <c r="DWD10" s="554"/>
      <c r="DWE10" s="554"/>
      <c r="DWF10" s="554"/>
      <c r="DWG10" s="554"/>
      <c r="DWH10" s="554"/>
      <c r="DWI10" s="554"/>
      <c r="DWJ10" s="554"/>
      <c r="DWK10" s="554"/>
      <c r="DWL10" s="554"/>
      <c r="DWM10" s="554"/>
      <c r="DWN10" s="554"/>
      <c r="DWO10" s="554"/>
      <c r="DWP10" s="554"/>
      <c r="DWQ10" s="554"/>
      <c r="DWR10" s="554"/>
      <c r="DWS10" s="554"/>
      <c r="DWT10" s="554"/>
      <c r="DWU10" s="554"/>
      <c r="DWV10" s="554"/>
      <c r="DWW10" s="554"/>
      <c r="DWX10" s="554"/>
      <c r="DWY10" s="554"/>
      <c r="DWZ10" s="554"/>
      <c r="DXA10" s="554"/>
      <c r="DXB10" s="554"/>
      <c r="DXC10" s="554"/>
      <c r="DXD10" s="554"/>
      <c r="DXE10" s="554"/>
      <c r="DXF10" s="554"/>
      <c r="DXG10" s="554"/>
      <c r="DXH10" s="554"/>
      <c r="DXI10" s="554"/>
      <c r="DXJ10" s="554"/>
      <c r="DXK10" s="554"/>
      <c r="DXL10" s="554"/>
      <c r="DXM10" s="554"/>
      <c r="DXN10" s="554"/>
      <c r="DXO10" s="554"/>
      <c r="DXP10" s="554"/>
      <c r="DXQ10" s="554"/>
      <c r="DXR10" s="554"/>
      <c r="DXS10" s="554"/>
      <c r="DXT10" s="554"/>
      <c r="DXU10" s="554"/>
      <c r="DXV10" s="554"/>
      <c r="DXW10" s="554"/>
      <c r="DXX10" s="554"/>
      <c r="DXY10" s="554"/>
      <c r="DXZ10" s="554"/>
      <c r="DYA10" s="554"/>
      <c r="DYB10" s="554"/>
      <c r="DYC10" s="554"/>
      <c r="DYD10" s="554"/>
      <c r="DYE10" s="554"/>
      <c r="DYF10" s="554"/>
      <c r="DYG10" s="554"/>
      <c r="DYH10" s="554"/>
      <c r="DYI10" s="554"/>
      <c r="DYJ10" s="554"/>
      <c r="DYK10" s="554"/>
      <c r="DYL10" s="554"/>
      <c r="DYM10" s="554"/>
      <c r="DYN10" s="554"/>
      <c r="DYO10" s="554"/>
      <c r="DYP10" s="554"/>
      <c r="DYQ10" s="554"/>
      <c r="DYR10" s="554"/>
      <c r="DYS10" s="554"/>
      <c r="DYT10" s="554"/>
      <c r="DYU10" s="554"/>
      <c r="DYV10" s="554"/>
      <c r="DYW10" s="554"/>
      <c r="DYX10" s="554"/>
      <c r="DYY10" s="554"/>
      <c r="DYZ10" s="554"/>
      <c r="DZA10" s="554"/>
      <c r="DZB10" s="554"/>
      <c r="DZC10" s="554"/>
      <c r="DZD10" s="554"/>
      <c r="DZE10" s="554"/>
      <c r="DZF10" s="554"/>
      <c r="DZG10" s="554"/>
      <c r="DZH10" s="554"/>
      <c r="DZI10" s="554"/>
      <c r="DZJ10" s="554"/>
      <c r="DZK10" s="554"/>
      <c r="DZL10" s="554"/>
      <c r="DZM10" s="554"/>
      <c r="DZN10" s="554"/>
      <c r="DZO10" s="554"/>
      <c r="DZP10" s="554"/>
      <c r="DZQ10" s="554"/>
      <c r="DZR10" s="554"/>
      <c r="DZS10" s="554"/>
      <c r="DZT10" s="554"/>
      <c r="DZU10" s="554"/>
      <c r="DZV10" s="554"/>
      <c r="DZW10" s="554"/>
      <c r="DZX10" s="554"/>
      <c r="DZY10" s="554"/>
      <c r="DZZ10" s="554"/>
      <c r="EAA10" s="554"/>
      <c r="EAB10" s="554"/>
      <c r="EAC10" s="554"/>
      <c r="EAD10" s="554"/>
      <c r="EAE10" s="554"/>
      <c r="EAF10" s="554"/>
      <c r="EAG10" s="554"/>
      <c r="EAH10" s="554"/>
      <c r="EAI10" s="554"/>
      <c r="EAJ10" s="554"/>
      <c r="EAK10" s="554"/>
      <c r="EAL10" s="554"/>
      <c r="EAM10" s="554"/>
      <c r="EAN10" s="554"/>
      <c r="EAO10" s="554"/>
      <c r="EAP10" s="554"/>
      <c r="EAQ10" s="554"/>
      <c r="EAR10" s="554"/>
      <c r="EAS10" s="554"/>
      <c r="EAT10" s="554"/>
      <c r="EAU10" s="554"/>
      <c r="EAV10" s="554"/>
      <c r="EAW10" s="554"/>
      <c r="EAX10" s="554"/>
      <c r="EAY10" s="554"/>
      <c r="EAZ10" s="554"/>
      <c r="EBA10" s="554"/>
      <c r="EBB10" s="554"/>
      <c r="EBC10" s="554"/>
      <c r="EBD10" s="554"/>
      <c r="EBE10" s="554"/>
      <c r="EBF10" s="554"/>
      <c r="EBG10" s="554"/>
      <c r="EBH10" s="554"/>
      <c r="EBI10" s="554"/>
      <c r="EBJ10" s="554"/>
      <c r="EBK10" s="554"/>
      <c r="EBL10" s="554"/>
      <c r="EBM10" s="554"/>
      <c r="EBN10" s="554"/>
      <c r="EBO10" s="554"/>
      <c r="EBP10" s="554"/>
      <c r="EBQ10" s="554"/>
      <c r="EBR10" s="554"/>
      <c r="EBS10" s="554"/>
      <c r="EBT10" s="554"/>
      <c r="EBU10" s="554"/>
      <c r="EBV10" s="554"/>
      <c r="EBW10" s="554"/>
      <c r="EBX10" s="554"/>
      <c r="EBY10" s="554"/>
      <c r="EBZ10" s="554"/>
      <c r="ECA10" s="554"/>
      <c r="ECB10" s="554"/>
      <c r="ECC10" s="554"/>
      <c r="ECD10" s="554"/>
      <c r="ECE10" s="554"/>
      <c r="ECF10" s="554"/>
      <c r="ECG10" s="554"/>
      <c r="ECH10" s="554"/>
      <c r="ECI10" s="554"/>
      <c r="ECJ10" s="554"/>
      <c r="ECK10" s="554"/>
      <c r="ECL10" s="554"/>
      <c r="ECM10" s="554"/>
      <c r="ECN10" s="554"/>
      <c r="ECO10" s="554"/>
      <c r="ECP10" s="554"/>
      <c r="ECQ10" s="554"/>
      <c r="ECR10" s="554"/>
      <c r="ECS10" s="554"/>
      <c r="ECT10" s="554"/>
      <c r="ECU10" s="554"/>
      <c r="ECV10" s="554"/>
      <c r="ECW10" s="554"/>
      <c r="ECX10" s="554"/>
      <c r="ECY10" s="554"/>
      <c r="ECZ10" s="554"/>
      <c r="EDA10" s="554"/>
      <c r="EDB10" s="554"/>
      <c r="EDC10" s="554"/>
      <c r="EDD10" s="554"/>
      <c r="EDE10" s="554"/>
      <c r="EDF10" s="554"/>
      <c r="EDG10" s="554"/>
      <c r="EDH10" s="554"/>
      <c r="EDI10" s="554"/>
      <c r="EDJ10" s="554"/>
      <c r="EDK10" s="554"/>
      <c r="EDL10" s="554"/>
      <c r="EDM10" s="554"/>
      <c r="EDN10" s="554"/>
      <c r="EDO10" s="554"/>
      <c r="EDP10" s="554"/>
      <c r="EDQ10" s="554"/>
      <c r="EDR10" s="554"/>
      <c r="EDS10" s="554"/>
      <c r="EDT10" s="554"/>
      <c r="EDU10" s="554"/>
      <c r="EDV10" s="554"/>
      <c r="EDW10" s="554"/>
      <c r="EDX10" s="554"/>
      <c r="EDY10" s="554"/>
      <c r="EDZ10" s="554"/>
      <c r="EEA10" s="554"/>
      <c r="EEB10" s="554"/>
      <c r="EEC10" s="554"/>
      <c r="EED10" s="554"/>
      <c r="EEE10" s="554"/>
      <c r="EEF10" s="554"/>
      <c r="EEG10" s="554"/>
      <c r="EEH10" s="554"/>
      <c r="EEI10" s="554"/>
      <c r="EEJ10" s="554"/>
      <c r="EEK10" s="554"/>
      <c r="EEL10" s="554"/>
      <c r="EEM10" s="554"/>
      <c r="EEN10" s="554"/>
      <c r="EEO10" s="554"/>
      <c r="EEP10" s="554"/>
      <c r="EEQ10" s="554"/>
      <c r="EER10" s="554"/>
      <c r="EES10" s="554"/>
      <c r="EET10" s="554"/>
      <c r="EEU10" s="554"/>
      <c r="EEV10" s="554"/>
      <c r="EEW10" s="554"/>
      <c r="EEX10" s="554"/>
      <c r="EEY10" s="554"/>
      <c r="EEZ10" s="554"/>
      <c r="EFA10" s="554"/>
      <c r="EFB10" s="554"/>
      <c r="EFC10" s="554"/>
      <c r="EFD10" s="554"/>
      <c r="EFE10" s="554"/>
      <c r="EFF10" s="554"/>
      <c r="EFG10" s="554"/>
      <c r="EFH10" s="554"/>
      <c r="EFI10" s="554"/>
      <c r="EFJ10" s="554"/>
      <c r="EFK10" s="554"/>
      <c r="EFL10" s="554"/>
      <c r="EFM10" s="554"/>
      <c r="EFN10" s="554"/>
      <c r="EFO10" s="554"/>
      <c r="EFP10" s="554"/>
      <c r="EFQ10" s="554"/>
      <c r="EFR10" s="554"/>
      <c r="EFS10" s="554"/>
      <c r="EFT10" s="554"/>
      <c r="EFU10" s="554"/>
      <c r="EFV10" s="554"/>
      <c r="EFW10" s="554"/>
      <c r="EFX10" s="554"/>
      <c r="EFY10" s="554"/>
      <c r="EFZ10" s="554"/>
      <c r="EGA10" s="554"/>
      <c r="EGB10" s="554"/>
      <c r="EGC10" s="554"/>
      <c r="EGD10" s="554"/>
      <c r="EGE10" s="554"/>
      <c r="EGF10" s="554"/>
      <c r="EGG10" s="554"/>
      <c r="EGH10" s="554"/>
      <c r="EGI10" s="554"/>
      <c r="EGJ10" s="554"/>
      <c r="EGK10" s="554"/>
      <c r="EGL10" s="554"/>
      <c r="EGM10" s="554"/>
      <c r="EGN10" s="554"/>
      <c r="EGO10" s="554"/>
      <c r="EGP10" s="554"/>
      <c r="EGQ10" s="554"/>
      <c r="EGR10" s="554"/>
      <c r="EGS10" s="554"/>
      <c r="EGT10" s="554"/>
      <c r="EGU10" s="554"/>
      <c r="EGV10" s="554"/>
      <c r="EGW10" s="554"/>
      <c r="EGX10" s="554"/>
      <c r="EGY10" s="554"/>
      <c r="EGZ10" s="554"/>
      <c r="EHA10" s="554"/>
      <c r="EHB10" s="554"/>
      <c r="EHC10" s="554"/>
      <c r="EHD10" s="554"/>
      <c r="EHE10" s="554"/>
      <c r="EHF10" s="554"/>
      <c r="EHG10" s="554"/>
      <c r="EHH10" s="554"/>
      <c r="EHI10" s="554"/>
      <c r="EHJ10" s="554"/>
      <c r="EHK10" s="554"/>
      <c r="EHL10" s="554"/>
      <c r="EHM10" s="554"/>
      <c r="EHN10" s="554"/>
      <c r="EHO10" s="554"/>
      <c r="EHP10" s="554"/>
      <c r="EHQ10" s="554"/>
      <c r="EHR10" s="554"/>
      <c r="EHS10" s="554"/>
      <c r="EHT10" s="554"/>
      <c r="EHU10" s="554"/>
      <c r="EHV10" s="554"/>
      <c r="EHW10" s="554"/>
      <c r="EHX10" s="554"/>
      <c r="EHY10" s="554"/>
      <c r="EHZ10" s="554"/>
      <c r="EIA10" s="554"/>
      <c r="EIB10" s="554"/>
      <c r="EIC10" s="554"/>
      <c r="EID10" s="554"/>
      <c r="EIE10" s="554"/>
      <c r="EIF10" s="554"/>
      <c r="EIG10" s="554"/>
      <c r="EIH10" s="554"/>
      <c r="EII10" s="554"/>
      <c r="EIJ10" s="554"/>
      <c r="EIK10" s="554"/>
      <c r="EIL10" s="554"/>
      <c r="EIM10" s="554"/>
      <c r="EIN10" s="554"/>
      <c r="EIO10" s="554"/>
      <c r="EIP10" s="554"/>
      <c r="EIQ10" s="554"/>
      <c r="EIR10" s="554"/>
      <c r="EIS10" s="554"/>
      <c r="EIT10" s="554"/>
      <c r="EIU10" s="554"/>
      <c r="EIV10" s="554"/>
      <c r="EIW10" s="554"/>
      <c r="EIX10" s="554"/>
      <c r="EIY10" s="554"/>
      <c r="EIZ10" s="554"/>
      <c r="EJA10" s="554"/>
      <c r="EJB10" s="554"/>
      <c r="EJC10" s="554"/>
      <c r="EJD10" s="554"/>
      <c r="EJE10" s="554"/>
      <c r="EJF10" s="554"/>
      <c r="EJG10" s="554"/>
      <c r="EJH10" s="554"/>
      <c r="EJI10" s="554"/>
      <c r="EJJ10" s="554"/>
      <c r="EJK10" s="554"/>
      <c r="EJL10" s="554"/>
      <c r="EJM10" s="554"/>
      <c r="EJN10" s="554"/>
      <c r="EJO10" s="554"/>
      <c r="EJP10" s="554"/>
      <c r="EJQ10" s="554"/>
      <c r="EJR10" s="554"/>
      <c r="EJS10" s="554"/>
      <c r="EJT10" s="554"/>
      <c r="EJU10" s="554"/>
      <c r="EJV10" s="554"/>
      <c r="EJW10" s="554"/>
      <c r="EJX10" s="554"/>
      <c r="EJY10" s="554"/>
      <c r="EJZ10" s="554"/>
      <c r="EKA10" s="554"/>
      <c r="EKB10" s="554"/>
      <c r="EKC10" s="554"/>
      <c r="EKD10" s="554"/>
      <c r="EKE10" s="554"/>
      <c r="EKF10" s="554"/>
      <c r="EKG10" s="554"/>
      <c r="EKH10" s="554"/>
      <c r="EKI10" s="554"/>
      <c r="EKJ10" s="554"/>
      <c r="EKK10" s="554"/>
      <c r="EKL10" s="554"/>
      <c r="EKM10" s="554"/>
      <c r="EKN10" s="554"/>
      <c r="EKO10" s="554"/>
      <c r="EKP10" s="554"/>
      <c r="EKQ10" s="554"/>
      <c r="EKR10" s="554"/>
      <c r="EKS10" s="554"/>
      <c r="EKT10" s="554"/>
      <c r="EKU10" s="554"/>
      <c r="EKV10" s="554"/>
      <c r="EKW10" s="554"/>
      <c r="EKX10" s="554"/>
      <c r="EKY10" s="554"/>
      <c r="EKZ10" s="554"/>
      <c r="ELA10" s="554"/>
      <c r="ELB10" s="554"/>
      <c r="ELC10" s="554"/>
      <c r="ELD10" s="554"/>
      <c r="ELE10" s="554"/>
      <c r="ELF10" s="554"/>
      <c r="ELG10" s="554"/>
      <c r="ELH10" s="554"/>
      <c r="ELI10" s="554"/>
      <c r="ELJ10" s="554"/>
      <c r="ELK10" s="554"/>
      <c r="ELL10" s="554"/>
      <c r="ELM10" s="554"/>
      <c r="ELN10" s="554"/>
      <c r="ELO10" s="554"/>
      <c r="ELP10" s="554"/>
      <c r="ELQ10" s="554"/>
      <c r="ELR10" s="554"/>
      <c r="ELS10" s="554"/>
      <c r="ELT10" s="554"/>
      <c r="ELU10" s="554"/>
      <c r="ELV10" s="554"/>
      <c r="ELW10" s="554"/>
      <c r="ELX10" s="554"/>
      <c r="ELY10" s="554"/>
      <c r="ELZ10" s="554"/>
      <c r="EMA10" s="554"/>
      <c r="EMB10" s="554"/>
      <c r="EMC10" s="554"/>
      <c r="EMD10" s="554"/>
      <c r="EME10" s="554"/>
      <c r="EMF10" s="554"/>
      <c r="EMG10" s="554"/>
      <c r="EMH10" s="554"/>
      <c r="EMI10" s="554"/>
      <c r="EMJ10" s="554"/>
      <c r="EMK10" s="554"/>
      <c r="EML10" s="554"/>
      <c r="EMM10" s="554"/>
      <c r="EMN10" s="554"/>
      <c r="EMO10" s="554"/>
      <c r="EMP10" s="554"/>
      <c r="EMQ10" s="554"/>
      <c r="EMR10" s="554"/>
      <c r="EMS10" s="554"/>
      <c r="EMT10" s="554"/>
      <c r="EMU10" s="554"/>
      <c r="EMV10" s="554"/>
      <c r="EMW10" s="554"/>
      <c r="EMX10" s="554"/>
      <c r="EMY10" s="554"/>
      <c r="EMZ10" s="554"/>
      <c r="ENA10" s="554"/>
      <c r="ENB10" s="554"/>
      <c r="ENC10" s="554"/>
      <c r="END10" s="554"/>
      <c r="ENE10" s="554"/>
      <c r="ENF10" s="554"/>
      <c r="ENG10" s="554"/>
      <c r="ENH10" s="554"/>
      <c r="ENI10" s="554"/>
      <c r="ENJ10" s="554"/>
      <c r="ENK10" s="554"/>
      <c r="ENL10" s="554"/>
      <c r="ENM10" s="554"/>
      <c r="ENN10" s="554"/>
      <c r="ENO10" s="554"/>
      <c r="ENP10" s="554"/>
      <c r="ENQ10" s="554"/>
      <c r="ENR10" s="554"/>
      <c r="ENS10" s="554"/>
      <c r="ENT10" s="554"/>
      <c r="ENU10" s="554"/>
      <c r="ENV10" s="554"/>
      <c r="ENW10" s="554"/>
      <c r="ENX10" s="554"/>
      <c r="ENY10" s="554"/>
      <c r="ENZ10" s="554"/>
      <c r="EOA10" s="554"/>
      <c r="EOB10" s="554"/>
      <c r="EOC10" s="554"/>
      <c r="EOD10" s="554"/>
      <c r="EOE10" s="554"/>
      <c r="EOF10" s="554"/>
      <c r="EOG10" s="554"/>
      <c r="EOH10" s="554"/>
      <c r="EOI10" s="554"/>
      <c r="EOJ10" s="554"/>
      <c r="EOK10" s="554"/>
      <c r="EOL10" s="554"/>
      <c r="EOM10" s="554"/>
      <c r="EON10" s="554"/>
      <c r="EOO10" s="554"/>
      <c r="EOP10" s="554"/>
      <c r="EOQ10" s="554"/>
      <c r="EOR10" s="554"/>
      <c r="EOS10" s="554"/>
      <c r="EOT10" s="554"/>
      <c r="EOU10" s="554"/>
      <c r="EOV10" s="554"/>
      <c r="EOW10" s="554"/>
      <c r="EOX10" s="554"/>
      <c r="EOY10" s="554"/>
      <c r="EOZ10" s="554"/>
      <c r="EPA10" s="554"/>
      <c r="EPB10" s="554"/>
      <c r="EPC10" s="554"/>
      <c r="EPD10" s="554"/>
      <c r="EPE10" s="554"/>
      <c r="EPF10" s="554"/>
      <c r="EPG10" s="554"/>
      <c r="EPH10" s="554"/>
      <c r="EPI10" s="554"/>
      <c r="EPJ10" s="554"/>
      <c r="EPK10" s="554"/>
      <c r="EPL10" s="554"/>
      <c r="EPM10" s="554"/>
      <c r="EPN10" s="554"/>
      <c r="EPO10" s="554"/>
      <c r="EPP10" s="554"/>
      <c r="EPQ10" s="554"/>
      <c r="EPR10" s="554"/>
      <c r="EPS10" s="554"/>
      <c r="EPT10" s="554"/>
      <c r="EPU10" s="554"/>
      <c r="EPV10" s="554"/>
      <c r="EPW10" s="554"/>
      <c r="EPX10" s="554"/>
      <c r="EPY10" s="554"/>
      <c r="EPZ10" s="554"/>
      <c r="EQA10" s="554"/>
      <c r="EQB10" s="554"/>
      <c r="EQC10" s="554"/>
      <c r="EQD10" s="554"/>
      <c r="EQE10" s="554"/>
      <c r="EQF10" s="554"/>
      <c r="EQG10" s="554"/>
      <c r="EQH10" s="554"/>
      <c r="EQI10" s="554"/>
      <c r="EQJ10" s="554"/>
      <c r="EQK10" s="554"/>
      <c r="EQL10" s="554"/>
      <c r="EQM10" s="554"/>
      <c r="EQN10" s="554"/>
      <c r="EQO10" s="554"/>
      <c r="EQP10" s="554"/>
      <c r="EQQ10" s="554"/>
      <c r="EQR10" s="554"/>
      <c r="EQS10" s="554"/>
      <c r="EQT10" s="554"/>
      <c r="EQU10" s="554"/>
      <c r="EQV10" s="554"/>
      <c r="EQW10" s="554"/>
      <c r="EQX10" s="554"/>
      <c r="EQY10" s="554"/>
      <c r="EQZ10" s="554"/>
      <c r="ERA10" s="554"/>
      <c r="ERB10" s="554"/>
      <c r="ERC10" s="554"/>
      <c r="ERD10" s="554"/>
      <c r="ERE10" s="554"/>
      <c r="ERF10" s="554"/>
      <c r="ERG10" s="554"/>
      <c r="ERH10" s="554"/>
      <c r="ERI10" s="554"/>
      <c r="ERJ10" s="554"/>
      <c r="ERK10" s="554"/>
      <c r="ERL10" s="554"/>
      <c r="ERM10" s="554"/>
      <c r="ERN10" s="554"/>
      <c r="ERO10" s="554"/>
      <c r="ERP10" s="554"/>
      <c r="ERQ10" s="554"/>
      <c r="ERR10" s="554"/>
      <c r="ERS10" s="554"/>
      <c r="ERT10" s="554"/>
      <c r="ERU10" s="554"/>
      <c r="ERV10" s="554"/>
      <c r="ERW10" s="554"/>
      <c r="ERX10" s="554"/>
      <c r="ERY10" s="554"/>
      <c r="ERZ10" s="554"/>
      <c r="ESA10" s="554"/>
      <c r="ESB10" s="554"/>
      <c r="ESC10" s="554"/>
      <c r="ESD10" s="554"/>
      <c r="ESE10" s="554"/>
      <c r="ESF10" s="554"/>
      <c r="ESG10" s="554"/>
      <c r="ESH10" s="554"/>
      <c r="ESI10" s="554"/>
      <c r="ESJ10" s="554"/>
      <c r="ESK10" s="554"/>
      <c r="ESL10" s="554"/>
      <c r="ESM10" s="554"/>
      <c r="ESN10" s="554"/>
      <c r="ESO10" s="554"/>
      <c r="ESP10" s="554"/>
      <c r="ESQ10" s="554"/>
      <c r="ESR10" s="554"/>
      <c r="ESS10" s="554"/>
      <c r="EST10" s="554"/>
      <c r="ESU10" s="554"/>
      <c r="ESV10" s="554"/>
      <c r="ESW10" s="554"/>
      <c r="ESX10" s="554"/>
      <c r="ESY10" s="554"/>
      <c r="ESZ10" s="554"/>
      <c r="ETA10" s="554"/>
      <c r="ETB10" s="554"/>
      <c r="ETC10" s="554"/>
      <c r="ETD10" s="554"/>
      <c r="ETE10" s="554"/>
      <c r="ETF10" s="554"/>
      <c r="ETG10" s="554"/>
      <c r="ETH10" s="554"/>
      <c r="ETI10" s="554"/>
      <c r="ETJ10" s="554"/>
      <c r="ETK10" s="554"/>
      <c r="ETL10" s="554"/>
      <c r="ETM10" s="554"/>
      <c r="ETN10" s="554"/>
      <c r="ETO10" s="554"/>
      <c r="ETP10" s="554"/>
      <c r="ETQ10" s="554"/>
      <c r="ETR10" s="554"/>
      <c r="ETS10" s="554"/>
      <c r="ETT10" s="554"/>
      <c r="ETU10" s="554"/>
      <c r="ETV10" s="554"/>
      <c r="ETW10" s="554"/>
      <c r="ETX10" s="554"/>
      <c r="ETY10" s="554"/>
      <c r="ETZ10" s="554"/>
      <c r="EUA10" s="554"/>
      <c r="EUB10" s="554"/>
      <c r="EUC10" s="554"/>
      <c r="EUD10" s="554"/>
      <c r="EUE10" s="554"/>
      <c r="EUF10" s="554"/>
      <c r="EUG10" s="554"/>
      <c r="EUH10" s="554"/>
      <c r="EUI10" s="554"/>
      <c r="EUJ10" s="554"/>
      <c r="EUK10" s="554"/>
      <c r="EUL10" s="554"/>
      <c r="EUM10" s="554"/>
      <c r="EUN10" s="554"/>
      <c r="EUO10" s="554"/>
      <c r="EUP10" s="554"/>
      <c r="EUQ10" s="554"/>
      <c r="EUR10" s="554"/>
      <c r="EUS10" s="554"/>
      <c r="EUT10" s="554"/>
      <c r="EUU10" s="554"/>
      <c r="EUV10" s="554"/>
      <c r="EUW10" s="554"/>
      <c r="EUX10" s="554"/>
      <c r="EUY10" s="554"/>
      <c r="EUZ10" s="554"/>
      <c r="EVA10" s="554"/>
      <c r="EVB10" s="554"/>
      <c r="EVC10" s="554"/>
      <c r="EVD10" s="554"/>
      <c r="EVE10" s="554"/>
      <c r="EVF10" s="554"/>
      <c r="EVG10" s="554"/>
      <c r="EVH10" s="554"/>
      <c r="EVI10" s="554"/>
      <c r="EVJ10" s="554"/>
      <c r="EVK10" s="554"/>
      <c r="EVL10" s="554"/>
      <c r="EVM10" s="554"/>
      <c r="EVN10" s="554"/>
      <c r="EVO10" s="554"/>
      <c r="EVP10" s="554"/>
      <c r="EVQ10" s="554"/>
      <c r="EVR10" s="554"/>
      <c r="EVS10" s="554"/>
      <c r="EVT10" s="554"/>
      <c r="EVU10" s="554"/>
      <c r="EVV10" s="554"/>
      <c r="EVW10" s="554"/>
      <c r="EVX10" s="554"/>
      <c r="EVY10" s="554"/>
      <c r="EVZ10" s="554"/>
      <c r="EWA10" s="554"/>
      <c r="EWB10" s="554"/>
      <c r="EWC10" s="554"/>
      <c r="EWD10" s="554"/>
      <c r="EWE10" s="554"/>
      <c r="EWF10" s="554"/>
      <c r="EWG10" s="554"/>
      <c r="EWH10" s="554"/>
      <c r="EWI10" s="554"/>
      <c r="EWJ10" s="554"/>
      <c r="EWK10" s="554"/>
      <c r="EWL10" s="554"/>
      <c r="EWM10" s="554"/>
      <c r="EWN10" s="554"/>
      <c r="EWO10" s="554"/>
      <c r="EWP10" s="554"/>
      <c r="EWQ10" s="554"/>
      <c r="EWR10" s="554"/>
      <c r="EWS10" s="554"/>
      <c r="EWT10" s="554"/>
      <c r="EWU10" s="554"/>
      <c r="EWV10" s="554"/>
      <c r="EWW10" s="554"/>
      <c r="EWX10" s="554"/>
      <c r="EWY10" s="554"/>
      <c r="EWZ10" s="554"/>
      <c r="EXA10" s="554"/>
      <c r="EXB10" s="554"/>
      <c r="EXC10" s="554"/>
      <c r="EXD10" s="554"/>
      <c r="EXE10" s="554"/>
      <c r="EXF10" s="554"/>
      <c r="EXG10" s="554"/>
      <c r="EXH10" s="554"/>
      <c r="EXI10" s="554"/>
      <c r="EXJ10" s="554"/>
      <c r="EXK10" s="554"/>
      <c r="EXL10" s="554"/>
      <c r="EXM10" s="554"/>
      <c r="EXN10" s="554"/>
      <c r="EXO10" s="554"/>
      <c r="EXP10" s="554"/>
      <c r="EXQ10" s="554"/>
      <c r="EXR10" s="554"/>
      <c r="EXS10" s="554"/>
      <c r="EXT10" s="554"/>
      <c r="EXU10" s="554"/>
      <c r="EXV10" s="554"/>
      <c r="EXW10" s="554"/>
      <c r="EXX10" s="554"/>
      <c r="EXY10" s="554"/>
      <c r="EXZ10" s="554"/>
      <c r="EYA10" s="554"/>
      <c r="EYB10" s="554"/>
      <c r="EYC10" s="554"/>
      <c r="EYD10" s="554"/>
      <c r="EYE10" s="554"/>
      <c r="EYF10" s="554"/>
      <c r="EYG10" s="554"/>
      <c r="EYH10" s="554"/>
      <c r="EYI10" s="554"/>
      <c r="EYJ10" s="554"/>
      <c r="EYK10" s="554"/>
      <c r="EYL10" s="554"/>
      <c r="EYM10" s="554"/>
      <c r="EYN10" s="554"/>
      <c r="EYO10" s="554"/>
      <c r="EYP10" s="554"/>
      <c r="EYQ10" s="554"/>
      <c r="EYR10" s="554"/>
      <c r="EYS10" s="554"/>
      <c r="EYT10" s="554"/>
      <c r="EYU10" s="554"/>
      <c r="EYV10" s="554"/>
      <c r="EYW10" s="554"/>
      <c r="EYX10" s="554"/>
      <c r="EYY10" s="554"/>
      <c r="EYZ10" s="554"/>
      <c r="EZA10" s="554"/>
      <c r="EZB10" s="554"/>
      <c r="EZC10" s="554"/>
      <c r="EZD10" s="554"/>
      <c r="EZE10" s="554"/>
      <c r="EZF10" s="554"/>
      <c r="EZG10" s="554"/>
      <c r="EZH10" s="554"/>
      <c r="EZI10" s="554"/>
      <c r="EZJ10" s="554"/>
      <c r="EZK10" s="554"/>
      <c r="EZL10" s="554"/>
      <c r="EZM10" s="554"/>
      <c r="EZN10" s="554"/>
      <c r="EZO10" s="554"/>
      <c r="EZP10" s="554"/>
      <c r="EZQ10" s="554"/>
      <c r="EZR10" s="554"/>
      <c r="EZS10" s="554"/>
      <c r="EZT10" s="554"/>
      <c r="EZU10" s="554"/>
      <c r="EZV10" s="554"/>
      <c r="EZW10" s="554"/>
      <c r="EZX10" s="554"/>
      <c r="EZY10" s="554"/>
      <c r="EZZ10" s="554"/>
      <c r="FAA10" s="554"/>
      <c r="FAB10" s="554"/>
      <c r="FAC10" s="554"/>
      <c r="FAD10" s="554"/>
      <c r="FAE10" s="554"/>
      <c r="FAF10" s="554"/>
      <c r="FAG10" s="554"/>
      <c r="FAH10" s="554"/>
      <c r="FAI10" s="554"/>
      <c r="FAJ10" s="554"/>
      <c r="FAK10" s="554"/>
      <c r="FAL10" s="554"/>
      <c r="FAM10" s="554"/>
      <c r="FAN10" s="554"/>
      <c r="FAO10" s="554"/>
      <c r="FAP10" s="554"/>
      <c r="FAQ10" s="554"/>
      <c r="FAR10" s="554"/>
      <c r="FAS10" s="554"/>
      <c r="FAT10" s="554"/>
      <c r="FAU10" s="554"/>
      <c r="FAV10" s="554"/>
      <c r="FAW10" s="554"/>
      <c r="FAX10" s="554"/>
      <c r="FAY10" s="554"/>
      <c r="FAZ10" s="554"/>
      <c r="FBA10" s="554"/>
      <c r="FBB10" s="554"/>
      <c r="FBC10" s="554"/>
      <c r="FBD10" s="554"/>
      <c r="FBE10" s="554"/>
      <c r="FBF10" s="554"/>
      <c r="FBG10" s="554"/>
      <c r="FBH10" s="554"/>
      <c r="FBI10" s="554"/>
      <c r="FBJ10" s="554"/>
      <c r="FBK10" s="554"/>
      <c r="FBL10" s="554"/>
      <c r="FBM10" s="554"/>
      <c r="FBN10" s="554"/>
      <c r="FBO10" s="554"/>
      <c r="FBP10" s="554"/>
      <c r="FBQ10" s="554"/>
      <c r="FBR10" s="554"/>
      <c r="FBS10" s="554"/>
      <c r="FBT10" s="554"/>
      <c r="FBU10" s="554"/>
      <c r="FBV10" s="554"/>
      <c r="FBW10" s="554"/>
      <c r="FBX10" s="554"/>
      <c r="FBY10" s="554"/>
      <c r="FBZ10" s="554"/>
      <c r="FCA10" s="554"/>
      <c r="FCB10" s="554"/>
      <c r="FCC10" s="554"/>
      <c r="FCD10" s="554"/>
      <c r="FCE10" s="554"/>
      <c r="FCF10" s="554"/>
      <c r="FCG10" s="554"/>
      <c r="FCH10" s="554"/>
      <c r="FCI10" s="554"/>
      <c r="FCJ10" s="554"/>
      <c r="FCK10" s="554"/>
      <c r="FCL10" s="554"/>
      <c r="FCM10" s="554"/>
      <c r="FCN10" s="554"/>
      <c r="FCO10" s="554"/>
      <c r="FCP10" s="554"/>
      <c r="FCQ10" s="554"/>
      <c r="FCR10" s="554"/>
      <c r="FCS10" s="554"/>
      <c r="FCT10" s="554"/>
      <c r="FCU10" s="554"/>
      <c r="FCV10" s="554"/>
      <c r="FCW10" s="554"/>
      <c r="FCX10" s="554"/>
      <c r="FCY10" s="554"/>
      <c r="FCZ10" s="554"/>
      <c r="FDA10" s="554"/>
      <c r="FDB10" s="554"/>
      <c r="FDC10" s="554"/>
      <c r="FDD10" s="554"/>
      <c r="FDE10" s="554"/>
      <c r="FDF10" s="554"/>
      <c r="FDG10" s="554"/>
      <c r="FDH10" s="554"/>
      <c r="FDI10" s="554"/>
      <c r="FDJ10" s="554"/>
      <c r="FDK10" s="554"/>
      <c r="FDL10" s="554"/>
      <c r="FDM10" s="554"/>
      <c r="FDN10" s="554"/>
      <c r="FDO10" s="554"/>
      <c r="FDP10" s="554"/>
      <c r="FDQ10" s="554"/>
      <c r="FDR10" s="554"/>
      <c r="FDS10" s="554"/>
      <c r="FDT10" s="554"/>
      <c r="FDU10" s="554"/>
      <c r="FDV10" s="554"/>
      <c r="FDW10" s="554"/>
      <c r="FDX10" s="554"/>
      <c r="FDY10" s="554"/>
      <c r="FDZ10" s="554"/>
      <c r="FEA10" s="554"/>
      <c r="FEB10" s="554"/>
      <c r="FEC10" s="554"/>
      <c r="FED10" s="554"/>
      <c r="FEE10" s="554"/>
      <c r="FEF10" s="554"/>
      <c r="FEG10" s="554"/>
      <c r="FEH10" s="554"/>
      <c r="FEI10" s="554"/>
      <c r="FEJ10" s="554"/>
      <c r="FEK10" s="554"/>
      <c r="FEL10" s="554"/>
      <c r="FEM10" s="554"/>
      <c r="FEN10" s="554"/>
      <c r="FEO10" s="554"/>
      <c r="FEP10" s="554"/>
      <c r="FEQ10" s="554"/>
      <c r="FER10" s="554"/>
      <c r="FES10" s="554"/>
      <c r="FET10" s="554"/>
      <c r="FEU10" s="554"/>
      <c r="FEV10" s="554"/>
      <c r="FEW10" s="554"/>
      <c r="FEX10" s="554"/>
      <c r="FEY10" s="554"/>
      <c r="FEZ10" s="554"/>
      <c r="FFA10" s="554"/>
      <c r="FFB10" s="554"/>
      <c r="FFC10" s="554"/>
      <c r="FFD10" s="554"/>
      <c r="FFE10" s="554"/>
      <c r="FFF10" s="554"/>
      <c r="FFG10" s="554"/>
      <c r="FFH10" s="554"/>
      <c r="FFI10" s="554"/>
      <c r="FFJ10" s="554"/>
      <c r="FFK10" s="554"/>
      <c r="FFL10" s="554"/>
      <c r="FFM10" s="554"/>
      <c r="FFN10" s="554"/>
      <c r="FFO10" s="554"/>
      <c r="FFP10" s="554"/>
      <c r="FFQ10" s="554"/>
      <c r="FFR10" s="554"/>
      <c r="FFS10" s="554"/>
      <c r="FFT10" s="554"/>
      <c r="FFU10" s="554"/>
      <c r="FFV10" s="554"/>
      <c r="FFW10" s="554"/>
      <c r="FFX10" s="554"/>
      <c r="FFY10" s="554"/>
      <c r="FFZ10" s="554"/>
      <c r="FGA10" s="554"/>
      <c r="FGB10" s="554"/>
      <c r="FGC10" s="554"/>
      <c r="FGD10" s="554"/>
      <c r="FGE10" s="554"/>
      <c r="FGF10" s="554"/>
      <c r="FGG10" s="554"/>
      <c r="FGH10" s="554"/>
      <c r="FGI10" s="554"/>
      <c r="FGJ10" s="554"/>
      <c r="FGK10" s="554"/>
      <c r="FGL10" s="554"/>
      <c r="FGM10" s="554"/>
      <c r="FGN10" s="554"/>
      <c r="FGO10" s="554"/>
      <c r="FGP10" s="554"/>
      <c r="FGQ10" s="554"/>
      <c r="FGR10" s="554"/>
      <c r="FGS10" s="554"/>
      <c r="FGT10" s="554"/>
      <c r="FGU10" s="554"/>
      <c r="FGV10" s="554"/>
      <c r="FGW10" s="554"/>
      <c r="FGX10" s="554"/>
      <c r="FGY10" s="554"/>
      <c r="FGZ10" s="554"/>
      <c r="FHA10" s="554"/>
      <c r="FHB10" s="554"/>
      <c r="FHC10" s="554"/>
      <c r="FHD10" s="554"/>
      <c r="FHE10" s="554"/>
      <c r="FHF10" s="554"/>
      <c r="FHG10" s="554"/>
      <c r="FHH10" s="554"/>
      <c r="FHI10" s="554"/>
      <c r="FHJ10" s="554"/>
      <c r="FHK10" s="554"/>
      <c r="FHL10" s="554"/>
      <c r="FHM10" s="554"/>
      <c r="FHN10" s="554"/>
      <c r="FHO10" s="554"/>
      <c r="FHP10" s="554"/>
      <c r="FHQ10" s="554"/>
      <c r="FHR10" s="554"/>
      <c r="FHS10" s="554"/>
      <c r="FHT10" s="554"/>
      <c r="FHU10" s="554"/>
      <c r="FHV10" s="554"/>
      <c r="FHW10" s="554"/>
      <c r="FHX10" s="554"/>
      <c r="FHY10" s="554"/>
      <c r="FHZ10" s="554"/>
      <c r="FIA10" s="554"/>
      <c r="FIB10" s="554"/>
      <c r="FIC10" s="554"/>
      <c r="FID10" s="554"/>
      <c r="FIE10" s="554"/>
      <c r="FIF10" s="554"/>
      <c r="FIG10" s="554"/>
      <c r="FIH10" s="554"/>
      <c r="FII10" s="554"/>
      <c r="FIJ10" s="554"/>
      <c r="FIK10" s="554"/>
      <c r="FIL10" s="554"/>
      <c r="FIM10" s="554"/>
      <c r="FIN10" s="554"/>
      <c r="FIO10" s="554"/>
      <c r="FIP10" s="554"/>
      <c r="FIQ10" s="554"/>
      <c r="FIR10" s="554"/>
      <c r="FIS10" s="554"/>
      <c r="FIT10" s="554"/>
      <c r="FIU10" s="554"/>
      <c r="FIV10" s="554"/>
      <c r="FIW10" s="554"/>
      <c r="FIX10" s="554"/>
      <c r="FIY10" s="554"/>
      <c r="FIZ10" s="554"/>
      <c r="FJA10" s="554"/>
      <c r="FJB10" s="554"/>
      <c r="FJC10" s="554"/>
      <c r="FJD10" s="554"/>
      <c r="FJE10" s="554"/>
      <c r="FJF10" s="554"/>
      <c r="FJG10" s="554"/>
      <c r="FJH10" s="554"/>
      <c r="FJI10" s="554"/>
      <c r="FJJ10" s="554"/>
      <c r="FJK10" s="554"/>
      <c r="FJL10" s="554"/>
      <c r="FJM10" s="554"/>
      <c r="FJN10" s="554"/>
      <c r="FJO10" s="554"/>
      <c r="FJP10" s="554"/>
      <c r="FJQ10" s="554"/>
      <c r="FJR10" s="554"/>
      <c r="FJS10" s="554"/>
      <c r="FJT10" s="554"/>
      <c r="FJU10" s="554"/>
      <c r="FJV10" s="554"/>
      <c r="FJW10" s="554"/>
      <c r="FJX10" s="554"/>
      <c r="FJY10" s="554"/>
      <c r="FJZ10" s="554"/>
      <c r="FKA10" s="554"/>
      <c r="FKB10" s="554"/>
      <c r="FKC10" s="554"/>
      <c r="FKD10" s="554"/>
      <c r="FKE10" s="554"/>
      <c r="FKF10" s="554"/>
      <c r="FKG10" s="554"/>
      <c r="FKH10" s="554"/>
      <c r="FKI10" s="554"/>
      <c r="FKJ10" s="554"/>
      <c r="FKK10" s="554"/>
      <c r="FKL10" s="554"/>
      <c r="FKM10" s="554"/>
      <c r="FKN10" s="554"/>
      <c r="FKO10" s="554"/>
      <c r="FKP10" s="554"/>
      <c r="FKQ10" s="554"/>
      <c r="FKR10" s="554"/>
      <c r="FKS10" s="554"/>
      <c r="FKT10" s="554"/>
      <c r="FKU10" s="554"/>
      <c r="FKV10" s="554"/>
      <c r="FKW10" s="554"/>
      <c r="FKX10" s="554"/>
      <c r="FKY10" s="554"/>
      <c r="FKZ10" s="554"/>
      <c r="FLA10" s="554"/>
      <c r="FLB10" s="554"/>
      <c r="FLC10" s="554"/>
      <c r="FLD10" s="554"/>
      <c r="FLE10" s="554"/>
      <c r="FLF10" s="554"/>
      <c r="FLG10" s="554"/>
      <c r="FLH10" s="554"/>
      <c r="FLI10" s="554"/>
      <c r="FLJ10" s="554"/>
      <c r="FLK10" s="554"/>
      <c r="FLL10" s="554"/>
      <c r="FLM10" s="554"/>
      <c r="FLN10" s="554"/>
      <c r="FLO10" s="554"/>
      <c r="FLP10" s="554"/>
      <c r="FLQ10" s="554"/>
      <c r="FLR10" s="554"/>
      <c r="FLS10" s="554"/>
      <c r="FLT10" s="554"/>
      <c r="FLU10" s="554"/>
      <c r="FLV10" s="554"/>
      <c r="FLW10" s="554"/>
      <c r="FLX10" s="554"/>
      <c r="FLY10" s="554"/>
      <c r="FLZ10" s="554"/>
      <c r="FMA10" s="554"/>
      <c r="FMB10" s="554"/>
      <c r="FMC10" s="554"/>
      <c r="FMD10" s="554"/>
      <c r="FME10" s="554"/>
      <c r="FMF10" s="554"/>
      <c r="FMG10" s="554"/>
      <c r="FMH10" s="554"/>
      <c r="FMI10" s="554"/>
      <c r="FMJ10" s="554"/>
      <c r="FMK10" s="554"/>
      <c r="FML10" s="554"/>
      <c r="FMM10" s="554"/>
      <c r="FMN10" s="554"/>
      <c r="FMO10" s="554"/>
      <c r="FMP10" s="554"/>
      <c r="FMQ10" s="554"/>
      <c r="FMR10" s="554"/>
      <c r="FMS10" s="554"/>
      <c r="FMT10" s="554"/>
      <c r="FMU10" s="554"/>
      <c r="FMV10" s="554"/>
      <c r="FMW10" s="554"/>
      <c r="FMX10" s="554"/>
      <c r="FMY10" s="554"/>
      <c r="FMZ10" s="554"/>
      <c r="FNA10" s="554"/>
      <c r="FNB10" s="554"/>
      <c r="FNC10" s="554"/>
      <c r="FND10" s="554"/>
      <c r="FNE10" s="554"/>
      <c r="FNF10" s="554"/>
      <c r="FNG10" s="554"/>
      <c r="FNH10" s="554"/>
      <c r="FNI10" s="554"/>
      <c r="FNJ10" s="554"/>
      <c r="FNK10" s="554"/>
      <c r="FNL10" s="554"/>
      <c r="FNM10" s="554"/>
      <c r="FNN10" s="554"/>
      <c r="FNO10" s="554"/>
      <c r="FNP10" s="554"/>
      <c r="FNQ10" s="554"/>
      <c r="FNR10" s="554"/>
      <c r="FNS10" s="554"/>
      <c r="FNT10" s="554"/>
      <c r="FNU10" s="554"/>
      <c r="FNV10" s="554"/>
      <c r="FNW10" s="554"/>
      <c r="FNX10" s="554"/>
      <c r="FNY10" s="554"/>
      <c r="FNZ10" s="554"/>
      <c r="FOA10" s="554"/>
      <c r="FOB10" s="554"/>
      <c r="FOC10" s="554"/>
      <c r="FOD10" s="554"/>
      <c r="FOE10" s="554"/>
      <c r="FOF10" s="554"/>
      <c r="FOG10" s="554"/>
      <c r="FOH10" s="554"/>
      <c r="FOI10" s="554"/>
      <c r="FOJ10" s="554"/>
      <c r="FOK10" s="554"/>
      <c r="FOL10" s="554"/>
      <c r="FOM10" s="554"/>
      <c r="FON10" s="554"/>
      <c r="FOO10" s="554"/>
      <c r="FOP10" s="554"/>
      <c r="FOQ10" s="554"/>
      <c r="FOR10" s="554"/>
      <c r="FOS10" s="554"/>
      <c r="FOT10" s="554"/>
      <c r="FOU10" s="554"/>
      <c r="FOV10" s="554"/>
      <c r="FOW10" s="554"/>
      <c r="FOX10" s="554"/>
      <c r="FOY10" s="554"/>
      <c r="FOZ10" s="554"/>
      <c r="FPA10" s="554"/>
      <c r="FPB10" s="554"/>
      <c r="FPC10" s="554"/>
      <c r="FPD10" s="554"/>
      <c r="FPE10" s="554"/>
      <c r="FPF10" s="554"/>
      <c r="FPG10" s="554"/>
      <c r="FPH10" s="554"/>
      <c r="FPI10" s="554"/>
      <c r="FPJ10" s="554"/>
      <c r="FPK10" s="554"/>
      <c r="FPL10" s="554"/>
      <c r="FPM10" s="554"/>
      <c r="FPN10" s="554"/>
      <c r="FPO10" s="554"/>
      <c r="FPP10" s="554"/>
      <c r="FPQ10" s="554"/>
      <c r="FPR10" s="554"/>
      <c r="FPS10" s="554"/>
      <c r="FPT10" s="554"/>
      <c r="FPU10" s="554"/>
      <c r="FPV10" s="554"/>
      <c r="FPW10" s="554"/>
      <c r="FPX10" s="554"/>
      <c r="FPY10" s="554"/>
      <c r="FPZ10" s="554"/>
      <c r="FQA10" s="554"/>
      <c r="FQB10" s="554"/>
      <c r="FQC10" s="554"/>
      <c r="FQD10" s="554"/>
      <c r="FQE10" s="554"/>
      <c r="FQF10" s="554"/>
      <c r="FQG10" s="554"/>
      <c r="FQH10" s="554"/>
      <c r="FQI10" s="554"/>
      <c r="FQJ10" s="554"/>
      <c r="FQK10" s="554"/>
      <c r="FQL10" s="554"/>
      <c r="FQM10" s="554"/>
      <c r="FQN10" s="554"/>
      <c r="FQO10" s="554"/>
      <c r="FQP10" s="554"/>
      <c r="FQQ10" s="554"/>
      <c r="FQR10" s="554"/>
      <c r="FQS10" s="554"/>
      <c r="FQT10" s="554"/>
      <c r="FQU10" s="554"/>
      <c r="FQV10" s="554"/>
      <c r="FQW10" s="554"/>
      <c r="FQX10" s="554"/>
      <c r="FQY10" s="554"/>
      <c r="FQZ10" s="554"/>
      <c r="FRA10" s="554"/>
      <c r="FRB10" s="554"/>
      <c r="FRC10" s="554"/>
      <c r="FRD10" s="554"/>
      <c r="FRE10" s="554"/>
      <c r="FRF10" s="554"/>
      <c r="FRG10" s="554"/>
      <c r="FRH10" s="554"/>
      <c r="FRI10" s="554"/>
      <c r="FRJ10" s="554"/>
      <c r="FRK10" s="554"/>
      <c r="FRL10" s="554"/>
      <c r="FRM10" s="554"/>
      <c r="FRN10" s="554"/>
      <c r="FRO10" s="554"/>
      <c r="FRP10" s="554"/>
      <c r="FRQ10" s="554"/>
      <c r="FRR10" s="554"/>
      <c r="FRS10" s="554"/>
      <c r="FRT10" s="554"/>
      <c r="FRU10" s="554"/>
      <c r="FRV10" s="554"/>
      <c r="FRW10" s="554"/>
      <c r="FRX10" s="554"/>
      <c r="FRY10" s="554"/>
      <c r="FRZ10" s="554"/>
      <c r="FSA10" s="554"/>
      <c r="FSB10" s="554"/>
      <c r="FSC10" s="554"/>
      <c r="FSD10" s="554"/>
      <c r="FSE10" s="554"/>
      <c r="FSF10" s="554"/>
      <c r="FSG10" s="554"/>
      <c r="FSH10" s="554"/>
      <c r="FSI10" s="554"/>
      <c r="FSJ10" s="554"/>
      <c r="FSK10" s="554"/>
      <c r="FSL10" s="554"/>
      <c r="FSM10" s="554"/>
      <c r="FSN10" s="554"/>
      <c r="FSO10" s="554"/>
      <c r="FSP10" s="554"/>
      <c r="FSQ10" s="554"/>
      <c r="FSR10" s="554"/>
      <c r="FSS10" s="554"/>
      <c r="FST10" s="554"/>
      <c r="FSU10" s="554"/>
      <c r="FSV10" s="554"/>
      <c r="FSW10" s="554"/>
      <c r="FSX10" s="554"/>
      <c r="FSY10" s="554"/>
      <c r="FSZ10" s="554"/>
      <c r="FTA10" s="554"/>
      <c r="FTB10" s="554"/>
      <c r="FTC10" s="554"/>
      <c r="FTD10" s="554"/>
      <c r="FTE10" s="554"/>
      <c r="FTF10" s="554"/>
      <c r="FTG10" s="554"/>
      <c r="FTH10" s="554"/>
      <c r="FTI10" s="554"/>
      <c r="FTJ10" s="554"/>
      <c r="FTK10" s="554"/>
      <c r="FTL10" s="554"/>
      <c r="FTM10" s="554"/>
      <c r="FTN10" s="554"/>
      <c r="FTO10" s="554"/>
      <c r="FTP10" s="554"/>
      <c r="FTQ10" s="554"/>
      <c r="FTR10" s="554"/>
      <c r="FTS10" s="554"/>
      <c r="FTT10" s="554"/>
      <c r="FTU10" s="554"/>
      <c r="FTV10" s="554"/>
      <c r="FTW10" s="554"/>
      <c r="FTX10" s="554"/>
      <c r="FTY10" s="554"/>
      <c r="FTZ10" s="554"/>
      <c r="FUA10" s="554"/>
      <c r="FUB10" s="554"/>
      <c r="FUC10" s="554"/>
      <c r="FUD10" s="554"/>
      <c r="FUE10" s="554"/>
      <c r="FUF10" s="554"/>
      <c r="FUG10" s="554"/>
      <c r="FUH10" s="554"/>
      <c r="FUI10" s="554"/>
      <c r="FUJ10" s="554"/>
      <c r="FUK10" s="554"/>
      <c r="FUL10" s="554"/>
      <c r="FUM10" s="554"/>
      <c r="FUN10" s="554"/>
      <c r="FUO10" s="554"/>
      <c r="FUP10" s="554"/>
      <c r="FUQ10" s="554"/>
      <c r="FUR10" s="554"/>
      <c r="FUS10" s="554"/>
      <c r="FUT10" s="554"/>
      <c r="FUU10" s="554"/>
      <c r="FUV10" s="554"/>
      <c r="FUW10" s="554"/>
      <c r="FUX10" s="554"/>
      <c r="FUY10" s="554"/>
      <c r="FUZ10" s="554"/>
      <c r="FVA10" s="554"/>
      <c r="FVB10" s="554"/>
      <c r="FVC10" s="554"/>
      <c r="FVD10" s="554"/>
      <c r="FVE10" s="554"/>
      <c r="FVF10" s="554"/>
      <c r="FVG10" s="554"/>
      <c r="FVH10" s="554"/>
      <c r="FVI10" s="554"/>
      <c r="FVJ10" s="554"/>
      <c r="FVK10" s="554"/>
      <c r="FVL10" s="554"/>
      <c r="FVM10" s="554"/>
      <c r="FVN10" s="554"/>
      <c r="FVO10" s="554"/>
      <c r="FVP10" s="554"/>
      <c r="FVQ10" s="554"/>
      <c r="FVR10" s="554"/>
      <c r="FVS10" s="554"/>
      <c r="FVT10" s="554"/>
      <c r="FVU10" s="554"/>
      <c r="FVV10" s="554"/>
      <c r="FVW10" s="554"/>
      <c r="FVX10" s="554"/>
      <c r="FVY10" s="554"/>
      <c r="FVZ10" s="554"/>
      <c r="FWA10" s="554"/>
      <c r="FWB10" s="554"/>
      <c r="FWC10" s="554"/>
      <c r="FWD10" s="554"/>
      <c r="FWE10" s="554"/>
      <c r="FWF10" s="554"/>
      <c r="FWG10" s="554"/>
      <c r="FWH10" s="554"/>
      <c r="FWI10" s="554"/>
      <c r="FWJ10" s="554"/>
      <c r="FWK10" s="554"/>
      <c r="FWL10" s="554"/>
      <c r="FWM10" s="554"/>
      <c r="FWN10" s="554"/>
      <c r="FWO10" s="554"/>
      <c r="FWP10" s="554"/>
      <c r="FWQ10" s="554"/>
      <c r="FWR10" s="554"/>
      <c r="FWS10" s="554"/>
      <c r="FWT10" s="554"/>
      <c r="FWU10" s="554"/>
      <c r="FWV10" s="554"/>
      <c r="FWW10" s="554"/>
      <c r="FWX10" s="554"/>
      <c r="FWY10" s="554"/>
      <c r="FWZ10" s="554"/>
      <c r="FXA10" s="554"/>
      <c r="FXB10" s="554"/>
      <c r="FXC10" s="554"/>
      <c r="FXD10" s="554"/>
      <c r="FXE10" s="554"/>
      <c r="FXF10" s="554"/>
      <c r="FXG10" s="554"/>
      <c r="FXH10" s="554"/>
      <c r="FXI10" s="554"/>
      <c r="FXJ10" s="554"/>
      <c r="FXK10" s="554"/>
      <c r="FXL10" s="554"/>
      <c r="FXM10" s="554"/>
      <c r="FXN10" s="554"/>
      <c r="FXO10" s="554"/>
      <c r="FXP10" s="554"/>
      <c r="FXQ10" s="554"/>
      <c r="FXR10" s="554"/>
      <c r="FXS10" s="554"/>
      <c r="FXT10" s="554"/>
      <c r="FXU10" s="554"/>
      <c r="FXV10" s="554"/>
      <c r="FXW10" s="554"/>
      <c r="FXX10" s="554"/>
      <c r="FXY10" s="554"/>
      <c r="FXZ10" s="554"/>
      <c r="FYA10" s="554"/>
      <c r="FYB10" s="554"/>
      <c r="FYC10" s="554"/>
      <c r="FYD10" s="554"/>
      <c r="FYE10" s="554"/>
      <c r="FYF10" s="554"/>
      <c r="FYG10" s="554"/>
      <c r="FYH10" s="554"/>
      <c r="FYI10" s="554"/>
      <c r="FYJ10" s="554"/>
      <c r="FYK10" s="554"/>
      <c r="FYL10" s="554"/>
      <c r="FYM10" s="554"/>
      <c r="FYN10" s="554"/>
      <c r="FYO10" s="554"/>
      <c r="FYP10" s="554"/>
      <c r="FYQ10" s="554"/>
      <c r="FYR10" s="554"/>
      <c r="FYS10" s="554"/>
      <c r="FYT10" s="554"/>
      <c r="FYU10" s="554"/>
      <c r="FYV10" s="554"/>
      <c r="FYW10" s="554"/>
      <c r="FYX10" s="554"/>
      <c r="FYY10" s="554"/>
      <c r="FYZ10" s="554"/>
      <c r="FZA10" s="554"/>
      <c r="FZB10" s="554"/>
      <c r="FZC10" s="554"/>
      <c r="FZD10" s="554"/>
      <c r="FZE10" s="554"/>
      <c r="FZF10" s="554"/>
      <c r="FZG10" s="554"/>
      <c r="FZH10" s="554"/>
      <c r="FZI10" s="554"/>
      <c r="FZJ10" s="554"/>
      <c r="FZK10" s="554"/>
      <c r="FZL10" s="554"/>
      <c r="FZM10" s="554"/>
      <c r="FZN10" s="554"/>
      <c r="FZO10" s="554"/>
      <c r="FZP10" s="554"/>
      <c r="FZQ10" s="554"/>
      <c r="FZR10" s="554"/>
      <c r="FZS10" s="554"/>
      <c r="FZT10" s="554"/>
      <c r="FZU10" s="554"/>
      <c r="FZV10" s="554"/>
      <c r="FZW10" s="554"/>
      <c r="FZX10" s="554"/>
      <c r="FZY10" s="554"/>
      <c r="FZZ10" s="554"/>
      <c r="GAA10" s="554"/>
      <c r="GAB10" s="554"/>
      <c r="GAC10" s="554"/>
      <c r="GAD10" s="554"/>
      <c r="GAE10" s="554"/>
      <c r="GAF10" s="554"/>
      <c r="GAG10" s="554"/>
      <c r="GAH10" s="554"/>
      <c r="GAI10" s="554"/>
      <c r="GAJ10" s="554"/>
      <c r="GAK10" s="554"/>
      <c r="GAL10" s="554"/>
      <c r="GAM10" s="554"/>
      <c r="GAN10" s="554"/>
      <c r="GAO10" s="554"/>
      <c r="GAP10" s="554"/>
      <c r="GAQ10" s="554"/>
      <c r="GAR10" s="554"/>
      <c r="GAS10" s="554"/>
      <c r="GAT10" s="554"/>
      <c r="GAU10" s="554"/>
      <c r="GAV10" s="554"/>
      <c r="GAW10" s="554"/>
      <c r="GAX10" s="554"/>
      <c r="GAY10" s="554"/>
      <c r="GAZ10" s="554"/>
      <c r="GBA10" s="554"/>
      <c r="GBB10" s="554"/>
      <c r="GBC10" s="554"/>
      <c r="GBD10" s="554"/>
      <c r="GBE10" s="554"/>
      <c r="GBF10" s="554"/>
      <c r="GBG10" s="554"/>
      <c r="GBH10" s="554"/>
      <c r="GBI10" s="554"/>
      <c r="GBJ10" s="554"/>
      <c r="GBK10" s="554"/>
      <c r="GBL10" s="554"/>
      <c r="GBM10" s="554"/>
      <c r="GBN10" s="554"/>
      <c r="GBO10" s="554"/>
      <c r="GBP10" s="554"/>
      <c r="GBQ10" s="554"/>
      <c r="GBR10" s="554"/>
      <c r="GBS10" s="554"/>
      <c r="GBT10" s="554"/>
      <c r="GBU10" s="554"/>
      <c r="GBV10" s="554"/>
      <c r="GBW10" s="554"/>
      <c r="GBX10" s="554"/>
      <c r="GBY10" s="554"/>
      <c r="GBZ10" s="554"/>
      <c r="GCA10" s="554"/>
      <c r="GCB10" s="554"/>
      <c r="GCC10" s="554"/>
      <c r="GCD10" s="554"/>
      <c r="GCE10" s="554"/>
      <c r="GCF10" s="554"/>
      <c r="GCG10" s="554"/>
      <c r="GCH10" s="554"/>
      <c r="GCI10" s="554"/>
      <c r="GCJ10" s="554"/>
      <c r="GCK10" s="554"/>
      <c r="GCL10" s="554"/>
      <c r="GCM10" s="554"/>
      <c r="GCN10" s="554"/>
      <c r="GCO10" s="554"/>
      <c r="GCP10" s="554"/>
      <c r="GCQ10" s="554"/>
      <c r="GCR10" s="554"/>
      <c r="GCS10" s="554"/>
      <c r="GCT10" s="554"/>
      <c r="GCU10" s="554"/>
      <c r="GCV10" s="554"/>
      <c r="GCW10" s="554"/>
      <c r="GCX10" s="554"/>
      <c r="GCY10" s="554"/>
      <c r="GCZ10" s="554"/>
      <c r="GDA10" s="554"/>
      <c r="GDB10" s="554"/>
      <c r="GDC10" s="554"/>
      <c r="GDD10" s="554"/>
      <c r="GDE10" s="554"/>
      <c r="GDF10" s="554"/>
      <c r="GDG10" s="554"/>
      <c r="GDH10" s="554"/>
      <c r="GDI10" s="554"/>
      <c r="GDJ10" s="554"/>
      <c r="GDK10" s="554"/>
      <c r="GDL10" s="554"/>
      <c r="GDM10" s="554"/>
      <c r="GDN10" s="554"/>
      <c r="GDO10" s="554"/>
      <c r="GDP10" s="554"/>
      <c r="GDQ10" s="554"/>
      <c r="GDR10" s="554"/>
      <c r="GDS10" s="554"/>
      <c r="GDT10" s="554"/>
      <c r="GDU10" s="554"/>
      <c r="GDV10" s="554"/>
      <c r="GDW10" s="554"/>
      <c r="GDX10" s="554"/>
      <c r="GDY10" s="554"/>
      <c r="GDZ10" s="554"/>
      <c r="GEA10" s="554"/>
      <c r="GEB10" s="554"/>
      <c r="GEC10" s="554"/>
      <c r="GED10" s="554"/>
      <c r="GEE10" s="554"/>
      <c r="GEF10" s="554"/>
      <c r="GEG10" s="554"/>
      <c r="GEH10" s="554"/>
      <c r="GEI10" s="554"/>
      <c r="GEJ10" s="554"/>
      <c r="GEK10" s="554"/>
      <c r="GEL10" s="554"/>
      <c r="GEM10" s="554"/>
      <c r="GEN10" s="554"/>
      <c r="GEO10" s="554"/>
      <c r="GEP10" s="554"/>
      <c r="GEQ10" s="554"/>
      <c r="GER10" s="554"/>
      <c r="GES10" s="554"/>
      <c r="GET10" s="554"/>
      <c r="GEU10" s="554"/>
      <c r="GEV10" s="554"/>
      <c r="GEW10" s="554"/>
      <c r="GEX10" s="554"/>
      <c r="GEY10" s="554"/>
      <c r="GEZ10" s="554"/>
      <c r="GFA10" s="554"/>
      <c r="GFB10" s="554"/>
      <c r="GFC10" s="554"/>
      <c r="GFD10" s="554"/>
      <c r="GFE10" s="554"/>
      <c r="GFF10" s="554"/>
      <c r="GFG10" s="554"/>
      <c r="GFH10" s="554"/>
      <c r="GFI10" s="554"/>
      <c r="GFJ10" s="554"/>
      <c r="GFK10" s="554"/>
      <c r="GFL10" s="554"/>
      <c r="GFM10" s="554"/>
      <c r="GFN10" s="554"/>
      <c r="GFO10" s="554"/>
      <c r="GFP10" s="554"/>
      <c r="GFQ10" s="554"/>
      <c r="GFR10" s="554"/>
      <c r="GFS10" s="554"/>
      <c r="GFT10" s="554"/>
      <c r="GFU10" s="554"/>
      <c r="GFV10" s="554"/>
      <c r="GFW10" s="554"/>
      <c r="GFX10" s="554"/>
      <c r="GFY10" s="554"/>
      <c r="GFZ10" s="554"/>
      <c r="GGA10" s="554"/>
      <c r="GGB10" s="554"/>
      <c r="GGC10" s="554"/>
      <c r="GGD10" s="554"/>
      <c r="GGE10" s="554"/>
      <c r="GGF10" s="554"/>
      <c r="GGG10" s="554"/>
      <c r="GGH10" s="554"/>
      <c r="GGI10" s="554"/>
      <c r="GGJ10" s="554"/>
      <c r="GGK10" s="554"/>
      <c r="GGL10" s="554"/>
      <c r="GGM10" s="554"/>
      <c r="GGN10" s="554"/>
      <c r="GGO10" s="554"/>
      <c r="GGP10" s="554"/>
      <c r="GGQ10" s="554"/>
      <c r="GGR10" s="554"/>
      <c r="GGS10" s="554"/>
      <c r="GGT10" s="554"/>
      <c r="GGU10" s="554"/>
      <c r="GGV10" s="554"/>
      <c r="GGW10" s="554"/>
      <c r="GGX10" s="554"/>
      <c r="GGY10" s="554"/>
      <c r="GGZ10" s="554"/>
      <c r="GHA10" s="554"/>
      <c r="GHB10" s="554"/>
      <c r="GHC10" s="554"/>
      <c r="GHD10" s="554"/>
      <c r="GHE10" s="554"/>
      <c r="GHF10" s="554"/>
      <c r="GHG10" s="554"/>
      <c r="GHH10" s="554"/>
      <c r="GHI10" s="554"/>
      <c r="GHJ10" s="554"/>
      <c r="GHK10" s="554"/>
      <c r="GHL10" s="554"/>
      <c r="GHM10" s="554"/>
      <c r="GHN10" s="554"/>
      <c r="GHO10" s="554"/>
      <c r="GHP10" s="554"/>
      <c r="GHQ10" s="554"/>
      <c r="GHR10" s="554"/>
      <c r="GHS10" s="554"/>
      <c r="GHT10" s="554"/>
      <c r="GHU10" s="554"/>
      <c r="GHV10" s="554"/>
      <c r="GHW10" s="554"/>
      <c r="GHX10" s="554"/>
      <c r="GHY10" s="554"/>
      <c r="GHZ10" s="554"/>
      <c r="GIA10" s="554"/>
      <c r="GIB10" s="554"/>
      <c r="GIC10" s="554"/>
      <c r="GID10" s="554"/>
      <c r="GIE10" s="554"/>
      <c r="GIF10" s="554"/>
      <c r="GIG10" s="554"/>
      <c r="GIH10" s="554"/>
      <c r="GII10" s="554"/>
      <c r="GIJ10" s="554"/>
      <c r="GIK10" s="554"/>
      <c r="GIL10" s="554"/>
      <c r="GIM10" s="554"/>
      <c r="GIN10" s="554"/>
      <c r="GIO10" s="554"/>
      <c r="GIP10" s="554"/>
      <c r="GIQ10" s="554"/>
      <c r="GIR10" s="554"/>
      <c r="GIS10" s="554"/>
      <c r="GIT10" s="554"/>
      <c r="GIU10" s="554"/>
      <c r="GIV10" s="554"/>
      <c r="GIW10" s="554"/>
      <c r="GIX10" s="554"/>
      <c r="GIY10" s="554"/>
      <c r="GIZ10" s="554"/>
      <c r="GJA10" s="554"/>
      <c r="GJB10" s="554"/>
      <c r="GJC10" s="554"/>
      <c r="GJD10" s="554"/>
      <c r="GJE10" s="554"/>
      <c r="GJF10" s="554"/>
      <c r="GJG10" s="554"/>
      <c r="GJH10" s="554"/>
      <c r="GJI10" s="554"/>
      <c r="GJJ10" s="554"/>
      <c r="GJK10" s="554"/>
      <c r="GJL10" s="554"/>
      <c r="GJM10" s="554"/>
      <c r="GJN10" s="554"/>
      <c r="GJO10" s="554"/>
      <c r="GJP10" s="554"/>
      <c r="GJQ10" s="554"/>
      <c r="GJR10" s="554"/>
      <c r="GJS10" s="554"/>
      <c r="GJT10" s="554"/>
      <c r="GJU10" s="554"/>
      <c r="GJV10" s="554"/>
      <c r="GJW10" s="554"/>
      <c r="GJX10" s="554"/>
      <c r="GJY10" s="554"/>
      <c r="GJZ10" s="554"/>
      <c r="GKA10" s="554"/>
      <c r="GKB10" s="554"/>
      <c r="GKC10" s="554"/>
      <c r="GKD10" s="554"/>
      <c r="GKE10" s="554"/>
      <c r="GKF10" s="554"/>
      <c r="GKG10" s="554"/>
      <c r="GKH10" s="554"/>
      <c r="GKI10" s="554"/>
      <c r="GKJ10" s="554"/>
      <c r="GKK10" s="554"/>
      <c r="GKL10" s="554"/>
      <c r="GKM10" s="554"/>
      <c r="GKN10" s="554"/>
      <c r="GKO10" s="554"/>
      <c r="GKP10" s="554"/>
      <c r="GKQ10" s="554"/>
      <c r="GKR10" s="554"/>
      <c r="GKS10" s="554"/>
      <c r="GKT10" s="554"/>
      <c r="GKU10" s="554"/>
      <c r="GKV10" s="554"/>
      <c r="GKW10" s="554"/>
      <c r="GKX10" s="554"/>
      <c r="GKY10" s="554"/>
      <c r="GKZ10" s="554"/>
      <c r="GLA10" s="554"/>
      <c r="GLB10" s="554"/>
      <c r="GLC10" s="554"/>
      <c r="GLD10" s="554"/>
      <c r="GLE10" s="554"/>
      <c r="GLF10" s="554"/>
      <c r="GLG10" s="554"/>
      <c r="GLH10" s="554"/>
      <c r="GLI10" s="554"/>
      <c r="GLJ10" s="554"/>
      <c r="GLK10" s="554"/>
      <c r="GLL10" s="554"/>
      <c r="GLM10" s="554"/>
      <c r="GLN10" s="554"/>
      <c r="GLO10" s="554"/>
      <c r="GLP10" s="554"/>
      <c r="GLQ10" s="554"/>
      <c r="GLR10" s="554"/>
      <c r="GLS10" s="554"/>
      <c r="GLT10" s="554"/>
      <c r="GLU10" s="554"/>
      <c r="GLV10" s="554"/>
      <c r="GLW10" s="554"/>
      <c r="GLX10" s="554"/>
      <c r="GLY10" s="554"/>
      <c r="GLZ10" s="554"/>
      <c r="GMA10" s="554"/>
      <c r="GMB10" s="554"/>
      <c r="GMC10" s="554"/>
      <c r="GMD10" s="554"/>
      <c r="GME10" s="554"/>
      <c r="GMF10" s="554"/>
      <c r="GMG10" s="554"/>
      <c r="GMH10" s="554"/>
      <c r="GMI10" s="554"/>
      <c r="GMJ10" s="554"/>
      <c r="GMK10" s="554"/>
      <c r="GML10" s="554"/>
      <c r="GMM10" s="554"/>
      <c r="GMN10" s="554"/>
      <c r="GMO10" s="554"/>
      <c r="GMP10" s="554"/>
      <c r="GMQ10" s="554"/>
      <c r="GMR10" s="554"/>
      <c r="GMS10" s="554"/>
      <c r="GMT10" s="554"/>
      <c r="GMU10" s="554"/>
      <c r="GMV10" s="554"/>
      <c r="GMW10" s="554"/>
      <c r="GMX10" s="554"/>
      <c r="GMY10" s="554"/>
      <c r="GMZ10" s="554"/>
      <c r="GNA10" s="554"/>
      <c r="GNB10" s="554"/>
      <c r="GNC10" s="554"/>
      <c r="GND10" s="554"/>
      <c r="GNE10" s="554"/>
      <c r="GNF10" s="554"/>
      <c r="GNG10" s="554"/>
      <c r="GNH10" s="554"/>
      <c r="GNI10" s="554"/>
      <c r="GNJ10" s="554"/>
      <c r="GNK10" s="554"/>
      <c r="GNL10" s="554"/>
      <c r="GNM10" s="554"/>
      <c r="GNN10" s="554"/>
      <c r="GNO10" s="554"/>
      <c r="GNP10" s="554"/>
      <c r="GNQ10" s="554"/>
      <c r="GNR10" s="554"/>
      <c r="GNS10" s="554"/>
      <c r="GNT10" s="554"/>
      <c r="GNU10" s="554"/>
      <c r="GNV10" s="554"/>
      <c r="GNW10" s="554"/>
      <c r="GNX10" s="554"/>
      <c r="GNY10" s="554"/>
      <c r="GNZ10" s="554"/>
      <c r="GOA10" s="554"/>
      <c r="GOB10" s="554"/>
      <c r="GOC10" s="554"/>
      <c r="GOD10" s="554"/>
      <c r="GOE10" s="554"/>
      <c r="GOF10" s="554"/>
      <c r="GOG10" s="554"/>
      <c r="GOH10" s="554"/>
      <c r="GOI10" s="554"/>
      <c r="GOJ10" s="554"/>
      <c r="GOK10" s="554"/>
      <c r="GOL10" s="554"/>
      <c r="GOM10" s="554"/>
      <c r="GON10" s="554"/>
      <c r="GOO10" s="554"/>
      <c r="GOP10" s="554"/>
      <c r="GOQ10" s="554"/>
      <c r="GOR10" s="554"/>
      <c r="GOS10" s="554"/>
      <c r="GOT10" s="554"/>
      <c r="GOU10" s="554"/>
      <c r="GOV10" s="554"/>
      <c r="GOW10" s="554"/>
      <c r="GOX10" s="554"/>
      <c r="GOY10" s="554"/>
      <c r="GOZ10" s="554"/>
      <c r="GPA10" s="554"/>
      <c r="GPB10" s="554"/>
      <c r="GPC10" s="554"/>
      <c r="GPD10" s="554"/>
      <c r="GPE10" s="554"/>
      <c r="GPF10" s="554"/>
      <c r="GPG10" s="554"/>
      <c r="GPH10" s="554"/>
      <c r="GPI10" s="554"/>
      <c r="GPJ10" s="554"/>
      <c r="GPK10" s="554"/>
      <c r="GPL10" s="554"/>
      <c r="GPM10" s="554"/>
      <c r="GPN10" s="554"/>
      <c r="GPO10" s="554"/>
      <c r="GPP10" s="554"/>
      <c r="GPQ10" s="554"/>
      <c r="GPR10" s="554"/>
      <c r="GPS10" s="554"/>
      <c r="GPT10" s="554"/>
      <c r="GPU10" s="554"/>
      <c r="GPV10" s="554"/>
      <c r="GPW10" s="554"/>
      <c r="GPX10" s="554"/>
      <c r="GPY10" s="554"/>
      <c r="GPZ10" s="554"/>
      <c r="GQA10" s="554"/>
      <c r="GQB10" s="554"/>
      <c r="GQC10" s="554"/>
      <c r="GQD10" s="554"/>
      <c r="GQE10" s="554"/>
      <c r="GQF10" s="554"/>
      <c r="GQG10" s="554"/>
      <c r="GQH10" s="554"/>
      <c r="GQI10" s="554"/>
      <c r="GQJ10" s="554"/>
      <c r="GQK10" s="554"/>
      <c r="GQL10" s="554"/>
      <c r="GQM10" s="554"/>
      <c r="GQN10" s="554"/>
      <c r="GQO10" s="554"/>
      <c r="GQP10" s="554"/>
      <c r="GQQ10" s="554"/>
      <c r="GQR10" s="554"/>
      <c r="GQS10" s="554"/>
      <c r="GQT10" s="554"/>
      <c r="GQU10" s="554"/>
      <c r="GQV10" s="554"/>
      <c r="GQW10" s="554"/>
      <c r="GQX10" s="554"/>
      <c r="GQY10" s="554"/>
      <c r="GQZ10" s="554"/>
      <c r="GRA10" s="554"/>
      <c r="GRB10" s="554"/>
      <c r="GRC10" s="554"/>
      <c r="GRD10" s="554"/>
      <c r="GRE10" s="554"/>
      <c r="GRF10" s="554"/>
      <c r="GRG10" s="554"/>
      <c r="GRH10" s="554"/>
      <c r="GRI10" s="554"/>
      <c r="GRJ10" s="554"/>
      <c r="GRK10" s="554"/>
      <c r="GRL10" s="554"/>
      <c r="GRM10" s="554"/>
      <c r="GRN10" s="554"/>
      <c r="GRO10" s="554"/>
      <c r="GRP10" s="554"/>
      <c r="GRQ10" s="554"/>
      <c r="GRR10" s="554"/>
      <c r="GRS10" s="554"/>
      <c r="GRT10" s="554"/>
      <c r="GRU10" s="554"/>
      <c r="GRV10" s="554"/>
      <c r="GRW10" s="554"/>
      <c r="GRX10" s="554"/>
      <c r="GRY10" s="554"/>
      <c r="GRZ10" s="554"/>
      <c r="GSA10" s="554"/>
      <c r="GSB10" s="554"/>
      <c r="GSC10" s="554"/>
      <c r="GSD10" s="554"/>
      <c r="GSE10" s="554"/>
      <c r="GSF10" s="554"/>
      <c r="GSG10" s="554"/>
      <c r="GSH10" s="554"/>
      <c r="GSI10" s="554"/>
      <c r="GSJ10" s="554"/>
      <c r="GSK10" s="554"/>
      <c r="GSL10" s="554"/>
      <c r="GSM10" s="554"/>
      <c r="GSN10" s="554"/>
      <c r="GSO10" s="554"/>
      <c r="GSP10" s="554"/>
      <c r="GSQ10" s="554"/>
      <c r="GSR10" s="554"/>
      <c r="GSS10" s="554"/>
      <c r="GST10" s="554"/>
      <c r="GSU10" s="554"/>
      <c r="GSV10" s="554"/>
      <c r="GSW10" s="554"/>
      <c r="GSX10" s="554"/>
      <c r="GSY10" s="554"/>
      <c r="GSZ10" s="554"/>
      <c r="GTA10" s="554"/>
      <c r="GTB10" s="554"/>
      <c r="GTC10" s="554"/>
      <c r="GTD10" s="554"/>
      <c r="GTE10" s="554"/>
      <c r="GTF10" s="554"/>
      <c r="GTG10" s="554"/>
      <c r="GTH10" s="554"/>
      <c r="GTI10" s="554"/>
      <c r="GTJ10" s="554"/>
      <c r="GTK10" s="554"/>
      <c r="GTL10" s="554"/>
      <c r="GTM10" s="554"/>
      <c r="GTN10" s="554"/>
      <c r="GTO10" s="554"/>
      <c r="GTP10" s="554"/>
      <c r="GTQ10" s="554"/>
      <c r="GTR10" s="554"/>
      <c r="GTS10" s="554"/>
      <c r="GTT10" s="554"/>
      <c r="GTU10" s="554"/>
      <c r="GTV10" s="554"/>
      <c r="GTW10" s="554"/>
      <c r="GTX10" s="554"/>
      <c r="GTY10" s="554"/>
      <c r="GTZ10" s="554"/>
      <c r="GUA10" s="554"/>
      <c r="GUB10" s="554"/>
      <c r="GUC10" s="554"/>
      <c r="GUD10" s="554"/>
      <c r="GUE10" s="554"/>
      <c r="GUF10" s="554"/>
      <c r="GUG10" s="554"/>
      <c r="GUH10" s="554"/>
      <c r="GUI10" s="554"/>
      <c r="GUJ10" s="554"/>
      <c r="GUK10" s="554"/>
      <c r="GUL10" s="554"/>
      <c r="GUM10" s="554"/>
      <c r="GUN10" s="554"/>
      <c r="GUO10" s="554"/>
      <c r="GUP10" s="554"/>
      <c r="GUQ10" s="554"/>
      <c r="GUR10" s="554"/>
      <c r="GUS10" s="554"/>
      <c r="GUT10" s="554"/>
      <c r="GUU10" s="554"/>
      <c r="GUV10" s="554"/>
      <c r="GUW10" s="554"/>
      <c r="GUX10" s="554"/>
      <c r="GUY10" s="554"/>
      <c r="GUZ10" s="554"/>
      <c r="GVA10" s="554"/>
      <c r="GVB10" s="554"/>
      <c r="GVC10" s="554"/>
      <c r="GVD10" s="554"/>
      <c r="GVE10" s="554"/>
      <c r="GVF10" s="554"/>
      <c r="GVG10" s="554"/>
      <c r="GVH10" s="554"/>
      <c r="GVI10" s="554"/>
      <c r="GVJ10" s="554"/>
      <c r="GVK10" s="554"/>
      <c r="GVL10" s="554"/>
      <c r="GVM10" s="554"/>
      <c r="GVN10" s="554"/>
      <c r="GVO10" s="554"/>
      <c r="GVP10" s="554"/>
      <c r="GVQ10" s="554"/>
      <c r="GVR10" s="554"/>
      <c r="GVS10" s="554"/>
      <c r="GVT10" s="554"/>
      <c r="GVU10" s="554"/>
      <c r="GVV10" s="554"/>
      <c r="GVW10" s="554"/>
      <c r="GVX10" s="554"/>
      <c r="GVY10" s="554"/>
      <c r="GVZ10" s="554"/>
      <c r="GWA10" s="554"/>
      <c r="GWB10" s="554"/>
      <c r="GWC10" s="554"/>
      <c r="GWD10" s="554"/>
      <c r="GWE10" s="554"/>
      <c r="GWF10" s="554"/>
      <c r="GWG10" s="554"/>
      <c r="GWH10" s="554"/>
      <c r="GWI10" s="554"/>
      <c r="GWJ10" s="554"/>
      <c r="GWK10" s="554"/>
      <c r="GWL10" s="554"/>
      <c r="GWM10" s="554"/>
      <c r="GWN10" s="554"/>
      <c r="GWO10" s="554"/>
      <c r="GWP10" s="554"/>
      <c r="GWQ10" s="554"/>
      <c r="GWR10" s="554"/>
      <c r="GWS10" s="554"/>
      <c r="GWT10" s="554"/>
      <c r="GWU10" s="554"/>
      <c r="GWV10" s="554"/>
      <c r="GWW10" s="554"/>
      <c r="GWX10" s="554"/>
      <c r="GWY10" s="554"/>
      <c r="GWZ10" s="554"/>
      <c r="GXA10" s="554"/>
      <c r="GXB10" s="554"/>
      <c r="GXC10" s="554"/>
      <c r="GXD10" s="554"/>
      <c r="GXE10" s="554"/>
      <c r="GXF10" s="554"/>
      <c r="GXG10" s="554"/>
      <c r="GXH10" s="554"/>
      <c r="GXI10" s="554"/>
      <c r="GXJ10" s="554"/>
      <c r="GXK10" s="554"/>
      <c r="GXL10" s="554"/>
      <c r="GXM10" s="554"/>
      <c r="GXN10" s="554"/>
      <c r="GXO10" s="554"/>
      <c r="GXP10" s="554"/>
      <c r="GXQ10" s="554"/>
      <c r="GXR10" s="554"/>
      <c r="GXS10" s="554"/>
      <c r="GXT10" s="554"/>
      <c r="GXU10" s="554"/>
      <c r="GXV10" s="554"/>
      <c r="GXW10" s="554"/>
      <c r="GXX10" s="554"/>
      <c r="GXY10" s="554"/>
      <c r="GXZ10" s="554"/>
      <c r="GYA10" s="554"/>
      <c r="GYB10" s="554"/>
      <c r="GYC10" s="554"/>
      <c r="GYD10" s="554"/>
      <c r="GYE10" s="554"/>
      <c r="GYF10" s="554"/>
      <c r="GYG10" s="554"/>
      <c r="GYH10" s="554"/>
      <c r="GYI10" s="554"/>
      <c r="GYJ10" s="554"/>
      <c r="GYK10" s="554"/>
      <c r="GYL10" s="554"/>
      <c r="GYM10" s="554"/>
      <c r="GYN10" s="554"/>
      <c r="GYO10" s="554"/>
      <c r="GYP10" s="554"/>
      <c r="GYQ10" s="554"/>
      <c r="GYR10" s="554"/>
      <c r="GYS10" s="554"/>
      <c r="GYT10" s="554"/>
      <c r="GYU10" s="554"/>
      <c r="GYV10" s="554"/>
      <c r="GYW10" s="554"/>
      <c r="GYX10" s="554"/>
      <c r="GYY10" s="554"/>
      <c r="GYZ10" s="554"/>
      <c r="GZA10" s="554"/>
      <c r="GZB10" s="554"/>
      <c r="GZC10" s="554"/>
      <c r="GZD10" s="554"/>
      <c r="GZE10" s="554"/>
      <c r="GZF10" s="554"/>
      <c r="GZG10" s="554"/>
      <c r="GZH10" s="554"/>
      <c r="GZI10" s="554"/>
      <c r="GZJ10" s="554"/>
      <c r="GZK10" s="554"/>
      <c r="GZL10" s="554"/>
      <c r="GZM10" s="554"/>
      <c r="GZN10" s="554"/>
      <c r="GZO10" s="554"/>
      <c r="GZP10" s="554"/>
      <c r="GZQ10" s="554"/>
      <c r="GZR10" s="554"/>
      <c r="GZS10" s="554"/>
      <c r="GZT10" s="554"/>
      <c r="GZU10" s="554"/>
      <c r="GZV10" s="554"/>
      <c r="GZW10" s="554"/>
      <c r="GZX10" s="554"/>
      <c r="GZY10" s="554"/>
      <c r="GZZ10" s="554"/>
      <c r="HAA10" s="554"/>
      <c r="HAB10" s="554"/>
      <c r="HAC10" s="554"/>
      <c r="HAD10" s="554"/>
      <c r="HAE10" s="554"/>
      <c r="HAF10" s="554"/>
      <c r="HAG10" s="554"/>
      <c r="HAH10" s="554"/>
      <c r="HAI10" s="554"/>
      <c r="HAJ10" s="554"/>
      <c r="HAK10" s="554"/>
      <c r="HAL10" s="554"/>
      <c r="HAM10" s="554"/>
      <c r="HAN10" s="554"/>
      <c r="HAO10" s="554"/>
      <c r="HAP10" s="554"/>
      <c r="HAQ10" s="554"/>
      <c r="HAR10" s="554"/>
      <c r="HAS10" s="554"/>
      <c r="HAT10" s="554"/>
      <c r="HAU10" s="554"/>
      <c r="HAV10" s="554"/>
      <c r="HAW10" s="554"/>
      <c r="HAX10" s="554"/>
      <c r="HAY10" s="554"/>
      <c r="HAZ10" s="554"/>
      <c r="HBA10" s="554"/>
      <c r="HBB10" s="554"/>
      <c r="HBC10" s="554"/>
      <c r="HBD10" s="554"/>
      <c r="HBE10" s="554"/>
      <c r="HBF10" s="554"/>
      <c r="HBG10" s="554"/>
      <c r="HBH10" s="554"/>
      <c r="HBI10" s="554"/>
      <c r="HBJ10" s="554"/>
      <c r="HBK10" s="554"/>
      <c r="HBL10" s="554"/>
      <c r="HBM10" s="554"/>
      <c r="HBN10" s="554"/>
      <c r="HBO10" s="554"/>
      <c r="HBP10" s="554"/>
      <c r="HBQ10" s="554"/>
      <c r="HBR10" s="554"/>
      <c r="HBS10" s="554"/>
      <c r="HBT10" s="554"/>
      <c r="HBU10" s="554"/>
      <c r="HBV10" s="554"/>
      <c r="HBW10" s="554"/>
      <c r="HBX10" s="554"/>
      <c r="HBY10" s="554"/>
      <c r="HBZ10" s="554"/>
      <c r="HCA10" s="554"/>
      <c r="HCB10" s="554"/>
      <c r="HCC10" s="554"/>
      <c r="HCD10" s="554"/>
      <c r="HCE10" s="554"/>
      <c r="HCF10" s="554"/>
      <c r="HCG10" s="554"/>
      <c r="HCH10" s="554"/>
      <c r="HCI10" s="554"/>
      <c r="HCJ10" s="554"/>
      <c r="HCK10" s="554"/>
      <c r="HCL10" s="554"/>
      <c r="HCM10" s="554"/>
      <c r="HCN10" s="554"/>
      <c r="HCO10" s="554"/>
      <c r="HCP10" s="554"/>
      <c r="HCQ10" s="554"/>
      <c r="HCR10" s="554"/>
      <c r="HCS10" s="554"/>
      <c r="HCT10" s="554"/>
      <c r="HCU10" s="554"/>
      <c r="HCV10" s="554"/>
      <c r="HCW10" s="554"/>
      <c r="HCX10" s="554"/>
      <c r="HCY10" s="554"/>
      <c r="HCZ10" s="554"/>
      <c r="HDA10" s="554"/>
      <c r="HDB10" s="554"/>
      <c r="HDC10" s="554"/>
      <c r="HDD10" s="554"/>
      <c r="HDE10" s="554"/>
      <c r="HDF10" s="554"/>
      <c r="HDG10" s="554"/>
      <c r="HDH10" s="554"/>
      <c r="HDI10" s="554"/>
      <c r="HDJ10" s="554"/>
      <c r="HDK10" s="554"/>
      <c r="HDL10" s="554"/>
      <c r="HDM10" s="554"/>
      <c r="HDN10" s="554"/>
      <c r="HDO10" s="554"/>
      <c r="HDP10" s="554"/>
      <c r="HDQ10" s="554"/>
      <c r="HDR10" s="554"/>
      <c r="HDS10" s="554"/>
      <c r="HDT10" s="554"/>
      <c r="HDU10" s="554"/>
      <c r="HDV10" s="554"/>
      <c r="HDW10" s="554"/>
      <c r="HDX10" s="554"/>
      <c r="HDY10" s="554"/>
      <c r="HDZ10" s="554"/>
      <c r="HEA10" s="554"/>
      <c r="HEB10" s="554"/>
      <c r="HEC10" s="554"/>
      <c r="HED10" s="554"/>
      <c r="HEE10" s="554"/>
      <c r="HEF10" s="554"/>
      <c r="HEG10" s="554"/>
      <c r="HEH10" s="554"/>
      <c r="HEI10" s="554"/>
      <c r="HEJ10" s="554"/>
      <c r="HEK10" s="554"/>
      <c r="HEL10" s="554"/>
      <c r="HEM10" s="554"/>
      <c r="HEN10" s="554"/>
      <c r="HEO10" s="554"/>
      <c r="HEP10" s="554"/>
      <c r="HEQ10" s="554"/>
      <c r="HER10" s="554"/>
      <c r="HES10" s="554"/>
      <c r="HET10" s="554"/>
      <c r="HEU10" s="554"/>
      <c r="HEV10" s="554"/>
      <c r="HEW10" s="554"/>
      <c r="HEX10" s="554"/>
      <c r="HEY10" s="554"/>
      <c r="HEZ10" s="554"/>
      <c r="HFA10" s="554"/>
      <c r="HFB10" s="554"/>
      <c r="HFC10" s="554"/>
      <c r="HFD10" s="554"/>
      <c r="HFE10" s="554"/>
      <c r="HFF10" s="554"/>
      <c r="HFG10" s="554"/>
      <c r="HFH10" s="554"/>
      <c r="HFI10" s="554"/>
      <c r="HFJ10" s="554"/>
      <c r="HFK10" s="554"/>
      <c r="HFL10" s="554"/>
      <c r="HFM10" s="554"/>
      <c r="HFN10" s="554"/>
      <c r="HFO10" s="554"/>
      <c r="HFP10" s="554"/>
      <c r="HFQ10" s="554"/>
      <c r="HFR10" s="554"/>
      <c r="HFS10" s="554"/>
      <c r="HFT10" s="554"/>
      <c r="HFU10" s="554"/>
      <c r="HFV10" s="554"/>
      <c r="HFW10" s="554"/>
      <c r="HFX10" s="554"/>
      <c r="HFY10" s="554"/>
      <c r="HFZ10" s="554"/>
      <c r="HGA10" s="554"/>
      <c r="HGB10" s="554"/>
      <c r="HGC10" s="554"/>
      <c r="HGD10" s="554"/>
      <c r="HGE10" s="554"/>
      <c r="HGF10" s="554"/>
      <c r="HGG10" s="554"/>
      <c r="HGH10" s="554"/>
      <c r="HGI10" s="554"/>
      <c r="HGJ10" s="554"/>
      <c r="HGK10" s="554"/>
      <c r="HGL10" s="554"/>
      <c r="HGM10" s="554"/>
      <c r="HGN10" s="554"/>
      <c r="HGO10" s="554"/>
      <c r="HGP10" s="554"/>
      <c r="HGQ10" s="554"/>
      <c r="HGR10" s="554"/>
      <c r="HGS10" s="554"/>
      <c r="HGT10" s="554"/>
      <c r="HGU10" s="554"/>
      <c r="HGV10" s="554"/>
      <c r="HGW10" s="554"/>
      <c r="HGX10" s="554"/>
      <c r="HGY10" s="554"/>
      <c r="HGZ10" s="554"/>
      <c r="HHA10" s="554"/>
      <c r="HHB10" s="554"/>
      <c r="HHC10" s="554"/>
      <c r="HHD10" s="554"/>
      <c r="HHE10" s="554"/>
      <c r="HHF10" s="554"/>
      <c r="HHG10" s="554"/>
      <c r="HHH10" s="554"/>
      <c r="HHI10" s="554"/>
      <c r="HHJ10" s="554"/>
      <c r="HHK10" s="554"/>
      <c r="HHL10" s="554"/>
      <c r="HHM10" s="554"/>
      <c r="HHN10" s="554"/>
      <c r="HHO10" s="554"/>
      <c r="HHP10" s="554"/>
      <c r="HHQ10" s="554"/>
      <c r="HHR10" s="554"/>
      <c r="HHS10" s="554"/>
      <c r="HHT10" s="554"/>
      <c r="HHU10" s="554"/>
      <c r="HHV10" s="554"/>
      <c r="HHW10" s="554"/>
      <c r="HHX10" s="554"/>
      <c r="HHY10" s="554"/>
      <c r="HHZ10" s="554"/>
      <c r="HIA10" s="554"/>
      <c r="HIB10" s="554"/>
      <c r="HIC10" s="554"/>
      <c r="HID10" s="554"/>
      <c r="HIE10" s="554"/>
      <c r="HIF10" s="554"/>
      <c r="HIG10" s="554"/>
      <c r="HIH10" s="554"/>
      <c r="HII10" s="554"/>
      <c r="HIJ10" s="554"/>
      <c r="HIK10" s="554"/>
      <c r="HIL10" s="554"/>
      <c r="HIM10" s="554"/>
      <c r="HIN10" s="554"/>
      <c r="HIO10" s="554"/>
      <c r="HIP10" s="554"/>
      <c r="HIQ10" s="554"/>
      <c r="HIR10" s="554"/>
      <c r="HIS10" s="554"/>
      <c r="HIT10" s="554"/>
      <c r="HIU10" s="554"/>
      <c r="HIV10" s="554"/>
      <c r="HIW10" s="554"/>
      <c r="HIX10" s="554"/>
      <c r="HIY10" s="554"/>
      <c r="HIZ10" s="554"/>
      <c r="HJA10" s="554"/>
      <c r="HJB10" s="554"/>
      <c r="HJC10" s="554"/>
      <c r="HJD10" s="554"/>
      <c r="HJE10" s="554"/>
      <c r="HJF10" s="554"/>
      <c r="HJG10" s="554"/>
      <c r="HJH10" s="554"/>
      <c r="HJI10" s="554"/>
      <c r="HJJ10" s="554"/>
      <c r="HJK10" s="554"/>
      <c r="HJL10" s="554"/>
      <c r="HJM10" s="554"/>
      <c r="HJN10" s="554"/>
      <c r="HJO10" s="554"/>
      <c r="HJP10" s="554"/>
      <c r="HJQ10" s="554"/>
      <c r="HJR10" s="554"/>
      <c r="HJS10" s="554"/>
      <c r="HJT10" s="554"/>
      <c r="HJU10" s="554"/>
      <c r="HJV10" s="554"/>
      <c r="HJW10" s="554"/>
      <c r="HJX10" s="554"/>
      <c r="HJY10" s="554"/>
      <c r="HJZ10" s="554"/>
      <c r="HKA10" s="554"/>
      <c r="HKB10" s="554"/>
      <c r="HKC10" s="554"/>
      <c r="HKD10" s="554"/>
      <c r="HKE10" s="554"/>
      <c r="HKF10" s="554"/>
      <c r="HKG10" s="554"/>
      <c r="HKH10" s="554"/>
      <c r="HKI10" s="554"/>
      <c r="HKJ10" s="554"/>
      <c r="HKK10" s="554"/>
      <c r="HKL10" s="554"/>
      <c r="HKM10" s="554"/>
      <c r="HKN10" s="554"/>
      <c r="HKO10" s="554"/>
      <c r="HKP10" s="554"/>
      <c r="HKQ10" s="554"/>
      <c r="HKR10" s="554"/>
      <c r="HKS10" s="554"/>
      <c r="HKT10" s="554"/>
      <c r="HKU10" s="554"/>
      <c r="HKV10" s="554"/>
      <c r="HKW10" s="554"/>
      <c r="HKX10" s="554"/>
      <c r="HKY10" s="554"/>
      <c r="HKZ10" s="554"/>
      <c r="HLA10" s="554"/>
      <c r="HLB10" s="554"/>
      <c r="HLC10" s="554"/>
      <c r="HLD10" s="554"/>
      <c r="HLE10" s="554"/>
      <c r="HLF10" s="554"/>
      <c r="HLG10" s="554"/>
      <c r="HLH10" s="554"/>
      <c r="HLI10" s="554"/>
      <c r="HLJ10" s="554"/>
      <c r="HLK10" s="554"/>
      <c r="HLL10" s="554"/>
      <c r="HLM10" s="554"/>
      <c r="HLN10" s="554"/>
      <c r="HLO10" s="554"/>
      <c r="HLP10" s="554"/>
      <c r="HLQ10" s="554"/>
      <c r="HLR10" s="554"/>
      <c r="HLS10" s="554"/>
      <c r="HLT10" s="554"/>
      <c r="HLU10" s="554"/>
      <c r="HLV10" s="554"/>
      <c r="HLW10" s="554"/>
      <c r="HLX10" s="554"/>
      <c r="HLY10" s="554"/>
      <c r="HLZ10" s="554"/>
      <c r="HMA10" s="554"/>
      <c r="HMB10" s="554"/>
      <c r="HMC10" s="554"/>
      <c r="HMD10" s="554"/>
      <c r="HME10" s="554"/>
      <c r="HMF10" s="554"/>
      <c r="HMG10" s="554"/>
      <c r="HMH10" s="554"/>
      <c r="HMI10" s="554"/>
      <c r="HMJ10" s="554"/>
      <c r="HMK10" s="554"/>
      <c r="HML10" s="554"/>
      <c r="HMM10" s="554"/>
      <c r="HMN10" s="554"/>
      <c r="HMO10" s="554"/>
      <c r="HMP10" s="554"/>
      <c r="HMQ10" s="554"/>
      <c r="HMR10" s="554"/>
      <c r="HMS10" s="554"/>
      <c r="HMT10" s="554"/>
      <c r="HMU10" s="554"/>
      <c r="HMV10" s="554"/>
      <c r="HMW10" s="554"/>
      <c r="HMX10" s="554"/>
      <c r="HMY10" s="554"/>
      <c r="HMZ10" s="554"/>
      <c r="HNA10" s="554"/>
      <c r="HNB10" s="554"/>
      <c r="HNC10" s="554"/>
      <c r="HND10" s="554"/>
      <c r="HNE10" s="554"/>
      <c r="HNF10" s="554"/>
      <c r="HNG10" s="554"/>
      <c r="HNH10" s="554"/>
      <c r="HNI10" s="554"/>
      <c r="HNJ10" s="554"/>
      <c r="HNK10" s="554"/>
      <c r="HNL10" s="554"/>
      <c r="HNM10" s="554"/>
      <c r="HNN10" s="554"/>
      <c r="HNO10" s="554"/>
      <c r="HNP10" s="554"/>
      <c r="HNQ10" s="554"/>
      <c r="HNR10" s="554"/>
      <c r="HNS10" s="554"/>
      <c r="HNT10" s="554"/>
      <c r="HNU10" s="554"/>
      <c r="HNV10" s="554"/>
      <c r="HNW10" s="554"/>
      <c r="HNX10" s="554"/>
      <c r="HNY10" s="554"/>
      <c r="HNZ10" s="554"/>
      <c r="HOA10" s="554"/>
      <c r="HOB10" s="554"/>
      <c r="HOC10" s="554"/>
      <c r="HOD10" s="554"/>
      <c r="HOE10" s="554"/>
      <c r="HOF10" s="554"/>
      <c r="HOG10" s="554"/>
      <c r="HOH10" s="554"/>
      <c r="HOI10" s="554"/>
      <c r="HOJ10" s="554"/>
      <c r="HOK10" s="554"/>
      <c r="HOL10" s="554"/>
      <c r="HOM10" s="554"/>
      <c r="HON10" s="554"/>
      <c r="HOO10" s="554"/>
      <c r="HOP10" s="554"/>
      <c r="HOQ10" s="554"/>
      <c r="HOR10" s="554"/>
      <c r="HOS10" s="554"/>
      <c r="HOT10" s="554"/>
      <c r="HOU10" s="554"/>
      <c r="HOV10" s="554"/>
      <c r="HOW10" s="554"/>
      <c r="HOX10" s="554"/>
      <c r="HOY10" s="554"/>
      <c r="HOZ10" s="554"/>
      <c r="HPA10" s="554"/>
      <c r="HPB10" s="554"/>
      <c r="HPC10" s="554"/>
      <c r="HPD10" s="554"/>
      <c r="HPE10" s="554"/>
      <c r="HPF10" s="554"/>
      <c r="HPG10" s="554"/>
      <c r="HPH10" s="554"/>
      <c r="HPI10" s="554"/>
      <c r="HPJ10" s="554"/>
      <c r="HPK10" s="554"/>
      <c r="HPL10" s="554"/>
      <c r="HPM10" s="554"/>
      <c r="HPN10" s="554"/>
      <c r="HPO10" s="554"/>
      <c r="HPP10" s="554"/>
      <c r="HPQ10" s="554"/>
      <c r="HPR10" s="554"/>
      <c r="HPS10" s="554"/>
      <c r="HPT10" s="554"/>
      <c r="HPU10" s="554"/>
      <c r="HPV10" s="554"/>
      <c r="HPW10" s="554"/>
      <c r="HPX10" s="554"/>
      <c r="HPY10" s="554"/>
      <c r="HPZ10" s="554"/>
      <c r="HQA10" s="554"/>
      <c r="HQB10" s="554"/>
      <c r="HQC10" s="554"/>
      <c r="HQD10" s="554"/>
      <c r="HQE10" s="554"/>
      <c r="HQF10" s="554"/>
      <c r="HQG10" s="554"/>
      <c r="HQH10" s="554"/>
      <c r="HQI10" s="554"/>
      <c r="HQJ10" s="554"/>
      <c r="HQK10" s="554"/>
      <c r="HQL10" s="554"/>
      <c r="HQM10" s="554"/>
      <c r="HQN10" s="554"/>
      <c r="HQO10" s="554"/>
      <c r="HQP10" s="554"/>
      <c r="HQQ10" s="554"/>
      <c r="HQR10" s="554"/>
      <c r="HQS10" s="554"/>
      <c r="HQT10" s="554"/>
      <c r="HQU10" s="554"/>
      <c r="HQV10" s="554"/>
      <c r="HQW10" s="554"/>
      <c r="HQX10" s="554"/>
      <c r="HQY10" s="554"/>
      <c r="HQZ10" s="554"/>
      <c r="HRA10" s="554"/>
      <c r="HRB10" s="554"/>
      <c r="HRC10" s="554"/>
      <c r="HRD10" s="554"/>
      <c r="HRE10" s="554"/>
      <c r="HRF10" s="554"/>
      <c r="HRG10" s="554"/>
      <c r="HRH10" s="554"/>
      <c r="HRI10" s="554"/>
      <c r="HRJ10" s="554"/>
      <c r="HRK10" s="554"/>
      <c r="HRL10" s="554"/>
      <c r="HRM10" s="554"/>
      <c r="HRN10" s="554"/>
      <c r="HRO10" s="554"/>
      <c r="HRP10" s="554"/>
      <c r="HRQ10" s="554"/>
      <c r="HRR10" s="554"/>
      <c r="HRS10" s="554"/>
      <c r="HRT10" s="554"/>
      <c r="HRU10" s="554"/>
      <c r="HRV10" s="554"/>
      <c r="HRW10" s="554"/>
      <c r="HRX10" s="554"/>
      <c r="HRY10" s="554"/>
      <c r="HRZ10" s="554"/>
      <c r="HSA10" s="554"/>
      <c r="HSB10" s="554"/>
      <c r="HSC10" s="554"/>
      <c r="HSD10" s="554"/>
      <c r="HSE10" s="554"/>
      <c r="HSF10" s="554"/>
      <c r="HSG10" s="554"/>
      <c r="HSH10" s="554"/>
      <c r="HSI10" s="554"/>
      <c r="HSJ10" s="554"/>
      <c r="HSK10" s="554"/>
      <c r="HSL10" s="554"/>
      <c r="HSM10" s="554"/>
      <c r="HSN10" s="554"/>
      <c r="HSO10" s="554"/>
      <c r="HSP10" s="554"/>
      <c r="HSQ10" s="554"/>
      <c r="HSR10" s="554"/>
      <c r="HSS10" s="554"/>
      <c r="HST10" s="554"/>
      <c r="HSU10" s="554"/>
      <c r="HSV10" s="554"/>
      <c r="HSW10" s="554"/>
      <c r="HSX10" s="554"/>
      <c r="HSY10" s="554"/>
      <c r="HSZ10" s="554"/>
      <c r="HTA10" s="554"/>
      <c r="HTB10" s="554"/>
      <c r="HTC10" s="554"/>
      <c r="HTD10" s="554"/>
      <c r="HTE10" s="554"/>
      <c r="HTF10" s="554"/>
      <c r="HTG10" s="554"/>
      <c r="HTH10" s="554"/>
      <c r="HTI10" s="554"/>
      <c r="HTJ10" s="554"/>
      <c r="HTK10" s="554"/>
      <c r="HTL10" s="554"/>
      <c r="HTM10" s="554"/>
      <c r="HTN10" s="554"/>
      <c r="HTO10" s="554"/>
      <c r="HTP10" s="554"/>
      <c r="HTQ10" s="554"/>
      <c r="HTR10" s="554"/>
      <c r="HTS10" s="554"/>
      <c r="HTT10" s="554"/>
      <c r="HTU10" s="554"/>
      <c r="HTV10" s="554"/>
      <c r="HTW10" s="554"/>
      <c r="HTX10" s="554"/>
      <c r="HTY10" s="554"/>
      <c r="HTZ10" s="554"/>
      <c r="HUA10" s="554"/>
      <c r="HUB10" s="554"/>
      <c r="HUC10" s="554"/>
      <c r="HUD10" s="554"/>
      <c r="HUE10" s="554"/>
      <c r="HUF10" s="554"/>
      <c r="HUG10" s="554"/>
      <c r="HUH10" s="554"/>
      <c r="HUI10" s="554"/>
      <c r="HUJ10" s="554"/>
      <c r="HUK10" s="554"/>
      <c r="HUL10" s="554"/>
      <c r="HUM10" s="554"/>
      <c r="HUN10" s="554"/>
      <c r="HUO10" s="554"/>
      <c r="HUP10" s="554"/>
      <c r="HUQ10" s="554"/>
      <c r="HUR10" s="554"/>
      <c r="HUS10" s="554"/>
      <c r="HUT10" s="554"/>
      <c r="HUU10" s="554"/>
      <c r="HUV10" s="554"/>
      <c r="HUW10" s="554"/>
      <c r="HUX10" s="554"/>
      <c r="HUY10" s="554"/>
      <c r="HUZ10" s="554"/>
      <c r="HVA10" s="554"/>
      <c r="HVB10" s="554"/>
      <c r="HVC10" s="554"/>
      <c r="HVD10" s="554"/>
      <c r="HVE10" s="554"/>
      <c r="HVF10" s="554"/>
      <c r="HVG10" s="554"/>
      <c r="HVH10" s="554"/>
      <c r="HVI10" s="554"/>
      <c r="HVJ10" s="554"/>
      <c r="HVK10" s="554"/>
      <c r="HVL10" s="554"/>
      <c r="HVM10" s="554"/>
      <c r="HVN10" s="554"/>
      <c r="HVO10" s="554"/>
      <c r="HVP10" s="554"/>
      <c r="HVQ10" s="554"/>
      <c r="HVR10" s="554"/>
      <c r="HVS10" s="554"/>
      <c r="HVT10" s="554"/>
      <c r="HVU10" s="554"/>
      <c r="HVV10" s="554"/>
      <c r="HVW10" s="554"/>
      <c r="HVX10" s="554"/>
      <c r="HVY10" s="554"/>
      <c r="HVZ10" s="554"/>
      <c r="HWA10" s="554"/>
      <c r="HWB10" s="554"/>
      <c r="HWC10" s="554"/>
      <c r="HWD10" s="554"/>
      <c r="HWE10" s="554"/>
      <c r="HWF10" s="554"/>
      <c r="HWG10" s="554"/>
      <c r="HWH10" s="554"/>
      <c r="HWI10" s="554"/>
      <c r="HWJ10" s="554"/>
      <c r="HWK10" s="554"/>
      <c r="HWL10" s="554"/>
      <c r="HWM10" s="554"/>
      <c r="HWN10" s="554"/>
      <c r="HWO10" s="554"/>
      <c r="HWP10" s="554"/>
      <c r="HWQ10" s="554"/>
      <c r="HWR10" s="554"/>
      <c r="HWS10" s="554"/>
      <c r="HWT10" s="554"/>
      <c r="HWU10" s="554"/>
      <c r="HWV10" s="554"/>
      <c r="HWW10" s="554"/>
      <c r="HWX10" s="554"/>
      <c r="HWY10" s="554"/>
      <c r="HWZ10" s="554"/>
      <c r="HXA10" s="554"/>
      <c r="HXB10" s="554"/>
      <c r="HXC10" s="554"/>
      <c r="HXD10" s="554"/>
      <c r="HXE10" s="554"/>
      <c r="HXF10" s="554"/>
      <c r="HXG10" s="554"/>
      <c r="HXH10" s="554"/>
      <c r="HXI10" s="554"/>
      <c r="HXJ10" s="554"/>
      <c r="HXK10" s="554"/>
      <c r="HXL10" s="554"/>
      <c r="HXM10" s="554"/>
      <c r="HXN10" s="554"/>
      <c r="HXO10" s="554"/>
      <c r="HXP10" s="554"/>
      <c r="HXQ10" s="554"/>
      <c r="HXR10" s="554"/>
      <c r="HXS10" s="554"/>
      <c r="HXT10" s="554"/>
      <c r="HXU10" s="554"/>
      <c r="HXV10" s="554"/>
      <c r="HXW10" s="554"/>
      <c r="HXX10" s="554"/>
      <c r="HXY10" s="554"/>
      <c r="HXZ10" s="554"/>
      <c r="HYA10" s="554"/>
      <c r="HYB10" s="554"/>
      <c r="HYC10" s="554"/>
      <c r="HYD10" s="554"/>
      <c r="HYE10" s="554"/>
      <c r="HYF10" s="554"/>
      <c r="HYG10" s="554"/>
      <c r="HYH10" s="554"/>
      <c r="HYI10" s="554"/>
      <c r="HYJ10" s="554"/>
      <c r="HYK10" s="554"/>
      <c r="HYL10" s="554"/>
      <c r="HYM10" s="554"/>
      <c r="HYN10" s="554"/>
      <c r="HYO10" s="554"/>
      <c r="HYP10" s="554"/>
      <c r="HYQ10" s="554"/>
      <c r="HYR10" s="554"/>
      <c r="HYS10" s="554"/>
      <c r="HYT10" s="554"/>
      <c r="HYU10" s="554"/>
      <c r="HYV10" s="554"/>
      <c r="HYW10" s="554"/>
      <c r="HYX10" s="554"/>
      <c r="HYY10" s="554"/>
      <c r="HYZ10" s="554"/>
      <c r="HZA10" s="554"/>
      <c r="HZB10" s="554"/>
      <c r="HZC10" s="554"/>
      <c r="HZD10" s="554"/>
      <c r="HZE10" s="554"/>
      <c r="HZF10" s="554"/>
      <c r="HZG10" s="554"/>
      <c r="HZH10" s="554"/>
      <c r="HZI10" s="554"/>
      <c r="HZJ10" s="554"/>
      <c r="HZK10" s="554"/>
      <c r="HZL10" s="554"/>
      <c r="HZM10" s="554"/>
      <c r="HZN10" s="554"/>
      <c r="HZO10" s="554"/>
      <c r="HZP10" s="554"/>
      <c r="HZQ10" s="554"/>
      <c r="HZR10" s="554"/>
      <c r="HZS10" s="554"/>
      <c r="HZT10" s="554"/>
      <c r="HZU10" s="554"/>
      <c r="HZV10" s="554"/>
      <c r="HZW10" s="554"/>
      <c r="HZX10" s="554"/>
      <c r="HZY10" s="554"/>
      <c r="HZZ10" s="554"/>
      <c r="IAA10" s="554"/>
      <c r="IAB10" s="554"/>
      <c r="IAC10" s="554"/>
      <c r="IAD10" s="554"/>
      <c r="IAE10" s="554"/>
      <c r="IAF10" s="554"/>
      <c r="IAG10" s="554"/>
      <c r="IAH10" s="554"/>
      <c r="IAI10" s="554"/>
      <c r="IAJ10" s="554"/>
      <c r="IAK10" s="554"/>
      <c r="IAL10" s="554"/>
      <c r="IAM10" s="554"/>
      <c r="IAN10" s="554"/>
      <c r="IAO10" s="554"/>
      <c r="IAP10" s="554"/>
      <c r="IAQ10" s="554"/>
      <c r="IAR10" s="554"/>
      <c r="IAS10" s="554"/>
      <c r="IAT10" s="554"/>
      <c r="IAU10" s="554"/>
      <c r="IAV10" s="554"/>
      <c r="IAW10" s="554"/>
      <c r="IAX10" s="554"/>
      <c r="IAY10" s="554"/>
      <c r="IAZ10" s="554"/>
      <c r="IBA10" s="554"/>
      <c r="IBB10" s="554"/>
      <c r="IBC10" s="554"/>
      <c r="IBD10" s="554"/>
      <c r="IBE10" s="554"/>
      <c r="IBF10" s="554"/>
      <c r="IBG10" s="554"/>
      <c r="IBH10" s="554"/>
      <c r="IBI10" s="554"/>
      <c r="IBJ10" s="554"/>
      <c r="IBK10" s="554"/>
      <c r="IBL10" s="554"/>
      <c r="IBM10" s="554"/>
      <c r="IBN10" s="554"/>
      <c r="IBO10" s="554"/>
      <c r="IBP10" s="554"/>
      <c r="IBQ10" s="554"/>
      <c r="IBR10" s="554"/>
      <c r="IBS10" s="554"/>
      <c r="IBT10" s="554"/>
      <c r="IBU10" s="554"/>
      <c r="IBV10" s="554"/>
      <c r="IBW10" s="554"/>
      <c r="IBX10" s="554"/>
      <c r="IBY10" s="554"/>
      <c r="IBZ10" s="554"/>
      <c r="ICA10" s="554"/>
      <c r="ICB10" s="554"/>
      <c r="ICC10" s="554"/>
      <c r="ICD10" s="554"/>
      <c r="ICE10" s="554"/>
      <c r="ICF10" s="554"/>
      <c r="ICG10" s="554"/>
      <c r="ICH10" s="554"/>
      <c r="ICI10" s="554"/>
      <c r="ICJ10" s="554"/>
      <c r="ICK10" s="554"/>
      <c r="ICL10" s="554"/>
      <c r="ICM10" s="554"/>
      <c r="ICN10" s="554"/>
      <c r="ICO10" s="554"/>
      <c r="ICP10" s="554"/>
      <c r="ICQ10" s="554"/>
      <c r="ICR10" s="554"/>
      <c r="ICS10" s="554"/>
      <c r="ICT10" s="554"/>
      <c r="ICU10" s="554"/>
      <c r="ICV10" s="554"/>
      <c r="ICW10" s="554"/>
      <c r="ICX10" s="554"/>
      <c r="ICY10" s="554"/>
      <c r="ICZ10" s="554"/>
      <c r="IDA10" s="554"/>
      <c r="IDB10" s="554"/>
      <c r="IDC10" s="554"/>
      <c r="IDD10" s="554"/>
      <c r="IDE10" s="554"/>
      <c r="IDF10" s="554"/>
      <c r="IDG10" s="554"/>
      <c r="IDH10" s="554"/>
      <c r="IDI10" s="554"/>
      <c r="IDJ10" s="554"/>
      <c r="IDK10" s="554"/>
      <c r="IDL10" s="554"/>
      <c r="IDM10" s="554"/>
      <c r="IDN10" s="554"/>
      <c r="IDO10" s="554"/>
      <c r="IDP10" s="554"/>
      <c r="IDQ10" s="554"/>
      <c r="IDR10" s="554"/>
      <c r="IDS10" s="554"/>
      <c r="IDT10" s="554"/>
      <c r="IDU10" s="554"/>
      <c r="IDV10" s="554"/>
      <c r="IDW10" s="554"/>
      <c r="IDX10" s="554"/>
      <c r="IDY10" s="554"/>
      <c r="IDZ10" s="554"/>
      <c r="IEA10" s="554"/>
      <c r="IEB10" s="554"/>
      <c r="IEC10" s="554"/>
      <c r="IED10" s="554"/>
      <c r="IEE10" s="554"/>
      <c r="IEF10" s="554"/>
      <c r="IEG10" s="554"/>
      <c r="IEH10" s="554"/>
      <c r="IEI10" s="554"/>
      <c r="IEJ10" s="554"/>
      <c r="IEK10" s="554"/>
      <c r="IEL10" s="554"/>
      <c r="IEM10" s="554"/>
      <c r="IEN10" s="554"/>
      <c r="IEO10" s="554"/>
      <c r="IEP10" s="554"/>
      <c r="IEQ10" s="554"/>
      <c r="IER10" s="554"/>
      <c r="IES10" s="554"/>
      <c r="IET10" s="554"/>
      <c r="IEU10" s="554"/>
      <c r="IEV10" s="554"/>
      <c r="IEW10" s="554"/>
      <c r="IEX10" s="554"/>
      <c r="IEY10" s="554"/>
      <c r="IEZ10" s="554"/>
      <c r="IFA10" s="554"/>
      <c r="IFB10" s="554"/>
      <c r="IFC10" s="554"/>
      <c r="IFD10" s="554"/>
      <c r="IFE10" s="554"/>
      <c r="IFF10" s="554"/>
      <c r="IFG10" s="554"/>
      <c r="IFH10" s="554"/>
      <c r="IFI10" s="554"/>
      <c r="IFJ10" s="554"/>
      <c r="IFK10" s="554"/>
      <c r="IFL10" s="554"/>
      <c r="IFM10" s="554"/>
      <c r="IFN10" s="554"/>
      <c r="IFO10" s="554"/>
      <c r="IFP10" s="554"/>
      <c r="IFQ10" s="554"/>
      <c r="IFR10" s="554"/>
      <c r="IFS10" s="554"/>
      <c r="IFT10" s="554"/>
      <c r="IFU10" s="554"/>
      <c r="IFV10" s="554"/>
      <c r="IFW10" s="554"/>
      <c r="IFX10" s="554"/>
      <c r="IFY10" s="554"/>
      <c r="IFZ10" s="554"/>
      <c r="IGA10" s="554"/>
      <c r="IGB10" s="554"/>
      <c r="IGC10" s="554"/>
      <c r="IGD10" s="554"/>
      <c r="IGE10" s="554"/>
      <c r="IGF10" s="554"/>
      <c r="IGG10" s="554"/>
      <c r="IGH10" s="554"/>
      <c r="IGI10" s="554"/>
      <c r="IGJ10" s="554"/>
      <c r="IGK10" s="554"/>
      <c r="IGL10" s="554"/>
      <c r="IGM10" s="554"/>
      <c r="IGN10" s="554"/>
      <c r="IGO10" s="554"/>
      <c r="IGP10" s="554"/>
      <c r="IGQ10" s="554"/>
      <c r="IGR10" s="554"/>
      <c r="IGS10" s="554"/>
      <c r="IGT10" s="554"/>
      <c r="IGU10" s="554"/>
      <c r="IGV10" s="554"/>
      <c r="IGW10" s="554"/>
      <c r="IGX10" s="554"/>
      <c r="IGY10" s="554"/>
      <c r="IGZ10" s="554"/>
      <c r="IHA10" s="554"/>
      <c r="IHB10" s="554"/>
      <c r="IHC10" s="554"/>
      <c r="IHD10" s="554"/>
      <c r="IHE10" s="554"/>
      <c r="IHF10" s="554"/>
      <c r="IHG10" s="554"/>
      <c r="IHH10" s="554"/>
      <c r="IHI10" s="554"/>
      <c r="IHJ10" s="554"/>
      <c r="IHK10" s="554"/>
      <c r="IHL10" s="554"/>
      <c r="IHM10" s="554"/>
      <c r="IHN10" s="554"/>
      <c r="IHO10" s="554"/>
      <c r="IHP10" s="554"/>
      <c r="IHQ10" s="554"/>
      <c r="IHR10" s="554"/>
      <c r="IHS10" s="554"/>
      <c r="IHT10" s="554"/>
      <c r="IHU10" s="554"/>
      <c r="IHV10" s="554"/>
      <c r="IHW10" s="554"/>
      <c r="IHX10" s="554"/>
      <c r="IHY10" s="554"/>
      <c r="IHZ10" s="554"/>
      <c r="IIA10" s="554"/>
      <c r="IIB10" s="554"/>
      <c r="IIC10" s="554"/>
      <c r="IID10" s="554"/>
      <c r="IIE10" s="554"/>
      <c r="IIF10" s="554"/>
      <c r="IIG10" s="554"/>
      <c r="IIH10" s="554"/>
      <c r="III10" s="554"/>
      <c r="IIJ10" s="554"/>
      <c r="IIK10" s="554"/>
      <c r="IIL10" s="554"/>
      <c r="IIM10" s="554"/>
      <c r="IIN10" s="554"/>
      <c r="IIO10" s="554"/>
      <c r="IIP10" s="554"/>
      <c r="IIQ10" s="554"/>
      <c r="IIR10" s="554"/>
      <c r="IIS10" s="554"/>
      <c r="IIT10" s="554"/>
      <c r="IIU10" s="554"/>
      <c r="IIV10" s="554"/>
      <c r="IIW10" s="554"/>
      <c r="IIX10" s="554"/>
      <c r="IIY10" s="554"/>
      <c r="IIZ10" s="554"/>
      <c r="IJA10" s="554"/>
      <c r="IJB10" s="554"/>
      <c r="IJC10" s="554"/>
      <c r="IJD10" s="554"/>
      <c r="IJE10" s="554"/>
      <c r="IJF10" s="554"/>
      <c r="IJG10" s="554"/>
      <c r="IJH10" s="554"/>
      <c r="IJI10" s="554"/>
      <c r="IJJ10" s="554"/>
      <c r="IJK10" s="554"/>
      <c r="IJL10" s="554"/>
      <c r="IJM10" s="554"/>
      <c r="IJN10" s="554"/>
      <c r="IJO10" s="554"/>
      <c r="IJP10" s="554"/>
      <c r="IJQ10" s="554"/>
      <c r="IJR10" s="554"/>
      <c r="IJS10" s="554"/>
      <c r="IJT10" s="554"/>
      <c r="IJU10" s="554"/>
      <c r="IJV10" s="554"/>
      <c r="IJW10" s="554"/>
      <c r="IJX10" s="554"/>
      <c r="IJY10" s="554"/>
      <c r="IJZ10" s="554"/>
      <c r="IKA10" s="554"/>
      <c r="IKB10" s="554"/>
      <c r="IKC10" s="554"/>
      <c r="IKD10" s="554"/>
      <c r="IKE10" s="554"/>
      <c r="IKF10" s="554"/>
      <c r="IKG10" s="554"/>
      <c r="IKH10" s="554"/>
      <c r="IKI10" s="554"/>
      <c r="IKJ10" s="554"/>
      <c r="IKK10" s="554"/>
      <c r="IKL10" s="554"/>
      <c r="IKM10" s="554"/>
      <c r="IKN10" s="554"/>
      <c r="IKO10" s="554"/>
      <c r="IKP10" s="554"/>
      <c r="IKQ10" s="554"/>
      <c r="IKR10" s="554"/>
      <c r="IKS10" s="554"/>
      <c r="IKT10" s="554"/>
      <c r="IKU10" s="554"/>
      <c r="IKV10" s="554"/>
      <c r="IKW10" s="554"/>
      <c r="IKX10" s="554"/>
      <c r="IKY10" s="554"/>
      <c r="IKZ10" s="554"/>
      <c r="ILA10" s="554"/>
      <c r="ILB10" s="554"/>
      <c r="ILC10" s="554"/>
      <c r="ILD10" s="554"/>
      <c r="ILE10" s="554"/>
      <c r="ILF10" s="554"/>
      <c r="ILG10" s="554"/>
      <c r="ILH10" s="554"/>
      <c r="ILI10" s="554"/>
      <c r="ILJ10" s="554"/>
      <c r="ILK10" s="554"/>
      <c r="ILL10" s="554"/>
      <c r="ILM10" s="554"/>
      <c r="ILN10" s="554"/>
      <c r="ILO10" s="554"/>
      <c r="ILP10" s="554"/>
      <c r="ILQ10" s="554"/>
      <c r="ILR10" s="554"/>
      <c r="ILS10" s="554"/>
      <c r="ILT10" s="554"/>
      <c r="ILU10" s="554"/>
      <c r="ILV10" s="554"/>
      <c r="ILW10" s="554"/>
      <c r="ILX10" s="554"/>
      <c r="ILY10" s="554"/>
      <c r="ILZ10" s="554"/>
      <c r="IMA10" s="554"/>
      <c r="IMB10" s="554"/>
      <c r="IMC10" s="554"/>
      <c r="IMD10" s="554"/>
      <c r="IME10" s="554"/>
      <c r="IMF10" s="554"/>
      <c r="IMG10" s="554"/>
      <c r="IMH10" s="554"/>
      <c r="IMI10" s="554"/>
      <c r="IMJ10" s="554"/>
      <c r="IMK10" s="554"/>
      <c r="IML10" s="554"/>
      <c r="IMM10" s="554"/>
      <c r="IMN10" s="554"/>
      <c r="IMO10" s="554"/>
      <c r="IMP10" s="554"/>
      <c r="IMQ10" s="554"/>
      <c r="IMR10" s="554"/>
      <c r="IMS10" s="554"/>
      <c r="IMT10" s="554"/>
      <c r="IMU10" s="554"/>
      <c r="IMV10" s="554"/>
      <c r="IMW10" s="554"/>
      <c r="IMX10" s="554"/>
      <c r="IMY10" s="554"/>
      <c r="IMZ10" s="554"/>
      <c r="INA10" s="554"/>
      <c r="INB10" s="554"/>
      <c r="INC10" s="554"/>
      <c r="IND10" s="554"/>
      <c r="INE10" s="554"/>
      <c r="INF10" s="554"/>
      <c r="ING10" s="554"/>
      <c r="INH10" s="554"/>
      <c r="INI10" s="554"/>
      <c r="INJ10" s="554"/>
      <c r="INK10" s="554"/>
      <c r="INL10" s="554"/>
      <c r="INM10" s="554"/>
      <c r="INN10" s="554"/>
      <c r="INO10" s="554"/>
      <c r="INP10" s="554"/>
      <c r="INQ10" s="554"/>
      <c r="INR10" s="554"/>
      <c r="INS10" s="554"/>
      <c r="INT10" s="554"/>
      <c r="INU10" s="554"/>
      <c r="INV10" s="554"/>
      <c r="INW10" s="554"/>
      <c r="INX10" s="554"/>
      <c r="INY10" s="554"/>
      <c r="INZ10" s="554"/>
      <c r="IOA10" s="554"/>
      <c r="IOB10" s="554"/>
      <c r="IOC10" s="554"/>
      <c r="IOD10" s="554"/>
      <c r="IOE10" s="554"/>
      <c r="IOF10" s="554"/>
      <c r="IOG10" s="554"/>
      <c r="IOH10" s="554"/>
      <c r="IOI10" s="554"/>
      <c r="IOJ10" s="554"/>
      <c r="IOK10" s="554"/>
      <c r="IOL10" s="554"/>
      <c r="IOM10" s="554"/>
      <c r="ION10" s="554"/>
      <c r="IOO10" s="554"/>
      <c r="IOP10" s="554"/>
      <c r="IOQ10" s="554"/>
      <c r="IOR10" s="554"/>
      <c r="IOS10" s="554"/>
      <c r="IOT10" s="554"/>
      <c r="IOU10" s="554"/>
      <c r="IOV10" s="554"/>
      <c r="IOW10" s="554"/>
      <c r="IOX10" s="554"/>
      <c r="IOY10" s="554"/>
      <c r="IOZ10" s="554"/>
      <c r="IPA10" s="554"/>
      <c r="IPB10" s="554"/>
      <c r="IPC10" s="554"/>
      <c r="IPD10" s="554"/>
      <c r="IPE10" s="554"/>
      <c r="IPF10" s="554"/>
      <c r="IPG10" s="554"/>
      <c r="IPH10" s="554"/>
      <c r="IPI10" s="554"/>
      <c r="IPJ10" s="554"/>
      <c r="IPK10" s="554"/>
      <c r="IPL10" s="554"/>
      <c r="IPM10" s="554"/>
      <c r="IPN10" s="554"/>
      <c r="IPO10" s="554"/>
      <c r="IPP10" s="554"/>
      <c r="IPQ10" s="554"/>
      <c r="IPR10" s="554"/>
      <c r="IPS10" s="554"/>
      <c r="IPT10" s="554"/>
      <c r="IPU10" s="554"/>
      <c r="IPV10" s="554"/>
      <c r="IPW10" s="554"/>
      <c r="IPX10" s="554"/>
      <c r="IPY10" s="554"/>
      <c r="IPZ10" s="554"/>
      <c r="IQA10" s="554"/>
      <c r="IQB10" s="554"/>
      <c r="IQC10" s="554"/>
      <c r="IQD10" s="554"/>
      <c r="IQE10" s="554"/>
      <c r="IQF10" s="554"/>
      <c r="IQG10" s="554"/>
      <c r="IQH10" s="554"/>
      <c r="IQI10" s="554"/>
      <c r="IQJ10" s="554"/>
      <c r="IQK10" s="554"/>
      <c r="IQL10" s="554"/>
      <c r="IQM10" s="554"/>
      <c r="IQN10" s="554"/>
      <c r="IQO10" s="554"/>
      <c r="IQP10" s="554"/>
      <c r="IQQ10" s="554"/>
      <c r="IQR10" s="554"/>
      <c r="IQS10" s="554"/>
      <c r="IQT10" s="554"/>
      <c r="IQU10" s="554"/>
      <c r="IQV10" s="554"/>
      <c r="IQW10" s="554"/>
      <c r="IQX10" s="554"/>
      <c r="IQY10" s="554"/>
      <c r="IQZ10" s="554"/>
      <c r="IRA10" s="554"/>
      <c r="IRB10" s="554"/>
      <c r="IRC10" s="554"/>
      <c r="IRD10" s="554"/>
      <c r="IRE10" s="554"/>
      <c r="IRF10" s="554"/>
      <c r="IRG10" s="554"/>
      <c r="IRH10" s="554"/>
      <c r="IRI10" s="554"/>
      <c r="IRJ10" s="554"/>
      <c r="IRK10" s="554"/>
      <c r="IRL10" s="554"/>
      <c r="IRM10" s="554"/>
      <c r="IRN10" s="554"/>
      <c r="IRO10" s="554"/>
      <c r="IRP10" s="554"/>
      <c r="IRQ10" s="554"/>
      <c r="IRR10" s="554"/>
      <c r="IRS10" s="554"/>
      <c r="IRT10" s="554"/>
      <c r="IRU10" s="554"/>
      <c r="IRV10" s="554"/>
      <c r="IRW10" s="554"/>
      <c r="IRX10" s="554"/>
      <c r="IRY10" s="554"/>
      <c r="IRZ10" s="554"/>
      <c r="ISA10" s="554"/>
      <c r="ISB10" s="554"/>
      <c r="ISC10" s="554"/>
      <c r="ISD10" s="554"/>
      <c r="ISE10" s="554"/>
      <c r="ISF10" s="554"/>
      <c r="ISG10" s="554"/>
      <c r="ISH10" s="554"/>
      <c r="ISI10" s="554"/>
      <c r="ISJ10" s="554"/>
      <c r="ISK10" s="554"/>
      <c r="ISL10" s="554"/>
      <c r="ISM10" s="554"/>
      <c r="ISN10" s="554"/>
      <c r="ISO10" s="554"/>
      <c r="ISP10" s="554"/>
      <c r="ISQ10" s="554"/>
      <c r="ISR10" s="554"/>
      <c r="ISS10" s="554"/>
      <c r="IST10" s="554"/>
      <c r="ISU10" s="554"/>
      <c r="ISV10" s="554"/>
      <c r="ISW10" s="554"/>
      <c r="ISX10" s="554"/>
      <c r="ISY10" s="554"/>
      <c r="ISZ10" s="554"/>
      <c r="ITA10" s="554"/>
      <c r="ITB10" s="554"/>
      <c r="ITC10" s="554"/>
      <c r="ITD10" s="554"/>
      <c r="ITE10" s="554"/>
      <c r="ITF10" s="554"/>
      <c r="ITG10" s="554"/>
      <c r="ITH10" s="554"/>
      <c r="ITI10" s="554"/>
      <c r="ITJ10" s="554"/>
      <c r="ITK10" s="554"/>
      <c r="ITL10" s="554"/>
      <c r="ITM10" s="554"/>
      <c r="ITN10" s="554"/>
      <c r="ITO10" s="554"/>
      <c r="ITP10" s="554"/>
      <c r="ITQ10" s="554"/>
      <c r="ITR10" s="554"/>
      <c r="ITS10" s="554"/>
      <c r="ITT10" s="554"/>
      <c r="ITU10" s="554"/>
      <c r="ITV10" s="554"/>
      <c r="ITW10" s="554"/>
      <c r="ITX10" s="554"/>
      <c r="ITY10" s="554"/>
      <c r="ITZ10" s="554"/>
      <c r="IUA10" s="554"/>
      <c r="IUB10" s="554"/>
      <c r="IUC10" s="554"/>
      <c r="IUD10" s="554"/>
      <c r="IUE10" s="554"/>
      <c r="IUF10" s="554"/>
      <c r="IUG10" s="554"/>
      <c r="IUH10" s="554"/>
      <c r="IUI10" s="554"/>
      <c r="IUJ10" s="554"/>
      <c r="IUK10" s="554"/>
      <c r="IUL10" s="554"/>
      <c r="IUM10" s="554"/>
      <c r="IUN10" s="554"/>
      <c r="IUO10" s="554"/>
      <c r="IUP10" s="554"/>
      <c r="IUQ10" s="554"/>
      <c r="IUR10" s="554"/>
      <c r="IUS10" s="554"/>
      <c r="IUT10" s="554"/>
      <c r="IUU10" s="554"/>
      <c r="IUV10" s="554"/>
      <c r="IUW10" s="554"/>
      <c r="IUX10" s="554"/>
      <c r="IUY10" s="554"/>
      <c r="IUZ10" s="554"/>
      <c r="IVA10" s="554"/>
      <c r="IVB10" s="554"/>
      <c r="IVC10" s="554"/>
      <c r="IVD10" s="554"/>
      <c r="IVE10" s="554"/>
      <c r="IVF10" s="554"/>
      <c r="IVG10" s="554"/>
      <c r="IVH10" s="554"/>
      <c r="IVI10" s="554"/>
      <c r="IVJ10" s="554"/>
      <c r="IVK10" s="554"/>
      <c r="IVL10" s="554"/>
      <c r="IVM10" s="554"/>
      <c r="IVN10" s="554"/>
      <c r="IVO10" s="554"/>
      <c r="IVP10" s="554"/>
      <c r="IVQ10" s="554"/>
      <c r="IVR10" s="554"/>
      <c r="IVS10" s="554"/>
      <c r="IVT10" s="554"/>
      <c r="IVU10" s="554"/>
      <c r="IVV10" s="554"/>
      <c r="IVW10" s="554"/>
      <c r="IVX10" s="554"/>
      <c r="IVY10" s="554"/>
      <c r="IVZ10" s="554"/>
      <c r="IWA10" s="554"/>
      <c r="IWB10" s="554"/>
      <c r="IWC10" s="554"/>
      <c r="IWD10" s="554"/>
      <c r="IWE10" s="554"/>
      <c r="IWF10" s="554"/>
      <c r="IWG10" s="554"/>
      <c r="IWH10" s="554"/>
      <c r="IWI10" s="554"/>
      <c r="IWJ10" s="554"/>
      <c r="IWK10" s="554"/>
      <c r="IWL10" s="554"/>
      <c r="IWM10" s="554"/>
      <c r="IWN10" s="554"/>
      <c r="IWO10" s="554"/>
      <c r="IWP10" s="554"/>
      <c r="IWQ10" s="554"/>
      <c r="IWR10" s="554"/>
      <c r="IWS10" s="554"/>
      <c r="IWT10" s="554"/>
      <c r="IWU10" s="554"/>
      <c r="IWV10" s="554"/>
      <c r="IWW10" s="554"/>
      <c r="IWX10" s="554"/>
      <c r="IWY10" s="554"/>
      <c r="IWZ10" s="554"/>
      <c r="IXA10" s="554"/>
      <c r="IXB10" s="554"/>
      <c r="IXC10" s="554"/>
      <c r="IXD10" s="554"/>
      <c r="IXE10" s="554"/>
      <c r="IXF10" s="554"/>
      <c r="IXG10" s="554"/>
      <c r="IXH10" s="554"/>
      <c r="IXI10" s="554"/>
      <c r="IXJ10" s="554"/>
      <c r="IXK10" s="554"/>
      <c r="IXL10" s="554"/>
      <c r="IXM10" s="554"/>
      <c r="IXN10" s="554"/>
      <c r="IXO10" s="554"/>
      <c r="IXP10" s="554"/>
      <c r="IXQ10" s="554"/>
      <c r="IXR10" s="554"/>
      <c r="IXS10" s="554"/>
      <c r="IXT10" s="554"/>
      <c r="IXU10" s="554"/>
      <c r="IXV10" s="554"/>
      <c r="IXW10" s="554"/>
      <c r="IXX10" s="554"/>
      <c r="IXY10" s="554"/>
      <c r="IXZ10" s="554"/>
      <c r="IYA10" s="554"/>
      <c r="IYB10" s="554"/>
      <c r="IYC10" s="554"/>
      <c r="IYD10" s="554"/>
      <c r="IYE10" s="554"/>
      <c r="IYF10" s="554"/>
      <c r="IYG10" s="554"/>
      <c r="IYH10" s="554"/>
      <c r="IYI10" s="554"/>
      <c r="IYJ10" s="554"/>
      <c r="IYK10" s="554"/>
      <c r="IYL10" s="554"/>
      <c r="IYM10" s="554"/>
      <c r="IYN10" s="554"/>
      <c r="IYO10" s="554"/>
      <c r="IYP10" s="554"/>
      <c r="IYQ10" s="554"/>
      <c r="IYR10" s="554"/>
      <c r="IYS10" s="554"/>
      <c r="IYT10" s="554"/>
      <c r="IYU10" s="554"/>
      <c r="IYV10" s="554"/>
      <c r="IYW10" s="554"/>
      <c r="IYX10" s="554"/>
      <c r="IYY10" s="554"/>
      <c r="IYZ10" s="554"/>
      <c r="IZA10" s="554"/>
      <c r="IZB10" s="554"/>
      <c r="IZC10" s="554"/>
      <c r="IZD10" s="554"/>
      <c r="IZE10" s="554"/>
      <c r="IZF10" s="554"/>
      <c r="IZG10" s="554"/>
      <c r="IZH10" s="554"/>
      <c r="IZI10" s="554"/>
      <c r="IZJ10" s="554"/>
      <c r="IZK10" s="554"/>
      <c r="IZL10" s="554"/>
      <c r="IZM10" s="554"/>
      <c r="IZN10" s="554"/>
      <c r="IZO10" s="554"/>
      <c r="IZP10" s="554"/>
      <c r="IZQ10" s="554"/>
      <c r="IZR10" s="554"/>
      <c r="IZS10" s="554"/>
      <c r="IZT10" s="554"/>
      <c r="IZU10" s="554"/>
      <c r="IZV10" s="554"/>
      <c r="IZW10" s="554"/>
      <c r="IZX10" s="554"/>
      <c r="IZY10" s="554"/>
      <c r="IZZ10" s="554"/>
      <c r="JAA10" s="554"/>
      <c r="JAB10" s="554"/>
      <c r="JAC10" s="554"/>
      <c r="JAD10" s="554"/>
      <c r="JAE10" s="554"/>
      <c r="JAF10" s="554"/>
      <c r="JAG10" s="554"/>
      <c r="JAH10" s="554"/>
      <c r="JAI10" s="554"/>
      <c r="JAJ10" s="554"/>
      <c r="JAK10" s="554"/>
      <c r="JAL10" s="554"/>
      <c r="JAM10" s="554"/>
      <c r="JAN10" s="554"/>
      <c r="JAO10" s="554"/>
      <c r="JAP10" s="554"/>
      <c r="JAQ10" s="554"/>
      <c r="JAR10" s="554"/>
      <c r="JAS10" s="554"/>
      <c r="JAT10" s="554"/>
      <c r="JAU10" s="554"/>
      <c r="JAV10" s="554"/>
      <c r="JAW10" s="554"/>
      <c r="JAX10" s="554"/>
      <c r="JAY10" s="554"/>
      <c r="JAZ10" s="554"/>
      <c r="JBA10" s="554"/>
      <c r="JBB10" s="554"/>
      <c r="JBC10" s="554"/>
      <c r="JBD10" s="554"/>
      <c r="JBE10" s="554"/>
      <c r="JBF10" s="554"/>
      <c r="JBG10" s="554"/>
      <c r="JBH10" s="554"/>
      <c r="JBI10" s="554"/>
      <c r="JBJ10" s="554"/>
      <c r="JBK10" s="554"/>
      <c r="JBL10" s="554"/>
      <c r="JBM10" s="554"/>
      <c r="JBN10" s="554"/>
      <c r="JBO10" s="554"/>
      <c r="JBP10" s="554"/>
      <c r="JBQ10" s="554"/>
      <c r="JBR10" s="554"/>
      <c r="JBS10" s="554"/>
      <c r="JBT10" s="554"/>
      <c r="JBU10" s="554"/>
      <c r="JBV10" s="554"/>
      <c r="JBW10" s="554"/>
      <c r="JBX10" s="554"/>
      <c r="JBY10" s="554"/>
      <c r="JBZ10" s="554"/>
      <c r="JCA10" s="554"/>
      <c r="JCB10" s="554"/>
      <c r="JCC10" s="554"/>
      <c r="JCD10" s="554"/>
      <c r="JCE10" s="554"/>
      <c r="JCF10" s="554"/>
      <c r="JCG10" s="554"/>
      <c r="JCH10" s="554"/>
      <c r="JCI10" s="554"/>
      <c r="JCJ10" s="554"/>
      <c r="JCK10" s="554"/>
      <c r="JCL10" s="554"/>
      <c r="JCM10" s="554"/>
      <c r="JCN10" s="554"/>
      <c r="JCO10" s="554"/>
      <c r="JCP10" s="554"/>
      <c r="JCQ10" s="554"/>
      <c r="JCR10" s="554"/>
      <c r="JCS10" s="554"/>
      <c r="JCT10" s="554"/>
      <c r="JCU10" s="554"/>
      <c r="JCV10" s="554"/>
      <c r="JCW10" s="554"/>
      <c r="JCX10" s="554"/>
      <c r="JCY10" s="554"/>
      <c r="JCZ10" s="554"/>
      <c r="JDA10" s="554"/>
      <c r="JDB10" s="554"/>
      <c r="JDC10" s="554"/>
      <c r="JDD10" s="554"/>
      <c r="JDE10" s="554"/>
      <c r="JDF10" s="554"/>
      <c r="JDG10" s="554"/>
      <c r="JDH10" s="554"/>
      <c r="JDI10" s="554"/>
      <c r="JDJ10" s="554"/>
      <c r="JDK10" s="554"/>
      <c r="JDL10" s="554"/>
      <c r="JDM10" s="554"/>
      <c r="JDN10" s="554"/>
      <c r="JDO10" s="554"/>
      <c r="JDP10" s="554"/>
      <c r="JDQ10" s="554"/>
      <c r="JDR10" s="554"/>
      <c r="JDS10" s="554"/>
      <c r="JDT10" s="554"/>
      <c r="JDU10" s="554"/>
      <c r="JDV10" s="554"/>
      <c r="JDW10" s="554"/>
      <c r="JDX10" s="554"/>
      <c r="JDY10" s="554"/>
      <c r="JDZ10" s="554"/>
      <c r="JEA10" s="554"/>
      <c r="JEB10" s="554"/>
      <c r="JEC10" s="554"/>
      <c r="JED10" s="554"/>
      <c r="JEE10" s="554"/>
      <c r="JEF10" s="554"/>
      <c r="JEG10" s="554"/>
      <c r="JEH10" s="554"/>
      <c r="JEI10" s="554"/>
      <c r="JEJ10" s="554"/>
      <c r="JEK10" s="554"/>
      <c r="JEL10" s="554"/>
      <c r="JEM10" s="554"/>
      <c r="JEN10" s="554"/>
      <c r="JEO10" s="554"/>
      <c r="JEP10" s="554"/>
      <c r="JEQ10" s="554"/>
      <c r="JER10" s="554"/>
      <c r="JES10" s="554"/>
      <c r="JET10" s="554"/>
      <c r="JEU10" s="554"/>
      <c r="JEV10" s="554"/>
      <c r="JEW10" s="554"/>
      <c r="JEX10" s="554"/>
      <c r="JEY10" s="554"/>
      <c r="JEZ10" s="554"/>
      <c r="JFA10" s="554"/>
      <c r="JFB10" s="554"/>
      <c r="JFC10" s="554"/>
      <c r="JFD10" s="554"/>
      <c r="JFE10" s="554"/>
      <c r="JFF10" s="554"/>
      <c r="JFG10" s="554"/>
      <c r="JFH10" s="554"/>
      <c r="JFI10" s="554"/>
      <c r="JFJ10" s="554"/>
      <c r="JFK10" s="554"/>
      <c r="JFL10" s="554"/>
      <c r="JFM10" s="554"/>
      <c r="JFN10" s="554"/>
      <c r="JFO10" s="554"/>
      <c r="JFP10" s="554"/>
      <c r="JFQ10" s="554"/>
      <c r="JFR10" s="554"/>
      <c r="JFS10" s="554"/>
      <c r="JFT10" s="554"/>
      <c r="JFU10" s="554"/>
      <c r="JFV10" s="554"/>
      <c r="JFW10" s="554"/>
      <c r="JFX10" s="554"/>
      <c r="JFY10" s="554"/>
      <c r="JFZ10" s="554"/>
      <c r="JGA10" s="554"/>
      <c r="JGB10" s="554"/>
      <c r="JGC10" s="554"/>
      <c r="JGD10" s="554"/>
      <c r="JGE10" s="554"/>
      <c r="JGF10" s="554"/>
      <c r="JGG10" s="554"/>
      <c r="JGH10" s="554"/>
      <c r="JGI10" s="554"/>
      <c r="JGJ10" s="554"/>
      <c r="JGK10" s="554"/>
      <c r="JGL10" s="554"/>
      <c r="JGM10" s="554"/>
      <c r="JGN10" s="554"/>
      <c r="JGO10" s="554"/>
      <c r="JGP10" s="554"/>
      <c r="JGQ10" s="554"/>
      <c r="JGR10" s="554"/>
      <c r="JGS10" s="554"/>
      <c r="JGT10" s="554"/>
      <c r="JGU10" s="554"/>
      <c r="JGV10" s="554"/>
      <c r="JGW10" s="554"/>
      <c r="JGX10" s="554"/>
      <c r="JGY10" s="554"/>
      <c r="JGZ10" s="554"/>
      <c r="JHA10" s="554"/>
      <c r="JHB10" s="554"/>
      <c r="JHC10" s="554"/>
      <c r="JHD10" s="554"/>
      <c r="JHE10" s="554"/>
      <c r="JHF10" s="554"/>
      <c r="JHG10" s="554"/>
      <c r="JHH10" s="554"/>
      <c r="JHI10" s="554"/>
      <c r="JHJ10" s="554"/>
      <c r="JHK10" s="554"/>
      <c r="JHL10" s="554"/>
      <c r="JHM10" s="554"/>
      <c r="JHN10" s="554"/>
      <c r="JHO10" s="554"/>
      <c r="JHP10" s="554"/>
      <c r="JHQ10" s="554"/>
      <c r="JHR10" s="554"/>
      <c r="JHS10" s="554"/>
      <c r="JHT10" s="554"/>
      <c r="JHU10" s="554"/>
      <c r="JHV10" s="554"/>
      <c r="JHW10" s="554"/>
      <c r="JHX10" s="554"/>
      <c r="JHY10" s="554"/>
      <c r="JHZ10" s="554"/>
      <c r="JIA10" s="554"/>
      <c r="JIB10" s="554"/>
      <c r="JIC10" s="554"/>
      <c r="JID10" s="554"/>
      <c r="JIE10" s="554"/>
      <c r="JIF10" s="554"/>
      <c r="JIG10" s="554"/>
      <c r="JIH10" s="554"/>
      <c r="JII10" s="554"/>
      <c r="JIJ10" s="554"/>
      <c r="JIK10" s="554"/>
      <c r="JIL10" s="554"/>
      <c r="JIM10" s="554"/>
      <c r="JIN10" s="554"/>
      <c r="JIO10" s="554"/>
      <c r="JIP10" s="554"/>
      <c r="JIQ10" s="554"/>
      <c r="JIR10" s="554"/>
      <c r="JIS10" s="554"/>
      <c r="JIT10" s="554"/>
      <c r="JIU10" s="554"/>
      <c r="JIV10" s="554"/>
      <c r="JIW10" s="554"/>
      <c r="JIX10" s="554"/>
      <c r="JIY10" s="554"/>
      <c r="JIZ10" s="554"/>
      <c r="JJA10" s="554"/>
      <c r="JJB10" s="554"/>
      <c r="JJC10" s="554"/>
      <c r="JJD10" s="554"/>
      <c r="JJE10" s="554"/>
      <c r="JJF10" s="554"/>
      <c r="JJG10" s="554"/>
      <c r="JJH10" s="554"/>
      <c r="JJI10" s="554"/>
      <c r="JJJ10" s="554"/>
      <c r="JJK10" s="554"/>
      <c r="JJL10" s="554"/>
      <c r="JJM10" s="554"/>
      <c r="JJN10" s="554"/>
      <c r="JJO10" s="554"/>
      <c r="JJP10" s="554"/>
      <c r="JJQ10" s="554"/>
      <c r="JJR10" s="554"/>
      <c r="JJS10" s="554"/>
      <c r="JJT10" s="554"/>
      <c r="JJU10" s="554"/>
      <c r="JJV10" s="554"/>
      <c r="JJW10" s="554"/>
      <c r="JJX10" s="554"/>
      <c r="JJY10" s="554"/>
      <c r="JJZ10" s="554"/>
      <c r="JKA10" s="554"/>
      <c r="JKB10" s="554"/>
      <c r="JKC10" s="554"/>
      <c r="JKD10" s="554"/>
      <c r="JKE10" s="554"/>
      <c r="JKF10" s="554"/>
      <c r="JKG10" s="554"/>
      <c r="JKH10" s="554"/>
      <c r="JKI10" s="554"/>
      <c r="JKJ10" s="554"/>
      <c r="JKK10" s="554"/>
      <c r="JKL10" s="554"/>
      <c r="JKM10" s="554"/>
      <c r="JKN10" s="554"/>
      <c r="JKO10" s="554"/>
      <c r="JKP10" s="554"/>
      <c r="JKQ10" s="554"/>
      <c r="JKR10" s="554"/>
      <c r="JKS10" s="554"/>
      <c r="JKT10" s="554"/>
      <c r="JKU10" s="554"/>
      <c r="JKV10" s="554"/>
      <c r="JKW10" s="554"/>
      <c r="JKX10" s="554"/>
      <c r="JKY10" s="554"/>
      <c r="JKZ10" s="554"/>
      <c r="JLA10" s="554"/>
      <c r="JLB10" s="554"/>
      <c r="JLC10" s="554"/>
      <c r="JLD10" s="554"/>
      <c r="JLE10" s="554"/>
      <c r="JLF10" s="554"/>
      <c r="JLG10" s="554"/>
      <c r="JLH10" s="554"/>
      <c r="JLI10" s="554"/>
      <c r="JLJ10" s="554"/>
      <c r="JLK10" s="554"/>
      <c r="JLL10" s="554"/>
      <c r="JLM10" s="554"/>
      <c r="JLN10" s="554"/>
      <c r="JLO10" s="554"/>
      <c r="JLP10" s="554"/>
      <c r="JLQ10" s="554"/>
      <c r="JLR10" s="554"/>
      <c r="JLS10" s="554"/>
      <c r="JLT10" s="554"/>
      <c r="JLU10" s="554"/>
      <c r="JLV10" s="554"/>
      <c r="JLW10" s="554"/>
      <c r="JLX10" s="554"/>
      <c r="JLY10" s="554"/>
      <c r="JLZ10" s="554"/>
      <c r="JMA10" s="554"/>
      <c r="JMB10" s="554"/>
      <c r="JMC10" s="554"/>
      <c r="JMD10" s="554"/>
      <c r="JME10" s="554"/>
      <c r="JMF10" s="554"/>
      <c r="JMG10" s="554"/>
      <c r="JMH10" s="554"/>
      <c r="JMI10" s="554"/>
      <c r="JMJ10" s="554"/>
      <c r="JMK10" s="554"/>
      <c r="JML10" s="554"/>
      <c r="JMM10" s="554"/>
      <c r="JMN10" s="554"/>
      <c r="JMO10" s="554"/>
      <c r="JMP10" s="554"/>
      <c r="JMQ10" s="554"/>
      <c r="JMR10" s="554"/>
      <c r="JMS10" s="554"/>
      <c r="JMT10" s="554"/>
      <c r="JMU10" s="554"/>
      <c r="JMV10" s="554"/>
      <c r="JMW10" s="554"/>
      <c r="JMX10" s="554"/>
      <c r="JMY10" s="554"/>
      <c r="JMZ10" s="554"/>
      <c r="JNA10" s="554"/>
      <c r="JNB10" s="554"/>
      <c r="JNC10" s="554"/>
      <c r="JND10" s="554"/>
      <c r="JNE10" s="554"/>
      <c r="JNF10" s="554"/>
      <c r="JNG10" s="554"/>
      <c r="JNH10" s="554"/>
      <c r="JNI10" s="554"/>
      <c r="JNJ10" s="554"/>
      <c r="JNK10" s="554"/>
      <c r="JNL10" s="554"/>
      <c r="JNM10" s="554"/>
      <c r="JNN10" s="554"/>
      <c r="JNO10" s="554"/>
      <c r="JNP10" s="554"/>
      <c r="JNQ10" s="554"/>
      <c r="JNR10" s="554"/>
      <c r="JNS10" s="554"/>
      <c r="JNT10" s="554"/>
      <c r="JNU10" s="554"/>
      <c r="JNV10" s="554"/>
      <c r="JNW10" s="554"/>
      <c r="JNX10" s="554"/>
      <c r="JNY10" s="554"/>
      <c r="JNZ10" s="554"/>
      <c r="JOA10" s="554"/>
      <c r="JOB10" s="554"/>
      <c r="JOC10" s="554"/>
      <c r="JOD10" s="554"/>
      <c r="JOE10" s="554"/>
      <c r="JOF10" s="554"/>
      <c r="JOG10" s="554"/>
      <c r="JOH10" s="554"/>
      <c r="JOI10" s="554"/>
      <c r="JOJ10" s="554"/>
      <c r="JOK10" s="554"/>
      <c r="JOL10" s="554"/>
      <c r="JOM10" s="554"/>
      <c r="JON10" s="554"/>
      <c r="JOO10" s="554"/>
      <c r="JOP10" s="554"/>
      <c r="JOQ10" s="554"/>
      <c r="JOR10" s="554"/>
      <c r="JOS10" s="554"/>
      <c r="JOT10" s="554"/>
      <c r="JOU10" s="554"/>
      <c r="JOV10" s="554"/>
      <c r="JOW10" s="554"/>
      <c r="JOX10" s="554"/>
      <c r="JOY10" s="554"/>
      <c r="JOZ10" s="554"/>
      <c r="JPA10" s="554"/>
      <c r="JPB10" s="554"/>
      <c r="JPC10" s="554"/>
      <c r="JPD10" s="554"/>
      <c r="JPE10" s="554"/>
      <c r="JPF10" s="554"/>
      <c r="JPG10" s="554"/>
      <c r="JPH10" s="554"/>
      <c r="JPI10" s="554"/>
      <c r="JPJ10" s="554"/>
      <c r="JPK10" s="554"/>
      <c r="JPL10" s="554"/>
      <c r="JPM10" s="554"/>
      <c r="JPN10" s="554"/>
      <c r="JPO10" s="554"/>
      <c r="JPP10" s="554"/>
      <c r="JPQ10" s="554"/>
      <c r="JPR10" s="554"/>
      <c r="JPS10" s="554"/>
      <c r="JPT10" s="554"/>
      <c r="JPU10" s="554"/>
      <c r="JPV10" s="554"/>
      <c r="JPW10" s="554"/>
      <c r="JPX10" s="554"/>
      <c r="JPY10" s="554"/>
      <c r="JPZ10" s="554"/>
      <c r="JQA10" s="554"/>
      <c r="JQB10" s="554"/>
      <c r="JQC10" s="554"/>
      <c r="JQD10" s="554"/>
      <c r="JQE10" s="554"/>
      <c r="JQF10" s="554"/>
      <c r="JQG10" s="554"/>
      <c r="JQH10" s="554"/>
      <c r="JQI10" s="554"/>
      <c r="JQJ10" s="554"/>
      <c r="JQK10" s="554"/>
      <c r="JQL10" s="554"/>
      <c r="JQM10" s="554"/>
      <c r="JQN10" s="554"/>
      <c r="JQO10" s="554"/>
      <c r="JQP10" s="554"/>
      <c r="JQQ10" s="554"/>
      <c r="JQR10" s="554"/>
      <c r="JQS10" s="554"/>
      <c r="JQT10" s="554"/>
      <c r="JQU10" s="554"/>
      <c r="JQV10" s="554"/>
      <c r="JQW10" s="554"/>
      <c r="JQX10" s="554"/>
      <c r="JQY10" s="554"/>
      <c r="JQZ10" s="554"/>
      <c r="JRA10" s="554"/>
      <c r="JRB10" s="554"/>
      <c r="JRC10" s="554"/>
      <c r="JRD10" s="554"/>
      <c r="JRE10" s="554"/>
      <c r="JRF10" s="554"/>
      <c r="JRG10" s="554"/>
      <c r="JRH10" s="554"/>
      <c r="JRI10" s="554"/>
      <c r="JRJ10" s="554"/>
      <c r="JRK10" s="554"/>
      <c r="JRL10" s="554"/>
      <c r="JRM10" s="554"/>
      <c r="JRN10" s="554"/>
      <c r="JRO10" s="554"/>
      <c r="JRP10" s="554"/>
      <c r="JRQ10" s="554"/>
      <c r="JRR10" s="554"/>
      <c r="JRS10" s="554"/>
      <c r="JRT10" s="554"/>
      <c r="JRU10" s="554"/>
      <c r="JRV10" s="554"/>
      <c r="JRW10" s="554"/>
      <c r="JRX10" s="554"/>
      <c r="JRY10" s="554"/>
      <c r="JRZ10" s="554"/>
      <c r="JSA10" s="554"/>
      <c r="JSB10" s="554"/>
      <c r="JSC10" s="554"/>
      <c r="JSD10" s="554"/>
      <c r="JSE10" s="554"/>
      <c r="JSF10" s="554"/>
      <c r="JSG10" s="554"/>
      <c r="JSH10" s="554"/>
      <c r="JSI10" s="554"/>
      <c r="JSJ10" s="554"/>
      <c r="JSK10" s="554"/>
      <c r="JSL10" s="554"/>
      <c r="JSM10" s="554"/>
      <c r="JSN10" s="554"/>
      <c r="JSO10" s="554"/>
      <c r="JSP10" s="554"/>
      <c r="JSQ10" s="554"/>
      <c r="JSR10" s="554"/>
      <c r="JSS10" s="554"/>
      <c r="JST10" s="554"/>
      <c r="JSU10" s="554"/>
      <c r="JSV10" s="554"/>
      <c r="JSW10" s="554"/>
      <c r="JSX10" s="554"/>
      <c r="JSY10" s="554"/>
      <c r="JSZ10" s="554"/>
      <c r="JTA10" s="554"/>
      <c r="JTB10" s="554"/>
      <c r="JTC10" s="554"/>
      <c r="JTD10" s="554"/>
      <c r="JTE10" s="554"/>
      <c r="JTF10" s="554"/>
      <c r="JTG10" s="554"/>
      <c r="JTH10" s="554"/>
      <c r="JTI10" s="554"/>
      <c r="JTJ10" s="554"/>
      <c r="JTK10" s="554"/>
      <c r="JTL10" s="554"/>
      <c r="JTM10" s="554"/>
      <c r="JTN10" s="554"/>
      <c r="JTO10" s="554"/>
      <c r="JTP10" s="554"/>
      <c r="JTQ10" s="554"/>
      <c r="JTR10" s="554"/>
      <c r="JTS10" s="554"/>
      <c r="JTT10" s="554"/>
      <c r="JTU10" s="554"/>
      <c r="JTV10" s="554"/>
      <c r="JTW10" s="554"/>
      <c r="JTX10" s="554"/>
      <c r="JTY10" s="554"/>
      <c r="JTZ10" s="554"/>
      <c r="JUA10" s="554"/>
      <c r="JUB10" s="554"/>
      <c r="JUC10" s="554"/>
      <c r="JUD10" s="554"/>
      <c r="JUE10" s="554"/>
      <c r="JUF10" s="554"/>
      <c r="JUG10" s="554"/>
      <c r="JUH10" s="554"/>
      <c r="JUI10" s="554"/>
      <c r="JUJ10" s="554"/>
      <c r="JUK10" s="554"/>
      <c r="JUL10" s="554"/>
      <c r="JUM10" s="554"/>
      <c r="JUN10" s="554"/>
      <c r="JUO10" s="554"/>
      <c r="JUP10" s="554"/>
      <c r="JUQ10" s="554"/>
      <c r="JUR10" s="554"/>
      <c r="JUS10" s="554"/>
      <c r="JUT10" s="554"/>
      <c r="JUU10" s="554"/>
      <c r="JUV10" s="554"/>
      <c r="JUW10" s="554"/>
      <c r="JUX10" s="554"/>
      <c r="JUY10" s="554"/>
      <c r="JUZ10" s="554"/>
      <c r="JVA10" s="554"/>
      <c r="JVB10" s="554"/>
      <c r="JVC10" s="554"/>
      <c r="JVD10" s="554"/>
      <c r="JVE10" s="554"/>
      <c r="JVF10" s="554"/>
      <c r="JVG10" s="554"/>
      <c r="JVH10" s="554"/>
      <c r="JVI10" s="554"/>
      <c r="JVJ10" s="554"/>
      <c r="JVK10" s="554"/>
      <c r="JVL10" s="554"/>
      <c r="JVM10" s="554"/>
      <c r="JVN10" s="554"/>
      <c r="JVO10" s="554"/>
      <c r="JVP10" s="554"/>
      <c r="JVQ10" s="554"/>
      <c r="JVR10" s="554"/>
      <c r="JVS10" s="554"/>
      <c r="JVT10" s="554"/>
      <c r="JVU10" s="554"/>
      <c r="JVV10" s="554"/>
      <c r="JVW10" s="554"/>
      <c r="JVX10" s="554"/>
      <c r="JVY10" s="554"/>
      <c r="JVZ10" s="554"/>
      <c r="JWA10" s="554"/>
      <c r="JWB10" s="554"/>
      <c r="JWC10" s="554"/>
      <c r="JWD10" s="554"/>
      <c r="JWE10" s="554"/>
      <c r="JWF10" s="554"/>
      <c r="JWG10" s="554"/>
      <c r="JWH10" s="554"/>
      <c r="JWI10" s="554"/>
      <c r="JWJ10" s="554"/>
      <c r="JWK10" s="554"/>
      <c r="JWL10" s="554"/>
      <c r="JWM10" s="554"/>
      <c r="JWN10" s="554"/>
      <c r="JWO10" s="554"/>
      <c r="JWP10" s="554"/>
      <c r="JWQ10" s="554"/>
      <c r="JWR10" s="554"/>
      <c r="JWS10" s="554"/>
      <c r="JWT10" s="554"/>
      <c r="JWU10" s="554"/>
      <c r="JWV10" s="554"/>
      <c r="JWW10" s="554"/>
      <c r="JWX10" s="554"/>
      <c r="JWY10" s="554"/>
      <c r="JWZ10" s="554"/>
      <c r="JXA10" s="554"/>
      <c r="JXB10" s="554"/>
      <c r="JXC10" s="554"/>
      <c r="JXD10" s="554"/>
      <c r="JXE10" s="554"/>
      <c r="JXF10" s="554"/>
      <c r="JXG10" s="554"/>
      <c r="JXH10" s="554"/>
      <c r="JXI10" s="554"/>
      <c r="JXJ10" s="554"/>
      <c r="JXK10" s="554"/>
      <c r="JXL10" s="554"/>
      <c r="JXM10" s="554"/>
      <c r="JXN10" s="554"/>
      <c r="JXO10" s="554"/>
      <c r="JXP10" s="554"/>
      <c r="JXQ10" s="554"/>
      <c r="JXR10" s="554"/>
      <c r="JXS10" s="554"/>
      <c r="JXT10" s="554"/>
      <c r="JXU10" s="554"/>
      <c r="JXV10" s="554"/>
      <c r="JXW10" s="554"/>
      <c r="JXX10" s="554"/>
      <c r="JXY10" s="554"/>
      <c r="JXZ10" s="554"/>
      <c r="JYA10" s="554"/>
      <c r="JYB10" s="554"/>
      <c r="JYC10" s="554"/>
      <c r="JYD10" s="554"/>
      <c r="JYE10" s="554"/>
      <c r="JYF10" s="554"/>
      <c r="JYG10" s="554"/>
      <c r="JYH10" s="554"/>
      <c r="JYI10" s="554"/>
      <c r="JYJ10" s="554"/>
      <c r="JYK10" s="554"/>
      <c r="JYL10" s="554"/>
      <c r="JYM10" s="554"/>
      <c r="JYN10" s="554"/>
      <c r="JYO10" s="554"/>
      <c r="JYP10" s="554"/>
      <c r="JYQ10" s="554"/>
      <c r="JYR10" s="554"/>
      <c r="JYS10" s="554"/>
      <c r="JYT10" s="554"/>
      <c r="JYU10" s="554"/>
      <c r="JYV10" s="554"/>
      <c r="JYW10" s="554"/>
      <c r="JYX10" s="554"/>
      <c r="JYY10" s="554"/>
      <c r="JYZ10" s="554"/>
      <c r="JZA10" s="554"/>
      <c r="JZB10" s="554"/>
      <c r="JZC10" s="554"/>
      <c r="JZD10" s="554"/>
      <c r="JZE10" s="554"/>
      <c r="JZF10" s="554"/>
      <c r="JZG10" s="554"/>
      <c r="JZH10" s="554"/>
      <c r="JZI10" s="554"/>
      <c r="JZJ10" s="554"/>
      <c r="JZK10" s="554"/>
      <c r="JZL10" s="554"/>
      <c r="JZM10" s="554"/>
      <c r="JZN10" s="554"/>
      <c r="JZO10" s="554"/>
      <c r="JZP10" s="554"/>
      <c r="JZQ10" s="554"/>
      <c r="JZR10" s="554"/>
      <c r="JZS10" s="554"/>
      <c r="JZT10" s="554"/>
      <c r="JZU10" s="554"/>
      <c r="JZV10" s="554"/>
      <c r="JZW10" s="554"/>
      <c r="JZX10" s="554"/>
      <c r="JZY10" s="554"/>
      <c r="JZZ10" s="554"/>
      <c r="KAA10" s="554"/>
      <c r="KAB10" s="554"/>
      <c r="KAC10" s="554"/>
      <c r="KAD10" s="554"/>
      <c r="KAE10" s="554"/>
      <c r="KAF10" s="554"/>
      <c r="KAG10" s="554"/>
      <c r="KAH10" s="554"/>
      <c r="KAI10" s="554"/>
      <c r="KAJ10" s="554"/>
      <c r="KAK10" s="554"/>
      <c r="KAL10" s="554"/>
      <c r="KAM10" s="554"/>
      <c r="KAN10" s="554"/>
      <c r="KAO10" s="554"/>
      <c r="KAP10" s="554"/>
      <c r="KAQ10" s="554"/>
      <c r="KAR10" s="554"/>
      <c r="KAS10" s="554"/>
      <c r="KAT10" s="554"/>
      <c r="KAU10" s="554"/>
      <c r="KAV10" s="554"/>
      <c r="KAW10" s="554"/>
      <c r="KAX10" s="554"/>
      <c r="KAY10" s="554"/>
      <c r="KAZ10" s="554"/>
      <c r="KBA10" s="554"/>
      <c r="KBB10" s="554"/>
      <c r="KBC10" s="554"/>
      <c r="KBD10" s="554"/>
      <c r="KBE10" s="554"/>
      <c r="KBF10" s="554"/>
      <c r="KBG10" s="554"/>
      <c r="KBH10" s="554"/>
      <c r="KBI10" s="554"/>
      <c r="KBJ10" s="554"/>
      <c r="KBK10" s="554"/>
      <c r="KBL10" s="554"/>
      <c r="KBM10" s="554"/>
      <c r="KBN10" s="554"/>
      <c r="KBO10" s="554"/>
      <c r="KBP10" s="554"/>
      <c r="KBQ10" s="554"/>
      <c r="KBR10" s="554"/>
      <c r="KBS10" s="554"/>
      <c r="KBT10" s="554"/>
      <c r="KBU10" s="554"/>
      <c r="KBV10" s="554"/>
      <c r="KBW10" s="554"/>
      <c r="KBX10" s="554"/>
      <c r="KBY10" s="554"/>
      <c r="KBZ10" s="554"/>
      <c r="KCA10" s="554"/>
      <c r="KCB10" s="554"/>
      <c r="KCC10" s="554"/>
      <c r="KCD10" s="554"/>
      <c r="KCE10" s="554"/>
      <c r="KCF10" s="554"/>
      <c r="KCG10" s="554"/>
      <c r="KCH10" s="554"/>
      <c r="KCI10" s="554"/>
      <c r="KCJ10" s="554"/>
      <c r="KCK10" s="554"/>
      <c r="KCL10" s="554"/>
      <c r="KCM10" s="554"/>
      <c r="KCN10" s="554"/>
      <c r="KCO10" s="554"/>
      <c r="KCP10" s="554"/>
      <c r="KCQ10" s="554"/>
      <c r="KCR10" s="554"/>
      <c r="KCS10" s="554"/>
      <c r="KCT10" s="554"/>
      <c r="KCU10" s="554"/>
      <c r="KCV10" s="554"/>
      <c r="KCW10" s="554"/>
      <c r="KCX10" s="554"/>
      <c r="KCY10" s="554"/>
      <c r="KCZ10" s="554"/>
      <c r="KDA10" s="554"/>
      <c r="KDB10" s="554"/>
      <c r="KDC10" s="554"/>
      <c r="KDD10" s="554"/>
      <c r="KDE10" s="554"/>
      <c r="KDF10" s="554"/>
      <c r="KDG10" s="554"/>
      <c r="KDH10" s="554"/>
      <c r="KDI10" s="554"/>
      <c r="KDJ10" s="554"/>
      <c r="KDK10" s="554"/>
      <c r="KDL10" s="554"/>
      <c r="KDM10" s="554"/>
      <c r="KDN10" s="554"/>
      <c r="KDO10" s="554"/>
      <c r="KDP10" s="554"/>
      <c r="KDQ10" s="554"/>
      <c r="KDR10" s="554"/>
      <c r="KDS10" s="554"/>
      <c r="KDT10" s="554"/>
      <c r="KDU10" s="554"/>
      <c r="KDV10" s="554"/>
      <c r="KDW10" s="554"/>
      <c r="KDX10" s="554"/>
      <c r="KDY10" s="554"/>
      <c r="KDZ10" s="554"/>
      <c r="KEA10" s="554"/>
      <c r="KEB10" s="554"/>
      <c r="KEC10" s="554"/>
      <c r="KED10" s="554"/>
      <c r="KEE10" s="554"/>
      <c r="KEF10" s="554"/>
      <c r="KEG10" s="554"/>
      <c r="KEH10" s="554"/>
      <c r="KEI10" s="554"/>
      <c r="KEJ10" s="554"/>
      <c r="KEK10" s="554"/>
      <c r="KEL10" s="554"/>
      <c r="KEM10" s="554"/>
      <c r="KEN10" s="554"/>
      <c r="KEO10" s="554"/>
      <c r="KEP10" s="554"/>
      <c r="KEQ10" s="554"/>
      <c r="KER10" s="554"/>
      <c r="KES10" s="554"/>
      <c r="KET10" s="554"/>
      <c r="KEU10" s="554"/>
      <c r="KEV10" s="554"/>
      <c r="KEW10" s="554"/>
      <c r="KEX10" s="554"/>
      <c r="KEY10" s="554"/>
      <c r="KEZ10" s="554"/>
      <c r="KFA10" s="554"/>
      <c r="KFB10" s="554"/>
      <c r="KFC10" s="554"/>
      <c r="KFD10" s="554"/>
      <c r="KFE10" s="554"/>
      <c r="KFF10" s="554"/>
      <c r="KFG10" s="554"/>
      <c r="KFH10" s="554"/>
      <c r="KFI10" s="554"/>
      <c r="KFJ10" s="554"/>
      <c r="KFK10" s="554"/>
      <c r="KFL10" s="554"/>
      <c r="KFM10" s="554"/>
      <c r="KFN10" s="554"/>
      <c r="KFO10" s="554"/>
      <c r="KFP10" s="554"/>
      <c r="KFQ10" s="554"/>
      <c r="KFR10" s="554"/>
      <c r="KFS10" s="554"/>
      <c r="KFT10" s="554"/>
      <c r="KFU10" s="554"/>
      <c r="KFV10" s="554"/>
      <c r="KFW10" s="554"/>
      <c r="KFX10" s="554"/>
      <c r="KFY10" s="554"/>
      <c r="KFZ10" s="554"/>
      <c r="KGA10" s="554"/>
      <c r="KGB10" s="554"/>
      <c r="KGC10" s="554"/>
      <c r="KGD10" s="554"/>
      <c r="KGE10" s="554"/>
      <c r="KGF10" s="554"/>
      <c r="KGG10" s="554"/>
      <c r="KGH10" s="554"/>
      <c r="KGI10" s="554"/>
      <c r="KGJ10" s="554"/>
      <c r="KGK10" s="554"/>
      <c r="KGL10" s="554"/>
      <c r="KGM10" s="554"/>
      <c r="KGN10" s="554"/>
      <c r="KGO10" s="554"/>
      <c r="KGP10" s="554"/>
      <c r="KGQ10" s="554"/>
      <c r="KGR10" s="554"/>
      <c r="KGS10" s="554"/>
      <c r="KGT10" s="554"/>
      <c r="KGU10" s="554"/>
      <c r="KGV10" s="554"/>
      <c r="KGW10" s="554"/>
      <c r="KGX10" s="554"/>
      <c r="KGY10" s="554"/>
      <c r="KGZ10" s="554"/>
      <c r="KHA10" s="554"/>
      <c r="KHB10" s="554"/>
      <c r="KHC10" s="554"/>
      <c r="KHD10" s="554"/>
      <c r="KHE10" s="554"/>
      <c r="KHF10" s="554"/>
      <c r="KHG10" s="554"/>
      <c r="KHH10" s="554"/>
      <c r="KHI10" s="554"/>
      <c r="KHJ10" s="554"/>
      <c r="KHK10" s="554"/>
      <c r="KHL10" s="554"/>
      <c r="KHM10" s="554"/>
      <c r="KHN10" s="554"/>
      <c r="KHO10" s="554"/>
      <c r="KHP10" s="554"/>
      <c r="KHQ10" s="554"/>
      <c r="KHR10" s="554"/>
      <c r="KHS10" s="554"/>
      <c r="KHT10" s="554"/>
      <c r="KHU10" s="554"/>
      <c r="KHV10" s="554"/>
      <c r="KHW10" s="554"/>
      <c r="KHX10" s="554"/>
      <c r="KHY10" s="554"/>
      <c r="KHZ10" s="554"/>
      <c r="KIA10" s="554"/>
      <c r="KIB10" s="554"/>
      <c r="KIC10" s="554"/>
      <c r="KID10" s="554"/>
      <c r="KIE10" s="554"/>
      <c r="KIF10" s="554"/>
      <c r="KIG10" s="554"/>
      <c r="KIH10" s="554"/>
      <c r="KII10" s="554"/>
      <c r="KIJ10" s="554"/>
      <c r="KIK10" s="554"/>
      <c r="KIL10" s="554"/>
      <c r="KIM10" s="554"/>
      <c r="KIN10" s="554"/>
      <c r="KIO10" s="554"/>
      <c r="KIP10" s="554"/>
      <c r="KIQ10" s="554"/>
      <c r="KIR10" s="554"/>
      <c r="KIS10" s="554"/>
      <c r="KIT10" s="554"/>
      <c r="KIU10" s="554"/>
      <c r="KIV10" s="554"/>
      <c r="KIW10" s="554"/>
      <c r="KIX10" s="554"/>
      <c r="KIY10" s="554"/>
      <c r="KIZ10" s="554"/>
      <c r="KJA10" s="554"/>
      <c r="KJB10" s="554"/>
      <c r="KJC10" s="554"/>
      <c r="KJD10" s="554"/>
      <c r="KJE10" s="554"/>
      <c r="KJF10" s="554"/>
      <c r="KJG10" s="554"/>
      <c r="KJH10" s="554"/>
      <c r="KJI10" s="554"/>
      <c r="KJJ10" s="554"/>
      <c r="KJK10" s="554"/>
      <c r="KJL10" s="554"/>
      <c r="KJM10" s="554"/>
      <c r="KJN10" s="554"/>
      <c r="KJO10" s="554"/>
      <c r="KJP10" s="554"/>
      <c r="KJQ10" s="554"/>
      <c r="KJR10" s="554"/>
      <c r="KJS10" s="554"/>
      <c r="KJT10" s="554"/>
      <c r="KJU10" s="554"/>
      <c r="KJV10" s="554"/>
      <c r="KJW10" s="554"/>
      <c r="KJX10" s="554"/>
      <c r="KJY10" s="554"/>
      <c r="KJZ10" s="554"/>
      <c r="KKA10" s="554"/>
      <c r="KKB10" s="554"/>
      <c r="KKC10" s="554"/>
      <c r="KKD10" s="554"/>
      <c r="KKE10" s="554"/>
      <c r="KKF10" s="554"/>
      <c r="KKG10" s="554"/>
      <c r="KKH10" s="554"/>
      <c r="KKI10" s="554"/>
      <c r="KKJ10" s="554"/>
      <c r="KKK10" s="554"/>
      <c r="KKL10" s="554"/>
      <c r="KKM10" s="554"/>
      <c r="KKN10" s="554"/>
      <c r="KKO10" s="554"/>
      <c r="KKP10" s="554"/>
      <c r="KKQ10" s="554"/>
      <c r="KKR10" s="554"/>
      <c r="KKS10" s="554"/>
      <c r="KKT10" s="554"/>
      <c r="KKU10" s="554"/>
      <c r="KKV10" s="554"/>
      <c r="KKW10" s="554"/>
      <c r="KKX10" s="554"/>
      <c r="KKY10" s="554"/>
      <c r="KKZ10" s="554"/>
      <c r="KLA10" s="554"/>
      <c r="KLB10" s="554"/>
      <c r="KLC10" s="554"/>
      <c r="KLD10" s="554"/>
      <c r="KLE10" s="554"/>
      <c r="KLF10" s="554"/>
      <c r="KLG10" s="554"/>
      <c r="KLH10" s="554"/>
      <c r="KLI10" s="554"/>
      <c r="KLJ10" s="554"/>
      <c r="KLK10" s="554"/>
      <c r="KLL10" s="554"/>
      <c r="KLM10" s="554"/>
      <c r="KLN10" s="554"/>
      <c r="KLO10" s="554"/>
      <c r="KLP10" s="554"/>
      <c r="KLQ10" s="554"/>
      <c r="KLR10" s="554"/>
      <c r="KLS10" s="554"/>
      <c r="KLT10" s="554"/>
      <c r="KLU10" s="554"/>
      <c r="KLV10" s="554"/>
      <c r="KLW10" s="554"/>
      <c r="KLX10" s="554"/>
      <c r="KLY10" s="554"/>
      <c r="KLZ10" s="554"/>
      <c r="KMA10" s="554"/>
      <c r="KMB10" s="554"/>
      <c r="KMC10" s="554"/>
      <c r="KMD10" s="554"/>
      <c r="KME10" s="554"/>
      <c r="KMF10" s="554"/>
      <c r="KMG10" s="554"/>
      <c r="KMH10" s="554"/>
      <c r="KMI10" s="554"/>
      <c r="KMJ10" s="554"/>
      <c r="KMK10" s="554"/>
      <c r="KML10" s="554"/>
      <c r="KMM10" s="554"/>
      <c r="KMN10" s="554"/>
      <c r="KMO10" s="554"/>
      <c r="KMP10" s="554"/>
      <c r="KMQ10" s="554"/>
      <c r="KMR10" s="554"/>
      <c r="KMS10" s="554"/>
      <c r="KMT10" s="554"/>
      <c r="KMU10" s="554"/>
      <c r="KMV10" s="554"/>
      <c r="KMW10" s="554"/>
      <c r="KMX10" s="554"/>
      <c r="KMY10" s="554"/>
      <c r="KMZ10" s="554"/>
      <c r="KNA10" s="554"/>
      <c r="KNB10" s="554"/>
      <c r="KNC10" s="554"/>
      <c r="KND10" s="554"/>
      <c r="KNE10" s="554"/>
      <c r="KNF10" s="554"/>
      <c r="KNG10" s="554"/>
      <c r="KNH10" s="554"/>
      <c r="KNI10" s="554"/>
      <c r="KNJ10" s="554"/>
      <c r="KNK10" s="554"/>
      <c r="KNL10" s="554"/>
      <c r="KNM10" s="554"/>
      <c r="KNN10" s="554"/>
      <c r="KNO10" s="554"/>
      <c r="KNP10" s="554"/>
      <c r="KNQ10" s="554"/>
      <c r="KNR10" s="554"/>
      <c r="KNS10" s="554"/>
      <c r="KNT10" s="554"/>
      <c r="KNU10" s="554"/>
      <c r="KNV10" s="554"/>
      <c r="KNW10" s="554"/>
      <c r="KNX10" s="554"/>
      <c r="KNY10" s="554"/>
      <c r="KNZ10" s="554"/>
      <c r="KOA10" s="554"/>
      <c r="KOB10" s="554"/>
      <c r="KOC10" s="554"/>
      <c r="KOD10" s="554"/>
      <c r="KOE10" s="554"/>
      <c r="KOF10" s="554"/>
      <c r="KOG10" s="554"/>
      <c r="KOH10" s="554"/>
      <c r="KOI10" s="554"/>
      <c r="KOJ10" s="554"/>
      <c r="KOK10" s="554"/>
      <c r="KOL10" s="554"/>
      <c r="KOM10" s="554"/>
      <c r="KON10" s="554"/>
      <c r="KOO10" s="554"/>
      <c r="KOP10" s="554"/>
      <c r="KOQ10" s="554"/>
      <c r="KOR10" s="554"/>
      <c r="KOS10" s="554"/>
      <c r="KOT10" s="554"/>
      <c r="KOU10" s="554"/>
      <c r="KOV10" s="554"/>
      <c r="KOW10" s="554"/>
      <c r="KOX10" s="554"/>
      <c r="KOY10" s="554"/>
      <c r="KOZ10" s="554"/>
      <c r="KPA10" s="554"/>
      <c r="KPB10" s="554"/>
      <c r="KPC10" s="554"/>
      <c r="KPD10" s="554"/>
      <c r="KPE10" s="554"/>
      <c r="KPF10" s="554"/>
      <c r="KPG10" s="554"/>
      <c r="KPH10" s="554"/>
      <c r="KPI10" s="554"/>
      <c r="KPJ10" s="554"/>
      <c r="KPK10" s="554"/>
      <c r="KPL10" s="554"/>
      <c r="KPM10" s="554"/>
      <c r="KPN10" s="554"/>
      <c r="KPO10" s="554"/>
      <c r="KPP10" s="554"/>
      <c r="KPQ10" s="554"/>
      <c r="KPR10" s="554"/>
      <c r="KPS10" s="554"/>
      <c r="KPT10" s="554"/>
      <c r="KPU10" s="554"/>
      <c r="KPV10" s="554"/>
      <c r="KPW10" s="554"/>
      <c r="KPX10" s="554"/>
      <c r="KPY10" s="554"/>
      <c r="KPZ10" s="554"/>
      <c r="KQA10" s="554"/>
      <c r="KQB10" s="554"/>
      <c r="KQC10" s="554"/>
      <c r="KQD10" s="554"/>
      <c r="KQE10" s="554"/>
      <c r="KQF10" s="554"/>
      <c r="KQG10" s="554"/>
      <c r="KQH10" s="554"/>
      <c r="KQI10" s="554"/>
      <c r="KQJ10" s="554"/>
      <c r="KQK10" s="554"/>
      <c r="KQL10" s="554"/>
      <c r="KQM10" s="554"/>
      <c r="KQN10" s="554"/>
      <c r="KQO10" s="554"/>
      <c r="KQP10" s="554"/>
      <c r="KQQ10" s="554"/>
      <c r="KQR10" s="554"/>
      <c r="KQS10" s="554"/>
      <c r="KQT10" s="554"/>
      <c r="KQU10" s="554"/>
      <c r="KQV10" s="554"/>
      <c r="KQW10" s="554"/>
      <c r="KQX10" s="554"/>
      <c r="KQY10" s="554"/>
      <c r="KQZ10" s="554"/>
      <c r="KRA10" s="554"/>
      <c r="KRB10" s="554"/>
      <c r="KRC10" s="554"/>
      <c r="KRD10" s="554"/>
      <c r="KRE10" s="554"/>
      <c r="KRF10" s="554"/>
      <c r="KRG10" s="554"/>
      <c r="KRH10" s="554"/>
      <c r="KRI10" s="554"/>
      <c r="KRJ10" s="554"/>
      <c r="KRK10" s="554"/>
      <c r="KRL10" s="554"/>
      <c r="KRM10" s="554"/>
      <c r="KRN10" s="554"/>
      <c r="KRO10" s="554"/>
      <c r="KRP10" s="554"/>
      <c r="KRQ10" s="554"/>
      <c r="KRR10" s="554"/>
      <c r="KRS10" s="554"/>
      <c r="KRT10" s="554"/>
      <c r="KRU10" s="554"/>
      <c r="KRV10" s="554"/>
      <c r="KRW10" s="554"/>
      <c r="KRX10" s="554"/>
      <c r="KRY10" s="554"/>
      <c r="KRZ10" s="554"/>
      <c r="KSA10" s="554"/>
      <c r="KSB10" s="554"/>
      <c r="KSC10" s="554"/>
      <c r="KSD10" s="554"/>
      <c r="KSE10" s="554"/>
      <c r="KSF10" s="554"/>
      <c r="KSG10" s="554"/>
      <c r="KSH10" s="554"/>
      <c r="KSI10" s="554"/>
      <c r="KSJ10" s="554"/>
      <c r="KSK10" s="554"/>
      <c r="KSL10" s="554"/>
      <c r="KSM10" s="554"/>
      <c r="KSN10" s="554"/>
      <c r="KSO10" s="554"/>
      <c r="KSP10" s="554"/>
      <c r="KSQ10" s="554"/>
      <c r="KSR10" s="554"/>
      <c r="KSS10" s="554"/>
      <c r="KST10" s="554"/>
      <c r="KSU10" s="554"/>
      <c r="KSV10" s="554"/>
      <c r="KSW10" s="554"/>
      <c r="KSX10" s="554"/>
      <c r="KSY10" s="554"/>
      <c r="KSZ10" s="554"/>
      <c r="KTA10" s="554"/>
      <c r="KTB10" s="554"/>
      <c r="KTC10" s="554"/>
      <c r="KTD10" s="554"/>
      <c r="KTE10" s="554"/>
      <c r="KTF10" s="554"/>
      <c r="KTG10" s="554"/>
      <c r="KTH10" s="554"/>
      <c r="KTI10" s="554"/>
      <c r="KTJ10" s="554"/>
      <c r="KTK10" s="554"/>
      <c r="KTL10" s="554"/>
      <c r="KTM10" s="554"/>
      <c r="KTN10" s="554"/>
      <c r="KTO10" s="554"/>
      <c r="KTP10" s="554"/>
      <c r="KTQ10" s="554"/>
      <c r="KTR10" s="554"/>
      <c r="KTS10" s="554"/>
      <c r="KTT10" s="554"/>
      <c r="KTU10" s="554"/>
      <c r="KTV10" s="554"/>
      <c r="KTW10" s="554"/>
      <c r="KTX10" s="554"/>
      <c r="KTY10" s="554"/>
      <c r="KTZ10" s="554"/>
      <c r="KUA10" s="554"/>
      <c r="KUB10" s="554"/>
      <c r="KUC10" s="554"/>
      <c r="KUD10" s="554"/>
      <c r="KUE10" s="554"/>
      <c r="KUF10" s="554"/>
      <c r="KUG10" s="554"/>
      <c r="KUH10" s="554"/>
      <c r="KUI10" s="554"/>
      <c r="KUJ10" s="554"/>
      <c r="KUK10" s="554"/>
      <c r="KUL10" s="554"/>
      <c r="KUM10" s="554"/>
      <c r="KUN10" s="554"/>
      <c r="KUO10" s="554"/>
      <c r="KUP10" s="554"/>
      <c r="KUQ10" s="554"/>
      <c r="KUR10" s="554"/>
      <c r="KUS10" s="554"/>
      <c r="KUT10" s="554"/>
      <c r="KUU10" s="554"/>
      <c r="KUV10" s="554"/>
      <c r="KUW10" s="554"/>
      <c r="KUX10" s="554"/>
      <c r="KUY10" s="554"/>
      <c r="KUZ10" s="554"/>
      <c r="KVA10" s="554"/>
      <c r="KVB10" s="554"/>
      <c r="KVC10" s="554"/>
      <c r="KVD10" s="554"/>
      <c r="KVE10" s="554"/>
      <c r="KVF10" s="554"/>
      <c r="KVG10" s="554"/>
      <c r="KVH10" s="554"/>
      <c r="KVI10" s="554"/>
      <c r="KVJ10" s="554"/>
      <c r="KVK10" s="554"/>
      <c r="KVL10" s="554"/>
      <c r="KVM10" s="554"/>
      <c r="KVN10" s="554"/>
      <c r="KVO10" s="554"/>
      <c r="KVP10" s="554"/>
      <c r="KVQ10" s="554"/>
      <c r="KVR10" s="554"/>
      <c r="KVS10" s="554"/>
      <c r="KVT10" s="554"/>
      <c r="KVU10" s="554"/>
      <c r="KVV10" s="554"/>
      <c r="KVW10" s="554"/>
      <c r="KVX10" s="554"/>
      <c r="KVY10" s="554"/>
      <c r="KVZ10" s="554"/>
      <c r="KWA10" s="554"/>
      <c r="KWB10" s="554"/>
      <c r="KWC10" s="554"/>
      <c r="KWD10" s="554"/>
      <c r="KWE10" s="554"/>
      <c r="KWF10" s="554"/>
      <c r="KWG10" s="554"/>
      <c r="KWH10" s="554"/>
      <c r="KWI10" s="554"/>
      <c r="KWJ10" s="554"/>
      <c r="KWK10" s="554"/>
      <c r="KWL10" s="554"/>
      <c r="KWM10" s="554"/>
      <c r="KWN10" s="554"/>
      <c r="KWO10" s="554"/>
      <c r="KWP10" s="554"/>
      <c r="KWQ10" s="554"/>
      <c r="KWR10" s="554"/>
      <c r="KWS10" s="554"/>
      <c r="KWT10" s="554"/>
      <c r="KWU10" s="554"/>
      <c r="KWV10" s="554"/>
      <c r="KWW10" s="554"/>
      <c r="KWX10" s="554"/>
      <c r="KWY10" s="554"/>
      <c r="KWZ10" s="554"/>
      <c r="KXA10" s="554"/>
      <c r="KXB10" s="554"/>
      <c r="KXC10" s="554"/>
      <c r="KXD10" s="554"/>
      <c r="KXE10" s="554"/>
      <c r="KXF10" s="554"/>
      <c r="KXG10" s="554"/>
      <c r="KXH10" s="554"/>
      <c r="KXI10" s="554"/>
      <c r="KXJ10" s="554"/>
      <c r="KXK10" s="554"/>
      <c r="KXL10" s="554"/>
      <c r="KXM10" s="554"/>
      <c r="KXN10" s="554"/>
      <c r="KXO10" s="554"/>
      <c r="KXP10" s="554"/>
      <c r="KXQ10" s="554"/>
      <c r="KXR10" s="554"/>
      <c r="KXS10" s="554"/>
      <c r="KXT10" s="554"/>
      <c r="KXU10" s="554"/>
      <c r="KXV10" s="554"/>
      <c r="KXW10" s="554"/>
      <c r="KXX10" s="554"/>
      <c r="KXY10" s="554"/>
      <c r="KXZ10" s="554"/>
      <c r="KYA10" s="554"/>
      <c r="KYB10" s="554"/>
      <c r="KYC10" s="554"/>
      <c r="KYD10" s="554"/>
      <c r="KYE10" s="554"/>
      <c r="KYF10" s="554"/>
      <c r="KYG10" s="554"/>
      <c r="KYH10" s="554"/>
      <c r="KYI10" s="554"/>
      <c r="KYJ10" s="554"/>
      <c r="KYK10" s="554"/>
      <c r="KYL10" s="554"/>
      <c r="KYM10" s="554"/>
      <c r="KYN10" s="554"/>
      <c r="KYO10" s="554"/>
      <c r="KYP10" s="554"/>
      <c r="KYQ10" s="554"/>
      <c r="KYR10" s="554"/>
      <c r="KYS10" s="554"/>
      <c r="KYT10" s="554"/>
      <c r="KYU10" s="554"/>
      <c r="KYV10" s="554"/>
      <c r="KYW10" s="554"/>
      <c r="KYX10" s="554"/>
      <c r="KYY10" s="554"/>
      <c r="KYZ10" s="554"/>
      <c r="KZA10" s="554"/>
      <c r="KZB10" s="554"/>
      <c r="KZC10" s="554"/>
      <c r="KZD10" s="554"/>
      <c r="KZE10" s="554"/>
      <c r="KZF10" s="554"/>
      <c r="KZG10" s="554"/>
      <c r="KZH10" s="554"/>
      <c r="KZI10" s="554"/>
      <c r="KZJ10" s="554"/>
      <c r="KZK10" s="554"/>
      <c r="KZL10" s="554"/>
      <c r="KZM10" s="554"/>
      <c r="KZN10" s="554"/>
      <c r="KZO10" s="554"/>
      <c r="KZP10" s="554"/>
      <c r="KZQ10" s="554"/>
      <c r="KZR10" s="554"/>
      <c r="KZS10" s="554"/>
      <c r="KZT10" s="554"/>
      <c r="KZU10" s="554"/>
      <c r="KZV10" s="554"/>
      <c r="KZW10" s="554"/>
      <c r="KZX10" s="554"/>
      <c r="KZY10" s="554"/>
      <c r="KZZ10" s="554"/>
      <c r="LAA10" s="554"/>
      <c r="LAB10" s="554"/>
      <c r="LAC10" s="554"/>
      <c r="LAD10" s="554"/>
      <c r="LAE10" s="554"/>
      <c r="LAF10" s="554"/>
      <c r="LAG10" s="554"/>
      <c r="LAH10" s="554"/>
      <c r="LAI10" s="554"/>
      <c r="LAJ10" s="554"/>
      <c r="LAK10" s="554"/>
      <c r="LAL10" s="554"/>
      <c r="LAM10" s="554"/>
      <c r="LAN10" s="554"/>
      <c r="LAO10" s="554"/>
      <c r="LAP10" s="554"/>
      <c r="LAQ10" s="554"/>
      <c r="LAR10" s="554"/>
      <c r="LAS10" s="554"/>
      <c r="LAT10" s="554"/>
      <c r="LAU10" s="554"/>
      <c r="LAV10" s="554"/>
      <c r="LAW10" s="554"/>
      <c r="LAX10" s="554"/>
      <c r="LAY10" s="554"/>
      <c r="LAZ10" s="554"/>
      <c r="LBA10" s="554"/>
      <c r="LBB10" s="554"/>
      <c r="LBC10" s="554"/>
      <c r="LBD10" s="554"/>
      <c r="LBE10" s="554"/>
      <c r="LBF10" s="554"/>
      <c r="LBG10" s="554"/>
      <c r="LBH10" s="554"/>
      <c r="LBI10" s="554"/>
      <c r="LBJ10" s="554"/>
      <c r="LBK10" s="554"/>
      <c r="LBL10" s="554"/>
      <c r="LBM10" s="554"/>
      <c r="LBN10" s="554"/>
      <c r="LBO10" s="554"/>
      <c r="LBP10" s="554"/>
      <c r="LBQ10" s="554"/>
      <c r="LBR10" s="554"/>
      <c r="LBS10" s="554"/>
      <c r="LBT10" s="554"/>
      <c r="LBU10" s="554"/>
      <c r="LBV10" s="554"/>
      <c r="LBW10" s="554"/>
      <c r="LBX10" s="554"/>
      <c r="LBY10" s="554"/>
      <c r="LBZ10" s="554"/>
      <c r="LCA10" s="554"/>
      <c r="LCB10" s="554"/>
      <c r="LCC10" s="554"/>
      <c r="LCD10" s="554"/>
      <c r="LCE10" s="554"/>
      <c r="LCF10" s="554"/>
      <c r="LCG10" s="554"/>
      <c r="LCH10" s="554"/>
      <c r="LCI10" s="554"/>
      <c r="LCJ10" s="554"/>
      <c r="LCK10" s="554"/>
      <c r="LCL10" s="554"/>
      <c r="LCM10" s="554"/>
      <c r="LCN10" s="554"/>
      <c r="LCO10" s="554"/>
      <c r="LCP10" s="554"/>
      <c r="LCQ10" s="554"/>
      <c r="LCR10" s="554"/>
      <c r="LCS10" s="554"/>
      <c r="LCT10" s="554"/>
      <c r="LCU10" s="554"/>
      <c r="LCV10" s="554"/>
      <c r="LCW10" s="554"/>
      <c r="LCX10" s="554"/>
      <c r="LCY10" s="554"/>
      <c r="LCZ10" s="554"/>
      <c r="LDA10" s="554"/>
      <c r="LDB10" s="554"/>
      <c r="LDC10" s="554"/>
      <c r="LDD10" s="554"/>
      <c r="LDE10" s="554"/>
      <c r="LDF10" s="554"/>
      <c r="LDG10" s="554"/>
      <c r="LDH10" s="554"/>
      <c r="LDI10" s="554"/>
      <c r="LDJ10" s="554"/>
      <c r="LDK10" s="554"/>
      <c r="LDL10" s="554"/>
      <c r="LDM10" s="554"/>
      <c r="LDN10" s="554"/>
      <c r="LDO10" s="554"/>
      <c r="LDP10" s="554"/>
      <c r="LDQ10" s="554"/>
      <c r="LDR10" s="554"/>
      <c r="LDS10" s="554"/>
      <c r="LDT10" s="554"/>
      <c r="LDU10" s="554"/>
      <c r="LDV10" s="554"/>
      <c r="LDW10" s="554"/>
      <c r="LDX10" s="554"/>
      <c r="LDY10" s="554"/>
      <c r="LDZ10" s="554"/>
      <c r="LEA10" s="554"/>
      <c r="LEB10" s="554"/>
      <c r="LEC10" s="554"/>
      <c r="LED10" s="554"/>
      <c r="LEE10" s="554"/>
      <c r="LEF10" s="554"/>
      <c r="LEG10" s="554"/>
      <c r="LEH10" s="554"/>
      <c r="LEI10" s="554"/>
      <c r="LEJ10" s="554"/>
      <c r="LEK10" s="554"/>
      <c r="LEL10" s="554"/>
      <c r="LEM10" s="554"/>
      <c r="LEN10" s="554"/>
      <c r="LEO10" s="554"/>
      <c r="LEP10" s="554"/>
      <c r="LEQ10" s="554"/>
      <c r="LER10" s="554"/>
      <c r="LES10" s="554"/>
      <c r="LET10" s="554"/>
      <c r="LEU10" s="554"/>
      <c r="LEV10" s="554"/>
      <c r="LEW10" s="554"/>
      <c r="LEX10" s="554"/>
      <c r="LEY10" s="554"/>
      <c r="LEZ10" s="554"/>
      <c r="LFA10" s="554"/>
      <c r="LFB10" s="554"/>
      <c r="LFC10" s="554"/>
      <c r="LFD10" s="554"/>
      <c r="LFE10" s="554"/>
      <c r="LFF10" s="554"/>
      <c r="LFG10" s="554"/>
      <c r="LFH10" s="554"/>
      <c r="LFI10" s="554"/>
      <c r="LFJ10" s="554"/>
      <c r="LFK10" s="554"/>
      <c r="LFL10" s="554"/>
      <c r="LFM10" s="554"/>
      <c r="LFN10" s="554"/>
      <c r="LFO10" s="554"/>
      <c r="LFP10" s="554"/>
      <c r="LFQ10" s="554"/>
      <c r="LFR10" s="554"/>
      <c r="LFS10" s="554"/>
      <c r="LFT10" s="554"/>
      <c r="LFU10" s="554"/>
      <c r="LFV10" s="554"/>
      <c r="LFW10" s="554"/>
      <c r="LFX10" s="554"/>
      <c r="LFY10" s="554"/>
      <c r="LFZ10" s="554"/>
      <c r="LGA10" s="554"/>
      <c r="LGB10" s="554"/>
      <c r="LGC10" s="554"/>
      <c r="LGD10" s="554"/>
      <c r="LGE10" s="554"/>
      <c r="LGF10" s="554"/>
      <c r="LGG10" s="554"/>
      <c r="LGH10" s="554"/>
      <c r="LGI10" s="554"/>
      <c r="LGJ10" s="554"/>
      <c r="LGK10" s="554"/>
      <c r="LGL10" s="554"/>
      <c r="LGM10" s="554"/>
      <c r="LGN10" s="554"/>
      <c r="LGO10" s="554"/>
      <c r="LGP10" s="554"/>
      <c r="LGQ10" s="554"/>
      <c r="LGR10" s="554"/>
      <c r="LGS10" s="554"/>
      <c r="LGT10" s="554"/>
      <c r="LGU10" s="554"/>
      <c r="LGV10" s="554"/>
      <c r="LGW10" s="554"/>
      <c r="LGX10" s="554"/>
      <c r="LGY10" s="554"/>
      <c r="LGZ10" s="554"/>
      <c r="LHA10" s="554"/>
      <c r="LHB10" s="554"/>
      <c r="LHC10" s="554"/>
      <c r="LHD10" s="554"/>
      <c r="LHE10" s="554"/>
      <c r="LHF10" s="554"/>
      <c r="LHG10" s="554"/>
      <c r="LHH10" s="554"/>
      <c r="LHI10" s="554"/>
      <c r="LHJ10" s="554"/>
      <c r="LHK10" s="554"/>
      <c r="LHL10" s="554"/>
      <c r="LHM10" s="554"/>
      <c r="LHN10" s="554"/>
      <c r="LHO10" s="554"/>
      <c r="LHP10" s="554"/>
      <c r="LHQ10" s="554"/>
      <c r="LHR10" s="554"/>
      <c r="LHS10" s="554"/>
      <c r="LHT10" s="554"/>
      <c r="LHU10" s="554"/>
      <c r="LHV10" s="554"/>
      <c r="LHW10" s="554"/>
      <c r="LHX10" s="554"/>
      <c r="LHY10" s="554"/>
      <c r="LHZ10" s="554"/>
      <c r="LIA10" s="554"/>
      <c r="LIB10" s="554"/>
      <c r="LIC10" s="554"/>
      <c r="LID10" s="554"/>
      <c r="LIE10" s="554"/>
      <c r="LIF10" s="554"/>
      <c r="LIG10" s="554"/>
      <c r="LIH10" s="554"/>
      <c r="LII10" s="554"/>
      <c r="LIJ10" s="554"/>
      <c r="LIK10" s="554"/>
      <c r="LIL10" s="554"/>
      <c r="LIM10" s="554"/>
      <c r="LIN10" s="554"/>
      <c r="LIO10" s="554"/>
      <c r="LIP10" s="554"/>
      <c r="LIQ10" s="554"/>
      <c r="LIR10" s="554"/>
      <c r="LIS10" s="554"/>
      <c r="LIT10" s="554"/>
      <c r="LIU10" s="554"/>
      <c r="LIV10" s="554"/>
      <c r="LIW10" s="554"/>
      <c r="LIX10" s="554"/>
      <c r="LIY10" s="554"/>
      <c r="LIZ10" s="554"/>
      <c r="LJA10" s="554"/>
      <c r="LJB10" s="554"/>
      <c r="LJC10" s="554"/>
      <c r="LJD10" s="554"/>
      <c r="LJE10" s="554"/>
      <c r="LJF10" s="554"/>
      <c r="LJG10" s="554"/>
      <c r="LJH10" s="554"/>
      <c r="LJI10" s="554"/>
      <c r="LJJ10" s="554"/>
      <c r="LJK10" s="554"/>
      <c r="LJL10" s="554"/>
      <c r="LJM10" s="554"/>
      <c r="LJN10" s="554"/>
      <c r="LJO10" s="554"/>
      <c r="LJP10" s="554"/>
      <c r="LJQ10" s="554"/>
      <c r="LJR10" s="554"/>
      <c r="LJS10" s="554"/>
      <c r="LJT10" s="554"/>
      <c r="LJU10" s="554"/>
      <c r="LJV10" s="554"/>
      <c r="LJW10" s="554"/>
      <c r="LJX10" s="554"/>
      <c r="LJY10" s="554"/>
      <c r="LJZ10" s="554"/>
      <c r="LKA10" s="554"/>
      <c r="LKB10" s="554"/>
      <c r="LKC10" s="554"/>
      <c r="LKD10" s="554"/>
      <c r="LKE10" s="554"/>
      <c r="LKF10" s="554"/>
      <c r="LKG10" s="554"/>
      <c r="LKH10" s="554"/>
      <c r="LKI10" s="554"/>
      <c r="LKJ10" s="554"/>
      <c r="LKK10" s="554"/>
      <c r="LKL10" s="554"/>
      <c r="LKM10" s="554"/>
      <c r="LKN10" s="554"/>
      <c r="LKO10" s="554"/>
      <c r="LKP10" s="554"/>
      <c r="LKQ10" s="554"/>
      <c r="LKR10" s="554"/>
      <c r="LKS10" s="554"/>
      <c r="LKT10" s="554"/>
      <c r="LKU10" s="554"/>
      <c r="LKV10" s="554"/>
      <c r="LKW10" s="554"/>
      <c r="LKX10" s="554"/>
      <c r="LKY10" s="554"/>
      <c r="LKZ10" s="554"/>
      <c r="LLA10" s="554"/>
      <c r="LLB10" s="554"/>
      <c r="LLC10" s="554"/>
      <c r="LLD10" s="554"/>
      <c r="LLE10" s="554"/>
      <c r="LLF10" s="554"/>
      <c r="LLG10" s="554"/>
      <c r="LLH10" s="554"/>
      <c r="LLI10" s="554"/>
      <c r="LLJ10" s="554"/>
      <c r="LLK10" s="554"/>
      <c r="LLL10" s="554"/>
      <c r="LLM10" s="554"/>
      <c r="LLN10" s="554"/>
      <c r="LLO10" s="554"/>
      <c r="LLP10" s="554"/>
      <c r="LLQ10" s="554"/>
      <c r="LLR10" s="554"/>
      <c r="LLS10" s="554"/>
      <c r="LLT10" s="554"/>
      <c r="LLU10" s="554"/>
      <c r="LLV10" s="554"/>
      <c r="LLW10" s="554"/>
      <c r="LLX10" s="554"/>
      <c r="LLY10" s="554"/>
      <c r="LLZ10" s="554"/>
      <c r="LMA10" s="554"/>
      <c r="LMB10" s="554"/>
      <c r="LMC10" s="554"/>
      <c r="LMD10" s="554"/>
      <c r="LME10" s="554"/>
      <c r="LMF10" s="554"/>
      <c r="LMG10" s="554"/>
      <c r="LMH10" s="554"/>
      <c r="LMI10" s="554"/>
      <c r="LMJ10" s="554"/>
      <c r="LMK10" s="554"/>
      <c r="LML10" s="554"/>
      <c r="LMM10" s="554"/>
      <c r="LMN10" s="554"/>
      <c r="LMO10" s="554"/>
      <c r="LMP10" s="554"/>
      <c r="LMQ10" s="554"/>
      <c r="LMR10" s="554"/>
      <c r="LMS10" s="554"/>
      <c r="LMT10" s="554"/>
      <c r="LMU10" s="554"/>
      <c r="LMV10" s="554"/>
      <c r="LMW10" s="554"/>
      <c r="LMX10" s="554"/>
      <c r="LMY10" s="554"/>
      <c r="LMZ10" s="554"/>
      <c r="LNA10" s="554"/>
      <c r="LNB10" s="554"/>
      <c r="LNC10" s="554"/>
      <c r="LND10" s="554"/>
      <c r="LNE10" s="554"/>
      <c r="LNF10" s="554"/>
      <c r="LNG10" s="554"/>
      <c r="LNH10" s="554"/>
      <c r="LNI10" s="554"/>
      <c r="LNJ10" s="554"/>
      <c r="LNK10" s="554"/>
      <c r="LNL10" s="554"/>
      <c r="LNM10" s="554"/>
      <c r="LNN10" s="554"/>
      <c r="LNO10" s="554"/>
      <c r="LNP10" s="554"/>
      <c r="LNQ10" s="554"/>
      <c r="LNR10" s="554"/>
      <c r="LNS10" s="554"/>
      <c r="LNT10" s="554"/>
      <c r="LNU10" s="554"/>
      <c r="LNV10" s="554"/>
      <c r="LNW10" s="554"/>
      <c r="LNX10" s="554"/>
      <c r="LNY10" s="554"/>
      <c r="LNZ10" s="554"/>
      <c r="LOA10" s="554"/>
      <c r="LOB10" s="554"/>
      <c r="LOC10" s="554"/>
      <c r="LOD10" s="554"/>
      <c r="LOE10" s="554"/>
      <c r="LOF10" s="554"/>
      <c r="LOG10" s="554"/>
      <c r="LOH10" s="554"/>
      <c r="LOI10" s="554"/>
      <c r="LOJ10" s="554"/>
      <c r="LOK10" s="554"/>
      <c r="LOL10" s="554"/>
      <c r="LOM10" s="554"/>
      <c r="LON10" s="554"/>
      <c r="LOO10" s="554"/>
      <c r="LOP10" s="554"/>
      <c r="LOQ10" s="554"/>
      <c r="LOR10" s="554"/>
      <c r="LOS10" s="554"/>
      <c r="LOT10" s="554"/>
      <c r="LOU10" s="554"/>
      <c r="LOV10" s="554"/>
      <c r="LOW10" s="554"/>
      <c r="LOX10" s="554"/>
      <c r="LOY10" s="554"/>
      <c r="LOZ10" s="554"/>
      <c r="LPA10" s="554"/>
      <c r="LPB10" s="554"/>
      <c r="LPC10" s="554"/>
      <c r="LPD10" s="554"/>
      <c r="LPE10" s="554"/>
      <c r="LPF10" s="554"/>
      <c r="LPG10" s="554"/>
      <c r="LPH10" s="554"/>
      <c r="LPI10" s="554"/>
      <c r="LPJ10" s="554"/>
      <c r="LPK10" s="554"/>
      <c r="LPL10" s="554"/>
      <c r="LPM10" s="554"/>
      <c r="LPN10" s="554"/>
      <c r="LPO10" s="554"/>
      <c r="LPP10" s="554"/>
      <c r="LPQ10" s="554"/>
      <c r="LPR10" s="554"/>
      <c r="LPS10" s="554"/>
      <c r="LPT10" s="554"/>
      <c r="LPU10" s="554"/>
      <c r="LPV10" s="554"/>
      <c r="LPW10" s="554"/>
      <c r="LPX10" s="554"/>
      <c r="LPY10" s="554"/>
      <c r="LPZ10" s="554"/>
      <c r="LQA10" s="554"/>
      <c r="LQB10" s="554"/>
      <c r="LQC10" s="554"/>
      <c r="LQD10" s="554"/>
      <c r="LQE10" s="554"/>
      <c r="LQF10" s="554"/>
      <c r="LQG10" s="554"/>
      <c r="LQH10" s="554"/>
      <c r="LQI10" s="554"/>
      <c r="LQJ10" s="554"/>
      <c r="LQK10" s="554"/>
      <c r="LQL10" s="554"/>
      <c r="LQM10" s="554"/>
      <c r="LQN10" s="554"/>
      <c r="LQO10" s="554"/>
      <c r="LQP10" s="554"/>
      <c r="LQQ10" s="554"/>
      <c r="LQR10" s="554"/>
      <c r="LQS10" s="554"/>
      <c r="LQT10" s="554"/>
      <c r="LQU10" s="554"/>
      <c r="LQV10" s="554"/>
      <c r="LQW10" s="554"/>
      <c r="LQX10" s="554"/>
      <c r="LQY10" s="554"/>
      <c r="LQZ10" s="554"/>
      <c r="LRA10" s="554"/>
      <c r="LRB10" s="554"/>
      <c r="LRC10" s="554"/>
      <c r="LRD10" s="554"/>
      <c r="LRE10" s="554"/>
      <c r="LRF10" s="554"/>
      <c r="LRG10" s="554"/>
      <c r="LRH10" s="554"/>
      <c r="LRI10" s="554"/>
      <c r="LRJ10" s="554"/>
      <c r="LRK10" s="554"/>
      <c r="LRL10" s="554"/>
      <c r="LRM10" s="554"/>
      <c r="LRN10" s="554"/>
      <c r="LRO10" s="554"/>
      <c r="LRP10" s="554"/>
      <c r="LRQ10" s="554"/>
      <c r="LRR10" s="554"/>
      <c r="LRS10" s="554"/>
      <c r="LRT10" s="554"/>
      <c r="LRU10" s="554"/>
      <c r="LRV10" s="554"/>
      <c r="LRW10" s="554"/>
      <c r="LRX10" s="554"/>
      <c r="LRY10" s="554"/>
      <c r="LRZ10" s="554"/>
      <c r="LSA10" s="554"/>
      <c r="LSB10" s="554"/>
      <c r="LSC10" s="554"/>
      <c r="LSD10" s="554"/>
      <c r="LSE10" s="554"/>
      <c r="LSF10" s="554"/>
      <c r="LSG10" s="554"/>
      <c r="LSH10" s="554"/>
      <c r="LSI10" s="554"/>
      <c r="LSJ10" s="554"/>
      <c r="LSK10" s="554"/>
      <c r="LSL10" s="554"/>
      <c r="LSM10" s="554"/>
      <c r="LSN10" s="554"/>
      <c r="LSO10" s="554"/>
      <c r="LSP10" s="554"/>
      <c r="LSQ10" s="554"/>
      <c r="LSR10" s="554"/>
      <c r="LSS10" s="554"/>
      <c r="LST10" s="554"/>
      <c r="LSU10" s="554"/>
      <c r="LSV10" s="554"/>
      <c r="LSW10" s="554"/>
      <c r="LSX10" s="554"/>
      <c r="LSY10" s="554"/>
      <c r="LSZ10" s="554"/>
      <c r="LTA10" s="554"/>
      <c r="LTB10" s="554"/>
      <c r="LTC10" s="554"/>
      <c r="LTD10" s="554"/>
      <c r="LTE10" s="554"/>
      <c r="LTF10" s="554"/>
      <c r="LTG10" s="554"/>
      <c r="LTH10" s="554"/>
      <c r="LTI10" s="554"/>
      <c r="LTJ10" s="554"/>
      <c r="LTK10" s="554"/>
      <c r="LTL10" s="554"/>
      <c r="LTM10" s="554"/>
      <c r="LTN10" s="554"/>
      <c r="LTO10" s="554"/>
      <c r="LTP10" s="554"/>
      <c r="LTQ10" s="554"/>
      <c r="LTR10" s="554"/>
      <c r="LTS10" s="554"/>
      <c r="LTT10" s="554"/>
      <c r="LTU10" s="554"/>
      <c r="LTV10" s="554"/>
      <c r="LTW10" s="554"/>
      <c r="LTX10" s="554"/>
      <c r="LTY10" s="554"/>
      <c r="LTZ10" s="554"/>
      <c r="LUA10" s="554"/>
      <c r="LUB10" s="554"/>
      <c r="LUC10" s="554"/>
      <c r="LUD10" s="554"/>
      <c r="LUE10" s="554"/>
      <c r="LUF10" s="554"/>
      <c r="LUG10" s="554"/>
      <c r="LUH10" s="554"/>
      <c r="LUI10" s="554"/>
      <c r="LUJ10" s="554"/>
      <c r="LUK10" s="554"/>
      <c r="LUL10" s="554"/>
      <c r="LUM10" s="554"/>
      <c r="LUN10" s="554"/>
      <c r="LUO10" s="554"/>
      <c r="LUP10" s="554"/>
      <c r="LUQ10" s="554"/>
      <c r="LUR10" s="554"/>
      <c r="LUS10" s="554"/>
      <c r="LUT10" s="554"/>
      <c r="LUU10" s="554"/>
      <c r="LUV10" s="554"/>
      <c r="LUW10" s="554"/>
      <c r="LUX10" s="554"/>
      <c r="LUY10" s="554"/>
      <c r="LUZ10" s="554"/>
      <c r="LVA10" s="554"/>
      <c r="LVB10" s="554"/>
      <c r="LVC10" s="554"/>
      <c r="LVD10" s="554"/>
      <c r="LVE10" s="554"/>
      <c r="LVF10" s="554"/>
      <c r="LVG10" s="554"/>
      <c r="LVH10" s="554"/>
      <c r="LVI10" s="554"/>
      <c r="LVJ10" s="554"/>
      <c r="LVK10" s="554"/>
      <c r="LVL10" s="554"/>
      <c r="LVM10" s="554"/>
      <c r="LVN10" s="554"/>
      <c r="LVO10" s="554"/>
      <c r="LVP10" s="554"/>
      <c r="LVQ10" s="554"/>
      <c r="LVR10" s="554"/>
      <c r="LVS10" s="554"/>
      <c r="LVT10" s="554"/>
      <c r="LVU10" s="554"/>
      <c r="LVV10" s="554"/>
      <c r="LVW10" s="554"/>
      <c r="LVX10" s="554"/>
      <c r="LVY10" s="554"/>
      <c r="LVZ10" s="554"/>
      <c r="LWA10" s="554"/>
      <c r="LWB10" s="554"/>
      <c r="LWC10" s="554"/>
      <c r="LWD10" s="554"/>
      <c r="LWE10" s="554"/>
      <c r="LWF10" s="554"/>
      <c r="LWG10" s="554"/>
      <c r="LWH10" s="554"/>
      <c r="LWI10" s="554"/>
      <c r="LWJ10" s="554"/>
      <c r="LWK10" s="554"/>
      <c r="LWL10" s="554"/>
      <c r="LWM10" s="554"/>
      <c r="LWN10" s="554"/>
      <c r="LWO10" s="554"/>
      <c r="LWP10" s="554"/>
      <c r="LWQ10" s="554"/>
      <c r="LWR10" s="554"/>
      <c r="LWS10" s="554"/>
      <c r="LWT10" s="554"/>
      <c r="LWU10" s="554"/>
      <c r="LWV10" s="554"/>
      <c r="LWW10" s="554"/>
      <c r="LWX10" s="554"/>
      <c r="LWY10" s="554"/>
      <c r="LWZ10" s="554"/>
      <c r="LXA10" s="554"/>
      <c r="LXB10" s="554"/>
      <c r="LXC10" s="554"/>
      <c r="LXD10" s="554"/>
      <c r="LXE10" s="554"/>
      <c r="LXF10" s="554"/>
      <c r="LXG10" s="554"/>
      <c r="LXH10" s="554"/>
      <c r="LXI10" s="554"/>
      <c r="LXJ10" s="554"/>
      <c r="LXK10" s="554"/>
      <c r="LXL10" s="554"/>
      <c r="LXM10" s="554"/>
      <c r="LXN10" s="554"/>
      <c r="LXO10" s="554"/>
      <c r="LXP10" s="554"/>
      <c r="LXQ10" s="554"/>
      <c r="LXR10" s="554"/>
      <c r="LXS10" s="554"/>
      <c r="LXT10" s="554"/>
      <c r="LXU10" s="554"/>
      <c r="LXV10" s="554"/>
      <c r="LXW10" s="554"/>
      <c r="LXX10" s="554"/>
      <c r="LXY10" s="554"/>
      <c r="LXZ10" s="554"/>
      <c r="LYA10" s="554"/>
      <c r="LYB10" s="554"/>
      <c r="LYC10" s="554"/>
      <c r="LYD10" s="554"/>
      <c r="LYE10" s="554"/>
      <c r="LYF10" s="554"/>
      <c r="LYG10" s="554"/>
      <c r="LYH10" s="554"/>
      <c r="LYI10" s="554"/>
      <c r="LYJ10" s="554"/>
      <c r="LYK10" s="554"/>
      <c r="LYL10" s="554"/>
      <c r="LYM10" s="554"/>
      <c r="LYN10" s="554"/>
      <c r="LYO10" s="554"/>
      <c r="LYP10" s="554"/>
      <c r="LYQ10" s="554"/>
      <c r="LYR10" s="554"/>
      <c r="LYS10" s="554"/>
      <c r="LYT10" s="554"/>
      <c r="LYU10" s="554"/>
      <c r="LYV10" s="554"/>
      <c r="LYW10" s="554"/>
      <c r="LYX10" s="554"/>
      <c r="LYY10" s="554"/>
      <c r="LYZ10" s="554"/>
      <c r="LZA10" s="554"/>
      <c r="LZB10" s="554"/>
      <c r="LZC10" s="554"/>
      <c r="LZD10" s="554"/>
      <c r="LZE10" s="554"/>
      <c r="LZF10" s="554"/>
      <c r="LZG10" s="554"/>
      <c r="LZH10" s="554"/>
      <c r="LZI10" s="554"/>
      <c r="LZJ10" s="554"/>
      <c r="LZK10" s="554"/>
      <c r="LZL10" s="554"/>
      <c r="LZM10" s="554"/>
      <c r="LZN10" s="554"/>
      <c r="LZO10" s="554"/>
      <c r="LZP10" s="554"/>
      <c r="LZQ10" s="554"/>
      <c r="LZR10" s="554"/>
      <c r="LZS10" s="554"/>
      <c r="LZT10" s="554"/>
      <c r="LZU10" s="554"/>
      <c r="LZV10" s="554"/>
      <c r="LZW10" s="554"/>
      <c r="LZX10" s="554"/>
      <c r="LZY10" s="554"/>
      <c r="LZZ10" s="554"/>
      <c r="MAA10" s="554"/>
      <c r="MAB10" s="554"/>
      <c r="MAC10" s="554"/>
      <c r="MAD10" s="554"/>
      <c r="MAE10" s="554"/>
      <c r="MAF10" s="554"/>
      <c r="MAG10" s="554"/>
      <c r="MAH10" s="554"/>
      <c r="MAI10" s="554"/>
      <c r="MAJ10" s="554"/>
      <c r="MAK10" s="554"/>
      <c r="MAL10" s="554"/>
      <c r="MAM10" s="554"/>
      <c r="MAN10" s="554"/>
      <c r="MAO10" s="554"/>
      <c r="MAP10" s="554"/>
      <c r="MAQ10" s="554"/>
      <c r="MAR10" s="554"/>
      <c r="MAS10" s="554"/>
      <c r="MAT10" s="554"/>
      <c r="MAU10" s="554"/>
      <c r="MAV10" s="554"/>
      <c r="MAW10" s="554"/>
      <c r="MAX10" s="554"/>
      <c r="MAY10" s="554"/>
      <c r="MAZ10" s="554"/>
      <c r="MBA10" s="554"/>
      <c r="MBB10" s="554"/>
      <c r="MBC10" s="554"/>
      <c r="MBD10" s="554"/>
      <c r="MBE10" s="554"/>
      <c r="MBF10" s="554"/>
      <c r="MBG10" s="554"/>
      <c r="MBH10" s="554"/>
      <c r="MBI10" s="554"/>
      <c r="MBJ10" s="554"/>
      <c r="MBK10" s="554"/>
      <c r="MBL10" s="554"/>
      <c r="MBM10" s="554"/>
      <c r="MBN10" s="554"/>
      <c r="MBO10" s="554"/>
      <c r="MBP10" s="554"/>
      <c r="MBQ10" s="554"/>
      <c r="MBR10" s="554"/>
      <c r="MBS10" s="554"/>
      <c r="MBT10" s="554"/>
      <c r="MBU10" s="554"/>
      <c r="MBV10" s="554"/>
      <c r="MBW10" s="554"/>
      <c r="MBX10" s="554"/>
      <c r="MBY10" s="554"/>
      <c r="MBZ10" s="554"/>
      <c r="MCA10" s="554"/>
      <c r="MCB10" s="554"/>
      <c r="MCC10" s="554"/>
      <c r="MCD10" s="554"/>
      <c r="MCE10" s="554"/>
      <c r="MCF10" s="554"/>
      <c r="MCG10" s="554"/>
      <c r="MCH10" s="554"/>
      <c r="MCI10" s="554"/>
      <c r="MCJ10" s="554"/>
      <c r="MCK10" s="554"/>
      <c r="MCL10" s="554"/>
      <c r="MCM10" s="554"/>
      <c r="MCN10" s="554"/>
      <c r="MCO10" s="554"/>
      <c r="MCP10" s="554"/>
      <c r="MCQ10" s="554"/>
      <c r="MCR10" s="554"/>
      <c r="MCS10" s="554"/>
      <c r="MCT10" s="554"/>
      <c r="MCU10" s="554"/>
      <c r="MCV10" s="554"/>
      <c r="MCW10" s="554"/>
      <c r="MCX10" s="554"/>
      <c r="MCY10" s="554"/>
      <c r="MCZ10" s="554"/>
      <c r="MDA10" s="554"/>
      <c r="MDB10" s="554"/>
      <c r="MDC10" s="554"/>
      <c r="MDD10" s="554"/>
      <c r="MDE10" s="554"/>
      <c r="MDF10" s="554"/>
      <c r="MDG10" s="554"/>
      <c r="MDH10" s="554"/>
      <c r="MDI10" s="554"/>
      <c r="MDJ10" s="554"/>
      <c r="MDK10" s="554"/>
      <c r="MDL10" s="554"/>
      <c r="MDM10" s="554"/>
      <c r="MDN10" s="554"/>
      <c r="MDO10" s="554"/>
      <c r="MDP10" s="554"/>
      <c r="MDQ10" s="554"/>
      <c r="MDR10" s="554"/>
      <c r="MDS10" s="554"/>
      <c r="MDT10" s="554"/>
      <c r="MDU10" s="554"/>
      <c r="MDV10" s="554"/>
      <c r="MDW10" s="554"/>
      <c r="MDX10" s="554"/>
      <c r="MDY10" s="554"/>
      <c r="MDZ10" s="554"/>
      <c r="MEA10" s="554"/>
      <c r="MEB10" s="554"/>
      <c r="MEC10" s="554"/>
      <c r="MED10" s="554"/>
      <c r="MEE10" s="554"/>
      <c r="MEF10" s="554"/>
      <c r="MEG10" s="554"/>
      <c r="MEH10" s="554"/>
      <c r="MEI10" s="554"/>
      <c r="MEJ10" s="554"/>
      <c r="MEK10" s="554"/>
      <c r="MEL10" s="554"/>
      <c r="MEM10" s="554"/>
      <c r="MEN10" s="554"/>
      <c r="MEO10" s="554"/>
      <c r="MEP10" s="554"/>
      <c r="MEQ10" s="554"/>
      <c r="MER10" s="554"/>
      <c r="MES10" s="554"/>
      <c r="MET10" s="554"/>
      <c r="MEU10" s="554"/>
      <c r="MEV10" s="554"/>
      <c r="MEW10" s="554"/>
      <c r="MEX10" s="554"/>
      <c r="MEY10" s="554"/>
      <c r="MEZ10" s="554"/>
      <c r="MFA10" s="554"/>
      <c r="MFB10" s="554"/>
      <c r="MFC10" s="554"/>
      <c r="MFD10" s="554"/>
      <c r="MFE10" s="554"/>
      <c r="MFF10" s="554"/>
      <c r="MFG10" s="554"/>
      <c r="MFH10" s="554"/>
      <c r="MFI10" s="554"/>
      <c r="MFJ10" s="554"/>
      <c r="MFK10" s="554"/>
      <c r="MFL10" s="554"/>
      <c r="MFM10" s="554"/>
      <c r="MFN10" s="554"/>
      <c r="MFO10" s="554"/>
      <c r="MFP10" s="554"/>
      <c r="MFQ10" s="554"/>
      <c r="MFR10" s="554"/>
      <c r="MFS10" s="554"/>
      <c r="MFT10" s="554"/>
      <c r="MFU10" s="554"/>
      <c r="MFV10" s="554"/>
      <c r="MFW10" s="554"/>
      <c r="MFX10" s="554"/>
      <c r="MFY10" s="554"/>
      <c r="MFZ10" s="554"/>
      <c r="MGA10" s="554"/>
      <c r="MGB10" s="554"/>
      <c r="MGC10" s="554"/>
      <c r="MGD10" s="554"/>
      <c r="MGE10" s="554"/>
      <c r="MGF10" s="554"/>
      <c r="MGG10" s="554"/>
      <c r="MGH10" s="554"/>
      <c r="MGI10" s="554"/>
      <c r="MGJ10" s="554"/>
      <c r="MGK10" s="554"/>
      <c r="MGL10" s="554"/>
      <c r="MGM10" s="554"/>
      <c r="MGN10" s="554"/>
      <c r="MGO10" s="554"/>
      <c r="MGP10" s="554"/>
      <c r="MGQ10" s="554"/>
      <c r="MGR10" s="554"/>
      <c r="MGS10" s="554"/>
      <c r="MGT10" s="554"/>
      <c r="MGU10" s="554"/>
      <c r="MGV10" s="554"/>
      <c r="MGW10" s="554"/>
      <c r="MGX10" s="554"/>
      <c r="MGY10" s="554"/>
      <c r="MGZ10" s="554"/>
      <c r="MHA10" s="554"/>
      <c r="MHB10" s="554"/>
      <c r="MHC10" s="554"/>
      <c r="MHD10" s="554"/>
      <c r="MHE10" s="554"/>
      <c r="MHF10" s="554"/>
      <c r="MHG10" s="554"/>
      <c r="MHH10" s="554"/>
      <c r="MHI10" s="554"/>
      <c r="MHJ10" s="554"/>
      <c r="MHK10" s="554"/>
      <c r="MHL10" s="554"/>
      <c r="MHM10" s="554"/>
      <c r="MHN10" s="554"/>
      <c r="MHO10" s="554"/>
      <c r="MHP10" s="554"/>
      <c r="MHQ10" s="554"/>
      <c r="MHR10" s="554"/>
      <c r="MHS10" s="554"/>
      <c r="MHT10" s="554"/>
      <c r="MHU10" s="554"/>
      <c r="MHV10" s="554"/>
      <c r="MHW10" s="554"/>
      <c r="MHX10" s="554"/>
      <c r="MHY10" s="554"/>
      <c r="MHZ10" s="554"/>
      <c r="MIA10" s="554"/>
      <c r="MIB10" s="554"/>
      <c r="MIC10" s="554"/>
      <c r="MID10" s="554"/>
      <c r="MIE10" s="554"/>
      <c r="MIF10" s="554"/>
      <c r="MIG10" s="554"/>
      <c r="MIH10" s="554"/>
      <c r="MII10" s="554"/>
      <c r="MIJ10" s="554"/>
      <c r="MIK10" s="554"/>
      <c r="MIL10" s="554"/>
      <c r="MIM10" s="554"/>
      <c r="MIN10" s="554"/>
      <c r="MIO10" s="554"/>
      <c r="MIP10" s="554"/>
      <c r="MIQ10" s="554"/>
      <c r="MIR10" s="554"/>
      <c r="MIS10" s="554"/>
      <c r="MIT10" s="554"/>
      <c r="MIU10" s="554"/>
      <c r="MIV10" s="554"/>
      <c r="MIW10" s="554"/>
      <c r="MIX10" s="554"/>
      <c r="MIY10" s="554"/>
      <c r="MIZ10" s="554"/>
      <c r="MJA10" s="554"/>
      <c r="MJB10" s="554"/>
      <c r="MJC10" s="554"/>
      <c r="MJD10" s="554"/>
      <c r="MJE10" s="554"/>
      <c r="MJF10" s="554"/>
      <c r="MJG10" s="554"/>
      <c r="MJH10" s="554"/>
      <c r="MJI10" s="554"/>
      <c r="MJJ10" s="554"/>
      <c r="MJK10" s="554"/>
      <c r="MJL10" s="554"/>
      <c r="MJM10" s="554"/>
      <c r="MJN10" s="554"/>
      <c r="MJO10" s="554"/>
      <c r="MJP10" s="554"/>
      <c r="MJQ10" s="554"/>
      <c r="MJR10" s="554"/>
      <c r="MJS10" s="554"/>
      <c r="MJT10" s="554"/>
      <c r="MJU10" s="554"/>
      <c r="MJV10" s="554"/>
      <c r="MJW10" s="554"/>
      <c r="MJX10" s="554"/>
      <c r="MJY10" s="554"/>
      <c r="MJZ10" s="554"/>
      <c r="MKA10" s="554"/>
      <c r="MKB10" s="554"/>
      <c r="MKC10" s="554"/>
      <c r="MKD10" s="554"/>
      <c r="MKE10" s="554"/>
      <c r="MKF10" s="554"/>
      <c r="MKG10" s="554"/>
      <c r="MKH10" s="554"/>
      <c r="MKI10" s="554"/>
      <c r="MKJ10" s="554"/>
      <c r="MKK10" s="554"/>
      <c r="MKL10" s="554"/>
      <c r="MKM10" s="554"/>
      <c r="MKN10" s="554"/>
      <c r="MKO10" s="554"/>
      <c r="MKP10" s="554"/>
      <c r="MKQ10" s="554"/>
      <c r="MKR10" s="554"/>
      <c r="MKS10" s="554"/>
      <c r="MKT10" s="554"/>
      <c r="MKU10" s="554"/>
      <c r="MKV10" s="554"/>
      <c r="MKW10" s="554"/>
      <c r="MKX10" s="554"/>
      <c r="MKY10" s="554"/>
      <c r="MKZ10" s="554"/>
      <c r="MLA10" s="554"/>
      <c r="MLB10" s="554"/>
      <c r="MLC10" s="554"/>
      <c r="MLD10" s="554"/>
      <c r="MLE10" s="554"/>
      <c r="MLF10" s="554"/>
      <c r="MLG10" s="554"/>
      <c r="MLH10" s="554"/>
      <c r="MLI10" s="554"/>
      <c r="MLJ10" s="554"/>
      <c r="MLK10" s="554"/>
      <c r="MLL10" s="554"/>
      <c r="MLM10" s="554"/>
      <c r="MLN10" s="554"/>
      <c r="MLO10" s="554"/>
      <c r="MLP10" s="554"/>
      <c r="MLQ10" s="554"/>
      <c r="MLR10" s="554"/>
      <c r="MLS10" s="554"/>
      <c r="MLT10" s="554"/>
      <c r="MLU10" s="554"/>
      <c r="MLV10" s="554"/>
      <c r="MLW10" s="554"/>
      <c r="MLX10" s="554"/>
      <c r="MLY10" s="554"/>
      <c r="MLZ10" s="554"/>
      <c r="MMA10" s="554"/>
      <c r="MMB10" s="554"/>
      <c r="MMC10" s="554"/>
      <c r="MMD10" s="554"/>
      <c r="MME10" s="554"/>
      <c r="MMF10" s="554"/>
      <c r="MMG10" s="554"/>
      <c r="MMH10" s="554"/>
      <c r="MMI10" s="554"/>
      <c r="MMJ10" s="554"/>
      <c r="MMK10" s="554"/>
      <c r="MML10" s="554"/>
      <c r="MMM10" s="554"/>
      <c r="MMN10" s="554"/>
      <c r="MMO10" s="554"/>
      <c r="MMP10" s="554"/>
      <c r="MMQ10" s="554"/>
      <c r="MMR10" s="554"/>
      <c r="MMS10" s="554"/>
      <c r="MMT10" s="554"/>
      <c r="MMU10" s="554"/>
      <c r="MMV10" s="554"/>
      <c r="MMW10" s="554"/>
      <c r="MMX10" s="554"/>
      <c r="MMY10" s="554"/>
      <c r="MMZ10" s="554"/>
      <c r="MNA10" s="554"/>
      <c r="MNB10" s="554"/>
      <c r="MNC10" s="554"/>
      <c r="MND10" s="554"/>
      <c r="MNE10" s="554"/>
      <c r="MNF10" s="554"/>
      <c r="MNG10" s="554"/>
      <c r="MNH10" s="554"/>
      <c r="MNI10" s="554"/>
      <c r="MNJ10" s="554"/>
      <c r="MNK10" s="554"/>
      <c r="MNL10" s="554"/>
      <c r="MNM10" s="554"/>
      <c r="MNN10" s="554"/>
      <c r="MNO10" s="554"/>
      <c r="MNP10" s="554"/>
      <c r="MNQ10" s="554"/>
      <c r="MNR10" s="554"/>
      <c r="MNS10" s="554"/>
      <c r="MNT10" s="554"/>
      <c r="MNU10" s="554"/>
      <c r="MNV10" s="554"/>
      <c r="MNW10" s="554"/>
      <c r="MNX10" s="554"/>
      <c r="MNY10" s="554"/>
      <c r="MNZ10" s="554"/>
      <c r="MOA10" s="554"/>
      <c r="MOB10" s="554"/>
      <c r="MOC10" s="554"/>
      <c r="MOD10" s="554"/>
      <c r="MOE10" s="554"/>
      <c r="MOF10" s="554"/>
      <c r="MOG10" s="554"/>
      <c r="MOH10" s="554"/>
      <c r="MOI10" s="554"/>
      <c r="MOJ10" s="554"/>
      <c r="MOK10" s="554"/>
      <c r="MOL10" s="554"/>
      <c r="MOM10" s="554"/>
      <c r="MON10" s="554"/>
      <c r="MOO10" s="554"/>
      <c r="MOP10" s="554"/>
      <c r="MOQ10" s="554"/>
      <c r="MOR10" s="554"/>
      <c r="MOS10" s="554"/>
      <c r="MOT10" s="554"/>
      <c r="MOU10" s="554"/>
      <c r="MOV10" s="554"/>
      <c r="MOW10" s="554"/>
      <c r="MOX10" s="554"/>
      <c r="MOY10" s="554"/>
      <c r="MOZ10" s="554"/>
      <c r="MPA10" s="554"/>
      <c r="MPB10" s="554"/>
      <c r="MPC10" s="554"/>
      <c r="MPD10" s="554"/>
      <c r="MPE10" s="554"/>
      <c r="MPF10" s="554"/>
      <c r="MPG10" s="554"/>
      <c r="MPH10" s="554"/>
      <c r="MPI10" s="554"/>
      <c r="MPJ10" s="554"/>
      <c r="MPK10" s="554"/>
      <c r="MPL10" s="554"/>
      <c r="MPM10" s="554"/>
      <c r="MPN10" s="554"/>
      <c r="MPO10" s="554"/>
      <c r="MPP10" s="554"/>
      <c r="MPQ10" s="554"/>
      <c r="MPR10" s="554"/>
      <c r="MPS10" s="554"/>
      <c r="MPT10" s="554"/>
      <c r="MPU10" s="554"/>
      <c r="MPV10" s="554"/>
      <c r="MPW10" s="554"/>
      <c r="MPX10" s="554"/>
      <c r="MPY10" s="554"/>
      <c r="MPZ10" s="554"/>
      <c r="MQA10" s="554"/>
      <c r="MQB10" s="554"/>
      <c r="MQC10" s="554"/>
      <c r="MQD10" s="554"/>
      <c r="MQE10" s="554"/>
      <c r="MQF10" s="554"/>
      <c r="MQG10" s="554"/>
      <c r="MQH10" s="554"/>
      <c r="MQI10" s="554"/>
      <c r="MQJ10" s="554"/>
      <c r="MQK10" s="554"/>
      <c r="MQL10" s="554"/>
      <c r="MQM10" s="554"/>
      <c r="MQN10" s="554"/>
      <c r="MQO10" s="554"/>
      <c r="MQP10" s="554"/>
      <c r="MQQ10" s="554"/>
      <c r="MQR10" s="554"/>
      <c r="MQS10" s="554"/>
      <c r="MQT10" s="554"/>
      <c r="MQU10" s="554"/>
      <c r="MQV10" s="554"/>
      <c r="MQW10" s="554"/>
      <c r="MQX10" s="554"/>
      <c r="MQY10" s="554"/>
      <c r="MQZ10" s="554"/>
      <c r="MRA10" s="554"/>
      <c r="MRB10" s="554"/>
      <c r="MRC10" s="554"/>
      <c r="MRD10" s="554"/>
      <c r="MRE10" s="554"/>
      <c r="MRF10" s="554"/>
      <c r="MRG10" s="554"/>
      <c r="MRH10" s="554"/>
      <c r="MRI10" s="554"/>
      <c r="MRJ10" s="554"/>
      <c r="MRK10" s="554"/>
      <c r="MRL10" s="554"/>
      <c r="MRM10" s="554"/>
      <c r="MRN10" s="554"/>
      <c r="MRO10" s="554"/>
      <c r="MRP10" s="554"/>
      <c r="MRQ10" s="554"/>
      <c r="MRR10" s="554"/>
      <c r="MRS10" s="554"/>
      <c r="MRT10" s="554"/>
      <c r="MRU10" s="554"/>
      <c r="MRV10" s="554"/>
      <c r="MRW10" s="554"/>
      <c r="MRX10" s="554"/>
      <c r="MRY10" s="554"/>
      <c r="MRZ10" s="554"/>
      <c r="MSA10" s="554"/>
      <c r="MSB10" s="554"/>
      <c r="MSC10" s="554"/>
      <c r="MSD10" s="554"/>
      <c r="MSE10" s="554"/>
      <c r="MSF10" s="554"/>
      <c r="MSG10" s="554"/>
      <c r="MSH10" s="554"/>
      <c r="MSI10" s="554"/>
      <c r="MSJ10" s="554"/>
      <c r="MSK10" s="554"/>
      <c r="MSL10" s="554"/>
      <c r="MSM10" s="554"/>
      <c r="MSN10" s="554"/>
      <c r="MSO10" s="554"/>
      <c r="MSP10" s="554"/>
      <c r="MSQ10" s="554"/>
      <c r="MSR10" s="554"/>
      <c r="MSS10" s="554"/>
      <c r="MST10" s="554"/>
      <c r="MSU10" s="554"/>
      <c r="MSV10" s="554"/>
      <c r="MSW10" s="554"/>
      <c r="MSX10" s="554"/>
      <c r="MSY10" s="554"/>
      <c r="MSZ10" s="554"/>
      <c r="MTA10" s="554"/>
      <c r="MTB10" s="554"/>
      <c r="MTC10" s="554"/>
      <c r="MTD10" s="554"/>
      <c r="MTE10" s="554"/>
      <c r="MTF10" s="554"/>
      <c r="MTG10" s="554"/>
      <c r="MTH10" s="554"/>
      <c r="MTI10" s="554"/>
      <c r="MTJ10" s="554"/>
      <c r="MTK10" s="554"/>
      <c r="MTL10" s="554"/>
      <c r="MTM10" s="554"/>
      <c r="MTN10" s="554"/>
      <c r="MTO10" s="554"/>
      <c r="MTP10" s="554"/>
      <c r="MTQ10" s="554"/>
      <c r="MTR10" s="554"/>
      <c r="MTS10" s="554"/>
      <c r="MTT10" s="554"/>
      <c r="MTU10" s="554"/>
      <c r="MTV10" s="554"/>
      <c r="MTW10" s="554"/>
      <c r="MTX10" s="554"/>
      <c r="MTY10" s="554"/>
      <c r="MTZ10" s="554"/>
      <c r="MUA10" s="554"/>
      <c r="MUB10" s="554"/>
      <c r="MUC10" s="554"/>
      <c r="MUD10" s="554"/>
      <c r="MUE10" s="554"/>
      <c r="MUF10" s="554"/>
      <c r="MUG10" s="554"/>
      <c r="MUH10" s="554"/>
      <c r="MUI10" s="554"/>
      <c r="MUJ10" s="554"/>
      <c r="MUK10" s="554"/>
      <c r="MUL10" s="554"/>
      <c r="MUM10" s="554"/>
      <c r="MUN10" s="554"/>
      <c r="MUO10" s="554"/>
      <c r="MUP10" s="554"/>
      <c r="MUQ10" s="554"/>
      <c r="MUR10" s="554"/>
      <c r="MUS10" s="554"/>
      <c r="MUT10" s="554"/>
      <c r="MUU10" s="554"/>
      <c r="MUV10" s="554"/>
      <c r="MUW10" s="554"/>
      <c r="MUX10" s="554"/>
      <c r="MUY10" s="554"/>
      <c r="MUZ10" s="554"/>
      <c r="MVA10" s="554"/>
      <c r="MVB10" s="554"/>
      <c r="MVC10" s="554"/>
      <c r="MVD10" s="554"/>
      <c r="MVE10" s="554"/>
      <c r="MVF10" s="554"/>
      <c r="MVG10" s="554"/>
      <c r="MVH10" s="554"/>
      <c r="MVI10" s="554"/>
      <c r="MVJ10" s="554"/>
      <c r="MVK10" s="554"/>
      <c r="MVL10" s="554"/>
      <c r="MVM10" s="554"/>
      <c r="MVN10" s="554"/>
      <c r="MVO10" s="554"/>
      <c r="MVP10" s="554"/>
      <c r="MVQ10" s="554"/>
      <c r="MVR10" s="554"/>
      <c r="MVS10" s="554"/>
      <c r="MVT10" s="554"/>
      <c r="MVU10" s="554"/>
      <c r="MVV10" s="554"/>
      <c r="MVW10" s="554"/>
      <c r="MVX10" s="554"/>
      <c r="MVY10" s="554"/>
      <c r="MVZ10" s="554"/>
      <c r="MWA10" s="554"/>
      <c r="MWB10" s="554"/>
      <c r="MWC10" s="554"/>
      <c r="MWD10" s="554"/>
      <c r="MWE10" s="554"/>
      <c r="MWF10" s="554"/>
      <c r="MWG10" s="554"/>
      <c r="MWH10" s="554"/>
      <c r="MWI10" s="554"/>
      <c r="MWJ10" s="554"/>
      <c r="MWK10" s="554"/>
      <c r="MWL10" s="554"/>
      <c r="MWM10" s="554"/>
      <c r="MWN10" s="554"/>
      <c r="MWO10" s="554"/>
      <c r="MWP10" s="554"/>
      <c r="MWQ10" s="554"/>
      <c r="MWR10" s="554"/>
      <c r="MWS10" s="554"/>
      <c r="MWT10" s="554"/>
      <c r="MWU10" s="554"/>
      <c r="MWV10" s="554"/>
      <c r="MWW10" s="554"/>
      <c r="MWX10" s="554"/>
      <c r="MWY10" s="554"/>
      <c r="MWZ10" s="554"/>
      <c r="MXA10" s="554"/>
      <c r="MXB10" s="554"/>
      <c r="MXC10" s="554"/>
      <c r="MXD10" s="554"/>
      <c r="MXE10" s="554"/>
      <c r="MXF10" s="554"/>
      <c r="MXG10" s="554"/>
      <c r="MXH10" s="554"/>
      <c r="MXI10" s="554"/>
      <c r="MXJ10" s="554"/>
      <c r="MXK10" s="554"/>
      <c r="MXL10" s="554"/>
      <c r="MXM10" s="554"/>
      <c r="MXN10" s="554"/>
      <c r="MXO10" s="554"/>
      <c r="MXP10" s="554"/>
      <c r="MXQ10" s="554"/>
      <c r="MXR10" s="554"/>
      <c r="MXS10" s="554"/>
      <c r="MXT10" s="554"/>
      <c r="MXU10" s="554"/>
      <c r="MXV10" s="554"/>
      <c r="MXW10" s="554"/>
      <c r="MXX10" s="554"/>
      <c r="MXY10" s="554"/>
      <c r="MXZ10" s="554"/>
      <c r="MYA10" s="554"/>
      <c r="MYB10" s="554"/>
      <c r="MYC10" s="554"/>
      <c r="MYD10" s="554"/>
      <c r="MYE10" s="554"/>
      <c r="MYF10" s="554"/>
      <c r="MYG10" s="554"/>
      <c r="MYH10" s="554"/>
      <c r="MYI10" s="554"/>
      <c r="MYJ10" s="554"/>
      <c r="MYK10" s="554"/>
      <c r="MYL10" s="554"/>
      <c r="MYM10" s="554"/>
      <c r="MYN10" s="554"/>
      <c r="MYO10" s="554"/>
      <c r="MYP10" s="554"/>
      <c r="MYQ10" s="554"/>
      <c r="MYR10" s="554"/>
      <c r="MYS10" s="554"/>
      <c r="MYT10" s="554"/>
      <c r="MYU10" s="554"/>
      <c r="MYV10" s="554"/>
      <c r="MYW10" s="554"/>
      <c r="MYX10" s="554"/>
      <c r="MYY10" s="554"/>
      <c r="MYZ10" s="554"/>
      <c r="MZA10" s="554"/>
      <c r="MZB10" s="554"/>
      <c r="MZC10" s="554"/>
      <c r="MZD10" s="554"/>
      <c r="MZE10" s="554"/>
      <c r="MZF10" s="554"/>
      <c r="MZG10" s="554"/>
      <c r="MZH10" s="554"/>
      <c r="MZI10" s="554"/>
      <c r="MZJ10" s="554"/>
      <c r="MZK10" s="554"/>
      <c r="MZL10" s="554"/>
      <c r="MZM10" s="554"/>
      <c r="MZN10" s="554"/>
      <c r="MZO10" s="554"/>
      <c r="MZP10" s="554"/>
      <c r="MZQ10" s="554"/>
      <c r="MZR10" s="554"/>
      <c r="MZS10" s="554"/>
      <c r="MZT10" s="554"/>
      <c r="MZU10" s="554"/>
      <c r="MZV10" s="554"/>
      <c r="MZW10" s="554"/>
      <c r="MZX10" s="554"/>
      <c r="MZY10" s="554"/>
      <c r="MZZ10" s="554"/>
      <c r="NAA10" s="554"/>
      <c r="NAB10" s="554"/>
      <c r="NAC10" s="554"/>
      <c r="NAD10" s="554"/>
      <c r="NAE10" s="554"/>
      <c r="NAF10" s="554"/>
      <c r="NAG10" s="554"/>
      <c r="NAH10" s="554"/>
      <c r="NAI10" s="554"/>
      <c r="NAJ10" s="554"/>
      <c r="NAK10" s="554"/>
      <c r="NAL10" s="554"/>
      <c r="NAM10" s="554"/>
      <c r="NAN10" s="554"/>
      <c r="NAO10" s="554"/>
      <c r="NAP10" s="554"/>
      <c r="NAQ10" s="554"/>
      <c r="NAR10" s="554"/>
      <c r="NAS10" s="554"/>
      <c r="NAT10" s="554"/>
      <c r="NAU10" s="554"/>
      <c r="NAV10" s="554"/>
      <c r="NAW10" s="554"/>
      <c r="NAX10" s="554"/>
      <c r="NAY10" s="554"/>
      <c r="NAZ10" s="554"/>
      <c r="NBA10" s="554"/>
      <c r="NBB10" s="554"/>
      <c r="NBC10" s="554"/>
      <c r="NBD10" s="554"/>
      <c r="NBE10" s="554"/>
      <c r="NBF10" s="554"/>
      <c r="NBG10" s="554"/>
      <c r="NBH10" s="554"/>
      <c r="NBI10" s="554"/>
      <c r="NBJ10" s="554"/>
      <c r="NBK10" s="554"/>
      <c r="NBL10" s="554"/>
      <c r="NBM10" s="554"/>
      <c r="NBN10" s="554"/>
      <c r="NBO10" s="554"/>
      <c r="NBP10" s="554"/>
      <c r="NBQ10" s="554"/>
      <c r="NBR10" s="554"/>
      <c r="NBS10" s="554"/>
      <c r="NBT10" s="554"/>
      <c r="NBU10" s="554"/>
      <c r="NBV10" s="554"/>
      <c r="NBW10" s="554"/>
      <c r="NBX10" s="554"/>
      <c r="NBY10" s="554"/>
      <c r="NBZ10" s="554"/>
      <c r="NCA10" s="554"/>
      <c r="NCB10" s="554"/>
      <c r="NCC10" s="554"/>
      <c r="NCD10" s="554"/>
      <c r="NCE10" s="554"/>
      <c r="NCF10" s="554"/>
      <c r="NCG10" s="554"/>
      <c r="NCH10" s="554"/>
      <c r="NCI10" s="554"/>
      <c r="NCJ10" s="554"/>
      <c r="NCK10" s="554"/>
      <c r="NCL10" s="554"/>
      <c r="NCM10" s="554"/>
      <c r="NCN10" s="554"/>
      <c r="NCO10" s="554"/>
      <c r="NCP10" s="554"/>
      <c r="NCQ10" s="554"/>
      <c r="NCR10" s="554"/>
      <c r="NCS10" s="554"/>
      <c r="NCT10" s="554"/>
      <c r="NCU10" s="554"/>
      <c r="NCV10" s="554"/>
      <c r="NCW10" s="554"/>
      <c r="NCX10" s="554"/>
      <c r="NCY10" s="554"/>
      <c r="NCZ10" s="554"/>
      <c r="NDA10" s="554"/>
      <c r="NDB10" s="554"/>
      <c r="NDC10" s="554"/>
      <c r="NDD10" s="554"/>
      <c r="NDE10" s="554"/>
      <c r="NDF10" s="554"/>
      <c r="NDG10" s="554"/>
      <c r="NDH10" s="554"/>
      <c r="NDI10" s="554"/>
      <c r="NDJ10" s="554"/>
      <c r="NDK10" s="554"/>
      <c r="NDL10" s="554"/>
      <c r="NDM10" s="554"/>
      <c r="NDN10" s="554"/>
      <c r="NDO10" s="554"/>
      <c r="NDP10" s="554"/>
      <c r="NDQ10" s="554"/>
      <c r="NDR10" s="554"/>
      <c r="NDS10" s="554"/>
      <c r="NDT10" s="554"/>
      <c r="NDU10" s="554"/>
      <c r="NDV10" s="554"/>
      <c r="NDW10" s="554"/>
      <c r="NDX10" s="554"/>
      <c r="NDY10" s="554"/>
      <c r="NDZ10" s="554"/>
      <c r="NEA10" s="554"/>
      <c r="NEB10" s="554"/>
      <c r="NEC10" s="554"/>
      <c r="NED10" s="554"/>
      <c r="NEE10" s="554"/>
      <c r="NEF10" s="554"/>
      <c r="NEG10" s="554"/>
      <c r="NEH10" s="554"/>
      <c r="NEI10" s="554"/>
      <c r="NEJ10" s="554"/>
      <c r="NEK10" s="554"/>
      <c r="NEL10" s="554"/>
      <c r="NEM10" s="554"/>
      <c r="NEN10" s="554"/>
      <c r="NEO10" s="554"/>
      <c r="NEP10" s="554"/>
      <c r="NEQ10" s="554"/>
      <c r="NER10" s="554"/>
      <c r="NES10" s="554"/>
      <c r="NET10" s="554"/>
      <c r="NEU10" s="554"/>
      <c r="NEV10" s="554"/>
      <c r="NEW10" s="554"/>
      <c r="NEX10" s="554"/>
      <c r="NEY10" s="554"/>
      <c r="NEZ10" s="554"/>
      <c r="NFA10" s="554"/>
      <c r="NFB10" s="554"/>
      <c r="NFC10" s="554"/>
      <c r="NFD10" s="554"/>
      <c r="NFE10" s="554"/>
      <c r="NFF10" s="554"/>
      <c r="NFG10" s="554"/>
      <c r="NFH10" s="554"/>
      <c r="NFI10" s="554"/>
      <c r="NFJ10" s="554"/>
      <c r="NFK10" s="554"/>
      <c r="NFL10" s="554"/>
      <c r="NFM10" s="554"/>
      <c r="NFN10" s="554"/>
      <c r="NFO10" s="554"/>
      <c r="NFP10" s="554"/>
      <c r="NFQ10" s="554"/>
      <c r="NFR10" s="554"/>
      <c r="NFS10" s="554"/>
      <c r="NFT10" s="554"/>
      <c r="NFU10" s="554"/>
      <c r="NFV10" s="554"/>
      <c r="NFW10" s="554"/>
      <c r="NFX10" s="554"/>
      <c r="NFY10" s="554"/>
      <c r="NFZ10" s="554"/>
      <c r="NGA10" s="554"/>
      <c r="NGB10" s="554"/>
      <c r="NGC10" s="554"/>
      <c r="NGD10" s="554"/>
      <c r="NGE10" s="554"/>
      <c r="NGF10" s="554"/>
      <c r="NGG10" s="554"/>
      <c r="NGH10" s="554"/>
      <c r="NGI10" s="554"/>
      <c r="NGJ10" s="554"/>
      <c r="NGK10" s="554"/>
      <c r="NGL10" s="554"/>
      <c r="NGM10" s="554"/>
      <c r="NGN10" s="554"/>
      <c r="NGO10" s="554"/>
      <c r="NGP10" s="554"/>
      <c r="NGQ10" s="554"/>
      <c r="NGR10" s="554"/>
      <c r="NGS10" s="554"/>
      <c r="NGT10" s="554"/>
      <c r="NGU10" s="554"/>
      <c r="NGV10" s="554"/>
      <c r="NGW10" s="554"/>
      <c r="NGX10" s="554"/>
      <c r="NGY10" s="554"/>
      <c r="NGZ10" s="554"/>
      <c r="NHA10" s="554"/>
      <c r="NHB10" s="554"/>
      <c r="NHC10" s="554"/>
      <c r="NHD10" s="554"/>
      <c r="NHE10" s="554"/>
      <c r="NHF10" s="554"/>
      <c r="NHG10" s="554"/>
      <c r="NHH10" s="554"/>
      <c r="NHI10" s="554"/>
      <c r="NHJ10" s="554"/>
      <c r="NHK10" s="554"/>
      <c r="NHL10" s="554"/>
      <c r="NHM10" s="554"/>
      <c r="NHN10" s="554"/>
      <c r="NHO10" s="554"/>
      <c r="NHP10" s="554"/>
      <c r="NHQ10" s="554"/>
      <c r="NHR10" s="554"/>
      <c r="NHS10" s="554"/>
      <c r="NHT10" s="554"/>
      <c r="NHU10" s="554"/>
      <c r="NHV10" s="554"/>
      <c r="NHW10" s="554"/>
      <c r="NHX10" s="554"/>
      <c r="NHY10" s="554"/>
      <c r="NHZ10" s="554"/>
      <c r="NIA10" s="554"/>
      <c r="NIB10" s="554"/>
      <c r="NIC10" s="554"/>
      <c r="NID10" s="554"/>
      <c r="NIE10" s="554"/>
      <c r="NIF10" s="554"/>
      <c r="NIG10" s="554"/>
      <c r="NIH10" s="554"/>
      <c r="NII10" s="554"/>
      <c r="NIJ10" s="554"/>
      <c r="NIK10" s="554"/>
      <c r="NIL10" s="554"/>
      <c r="NIM10" s="554"/>
      <c r="NIN10" s="554"/>
      <c r="NIO10" s="554"/>
      <c r="NIP10" s="554"/>
      <c r="NIQ10" s="554"/>
      <c r="NIR10" s="554"/>
      <c r="NIS10" s="554"/>
      <c r="NIT10" s="554"/>
      <c r="NIU10" s="554"/>
      <c r="NIV10" s="554"/>
      <c r="NIW10" s="554"/>
      <c r="NIX10" s="554"/>
      <c r="NIY10" s="554"/>
      <c r="NIZ10" s="554"/>
      <c r="NJA10" s="554"/>
      <c r="NJB10" s="554"/>
      <c r="NJC10" s="554"/>
      <c r="NJD10" s="554"/>
      <c r="NJE10" s="554"/>
      <c r="NJF10" s="554"/>
      <c r="NJG10" s="554"/>
      <c r="NJH10" s="554"/>
      <c r="NJI10" s="554"/>
      <c r="NJJ10" s="554"/>
      <c r="NJK10" s="554"/>
      <c r="NJL10" s="554"/>
      <c r="NJM10" s="554"/>
      <c r="NJN10" s="554"/>
      <c r="NJO10" s="554"/>
      <c r="NJP10" s="554"/>
      <c r="NJQ10" s="554"/>
      <c r="NJR10" s="554"/>
      <c r="NJS10" s="554"/>
      <c r="NJT10" s="554"/>
      <c r="NJU10" s="554"/>
      <c r="NJV10" s="554"/>
      <c r="NJW10" s="554"/>
      <c r="NJX10" s="554"/>
      <c r="NJY10" s="554"/>
      <c r="NJZ10" s="554"/>
      <c r="NKA10" s="554"/>
      <c r="NKB10" s="554"/>
      <c r="NKC10" s="554"/>
      <c r="NKD10" s="554"/>
      <c r="NKE10" s="554"/>
      <c r="NKF10" s="554"/>
      <c r="NKG10" s="554"/>
      <c r="NKH10" s="554"/>
      <c r="NKI10" s="554"/>
      <c r="NKJ10" s="554"/>
      <c r="NKK10" s="554"/>
      <c r="NKL10" s="554"/>
      <c r="NKM10" s="554"/>
      <c r="NKN10" s="554"/>
      <c r="NKO10" s="554"/>
      <c r="NKP10" s="554"/>
      <c r="NKQ10" s="554"/>
      <c r="NKR10" s="554"/>
      <c r="NKS10" s="554"/>
      <c r="NKT10" s="554"/>
      <c r="NKU10" s="554"/>
      <c r="NKV10" s="554"/>
      <c r="NKW10" s="554"/>
      <c r="NKX10" s="554"/>
      <c r="NKY10" s="554"/>
      <c r="NKZ10" s="554"/>
      <c r="NLA10" s="554"/>
      <c r="NLB10" s="554"/>
      <c r="NLC10" s="554"/>
      <c r="NLD10" s="554"/>
      <c r="NLE10" s="554"/>
      <c r="NLF10" s="554"/>
      <c r="NLG10" s="554"/>
      <c r="NLH10" s="554"/>
      <c r="NLI10" s="554"/>
      <c r="NLJ10" s="554"/>
      <c r="NLK10" s="554"/>
      <c r="NLL10" s="554"/>
      <c r="NLM10" s="554"/>
      <c r="NLN10" s="554"/>
      <c r="NLO10" s="554"/>
      <c r="NLP10" s="554"/>
      <c r="NLQ10" s="554"/>
      <c r="NLR10" s="554"/>
      <c r="NLS10" s="554"/>
      <c r="NLT10" s="554"/>
      <c r="NLU10" s="554"/>
      <c r="NLV10" s="554"/>
      <c r="NLW10" s="554"/>
      <c r="NLX10" s="554"/>
      <c r="NLY10" s="554"/>
      <c r="NLZ10" s="554"/>
      <c r="NMA10" s="554"/>
      <c r="NMB10" s="554"/>
      <c r="NMC10" s="554"/>
      <c r="NMD10" s="554"/>
      <c r="NME10" s="554"/>
      <c r="NMF10" s="554"/>
      <c r="NMG10" s="554"/>
      <c r="NMH10" s="554"/>
      <c r="NMI10" s="554"/>
      <c r="NMJ10" s="554"/>
      <c r="NMK10" s="554"/>
      <c r="NML10" s="554"/>
      <c r="NMM10" s="554"/>
      <c r="NMN10" s="554"/>
      <c r="NMO10" s="554"/>
      <c r="NMP10" s="554"/>
      <c r="NMQ10" s="554"/>
      <c r="NMR10" s="554"/>
      <c r="NMS10" s="554"/>
      <c r="NMT10" s="554"/>
      <c r="NMU10" s="554"/>
      <c r="NMV10" s="554"/>
      <c r="NMW10" s="554"/>
      <c r="NMX10" s="554"/>
      <c r="NMY10" s="554"/>
      <c r="NMZ10" s="554"/>
      <c r="NNA10" s="554"/>
      <c r="NNB10" s="554"/>
      <c r="NNC10" s="554"/>
      <c r="NND10" s="554"/>
      <c r="NNE10" s="554"/>
      <c r="NNF10" s="554"/>
      <c r="NNG10" s="554"/>
      <c r="NNH10" s="554"/>
      <c r="NNI10" s="554"/>
      <c r="NNJ10" s="554"/>
      <c r="NNK10" s="554"/>
      <c r="NNL10" s="554"/>
      <c r="NNM10" s="554"/>
      <c r="NNN10" s="554"/>
      <c r="NNO10" s="554"/>
      <c r="NNP10" s="554"/>
      <c r="NNQ10" s="554"/>
      <c r="NNR10" s="554"/>
      <c r="NNS10" s="554"/>
      <c r="NNT10" s="554"/>
      <c r="NNU10" s="554"/>
      <c r="NNV10" s="554"/>
      <c r="NNW10" s="554"/>
      <c r="NNX10" s="554"/>
      <c r="NNY10" s="554"/>
      <c r="NNZ10" s="554"/>
      <c r="NOA10" s="554"/>
      <c r="NOB10" s="554"/>
      <c r="NOC10" s="554"/>
      <c r="NOD10" s="554"/>
      <c r="NOE10" s="554"/>
      <c r="NOF10" s="554"/>
      <c r="NOG10" s="554"/>
      <c r="NOH10" s="554"/>
      <c r="NOI10" s="554"/>
      <c r="NOJ10" s="554"/>
      <c r="NOK10" s="554"/>
      <c r="NOL10" s="554"/>
      <c r="NOM10" s="554"/>
      <c r="NON10" s="554"/>
      <c r="NOO10" s="554"/>
      <c r="NOP10" s="554"/>
      <c r="NOQ10" s="554"/>
      <c r="NOR10" s="554"/>
      <c r="NOS10" s="554"/>
      <c r="NOT10" s="554"/>
      <c r="NOU10" s="554"/>
      <c r="NOV10" s="554"/>
      <c r="NOW10" s="554"/>
      <c r="NOX10" s="554"/>
      <c r="NOY10" s="554"/>
      <c r="NOZ10" s="554"/>
      <c r="NPA10" s="554"/>
      <c r="NPB10" s="554"/>
      <c r="NPC10" s="554"/>
      <c r="NPD10" s="554"/>
      <c r="NPE10" s="554"/>
      <c r="NPF10" s="554"/>
      <c r="NPG10" s="554"/>
      <c r="NPH10" s="554"/>
      <c r="NPI10" s="554"/>
      <c r="NPJ10" s="554"/>
      <c r="NPK10" s="554"/>
      <c r="NPL10" s="554"/>
      <c r="NPM10" s="554"/>
      <c r="NPN10" s="554"/>
      <c r="NPO10" s="554"/>
      <c r="NPP10" s="554"/>
      <c r="NPQ10" s="554"/>
      <c r="NPR10" s="554"/>
      <c r="NPS10" s="554"/>
      <c r="NPT10" s="554"/>
      <c r="NPU10" s="554"/>
      <c r="NPV10" s="554"/>
      <c r="NPW10" s="554"/>
      <c r="NPX10" s="554"/>
      <c r="NPY10" s="554"/>
      <c r="NPZ10" s="554"/>
      <c r="NQA10" s="554"/>
      <c r="NQB10" s="554"/>
      <c r="NQC10" s="554"/>
      <c r="NQD10" s="554"/>
      <c r="NQE10" s="554"/>
      <c r="NQF10" s="554"/>
      <c r="NQG10" s="554"/>
      <c r="NQH10" s="554"/>
      <c r="NQI10" s="554"/>
      <c r="NQJ10" s="554"/>
      <c r="NQK10" s="554"/>
      <c r="NQL10" s="554"/>
      <c r="NQM10" s="554"/>
      <c r="NQN10" s="554"/>
      <c r="NQO10" s="554"/>
      <c r="NQP10" s="554"/>
      <c r="NQQ10" s="554"/>
      <c r="NQR10" s="554"/>
      <c r="NQS10" s="554"/>
      <c r="NQT10" s="554"/>
      <c r="NQU10" s="554"/>
      <c r="NQV10" s="554"/>
      <c r="NQW10" s="554"/>
      <c r="NQX10" s="554"/>
      <c r="NQY10" s="554"/>
      <c r="NQZ10" s="554"/>
      <c r="NRA10" s="554"/>
      <c r="NRB10" s="554"/>
      <c r="NRC10" s="554"/>
      <c r="NRD10" s="554"/>
      <c r="NRE10" s="554"/>
      <c r="NRF10" s="554"/>
      <c r="NRG10" s="554"/>
      <c r="NRH10" s="554"/>
      <c r="NRI10" s="554"/>
      <c r="NRJ10" s="554"/>
      <c r="NRK10" s="554"/>
      <c r="NRL10" s="554"/>
      <c r="NRM10" s="554"/>
      <c r="NRN10" s="554"/>
      <c r="NRO10" s="554"/>
      <c r="NRP10" s="554"/>
      <c r="NRQ10" s="554"/>
      <c r="NRR10" s="554"/>
      <c r="NRS10" s="554"/>
      <c r="NRT10" s="554"/>
      <c r="NRU10" s="554"/>
      <c r="NRV10" s="554"/>
      <c r="NRW10" s="554"/>
      <c r="NRX10" s="554"/>
      <c r="NRY10" s="554"/>
      <c r="NRZ10" s="554"/>
      <c r="NSA10" s="554"/>
      <c r="NSB10" s="554"/>
      <c r="NSC10" s="554"/>
      <c r="NSD10" s="554"/>
      <c r="NSE10" s="554"/>
      <c r="NSF10" s="554"/>
      <c r="NSG10" s="554"/>
      <c r="NSH10" s="554"/>
      <c r="NSI10" s="554"/>
      <c r="NSJ10" s="554"/>
      <c r="NSK10" s="554"/>
      <c r="NSL10" s="554"/>
      <c r="NSM10" s="554"/>
      <c r="NSN10" s="554"/>
      <c r="NSO10" s="554"/>
      <c r="NSP10" s="554"/>
      <c r="NSQ10" s="554"/>
      <c r="NSR10" s="554"/>
      <c r="NSS10" s="554"/>
      <c r="NST10" s="554"/>
      <c r="NSU10" s="554"/>
      <c r="NSV10" s="554"/>
      <c r="NSW10" s="554"/>
      <c r="NSX10" s="554"/>
      <c r="NSY10" s="554"/>
      <c r="NSZ10" s="554"/>
      <c r="NTA10" s="554"/>
      <c r="NTB10" s="554"/>
      <c r="NTC10" s="554"/>
      <c r="NTD10" s="554"/>
      <c r="NTE10" s="554"/>
      <c r="NTF10" s="554"/>
      <c r="NTG10" s="554"/>
      <c r="NTH10" s="554"/>
      <c r="NTI10" s="554"/>
      <c r="NTJ10" s="554"/>
      <c r="NTK10" s="554"/>
      <c r="NTL10" s="554"/>
      <c r="NTM10" s="554"/>
      <c r="NTN10" s="554"/>
      <c r="NTO10" s="554"/>
      <c r="NTP10" s="554"/>
      <c r="NTQ10" s="554"/>
      <c r="NTR10" s="554"/>
      <c r="NTS10" s="554"/>
      <c r="NTT10" s="554"/>
      <c r="NTU10" s="554"/>
      <c r="NTV10" s="554"/>
      <c r="NTW10" s="554"/>
      <c r="NTX10" s="554"/>
      <c r="NTY10" s="554"/>
      <c r="NTZ10" s="554"/>
      <c r="NUA10" s="554"/>
      <c r="NUB10" s="554"/>
      <c r="NUC10" s="554"/>
      <c r="NUD10" s="554"/>
      <c r="NUE10" s="554"/>
      <c r="NUF10" s="554"/>
      <c r="NUG10" s="554"/>
      <c r="NUH10" s="554"/>
      <c r="NUI10" s="554"/>
      <c r="NUJ10" s="554"/>
      <c r="NUK10" s="554"/>
      <c r="NUL10" s="554"/>
      <c r="NUM10" s="554"/>
      <c r="NUN10" s="554"/>
      <c r="NUO10" s="554"/>
      <c r="NUP10" s="554"/>
      <c r="NUQ10" s="554"/>
      <c r="NUR10" s="554"/>
      <c r="NUS10" s="554"/>
      <c r="NUT10" s="554"/>
      <c r="NUU10" s="554"/>
      <c r="NUV10" s="554"/>
      <c r="NUW10" s="554"/>
      <c r="NUX10" s="554"/>
      <c r="NUY10" s="554"/>
      <c r="NUZ10" s="554"/>
      <c r="NVA10" s="554"/>
      <c r="NVB10" s="554"/>
      <c r="NVC10" s="554"/>
      <c r="NVD10" s="554"/>
      <c r="NVE10" s="554"/>
      <c r="NVF10" s="554"/>
      <c r="NVG10" s="554"/>
      <c r="NVH10" s="554"/>
      <c r="NVI10" s="554"/>
      <c r="NVJ10" s="554"/>
      <c r="NVK10" s="554"/>
      <c r="NVL10" s="554"/>
      <c r="NVM10" s="554"/>
      <c r="NVN10" s="554"/>
      <c r="NVO10" s="554"/>
      <c r="NVP10" s="554"/>
      <c r="NVQ10" s="554"/>
      <c r="NVR10" s="554"/>
      <c r="NVS10" s="554"/>
      <c r="NVT10" s="554"/>
      <c r="NVU10" s="554"/>
      <c r="NVV10" s="554"/>
      <c r="NVW10" s="554"/>
      <c r="NVX10" s="554"/>
      <c r="NVY10" s="554"/>
      <c r="NVZ10" s="554"/>
      <c r="NWA10" s="554"/>
      <c r="NWB10" s="554"/>
      <c r="NWC10" s="554"/>
      <c r="NWD10" s="554"/>
      <c r="NWE10" s="554"/>
      <c r="NWF10" s="554"/>
      <c r="NWG10" s="554"/>
      <c r="NWH10" s="554"/>
      <c r="NWI10" s="554"/>
      <c r="NWJ10" s="554"/>
      <c r="NWK10" s="554"/>
      <c r="NWL10" s="554"/>
      <c r="NWM10" s="554"/>
      <c r="NWN10" s="554"/>
      <c r="NWO10" s="554"/>
      <c r="NWP10" s="554"/>
      <c r="NWQ10" s="554"/>
      <c r="NWR10" s="554"/>
      <c r="NWS10" s="554"/>
      <c r="NWT10" s="554"/>
      <c r="NWU10" s="554"/>
      <c r="NWV10" s="554"/>
      <c r="NWW10" s="554"/>
      <c r="NWX10" s="554"/>
      <c r="NWY10" s="554"/>
      <c r="NWZ10" s="554"/>
      <c r="NXA10" s="554"/>
      <c r="NXB10" s="554"/>
      <c r="NXC10" s="554"/>
      <c r="NXD10" s="554"/>
      <c r="NXE10" s="554"/>
      <c r="NXF10" s="554"/>
      <c r="NXG10" s="554"/>
      <c r="NXH10" s="554"/>
      <c r="NXI10" s="554"/>
      <c r="NXJ10" s="554"/>
      <c r="NXK10" s="554"/>
      <c r="NXL10" s="554"/>
      <c r="NXM10" s="554"/>
      <c r="NXN10" s="554"/>
      <c r="NXO10" s="554"/>
      <c r="NXP10" s="554"/>
      <c r="NXQ10" s="554"/>
      <c r="NXR10" s="554"/>
      <c r="NXS10" s="554"/>
      <c r="NXT10" s="554"/>
      <c r="NXU10" s="554"/>
      <c r="NXV10" s="554"/>
      <c r="NXW10" s="554"/>
      <c r="NXX10" s="554"/>
      <c r="NXY10" s="554"/>
      <c r="NXZ10" s="554"/>
      <c r="NYA10" s="554"/>
      <c r="NYB10" s="554"/>
      <c r="NYC10" s="554"/>
      <c r="NYD10" s="554"/>
      <c r="NYE10" s="554"/>
      <c r="NYF10" s="554"/>
      <c r="NYG10" s="554"/>
      <c r="NYH10" s="554"/>
      <c r="NYI10" s="554"/>
      <c r="NYJ10" s="554"/>
      <c r="NYK10" s="554"/>
      <c r="NYL10" s="554"/>
      <c r="NYM10" s="554"/>
      <c r="NYN10" s="554"/>
      <c r="NYO10" s="554"/>
      <c r="NYP10" s="554"/>
      <c r="NYQ10" s="554"/>
      <c r="NYR10" s="554"/>
      <c r="NYS10" s="554"/>
      <c r="NYT10" s="554"/>
      <c r="NYU10" s="554"/>
      <c r="NYV10" s="554"/>
      <c r="NYW10" s="554"/>
      <c r="NYX10" s="554"/>
      <c r="NYY10" s="554"/>
      <c r="NYZ10" s="554"/>
      <c r="NZA10" s="554"/>
      <c r="NZB10" s="554"/>
      <c r="NZC10" s="554"/>
      <c r="NZD10" s="554"/>
      <c r="NZE10" s="554"/>
      <c r="NZF10" s="554"/>
      <c r="NZG10" s="554"/>
      <c r="NZH10" s="554"/>
      <c r="NZI10" s="554"/>
      <c r="NZJ10" s="554"/>
      <c r="NZK10" s="554"/>
      <c r="NZL10" s="554"/>
      <c r="NZM10" s="554"/>
      <c r="NZN10" s="554"/>
      <c r="NZO10" s="554"/>
      <c r="NZP10" s="554"/>
      <c r="NZQ10" s="554"/>
      <c r="NZR10" s="554"/>
      <c r="NZS10" s="554"/>
      <c r="NZT10" s="554"/>
      <c r="NZU10" s="554"/>
      <c r="NZV10" s="554"/>
      <c r="NZW10" s="554"/>
      <c r="NZX10" s="554"/>
      <c r="NZY10" s="554"/>
      <c r="NZZ10" s="554"/>
      <c r="OAA10" s="554"/>
      <c r="OAB10" s="554"/>
      <c r="OAC10" s="554"/>
      <c r="OAD10" s="554"/>
      <c r="OAE10" s="554"/>
      <c r="OAF10" s="554"/>
      <c r="OAG10" s="554"/>
      <c r="OAH10" s="554"/>
      <c r="OAI10" s="554"/>
      <c r="OAJ10" s="554"/>
      <c r="OAK10" s="554"/>
      <c r="OAL10" s="554"/>
      <c r="OAM10" s="554"/>
      <c r="OAN10" s="554"/>
      <c r="OAO10" s="554"/>
      <c r="OAP10" s="554"/>
      <c r="OAQ10" s="554"/>
      <c r="OAR10" s="554"/>
      <c r="OAS10" s="554"/>
      <c r="OAT10" s="554"/>
      <c r="OAU10" s="554"/>
      <c r="OAV10" s="554"/>
      <c r="OAW10" s="554"/>
      <c r="OAX10" s="554"/>
      <c r="OAY10" s="554"/>
      <c r="OAZ10" s="554"/>
      <c r="OBA10" s="554"/>
      <c r="OBB10" s="554"/>
      <c r="OBC10" s="554"/>
      <c r="OBD10" s="554"/>
      <c r="OBE10" s="554"/>
      <c r="OBF10" s="554"/>
      <c r="OBG10" s="554"/>
      <c r="OBH10" s="554"/>
      <c r="OBI10" s="554"/>
      <c r="OBJ10" s="554"/>
      <c r="OBK10" s="554"/>
      <c r="OBL10" s="554"/>
      <c r="OBM10" s="554"/>
      <c r="OBN10" s="554"/>
      <c r="OBO10" s="554"/>
      <c r="OBP10" s="554"/>
      <c r="OBQ10" s="554"/>
      <c r="OBR10" s="554"/>
      <c r="OBS10" s="554"/>
      <c r="OBT10" s="554"/>
      <c r="OBU10" s="554"/>
      <c r="OBV10" s="554"/>
      <c r="OBW10" s="554"/>
      <c r="OBX10" s="554"/>
      <c r="OBY10" s="554"/>
      <c r="OBZ10" s="554"/>
      <c r="OCA10" s="554"/>
      <c r="OCB10" s="554"/>
      <c r="OCC10" s="554"/>
      <c r="OCD10" s="554"/>
      <c r="OCE10" s="554"/>
      <c r="OCF10" s="554"/>
      <c r="OCG10" s="554"/>
      <c r="OCH10" s="554"/>
      <c r="OCI10" s="554"/>
      <c r="OCJ10" s="554"/>
      <c r="OCK10" s="554"/>
      <c r="OCL10" s="554"/>
      <c r="OCM10" s="554"/>
      <c r="OCN10" s="554"/>
      <c r="OCO10" s="554"/>
      <c r="OCP10" s="554"/>
      <c r="OCQ10" s="554"/>
      <c r="OCR10" s="554"/>
      <c r="OCS10" s="554"/>
      <c r="OCT10" s="554"/>
      <c r="OCU10" s="554"/>
      <c r="OCV10" s="554"/>
      <c r="OCW10" s="554"/>
      <c r="OCX10" s="554"/>
      <c r="OCY10" s="554"/>
      <c r="OCZ10" s="554"/>
      <c r="ODA10" s="554"/>
      <c r="ODB10" s="554"/>
      <c r="ODC10" s="554"/>
      <c r="ODD10" s="554"/>
      <c r="ODE10" s="554"/>
      <c r="ODF10" s="554"/>
      <c r="ODG10" s="554"/>
      <c r="ODH10" s="554"/>
      <c r="ODI10" s="554"/>
      <c r="ODJ10" s="554"/>
      <c r="ODK10" s="554"/>
      <c r="ODL10" s="554"/>
      <c r="ODM10" s="554"/>
      <c r="ODN10" s="554"/>
      <c r="ODO10" s="554"/>
      <c r="ODP10" s="554"/>
      <c r="ODQ10" s="554"/>
      <c r="ODR10" s="554"/>
      <c r="ODS10" s="554"/>
      <c r="ODT10" s="554"/>
      <c r="ODU10" s="554"/>
      <c r="ODV10" s="554"/>
      <c r="ODW10" s="554"/>
      <c r="ODX10" s="554"/>
      <c r="ODY10" s="554"/>
      <c r="ODZ10" s="554"/>
      <c r="OEA10" s="554"/>
      <c r="OEB10" s="554"/>
      <c r="OEC10" s="554"/>
      <c r="OED10" s="554"/>
      <c r="OEE10" s="554"/>
      <c r="OEF10" s="554"/>
      <c r="OEG10" s="554"/>
      <c r="OEH10" s="554"/>
      <c r="OEI10" s="554"/>
      <c r="OEJ10" s="554"/>
      <c r="OEK10" s="554"/>
      <c r="OEL10" s="554"/>
      <c r="OEM10" s="554"/>
      <c r="OEN10" s="554"/>
      <c r="OEO10" s="554"/>
      <c r="OEP10" s="554"/>
      <c r="OEQ10" s="554"/>
      <c r="OER10" s="554"/>
      <c r="OES10" s="554"/>
      <c r="OET10" s="554"/>
      <c r="OEU10" s="554"/>
      <c r="OEV10" s="554"/>
      <c r="OEW10" s="554"/>
      <c r="OEX10" s="554"/>
      <c r="OEY10" s="554"/>
      <c r="OEZ10" s="554"/>
      <c r="OFA10" s="554"/>
      <c r="OFB10" s="554"/>
      <c r="OFC10" s="554"/>
      <c r="OFD10" s="554"/>
      <c r="OFE10" s="554"/>
      <c r="OFF10" s="554"/>
      <c r="OFG10" s="554"/>
      <c r="OFH10" s="554"/>
      <c r="OFI10" s="554"/>
      <c r="OFJ10" s="554"/>
      <c r="OFK10" s="554"/>
      <c r="OFL10" s="554"/>
      <c r="OFM10" s="554"/>
      <c r="OFN10" s="554"/>
      <c r="OFO10" s="554"/>
      <c r="OFP10" s="554"/>
      <c r="OFQ10" s="554"/>
      <c r="OFR10" s="554"/>
      <c r="OFS10" s="554"/>
      <c r="OFT10" s="554"/>
      <c r="OFU10" s="554"/>
      <c r="OFV10" s="554"/>
      <c r="OFW10" s="554"/>
      <c r="OFX10" s="554"/>
      <c r="OFY10" s="554"/>
      <c r="OFZ10" s="554"/>
      <c r="OGA10" s="554"/>
      <c r="OGB10" s="554"/>
      <c r="OGC10" s="554"/>
      <c r="OGD10" s="554"/>
      <c r="OGE10" s="554"/>
      <c r="OGF10" s="554"/>
      <c r="OGG10" s="554"/>
      <c r="OGH10" s="554"/>
      <c r="OGI10" s="554"/>
      <c r="OGJ10" s="554"/>
      <c r="OGK10" s="554"/>
      <c r="OGL10" s="554"/>
      <c r="OGM10" s="554"/>
      <c r="OGN10" s="554"/>
      <c r="OGO10" s="554"/>
      <c r="OGP10" s="554"/>
      <c r="OGQ10" s="554"/>
      <c r="OGR10" s="554"/>
      <c r="OGS10" s="554"/>
      <c r="OGT10" s="554"/>
      <c r="OGU10" s="554"/>
      <c r="OGV10" s="554"/>
      <c r="OGW10" s="554"/>
      <c r="OGX10" s="554"/>
      <c r="OGY10" s="554"/>
      <c r="OGZ10" s="554"/>
      <c r="OHA10" s="554"/>
      <c r="OHB10" s="554"/>
      <c r="OHC10" s="554"/>
      <c r="OHD10" s="554"/>
      <c r="OHE10" s="554"/>
      <c r="OHF10" s="554"/>
      <c r="OHG10" s="554"/>
      <c r="OHH10" s="554"/>
      <c r="OHI10" s="554"/>
      <c r="OHJ10" s="554"/>
      <c r="OHK10" s="554"/>
      <c r="OHL10" s="554"/>
      <c r="OHM10" s="554"/>
      <c r="OHN10" s="554"/>
      <c r="OHO10" s="554"/>
      <c r="OHP10" s="554"/>
      <c r="OHQ10" s="554"/>
      <c r="OHR10" s="554"/>
      <c r="OHS10" s="554"/>
      <c r="OHT10" s="554"/>
      <c r="OHU10" s="554"/>
      <c r="OHV10" s="554"/>
      <c r="OHW10" s="554"/>
      <c r="OHX10" s="554"/>
      <c r="OHY10" s="554"/>
      <c r="OHZ10" s="554"/>
      <c r="OIA10" s="554"/>
      <c r="OIB10" s="554"/>
      <c r="OIC10" s="554"/>
      <c r="OID10" s="554"/>
      <c r="OIE10" s="554"/>
      <c r="OIF10" s="554"/>
      <c r="OIG10" s="554"/>
      <c r="OIH10" s="554"/>
      <c r="OII10" s="554"/>
      <c r="OIJ10" s="554"/>
      <c r="OIK10" s="554"/>
      <c r="OIL10" s="554"/>
      <c r="OIM10" s="554"/>
      <c r="OIN10" s="554"/>
      <c r="OIO10" s="554"/>
      <c r="OIP10" s="554"/>
      <c r="OIQ10" s="554"/>
      <c r="OIR10" s="554"/>
      <c r="OIS10" s="554"/>
      <c r="OIT10" s="554"/>
      <c r="OIU10" s="554"/>
      <c r="OIV10" s="554"/>
      <c r="OIW10" s="554"/>
      <c r="OIX10" s="554"/>
      <c r="OIY10" s="554"/>
      <c r="OIZ10" s="554"/>
      <c r="OJA10" s="554"/>
      <c r="OJB10" s="554"/>
      <c r="OJC10" s="554"/>
      <c r="OJD10" s="554"/>
      <c r="OJE10" s="554"/>
      <c r="OJF10" s="554"/>
      <c r="OJG10" s="554"/>
      <c r="OJH10" s="554"/>
      <c r="OJI10" s="554"/>
      <c r="OJJ10" s="554"/>
      <c r="OJK10" s="554"/>
      <c r="OJL10" s="554"/>
      <c r="OJM10" s="554"/>
      <c r="OJN10" s="554"/>
      <c r="OJO10" s="554"/>
      <c r="OJP10" s="554"/>
      <c r="OJQ10" s="554"/>
      <c r="OJR10" s="554"/>
      <c r="OJS10" s="554"/>
      <c r="OJT10" s="554"/>
      <c r="OJU10" s="554"/>
      <c r="OJV10" s="554"/>
      <c r="OJW10" s="554"/>
      <c r="OJX10" s="554"/>
      <c r="OJY10" s="554"/>
      <c r="OJZ10" s="554"/>
      <c r="OKA10" s="554"/>
      <c r="OKB10" s="554"/>
      <c r="OKC10" s="554"/>
      <c r="OKD10" s="554"/>
      <c r="OKE10" s="554"/>
      <c r="OKF10" s="554"/>
      <c r="OKG10" s="554"/>
      <c r="OKH10" s="554"/>
      <c r="OKI10" s="554"/>
      <c r="OKJ10" s="554"/>
      <c r="OKK10" s="554"/>
      <c r="OKL10" s="554"/>
      <c r="OKM10" s="554"/>
      <c r="OKN10" s="554"/>
      <c r="OKO10" s="554"/>
      <c r="OKP10" s="554"/>
      <c r="OKQ10" s="554"/>
      <c r="OKR10" s="554"/>
      <c r="OKS10" s="554"/>
      <c r="OKT10" s="554"/>
      <c r="OKU10" s="554"/>
      <c r="OKV10" s="554"/>
      <c r="OKW10" s="554"/>
      <c r="OKX10" s="554"/>
      <c r="OKY10" s="554"/>
      <c r="OKZ10" s="554"/>
      <c r="OLA10" s="554"/>
      <c r="OLB10" s="554"/>
      <c r="OLC10" s="554"/>
      <c r="OLD10" s="554"/>
      <c r="OLE10" s="554"/>
      <c r="OLF10" s="554"/>
      <c r="OLG10" s="554"/>
      <c r="OLH10" s="554"/>
      <c r="OLI10" s="554"/>
      <c r="OLJ10" s="554"/>
      <c r="OLK10" s="554"/>
      <c r="OLL10" s="554"/>
      <c r="OLM10" s="554"/>
      <c r="OLN10" s="554"/>
      <c r="OLO10" s="554"/>
      <c r="OLP10" s="554"/>
      <c r="OLQ10" s="554"/>
      <c r="OLR10" s="554"/>
      <c r="OLS10" s="554"/>
      <c r="OLT10" s="554"/>
      <c r="OLU10" s="554"/>
      <c r="OLV10" s="554"/>
      <c r="OLW10" s="554"/>
      <c r="OLX10" s="554"/>
      <c r="OLY10" s="554"/>
      <c r="OLZ10" s="554"/>
      <c r="OMA10" s="554"/>
      <c r="OMB10" s="554"/>
      <c r="OMC10" s="554"/>
      <c r="OMD10" s="554"/>
      <c r="OME10" s="554"/>
      <c r="OMF10" s="554"/>
      <c r="OMG10" s="554"/>
      <c r="OMH10" s="554"/>
      <c r="OMI10" s="554"/>
      <c r="OMJ10" s="554"/>
      <c r="OMK10" s="554"/>
      <c r="OML10" s="554"/>
      <c r="OMM10" s="554"/>
      <c r="OMN10" s="554"/>
      <c r="OMO10" s="554"/>
      <c r="OMP10" s="554"/>
      <c r="OMQ10" s="554"/>
      <c r="OMR10" s="554"/>
      <c r="OMS10" s="554"/>
      <c r="OMT10" s="554"/>
      <c r="OMU10" s="554"/>
      <c r="OMV10" s="554"/>
      <c r="OMW10" s="554"/>
      <c r="OMX10" s="554"/>
      <c r="OMY10" s="554"/>
      <c r="OMZ10" s="554"/>
      <c r="ONA10" s="554"/>
      <c r="ONB10" s="554"/>
      <c r="ONC10" s="554"/>
      <c r="OND10" s="554"/>
      <c r="ONE10" s="554"/>
      <c r="ONF10" s="554"/>
      <c r="ONG10" s="554"/>
      <c r="ONH10" s="554"/>
      <c r="ONI10" s="554"/>
      <c r="ONJ10" s="554"/>
      <c r="ONK10" s="554"/>
      <c r="ONL10" s="554"/>
      <c r="ONM10" s="554"/>
      <c r="ONN10" s="554"/>
      <c r="ONO10" s="554"/>
      <c r="ONP10" s="554"/>
      <c r="ONQ10" s="554"/>
      <c r="ONR10" s="554"/>
      <c r="ONS10" s="554"/>
      <c r="ONT10" s="554"/>
      <c r="ONU10" s="554"/>
      <c r="ONV10" s="554"/>
      <c r="ONW10" s="554"/>
      <c r="ONX10" s="554"/>
      <c r="ONY10" s="554"/>
      <c r="ONZ10" s="554"/>
      <c r="OOA10" s="554"/>
      <c r="OOB10" s="554"/>
      <c r="OOC10" s="554"/>
      <c r="OOD10" s="554"/>
      <c r="OOE10" s="554"/>
      <c r="OOF10" s="554"/>
      <c r="OOG10" s="554"/>
      <c r="OOH10" s="554"/>
      <c r="OOI10" s="554"/>
      <c r="OOJ10" s="554"/>
      <c r="OOK10" s="554"/>
      <c r="OOL10" s="554"/>
      <c r="OOM10" s="554"/>
      <c r="OON10" s="554"/>
      <c r="OOO10" s="554"/>
      <c r="OOP10" s="554"/>
      <c r="OOQ10" s="554"/>
      <c r="OOR10" s="554"/>
      <c r="OOS10" s="554"/>
      <c r="OOT10" s="554"/>
      <c r="OOU10" s="554"/>
      <c r="OOV10" s="554"/>
      <c r="OOW10" s="554"/>
      <c r="OOX10" s="554"/>
      <c r="OOY10" s="554"/>
      <c r="OOZ10" s="554"/>
      <c r="OPA10" s="554"/>
      <c r="OPB10" s="554"/>
      <c r="OPC10" s="554"/>
      <c r="OPD10" s="554"/>
      <c r="OPE10" s="554"/>
      <c r="OPF10" s="554"/>
      <c r="OPG10" s="554"/>
      <c r="OPH10" s="554"/>
      <c r="OPI10" s="554"/>
      <c r="OPJ10" s="554"/>
      <c r="OPK10" s="554"/>
      <c r="OPL10" s="554"/>
      <c r="OPM10" s="554"/>
      <c r="OPN10" s="554"/>
      <c r="OPO10" s="554"/>
      <c r="OPP10" s="554"/>
      <c r="OPQ10" s="554"/>
      <c r="OPR10" s="554"/>
      <c r="OPS10" s="554"/>
      <c r="OPT10" s="554"/>
      <c r="OPU10" s="554"/>
      <c r="OPV10" s="554"/>
      <c r="OPW10" s="554"/>
      <c r="OPX10" s="554"/>
      <c r="OPY10" s="554"/>
      <c r="OPZ10" s="554"/>
      <c r="OQA10" s="554"/>
      <c r="OQB10" s="554"/>
      <c r="OQC10" s="554"/>
      <c r="OQD10" s="554"/>
      <c r="OQE10" s="554"/>
      <c r="OQF10" s="554"/>
      <c r="OQG10" s="554"/>
      <c r="OQH10" s="554"/>
      <c r="OQI10" s="554"/>
      <c r="OQJ10" s="554"/>
      <c r="OQK10" s="554"/>
      <c r="OQL10" s="554"/>
      <c r="OQM10" s="554"/>
      <c r="OQN10" s="554"/>
      <c r="OQO10" s="554"/>
      <c r="OQP10" s="554"/>
      <c r="OQQ10" s="554"/>
      <c r="OQR10" s="554"/>
      <c r="OQS10" s="554"/>
      <c r="OQT10" s="554"/>
      <c r="OQU10" s="554"/>
      <c r="OQV10" s="554"/>
      <c r="OQW10" s="554"/>
      <c r="OQX10" s="554"/>
      <c r="OQY10" s="554"/>
      <c r="OQZ10" s="554"/>
      <c r="ORA10" s="554"/>
      <c r="ORB10" s="554"/>
      <c r="ORC10" s="554"/>
      <c r="ORD10" s="554"/>
      <c r="ORE10" s="554"/>
      <c r="ORF10" s="554"/>
      <c r="ORG10" s="554"/>
      <c r="ORH10" s="554"/>
      <c r="ORI10" s="554"/>
      <c r="ORJ10" s="554"/>
      <c r="ORK10" s="554"/>
      <c r="ORL10" s="554"/>
      <c r="ORM10" s="554"/>
      <c r="ORN10" s="554"/>
      <c r="ORO10" s="554"/>
      <c r="ORP10" s="554"/>
      <c r="ORQ10" s="554"/>
      <c r="ORR10" s="554"/>
      <c r="ORS10" s="554"/>
      <c r="ORT10" s="554"/>
      <c r="ORU10" s="554"/>
      <c r="ORV10" s="554"/>
      <c r="ORW10" s="554"/>
      <c r="ORX10" s="554"/>
      <c r="ORY10" s="554"/>
      <c r="ORZ10" s="554"/>
      <c r="OSA10" s="554"/>
      <c r="OSB10" s="554"/>
      <c r="OSC10" s="554"/>
      <c r="OSD10" s="554"/>
      <c r="OSE10" s="554"/>
      <c r="OSF10" s="554"/>
      <c r="OSG10" s="554"/>
      <c r="OSH10" s="554"/>
      <c r="OSI10" s="554"/>
      <c r="OSJ10" s="554"/>
      <c r="OSK10" s="554"/>
      <c r="OSL10" s="554"/>
      <c r="OSM10" s="554"/>
      <c r="OSN10" s="554"/>
      <c r="OSO10" s="554"/>
      <c r="OSP10" s="554"/>
      <c r="OSQ10" s="554"/>
      <c r="OSR10" s="554"/>
      <c r="OSS10" s="554"/>
      <c r="OST10" s="554"/>
      <c r="OSU10" s="554"/>
      <c r="OSV10" s="554"/>
      <c r="OSW10" s="554"/>
      <c r="OSX10" s="554"/>
      <c r="OSY10" s="554"/>
      <c r="OSZ10" s="554"/>
      <c r="OTA10" s="554"/>
      <c r="OTB10" s="554"/>
      <c r="OTC10" s="554"/>
      <c r="OTD10" s="554"/>
      <c r="OTE10" s="554"/>
      <c r="OTF10" s="554"/>
      <c r="OTG10" s="554"/>
      <c r="OTH10" s="554"/>
      <c r="OTI10" s="554"/>
      <c r="OTJ10" s="554"/>
      <c r="OTK10" s="554"/>
      <c r="OTL10" s="554"/>
      <c r="OTM10" s="554"/>
      <c r="OTN10" s="554"/>
      <c r="OTO10" s="554"/>
      <c r="OTP10" s="554"/>
      <c r="OTQ10" s="554"/>
      <c r="OTR10" s="554"/>
      <c r="OTS10" s="554"/>
      <c r="OTT10" s="554"/>
      <c r="OTU10" s="554"/>
      <c r="OTV10" s="554"/>
      <c r="OTW10" s="554"/>
      <c r="OTX10" s="554"/>
      <c r="OTY10" s="554"/>
      <c r="OTZ10" s="554"/>
      <c r="OUA10" s="554"/>
      <c r="OUB10" s="554"/>
      <c r="OUC10" s="554"/>
      <c r="OUD10" s="554"/>
      <c r="OUE10" s="554"/>
      <c r="OUF10" s="554"/>
      <c r="OUG10" s="554"/>
      <c r="OUH10" s="554"/>
      <c r="OUI10" s="554"/>
      <c r="OUJ10" s="554"/>
      <c r="OUK10" s="554"/>
      <c r="OUL10" s="554"/>
      <c r="OUM10" s="554"/>
      <c r="OUN10" s="554"/>
      <c r="OUO10" s="554"/>
      <c r="OUP10" s="554"/>
      <c r="OUQ10" s="554"/>
      <c r="OUR10" s="554"/>
      <c r="OUS10" s="554"/>
      <c r="OUT10" s="554"/>
      <c r="OUU10" s="554"/>
      <c r="OUV10" s="554"/>
      <c r="OUW10" s="554"/>
      <c r="OUX10" s="554"/>
      <c r="OUY10" s="554"/>
      <c r="OUZ10" s="554"/>
      <c r="OVA10" s="554"/>
      <c r="OVB10" s="554"/>
      <c r="OVC10" s="554"/>
      <c r="OVD10" s="554"/>
      <c r="OVE10" s="554"/>
      <c r="OVF10" s="554"/>
      <c r="OVG10" s="554"/>
      <c r="OVH10" s="554"/>
      <c r="OVI10" s="554"/>
      <c r="OVJ10" s="554"/>
      <c r="OVK10" s="554"/>
      <c r="OVL10" s="554"/>
      <c r="OVM10" s="554"/>
      <c r="OVN10" s="554"/>
      <c r="OVO10" s="554"/>
      <c r="OVP10" s="554"/>
      <c r="OVQ10" s="554"/>
      <c r="OVR10" s="554"/>
      <c r="OVS10" s="554"/>
      <c r="OVT10" s="554"/>
      <c r="OVU10" s="554"/>
      <c r="OVV10" s="554"/>
      <c r="OVW10" s="554"/>
      <c r="OVX10" s="554"/>
      <c r="OVY10" s="554"/>
      <c r="OVZ10" s="554"/>
      <c r="OWA10" s="554"/>
      <c r="OWB10" s="554"/>
      <c r="OWC10" s="554"/>
      <c r="OWD10" s="554"/>
      <c r="OWE10" s="554"/>
      <c r="OWF10" s="554"/>
      <c r="OWG10" s="554"/>
      <c r="OWH10" s="554"/>
      <c r="OWI10" s="554"/>
      <c r="OWJ10" s="554"/>
      <c r="OWK10" s="554"/>
      <c r="OWL10" s="554"/>
      <c r="OWM10" s="554"/>
      <c r="OWN10" s="554"/>
      <c r="OWO10" s="554"/>
      <c r="OWP10" s="554"/>
      <c r="OWQ10" s="554"/>
      <c r="OWR10" s="554"/>
      <c r="OWS10" s="554"/>
      <c r="OWT10" s="554"/>
      <c r="OWU10" s="554"/>
      <c r="OWV10" s="554"/>
      <c r="OWW10" s="554"/>
      <c r="OWX10" s="554"/>
      <c r="OWY10" s="554"/>
      <c r="OWZ10" s="554"/>
      <c r="OXA10" s="554"/>
      <c r="OXB10" s="554"/>
      <c r="OXC10" s="554"/>
      <c r="OXD10" s="554"/>
      <c r="OXE10" s="554"/>
      <c r="OXF10" s="554"/>
      <c r="OXG10" s="554"/>
      <c r="OXH10" s="554"/>
      <c r="OXI10" s="554"/>
      <c r="OXJ10" s="554"/>
      <c r="OXK10" s="554"/>
      <c r="OXL10" s="554"/>
      <c r="OXM10" s="554"/>
      <c r="OXN10" s="554"/>
      <c r="OXO10" s="554"/>
      <c r="OXP10" s="554"/>
      <c r="OXQ10" s="554"/>
      <c r="OXR10" s="554"/>
      <c r="OXS10" s="554"/>
      <c r="OXT10" s="554"/>
      <c r="OXU10" s="554"/>
      <c r="OXV10" s="554"/>
      <c r="OXW10" s="554"/>
      <c r="OXX10" s="554"/>
      <c r="OXY10" s="554"/>
      <c r="OXZ10" s="554"/>
      <c r="OYA10" s="554"/>
      <c r="OYB10" s="554"/>
      <c r="OYC10" s="554"/>
      <c r="OYD10" s="554"/>
      <c r="OYE10" s="554"/>
      <c r="OYF10" s="554"/>
      <c r="OYG10" s="554"/>
      <c r="OYH10" s="554"/>
      <c r="OYI10" s="554"/>
      <c r="OYJ10" s="554"/>
      <c r="OYK10" s="554"/>
      <c r="OYL10" s="554"/>
      <c r="OYM10" s="554"/>
      <c r="OYN10" s="554"/>
      <c r="OYO10" s="554"/>
      <c r="OYP10" s="554"/>
      <c r="OYQ10" s="554"/>
      <c r="OYR10" s="554"/>
      <c r="OYS10" s="554"/>
      <c r="OYT10" s="554"/>
      <c r="OYU10" s="554"/>
      <c r="OYV10" s="554"/>
      <c r="OYW10" s="554"/>
      <c r="OYX10" s="554"/>
      <c r="OYY10" s="554"/>
      <c r="OYZ10" s="554"/>
      <c r="OZA10" s="554"/>
      <c r="OZB10" s="554"/>
      <c r="OZC10" s="554"/>
      <c r="OZD10" s="554"/>
      <c r="OZE10" s="554"/>
      <c r="OZF10" s="554"/>
      <c r="OZG10" s="554"/>
      <c r="OZH10" s="554"/>
      <c r="OZI10" s="554"/>
      <c r="OZJ10" s="554"/>
      <c r="OZK10" s="554"/>
      <c r="OZL10" s="554"/>
      <c r="OZM10" s="554"/>
      <c r="OZN10" s="554"/>
      <c r="OZO10" s="554"/>
      <c r="OZP10" s="554"/>
      <c r="OZQ10" s="554"/>
      <c r="OZR10" s="554"/>
      <c r="OZS10" s="554"/>
      <c r="OZT10" s="554"/>
      <c r="OZU10" s="554"/>
      <c r="OZV10" s="554"/>
      <c r="OZW10" s="554"/>
      <c r="OZX10" s="554"/>
      <c r="OZY10" s="554"/>
      <c r="OZZ10" s="554"/>
      <c r="PAA10" s="554"/>
      <c r="PAB10" s="554"/>
      <c r="PAC10" s="554"/>
      <c r="PAD10" s="554"/>
      <c r="PAE10" s="554"/>
      <c r="PAF10" s="554"/>
      <c r="PAG10" s="554"/>
      <c r="PAH10" s="554"/>
      <c r="PAI10" s="554"/>
      <c r="PAJ10" s="554"/>
      <c r="PAK10" s="554"/>
      <c r="PAL10" s="554"/>
      <c r="PAM10" s="554"/>
      <c r="PAN10" s="554"/>
      <c r="PAO10" s="554"/>
      <c r="PAP10" s="554"/>
      <c r="PAQ10" s="554"/>
      <c r="PAR10" s="554"/>
      <c r="PAS10" s="554"/>
      <c r="PAT10" s="554"/>
      <c r="PAU10" s="554"/>
      <c r="PAV10" s="554"/>
      <c r="PAW10" s="554"/>
      <c r="PAX10" s="554"/>
      <c r="PAY10" s="554"/>
      <c r="PAZ10" s="554"/>
      <c r="PBA10" s="554"/>
      <c r="PBB10" s="554"/>
      <c r="PBC10" s="554"/>
      <c r="PBD10" s="554"/>
      <c r="PBE10" s="554"/>
      <c r="PBF10" s="554"/>
      <c r="PBG10" s="554"/>
      <c r="PBH10" s="554"/>
      <c r="PBI10" s="554"/>
      <c r="PBJ10" s="554"/>
      <c r="PBK10" s="554"/>
      <c r="PBL10" s="554"/>
      <c r="PBM10" s="554"/>
      <c r="PBN10" s="554"/>
      <c r="PBO10" s="554"/>
      <c r="PBP10" s="554"/>
      <c r="PBQ10" s="554"/>
      <c r="PBR10" s="554"/>
      <c r="PBS10" s="554"/>
      <c r="PBT10" s="554"/>
      <c r="PBU10" s="554"/>
      <c r="PBV10" s="554"/>
      <c r="PBW10" s="554"/>
      <c r="PBX10" s="554"/>
      <c r="PBY10" s="554"/>
      <c r="PBZ10" s="554"/>
      <c r="PCA10" s="554"/>
      <c r="PCB10" s="554"/>
      <c r="PCC10" s="554"/>
      <c r="PCD10" s="554"/>
      <c r="PCE10" s="554"/>
      <c r="PCF10" s="554"/>
      <c r="PCG10" s="554"/>
      <c r="PCH10" s="554"/>
      <c r="PCI10" s="554"/>
      <c r="PCJ10" s="554"/>
      <c r="PCK10" s="554"/>
      <c r="PCL10" s="554"/>
      <c r="PCM10" s="554"/>
      <c r="PCN10" s="554"/>
      <c r="PCO10" s="554"/>
      <c r="PCP10" s="554"/>
      <c r="PCQ10" s="554"/>
      <c r="PCR10" s="554"/>
      <c r="PCS10" s="554"/>
      <c r="PCT10" s="554"/>
      <c r="PCU10" s="554"/>
      <c r="PCV10" s="554"/>
      <c r="PCW10" s="554"/>
      <c r="PCX10" s="554"/>
      <c r="PCY10" s="554"/>
      <c r="PCZ10" s="554"/>
      <c r="PDA10" s="554"/>
      <c r="PDB10" s="554"/>
      <c r="PDC10" s="554"/>
      <c r="PDD10" s="554"/>
      <c r="PDE10" s="554"/>
      <c r="PDF10" s="554"/>
      <c r="PDG10" s="554"/>
      <c r="PDH10" s="554"/>
      <c r="PDI10" s="554"/>
      <c r="PDJ10" s="554"/>
      <c r="PDK10" s="554"/>
      <c r="PDL10" s="554"/>
      <c r="PDM10" s="554"/>
      <c r="PDN10" s="554"/>
      <c r="PDO10" s="554"/>
      <c r="PDP10" s="554"/>
      <c r="PDQ10" s="554"/>
      <c r="PDR10" s="554"/>
      <c r="PDS10" s="554"/>
      <c r="PDT10" s="554"/>
      <c r="PDU10" s="554"/>
      <c r="PDV10" s="554"/>
      <c r="PDW10" s="554"/>
      <c r="PDX10" s="554"/>
      <c r="PDY10" s="554"/>
      <c r="PDZ10" s="554"/>
      <c r="PEA10" s="554"/>
      <c r="PEB10" s="554"/>
      <c r="PEC10" s="554"/>
      <c r="PED10" s="554"/>
      <c r="PEE10" s="554"/>
      <c r="PEF10" s="554"/>
      <c r="PEG10" s="554"/>
      <c r="PEH10" s="554"/>
      <c r="PEI10" s="554"/>
      <c r="PEJ10" s="554"/>
      <c r="PEK10" s="554"/>
      <c r="PEL10" s="554"/>
      <c r="PEM10" s="554"/>
      <c r="PEN10" s="554"/>
      <c r="PEO10" s="554"/>
      <c r="PEP10" s="554"/>
      <c r="PEQ10" s="554"/>
      <c r="PER10" s="554"/>
      <c r="PES10" s="554"/>
      <c r="PET10" s="554"/>
      <c r="PEU10" s="554"/>
      <c r="PEV10" s="554"/>
      <c r="PEW10" s="554"/>
      <c r="PEX10" s="554"/>
      <c r="PEY10" s="554"/>
      <c r="PEZ10" s="554"/>
      <c r="PFA10" s="554"/>
      <c r="PFB10" s="554"/>
      <c r="PFC10" s="554"/>
      <c r="PFD10" s="554"/>
      <c r="PFE10" s="554"/>
      <c r="PFF10" s="554"/>
      <c r="PFG10" s="554"/>
      <c r="PFH10" s="554"/>
      <c r="PFI10" s="554"/>
      <c r="PFJ10" s="554"/>
      <c r="PFK10" s="554"/>
      <c r="PFL10" s="554"/>
      <c r="PFM10" s="554"/>
      <c r="PFN10" s="554"/>
      <c r="PFO10" s="554"/>
      <c r="PFP10" s="554"/>
      <c r="PFQ10" s="554"/>
      <c r="PFR10" s="554"/>
      <c r="PFS10" s="554"/>
      <c r="PFT10" s="554"/>
      <c r="PFU10" s="554"/>
      <c r="PFV10" s="554"/>
      <c r="PFW10" s="554"/>
      <c r="PFX10" s="554"/>
      <c r="PFY10" s="554"/>
      <c r="PFZ10" s="554"/>
      <c r="PGA10" s="554"/>
      <c r="PGB10" s="554"/>
      <c r="PGC10" s="554"/>
      <c r="PGD10" s="554"/>
      <c r="PGE10" s="554"/>
      <c r="PGF10" s="554"/>
      <c r="PGG10" s="554"/>
      <c r="PGH10" s="554"/>
      <c r="PGI10" s="554"/>
      <c r="PGJ10" s="554"/>
      <c r="PGK10" s="554"/>
      <c r="PGL10" s="554"/>
      <c r="PGM10" s="554"/>
      <c r="PGN10" s="554"/>
      <c r="PGO10" s="554"/>
      <c r="PGP10" s="554"/>
      <c r="PGQ10" s="554"/>
      <c r="PGR10" s="554"/>
      <c r="PGS10" s="554"/>
      <c r="PGT10" s="554"/>
      <c r="PGU10" s="554"/>
      <c r="PGV10" s="554"/>
      <c r="PGW10" s="554"/>
      <c r="PGX10" s="554"/>
      <c r="PGY10" s="554"/>
      <c r="PGZ10" s="554"/>
      <c r="PHA10" s="554"/>
      <c r="PHB10" s="554"/>
      <c r="PHC10" s="554"/>
      <c r="PHD10" s="554"/>
      <c r="PHE10" s="554"/>
      <c r="PHF10" s="554"/>
      <c r="PHG10" s="554"/>
      <c r="PHH10" s="554"/>
      <c r="PHI10" s="554"/>
      <c r="PHJ10" s="554"/>
      <c r="PHK10" s="554"/>
      <c r="PHL10" s="554"/>
      <c r="PHM10" s="554"/>
      <c r="PHN10" s="554"/>
      <c r="PHO10" s="554"/>
      <c r="PHP10" s="554"/>
      <c r="PHQ10" s="554"/>
      <c r="PHR10" s="554"/>
      <c r="PHS10" s="554"/>
      <c r="PHT10" s="554"/>
      <c r="PHU10" s="554"/>
      <c r="PHV10" s="554"/>
      <c r="PHW10" s="554"/>
      <c r="PHX10" s="554"/>
      <c r="PHY10" s="554"/>
      <c r="PHZ10" s="554"/>
      <c r="PIA10" s="554"/>
      <c r="PIB10" s="554"/>
      <c r="PIC10" s="554"/>
      <c r="PID10" s="554"/>
      <c r="PIE10" s="554"/>
      <c r="PIF10" s="554"/>
      <c r="PIG10" s="554"/>
      <c r="PIH10" s="554"/>
      <c r="PII10" s="554"/>
      <c r="PIJ10" s="554"/>
      <c r="PIK10" s="554"/>
      <c r="PIL10" s="554"/>
      <c r="PIM10" s="554"/>
      <c r="PIN10" s="554"/>
      <c r="PIO10" s="554"/>
      <c r="PIP10" s="554"/>
      <c r="PIQ10" s="554"/>
      <c r="PIR10" s="554"/>
      <c r="PIS10" s="554"/>
      <c r="PIT10" s="554"/>
      <c r="PIU10" s="554"/>
      <c r="PIV10" s="554"/>
      <c r="PIW10" s="554"/>
      <c r="PIX10" s="554"/>
      <c r="PIY10" s="554"/>
      <c r="PIZ10" s="554"/>
      <c r="PJA10" s="554"/>
      <c r="PJB10" s="554"/>
      <c r="PJC10" s="554"/>
      <c r="PJD10" s="554"/>
      <c r="PJE10" s="554"/>
      <c r="PJF10" s="554"/>
      <c r="PJG10" s="554"/>
      <c r="PJH10" s="554"/>
      <c r="PJI10" s="554"/>
      <c r="PJJ10" s="554"/>
      <c r="PJK10" s="554"/>
      <c r="PJL10" s="554"/>
      <c r="PJM10" s="554"/>
      <c r="PJN10" s="554"/>
      <c r="PJO10" s="554"/>
      <c r="PJP10" s="554"/>
      <c r="PJQ10" s="554"/>
      <c r="PJR10" s="554"/>
      <c r="PJS10" s="554"/>
      <c r="PJT10" s="554"/>
      <c r="PJU10" s="554"/>
      <c r="PJV10" s="554"/>
      <c r="PJW10" s="554"/>
      <c r="PJX10" s="554"/>
      <c r="PJY10" s="554"/>
      <c r="PJZ10" s="554"/>
      <c r="PKA10" s="554"/>
      <c r="PKB10" s="554"/>
      <c r="PKC10" s="554"/>
      <c r="PKD10" s="554"/>
      <c r="PKE10" s="554"/>
      <c r="PKF10" s="554"/>
      <c r="PKG10" s="554"/>
      <c r="PKH10" s="554"/>
      <c r="PKI10" s="554"/>
      <c r="PKJ10" s="554"/>
      <c r="PKK10" s="554"/>
      <c r="PKL10" s="554"/>
      <c r="PKM10" s="554"/>
      <c r="PKN10" s="554"/>
      <c r="PKO10" s="554"/>
      <c r="PKP10" s="554"/>
      <c r="PKQ10" s="554"/>
      <c r="PKR10" s="554"/>
      <c r="PKS10" s="554"/>
      <c r="PKT10" s="554"/>
      <c r="PKU10" s="554"/>
      <c r="PKV10" s="554"/>
      <c r="PKW10" s="554"/>
      <c r="PKX10" s="554"/>
      <c r="PKY10" s="554"/>
      <c r="PKZ10" s="554"/>
      <c r="PLA10" s="554"/>
      <c r="PLB10" s="554"/>
      <c r="PLC10" s="554"/>
      <c r="PLD10" s="554"/>
      <c r="PLE10" s="554"/>
      <c r="PLF10" s="554"/>
      <c r="PLG10" s="554"/>
      <c r="PLH10" s="554"/>
      <c r="PLI10" s="554"/>
      <c r="PLJ10" s="554"/>
      <c r="PLK10" s="554"/>
      <c r="PLL10" s="554"/>
      <c r="PLM10" s="554"/>
      <c r="PLN10" s="554"/>
      <c r="PLO10" s="554"/>
      <c r="PLP10" s="554"/>
      <c r="PLQ10" s="554"/>
      <c r="PLR10" s="554"/>
      <c r="PLS10" s="554"/>
      <c r="PLT10" s="554"/>
      <c r="PLU10" s="554"/>
      <c r="PLV10" s="554"/>
      <c r="PLW10" s="554"/>
      <c r="PLX10" s="554"/>
      <c r="PLY10" s="554"/>
      <c r="PLZ10" s="554"/>
      <c r="PMA10" s="554"/>
      <c r="PMB10" s="554"/>
      <c r="PMC10" s="554"/>
      <c r="PMD10" s="554"/>
      <c r="PME10" s="554"/>
      <c r="PMF10" s="554"/>
      <c r="PMG10" s="554"/>
      <c r="PMH10" s="554"/>
      <c r="PMI10" s="554"/>
      <c r="PMJ10" s="554"/>
      <c r="PMK10" s="554"/>
      <c r="PML10" s="554"/>
      <c r="PMM10" s="554"/>
      <c r="PMN10" s="554"/>
      <c r="PMO10" s="554"/>
      <c r="PMP10" s="554"/>
      <c r="PMQ10" s="554"/>
      <c r="PMR10" s="554"/>
      <c r="PMS10" s="554"/>
      <c r="PMT10" s="554"/>
      <c r="PMU10" s="554"/>
      <c r="PMV10" s="554"/>
      <c r="PMW10" s="554"/>
      <c r="PMX10" s="554"/>
      <c r="PMY10" s="554"/>
      <c r="PMZ10" s="554"/>
      <c r="PNA10" s="554"/>
      <c r="PNB10" s="554"/>
      <c r="PNC10" s="554"/>
      <c r="PND10" s="554"/>
      <c r="PNE10" s="554"/>
      <c r="PNF10" s="554"/>
      <c r="PNG10" s="554"/>
      <c r="PNH10" s="554"/>
      <c r="PNI10" s="554"/>
      <c r="PNJ10" s="554"/>
      <c r="PNK10" s="554"/>
      <c r="PNL10" s="554"/>
      <c r="PNM10" s="554"/>
      <c r="PNN10" s="554"/>
      <c r="PNO10" s="554"/>
      <c r="PNP10" s="554"/>
      <c r="PNQ10" s="554"/>
      <c r="PNR10" s="554"/>
      <c r="PNS10" s="554"/>
      <c r="PNT10" s="554"/>
      <c r="PNU10" s="554"/>
      <c r="PNV10" s="554"/>
      <c r="PNW10" s="554"/>
      <c r="PNX10" s="554"/>
      <c r="PNY10" s="554"/>
      <c r="PNZ10" s="554"/>
      <c r="POA10" s="554"/>
      <c r="POB10" s="554"/>
      <c r="POC10" s="554"/>
      <c r="POD10" s="554"/>
      <c r="POE10" s="554"/>
      <c r="POF10" s="554"/>
      <c r="POG10" s="554"/>
      <c r="POH10" s="554"/>
      <c r="POI10" s="554"/>
      <c r="POJ10" s="554"/>
      <c r="POK10" s="554"/>
      <c r="POL10" s="554"/>
      <c r="POM10" s="554"/>
      <c r="PON10" s="554"/>
      <c r="POO10" s="554"/>
      <c r="POP10" s="554"/>
      <c r="POQ10" s="554"/>
      <c r="POR10" s="554"/>
      <c r="POS10" s="554"/>
      <c r="POT10" s="554"/>
      <c r="POU10" s="554"/>
      <c r="POV10" s="554"/>
      <c r="POW10" s="554"/>
      <c r="POX10" s="554"/>
      <c r="POY10" s="554"/>
      <c r="POZ10" s="554"/>
      <c r="PPA10" s="554"/>
      <c r="PPB10" s="554"/>
      <c r="PPC10" s="554"/>
      <c r="PPD10" s="554"/>
      <c r="PPE10" s="554"/>
      <c r="PPF10" s="554"/>
      <c r="PPG10" s="554"/>
      <c r="PPH10" s="554"/>
      <c r="PPI10" s="554"/>
      <c r="PPJ10" s="554"/>
      <c r="PPK10" s="554"/>
      <c r="PPL10" s="554"/>
      <c r="PPM10" s="554"/>
      <c r="PPN10" s="554"/>
      <c r="PPO10" s="554"/>
      <c r="PPP10" s="554"/>
      <c r="PPQ10" s="554"/>
      <c r="PPR10" s="554"/>
      <c r="PPS10" s="554"/>
      <c r="PPT10" s="554"/>
      <c r="PPU10" s="554"/>
      <c r="PPV10" s="554"/>
      <c r="PPW10" s="554"/>
      <c r="PPX10" s="554"/>
      <c r="PPY10" s="554"/>
      <c r="PPZ10" s="554"/>
      <c r="PQA10" s="554"/>
      <c r="PQB10" s="554"/>
      <c r="PQC10" s="554"/>
      <c r="PQD10" s="554"/>
      <c r="PQE10" s="554"/>
      <c r="PQF10" s="554"/>
      <c r="PQG10" s="554"/>
      <c r="PQH10" s="554"/>
      <c r="PQI10" s="554"/>
      <c r="PQJ10" s="554"/>
      <c r="PQK10" s="554"/>
      <c r="PQL10" s="554"/>
      <c r="PQM10" s="554"/>
      <c r="PQN10" s="554"/>
      <c r="PQO10" s="554"/>
      <c r="PQP10" s="554"/>
      <c r="PQQ10" s="554"/>
      <c r="PQR10" s="554"/>
      <c r="PQS10" s="554"/>
      <c r="PQT10" s="554"/>
      <c r="PQU10" s="554"/>
      <c r="PQV10" s="554"/>
      <c r="PQW10" s="554"/>
      <c r="PQX10" s="554"/>
      <c r="PQY10" s="554"/>
      <c r="PQZ10" s="554"/>
      <c r="PRA10" s="554"/>
      <c r="PRB10" s="554"/>
      <c r="PRC10" s="554"/>
      <c r="PRD10" s="554"/>
      <c r="PRE10" s="554"/>
      <c r="PRF10" s="554"/>
      <c r="PRG10" s="554"/>
      <c r="PRH10" s="554"/>
      <c r="PRI10" s="554"/>
      <c r="PRJ10" s="554"/>
      <c r="PRK10" s="554"/>
      <c r="PRL10" s="554"/>
      <c r="PRM10" s="554"/>
      <c r="PRN10" s="554"/>
      <c r="PRO10" s="554"/>
      <c r="PRP10" s="554"/>
      <c r="PRQ10" s="554"/>
      <c r="PRR10" s="554"/>
      <c r="PRS10" s="554"/>
      <c r="PRT10" s="554"/>
      <c r="PRU10" s="554"/>
      <c r="PRV10" s="554"/>
      <c r="PRW10" s="554"/>
      <c r="PRX10" s="554"/>
      <c r="PRY10" s="554"/>
      <c r="PRZ10" s="554"/>
      <c r="PSA10" s="554"/>
      <c r="PSB10" s="554"/>
      <c r="PSC10" s="554"/>
      <c r="PSD10" s="554"/>
      <c r="PSE10" s="554"/>
      <c r="PSF10" s="554"/>
      <c r="PSG10" s="554"/>
      <c r="PSH10" s="554"/>
      <c r="PSI10" s="554"/>
      <c r="PSJ10" s="554"/>
      <c r="PSK10" s="554"/>
      <c r="PSL10" s="554"/>
      <c r="PSM10" s="554"/>
      <c r="PSN10" s="554"/>
      <c r="PSO10" s="554"/>
      <c r="PSP10" s="554"/>
      <c r="PSQ10" s="554"/>
      <c r="PSR10" s="554"/>
      <c r="PSS10" s="554"/>
      <c r="PST10" s="554"/>
      <c r="PSU10" s="554"/>
      <c r="PSV10" s="554"/>
      <c r="PSW10" s="554"/>
      <c r="PSX10" s="554"/>
      <c r="PSY10" s="554"/>
      <c r="PSZ10" s="554"/>
      <c r="PTA10" s="554"/>
      <c r="PTB10" s="554"/>
      <c r="PTC10" s="554"/>
      <c r="PTD10" s="554"/>
      <c r="PTE10" s="554"/>
      <c r="PTF10" s="554"/>
      <c r="PTG10" s="554"/>
      <c r="PTH10" s="554"/>
      <c r="PTI10" s="554"/>
      <c r="PTJ10" s="554"/>
      <c r="PTK10" s="554"/>
      <c r="PTL10" s="554"/>
      <c r="PTM10" s="554"/>
      <c r="PTN10" s="554"/>
      <c r="PTO10" s="554"/>
      <c r="PTP10" s="554"/>
      <c r="PTQ10" s="554"/>
      <c r="PTR10" s="554"/>
      <c r="PTS10" s="554"/>
      <c r="PTT10" s="554"/>
      <c r="PTU10" s="554"/>
      <c r="PTV10" s="554"/>
      <c r="PTW10" s="554"/>
      <c r="PTX10" s="554"/>
      <c r="PTY10" s="554"/>
      <c r="PTZ10" s="554"/>
      <c r="PUA10" s="554"/>
      <c r="PUB10" s="554"/>
      <c r="PUC10" s="554"/>
      <c r="PUD10" s="554"/>
      <c r="PUE10" s="554"/>
      <c r="PUF10" s="554"/>
      <c r="PUG10" s="554"/>
      <c r="PUH10" s="554"/>
      <c r="PUI10" s="554"/>
      <c r="PUJ10" s="554"/>
      <c r="PUK10" s="554"/>
      <c r="PUL10" s="554"/>
      <c r="PUM10" s="554"/>
      <c r="PUN10" s="554"/>
      <c r="PUO10" s="554"/>
      <c r="PUP10" s="554"/>
      <c r="PUQ10" s="554"/>
      <c r="PUR10" s="554"/>
      <c r="PUS10" s="554"/>
      <c r="PUT10" s="554"/>
      <c r="PUU10" s="554"/>
      <c r="PUV10" s="554"/>
      <c r="PUW10" s="554"/>
      <c r="PUX10" s="554"/>
      <c r="PUY10" s="554"/>
      <c r="PUZ10" s="554"/>
      <c r="PVA10" s="554"/>
      <c r="PVB10" s="554"/>
      <c r="PVC10" s="554"/>
      <c r="PVD10" s="554"/>
      <c r="PVE10" s="554"/>
      <c r="PVF10" s="554"/>
      <c r="PVG10" s="554"/>
      <c r="PVH10" s="554"/>
      <c r="PVI10" s="554"/>
      <c r="PVJ10" s="554"/>
      <c r="PVK10" s="554"/>
      <c r="PVL10" s="554"/>
      <c r="PVM10" s="554"/>
      <c r="PVN10" s="554"/>
      <c r="PVO10" s="554"/>
      <c r="PVP10" s="554"/>
      <c r="PVQ10" s="554"/>
      <c r="PVR10" s="554"/>
      <c r="PVS10" s="554"/>
      <c r="PVT10" s="554"/>
      <c r="PVU10" s="554"/>
      <c r="PVV10" s="554"/>
      <c r="PVW10" s="554"/>
      <c r="PVX10" s="554"/>
      <c r="PVY10" s="554"/>
      <c r="PVZ10" s="554"/>
      <c r="PWA10" s="554"/>
      <c r="PWB10" s="554"/>
      <c r="PWC10" s="554"/>
      <c r="PWD10" s="554"/>
      <c r="PWE10" s="554"/>
      <c r="PWF10" s="554"/>
      <c r="PWG10" s="554"/>
      <c r="PWH10" s="554"/>
      <c r="PWI10" s="554"/>
      <c r="PWJ10" s="554"/>
      <c r="PWK10" s="554"/>
      <c r="PWL10" s="554"/>
      <c r="PWM10" s="554"/>
      <c r="PWN10" s="554"/>
      <c r="PWO10" s="554"/>
      <c r="PWP10" s="554"/>
      <c r="PWQ10" s="554"/>
      <c r="PWR10" s="554"/>
      <c r="PWS10" s="554"/>
      <c r="PWT10" s="554"/>
      <c r="PWU10" s="554"/>
      <c r="PWV10" s="554"/>
      <c r="PWW10" s="554"/>
      <c r="PWX10" s="554"/>
      <c r="PWY10" s="554"/>
      <c r="PWZ10" s="554"/>
      <c r="PXA10" s="554"/>
      <c r="PXB10" s="554"/>
      <c r="PXC10" s="554"/>
      <c r="PXD10" s="554"/>
      <c r="PXE10" s="554"/>
      <c r="PXF10" s="554"/>
      <c r="PXG10" s="554"/>
      <c r="PXH10" s="554"/>
      <c r="PXI10" s="554"/>
      <c r="PXJ10" s="554"/>
      <c r="PXK10" s="554"/>
      <c r="PXL10" s="554"/>
      <c r="PXM10" s="554"/>
      <c r="PXN10" s="554"/>
      <c r="PXO10" s="554"/>
      <c r="PXP10" s="554"/>
      <c r="PXQ10" s="554"/>
      <c r="PXR10" s="554"/>
      <c r="PXS10" s="554"/>
      <c r="PXT10" s="554"/>
      <c r="PXU10" s="554"/>
      <c r="PXV10" s="554"/>
      <c r="PXW10" s="554"/>
      <c r="PXX10" s="554"/>
      <c r="PXY10" s="554"/>
      <c r="PXZ10" s="554"/>
      <c r="PYA10" s="554"/>
      <c r="PYB10" s="554"/>
      <c r="PYC10" s="554"/>
      <c r="PYD10" s="554"/>
      <c r="PYE10" s="554"/>
      <c r="PYF10" s="554"/>
      <c r="PYG10" s="554"/>
      <c r="PYH10" s="554"/>
      <c r="PYI10" s="554"/>
      <c r="PYJ10" s="554"/>
      <c r="PYK10" s="554"/>
      <c r="PYL10" s="554"/>
      <c r="PYM10" s="554"/>
      <c r="PYN10" s="554"/>
      <c r="PYO10" s="554"/>
      <c r="PYP10" s="554"/>
      <c r="PYQ10" s="554"/>
      <c r="PYR10" s="554"/>
      <c r="PYS10" s="554"/>
      <c r="PYT10" s="554"/>
      <c r="PYU10" s="554"/>
      <c r="PYV10" s="554"/>
      <c r="PYW10" s="554"/>
      <c r="PYX10" s="554"/>
      <c r="PYY10" s="554"/>
      <c r="PYZ10" s="554"/>
      <c r="PZA10" s="554"/>
      <c r="PZB10" s="554"/>
      <c r="PZC10" s="554"/>
      <c r="PZD10" s="554"/>
      <c r="PZE10" s="554"/>
      <c r="PZF10" s="554"/>
      <c r="PZG10" s="554"/>
      <c r="PZH10" s="554"/>
      <c r="PZI10" s="554"/>
      <c r="PZJ10" s="554"/>
      <c r="PZK10" s="554"/>
      <c r="PZL10" s="554"/>
      <c r="PZM10" s="554"/>
      <c r="PZN10" s="554"/>
      <c r="PZO10" s="554"/>
      <c r="PZP10" s="554"/>
      <c r="PZQ10" s="554"/>
      <c r="PZR10" s="554"/>
      <c r="PZS10" s="554"/>
      <c r="PZT10" s="554"/>
      <c r="PZU10" s="554"/>
      <c r="PZV10" s="554"/>
      <c r="PZW10" s="554"/>
      <c r="PZX10" s="554"/>
      <c r="PZY10" s="554"/>
      <c r="PZZ10" s="554"/>
      <c r="QAA10" s="554"/>
      <c r="QAB10" s="554"/>
      <c r="QAC10" s="554"/>
      <c r="QAD10" s="554"/>
      <c r="QAE10" s="554"/>
      <c r="QAF10" s="554"/>
      <c r="QAG10" s="554"/>
      <c r="QAH10" s="554"/>
      <c r="QAI10" s="554"/>
      <c r="QAJ10" s="554"/>
      <c r="QAK10" s="554"/>
      <c r="QAL10" s="554"/>
      <c r="QAM10" s="554"/>
      <c r="QAN10" s="554"/>
      <c r="QAO10" s="554"/>
      <c r="QAP10" s="554"/>
      <c r="QAQ10" s="554"/>
      <c r="QAR10" s="554"/>
      <c r="QAS10" s="554"/>
      <c r="QAT10" s="554"/>
      <c r="QAU10" s="554"/>
      <c r="QAV10" s="554"/>
      <c r="QAW10" s="554"/>
      <c r="QAX10" s="554"/>
      <c r="QAY10" s="554"/>
      <c r="QAZ10" s="554"/>
      <c r="QBA10" s="554"/>
      <c r="QBB10" s="554"/>
      <c r="QBC10" s="554"/>
      <c r="QBD10" s="554"/>
      <c r="QBE10" s="554"/>
      <c r="QBF10" s="554"/>
      <c r="QBG10" s="554"/>
      <c r="QBH10" s="554"/>
      <c r="QBI10" s="554"/>
      <c r="QBJ10" s="554"/>
      <c r="QBK10" s="554"/>
      <c r="QBL10" s="554"/>
      <c r="QBM10" s="554"/>
      <c r="QBN10" s="554"/>
      <c r="QBO10" s="554"/>
      <c r="QBP10" s="554"/>
      <c r="QBQ10" s="554"/>
      <c r="QBR10" s="554"/>
      <c r="QBS10" s="554"/>
      <c r="QBT10" s="554"/>
      <c r="QBU10" s="554"/>
      <c r="QBV10" s="554"/>
      <c r="QBW10" s="554"/>
      <c r="QBX10" s="554"/>
      <c r="QBY10" s="554"/>
      <c r="QBZ10" s="554"/>
      <c r="QCA10" s="554"/>
      <c r="QCB10" s="554"/>
      <c r="QCC10" s="554"/>
      <c r="QCD10" s="554"/>
      <c r="QCE10" s="554"/>
      <c r="QCF10" s="554"/>
      <c r="QCG10" s="554"/>
      <c r="QCH10" s="554"/>
      <c r="QCI10" s="554"/>
      <c r="QCJ10" s="554"/>
      <c r="QCK10" s="554"/>
      <c r="QCL10" s="554"/>
      <c r="QCM10" s="554"/>
      <c r="QCN10" s="554"/>
      <c r="QCO10" s="554"/>
      <c r="QCP10" s="554"/>
      <c r="QCQ10" s="554"/>
      <c r="QCR10" s="554"/>
      <c r="QCS10" s="554"/>
      <c r="QCT10" s="554"/>
      <c r="QCU10" s="554"/>
      <c r="QCV10" s="554"/>
      <c r="QCW10" s="554"/>
      <c r="QCX10" s="554"/>
      <c r="QCY10" s="554"/>
      <c r="QCZ10" s="554"/>
      <c r="QDA10" s="554"/>
      <c r="QDB10" s="554"/>
      <c r="QDC10" s="554"/>
      <c r="QDD10" s="554"/>
      <c r="QDE10" s="554"/>
      <c r="QDF10" s="554"/>
      <c r="QDG10" s="554"/>
      <c r="QDH10" s="554"/>
      <c r="QDI10" s="554"/>
      <c r="QDJ10" s="554"/>
      <c r="QDK10" s="554"/>
      <c r="QDL10" s="554"/>
      <c r="QDM10" s="554"/>
      <c r="QDN10" s="554"/>
      <c r="QDO10" s="554"/>
      <c r="QDP10" s="554"/>
      <c r="QDQ10" s="554"/>
      <c r="QDR10" s="554"/>
      <c r="QDS10" s="554"/>
      <c r="QDT10" s="554"/>
      <c r="QDU10" s="554"/>
      <c r="QDV10" s="554"/>
      <c r="QDW10" s="554"/>
      <c r="QDX10" s="554"/>
      <c r="QDY10" s="554"/>
      <c r="QDZ10" s="554"/>
      <c r="QEA10" s="554"/>
      <c r="QEB10" s="554"/>
      <c r="QEC10" s="554"/>
      <c r="QED10" s="554"/>
      <c r="QEE10" s="554"/>
      <c r="QEF10" s="554"/>
      <c r="QEG10" s="554"/>
      <c r="QEH10" s="554"/>
      <c r="QEI10" s="554"/>
      <c r="QEJ10" s="554"/>
      <c r="QEK10" s="554"/>
      <c r="QEL10" s="554"/>
      <c r="QEM10" s="554"/>
      <c r="QEN10" s="554"/>
      <c r="QEO10" s="554"/>
      <c r="QEP10" s="554"/>
      <c r="QEQ10" s="554"/>
      <c r="QER10" s="554"/>
      <c r="QES10" s="554"/>
      <c r="QET10" s="554"/>
      <c r="QEU10" s="554"/>
      <c r="QEV10" s="554"/>
      <c r="QEW10" s="554"/>
      <c r="QEX10" s="554"/>
      <c r="QEY10" s="554"/>
      <c r="QEZ10" s="554"/>
      <c r="QFA10" s="554"/>
      <c r="QFB10" s="554"/>
      <c r="QFC10" s="554"/>
      <c r="QFD10" s="554"/>
      <c r="QFE10" s="554"/>
      <c r="QFF10" s="554"/>
      <c r="QFG10" s="554"/>
      <c r="QFH10" s="554"/>
      <c r="QFI10" s="554"/>
      <c r="QFJ10" s="554"/>
      <c r="QFK10" s="554"/>
      <c r="QFL10" s="554"/>
      <c r="QFM10" s="554"/>
      <c r="QFN10" s="554"/>
      <c r="QFO10" s="554"/>
      <c r="QFP10" s="554"/>
      <c r="QFQ10" s="554"/>
      <c r="QFR10" s="554"/>
      <c r="QFS10" s="554"/>
      <c r="QFT10" s="554"/>
      <c r="QFU10" s="554"/>
      <c r="QFV10" s="554"/>
      <c r="QFW10" s="554"/>
      <c r="QFX10" s="554"/>
      <c r="QFY10" s="554"/>
      <c r="QFZ10" s="554"/>
      <c r="QGA10" s="554"/>
      <c r="QGB10" s="554"/>
      <c r="QGC10" s="554"/>
      <c r="QGD10" s="554"/>
      <c r="QGE10" s="554"/>
      <c r="QGF10" s="554"/>
      <c r="QGG10" s="554"/>
      <c r="QGH10" s="554"/>
      <c r="QGI10" s="554"/>
      <c r="QGJ10" s="554"/>
      <c r="QGK10" s="554"/>
      <c r="QGL10" s="554"/>
      <c r="QGM10" s="554"/>
      <c r="QGN10" s="554"/>
      <c r="QGO10" s="554"/>
      <c r="QGP10" s="554"/>
      <c r="QGQ10" s="554"/>
      <c r="QGR10" s="554"/>
      <c r="QGS10" s="554"/>
      <c r="QGT10" s="554"/>
      <c r="QGU10" s="554"/>
      <c r="QGV10" s="554"/>
      <c r="QGW10" s="554"/>
      <c r="QGX10" s="554"/>
      <c r="QGY10" s="554"/>
      <c r="QGZ10" s="554"/>
      <c r="QHA10" s="554"/>
      <c r="QHB10" s="554"/>
      <c r="QHC10" s="554"/>
      <c r="QHD10" s="554"/>
      <c r="QHE10" s="554"/>
      <c r="QHF10" s="554"/>
      <c r="QHG10" s="554"/>
      <c r="QHH10" s="554"/>
      <c r="QHI10" s="554"/>
      <c r="QHJ10" s="554"/>
      <c r="QHK10" s="554"/>
      <c r="QHL10" s="554"/>
      <c r="QHM10" s="554"/>
      <c r="QHN10" s="554"/>
      <c r="QHO10" s="554"/>
      <c r="QHP10" s="554"/>
      <c r="QHQ10" s="554"/>
      <c r="QHR10" s="554"/>
      <c r="QHS10" s="554"/>
      <c r="QHT10" s="554"/>
      <c r="QHU10" s="554"/>
      <c r="QHV10" s="554"/>
      <c r="QHW10" s="554"/>
      <c r="QHX10" s="554"/>
      <c r="QHY10" s="554"/>
      <c r="QHZ10" s="554"/>
      <c r="QIA10" s="554"/>
      <c r="QIB10" s="554"/>
      <c r="QIC10" s="554"/>
      <c r="QID10" s="554"/>
      <c r="QIE10" s="554"/>
      <c r="QIF10" s="554"/>
      <c r="QIG10" s="554"/>
      <c r="QIH10" s="554"/>
      <c r="QII10" s="554"/>
      <c r="QIJ10" s="554"/>
      <c r="QIK10" s="554"/>
      <c r="QIL10" s="554"/>
      <c r="QIM10" s="554"/>
      <c r="QIN10" s="554"/>
      <c r="QIO10" s="554"/>
      <c r="QIP10" s="554"/>
      <c r="QIQ10" s="554"/>
      <c r="QIR10" s="554"/>
      <c r="QIS10" s="554"/>
      <c r="QIT10" s="554"/>
      <c r="QIU10" s="554"/>
      <c r="QIV10" s="554"/>
      <c r="QIW10" s="554"/>
      <c r="QIX10" s="554"/>
      <c r="QIY10" s="554"/>
      <c r="QIZ10" s="554"/>
      <c r="QJA10" s="554"/>
      <c r="QJB10" s="554"/>
      <c r="QJC10" s="554"/>
      <c r="QJD10" s="554"/>
      <c r="QJE10" s="554"/>
      <c r="QJF10" s="554"/>
      <c r="QJG10" s="554"/>
      <c r="QJH10" s="554"/>
      <c r="QJI10" s="554"/>
      <c r="QJJ10" s="554"/>
      <c r="QJK10" s="554"/>
      <c r="QJL10" s="554"/>
      <c r="QJM10" s="554"/>
      <c r="QJN10" s="554"/>
      <c r="QJO10" s="554"/>
      <c r="QJP10" s="554"/>
      <c r="QJQ10" s="554"/>
      <c r="QJR10" s="554"/>
      <c r="QJS10" s="554"/>
      <c r="QJT10" s="554"/>
      <c r="QJU10" s="554"/>
      <c r="QJV10" s="554"/>
      <c r="QJW10" s="554"/>
      <c r="QJX10" s="554"/>
      <c r="QJY10" s="554"/>
      <c r="QJZ10" s="554"/>
      <c r="QKA10" s="554"/>
      <c r="QKB10" s="554"/>
      <c r="QKC10" s="554"/>
      <c r="QKD10" s="554"/>
      <c r="QKE10" s="554"/>
      <c r="QKF10" s="554"/>
      <c r="QKG10" s="554"/>
      <c r="QKH10" s="554"/>
      <c r="QKI10" s="554"/>
      <c r="QKJ10" s="554"/>
      <c r="QKK10" s="554"/>
      <c r="QKL10" s="554"/>
      <c r="QKM10" s="554"/>
      <c r="QKN10" s="554"/>
      <c r="QKO10" s="554"/>
      <c r="QKP10" s="554"/>
      <c r="QKQ10" s="554"/>
      <c r="QKR10" s="554"/>
      <c r="QKS10" s="554"/>
      <c r="QKT10" s="554"/>
      <c r="QKU10" s="554"/>
      <c r="QKV10" s="554"/>
      <c r="QKW10" s="554"/>
      <c r="QKX10" s="554"/>
      <c r="QKY10" s="554"/>
      <c r="QKZ10" s="554"/>
      <c r="QLA10" s="554"/>
      <c r="QLB10" s="554"/>
      <c r="QLC10" s="554"/>
      <c r="QLD10" s="554"/>
      <c r="QLE10" s="554"/>
      <c r="QLF10" s="554"/>
      <c r="QLG10" s="554"/>
      <c r="QLH10" s="554"/>
      <c r="QLI10" s="554"/>
      <c r="QLJ10" s="554"/>
      <c r="QLK10" s="554"/>
      <c r="QLL10" s="554"/>
      <c r="QLM10" s="554"/>
      <c r="QLN10" s="554"/>
      <c r="QLO10" s="554"/>
      <c r="QLP10" s="554"/>
      <c r="QLQ10" s="554"/>
      <c r="QLR10" s="554"/>
      <c r="QLS10" s="554"/>
      <c r="QLT10" s="554"/>
      <c r="QLU10" s="554"/>
      <c r="QLV10" s="554"/>
      <c r="QLW10" s="554"/>
      <c r="QLX10" s="554"/>
      <c r="QLY10" s="554"/>
      <c r="QLZ10" s="554"/>
      <c r="QMA10" s="554"/>
      <c r="QMB10" s="554"/>
      <c r="QMC10" s="554"/>
      <c r="QMD10" s="554"/>
      <c r="QME10" s="554"/>
      <c r="QMF10" s="554"/>
      <c r="QMG10" s="554"/>
      <c r="QMH10" s="554"/>
      <c r="QMI10" s="554"/>
      <c r="QMJ10" s="554"/>
      <c r="QMK10" s="554"/>
      <c r="QML10" s="554"/>
      <c r="QMM10" s="554"/>
      <c r="QMN10" s="554"/>
      <c r="QMO10" s="554"/>
      <c r="QMP10" s="554"/>
      <c r="QMQ10" s="554"/>
      <c r="QMR10" s="554"/>
      <c r="QMS10" s="554"/>
      <c r="QMT10" s="554"/>
      <c r="QMU10" s="554"/>
      <c r="QMV10" s="554"/>
      <c r="QMW10" s="554"/>
      <c r="QMX10" s="554"/>
      <c r="QMY10" s="554"/>
      <c r="QMZ10" s="554"/>
      <c r="QNA10" s="554"/>
      <c r="QNB10" s="554"/>
      <c r="QNC10" s="554"/>
      <c r="QND10" s="554"/>
      <c r="QNE10" s="554"/>
      <c r="QNF10" s="554"/>
      <c r="QNG10" s="554"/>
      <c r="QNH10" s="554"/>
      <c r="QNI10" s="554"/>
      <c r="QNJ10" s="554"/>
      <c r="QNK10" s="554"/>
      <c r="QNL10" s="554"/>
      <c r="QNM10" s="554"/>
      <c r="QNN10" s="554"/>
      <c r="QNO10" s="554"/>
      <c r="QNP10" s="554"/>
      <c r="QNQ10" s="554"/>
      <c r="QNR10" s="554"/>
      <c r="QNS10" s="554"/>
      <c r="QNT10" s="554"/>
      <c r="QNU10" s="554"/>
      <c r="QNV10" s="554"/>
      <c r="QNW10" s="554"/>
      <c r="QNX10" s="554"/>
      <c r="QNY10" s="554"/>
      <c r="QNZ10" s="554"/>
      <c r="QOA10" s="554"/>
      <c r="QOB10" s="554"/>
      <c r="QOC10" s="554"/>
      <c r="QOD10" s="554"/>
      <c r="QOE10" s="554"/>
      <c r="QOF10" s="554"/>
      <c r="QOG10" s="554"/>
      <c r="QOH10" s="554"/>
      <c r="QOI10" s="554"/>
      <c r="QOJ10" s="554"/>
      <c r="QOK10" s="554"/>
      <c r="QOL10" s="554"/>
      <c r="QOM10" s="554"/>
      <c r="QON10" s="554"/>
      <c r="QOO10" s="554"/>
      <c r="QOP10" s="554"/>
      <c r="QOQ10" s="554"/>
      <c r="QOR10" s="554"/>
      <c r="QOS10" s="554"/>
      <c r="QOT10" s="554"/>
      <c r="QOU10" s="554"/>
      <c r="QOV10" s="554"/>
      <c r="QOW10" s="554"/>
      <c r="QOX10" s="554"/>
      <c r="QOY10" s="554"/>
      <c r="QOZ10" s="554"/>
      <c r="QPA10" s="554"/>
      <c r="QPB10" s="554"/>
      <c r="QPC10" s="554"/>
      <c r="QPD10" s="554"/>
      <c r="QPE10" s="554"/>
      <c r="QPF10" s="554"/>
      <c r="QPG10" s="554"/>
      <c r="QPH10" s="554"/>
      <c r="QPI10" s="554"/>
      <c r="QPJ10" s="554"/>
      <c r="QPK10" s="554"/>
      <c r="QPL10" s="554"/>
      <c r="QPM10" s="554"/>
      <c r="QPN10" s="554"/>
      <c r="QPO10" s="554"/>
      <c r="QPP10" s="554"/>
      <c r="QPQ10" s="554"/>
      <c r="QPR10" s="554"/>
      <c r="QPS10" s="554"/>
      <c r="QPT10" s="554"/>
      <c r="QPU10" s="554"/>
      <c r="QPV10" s="554"/>
      <c r="QPW10" s="554"/>
      <c r="QPX10" s="554"/>
      <c r="QPY10" s="554"/>
      <c r="QPZ10" s="554"/>
      <c r="QQA10" s="554"/>
      <c r="QQB10" s="554"/>
      <c r="QQC10" s="554"/>
      <c r="QQD10" s="554"/>
      <c r="QQE10" s="554"/>
      <c r="QQF10" s="554"/>
      <c r="QQG10" s="554"/>
      <c r="QQH10" s="554"/>
      <c r="QQI10" s="554"/>
      <c r="QQJ10" s="554"/>
      <c r="QQK10" s="554"/>
      <c r="QQL10" s="554"/>
      <c r="QQM10" s="554"/>
      <c r="QQN10" s="554"/>
      <c r="QQO10" s="554"/>
      <c r="QQP10" s="554"/>
      <c r="QQQ10" s="554"/>
      <c r="QQR10" s="554"/>
      <c r="QQS10" s="554"/>
      <c r="QQT10" s="554"/>
      <c r="QQU10" s="554"/>
      <c r="QQV10" s="554"/>
      <c r="QQW10" s="554"/>
      <c r="QQX10" s="554"/>
      <c r="QQY10" s="554"/>
      <c r="QQZ10" s="554"/>
      <c r="QRA10" s="554"/>
      <c r="QRB10" s="554"/>
      <c r="QRC10" s="554"/>
      <c r="QRD10" s="554"/>
      <c r="QRE10" s="554"/>
      <c r="QRF10" s="554"/>
      <c r="QRG10" s="554"/>
      <c r="QRH10" s="554"/>
      <c r="QRI10" s="554"/>
      <c r="QRJ10" s="554"/>
      <c r="QRK10" s="554"/>
      <c r="QRL10" s="554"/>
      <c r="QRM10" s="554"/>
      <c r="QRN10" s="554"/>
      <c r="QRO10" s="554"/>
      <c r="QRP10" s="554"/>
      <c r="QRQ10" s="554"/>
      <c r="QRR10" s="554"/>
      <c r="QRS10" s="554"/>
      <c r="QRT10" s="554"/>
      <c r="QRU10" s="554"/>
      <c r="QRV10" s="554"/>
      <c r="QRW10" s="554"/>
      <c r="QRX10" s="554"/>
      <c r="QRY10" s="554"/>
      <c r="QRZ10" s="554"/>
      <c r="QSA10" s="554"/>
      <c r="QSB10" s="554"/>
      <c r="QSC10" s="554"/>
      <c r="QSD10" s="554"/>
      <c r="QSE10" s="554"/>
      <c r="QSF10" s="554"/>
      <c r="QSG10" s="554"/>
      <c r="QSH10" s="554"/>
      <c r="QSI10" s="554"/>
      <c r="QSJ10" s="554"/>
      <c r="QSK10" s="554"/>
      <c r="QSL10" s="554"/>
      <c r="QSM10" s="554"/>
      <c r="QSN10" s="554"/>
      <c r="QSO10" s="554"/>
      <c r="QSP10" s="554"/>
      <c r="QSQ10" s="554"/>
      <c r="QSR10" s="554"/>
      <c r="QSS10" s="554"/>
      <c r="QST10" s="554"/>
      <c r="QSU10" s="554"/>
      <c r="QSV10" s="554"/>
      <c r="QSW10" s="554"/>
      <c r="QSX10" s="554"/>
      <c r="QSY10" s="554"/>
      <c r="QSZ10" s="554"/>
      <c r="QTA10" s="554"/>
      <c r="QTB10" s="554"/>
      <c r="QTC10" s="554"/>
      <c r="QTD10" s="554"/>
      <c r="QTE10" s="554"/>
      <c r="QTF10" s="554"/>
      <c r="QTG10" s="554"/>
      <c r="QTH10" s="554"/>
      <c r="QTI10" s="554"/>
      <c r="QTJ10" s="554"/>
      <c r="QTK10" s="554"/>
      <c r="QTL10" s="554"/>
      <c r="QTM10" s="554"/>
      <c r="QTN10" s="554"/>
      <c r="QTO10" s="554"/>
      <c r="QTP10" s="554"/>
      <c r="QTQ10" s="554"/>
      <c r="QTR10" s="554"/>
      <c r="QTS10" s="554"/>
      <c r="QTT10" s="554"/>
      <c r="QTU10" s="554"/>
      <c r="QTV10" s="554"/>
      <c r="QTW10" s="554"/>
      <c r="QTX10" s="554"/>
      <c r="QTY10" s="554"/>
      <c r="QTZ10" s="554"/>
      <c r="QUA10" s="554"/>
      <c r="QUB10" s="554"/>
      <c r="QUC10" s="554"/>
      <c r="QUD10" s="554"/>
      <c r="QUE10" s="554"/>
      <c r="QUF10" s="554"/>
      <c r="QUG10" s="554"/>
      <c r="QUH10" s="554"/>
      <c r="QUI10" s="554"/>
      <c r="QUJ10" s="554"/>
      <c r="QUK10" s="554"/>
      <c r="QUL10" s="554"/>
      <c r="QUM10" s="554"/>
      <c r="QUN10" s="554"/>
      <c r="QUO10" s="554"/>
      <c r="QUP10" s="554"/>
      <c r="QUQ10" s="554"/>
      <c r="QUR10" s="554"/>
      <c r="QUS10" s="554"/>
      <c r="QUT10" s="554"/>
      <c r="QUU10" s="554"/>
      <c r="QUV10" s="554"/>
      <c r="QUW10" s="554"/>
      <c r="QUX10" s="554"/>
      <c r="QUY10" s="554"/>
      <c r="QUZ10" s="554"/>
      <c r="QVA10" s="554"/>
      <c r="QVB10" s="554"/>
      <c r="QVC10" s="554"/>
      <c r="QVD10" s="554"/>
      <c r="QVE10" s="554"/>
      <c r="QVF10" s="554"/>
      <c r="QVG10" s="554"/>
      <c r="QVH10" s="554"/>
      <c r="QVI10" s="554"/>
      <c r="QVJ10" s="554"/>
      <c r="QVK10" s="554"/>
      <c r="QVL10" s="554"/>
      <c r="QVM10" s="554"/>
      <c r="QVN10" s="554"/>
      <c r="QVO10" s="554"/>
      <c r="QVP10" s="554"/>
      <c r="QVQ10" s="554"/>
      <c r="QVR10" s="554"/>
      <c r="QVS10" s="554"/>
      <c r="QVT10" s="554"/>
      <c r="QVU10" s="554"/>
      <c r="QVV10" s="554"/>
      <c r="QVW10" s="554"/>
      <c r="QVX10" s="554"/>
      <c r="QVY10" s="554"/>
      <c r="QVZ10" s="554"/>
      <c r="QWA10" s="554"/>
      <c r="QWB10" s="554"/>
      <c r="QWC10" s="554"/>
      <c r="QWD10" s="554"/>
      <c r="QWE10" s="554"/>
      <c r="QWF10" s="554"/>
      <c r="QWG10" s="554"/>
      <c r="QWH10" s="554"/>
      <c r="QWI10" s="554"/>
      <c r="QWJ10" s="554"/>
      <c r="QWK10" s="554"/>
      <c r="QWL10" s="554"/>
      <c r="QWM10" s="554"/>
      <c r="QWN10" s="554"/>
      <c r="QWO10" s="554"/>
      <c r="QWP10" s="554"/>
      <c r="QWQ10" s="554"/>
      <c r="QWR10" s="554"/>
      <c r="QWS10" s="554"/>
      <c r="QWT10" s="554"/>
      <c r="QWU10" s="554"/>
      <c r="QWV10" s="554"/>
      <c r="QWW10" s="554"/>
      <c r="QWX10" s="554"/>
      <c r="QWY10" s="554"/>
      <c r="QWZ10" s="554"/>
      <c r="QXA10" s="554"/>
      <c r="QXB10" s="554"/>
      <c r="QXC10" s="554"/>
      <c r="QXD10" s="554"/>
      <c r="QXE10" s="554"/>
      <c r="QXF10" s="554"/>
      <c r="QXG10" s="554"/>
      <c r="QXH10" s="554"/>
      <c r="QXI10" s="554"/>
      <c r="QXJ10" s="554"/>
      <c r="QXK10" s="554"/>
      <c r="QXL10" s="554"/>
      <c r="QXM10" s="554"/>
      <c r="QXN10" s="554"/>
      <c r="QXO10" s="554"/>
      <c r="QXP10" s="554"/>
      <c r="QXQ10" s="554"/>
      <c r="QXR10" s="554"/>
      <c r="QXS10" s="554"/>
      <c r="QXT10" s="554"/>
      <c r="QXU10" s="554"/>
      <c r="QXV10" s="554"/>
      <c r="QXW10" s="554"/>
      <c r="QXX10" s="554"/>
      <c r="QXY10" s="554"/>
      <c r="QXZ10" s="554"/>
      <c r="QYA10" s="554"/>
      <c r="QYB10" s="554"/>
      <c r="QYC10" s="554"/>
      <c r="QYD10" s="554"/>
      <c r="QYE10" s="554"/>
      <c r="QYF10" s="554"/>
      <c r="QYG10" s="554"/>
      <c r="QYH10" s="554"/>
      <c r="QYI10" s="554"/>
      <c r="QYJ10" s="554"/>
      <c r="QYK10" s="554"/>
      <c r="QYL10" s="554"/>
      <c r="QYM10" s="554"/>
      <c r="QYN10" s="554"/>
      <c r="QYO10" s="554"/>
      <c r="QYP10" s="554"/>
      <c r="QYQ10" s="554"/>
      <c r="QYR10" s="554"/>
      <c r="QYS10" s="554"/>
      <c r="QYT10" s="554"/>
      <c r="QYU10" s="554"/>
      <c r="QYV10" s="554"/>
      <c r="QYW10" s="554"/>
      <c r="QYX10" s="554"/>
      <c r="QYY10" s="554"/>
      <c r="QYZ10" s="554"/>
      <c r="QZA10" s="554"/>
      <c r="QZB10" s="554"/>
      <c r="QZC10" s="554"/>
      <c r="QZD10" s="554"/>
      <c r="QZE10" s="554"/>
      <c r="QZF10" s="554"/>
      <c r="QZG10" s="554"/>
      <c r="QZH10" s="554"/>
      <c r="QZI10" s="554"/>
      <c r="QZJ10" s="554"/>
      <c r="QZK10" s="554"/>
      <c r="QZL10" s="554"/>
      <c r="QZM10" s="554"/>
      <c r="QZN10" s="554"/>
      <c r="QZO10" s="554"/>
      <c r="QZP10" s="554"/>
      <c r="QZQ10" s="554"/>
      <c r="QZR10" s="554"/>
      <c r="QZS10" s="554"/>
      <c r="QZT10" s="554"/>
      <c r="QZU10" s="554"/>
      <c r="QZV10" s="554"/>
      <c r="QZW10" s="554"/>
      <c r="QZX10" s="554"/>
      <c r="QZY10" s="554"/>
      <c r="QZZ10" s="554"/>
      <c r="RAA10" s="554"/>
      <c r="RAB10" s="554"/>
      <c r="RAC10" s="554"/>
      <c r="RAD10" s="554"/>
      <c r="RAE10" s="554"/>
      <c r="RAF10" s="554"/>
      <c r="RAG10" s="554"/>
      <c r="RAH10" s="554"/>
      <c r="RAI10" s="554"/>
      <c r="RAJ10" s="554"/>
      <c r="RAK10" s="554"/>
      <c r="RAL10" s="554"/>
      <c r="RAM10" s="554"/>
      <c r="RAN10" s="554"/>
      <c r="RAO10" s="554"/>
      <c r="RAP10" s="554"/>
      <c r="RAQ10" s="554"/>
      <c r="RAR10" s="554"/>
      <c r="RAS10" s="554"/>
      <c r="RAT10" s="554"/>
      <c r="RAU10" s="554"/>
      <c r="RAV10" s="554"/>
      <c r="RAW10" s="554"/>
      <c r="RAX10" s="554"/>
      <c r="RAY10" s="554"/>
      <c r="RAZ10" s="554"/>
      <c r="RBA10" s="554"/>
      <c r="RBB10" s="554"/>
      <c r="RBC10" s="554"/>
      <c r="RBD10" s="554"/>
      <c r="RBE10" s="554"/>
      <c r="RBF10" s="554"/>
      <c r="RBG10" s="554"/>
      <c r="RBH10" s="554"/>
      <c r="RBI10" s="554"/>
      <c r="RBJ10" s="554"/>
      <c r="RBK10" s="554"/>
      <c r="RBL10" s="554"/>
      <c r="RBM10" s="554"/>
      <c r="RBN10" s="554"/>
      <c r="RBO10" s="554"/>
      <c r="RBP10" s="554"/>
      <c r="RBQ10" s="554"/>
      <c r="RBR10" s="554"/>
      <c r="RBS10" s="554"/>
      <c r="RBT10" s="554"/>
      <c r="RBU10" s="554"/>
      <c r="RBV10" s="554"/>
      <c r="RBW10" s="554"/>
      <c r="RBX10" s="554"/>
      <c r="RBY10" s="554"/>
      <c r="RBZ10" s="554"/>
      <c r="RCA10" s="554"/>
      <c r="RCB10" s="554"/>
      <c r="RCC10" s="554"/>
      <c r="RCD10" s="554"/>
      <c r="RCE10" s="554"/>
      <c r="RCF10" s="554"/>
      <c r="RCG10" s="554"/>
      <c r="RCH10" s="554"/>
      <c r="RCI10" s="554"/>
      <c r="RCJ10" s="554"/>
      <c r="RCK10" s="554"/>
      <c r="RCL10" s="554"/>
      <c r="RCM10" s="554"/>
      <c r="RCN10" s="554"/>
      <c r="RCO10" s="554"/>
      <c r="RCP10" s="554"/>
      <c r="RCQ10" s="554"/>
      <c r="RCR10" s="554"/>
      <c r="RCS10" s="554"/>
      <c r="RCT10" s="554"/>
      <c r="RCU10" s="554"/>
      <c r="RCV10" s="554"/>
      <c r="RCW10" s="554"/>
      <c r="RCX10" s="554"/>
      <c r="RCY10" s="554"/>
      <c r="RCZ10" s="554"/>
      <c r="RDA10" s="554"/>
      <c r="RDB10" s="554"/>
      <c r="RDC10" s="554"/>
      <c r="RDD10" s="554"/>
      <c r="RDE10" s="554"/>
      <c r="RDF10" s="554"/>
      <c r="RDG10" s="554"/>
      <c r="RDH10" s="554"/>
      <c r="RDI10" s="554"/>
      <c r="RDJ10" s="554"/>
      <c r="RDK10" s="554"/>
      <c r="RDL10" s="554"/>
      <c r="RDM10" s="554"/>
      <c r="RDN10" s="554"/>
      <c r="RDO10" s="554"/>
      <c r="RDP10" s="554"/>
      <c r="RDQ10" s="554"/>
      <c r="RDR10" s="554"/>
      <c r="RDS10" s="554"/>
      <c r="RDT10" s="554"/>
      <c r="RDU10" s="554"/>
      <c r="RDV10" s="554"/>
      <c r="RDW10" s="554"/>
      <c r="RDX10" s="554"/>
      <c r="RDY10" s="554"/>
      <c r="RDZ10" s="554"/>
      <c r="REA10" s="554"/>
      <c r="REB10" s="554"/>
      <c r="REC10" s="554"/>
      <c r="RED10" s="554"/>
      <c r="REE10" s="554"/>
      <c r="REF10" s="554"/>
      <c r="REG10" s="554"/>
      <c r="REH10" s="554"/>
      <c r="REI10" s="554"/>
      <c r="REJ10" s="554"/>
      <c r="REK10" s="554"/>
      <c r="REL10" s="554"/>
      <c r="REM10" s="554"/>
      <c r="REN10" s="554"/>
      <c r="REO10" s="554"/>
      <c r="REP10" s="554"/>
      <c r="REQ10" s="554"/>
      <c r="RER10" s="554"/>
      <c r="RES10" s="554"/>
      <c r="RET10" s="554"/>
      <c r="REU10" s="554"/>
      <c r="REV10" s="554"/>
      <c r="REW10" s="554"/>
      <c r="REX10" s="554"/>
      <c r="REY10" s="554"/>
      <c r="REZ10" s="554"/>
      <c r="RFA10" s="554"/>
      <c r="RFB10" s="554"/>
      <c r="RFC10" s="554"/>
      <c r="RFD10" s="554"/>
      <c r="RFE10" s="554"/>
      <c r="RFF10" s="554"/>
      <c r="RFG10" s="554"/>
      <c r="RFH10" s="554"/>
      <c r="RFI10" s="554"/>
      <c r="RFJ10" s="554"/>
      <c r="RFK10" s="554"/>
      <c r="RFL10" s="554"/>
      <c r="RFM10" s="554"/>
      <c r="RFN10" s="554"/>
      <c r="RFO10" s="554"/>
      <c r="RFP10" s="554"/>
      <c r="RFQ10" s="554"/>
      <c r="RFR10" s="554"/>
      <c r="RFS10" s="554"/>
      <c r="RFT10" s="554"/>
      <c r="RFU10" s="554"/>
      <c r="RFV10" s="554"/>
      <c r="RFW10" s="554"/>
      <c r="RFX10" s="554"/>
      <c r="RFY10" s="554"/>
      <c r="RFZ10" s="554"/>
      <c r="RGA10" s="554"/>
      <c r="RGB10" s="554"/>
      <c r="RGC10" s="554"/>
      <c r="RGD10" s="554"/>
      <c r="RGE10" s="554"/>
      <c r="RGF10" s="554"/>
      <c r="RGG10" s="554"/>
      <c r="RGH10" s="554"/>
      <c r="RGI10" s="554"/>
      <c r="RGJ10" s="554"/>
      <c r="RGK10" s="554"/>
      <c r="RGL10" s="554"/>
      <c r="RGM10" s="554"/>
      <c r="RGN10" s="554"/>
      <c r="RGO10" s="554"/>
      <c r="RGP10" s="554"/>
      <c r="RGQ10" s="554"/>
      <c r="RGR10" s="554"/>
      <c r="RGS10" s="554"/>
      <c r="RGT10" s="554"/>
      <c r="RGU10" s="554"/>
      <c r="RGV10" s="554"/>
      <c r="RGW10" s="554"/>
      <c r="RGX10" s="554"/>
      <c r="RGY10" s="554"/>
      <c r="RGZ10" s="554"/>
      <c r="RHA10" s="554"/>
      <c r="RHB10" s="554"/>
      <c r="RHC10" s="554"/>
      <c r="RHD10" s="554"/>
      <c r="RHE10" s="554"/>
      <c r="RHF10" s="554"/>
      <c r="RHG10" s="554"/>
      <c r="RHH10" s="554"/>
      <c r="RHI10" s="554"/>
      <c r="RHJ10" s="554"/>
      <c r="RHK10" s="554"/>
      <c r="RHL10" s="554"/>
      <c r="RHM10" s="554"/>
      <c r="RHN10" s="554"/>
      <c r="RHO10" s="554"/>
      <c r="RHP10" s="554"/>
      <c r="RHQ10" s="554"/>
      <c r="RHR10" s="554"/>
      <c r="RHS10" s="554"/>
      <c r="RHT10" s="554"/>
      <c r="RHU10" s="554"/>
      <c r="RHV10" s="554"/>
      <c r="RHW10" s="554"/>
      <c r="RHX10" s="554"/>
      <c r="RHY10" s="554"/>
      <c r="RHZ10" s="554"/>
      <c r="RIA10" s="554"/>
      <c r="RIB10" s="554"/>
      <c r="RIC10" s="554"/>
      <c r="RID10" s="554"/>
      <c r="RIE10" s="554"/>
      <c r="RIF10" s="554"/>
      <c r="RIG10" s="554"/>
      <c r="RIH10" s="554"/>
      <c r="RII10" s="554"/>
      <c r="RIJ10" s="554"/>
      <c r="RIK10" s="554"/>
      <c r="RIL10" s="554"/>
      <c r="RIM10" s="554"/>
      <c r="RIN10" s="554"/>
      <c r="RIO10" s="554"/>
      <c r="RIP10" s="554"/>
      <c r="RIQ10" s="554"/>
      <c r="RIR10" s="554"/>
      <c r="RIS10" s="554"/>
      <c r="RIT10" s="554"/>
      <c r="RIU10" s="554"/>
      <c r="RIV10" s="554"/>
      <c r="RIW10" s="554"/>
      <c r="RIX10" s="554"/>
      <c r="RIY10" s="554"/>
      <c r="RIZ10" s="554"/>
      <c r="RJA10" s="554"/>
      <c r="RJB10" s="554"/>
      <c r="RJC10" s="554"/>
      <c r="RJD10" s="554"/>
      <c r="RJE10" s="554"/>
      <c r="RJF10" s="554"/>
      <c r="RJG10" s="554"/>
      <c r="RJH10" s="554"/>
      <c r="RJI10" s="554"/>
      <c r="RJJ10" s="554"/>
      <c r="RJK10" s="554"/>
      <c r="RJL10" s="554"/>
      <c r="RJM10" s="554"/>
      <c r="RJN10" s="554"/>
      <c r="RJO10" s="554"/>
      <c r="RJP10" s="554"/>
      <c r="RJQ10" s="554"/>
      <c r="RJR10" s="554"/>
      <c r="RJS10" s="554"/>
      <c r="RJT10" s="554"/>
      <c r="RJU10" s="554"/>
      <c r="RJV10" s="554"/>
      <c r="RJW10" s="554"/>
      <c r="RJX10" s="554"/>
      <c r="RJY10" s="554"/>
      <c r="RJZ10" s="554"/>
      <c r="RKA10" s="554"/>
      <c r="RKB10" s="554"/>
      <c r="RKC10" s="554"/>
      <c r="RKD10" s="554"/>
      <c r="RKE10" s="554"/>
      <c r="RKF10" s="554"/>
      <c r="RKG10" s="554"/>
      <c r="RKH10" s="554"/>
      <c r="RKI10" s="554"/>
      <c r="RKJ10" s="554"/>
      <c r="RKK10" s="554"/>
      <c r="RKL10" s="554"/>
      <c r="RKM10" s="554"/>
      <c r="RKN10" s="554"/>
      <c r="RKO10" s="554"/>
      <c r="RKP10" s="554"/>
      <c r="RKQ10" s="554"/>
      <c r="RKR10" s="554"/>
      <c r="RKS10" s="554"/>
      <c r="RKT10" s="554"/>
      <c r="RKU10" s="554"/>
      <c r="RKV10" s="554"/>
      <c r="RKW10" s="554"/>
      <c r="RKX10" s="554"/>
      <c r="RKY10" s="554"/>
      <c r="RKZ10" s="554"/>
      <c r="RLA10" s="554"/>
      <c r="RLB10" s="554"/>
      <c r="RLC10" s="554"/>
      <c r="RLD10" s="554"/>
      <c r="RLE10" s="554"/>
      <c r="RLF10" s="554"/>
      <c r="RLG10" s="554"/>
      <c r="RLH10" s="554"/>
      <c r="RLI10" s="554"/>
      <c r="RLJ10" s="554"/>
      <c r="RLK10" s="554"/>
      <c r="RLL10" s="554"/>
      <c r="RLM10" s="554"/>
      <c r="RLN10" s="554"/>
      <c r="RLO10" s="554"/>
      <c r="RLP10" s="554"/>
      <c r="RLQ10" s="554"/>
      <c r="RLR10" s="554"/>
      <c r="RLS10" s="554"/>
      <c r="RLT10" s="554"/>
      <c r="RLU10" s="554"/>
      <c r="RLV10" s="554"/>
      <c r="RLW10" s="554"/>
      <c r="RLX10" s="554"/>
      <c r="RLY10" s="554"/>
      <c r="RLZ10" s="554"/>
      <c r="RMA10" s="554"/>
      <c r="RMB10" s="554"/>
      <c r="RMC10" s="554"/>
      <c r="RMD10" s="554"/>
      <c r="RME10" s="554"/>
      <c r="RMF10" s="554"/>
      <c r="RMG10" s="554"/>
      <c r="RMH10" s="554"/>
      <c r="RMI10" s="554"/>
      <c r="RMJ10" s="554"/>
      <c r="RMK10" s="554"/>
      <c r="RML10" s="554"/>
      <c r="RMM10" s="554"/>
      <c r="RMN10" s="554"/>
      <c r="RMO10" s="554"/>
      <c r="RMP10" s="554"/>
      <c r="RMQ10" s="554"/>
      <c r="RMR10" s="554"/>
      <c r="RMS10" s="554"/>
      <c r="RMT10" s="554"/>
      <c r="RMU10" s="554"/>
      <c r="RMV10" s="554"/>
      <c r="RMW10" s="554"/>
      <c r="RMX10" s="554"/>
      <c r="RMY10" s="554"/>
      <c r="RMZ10" s="554"/>
      <c r="RNA10" s="554"/>
      <c r="RNB10" s="554"/>
      <c r="RNC10" s="554"/>
      <c r="RND10" s="554"/>
      <c r="RNE10" s="554"/>
      <c r="RNF10" s="554"/>
      <c r="RNG10" s="554"/>
      <c r="RNH10" s="554"/>
      <c r="RNI10" s="554"/>
      <c r="RNJ10" s="554"/>
      <c r="RNK10" s="554"/>
      <c r="RNL10" s="554"/>
      <c r="RNM10" s="554"/>
      <c r="RNN10" s="554"/>
      <c r="RNO10" s="554"/>
      <c r="RNP10" s="554"/>
      <c r="RNQ10" s="554"/>
      <c r="RNR10" s="554"/>
      <c r="RNS10" s="554"/>
      <c r="RNT10" s="554"/>
      <c r="RNU10" s="554"/>
      <c r="RNV10" s="554"/>
      <c r="RNW10" s="554"/>
      <c r="RNX10" s="554"/>
      <c r="RNY10" s="554"/>
      <c r="RNZ10" s="554"/>
      <c r="ROA10" s="554"/>
      <c r="ROB10" s="554"/>
      <c r="ROC10" s="554"/>
      <c r="ROD10" s="554"/>
      <c r="ROE10" s="554"/>
      <c r="ROF10" s="554"/>
      <c r="ROG10" s="554"/>
      <c r="ROH10" s="554"/>
      <c r="ROI10" s="554"/>
      <c r="ROJ10" s="554"/>
      <c r="ROK10" s="554"/>
      <c r="ROL10" s="554"/>
      <c r="ROM10" s="554"/>
      <c r="RON10" s="554"/>
      <c r="ROO10" s="554"/>
      <c r="ROP10" s="554"/>
      <c r="ROQ10" s="554"/>
      <c r="ROR10" s="554"/>
      <c r="ROS10" s="554"/>
      <c r="ROT10" s="554"/>
      <c r="ROU10" s="554"/>
      <c r="ROV10" s="554"/>
      <c r="ROW10" s="554"/>
      <c r="ROX10" s="554"/>
      <c r="ROY10" s="554"/>
      <c r="ROZ10" s="554"/>
      <c r="RPA10" s="554"/>
      <c r="RPB10" s="554"/>
      <c r="RPC10" s="554"/>
      <c r="RPD10" s="554"/>
      <c r="RPE10" s="554"/>
      <c r="RPF10" s="554"/>
      <c r="RPG10" s="554"/>
      <c r="RPH10" s="554"/>
      <c r="RPI10" s="554"/>
      <c r="RPJ10" s="554"/>
      <c r="RPK10" s="554"/>
      <c r="RPL10" s="554"/>
      <c r="RPM10" s="554"/>
      <c r="RPN10" s="554"/>
      <c r="RPO10" s="554"/>
      <c r="RPP10" s="554"/>
      <c r="RPQ10" s="554"/>
      <c r="RPR10" s="554"/>
      <c r="RPS10" s="554"/>
      <c r="RPT10" s="554"/>
      <c r="RPU10" s="554"/>
      <c r="RPV10" s="554"/>
      <c r="RPW10" s="554"/>
      <c r="RPX10" s="554"/>
      <c r="RPY10" s="554"/>
      <c r="RPZ10" s="554"/>
      <c r="RQA10" s="554"/>
      <c r="RQB10" s="554"/>
      <c r="RQC10" s="554"/>
      <c r="RQD10" s="554"/>
      <c r="RQE10" s="554"/>
      <c r="RQF10" s="554"/>
      <c r="RQG10" s="554"/>
      <c r="RQH10" s="554"/>
      <c r="RQI10" s="554"/>
      <c r="RQJ10" s="554"/>
      <c r="RQK10" s="554"/>
      <c r="RQL10" s="554"/>
      <c r="RQM10" s="554"/>
      <c r="RQN10" s="554"/>
      <c r="RQO10" s="554"/>
      <c r="RQP10" s="554"/>
      <c r="RQQ10" s="554"/>
      <c r="RQR10" s="554"/>
      <c r="RQS10" s="554"/>
      <c r="RQT10" s="554"/>
      <c r="RQU10" s="554"/>
      <c r="RQV10" s="554"/>
      <c r="RQW10" s="554"/>
      <c r="RQX10" s="554"/>
      <c r="RQY10" s="554"/>
      <c r="RQZ10" s="554"/>
      <c r="RRA10" s="554"/>
      <c r="RRB10" s="554"/>
      <c r="RRC10" s="554"/>
      <c r="RRD10" s="554"/>
      <c r="RRE10" s="554"/>
      <c r="RRF10" s="554"/>
      <c r="RRG10" s="554"/>
      <c r="RRH10" s="554"/>
      <c r="RRI10" s="554"/>
      <c r="RRJ10" s="554"/>
      <c r="RRK10" s="554"/>
      <c r="RRL10" s="554"/>
      <c r="RRM10" s="554"/>
      <c r="RRN10" s="554"/>
      <c r="RRO10" s="554"/>
      <c r="RRP10" s="554"/>
      <c r="RRQ10" s="554"/>
      <c r="RRR10" s="554"/>
      <c r="RRS10" s="554"/>
      <c r="RRT10" s="554"/>
      <c r="RRU10" s="554"/>
      <c r="RRV10" s="554"/>
      <c r="RRW10" s="554"/>
      <c r="RRX10" s="554"/>
      <c r="RRY10" s="554"/>
      <c r="RRZ10" s="554"/>
      <c r="RSA10" s="554"/>
      <c r="RSB10" s="554"/>
      <c r="RSC10" s="554"/>
      <c r="RSD10" s="554"/>
      <c r="RSE10" s="554"/>
      <c r="RSF10" s="554"/>
      <c r="RSG10" s="554"/>
      <c r="RSH10" s="554"/>
      <c r="RSI10" s="554"/>
      <c r="RSJ10" s="554"/>
      <c r="RSK10" s="554"/>
      <c r="RSL10" s="554"/>
      <c r="RSM10" s="554"/>
      <c r="RSN10" s="554"/>
      <c r="RSO10" s="554"/>
      <c r="RSP10" s="554"/>
      <c r="RSQ10" s="554"/>
      <c r="RSR10" s="554"/>
      <c r="RSS10" s="554"/>
      <c r="RST10" s="554"/>
      <c r="RSU10" s="554"/>
      <c r="RSV10" s="554"/>
      <c r="RSW10" s="554"/>
      <c r="RSX10" s="554"/>
      <c r="RSY10" s="554"/>
      <c r="RSZ10" s="554"/>
      <c r="RTA10" s="554"/>
      <c r="RTB10" s="554"/>
      <c r="RTC10" s="554"/>
      <c r="RTD10" s="554"/>
      <c r="RTE10" s="554"/>
      <c r="RTF10" s="554"/>
      <c r="RTG10" s="554"/>
      <c r="RTH10" s="554"/>
      <c r="RTI10" s="554"/>
      <c r="RTJ10" s="554"/>
      <c r="RTK10" s="554"/>
      <c r="RTL10" s="554"/>
      <c r="RTM10" s="554"/>
      <c r="RTN10" s="554"/>
      <c r="RTO10" s="554"/>
      <c r="RTP10" s="554"/>
      <c r="RTQ10" s="554"/>
      <c r="RTR10" s="554"/>
      <c r="RTS10" s="554"/>
      <c r="RTT10" s="554"/>
      <c r="RTU10" s="554"/>
      <c r="RTV10" s="554"/>
      <c r="RTW10" s="554"/>
      <c r="RTX10" s="554"/>
      <c r="RTY10" s="554"/>
      <c r="RTZ10" s="554"/>
      <c r="RUA10" s="554"/>
      <c r="RUB10" s="554"/>
      <c r="RUC10" s="554"/>
      <c r="RUD10" s="554"/>
      <c r="RUE10" s="554"/>
      <c r="RUF10" s="554"/>
      <c r="RUG10" s="554"/>
      <c r="RUH10" s="554"/>
      <c r="RUI10" s="554"/>
      <c r="RUJ10" s="554"/>
      <c r="RUK10" s="554"/>
      <c r="RUL10" s="554"/>
      <c r="RUM10" s="554"/>
      <c r="RUN10" s="554"/>
      <c r="RUO10" s="554"/>
      <c r="RUP10" s="554"/>
      <c r="RUQ10" s="554"/>
      <c r="RUR10" s="554"/>
      <c r="RUS10" s="554"/>
      <c r="RUT10" s="554"/>
      <c r="RUU10" s="554"/>
      <c r="RUV10" s="554"/>
      <c r="RUW10" s="554"/>
      <c r="RUX10" s="554"/>
      <c r="RUY10" s="554"/>
      <c r="RUZ10" s="554"/>
      <c r="RVA10" s="554"/>
      <c r="RVB10" s="554"/>
      <c r="RVC10" s="554"/>
      <c r="RVD10" s="554"/>
      <c r="RVE10" s="554"/>
      <c r="RVF10" s="554"/>
      <c r="RVG10" s="554"/>
      <c r="RVH10" s="554"/>
      <c r="RVI10" s="554"/>
      <c r="RVJ10" s="554"/>
      <c r="RVK10" s="554"/>
      <c r="RVL10" s="554"/>
      <c r="RVM10" s="554"/>
      <c r="RVN10" s="554"/>
      <c r="RVO10" s="554"/>
      <c r="RVP10" s="554"/>
      <c r="RVQ10" s="554"/>
      <c r="RVR10" s="554"/>
      <c r="RVS10" s="554"/>
      <c r="RVT10" s="554"/>
      <c r="RVU10" s="554"/>
      <c r="RVV10" s="554"/>
      <c r="RVW10" s="554"/>
      <c r="RVX10" s="554"/>
      <c r="RVY10" s="554"/>
      <c r="RVZ10" s="554"/>
      <c r="RWA10" s="554"/>
      <c r="RWB10" s="554"/>
      <c r="RWC10" s="554"/>
      <c r="RWD10" s="554"/>
      <c r="RWE10" s="554"/>
      <c r="RWF10" s="554"/>
      <c r="RWG10" s="554"/>
      <c r="RWH10" s="554"/>
      <c r="RWI10" s="554"/>
      <c r="RWJ10" s="554"/>
      <c r="RWK10" s="554"/>
      <c r="RWL10" s="554"/>
      <c r="RWM10" s="554"/>
      <c r="RWN10" s="554"/>
      <c r="RWO10" s="554"/>
      <c r="RWP10" s="554"/>
      <c r="RWQ10" s="554"/>
      <c r="RWR10" s="554"/>
      <c r="RWS10" s="554"/>
      <c r="RWT10" s="554"/>
      <c r="RWU10" s="554"/>
      <c r="RWV10" s="554"/>
      <c r="RWW10" s="554"/>
      <c r="RWX10" s="554"/>
      <c r="RWY10" s="554"/>
      <c r="RWZ10" s="554"/>
      <c r="RXA10" s="554"/>
      <c r="RXB10" s="554"/>
      <c r="RXC10" s="554"/>
      <c r="RXD10" s="554"/>
      <c r="RXE10" s="554"/>
      <c r="RXF10" s="554"/>
      <c r="RXG10" s="554"/>
      <c r="RXH10" s="554"/>
      <c r="RXI10" s="554"/>
      <c r="RXJ10" s="554"/>
      <c r="RXK10" s="554"/>
      <c r="RXL10" s="554"/>
      <c r="RXM10" s="554"/>
      <c r="RXN10" s="554"/>
      <c r="RXO10" s="554"/>
      <c r="RXP10" s="554"/>
      <c r="RXQ10" s="554"/>
      <c r="RXR10" s="554"/>
      <c r="RXS10" s="554"/>
      <c r="RXT10" s="554"/>
      <c r="RXU10" s="554"/>
      <c r="RXV10" s="554"/>
      <c r="RXW10" s="554"/>
      <c r="RXX10" s="554"/>
      <c r="RXY10" s="554"/>
      <c r="RXZ10" s="554"/>
      <c r="RYA10" s="554"/>
      <c r="RYB10" s="554"/>
      <c r="RYC10" s="554"/>
      <c r="RYD10" s="554"/>
      <c r="RYE10" s="554"/>
      <c r="RYF10" s="554"/>
      <c r="RYG10" s="554"/>
      <c r="RYH10" s="554"/>
      <c r="RYI10" s="554"/>
      <c r="RYJ10" s="554"/>
      <c r="RYK10" s="554"/>
      <c r="RYL10" s="554"/>
      <c r="RYM10" s="554"/>
      <c r="RYN10" s="554"/>
      <c r="RYO10" s="554"/>
      <c r="RYP10" s="554"/>
      <c r="RYQ10" s="554"/>
      <c r="RYR10" s="554"/>
      <c r="RYS10" s="554"/>
      <c r="RYT10" s="554"/>
      <c r="RYU10" s="554"/>
      <c r="RYV10" s="554"/>
      <c r="RYW10" s="554"/>
      <c r="RYX10" s="554"/>
      <c r="RYY10" s="554"/>
      <c r="RYZ10" s="554"/>
      <c r="RZA10" s="554"/>
      <c r="RZB10" s="554"/>
      <c r="RZC10" s="554"/>
      <c r="RZD10" s="554"/>
      <c r="RZE10" s="554"/>
      <c r="RZF10" s="554"/>
      <c r="RZG10" s="554"/>
      <c r="RZH10" s="554"/>
      <c r="RZI10" s="554"/>
      <c r="RZJ10" s="554"/>
      <c r="RZK10" s="554"/>
      <c r="RZL10" s="554"/>
      <c r="RZM10" s="554"/>
      <c r="RZN10" s="554"/>
      <c r="RZO10" s="554"/>
      <c r="RZP10" s="554"/>
      <c r="RZQ10" s="554"/>
      <c r="RZR10" s="554"/>
      <c r="RZS10" s="554"/>
      <c r="RZT10" s="554"/>
      <c r="RZU10" s="554"/>
      <c r="RZV10" s="554"/>
      <c r="RZW10" s="554"/>
      <c r="RZX10" s="554"/>
      <c r="RZY10" s="554"/>
      <c r="RZZ10" s="554"/>
      <c r="SAA10" s="554"/>
      <c r="SAB10" s="554"/>
      <c r="SAC10" s="554"/>
      <c r="SAD10" s="554"/>
      <c r="SAE10" s="554"/>
      <c r="SAF10" s="554"/>
      <c r="SAG10" s="554"/>
      <c r="SAH10" s="554"/>
      <c r="SAI10" s="554"/>
      <c r="SAJ10" s="554"/>
      <c r="SAK10" s="554"/>
      <c r="SAL10" s="554"/>
      <c r="SAM10" s="554"/>
      <c r="SAN10" s="554"/>
      <c r="SAO10" s="554"/>
      <c r="SAP10" s="554"/>
      <c r="SAQ10" s="554"/>
      <c r="SAR10" s="554"/>
      <c r="SAS10" s="554"/>
      <c r="SAT10" s="554"/>
      <c r="SAU10" s="554"/>
      <c r="SAV10" s="554"/>
      <c r="SAW10" s="554"/>
      <c r="SAX10" s="554"/>
      <c r="SAY10" s="554"/>
      <c r="SAZ10" s="554"/>
      <c r="SBA10" s="554"/>
      <c r="SBB10" s="554"/>
      <c r="SBC10" s="554"/>
      <c r="SBD10" s="554"/>
      <c r="SBE10" s="554"/>
      <c r="SBF10" s="554"/>
      <c r="SBG10" s="554"/>
      <c r="SBH10" s="554"/>
      <c r="SBI10" s="554"/>
      <c r="SBJ10" s="554"/>
      <c r="SBK10" s="554"/>
      <c r="SBL10" s="554"/>
      <c r="SBM10" s="554"/>
      <c r="SBN10" s="554"/>
      <c r="SBO10" s="554"/>
      <c r="SBP10" s="554"/>
      <c r="SBQ10" s="554"/>
      <c r="SBR10" s="554"/>
      <c r="SBS10" s="554"/>
      <c r="SBT10" s="554"/>
      <c r="SBU10" s="554"/>
      <c r="SBV10" s="554"/>
      <c r="SBW10" s="554"/>
      <c r="SBX10" s="554"/>
      <c r="SBY10" s="554"/>
      <c r="SBZ10" s="554"/>
      <c r="SCA10" s="554"/>
      <c r="SCB10" s="554"/>
      <c r="SCC10" s="554"/>
      <c r="SCD10" s="554"/>
      <c r="SCE10" s="554"/>
      <c r="SCF10" s="554"/>
      <c r="SCG10" s="554"/>
      <c r="SCH10" s="554"/>
      <c r="SCI10" s="554"/>
      <c r="SCJ10" s="554"/>
      <c r="SCK10" s="554"/>
      <c r="SCL10" s="554"/>
      <c r="SCM10" s="554"/>
      <c r="SCN10" s="554"/>
      <c r="SCO10" s="554"/>
      <c r="SCP10" s="554"/>
      <c r="SCQ10" s="554"/>
      <c r="SCR10" s="554"/>
      <c r="SCS10" s="554"/>
      <c r="SCT10" s="554"/>
      <c r="SCU10" s="554"/>
      <c r="SCV10" s="554"/>
      <c r="SCW10" s="554"/>
      <c r="SCX10" s="554"/>
      <c r="SCY10" s="554"/>
      <c r="SCZ10" s="554"/>
      <c r="SDA10" s="554"/>
      <c r="SDB10" s="554"/>
      <c r="SDC10" s="554"/>
      <c r="SDD10" s="554"/>
      <c r="SDE10" s="554"/>
      <c r="SDF10" s="554"/>
      <c r="SDG10" s="554"/>
      <c r="SDH10" s="554"/>
      <c r="SDI10" s="554"/>
      <c r="SDJ10" s="554"/>
      <c r="SDK10" s="554"/>
      <c r="SDL10" s="554"/>
      <c r="SDM10" s="554"/>
      <c r="SDN10" s="554"/>
      <c r="SDO10" s="554"/>
      <c r="SDP10" s="554"/>
      <c r="SDQ10" s="554"/>
      <c r="SDR10" s="554"/>
      <c r="SDS10" s="554"/>
      <c r="SDT10" s="554"/>
      <c r="SDU10" s="554"/>
      <c r="SDV10" s="554"/>
      <c r="SDW10" s="554"/>
      <c r="SDX10" s="554"/>
      <c r="SDY10" s="554"/>
      <c r="SDZ10" s="554"/>
      <c r="SEA10" s="554"/>
      <c r="SEB10" s="554"/>
      <c r="SEC10" s="554"/>
      <c r="SED10" s="554"/>
      <c r="SEE10" s="554"/>
      <c r="SEF10" s="554"/>
      <c r="SEG10" s="554"/>
      <c r="SEH10" s="554"/>
      <c r="SEI10" s="554"/>
      <c r="SEJ10" s="554"/>
      <c r="SEK10" s="554"/>
      <c r="SEL10" s="554"/>
      <c r="SEM10" s="554"/>
      <c r="SEN10" s="554"/>
      <c r="SEO10" s="554"/>
      <c r="SEP10" s="554"/>
      <c r="SEQ10" s="554"/>
      <c r="SER10" s="554"/>
      <c r="SES10" s="554"/>
      <c r="SET10" s="554"/>
      <c r="SEU10" s="554"/>
      <c r="SEV10" s="554"/>
      <c r="SEW10" s="554"/>
      <c r="SEX10" s="554"/>
      <c r="SEY10" s="554"/>
      <c r="SEZ10" s="554"/>
      <c r="SFA10" s="554"/>
      <c r="SFB10" s="554"/>
      <c r="SFC10" s="554"/>
      <c r="SFD10" s="554"/>
      <c r="SFE10" s="554"/>
      <c r="SFF10" s="554"/>
      <c r="SFG10" s="554"/>
      <c r="SFH10" s="554"/>
      <c r="SFI10" s="554"/>
      <c r="SFJ10" s="554"/>
      <c r="SFK10" s="554"/>
      <c r="SFL10" s="554"/>
      <c r="SFM10" s="554"/>
      <c r="SFN10" s="554"/>
      <c r="SFO10" s="554"/>
      <c r="SFP10" s="554"/>
      <c r="SFQ10" s="554"/>
      <c r="SFR10" s="554"/>
      <c r="SFS10" s="554"/>
      <c r="SFT10" s="554"/>
      <c r="SFU10" s="554"/>
      <c r="SFV10" s="554"/>
      <c r="SFW10" s="554"/>
      <c r="SFX10" s="554"/>
      <c r="SFY10" s="554"/>
      <c r="SFZ10" s="554"/>
      <c r="SGA10" s="554"/>
      <c r="SGB10" s="554"/>
      <c r="SGC10" s="554"/>
      <c r="SGD10" s="554"/>
      <c r="SGE10" s="554"/>
      <c r="SGF10" s="554"/>
      <c r="SGG10" s="554"/>
      <c r="SGH10" s="554"/>
      <c r="SGI10" s="554"/>
      <c r="SGJ10" s="554"/>
      <c r="SGK10" s="554"/>
      <c r="SGL10" s="554"/>
      <c r="SGM10" s="554"/>
      <c r="SGN10" s="554"/>
      <c r="SGO10" s="554"/>
      <c r="SGP10" s="554"/>
      <c r="SGQ10" s="554"/>
      <c r="SGR10" s="554"/>
      <c r="SGS10" s="554"/>
      <c r="SGT10" s="554"/>
      <c r="SGU10" s="554"/>
      <c r="SGV10" s="554"/>
      <c r="SGW10" s="554"/>
      <c r="SGX10" s="554"/>
      <c r="SGY10" s="554"/>
      <c r="SGZ10" s="554"/>
      <c r="SHA10" s="554"/>
      <c r="SHB10" s="554"/>
      <c r="SHC10" s="554"/>
      <c r="SHD10" s="554"/>
      <c r="SHE10" s="554"/>
      <c r="SHF10" s="554"/>
      <c r="SHG10" s="554"/>
      <c r="SHH10" s="554"/>
      <c r="SHI10" s="554"/>
      <c r="SHJ10" s="554"/>
      <c r="SHK10" s="554"/>
      <c r="SHL10" s="554"/>
      <c r="SHM10" s="554"/>
      <c r="SHN10" s="554"/>
      <c r="SHO10" s="554"/>
      <c r="SHP10" s="554"/>
      <c r="SHQ10" s="554"/>
      <c r="SHR10" s="554"/>
      <c r="SHS10" s="554"/>
      <c r="SHT10" s="554"/>
      <c r="SHU10" s="554"/>
      <c r="SHV10" s="554"/>
      <c r="SHW10" s="554"/>
      <c r="SHX10" s="554"/>
      <c r="SHY10" s="554"/>
      <c r="SHZ10" s="554"/>
      <c r="SIA10" s="554"/>
      <c r="SIB10" s="554"/>
      <c r="SIC10" s="554"/>
      <c r="SID10" s="554"/>
      <c r="SIE10" s="554"/>
      <c r="SIF10" s="554"/>
      <c r="SIG10" s="554"/>
      <c r="SIH10" s="554"/>
      <c r="SII10" s="554"/>
      <c r="SIJ10" s="554"/>
      <c r="SIK10" s="554"/>
      <c r="SIL10" s="554"/>
      <c r="SIM10" s="554"/>
      <c r="SIN10" s="554"/>
      <c r="SIO10" s="554"/>
      <c r="SIP10" s="554"/>
      <c r="SIQ10" s="554"/>
      <c r="SIR10" s="554"/>
      <c r="SIS10" s="554"/>
      <c r="SIT10" s="554"/>
      <c r="SIU10" s="554"/>
      <c r="SIV10" s="554"/>
      <c r="SIW10" s="554"/>
      <c r="SIX10" s="554"/>
      <c r="SIY10" s="554"/>
      <c r="SIZ10" s="554"/>
      <c r="SJA10" s="554"/>
      <c r="SJB10" s="554"/>
      <c r="SJC10" s="554"/>
      <c r="SJD10" s="554"/>
      <c r="SJE10" s="554"/>
      <c r="SJF10" s="554"/>
      <c r="SJG10" s="554"/>
      <c r="SJH10" s="554"/>
      <c r="SJI10" s="554"/>
      <c r="SJJ10" s="554"/>
      <c r="SJK10" s="554"/>
      <c r="SJL10" s="554"/>
      <c r="SJM10" s="554"/>
      <c r="SJN10" s="554"/>
      <c r="SJO10" s="554"/>
      <c r="SJP10" s="554"/>
      <c r="SJQ10" s="554"/>
      <c r="SJR10" s="554"/>
      <c r="SJS10" s="554"/>
      <c r="SJT10" s="554"/>
      <c r="SJU10" s="554"/>
      <c r="SJV10" s="554"/>
      <c r="SJW10" s="554"/>
      <c r="SJX10" s="554"/>
      <c r="SJY10" s="554"/>
      <c r="SJZ10" s="554"/>
      <c r="SKA10" s="554"/>
      <c r="SKB10" s="554"/>
      <c r="SKC10" s="554"/>
      <c r="SKD10" s="554"/>
      <c r="SKE10" s="554"/>
      <c r="SKF10" s="554"/>
      <c r="SKG10" s="554"/>
      <c r="SKH10" s="554"/>
      <c r="SKI10" s="554"/>
      <c r="SKJ10" s="554"/>
      <c r="SKK10" s="554"/>
      <c r="SKL10" s="554"/>
      <c r="SKM10" s="554"/>
      <c r="SKN10" s="554"/>
      <c r="SKO10" s="554"/>
      <c r="SKP10" s="554"/>
      <c r="SKQ10" s="554"/>
      <c r="SKR10" s="554"/>
      <c r="SKS10" s="554"/>
      <c r="SKT10" s="554"/>
      <c r="SKU10" s="554"/>
      <c r="SKV10" s="554"/>
      <c r="SKW10" s="554"/>
      <c r="SKX10" s="554"/>
      <c r="SKY10" s="554"/>
      <c r="SKZ10" s="554"/>
      <c r="SLA10" s="554"/>
      <c r="SLB10" s="554"/>
      <c r="SLC10" s="554"/>
      <c r="SLD10" s="554"/>
      <c r="SLE10" s="554"/>
      <c r="SLF10" s="554"/>
      <c r="SLG10" s="554"/>
      <c r="SLH10" s="554"/>
      <c r="SLI10" s="554"/>
      <c r="SLJ10" s="554"/>
      <c r="SLK10" s="554"/>
      <c r="SLL10" s="554"/>
      <c r="SLM10" s="554"/>
      <c r="SLN10" s="554"/>
      <c r="SLO10" s="554"/>
      <c r="SLP10" s="554"/>
      <c r="SLQ10" s="554"/>
      <c r="SLR10" s="554"/>
      <c r="SLS10" s="554"/>
      <c r="SLT10" s="554"/>
      <c r="SLU10" s="554"/>
      <c r="SLV10" s="554"/>
      <c r="SLW10" s="554"/>
      <c r="SLX10" s="554"/>
      <c r="SLY10" s="554"/>
      <c r="SLZ10" s="554"/>
      <c r="SMA10" s="554"/>
      <c r="SMB10" s="554"/>
      <c r="SMC10" s="554"/>
      <c r="SMD10" s="554"/>
      <c r="SME10" s="554"/>
      <c r="SMF10" s="554"/>
      <c r="SMG10" s="554"/>
      <c r="SMH10" s="554"/>
      <c r="SMI10" s="554"/>
      <c r="SMJ10" s="554"/>
      <c r="SMK10" s="554"/>
      <c r="SML10" s="554"/>
      <c r="SMM10" s="554"/>
      <c r="SMN10" s="554"/>
      <c r="SMO10" s="554"/>
      <c r="SMP10" s="554"/>
      <c r="SMQ10" s="554"/>
      <c r="SMR10" s="554"/>
      <c r="SMS10" s="554"/>
      <c r="SMT10" s="554"/>
      <c r="SMU10" s="554"/>
      <c r="SMV10" s="554"/>
      <c r="SMW10" s="554"/>
      <c r="SMX10" s="554"/>
      <c r="SMY10" s="554"/>
      <c r="SMZ10" s="554"/>
      <c r="SNA10" s="554"/>
      <c r="SNB10" s="554"/>
      <c r="SNC10" s="554"/>
      <c r="SND10" s="554"/>
      <c r="SNE10" s="554"/>
      <c r="SNF10" s="554"/>
      <c r="SNG10" s="554"/>
      <c r="SNH10" s="554"/>
      <c r="SNI10" s="554"/>
      <c r="SNJ10" s="554"/>
      <c r="SNK10" s="554"/>
      <c r="SNL10" s="554"/>
      <c r="SNM10" s="554"/>
      <c r="SNN10" s="554"/>
      <c r="SNO10" s="554"/>
      <c r="SNP10" s="554"/>
      <c r="SNQ10" s="554"/>
      <c r="SNR10" s="554"/>
      <c r="SNS10" s="554"/>
      <c r="SNT10" s="554"/>
      <c r="SNU10" s="554"/>
      <c r="SNV10" s="554"/>
      <c r="SNW10" s="554"/>
      <c r="SNX10" s="554"/>
      <c r="SNY10" s="554"/>
      <c r="SNZ10" s="554"/>
      <c r="SOA10" s="554"/>
      <c r="SOB10" s="554"/>
      <c r="SOC10" s="554"/>
      <c r="SOD10" s="554"/>
      <c r="SOE10" s="554"/>
      <c r="SOF10" s="554"/>
      <c r="SOG10" s="554"/>
      <c r="SOH10" s="554"/>
      <c r="SOI10" s="554"/>
      <c r="SOJ10" s="554"/>
      <c r="SOK10" s="554"/>
      <c r="SOL10" s="554"/>
      <c r="SOM10" s="554"/>
      <c r="SON10" s="554"/>
      <c r="SOO10" s="554"/>
      <c r="SOP10" s="554"/>
      <c r="SOQ10" s="554"/>
      <c r="SOR10" s="554"/>
      <c r="SOS10" s="554"/>
      <c r="SOT10" s="554"/>
      <c r="SOU10" s="554"/>
      <c r="SOV10" s="554"/>
      <c r="SOW10" s="554"/>
      <c r="SOX10" s="554"/>
      <c r="SOY10" s="554"/>
      <c r="SOZ10" s="554"/>
      <c r="SPA10" s="554"/>
      <c r="SPB10" s="554"/>
      <c r="SPC10" s="554"/>
      <c r="SPD10" s="554"/>
      <c r="SPE10" s="554"/>
      <c r="SPF10" s="554"/>
      <c r="SPG10" s="554"/>
      <c r="SPH10" s="554"/>
      <c r="SPI10" s="554"/>
      <c r="SPJ10" s="554"/>
      <c r="SPK10" s="554"/>
      <c r="SPL10" s="554"/>
      <c r="SPM10" s="554"/>
      <c r="SPN10" s="554"/>
      <c r="SPO10" s="554"/>
      <c r="SPP10" s="554"/>
      <c r="SPQ10" s="554"/>
      <c r="SPR10" s="554"/>
      <c r="SPS10" s="554"/>
      <c r="SPT10" s="554"/>
      <c r="SPU10" s="554"/>
      <c r="SPV10" s="554"/>
      <c r="SPW10" s="554"/>
      <c r="SPX10" s="554"/>
      <c r="SPY10" s="554"/>
      <c r="SPZ10" s="554"/>
      <c r="SQA10" s="554"/>
      <c r="SQB10" s="554"/>
      <c r="SQC10" s="554"/>
      <c r="SQD10" s="554"/>
      <c r="SQE10" s="554"/>
      <c r="SQF10" s="554"/>
      <c r="SQG10" s="554"/>
      <c r="SQH10" s="554"/>
      <c r="SQI10" s="554"/>
      <c r="SQJ10" s="554"/>
      <c r="SQK10" s="554"/>
      <c r="SQL10" s="554"/>
      <c r="SQM10" s="554"/>
      <c r="SQN10" s="554"/>
      <c r="SQO10" s="554"/>
      <c r="SQP10" s="554"/>
      <c r="SQQ10" s="554"/>
      <c r="SQR10" s="554"/>
      <c r="SQS10" s="554"/>
      <c r="SQT10" s="554"/>
      <c r="SQU10" s="554"/>
      <c r="SQV10" s="554"/>
      <c r="SQW10" s="554"/>
      <c r="SQX10" s="554"/>
      <c r="SQY10" s="554"/>
      <c r="SQZ10" s="554"/>
      <c r="SRA10" s="554"/>
      <c r="SRB10" s="554"/>
      <c r="SRC10" s="554"/>
      <c r="SRD10" s="554"/>
      <c r="SRE10" s="554"/>
      <c r="SRF10" s="554"/>
      <c r="SRG10" s="554"/>
      <c r="SRH10" s="554"/>
      <c r="SRI10" s="554"/>
      <c r="SRJ10" s="554"/>
      <c r="SRK10" s="554"/>
      <c r="SRL10" s="554"/>
      <c r="SRM10" s="554"/>
      <c r="SRN10" s="554"/>
      <c r="SRO10" s="554"/>
      <c r="SRP10" s="554"/>
      <c r="SRQ10" s="554"/>
      <c r="SRR10" s="554"/>
      <c r="SRS10" s="554"/>
      <c r="SRT10" s="554"/>
      <c r="SRU10" s="554"/>
      <c r="SRV10" s="554"/>
      <c r="SRW10" s="554"/>
      <c r="SRX10" s="554"/>
      <c r="SRY10" s="554"/>
      <c r="SRZ10" s="554"/>
      <c r="SSA10" s="554"/>
      <c r="SSB10" s="554"/>
      <c r="SSC10" s="554"/>
      <c r="SSD10" s="554"/>
      <c r="SSE10" s="554"/>
      <c r="SSF10" s="554"/>
      <c r="SSG10" s="554"/>
      <c r="SSH10" s="554"/>
      <c r="SSI10" s="554"/>
      <c r="SSJ10" s="554"/>
      <c r="SSK10" s="554"/>
      <c r="SSL10" s="554"/>
      <c r="SSM10" s="554"/>
      <c r="SSN10" s="554"/>
      <c r="SSO10" s="554"/>
      <c r="SSP10" s="554"/>
      <c r="SSQ10" s="554"/>
      <c r="SSR10" s="554"/>
      <c r="SSS10" s="554"/>
      <c r="SST10" s="554"/>
      <c r="SSU10" s="554"/>
      <c r="SSV10" s="554"/>
      <c r="SSW10" s="554"/>
      <c r="SSX10" s="554"/>
      <c r="SSY10" s="554"/>
      <c r="SSZ10" s="554"/>
      <c r="STA10" s="554"/>
      <c r="STB10" s="554"/>
      <c r="STC10" s="554"/>
      <c r="STD10" s="554"/>
      <c r="STE10" s="554"/>
      <c r="STF10" s="554"/>
      <c r="STG10" s="554"/>
      <c r="STH10" s="554"/>
      <c r="STI10" s="554"/>
      <c r="STJ10" s="554"/>
      <c r="STK10" s="554"/>
      <c r="STL10" s="554"/>
      <c r="STM10" s="554"/>
      <c r="STN10" s="554"/>
      <c r="STO10" s="554"/>
      <c r="STP10" s="554"/>
      <c r="STQ10" s="554"/>
      <c r="STR10" s="554"/>
      <c r="STS10" s="554"/>
      <c r="STT10" s="554"/>
      <c r="STU10" s="554"/>
      <c r="STV10" s="554"/>
      <c r="STW10" s="554"/>
      <c r="STX10" s="554"/>
      <c r="STY10" s="554"/>
      <c r="STZ10" s="554"/>
      <c r="SUA10" s="554"/>
      <c r="SUB10" s="554"/>
      <c r="SUC10" s="554"/>
      <c r="SUD10" s="554"/>
      <c r="SUE10" s="554"/>
      <c r="SUF10" s="554"/>
      <c r="SUG10" s="554"/>
      <c r="SUH10" s="554"/>
      <c r="SUI10" s="554"/>
      <c r="SUJ10" s="554"/>
      <c r="SUK10" s="554"/>
      <c r="SUL10" s="554"/>
      <c r="SUM10" s="554"/>
      <c r="SUN10" s="554"/>
      <c r="SUO10" s="554"/>
      <c r="SUP10" s="554"/>
      <c r="SUQ10" s="554"/>
      <c r="SUR10" s="554"/>
      <c r="SUS10" s="554"/>
      <c r="SUT10" s="554"/>
      <c r="SUU10" s="554"/>
      <c r="SUV10" s="554"/>
      <c r="SUW10" s="554"/>
      <c r="SUX10" s="554"/>
      <c r="SUY10" s="554"/>
      <c r="SUZ10" s="554"/>
      <c r="SVA10" s="554"/>
      <c r="SVB10" s="554"/>
      <c r="SVC10" s="554"/>
      <c r="SVD10" s="554"/>
      <c r="SVE10" s="554"/>
      <c r="SVF10" s="554"/>
      <c r="SVG10" s="554"/>
      <c r="SVH10" s="554"/>
      <c r="SVI10" s="554"/>
      <c r="SVJ10" s="554"/>
      <c r="SVK10" s="554"/>
      <c r="SVL10" s="554"/>
      <c r="SVM10" s="554"/>
      <c r="SVN10" s="554"/>
      <c r="SVO10" s="554"/>
      <c r="SVP10" s="554"/>
      <c r="SVQ10" s="554"/>
      <c r="SVR10" s="554"/>
      <c r="SVS10" s="554"/>
      <c r="SVT10" s="554"/>
      <c r="SVU10" s="554"/>
      <c r="SVV10" s="554"/>
      <c r="SVW10" s="554"/>
      <c r="SVX10" s="554"/>
      <c r="SVY10" s="554"/>
      <c r="SVZ10" s="554"/>
      <c r="SWA10" s="554"/>
      <c r="SWB10" s="554"/>
      <c r="SWC10" s="554"/>
      <c r="SWD10" s="554"/>
      <c r="SWE10" s="554"/>
      <c r="SWF10" s="554"/>
      <c r="SWG10" s="554"/>
      <c r="SWH10" s="554"/>
      <c r="SWI10" s="554"/>
      <c r="SWJ10" s="554"/>
      <c r="SWK10" s="554"/>
      <c r="SWL10" s="554"/>
      <c r="SWM10" s="554"/>
      <c r="SWN10" s="554"/>
      <c r="SWO10" s="554"/>
      <c r="SWP10" s="554"/>
      <c r="SWQ10" s="554"/>
      <c r="SWR10" s="554"/>
      <c r="SWS10" s="554"/>
      <c r="SWT10" s="554"/>
      <c r="SWU10" s="554"/>
      <c r="SWV10" s="554"/>
      <c r="SWW10" s="554"/>
      <c r="SWX10" s="554"/>
      <c r="SWY10" s="554"/>
      <c r="SWZ10" s="554"/>
      <c r="SXA10" s="554"/>
      <c r="SXB10" s="554"/>
      <c r="SXC10" s="554"/>
      <c r="SXD10" s="554"/>
      <c r="SXE10" s="554"/>
      <c r="SXF10" s="554"/>
      <c r="SXG10" s="554"/>
      <c r="SXH10" s="554"/>
      <c r="SXI10" s="554"/>
      <c r="SXJ10" s="554"/>
      <c r="SXK10" s="554"/>
      <c r="SXL10" s="554"/>
      <c r="SXM10" s="554"/>
      <c r="SXN10" s="554"/>
      <c r="SXO10" s="554"/>
      <c r="SXP10" s="554"/>
      <c r="SXQ10" s="554"/>
      <c r="SXR10" s="554"/>
      <c r="SXS10" s="554"/>
      <c r="SXT10" s="554"/>
      <c r="SXU10" s="554"/>
      <c r="SXV10" s="554"/>
      <c r="SXW10" s="554"/>
      <c r="SXX10" s="554"/>
      <c r="SXY10" s="554"/>
      <c r="SXZ10" s="554"/>
      <c r="SYA10" s="554"/>
      <c r="SYB10" s="554"/>
      <c r="SYC10" s="554"/>
      <c r="SYD10" s="554"/>
      <c r="SYE10" s="554"/>
      <c r="SYF10" s="554"/>
      <c r="SYG10" s="554"/>
      <c r="SYH10" s="554"/>
      <c r="SYI10" s="554"/>
      <c r="SYJ10" s="554"/>
      <c r="SYK10" s="554"/>
      <c r="SYL10" s="554"/>
      <c r="SYM10" s="554"/>
      <c r="SYN10" s="554"/>
      <c r="SYO10" s="554"/>
      <c r="SYP10" s="554"/>
      <c r="SYQ10" s="554"/>
      <c r="SYR10" s="554"/>
      <c r="SYS10" s="554"/>
      <c r="SYT10" s="554"/>
      <c r="SYU10" s="554"/>
      <c r="SYV10" s="554"/>
      <c r="SYW10" s="554"/>
      <c r="SYX10" s="554"/>
      <c r="SYY10" s="554"/>
      <c r="SYZ10" s="554"/>
      <c r="SZA10" s="554"/>
      <c r="SZB10" s="554"/>
      <c r="SZC10" s="554"/>
      <c r="SZD10" s="554"/>
      <c r="SZE10" s="554"/>
      <c r="SZF10" s="554"/>
      <c r="SZG10" s="554"/>
      <c r="SZH10" s="554"/>
      <c r="SZI10" s="554"/>
      <c r="SZJ10" s="554"/>
      <c r="SZK10" s="554"/>
      <c r="SZL10" s="554"/>
      <c r="SZM10" s="554"/>
      <c r="SZN10" s="554"/>
      <c r="SZO10" s="554"/>
      <c r="SZP10" s="554"/>
      <c r="SZQ10" s="554"/>
      <c r="SZR10" s="554"/>
      <c r="SZS10" s="554"/>
      <c r="SZT10" s="554"/>
      <c r="SZU10" s="554"/>
      <c r="SZV10" s="554"/>
      <c r="SZW10" s="554"/>
      <c r="SZX10" s="554"/>
      <c r="SZY10" s="554"/>
      <c r="SZZ10" s="554"/>
      <c r="TAA10" s="554"/>
      <c r="TAB10" s="554"/>
      <c r="TAC10" s="554"/>
      <c r="TAD10" s="554"/>
      <c r="TAE10" s="554"/>
      <c r="TAF10" s="554"/>
      <c r="TAG10" s="554"/>
      <c r="TAH10" s="554"/>
      <c r="TAI10" s="554"/>
      <c r="TAJ10" s="554"/>
      <c r="TAK10" s="554"/>
      <c r="TAL10" s="554"/>
      <c r="TAM10" s="554"/>
      <c r="TAN10" s="554"/>
      <c r="TAO10" s="554"/>
      <c r="TAP10" s="554"/>
      <c r="TAQ10" s="554"/>
      <c r="TAR10" s="554"/>
      <c r="TAS10" s="554"/>
      <c r="TAT10" s="554"/>
      <c r="TAU10" s="554"/>
      <c r="TAV10" s="554"/>
      <c r="TAW10" s="554"/>
      <c r="TAX10" s="554"/>
      <c r="TAY10" s="554"/>
      <c r="TAZ10" s="554"/>
      <c r="TBA10" s="554"/>
      <c r="TBB10" s="554"/>
      <c r="TBC10" s="554"/>
      <c r="TBD10" s="554"/>
      <c r="TBE10" s="554"/>
      <c r="TBF10" s="554"/>
      <c r="TBG10" s="554"/>
      <c r="TBH10" s="554"/>
      <c r="TBI10" s="554"/>
      <c r="TBJ10" s="554"/>
      <c r="TBK10" s="554"/>
      <c r="TBL10" s="554"/>
      <c r="TBM10" s="554"/>
      <c r="TBN10" s="554"/>
      <c r="TBO10" s="554"/>
      <c r="TBP10" s="554"/>
      <c r="TBQ10" s="554"/>
      <c r="TBR10" s="554"/>
      <c r="TBS10" s="554"/>
      <c r="TBT10" s="554"/>
      <c r="TBU10" s="554"/>
      <c r="TBV10" s="554"/>
      <c r="TBW10" s="554"/>
      <c r="TBX10" s="554"/>
      <c r="TBY10" s="554"/>
      <c r="TBZ10" s="554"/>
      <c r="TCA10" s="554"/>
      <c r="TCB10" s="554"/>
      <c r="TCC10" s="554"/>
      <c r="TCD10" s="554"/>
      <c r="TCE10" s="554"/>
      <c r="TCF10" s="554"/>
      <c r="TCG10" s="554"/>
      <c r="TCH10" s="554"/>
      <c r="TCI10" s="554"/>
      <c r="TCJ10" s="554"/>
      <c r="TCK10" s="554"/>
      <c r="TCL10" s="554"/>
      <c r="TCM10" s="554"/>
      <c r="TCN10" s="554"/>
      <c r="TCO10" s="554"/>
      <c r="TCP10" s="554"/>
      <c r="TCQ10" s="554"/>
      <c r="TCR10" s="554"/>
      <c r="TCS10" s="554"/>
      <c r="TCT10" s="554"/>
      <c r="TCU10" s="554"/>
      <c r="TCV10" s="554"/>
      <c r="TCW10" s="554"/>
      <c r="TCX10" s="554"/>
      <c r="TCY10" s="554"/>
      <c r="TCZ10" s="554"/>
      <c r="TDA10" s="554"/>
      <c r="TDB10" s="554"/>
      <c r="TDC10" s="554"/>
      <c r="TDD10" s="554"/>
      <c r="TDE10" s="554"/>
      <c r="TDF10" s="554"/>
      <c r="TDG10" s="554"/>
      <c r="TDH10" s="554"/>
      <c r="TDI10" s="554"/>
      <c r="TDJ10" s="554"/>
      <c r="TDK10" s="554"/>
      <c r="TDL10" s="554"/>
      <c r="TDM10" s="554"/>
      <c r="TDN10" s="554"/>
      <c r="TDO10" s="554"/>
      <c r="TDP10" s="554"/>
      <c r="TDQ10" s="554"/>
      <c r="TDR10" s="554"/>
      <c r="TDS10" s="554"/>
      <c r="TDT10" s="554"/>
      <c r="TDU10" s="554"/>
      <c r="TDV10" s="554"/>
      <c r="TDW10" s="554"/>
      <c r="TDX10" s="554"/>
      <c r="TDY10" s="554"/>
      <c r="TDZ10" s="554"/>
      <c r="TEA10" s="554"/>
      <c r="TEB10" s="554"/>
      <c r="TEC10" s="554"/>
      <c r="TED10" s="554"/>
      <c r="TEE10" s="554"/>
      <c r="TEF10" s="554"/>
      <c r="TEG10" s="554"/>
      <c r="TEH10" s="554"/>
      <c r="TEI10" s="554"/>
      <c r="TEJ10" s="554"/>
      <c r="TEK10" s="554"/>
      <c r="TEL10" s="554"/>
      <c r="TEM10" s="554"/>
      <c r="TEN10" s="554"/>
      <c r="TEO10" s="554"/>
      <c r="TEP10" s="554"/>
      <c r="TEQ10" s="554"/>
      <c r="TER10" s="554"/>
      <c r="TES10" s="554"/>
      <c r="TET10" s="554"/>
      <c r="TEU10" s="554"/>
      <c r="TEV10" s="554"/>
      <c r="TEW10" s="554"/>
      <c r="TEX10" s="554"/>
      <c r="TEY10" s="554"/>
      <c r="TEZ10" s="554"/>
      <c r="TFA10" s="554"/>
      <c r="TFB10" s="554"/>
      <c r="TFC10" s="554"/>
      <c r="TFD10" s="554"/>
      <c r="TFE10" s="554"/>
      <c r="TFF10" s="554"/>
      <c r="TFG10" s="554"/>
      <c r="TFH10" s="554"/>
      <c r="TFI10" s="554"/>
      <c r="TFJ10" s="554"/>
      <c r="TFK10" s="554"/>
      <c r="TFL10" s="554"/>
      <c r="TFM10" s="554"/>
      <c r="TFN10" s="554"/>
      <c r="TFO10" s="554"/>
      <c r="TFP10" s="554"/>
      <c r="TFQ10" s="554"/>
      <c r="TFR10" s="554"/>
      <c r="TFS10" s="554"/>
      <c r="TFT10" s="554"/>
      <c r="TFU10" s="554"/>
      <c r="TFV10" s="554"/>
      <c r="TFW10" s="554"/>
      <c r="TFX10" s="554"/>
      <c r="TFY10" s="554"/>
      <c r="TFZ10" s="554"/>
      <c r="TGA10" s="554"/>
      <c r="TGB10" s="554"/>
      <c r="TGC10" s="554"/>
      <c r="TGD10" s="554"/>
      <c r="TGE10" s="554"/>
      <c r="TGF10" s="554"/>
      <c r="TGG10" s="554"/>
      <c r="TGH10" s="554"/>
      <c r="TGI10" s="554"/>
      <c r="TGJ10" s="554"/>
      <c r="TGK10" s="554"/>
      <c r="TGL10" s="554"/>
      <c r="TGM10" s="554"/>
      <c r="TGN10" s="554"/>
      <c r="TGO10" s="554"/>
      <c r="TGP10" s="554"/>
      <c r="TGQ10" s="554"/>
      <c r="TGR10" s="554"/>
      <c r="TGS10" s="554"/>
      <c r="TGT10" s="554"/>
      <c r="TGU10" s="554"/>
      <c r="TGV10" s="554"/>
      <c r="TGW10" s="554"/>
      <c r="TGX10" s="554"/>
      <c r="TGY10" s="554"/>
      <c r="TGZ10" s="554"/>
      <c r="THA10" s="554"/>
      <c r="THB10" s="554"/>
      <c r="THC10" s="554"/>
      <c r="THD10" s="554"/>
      <c r="THE10" s="554"/>
      <c r="THF10" s="554"/>
      <c r="THG10" s="554"/>
      <c r="THH10" s="554"/>
      <c r="THI10" s="554"/>
      <c r="THJ10" s="554"/>
      <c r="THK10" s="554"/>
      <c r="THL10" s="554"/>
      <c r="THM10" s="554"/>
      <c r="THN10" s="554"/>
      <c r="THO10" s="554"/>
      <c r="THP10" s="554"/>
      <c r="THQ10" s="554"/>
      <c r="THR10" s="554"/>
      <c r="THS10" s="554"/>
      <c r="THT10" s="554"/>
      <c r="THU10" s="554"/>
      <c r="THV10" s="554"/>
      <c r="THW10" s="554"/>
      <c r="THX10" s="554"/>
      <c r="THY10" s="554"/>
      <c r="THZ10" s="554"/>
      <c r="TIA10" s="554"/>
      <c r="TIB10" s="554"/>
      <c r="TIC10" s="554"/>
      <c r="TID10" s="554"/>
      <c r="TIE10" s="554"/>
      <c r="TIF10" s="554"/>
      <c r="TIG10" s="554"/>
      <c r="TIH10" s="554"/>
      <c r="TII10" s="554"/>
      <c r="TIJ10" s="554"/>
      <c r="TIK10" s="554"/>
      <c r="TIL10" s="554"/>
      <c r="TIM10" s="554"/>
      <c r="TIN10" s="554"/>
      <c r="TIO10" s="554"/>
      <c r="TIP10" s="554"/>
      <c r="TIQ10" s="554"/>
      <c r="TIR10" s="554"/>
      <c r="TIS10" s="554"/>
      <c r="TIT10" s="554"/>
      <c r="TIU10" s="554"/>
      <c r="TIV10" s="554"/>
      <c r="TIW10" s="554"/>
      <c r="TIX10" s="554"/>
      <c r="TIY10" s="554"/>
      <c r="TIZ10" s="554"/>
      <c r="TJA10" s="554"/>
      <c r="TJB10" s="554"/>
      <c r="TJC10" s="554"/>
      <c r="TJD10" s="554"/>
      <c r="TJE10" s="554"/>
      <c r="TJF10" s="554"/>
      <c r="TJG10" s="554"/>
      <c r="TJH10" s="554"/>
      <c r="TJI10" s="554"/>
      <c r="TJJ10" s="554"/>
      <c r="TJK10" s="554"/>
      <c r="TJL10" s="554"/>
      <c r="TJM10" s="554"/>
      <c r="TJN10" s="554"/>
      <c r="TJO10" s="554"/>
      <c r="TJP10" s="554"/>
      <c r="TJQ10" s="554"/>
      <c r="TJR10" s="554"/>
      <c r="TJS10" s="554"/>
      <c r="TJT10" s="554"/>
      <c r="TJU10" s="554"/>
      <c r="TJV10" s="554"/>
      <c r="TJW10" s="554"/>
      <c r="TJX10" s="554"/>
      <c r="TJY10" s="554"/>
      <c r="TJZ10" s="554"/>
      <c r="TKA10" s="554"/>
      <c r="TKB10" s="554"/>
      <c r="TKC10" s="554"/>
      <c r="TKD10" s="554"/>
      <c r="TKE10" s="554"/>
      <c r="TKF10" s="554"/>
      <c r="TKG10" s="554"/>
      <c r="TKH10" s="554"/>
      <c r="TKI10" s="554"/>
      <c r="TKJ10" s="554"/>
      <c r="TKK10" s="554"/>
      <c r="TKL10" s="554"/>
      <c r="TKM10" s="554"/>
      <c r="TKN10" s="554"/>
      <c r="TKO10" s="554"/>
      <c r="TKP10" s="554"/>
      <c r="TKQ10" s="554"/>
      <c r="TKR10" s="554"/>
      <c r="TKS10" s="554"/>
      <c r="TKT10" s="554"/>
      <c r="TKU10" s="554"/>
      <c r="TKV10" s="554"/>
      <c r="TKW10" s="554"/>
      <c r="TKX10" s="554"/>
      <c r="TKY10" s="554"/>
      <c r="TKZ10" s="554"/>
      <c r="TLA10" s="554"/>
      <c r="TLB10" s="554"/>
      <c r="TLC10" s="554"/>
      <c r="TLD10" s="554"/>
      <c r="TLE10" s="554"/>
      <c r="TLF10" s="554"/>
      <c r="TLG10" s="554"/>
      <c r="TLH10" s="554"/>
      <c r="TLI10" s="554"/>
      <c r="TLJ10" s="554"/>
      <c r="TLK10" s="554"/>
      <c r="TLL10" s="554"/>
      <c r="TLM10" s="554"/>
      <c r="TLN10" s="554"/>
      <c r="TLO10" s="554"/>
      <c r="TLP10" s="554"/>
      <c r="TLQ10" s="554"/>
      <c r="TLR10" s="554"/>
      <c r="TLS10" s="554"/>
      <c r="TLT10" s="554"/>
      <c r="TLU10" s="554"/>
      <c r="TLV10" s="554"/>
      <c r="TLW10" s="554"/>
      <c r="TLX10" s="554"/>
      <c r="TLY10" s="554"/>
      <c r="TLZ10" s="554"/>
      <c r="TMA10" s="554"/>
      <c r="TMB10" s="554"/>
      <c r="TMC10" s="554"/>
      <c r="TMD10" s="554"/>
      <c r="TME10" s="554"/>
      <c r="TMF10" s="554"/>
      <c r="TMG10" s="554"/>
      <c r="TMH10" s="554"/>
      <c r="TMI10" s="554"/>
      <c r="TMJ10" s="554"/>
      <c r="TMK10" s="554"/>
      <c r="TML10" s="554"/>
      <c r="TMM10" s="554"/>
      <c r="TMN10" s="554"/>
      <c r="TMO10" s="554"/>
      <c r="TMP10" s="554"/>
      <c r="TMQ10" s="554"/>
      <c r="TMR10" s="554"/>
      <c r="TMS10" s="554"/>
      <c r="TMT10" s="554"/>
      <c r="TMU10" s="554"/>
      <c r="TMV10" s="554"/>
      <c r="TMW10" s="554"/>
      <c r="TMX10" s="554"/>
      <c r="TMY10" s="554"/>
      <c r="TMZ10" s="554"/>
      <c r="TNA10" s="554"/>
      <c r="TNB10" s="554"/>
      <c r="TNC10" s="554"/>
      <c r="TND10" s="554"/>
      <c r="TNE10" s="554"/>
      <c r="TNF10" s="554"/>
      <c r="TNG10" s="554"/>
      <c r="TNH10" s="554"/>
      <c r="TNI10" s="554"/>
      <c r="TNJ10" s="554"/>
      <c r="TNK10" s="554"/>
      <c r="TNL10" s="554"/>
      <c r="TNM10" s="554"/>
      <c r="TNN10" s="554"/>
      <c r="TNO10" s="554"/>
      <c r="TNP10" s="554"/>
      <c r="TNQ10" s="554"/>
      <c r="TNR10" s="554"/>
      <c r="TNS10" s="554"/>
      <c r="TNT10" s="554"/>
      <c r="TNU10" s="554"/>
      <c r="TNV10" s="554"/>
      <c r="TNW10" s="554"/>
      <c r="TNX10" s="554"/>
      <c r="TNY10" s="554"/>
      <c r="TNZ10" s="554"/>
      <c r="TOA10" s="554"/>
      <c r="TOB10" s="554"/>
      <c r="TOC10" s="554"/>
      <c r="TOD10" s="554"/>
      <c r="TOE10" s="554"/>
      <c r="TOF10" s="554"/>
      <c r="TOG10" s="554"/>
      <c r="TOH10" s="554"/>
      <c r="TOI10" s="554"/>
      <c r="TOJ10" s="554"/>
      <c r="TOK10" s="554"/>
      <c r="TOL10" s="554"/>
      <c r="TOM10" s="554"/>
      <c r="TON10" s="554"/>
      <c r="TOO10" s="554"/>
      <c r="TOP10" s="554"/>
      <c r="TOQ10" s="554"/>
      <c r="TOR10" s="554"/>
      <c r="TOS10" s="554"/>
      <c r="TOT10" s="554"/>
      <c r="TOU10" s="554"/>
      <c r="TOV10" s="554"/>
      <c r="TOW10" s="554"/>
      <c r="TOX10" s="554"/>
      <c r="TOY10" s="554"/>
      <c r="TOZ10" s="554"/>
      <c r="TPA10" s="554"/>
      <c r="TPB10" s="554"/>
      <c r="TPC10" s="554"/>
      <c r="TPD10" s="554"/>
      <c r="TPE10" s="554"/>
      <c r="TPF10" s="554"/>
      <c r="TPG10" s="554"/>
      <c r="TPH10" s="554"/>
      <c r="TPI10" s="554"/>
      <c r="TPJ10" s="554"/>
      <c r="TPK10" s="554"/>
      <c r="TPL10" s="554"/>
      <c r="TPM10" s="554"/>
      <c r="TPN10" s="554"/>
      <c r="TPO10" s="554"/>
      <c r="TPP10" s="554"/>
      <c r="TPQ10" s="554"/>
      <c r="TPR10" s="554"/>
      <c r="TPS10" s="554"/>
      <c r="TPT10" s="554"/>
      <c r="TPU10" s="554"/>
      <c r="TPV10" s="554"/>
      <c r="TPW10" s="554"/>
      <c r="TPX10" s="554"/>
      <c r="TPY10" s="554"/>
      <c r="TPZ10" s="554"/>
      <c r="TQA10" s="554"/>
      <c r="TQB10" s="554"/>
      <c r="TQC10" s="554"/>
      <c r="TQD10" s="554"/>
      <c r="TQE10" s="554"/>
      <c r="TQF10" s="554"/>
      <c r="TQG10" s="554"/>
      <c r="TQH10" s="554"/>
      <c r="TQI10" s="554"/>
      <c r="TQJ10" s="554"/>
      <c r="TQK10" s="554"/>
      <c r="TQL10" s="554"/>
      <c r="TQM10" s="554"/>
      <c r="TQN10" s="554"/>
      <c r="TQO10" s="554"/>
      <c r="TQP10" s="554"/>
      <c r="TQQ10" s="554"/>
      <c r="TQR10" s="554"/>
      <c r="TQS10" s="554"/>
      <c r="TQT10" s="554"/>
      <c r="TQU10" s="554"/>
      <c r="TQV10" s="554"/>
      <c r="TQW10" s="554"/>
      <c r="TQX10" s="554"/>
      <c r="TQY10" s="554"/>
      <c r="TQZ10" s="554"/>
      <c r="TRA10" s="554"/>
      <c r="TRB10" s="554"/>
      <c r="TRC10" s="554"/>
      <c r="TRD10" s="554"/>
      <c r="TRE10" s="554"/>
      <c r="TRF10" s="554"/>
      <c r="TRG10" s="554"/>
      <c r="TRH10" s="554"/>
      <c r="TRI10" s="554"/>
      <c r="TRJ10" s="554"/>
      <c r="TRK10" s="554"/>
      <c r="TRL10" s="554"/>
      <c r="TRM10" s="554"/>
      <c r="TRN10" s="554"/>
      <c r="TRO10" s="554"/>
      <c r="TRP10" s="554"/>
      <c r="TRQ10" s="554"/>
      <c r="TRR10" s="554"/>
      <c r="TRS10" s="554"/>
      <c r="TRT10" s="554"/>
      <c r="TRU10" s="554"/>
      <c r="TRV10" s="554"/>
      <c r="TRW10" s="554"/>
      <c r="TRX10" s="554"/>
      <c r="TRY10" s="554"/>
      <c r="TRZ10" s="554"/>
      <c r="TSA10" s="554"/>
      <c r="TSB10" s="554"/>
      <c r="TSC10" s="554"/>
      <c r="TSD10" s="554"/>
      <c r="TSE10" s="554"/>
      <c r="TSF10" s="554"/>
      <c r="TSG10" s="554"/>
      <c r="TSH10" s="554"/>
      <c r="TSI10" s="554"/>
      <c r="TSJ10" s="554"/>
      <c r="TSK10" s="554"/>
      <c r="TSL10" s="554"/>
      <c r="TSM10" s="554"/>
      <c r="TSN10" s="554"/>
      <c r="TSO10" s="554"/>
      <c r="TSP10" s="554"/>
      <c r="TSQ10" s="554"/>
      <c r="TSR10" s="554"/>
      <c r="TSS10" s="554"/>
      <c r="TST10" s="554"/>
      <c r="TSU10" s="554"/>
      <c r="TSV10" s="554"/>
      <c r="TSW10" s="554"/>
      <c r="TSX10" s="554"/>
      <c r="TSY10" s="554"/>
      <c r="TSZ10" s="554"/>
      <c r="TTA10" s="554"/>
      <c r="TTB10" s="554"/>
      <c r="TTC10" s="554"/>
      <c r="TTD10" s="554"/>
      <c r="TTE10" s="554"/>
      <c r="TTF10" s="554"/>
      <c r="TTG10" s="554"/>
      <c r="TTH10" s="554"/>
      <c r="TTI10" s="554"/>
      <c r="TTJ10" s="554"/>
      <c r="TTK10" s="554"/>
      <c r="TTL10" s="554"/>
      <c r="TTM10" s="554"/>
      <c r="TTN10" s="554"/>
      <c r="TTO10" s="554"/>
      <c r="TTP10" s="554"/>
      <c r="TTQ10" s="554"/>
      <c r="TTR10" s="554"/>
      <c r="TTS10" s="554"/>
      <c r="TTT10" s="554"/>
      <c r="TTU10" s="554"/>
      <c r="TTV10" s="554"/>
      <c r="TTW10" s="554"/>
      <c r="TTX10" s="554"/>
      <c r="TTY10" s="554"/>
      <c r="TTZ10" s="554"/>
      <c r="TUA10" s="554"/>
      <c r="TUB10" s="554"/>
      <c r="TUC10" s="554"/>
      <c r="TUD10" s="554"/>
      <c r="TUE10" s="554"/>
      <c r="TUF10" s="554"/>
      <c r="TUG10" s="554"/>
      <c r="TUH10" s="554"/>
      <c r="TUI10" s="554"/>
      <c r="TUJ10" s="554"/>
      <c r="TUK10" s="554"/>
      <c r="TUL10" s="554"/>
      <c r="TUM10" s="554"/>
      <c r="TUN10" s="554"/>
      <c r="TUO10" s="554"/>
      <c r="TUP10" s="554"/>
      <c r="TUQ10" s="554"/>
      <c r="TUR10" s="554"/>
      <c r="TUS10" s="554"/>
      <c r="TUT10" s="554"/>
      <c r="TUU10" s="554"/>
      <c r="TUV10" s="554"/>
      <c r="TUW10" s="554"/>
      <c r="TUX10" s="554"/>
      <c r="TUY10" s="554"/>
      <c r="TUZ10" s="554"/>
      <c r="TVA10" s="554"/>
      <c r="TVB10" s="554"/>
      <c r="TVC10" s="554"/>
      <c r="TVD10" s="554"/>
      <c r="TVE10" s="554"/>
      <c r="TVF10" s="554"/>
      <c r="TVG10" s="554"/>
      <c r="TVH10" s="554"/>
      <c r="TVI10" s="554"/>
      <c r="TVJ10" s="554"/>
      <c r="TVK10" s="554"/>
      <c r="TVL10" s="554"/>
      <c r="TVM10" s="554"/>
      <c r="TVN10" s="554"/>
      <c r="TVO10" s="554"/>
      <c r="TVP10" s="554"/>
      <c r="TVQ10" s="554"/>
      <c r="TVR10" s="554"/>
      <c r="TVS10" s="554"/>
      <c r="TVT10" s="554"/>
      <c r="TVU10" s="554"/>
      <c r="TVV10" s="554"/>
      <c r="TVW10" s="554"/>
      <c r="TVX10" s="554"/>
      <c r="TVY10" s="554"/>
      <c r="TVZ10" s="554"/>
      <c r="TWA10" s="554"/>
      <c r="TWB10" s="554"/>
      <c r="TWC10" s="554"/>
      <c r="TWD10" s="554"/>
      <c r="TWE10" s="554"/>
      <c r="TWF10" s="554"/>
      <c r="TWG10" s="554"/>
      <c r="TWH10" s="554"/>
      <c r="TWI10" s="554"/>
      <c r="TWJ10" s="554"/>
      <c r="TWK10" s="554"/>
      <c r="TWL10" s="554"/>
      <c r="TWM10" s="554"/>
      <c r="TWN10" s="554"/>
      <c r="TWO10" s="554"/>
      <c r="TWP10" s="554"/>
      <c r="TWQ10" s="554"/>
      <c r="TWR10" s="554"/>
      <c r="TWS10" s="554"/>
      <c r="TWT10" s="554"/>
      <c r="TWU10" s="554"/>
      <c r="TWV10" s="554"/>
      <c r="TWW10" s="554"/>
      <c r="TWX10" s="554"/>
      <c r="TWY10" s="554"/>
      <c r="TWZ10" s="554"/>
      <c r="TXA10" s="554"/>
      <c r="TXB10" s="554"/>
      <c r="TXC10" s="554"/>
      <c r="TXD10" s="554"/>
      <c r="TXE10" s="554"/>
      <c r="TXF10" s="554"/>
      <c r="TXG10" s="554"/>
      <c r="TXH10" s="554"/>
      <c r="TXI10" s="554"/>
      <c r="TXJ10" s="554"/>
      <c r="TXK10" s="554"/>
      <c r="TXL10" s="554"/>
      <c r="TXM10" s="554"/>
      <c r="TXN10" s="554"/>
      <c r="TXO10" s="554"/>
      <c r="TXP10" s="554"/>
      <c r="TXQ10" s="554"/>
      <c r="TXR10" s="554"/>
      <c r="TXS10" s="554"/>
      <c r="TXT10" s="554"/>
      <c r="TXU10" s="554"/>
      <c r="TXV10" s="554"/>
      <c r="TXW10" s="554"/>
      <c r="TXX10" s="554"/>
      <c r="TXY10" s="554"/>
      <c r="TXZ10" s="554"/>
      <c r="TYA10" s="554"/>
      <c r="TYB10" s="554"/>
      <c r="TYC10" s="554"/>
      <c r="TYD10" s="554"/>
      <c r="TYE10" s="554"/>
      <c r="TYF10" s="554"/>
      <c r="TYG10" s="554"/>
      <c r="TYH10" s="554"/>
      <c r="TYI10" s="554"/>
      <c r="TYJ10" s="554"/>
      <c r="TYK10" s="554"/>
      <c r="TYL10" s="554"/>
      <c r="TYM10" s="554"/>
      <c r="TYN10" s="554"/>
      <c r="TYO10" s="554"/>
      <c r="TYP10" s="554"/>
      <c r="TYQ10" s="554"/>
      <c r="TYR10" s="554"/>
      <c r="TYS10" s="554"/>
      <c r="TYT10" s="554"/>
      <c r="TYU10" s="554"/>
      <c r="TYV10" s="554"/>
      <c r="TYW10" s="554"/>
      <c r="TYX10" s="554"/>
      <c r="TYY10" s="554"/>
      <c r="TYZ10" s="554"/>
      <c r="TZA10" s="554"/>
      <c r="TZB10" s="554"/>
      <c r="TZC10" s="554"/>
      <c r="TZD10" s="554"/>
      <c r="TZE10" s="554"/>
      <c r="TZF10" s="554"/>
      <c r="TZG10" s="554"/>
      <c r="TZH10" s="554"/>
      <c r="TZI10" s="554"/>
      <c r="TZJ10" s="554"/>
      <c r="TZK10" s="554"/>
      <c r="TZL10" s="554"/>
      <c r="TZM10" s="554"/>
      <c r="TZN10" s="554"/>
      <c r="TZO10" s="554"/>
      <c r="TZP10" s="554"/>
      <c r="TZQ10" s="554"/>
      <c r="TZR10" s="554"/>
      <c r="TZS10" s="554"/>
      <c r="TZT10" s="554"/>
      <c r="TZU10" s="554"/>
      <c r="TZV10" s="554"/>
      <c r="TZW10" s="554"/>
      <c r="TZX10" s="554"/>
      <c r="TZY10" s="554"/>
      <c r="TZZ10" s="554"/>
      <c r="UAA10" s="554"/>
      <c r="UAB10" s="554"/>
      <c r="UAC10" s="554"/>
      <c r="UAD10" s="554"/>
      <c r="UAE10" s="554"/>
      <c r="UAF10" s="554"/>
      <c r="UAG10" s="554"/>
      <c r="UAH10" s="554"/>
      <c r="UAI10" s="554"/>
      <c r="UAJ10" s="554"/>
      <c r="UAK10" s="554"/>
      <c r="UAL10" s="554"/>
      <c r="UAM10" s="554"/>
      <c r="UAN10" s="554"/>
      <c r="UAO10" s="554"/>
      <c r="UAP10" s="554"/>
      <c r="UAQ10" s="554"/>
      <c r="UAR10" s="554"/>
      <c r="UAS10" s="554"/>
      <c r="UAT10" s="554"/>
      <c r="UAU10" s="554"/>
      <c r="UAV10" s="554"/>
      <c r="UAW10" s="554"/>
      <c r="UAX10" s="554"/>
      <c r="UAY10" s="554"/>
      <c r="UAZ10" s="554"/>
      <c r="UBA10" s="554"/>
      <c r="UBB10" s="554"/>
      <c r="UBC10" s="554"/>
      <c r="UBD10" s="554"/>
      <c r="UBE10" s="554"/>
      <c r="UBF10" s="554"/>
      <c r="UBG10" s="554"/>
      <c r="UBH10" s="554"/>
      <c r="UBI10" s="554"/>
      <c r="UBJ10" s="554"/>
      <c r="UBK10" s="554"/>
      <c r="UBL10" s="554"/>
      <c r="UBM10" s="554"/>
      <c r="UBN10" s="554"/>
      <c r="UBO10" s="554"/>
      <c r="UBP10" s="554"/>
      <c r="UBQ10" s="554"/>
      <c r="UBR10" s="554"/>
      <c r="UBS10" s="554"/>
      <c r="UBT10" s="554"/>
      <c r="UBU10" s="554"/>
      <c r="UBV10" s="554"/>
      <c r="UBW10" s="554"/>
      <c r="UBX10" s="554"/>
      <c r="UBY10" s="554"/>
      <c r="UBZ10" s="554"/>
      <c r="UCA10" s="554"/>
      <c r="UCB10" s="554"/>
      <c r="UCC10" s="554"/>
      <c r="UCD10" s="554"/>
      <c r="UCE10" s="554"/>
      <c r="UCF10" s="554"/>
      <c r="UCG10" s="554"/>
      <c r="UCH10" s="554"/>
      <c r="UCI10" s="554"/>
      <c r="UCJ10" s="554"/>
      <c r="UCK10" s="554"/>
      <c r="UCL10" s="554"/>
      <c r="UCM10" s="554"/>
      <c r="UCN10" s="554"/>
      <c r="UCO10" s="554"/>
      <c r="UCP10" s="554"/>
      <c r="UCQ10" s="554"/>
      <c r="UCR10" s="554"/>
      <c r="UCS10" s="554"/>
      <c r="UCT10" s="554"/>
      <c r="UCU10" s="554"/>
      <c r="UCV10" s="554"/>
      <c r="UCW10" s="554"/>
      <c r="UCX10" s="554"/>
      <c r="UCY10" s="554"/>
      <c r="UCZ10" s="554"/>
      <c r="UDA10" s="554"/>
      <c r="UDB10" s="554"/>
      <c r="UDC10" s="554"/>
      <c r="UDD10" s="554"/>
      <c r="UDE10" s="554"/>
      <c r="UDF10" s="554"/>
      <c r="UDG10" s="554"/>
      <c r="UDH10" s="554"/>
      <c r="UDI10" s="554"/>
      <c r="UDJ10" s="554"/>
      <c r="UDK10" s="554"/>
      <c r="UDL10" s="554"/>
      <c r="UDM10" s="554"/>
      <c r="UDN10" s="554"/>
      <c r="UDO10" s="554"/>
      <c r="UDP10" s="554"/>
      <c r="UDQ10" s="554"/>
      <c r="UDR10" s="554"/>
      <c r="UDS10" s="554"/>
      <c r="UDT10" s="554"/>
      <c r="UDU10" s="554"/>
      <c r="UDV10" s="554"/>
      <c r="UDW10" s="554"/>
      <c r="UDX10" s="554"/>
      <c r="UDY10" s="554"/>
      <c r="UDZ10" s="554"/>
      <c r="UEA10" s="554"/>
      <c r="UEB10" s="554"/>
      <c r="UEC10" s="554"/>
      <c r="UED10" s="554"/>
      <c r="UEE10" s="554"/>
      <c r="UEF10" s="554"/>
      <c r="UEG10" s="554"/>
      <c r="UEH10" s="554"/>
      <c r="UEI10" s="554"/>
      <c r="UEJ10" s="554"/>
      <c r="UEK10" s="554"/>
      <c r="UEL10" s="554"/>
      <c r="UEM10" s="554"/>
      <c r="UEN10" s="554"/>
      <c r="UEO10" s="554"/>
      <c r="UEP10" s="554"/>
      <c r="UEQ10" s="554"/>
      <c r="UER10" s="554"/>
      <c r="UES10" s="554"/>
      <c r="UET10" s="554"/>
      <c r="UEU10" s="554"/>
      <c r="UEV10" s="554"/>
      <c r="UEW10" s="554"/>
      <c r="UEX10" s="554"/>
      <c r="UEY10" s="554"/>
      <c r="UEZ10" s="554"/>
      <c r="UFA10" s="554"/>
      <c r="UFB10" s="554"/>
      <c r="UFC10" s="554"/>
      <c r="UFD10" s="554"/>
      <c r="UFE10" s="554"/>
      <c r="UFF10" s="554"/>
      <c r="UFG10" s="554"/>
      <c r="UFH10" s="554"/>
      <c r="UFI10" s="554"/>
      <c r="UFJ10" s="554"/>
      <c r="UFK10" s="554"/>
      <c r="UFL10" s="554"/>
      <c r="UFM10" s="554"/>
      <c r="UFN10" s="554"/>
      <c r="UFO10" s="554"/>
      <c r="UFP10" s="554"/>
      <c r="UFQ10" s="554"/>
      <c r="UFR10" s="554"/>
      <c r="UFS10" s="554"/>
      <c r="UFT10" s="554"/>
      <c r="UFU10" s="554"/>
      <c r="UFV10" s="554"/>
      <c r="UFW10" s="554"/>
      <c r="UFX10" s="554"/>
      <c r="UFY10" s="554"/>
      <c r="UFZ10" s="554"/>
      <c r="UGA10" s="554"/>
      <c r="UGB10" s="554"/>
      <c r="UGC10" s="554"/>
      <c r="UGD10" s="554"/>
      <c r="UGE10" s="554"/>
      <c r="UGF10" s="554"/>
      <c r="UGG10" s="554"/>
      <c r="UGH10" s="554"/>
      <c r="UGI10" s="554"/>
      <c r="UGJ10" s="554"/>
      <c r="UGK10" s="554"/>
      <c r="UGL10" s="554"/>
      <c r="UGM10" s="554"/>
      <c r="UGN10" s="554"/>
      <c r="UGO10" s="554"/>
      <c r="UGP10" s="554"/>
      <c r="UGQ10" s="554"/>
      <c r="UGR10" s="554"/>
      <c r="UGS10" s="554"/>
      <c r="UGT10" s="554"/>
      <c r="UGU10" s="554"/>
      <c r="UGV10" s="554"/>
      <c r="UGW10" s="554"/>
      <c r="UGX10" s="554"/>
      <c r="UGY10" s="554"/>
      <c r="UGZ10" s="554"/>
      <c r="UHA10" s="554"/>
      <c r="UHB10" s="554"/>
      <c r="UHC10" s="554"/>
      <c r="UHD10" s="554"/>
      <c r="UHE10" s="554"/>
      <c r="UHF10" s="554"/>
      <c r="UHG10" s="554"/>
      <c r="UHH10" s="554"/>
      <c r="UHI10" s="554"/>
      <c r="UHJ10" s="554"/>
      <c r="UHK10" s="554"/>
      <c r="UHL10" s="554"/>
      <c r="UHM10" s="554"/>
      <c r="UHN10" s="554"/>
      <c r="UHO10" s="554"/>
      <c r="UHP10" s="554"/>
      <c r="UHQ10" s="554"/>
      <c r="UHR10" s="554"/>
      <c r="UHS10" s="554"/>
      <c r="UHT10" s="554"/>
      <c r="UHU10" s="554"/>
      <c r="UHV10" s="554"/>
      <c r="UHW10" s="554"/>
      <c r="UHX10" s="554"/>
      <c r="UHY10" s="554"/>
      <c r="UHZ10" s="554"/>
      <c r="UIA10" s="554"/>
      <c r="UIB10" s="554"/>
      <c r="UIC10" s="554"/>
      <c r="UID10" s="554"/>
      <c r="UIE10" s="554"/>
      <c r="UIF10" s="554"/>
      <c r="UIG10" s="554"/>
      <c r="UIH10" s="554"/>
      <c r="UII10" s="554"/>
      <c r="UIJ10" s="554"/>
      <c r="UIK10" s="554"/>
      <c r="UIL10" s="554"/>
      <c r="UIM10" s="554"/>
      <c r="UIN10" s="554"/>
      <c r="UIO10" s="554"/>
      <c r="UIP10" s="554"/>
      <c r="UIQ10" s="554"/>
      <c r="UIR10" s="554"/>
      <c r="UIS10" s="554"/>
      <c r="UIT10" s="554"/>
      <c r="UIU10" s="554"/>
      <c r="UIV10" s="554"/>
      <c r="UIW10" s="554"/>
      <c r="UIX10" s="554"/>
      <c r="UIY10" s="554"/>
      <c r="UIZ10" s="554"/>
      <c r="UJA10" s="554"/>
      <c r="UJB10" s="554"/>
      <c r="UJC10" s="554"/>
      <c r="UJD10" s="554"/>
      <c r="UJE10" s="554"/>
      <c r="UJF10" s="554"/>
      <c r="UJG10" s="554"/>
      <c r="UJH10" s="554"/>
      <c r="UJI10" s="554"/>
      <c r="UJJ10" s="554"/>
      <c r="UJK10" s="554"/>
      <c r="UJL10" s="554"/>
      <c r="UJM10" s="554"/>
      <c r="UJN10" s="554"/>
      <c r="UJO10" s="554"/>
      <c r="UJP10" s="554"/>
      <c r="UJQ10" s="554"/>
      <c r="UJR10" s="554"/>
      <c r="UJS10" s="554"/>
      <c r="UJT10" s="554"/>
      <c r="UJU10" s="554"/>
      <c r="UJV10" s="554"/>
      <c r="UJW10" s="554"/>
      <c r="UJX10" s="554"/>
      <c r="UJY10" s="554"/>
      <c r="UJZ10" s="554"/>
      <c r="UKA10" s="554"/>
      <c r="UKB10" s="554"/>
      <c r="UKC10" s="554"/>
      <c r="UKD10" s="554"/>
      <c r="UKE10" s="554"/>
      <c r="UKF10" s="554"/>
      <c r="UKG10" s="554"/>
      <c r="UKH10" s="554"/>
      <c r="UKI10" s="554"/>
      <c r="UKJ10" s="554"/>
      <c r="UKK10" s="554"/>
      <c r="UKL10" s="554"/>
      <c r="UKM10" s="554"/>
      <c r="UKN10" s="554"/>
      <c r="UKO10" s="554"/>
      <c r="UKP10" s="554"/>
      <c r="UKQ10" s="554"/>
      <c r="UKR10" s="554"/>
      <c r="UKS10" s="554"/>
      <c r="UKT10" s="554"/>
      <c r="UKU10" s="554"/>
      <c r="UKV10" s="554"/>
      <c r="UKW10" s="554"/>
      <c r="UKX10" s="554"/>
      <c r="UKY10" s="554"/>
      <c r="UKZ10" s="554"/>
      <c r="ULA10" s="554"/>
      <c r="ULB10" s="554"/>
      <c r="ULC10" s="554"/>
      <c r="ULD10" s="554"/>
      <c r="ULE10" s="554"/>
      <c r="ULF10" s="554"/>
      <c r="ULG10" s="554"/>
      <c r="ULH10" s="554"/>
      <c r="ULI10" s="554"/>
      <c r="ULJ10" s="554"/>
      <c r="ULK10" s="554"/>
      <c r="ULL10" s="554"/>
      <c r="ULM10" s="554"/>
      <c r="ULN10" s="554"/>
      <c r="ULO10" s="554"/>
      <c r="ULP10" s="554"/>
      <c r="ULQ10" s="554"/>
      <c r="ULR10" s="554"/>
      <c r="ULS10" s="554"/>
      <c r="ULT10" s="554"/>
      <c r="ULU10" s="554"/>
      <c r="ULV10" s="554"/>
      <c r="ULW10" s="554"/>
      <c r="ULX10" s="554"/>
      <c r="ULY10" s="554"/>
      <c r="ULZ10" s="554"/>
      <c r="UMA10" s="554"/>
      <c r="UMB10" s="554"/>
      <c r="UMC10" s="554"/>
      <c r="UMD10" s="554"/>
      <c r="UME10" s="554"/>
      <c r="UMF10" s="554"/>
      <c r="UMG10" s="554"/>
      <c r="UMH10" s="554"/>
      <c r="UMI10" s="554"/>
      <c r="UMJ10" s="554"/>
      <c r="UMK10" s="554"/>
      <c r="UML10" s="554"/>
      <c r="UMM10" s="554"/>
      <c r="UMN10" s="554"/>
      <c r="UMO10" s="554"/>
      <c r="UMP10" s="554"/>
      <c r="UMQ10" s="554"/>
      <c r="UMR10" s="554"/>
      <c r="UMS10" s="554"/>
      <c r="UMT10" s="554"/>
      <c r="UMU10" s="554"/>
      <c r="UMV10" s="554"/>
      <c r="UMW10" s="554"/>
      <c r="UMX10" s="554"/>
      <c r="UMY10" s="554"/>
      <c r="UMZ10" s="554"/>
      <c r="UNA10" s="554"/>
      <c r="UNB10" s="554"/>
      <c r="UNC10" s="554"/>
      <c r="UND10" s="554"/>
      <c r="UNE10" s="554"/>
      <c r="UNF10" s="554"/>
      <c r="UNG10" s="554"/>
      <c r="UNH10" s="554"/>
      <c r="UNI10" s="554"/>
      <c r="UNJ10" s="554"/>
      <c r="UNK10" s="554"/>
      <c r="UNL10" s="554"/>
      <c r="UNM10" s="554"/>
      <c r="UNN10" s="554"/>
      <c r="UNO10" s="554"/>
      <c r="UNP10" s="554"/>
      <c r="UNQ10" s="554"/>
      <c r="UNR10" s="554"/>
      <c r="UNS10" s="554"/>
      <c r="UNT10" s="554"/>
      <c r="UNU10" s="554"/>
      <c r="UNV10" s="554"/>
      <c r="UNW10" s="554"/>
      <c r="UNX10" s="554"/>
      <c r="UNY10" s="554"/>
      <c r="UNZ10" s="554"/>
      <c r="UOA10" s="554"/>
      <c r="UOB10" s="554"/>
      <c r="UOC10" s="554"/>
      <c r="UOD10" s="554"/>
      <c r="UOE10" s="554"/>
      <c r="UOF10" s="554"/>
      <c r="UOG10" s="554"/>
      <c r="UOH10" s="554"/>
      <c r="UOI10" s="554"/>
      <c r="UOJ10" s="554"/>
      <c r="UOK10" s="554"/>
      <c r="UOL10" s="554"/>
      <c r="UOM10" s="554"/>
      <c r="UON10" s="554"/>
      <c r="UOO10" s="554"/>
      <c r="UOP10" s="554"/>
      <c r="UOQ10" s="554"/>
      <c r="UOR10" s="554"/>
      <c r="UOS10" s="554"/>
      <c r="UOT10" s="554"/>
      <c r="UOU10" s="554"/>
      <c r="UOV10" s="554"/>
      <c r="UOW10" s="554"/>
      <c r="UOX10" s="554"/>
      <c r="UOY10" s="554"/>
      <c r="UOZ10" s="554"/>
      <c r="UPA10" s="554"/>
      <c r="UPB10" s="554"/>
      <c r="UPC10" s="554"/>
      <c r="UPD10" s="554"/>
      <c r="UPE10" s="554"/>
      <c r="UPF10" s="554"/>
      <c r="UPG10" s="554"/>
      <c r="UPH10" s="554"/>
      <c r="UPI10" s="554"/>
      <c r="UPJ10" s="554"/>
      <c r="UPK10" s="554"/>
      <c r="UPL10" s="554"/>
      <c r="UPM10" s="554"/>
      <c r="UPN10" s="554"/>
      <c r="UPO10" s="554"/>
      <c r="UPP10" s="554"/>
      <c r="UPQ10" s="554"/>
      <c r="UPR10" s="554"/>
      <c r="UPS10" s="554"/>
      <c r="UPT10" s="554"/>
      <c r="UPU10" s="554"/>
      <c r="UPV10" s="554"/>
      <c r="UPW10" s="554"/>
      <c r="UPX10" s="554"/>
      <c r="UPY10" s="554"/>
      <c r="UPZ10" s="554"/>
      <c r="UQA10" s="554"/>
      <c r="UQB10" s="554"/>
      <c r="UQC10" s="554"/>
      <c r="UQD10" s="554"/>
      <c r="UQE10" s="554"/>
      <c r="UQF10" s="554"/>
      <c r="UQG10" s="554"/>
      <c r="UQH10" s="554"/>
      <c r="UQI10" s="554"/>
      <c r="UQJ10" s="554"/>
      <c r="UQK10" s="554"/>
      <c r="UQL10" s="554"/>
      <c r="UQM10" s="554"/>
      <c r="UQN10" s="554"/>
      <c r="UQO10" s="554"/>
      <c r="UQP10" s="554"/>
      <c r="UQQ10" s="554"/>
      <c r="UQR10" s="554"/>
      <c r="UQS10" s="554"/>
      <c r="UQT10" s="554"/>
      <c r="UQU10" s="554"/>
      <c r="UQV10" s="554"/>
      <c r="UQW10" s="554"/>
      <c r="UQX10" s="554"/>
      <c r="UQY10" s="554"/>
      <c r="UQZ10" s="554"/>
      <c r="URA10" s="554"/>
      <c r="URB10" s="554"/>
      <c r="URC10" s="554"/>
      <c r="URD10" s="554"/>
      <c r="URE10" s="554"/>
      <c r="URF10" s="554"/>
      <c r="URG10" s="554"/>
      <c r="URH10" s="554"/>
      <c r="URI10" s="554"/>
      <c r="URJ10" s="554"/>
      <c r="URK10" s="554"/>
      <c r="URL10" s="554"/>
      <c r="URM10" s="554"/>
      <c r="URN10" s="554"/>
      <c r="URO10" s="554"/>
      <c r="URP10" s="554"/>
      <c r="URQ10" s="554"/>
      <c r="URR10" s="554"/>
      <c r="URS10" s="554"/>
      <c r="URT10" s="554"/>
      <c r="URU10" s="554"/>
      <c r="URV10" s="554"/>
      <c r="URW10" s="554"/>
      <c r="URX10" s="554"/>
      <c r="URY10" s="554"/>
      <c r="URZ10" s="554"/>
      <c r="USA10" s="554"/>
      <c r="USB10" s="554"/>
      <c r="USC10" s="554"/>
      <c r="USD10" s="554"/>
      <c r="USE10" s="554"/>
      <c r="USF10" s="554"/>
      <c r="USG10" s="554"/>
      <c r="USH10" s="554"/>
      <c r="USI10" s="554"/>
      <c r="USJ10" s="554"/>
      <c r="USK10" s="554"/>
      <c r="USL10" s="554"/>
      <c r="USM10" s="554"/>
      <c r="USN10" s="554"/>
      <c r="USO10" s="554"/>
      <c r="USP10" s="554"/>
      <c r="USQ10" s="554"/>
      <c r="USR10" s="554"/>
      <c r="USS10" s="554"/>
      <c r="UST10" s="554"/>
      <c r="USU10" s="554"/>
      <c r="USV10" s="554"/>
      <c r="USW10" s="554"/>
      <c r="USX10" s="554"/>
      <c r="USY10" s="554"/>
      <c r="USZ10" s="554"/>
      <c r="UTA10" s="554"/>
      <c r="UTB10" s="554"/>
      <c r="UTC10" s="554"/>
      <c r="UTD10" s="554"/>
      <c r="UTE10" s="554"/>
      <c r="UTF10" s="554"/>
      <c r="UTG10" s="554"/>
      <c r="UTH10" s="554"/>
      <c r="UTI10" s="554"/>
      <c r="UTJ10" s="554"/>
      <c r="UTK10" s="554"/>
      <c r="UTL10" s="554"/>
      <c r="UTM10" s="554"/>
      <c r="UTN10" s="554"/>
      <c r="UTO10" s="554"/>
      <c r="UTP10" s="554"/>
      <c r="UTQ10" s="554"/>
      <c r="UTR10" s="554"/>
      <c r="UTS10" s="554"/>
      <c r="UTT10" s="554"/>
      <c r="UTU10" s="554"/>
      <c r="UTV10" s="554"/>
      <c r="UTW10" s="554"/>
      <c r="UTX10" s="554"/>
      <c r="UTY10" s="554"/>
      <c r="UTZ10" s="554"/>
      <c r="UUA10" s="554"/>
      <c r="UUB10" s="554"/>
      <c r="UUC10" s="554"/>
      <c r="UUD10" s="554"/>
      <c r="UUE10" s="554"/>
      <c r="UUF10" s="554"/>
      <c r="UUG10" s="554"/>
      <c r="UUH10" s="554"/>
      <c r="UUI10" s="554"/>
      <c r="UUJ10" s="554"/>
      <c r="UUK10" s="554"/>
      <c r="UUL10" s="554"/>
      <c r="UUM10" s="554"/>
      <c r="UUN10" s="554"/>
      <c r="UUO10" s="554"/>
      <c r="UUP10" s="554"/>
      <c r="UUQ10" s="554"/>
      <c r="UUR10" s="554"/>
      <c r="UUS10" s="554"/>
      <c r="UUT10" s="554"/>
      <c r="UUU10" s="554"/>
      <c r="UUV10" s="554"/>
      <c r="UUW10" s="554"/>
      <c r="UUX10" s="554"/>
      <c r="UUY10" s="554"/>
      <c r="UUZ10" s="554"/>
      <c r="UVA10" s="554"/>
      <c r="UVB10" s="554"/>
      <c r="UVC10" s="554"/>
      <c r="UVD10" s="554"/>
      <c r="UVE10" s="554"/>
      <c r="UVF10" s="554"/>
      <c r="UVG10" s="554"/>
      <c r="UVH10" s="554"/>
      <c r="UVI10" s="554"/>
      <c r="UVJ10" s="554"/>
      <c r="UVK10" s="554"/>
      <c r="UVL10" s="554"/>
      <c r="UVM10" s="554"/>
      <c r="UVN10" s="554"/>
      <c r="UVO10" s="554"/>
      <c r="UVP10" s="554"/>
      <c r="UVQ10" s="554"/>
      <c r="UVR10" s="554"/>
      <c r="UVS10" s="554"/>
      <c r="UVT10" s="554"/>
      <c r="UVU10" s="554"/>
      <c r="UVV10" s="554"/>
      <c r="UVW10" s="554"/>
      <c r="UVX10" s="554"/>
      <c r="UVY10" s="554"/>
      <c r="UVZ10" s="554"/>
      <c r="UWA10" s="554"/>
      <c r="UWB10" s="554"/>
      <c r="UWC10" s="554"/>
      <c r="UWD10" s="554"/>
      <c r="UWE10" s="554"/>
      <c r="UWF10" s="554"/>
      <c r="UWG10" s="554"/>
      <c r="UWH10" s="554"/>
      <c r="UWI10" s="554"/>
      <c r="UWJ10" s="554"/>
      <c r="UWK10" s="554"/>
      <c r="UWL10" s="554"/>
      <c r="UWM10" s="554"/>
      <c r="UWN10" s="554"/>
      <c r="UWO10" s="554"/>
      <c r="UWP10" s="554"/>
      <c r="UWQ10" s="554"/>
      <c r="UWR10" s="554"/>
      <c r="UWS10" s="554"/>
      <c r="UWT10" s="554"/>
      <c r="UWU10" s="554"/>
      <c r="UWV10" s="554"/>
      <c r="UWW10" s="554"/>
      <c r="UWX10" s="554"/>
      <c r="UWY10" s="554"/>
      <c r="UWZ10" s="554"/>
      <c r="UXA10" s="554"/>
      <c r="UXB10" s="554"/>
      <c r="UXC10" s="554"/>
      <c r="UXD10" s="554"/>
      <c r="UXE10" s="554"/>
      <c r="UXF10" s="554"/>
      <c r="UXG10" s="554"/>
      <c r="UXH10" s="554"/>
      <c r="UXI10" s="554"/>
      <c r="UXJ10" s="554"/>
      <c r="UXK10" s="554"/>
      <c r="UXL10" s="554"/>
      <c r="UXM10" s="554"/>
      <c r="UXN10" s="554"/>
      <c r="UXO10" s="554"/>
      <c r="UXP10" s="554"/>
      <c r="UXQ10" s="554"/>
      <c r="UXR10" s="554"/>
      <c r="UXS10" s="554"/>
      <c r="UXT10" s="554"/>
      <c r="UXU10" s="554"/>
      <c r="UXV10" s="554"/>
      <c r="UXW10" s="554"/>
      <c r="UXX10" s="554"/>
      <c r="UXY10" s="554"/>
      <c r="UXZ10" s="554"/>
      <c r="UYA10" s="554"/>
      <c r="UYB10" s="554"/>
      <c r="UYC10" s="554"/>
      <c r="UYD10" s="554"/>
      <c r="UYE10" s="554"/>
      <c r="UYF10" s="554"/>
      <c r="UYG10" s="554"/>
      <c r="UYH10" s="554"/>
      <c r="UYI10" s="554"/>
      <c r="UYJ10" s="554"/>
      <c r="UYK10" s="554"/>
      <c r="UYL10" s="554"/>
      <c r="UYM10" s="554"/>
      <c r="UYN10" s="554"/>
      <c r="UYO10" s="554"/>
      <c r="UYP10" s="554"/>
      <c r="UYQ10" s="554"/>
      <c r="UYR10" s="554"/>
      <c r="UYS10" s="554"/>
      <c r="UYT10" s="554"/>
      <c r="UYU10" s="554"/>
      <c r="UYV10" s="554"/>
      <c r="UYW10" s="554"/>
      <c r="UYX10" s="554"/>
      <c r="UYY10" s="554"/>
      <c r="UYZ10" s="554"/>
      <c r="UZA10" s="554"/>
      <c r="UZB10" s="554"/>
      <c r="UZC10" s="554"/>
      <c r="UZD10" s="554"/>
      <c r="UZE10" s="554"/>
      <c r="UZF10" s="554"/>
      <c r="UZG10" s="554"/>
      <c r="UZH10" s="554"/>
      <c r="UZI10" s="554"/>
      <c r="UZJ10" s="554"/>
      <c r="UZK10" s="554"/>
      <c r="UZL10" s="554"/>
      <c r="UZM10" s="554"/>
      <c r="UZN10" s="554"/>
      <c r="UZO10" s="554"/>
      <c r="UZP10" s="554"/>
      <c r="UZQ10" s="554"/>
      <c r="UZR10" s="554"/>
      <c r="UZS10" s="554"/>
      <c r="UZT10" s="554"/>
      <c r="UZU10" s="554"/>
      <c r="UZV10" s="554"/>
      <c r="UZW10" s="554"/>
      <c r="UZX10" s="554"/>
      <c r="UZY10" s="554"/>
      <c r="UZZ10" s="554"/>
      <c r="VAA10" s="554"/>
      <c r="VAB10" s="554"/>
      <c r="VAC10" s="554"/>
      <c r="VAD10" s="554"/>
      <c r="VAE10" s="554"/>
      <c r="VAF10" s="554"/>
      <c r="VAG10" s="554"/>
      <c r="VAH10" s="554"/>
      <c r="VAI10" s="554"/>
      <c r="VAJ10" s="554"/>
      <c r="VAK10" s="554"/>
      <c r="VAL10" s="554"/>
      <c r="VAM10" s="554"/>
      <c r="VAN10" s="554"/>
      <c r="VAO10" s="554"/>
      <c r="VAP10" s="554"/>
      <c r="VAQ10" s="554"/>
      <c r="VAR10" s="554"/>
      <c r="VAS10" s="554"/>
      <c r="VAT10" s="554"/>
      <c r="VAU10" s="554"/>
      <c r="VAV10" s="554"/>
      <c r="VAW10" s="554"/>
      <c r="VAX10" s="554"/>
      <c r="VAY10" s="554"/>
      <c r="VAZ10" s="554"/>
      <c r="VBA10" s="554"/>
      <c r="VBB10" s="554"/>
      <c r="VBC10" s="554"/>
      <c r="VBD10" s="554"/>
      <c r="VBE10" s="554"/>
      <c r="VBF10" s="554"/>
      <c r="VBG10" s="554"/>
      <c r="VBH10" s="554"/>
      <c r="VBI10" s="554"/>
      <c r="VBJ10" s="554"/>
      <c r="VBK10" s="554"/>
      <c r="VBL10" s="554"/>
      <c r="VBM10" s="554"/>
      <c r="VBN10" s="554"/>
      <c r="VBO10" s="554"/>
      <c r="VBP10" s="554"/>
      <c r="VBQ10" s="554"/>
      <c r="VBR10" s="554"/>
      <c r="VBS10" s="554"/>
      <c r="VBT10" s="554"/>
      <c r="VBU10" s="554"/>
      <c r="VBV10" s="554"/>
      <c r="VBW10" s="554"/>
      <c r="VBX10" s="554"/>
      <c r="VBY10" s="554"/>
      <c r="VBZ10" s="554"/>
      <c r="VCA10" s="554"/>
      <c r="VCB10" s="554"/>
      <c r="VCC10" s="554"/>
      <c r="VCD10" s="554"/>
      <c r="VCE10" s="554"/>
      <c r="VCF10" s="554"/>
      <c r="VCG10" s="554"/>
      <c r="VCH10" s="554"/>
      <c r="VCI10" s="554"/>
      <c r="VCJ10" s="554"/>
      <c r="VCK10" s="554"/>
      <c r="VCL10" s="554"/>
      <c r="VCM10" s="554"/>
      <c r="VCN10" s="554"/>
      <c r="VCO10" s="554"/>
      <c r="VCP10" s="554"/>
      <c r="VCQ10" s="554"/>
      <c r="VCR10" s="554"/>
      <c r="VCS10" s="554"/>
      <c r="VCT10" s="554"/>
      <c r="VCU10" s="554"/>
      <c r="VCV10" s="554"/>
      <c r="VCW10" s="554"/>
      <c r="VCX10" s="554"/>
      <c r="VCY10" s="554"/>
      <c r="VCZ10" s="554"/>
      <c r="VDA10" s="554"/>
      <c r="VDB10" s="554"/>
      <c r="VDC10" s="554"/>
      <c r="VDD10" s="554"/>
      <c r="VDE10" s="554"/>
      <c r="VDF10" s="554"/>
      <c r="VDG10" s="554"/>
      <c r="VDH10" s="554"/>
      <c r="VDI10" s="554"/>
      <c r="VDJ10" s="554"/>
      <c r="VDK10" s="554"/>
      <c r="VDL10" s="554"/>
      <c r="VDM10" s="554"/>
      <c r="VDN10" s="554"/>
      <c r="VDO10" s="554"/>
      <c r="VDP10" s="554"/>
      <c r="VDQ10" s="554"/>
      <c r="VDR10" s="554"/>
      <c r="VDS10" s="554"/>
      <c r="VDT10" s="554"/>
      <c r="VDU10" s="554"/>
      <c r="VDV10" s="554"/>
      <c r="VDW10" s="554"/>
      <c r="VDX10" s="554"/>
      <c r="VDY10" s="554"/>
      <c r="VDZ10" s="554"/>
      <c r="VEA10" s="554"/>
      <c r="VEB10" s="554"/>
      <c r="VEC10" s="554"/>
      <c r="VED10" s="554"/>
      <c r="VEE10" s="554"/>
      <c r="VEF10" s="554"/>
      <c r="VEG10" s="554"/>
      <c r="VEH10" s="554"/>
      <c r="VEI10" s="554"/>
      <c r="VEJ10" s="554"/>
      <c r="VEK10" s="554"/>
      <c r="VEL10" s="554"/>
      <c r="VEM10" s="554"/>
      <c r="VEN10" s="554"/>
      <c r="VEO10" s="554"/>
      <c r="VEP10" s="554"/>
      <c r="VEQ10" s="554"/>
      <c r="VER10" s="554"/>
      <c r="VES10" s="554"/>
      <c r="VET10" s="554"/>
      <c r="VEU10" s="554"/>
      <c r="VEV10" s="554"/>
      <c r="VEW10" s="554"/>
      <c r="VEX10" s="554"/>
      <c r="VEY10" s="554"/>
      <c r="VEZ10" s="554"/>
      <c r="VFA10" s="554"/>
      <c r="VFB10" s="554"/>
      <c r="VFC10" s="554"/>
      <c r="VFD10" s="554"/>
      <c r="VFE10" s="554"/>
      <c r="VFF10" s="554"/>
      <c r="VFG10" s="554"/>
      <c r="VFH10" s="554"/>
      <c r="VFI10" s="554"/>
      <c r="VFJ10" s="554"/>
      <c r="VFK10" s="554"/>
      <c r="VFL10" s="554"/>
      <c r="VFM10" s="554"/>
      <c r="VFN10" s="554"/>
      <c r="VFO10" s="554"/>
      <c r="VFP10" s="554"/>
      <c r="VFQ10" s="554"/>
      <c r="VFR10" s="554"/>
      <c r="VFS10" s="554"/>
      <c r="VFT10" s="554"/>
      <c r="VFU10" s="554"/>
      <c r="VFV10" s="554"/>
      <c r="VFW10" s="554"/>
      <c r="VFX10" s="554"/>
      <c r="VFY10" s="554"/>
      <c r="VFZ10" s="554"/>
      <c r="VGA10" s="554"/>
      <c r="VGB10" s="554"/>
      <c r="VGC10" s="554"/>
      <c r="VGD10" s="554"/>
      <c r="VGE10" s="554"/>
      <c r="VGF10" s="554"/>
      <c r="VGG10" s="554"/>
      <c r="VGH10" s="554"/>
      <c r="VGI10" s="554"/>
      <c r="VGJ10" s="554"/>
      <c r="VGK10" s="554"/>
      <c r="VGL10" s="554"/>
      <c r="VGM10" s="554"/>
      <c r="VGN10" s="554"/>
      <c r="VGO10" s="554"/>
      <c r="VGP10" s="554"/>
      <c r="VGQ10" s="554"/>
      <c r="VGR10" s="554"/>
      <c r="VGS10" s="554"/>
      <c r="VGT10" s="554"/>
      <c r="VGU10" s="554"/>
      <c r="VGV10" s="554"/>
      <c r="VGW10" s="554"/>
      <c r="VGX10" s="554"/>
      <c r="VGY10" s="554"/>
      <c r="VGZ10" s="554"/>
      <c r="VHA10" s="554"/>
      <c r="VHB10" s="554"/>
      <c r="VHC10" s="554"/>
      <c r="VHD10" s="554"/>
      <c r="VHE10" s="554"/>
      <c r="VHF10" s="554"/>
      <c r="VHG10" s="554"/>
      <c r="VHH10" s="554"/>
      <c r="VHI10" s="554"/>
      <c r="VHJ10" s="554"/>
      <c r="VHK10" s="554"/>
      <c r="VHL10" s="554"/>
      <c r="VHM10" s="554"/>
      <c r="VHN10" s="554"/>
      <c r="VHO10" s="554"/>
      <c r="VHP10" s="554"/>
      <c r="VHQ10" s="554"/>
      <c r="VHR10" s="554"/>
      <c r="VHS10" s="554"/>
      <c r="VHT10" s="554"/>
      <c r="VHU10" s="554"/>
      <c r="VHV10" s="554"/>
      <c r="VHW10" s="554"/>
      <c r="VHX10" s="554"/>
      <c r="VHY10" s="554"/>
      <c r="VHZ10" s="554"/>
      <c r="VIA10" s="554"/>
      <c r="VIB10" s="554"/>
      <c r="VIC10" s="554"/>
      <c r="VID10" s="554"/>
      <c r="VIE10" s="554"/>
      <c r="VIF10" s="554"/>
      <c r="VIG10" s="554"/>
      <c r="VIH10" s="554"/>
      <c r="VII10" s="554"/>
      <c r="VIJ10" s="554"/>
      <c r="VIK10" s="554"/>
      <c r="VIL10" s="554"/>
      <c r="VIM10" s="554"/>
      <c r="VIN10" s="554"/>
      <c r="VIO10" s="554"/>
      <c r="VIP10" s="554"/>
      <c r="VIQ10" s="554"/>
      <c r="VIR10" s="554"/>
      <c r="VIS10" s="554"/>
      <c r="VIT10" s="554"/>
      <c r="VIU10" s="554"/>
      <c r="VIV10" s="554"/>
      <c r="VIW10" s="554"/>
      <c r="VIX10" s="554"/>
      <c r="VIY10" s="554"/>
      <c r="VIZ10" s="554"/>
      <c r="VJA10" s="554"/>
      <c r="VJB10" s="554"/>
      <c r="VJC10" s="554"/>
      <c r="VJD10" s="554"/>
      <c r="VJE10" s="554"/>
      <c r="VJF10" s="554"/>
      <c r="VJG10" s="554"/>
      <c r="VJH10" s="554"/>
      <c r="VJI10" s="554"/>
      <c r="VJJ10" s="554"/>
      <c r="VJK10" s="554"/>
      <c r="VJL10" s="554"/>
      <c r="VJM10" s="554"/>
      <c r="VJN10" s="554"/>
      <c r="VJO10" s="554"/>
      <c r="VJP10" s="554"/>
      <c r="VJQ10" s="554"/>
      <c r="VJR10" s="554"/>
      <c r="VJS10" s="554"/>
      <c r="VJT10" s="554"/>
      <c r="VJU10" s="554"/>
      <c r="VJV10" s="554"/>
      <c r="VJW10" s="554"/>
      <c r="VJX10" s="554"/>
      <c r="VJY10" s="554"/>
      <c r="VJZ10" s="554"/>
      <c r="VKA10" s="554"/>
      <c r="VKB10" s="554"/>
      <c r="VKC10" s="554"/>
      <c r="VKD10" s="554"/>
      <c r="VKE10" s="554"/>
      <c r="VKF10" s="554"/>
      <c r="VKG10" s="554"/>
      <c r="VKH10" s="554"/>
      <c r="VKI10" s="554"/>
      <c r="VKJ10" s="554"/>
      <c r="VKK10" s="554"/>
      <c r="VKL10" s="554"/>
      <c r="VKM10" s="554"/>
      <c r="VKN10" s="554"/>
      <c r="VKO10" s="554"/>
      <c r="VKP10" s="554"/>
      <c r="VKQ10" s="554"/>
      <c r="VKR10" s="554"/>
      <c r="VKS10" s="554"/>
      <c r="VKT10" s="554"/>
      <c r="VKU10" s="554"/>
      <c r="VKV10" s="554"/>
      <c r="VKW10" s="554"/>
      <c r="VKX10" s="554"/>
      <c r="VKY10" s="554"/>
      <c r="VKZ10" s="554"/>
      <c r="VLA10" s="554"/>
      <c r="VLB10" s="554"/>
      <c r="VLC10" s="554"/>
      <c r="VLD10" s="554"/>
      <c r="VLE10" s="554"/>
      <c r="VLF10" s="554"/>
      <c r="VLG10" s="554"/>
      <c r="VLH10" s="554"/>
      <c r="VLI10" s="554"/>
      <c r="VLJ10" s="554"/>
      <c r="VLK10" s="554"/>
      <c r="VLL10" s="554"/>
      <c r="VLM10" s="554"/>
      <c r="VLN10" s="554"/>
      <c r="VLO10" s="554"/>
      <c r="VLP10" s="554"/>
      <c r="VLQ10" s="554"/>
      <c r="VLR10" s="554"/>
      <c r="VLS10" s="554"/>
      <c r="VLT10" s="554"/>
      <c r="VLU10" s="554"/>
      <c r="VLV10" s="554"/>
      <c r="VLW10" s="554"/>
      <c r="VLX10" s="554"/>
      <c r="VLY10" s="554"/>
      <c r="VLZ10" s="554"/>
      <c r="VMA10" s="554"/>
      <c r="VMB10" s="554"/>
      <c r="VMC10" s="554"/>
      <c r="VMD10" s="554"/>
      <c r="VME10" s="554"/>
      <c r="VMF10" s="554"/>
      <c r="VMG10" s="554"/>
      <c r="VMH10" s="554"/>
      <c r="VMI10" s="554"/>
      <c r="VMJ10" s="554"/>
      <c r="VMK10" s="554"/>
      <c r="VML10" s="554"/>
      <c r="VMM10" s="554"/>
      <c r="VMN10" s="554"/>
      <c r="VMO10" s="554"/>
      <c r="VMP10" s="554"/>
      <c r="VMQ10" s="554"/>
      <c r="VMR10" s="554"/>
      <c r="VMS10" s="554"/>
      <c r="VMT10" s="554"/>
      <c r="VMU10" s="554"/>
      <c r="VMV10" s="554"/>
      <c r="VMW10" s="554"/>
      <c r="VMX10" s="554"/>
      <c r="VMY10" s="554"/>
      <c r="VMZ10" s="554"/>
      <c r="VNA10" s="554"/>
      <c r="VNB10" s="554"/>
      <c r="VNC10" s="554"/>
      <c r="VND10" s="554"/>
      <c r="VNE10" s="554"/>
      <c r="VNF10" s="554"/>
      <c r="VNG10" s="554"/>
      <c r="VNH10" s="554"/>
      <c r="VNI10" s="554"/>
      <c r="VNJ10" s="554"/>
      <c r="VNK10" s="554"/>
      <c r="VNL10" s="554"/>
      <c r="VNM10" s="554"/>
      <c r="VNN10" s="554"/>
      <c r="VNO10" s="554"/>
      <c r="VNP10" s="554"/>
      <c r="VNQ10" s="554"/>
      <c r="VNR10" s="554"/>
      <c r="VNS10" s="554"/>
      <c r="VNT10" s="554"/>
      <c r="VNU10" s="554"/>
      <c r="VNV10" s="554"/>
      <c r="VNW10" s="554"/>
      <c r="VNX10" s="554"/>
      <c r="VNY10" s="554"/>
      <c r="VNZ10" s="554"/>
      <c r="VOA10" s="554"/>
      <c r="VOB10" s="554"/>
      <c r="VOC10" s="554"/>
      <c r="VOD10" s="554"/>
      <c r="VOE10" s="554"/>
      <c r="VOF10" s="554"/>
      <c r="VOG10" s="554"/>
      <c r="VOH10" s="554"/>
      <c r="VOI10" s="554"/>
      <c r="VOJ10" s="554"/>
      <c r="VOK10" s="554"/>
      <c r="VOL10" s="554"/>
      <c r="VOM10" s="554"/>
      <c r="VON10" s="554"/>
      <c r="VOO10" s="554"/>
      <c r="VOP10" s="554"/>
      <c r="VOQ10" s="554"/>
      <c r="VOR10" s="554"/>
      <c r="VOS10" s="554"/>
      <c r="VOT10" s="554"/>
      <c r="VOU10" s="554"/>
      <c r="VOV10" s="554"/>
      <c r="VOW10" s="554"/>
      <c r="VOX10" s="554"/>
      <c r="VOY10" s="554"/>
      <c r="VOZ10" s="554"/>
      <c r="VPA10" s="554"/>
      <c r="VPB10" s="554"/>
      <c r="VPC10" s="554"/>
      <c r="VPD10" s="554"/>
      <c r="VPE10" s="554"/>
      <c r="VPF10" s="554"/>
      <c r="VPG10" s="554"/>
      <c r="VPH10" s="554"/>
      <c r="VPI10" s="554"/>
      <c r="VPJ10" s="554"/>
      <c r="VPK10" s="554"/>
      <c r="VPL10" s="554"/>
      <c r="VPM10" s="554"/>
      <c r="VPN10" s="554"/>
      <c r="VPO10" s="554"/>
      <c r="VPP10" s="554"/>
      <c r="VPQ10" s="554"/>
      <c r="VPR10" s="554"/>
      <c r="VPS10" s="554"/>
      <c r="VPT10" s="554"/>
      <c r="VPU10" s="554"/>
      <c r="VPV10" s="554"/>
      <c r="VPW10" s="554"/>
      <c r="VPX10" s="554"/>
      <c r="VPY10" s="554"/>
      <c r="VPZ10" s="554"/>
      <c r="VQA10" s="554"/>
      <c r="VQB10" s="554"/>
      <c r="VQC10" s="554"/>
      <c r="VQD10" s="554"/>
      <c r="VQE10" s="554"/>
      <c r="VQF10" s="554"/>
      <c r="VQG10" s="554"/>
      <c r="VQH10" s="554"/>
      <c r="VQI10" s="554"/>
      <c r="VQJ10" s="554"/>
      <c r="VQK10" s="554"/>
      <c r="VQL10" s="554"/>
      <c r="VQM10" s="554"/>
      <c r="VQN10" s="554"/>
      <c r="VQO10" s="554"/>
      <c r="VQP10" s="554"/>
      <c r="VQQ10" s="554"/>
      <c r="VQR10" s="554"/>
      <c r="VQS10" s="554"/>
      <c r="VQT10" s="554"/>
      <c r="VQU10" s="554"/>
      <c r="VQV10" s="554"/>
      <c r="VQW10" s="554"/>
      <c r="VQX10" s="554"/>
      <c r="VQY10" s="554"/>
      <c r="VQZ10" s="554"/>
      <c r="VRA10" s="554"/>
      <c r="VRB10" s="554"/>
      <c r="VRC10" s="554"/>
      <c r="VRD10" s="554"/>
      <c r="VRE10" s="554"/>
      <c r="VRF10" s="554"/>
      <c r="VRG10" s="554"/>
      <c r="VRH10" s="554"/>
      <c r="VRI10" s="554"/>
      <c r="VRJ10" s="554"/>
      <c r="VRK10" s="554"/>
      <c r="VRL10" s="554"/>
      <c r="VRM10" s="554"/>
      <c r="VRN10" s="554"/>
      <c r="VRO10" s="554"/>
      <c r="VRP10" s="554"/>
      <c r="VRQ10" s="554"/>
      <c r="VRR10" s="554"/>
      <c r="VRS10" s="554"/>
      <c r="VRT10" s="554"/>
      <c r="VRU10" s="554"/>
      <c r="VRV10" s="554"/>
      <c r="VRW10" s="554"/>
      <c r="VRX10" s="554"/>
      <c r="VRY10" s="554"/>
      <c r="VRZ10" s="554"/>
      <c r="VSA10" s="554"/>
      <c r="VSB10" s="554"/>
      <c r="VSC10" s="554"/>
      <c r="VSD10" s="554"/>
      <c r="VSE10" s="554"/>
      <c r="VSF10" s="554"/>
      <c r="VSG10" s="554"/>
      <c r="VSH10" s="554"/>
      <c r="VSI10" s="554"/>
      <c r="VSJ10" s="554"/>
      <c r="VSK10" s="554"/>
      <c r="VSL10" s="554"/>
      <c r="VSM10" s="554"/>
      <c r="VSN10" s="554"/>
      <c r="VSO10" s="554"/>
      <c r="VSP10" s="554"/>
      <c r="VSQ10" s="554"/>
      <c r="VSR10" s="554"/>
      <c r="VSS10" s="554"/>
      <c r="VST10" s="554"/>
      <c r="VSU10" s="554"/>
      <c r="VSV10" s="554"/>
      <c r="VSW10" s="554"/>
      <c r="VSX10" s="554"/>
      <c r="VSY10" s="554"/>
      <c r="VSZ10" s="554"/>
      <c r="VTA10" s="554"/>
      <c r="VTB10" s="554"/>
      <c r="VTC10" s="554"/>
      <c r="VTD10" s="554"/>
      <c r="VTE10" s="554"/>
      <c r="VTF10" s="554"/>
      <c r="VTG10" s="554"/>
      <c r="VTH10" s="554"/>
      <c r="VTI10" s="554"/>
      <c r="VTJ10" s="554"/>
      <c r="VTK10" s="554"/>
      <c r="VTL10" s="554"/>
      <c r="VTM10" s="554"/>
      <c r="VTN10" s="554"/>
      <c r="VTO10" s="554"/>
      <c r="VTP10" s="554"/>
      <c r="VTQ10" s="554"/>
      <c r="VTR10" s="554"/>
      <c r="VTS10" s="554"/>
      <c r="VTT10" s="554"/>
      <c r="VTU10" s="554"/>
      <c r="VTV10" s="554"/>
      <c r="VTW10" s="554"/>
      <c r="VTX10" s="554"/>
      <c r="VTY10" s="554"/>
      <c r="VTZ10" s="554"/>
      <c r="VUA10" s="554"/>
      <c r="VUB10" s="554"/>
      <c r="VUC10" s="554"/>
      <c r="VUD10" s="554"/>
      <c r="VUE10" s="554"/>
      <c r="VUF10" s="554"/>
      <c r="VUG10" s="554"/>
      <c r="VUH10" s="554"/>
      <c r="VUI10" s="554"/>
      <c r="VUJ10" s="554"/>
      <c r="VUK10" s="554"/>
      <c r="VUL10" s="554"/>
      <c r="VUM10" s="554"/>
      <c r="VUN10" s="554"/>
      <c r="VUO10" s="554"/>
      <c r="VUP10" s="554"/>
      <c r="VUQ10" s="554"/>
      <c r="VUR10" s="554"/>
      <c r="VUS10" s="554"/>
      <c r="VUT10" s="554"/>
      <c r="VUU10" s="554"/>
      <c r="VUV10" s="554"/>
      <c r="VUW10" s="554"/>
      <c r="VUX10" s="554"/>
      <c r="VUY10" s="554"/>
      <c r="VUZ10" s="554"/>
      <c r="VVA10" s="554"/>
      <c r="VVB10" s="554"/>
      <c r="VVC10" s="554"/>
      <c r="VVD10" s="554"/>
      <c r="VVE10" s="554"/>
      <c r="VVF10" s="554"/>
      <c r="VVG10" s="554"/>
      <c r="VVH10" s="554"/>
      <c r="VVI10" s="554"/>
      <c r="VVJ10" s="554"/>
      <c r="VVK10" s="554"/>
      <c r="VVL10" s="554"/>
      <c r="VVM10" s="554"/>
      <c r="VVN10" s="554"/>
      <c r="VVO10" s="554"/>
      <c r="VVP10" s="554"/>
      <c r="VVQ10" s="554"/>
      <c r="VVR10" s="554"/>
      <c r="VVS10" s="554"/>
      <c r="VVT10" s="554"/>
      <c r="VVU10" s="554"/>
      <c r="VVV10" s="554"/>
      <c r="VVW10" s="554"/>
      <c r="VVX10" s="554"/>
      <c r="VVY10" s="554"/>
      <c r="VVZ10" s="554"/>
      <c r="VWA10" s="554"/>
      <c r="VWB10" s="554"/>
      <c r="VWC10" s="554"/>
      <c r="VWD10" s="554"/>
      <c r="VWE10" s="554"/>
      <c r="VWF10" s="554"/>
      <c r="VWG10" s="554"/>
      <c r="VWH10" s="554"/>
      <c r="VWI10" s="554"/>
      <c r="VWJ10" s="554"/>
      <c r="VWK10" s="554"/>
      <c r="VWL10" s="554"/>
      <c r="VWM10" s="554"/>
      <c r="VWN10" s="554"/>
      <c r="VWO10" s="554"/>
      <c r="VWP10" s="554"/>
      <c r="VWQ10" s="554"/>
      <c r="VWR10" s="554"/>
      <c r="VWS10" s="554"/>
      <c r="VWT10" s="554"/>
      <c r="VWU10" s="554"/>
      <c r="VWV10" s="554"/>
      <c r="VWW10" s="554"/>
      <c r="VWX10" s="554"/>
      <c r="VWY10" s="554"/>
      <c r="VWZ10" s="554"/>
      <c r="VXA10" s="554"/>
      <c r="VXB10" s="554"/>
      <c r="VXC10" s="554"/>
      <c r="VXD10" s="554"/>
      <c r="VXE10" s="554"/>
      <c r="VXF10" s="554"/>
      <c r="VXG10" s="554"/>
      <c r="VXH10" s="554"/>
      <c r="VXI10" s="554"/>
      <c r="VXJ10" s="554"/>
      <c r="VXK10" s="554"/>
      <c r="VXL10" s="554"/>
      <c r="VXM10" s="554"/>
      <c r="VXN10" s="554"/>
      <c r="VXO10" s="554"/>
      <c r="VXP10" s="554"/>
      <c r="VXQ10" s="554"/>
      <c r="VXR10" s="554"/>
      <c r="VXS10" s="554"/>
      <c r="VXT10" s="554"/>
      <c r="VXU10" s="554"/>
      <c r="VXV10" s="554"/>
      <c r="VXW10" s="554"/>
      <c r="VXX10" s="554"/>
      <c r="VXY10" s="554"/>
      <c r="VXZ10" s="554"/>
      <c r="VYA10" s="554"/>
      <c r="VYB10" s="554"/>
      <c r="VYC10" s="554"/>
      <c r="VYD10" s="554"/>
      <c r="VYE10" s="554"/>
      <c r="VYF10" s="554"/>
      <c r="VYG10" s="554"/>
      <c r="VYH10" s="554"/>
      <c r="VYI10" s="554"/>
      <c r="VYJ10" s="554"/>
      <c r="VYK10" s="554"/>
      <c r="VYL10" s="554"/>
      <c r="VYM10" s="554"/>
      <c r="VYN10" s="554"/>
      <c r="VYO10" s="554"/>
      <c r="VYP10" s="554"/>
      <c r="VYQ10" s="554"/>
      <c r="VYR10" s="554"/>
      <c r="VYS10" s="554"/>
      <c r="VYT10" s="554"/>
      <c r="VYU10" s="554"/>
      <c r="VYV10" s="554"/>
      <c r="VYW10" s="554"/>
      <c r="VYX10" s="554"/>
      <c r="VYY10" s="554"/>
      <c r="VYZ10" s="554"/>
      <c r="VZA10" s="554"/>
      <c r="VZB10" s="554"/>
      <c r="VZC10" s="554"/>
      <c r="VZD10" s="554"/>
      <c r="VZE10" s="554"/>
      <c r="VZF10" s="554"/>
      <c r="VZG10" s="554"/>
      <c r="VZH10" s="554"/>
      <c r="VZI10" s="554"/>
      <c r="VZJ10" s="554"/>
      <c r="VZK10" s="554"/>
      <c r="VZL10" s="554"/>
      <c r="VZM10" s="554"/>
      <c r="VZN10" s="554"/>
      <c r="VZO10" s="554"/>
      <c r="VZP10" s="554"/>
      <c r="VZQ10" s="554"/>
      <c r="VZR10" s="554"/>
      <c r="VZS10" s="554"/>
      <c r="VZT10" s="554"/>
      <c r="VZU10" s="554"/>
      <c r="VZV10" s="554"/>
      <c r="VZW10" s="554"/>
      <c r="VZX10" s="554"/>
      <c r="VZY10" s="554"/>
      <c r="VZZ10" s="554"/>
      <c r="WAA10" s="554"/>
      <c r="WAB10" s="554"/>
      <c r="WAC10" s="554"/>
      <c r="WAD10" s="554"/>
      <c r="WAE10" s="554"/>
      <c r="WAF10" s="554"/>
      <c r="WAG10" s="554"/>
      <c r="WAH10" s="554"/>
      <c r="WAI10" s="554"/>
      <c r="WAJ10" s="554"/>
      <c r="WAK10" s="554"/>
      <c r="WAL10" s="554"/>
      <c r="WAM10" s="554"/>
      <c r="WAN10" s="554"/>
      <c r="WAO10" s="554"/>
      <c r="WAP10" s="554"/>
      <c r="WAQ10" s="554"/>
      <c r="WAR10" s="554"/>
      <c r="WAS10" s="554"/>
      <c r="WAT10" s="554"/>
      <c r="WAU10" s="554"/>
      <c r="WAV10" s="554"/>
      <c r="WAW10" s="554"/>
      <c r="WAX10" s="554"/>
      <c r="WAY10" s="554"/>
      <c r="WAZ10" s="554"/>
      <c r="WBA10" s="554"/>
      <c r="WBB10" s="554"/>
      <c r="WBC10" s="554"/>
      <c r="WBD10" s="554"/>
      <c r="WBE10" s="554"/>
      <c r="WBF10" s="554"/>
      <c r="WBG10" s="554"/>
      <c r="WBH10" s="554"/>
      <c r="WBI10" s="554"/>
      <c r="WBJ10" s="554"/>
      <c r="WBK10" s="554"/>
      <c r="WBL10" s="554"/>
      <c r="WBM10" s="554"/>
      <c r="WBN10" s="554"/>
      <c r="WBO10" s="554"/>
      <c r="WBP10" s="554"/>
      <c r="WBQ10" s="554"/>
      <c r="WBR10" s="554"/>
      <c r="WBS10" s="554"/>
      <c r="WBT10" s="554"/>
      <c r="WBU10" s="554"/>
      <c r="WBV10" s="554"/>
      <c r="WBW10" s="554"/>
      <c r="WBX10" s="554"/>
      <c r="WBY10" s="554"/>
      <c r="WBZ10" s="554"/>
      <c r="WCA10" s="554"/>
      <c r="WCB10" s="554"/>
      <c r="WCC10" s="554"/>
      <c r="WCD10" s="554"/>
      <c r="WCE10" s="554"/>
      <c r="WCF10" s="554"/>
      <c r="WCG10" s="554"/>
      <c r="WCH10" s="554"/>
      <c r="WCI10" s="554"/>
      <c r="WCJ10" s="554"/>
      <c r="WCK10" s="554"/>
      <c r="WCL10" s="554"/>
      <c r="WCM10" s="554"/>
      <c r="WCN10" s="554"/>
      <c r="WCO10" s="554"/>
      <c r="WCP10" s="554"/>
      <c r="WCQ10" s="554"/>
      <c r="WCR10" s="554"/>
      <c r="WCS10" s="554"/>
      <c r="WCT10" s="554"/>
      <c r="WCU10" s="554"/>
      <c r="WCV10" s="554"/>
      <c r="WCW10" s="554"/>
      <c r="WCX10" s="554"/>
      <c r="WCY10" s="554"/>
      <c r="WCZ10" s="554"/>
      <c r="WDA10" s="554"/>
      <c r="WDB10" s="554"/>
      <c r="WDC10" s="554"/>
      <c r="WDD10" s="554"/>
      <c r="WDE10" s="554"/>
      <c r="WDF10" s="554"/>
      <c r="WDG10" s="554"/>
      <c r="WDH10" s="554"/>
      <c r="WDI10" s="554"/>
      <c r="WDJ10" s="554"/>
      <c r="WDK10" s="554"/>
      <c r="WDL10" s="554"/>
      <c r="WDM10" s="554"/>
      <c r="WDN10" s="554"/>
      <c r="WDO10" s="554"/>
      <c r="WDP10" s="554"/>
      <c r="WDQ10" s="554"/>
      <c r="WDR10" s="554"/>
      <c r="WDS10" s="554"/>
      <c r="WDT10" s="554"/>
      <c r="WDU10" s="554"/>
      <c r="WDV10" s="554"/>
      <c r="WDW10" s="554"/>
      <c r="WDX10" s="554"/>
      <c r="WDY10" s="554"/>
      <c r="WDZ10" s="554"/>
      <c r="WEA10" s="554"/>
      <c r="WEB10" s="554"/>
      <c r="WEC10" s="554"/>
      <c r="WED10" s="554"/>
      <c r="WEE10" s="554"/>
      <c r="WEF10" s="554"/>
      <c r="WEG10" s="554"/>
      <c r="WEH10" s="554"/>
      <c r="WEI10" s="554"/>
      <c r="WEJ10" s="554"/>
      <c r="WEK10" s="554"/>
      <c r="WEL10" s="554"/>
      <c r="WEM10" s="554"/>
      <c r="WEN10" s="554"/>
      <c r="WEO10" s="554"/>
      <c r="WEP10" s="554"/>
      <c r="WEQ10" s="554"/>
      <c r="WER10" s="554"/>
      <c r="WES10" s="554"/>
      <c r="WET10" s="554"/>
      <c r="WEU10" s="554"/>
      <c r="WEV10" s="554"/>
      <c r="WEW10" s="554"/>
      <c r="WEX10" s="554"/>
      <c r="WEY10" s="554"/>
      <c r="WEZ10" s="554"/>
      <c r="WFA10" s="554"/>
      <c r="WFB10" s="554"/>
      <c r="WFC10" s="554"/>
      <c r="WFD10" s="554"/>
      <c r="WFE10" s="554"/>
      <c r="WFF10" s="554"/>
      <c r="WFG10" s="554"/>
      <c r="WFH10" s="554"/>
      <c r="WFI10" s="554"/>
      <c r="WFJ10" s="554"/>
      <c r="WFK10" s="554"/>
      <c r="WFL10" s="554"/>
      <c r="WFM10" s="554"/>
      <c r="WFN10" s="554"/>
      <c r="WFO10" s="554"/>
      <c r="WFP10" s="554"/>
      <c r="WFQ10" s="554"/>
      <c r="WFR10" s="554"/>
      <c r="WFS10" s="554"/>
      <c r="WFT10" s="554"/>
      <c r="WFU10" s="554"/>
      <c r="WFV10" s="554"/>
      <c r="WFW10" s="554"/>
      <c r="WFX10" s="554"/>
      <c r="WFY10" s="554"/>
      <c r="WFZ10" s="554"/>
      <c r="WGA10" s="554"/>
      <c r="WGB10" s="554"/>
      <c r="WGC10" s="554"/>
      <c r="WGD10" s="554"/>
      <c r="WGE10" s="554"/>
      <c r="WGF10" s="554"/>
      <c r="WGG10" s="554"/>
      <c r="WGH10" s="554"/>
      <c r="WGI10" s="554"/>
      <c r="WGJ10" s="554"/>
      <c r="WGK10" s="554"/>
      <c r="WGL10" s="554"/>
      <c r="WGM10" s="554"/>
      <c r="WGN10" s="554"/>
      <c r="WGO10" s="554"/>
      <c r="WGP10" s="554"/>
      <c r="WGQ10" s="554"/>
      <c r="WGR10" s="554"/>
      <c r="WGS10" s="554"/>
      <c r="WGT10" s="554"/>
      <c r="WGU10" s="554"/>
      <c r="WGV10" s="554"/>
      <c r="WGW10" s="554"/>
      <c r="WGX10" s="554"/>
      <c r="WGY10" s="554"/>
      <c r="WGZ10" s="554"/>
      <c r="WHA10" s="554"/>
      <c r="WHB10" s="554"/>
      <c r="WHC10" s="554"/>
      <c r="WHD10" s="554"/>
      <c r="WHE10" s="554"/>
      <c r="WHF10" s="554"/>
      <c r="WHG10" s="554"/>
      <c r="WHH10" s="554"/>
      <c r="WHI10" s="554"/>
      <c r="WHJ10" s="554"/>
      <c r="WHK10" s="554"/>
      <c r="WHL10" s="554"/>
      <c r="WHM10" s="554"/>
      <c r="WHN10" s="554"/>
      <c r="WHO10" s="554"/>
      <c r="WHP10" s="554"/>
      <c r="WHQ10" s="554"/>
      <c r="WHR10" s="554"/>
      <c r="WHS10" s="554"/>
      <c r="WHT10" s="554"/>
      <c r="WHU10" s="554"/>
      <c r="WHV10" s="554"/>
      <c r="WHW10" s="554"/>
      <c r="WHX10" s="554"/>
      <c r="WHY10" s="554"/>
      <c r="WHZ10" s="554"/>
      <c r="WIA10" s="554"/>
      <c r="WIB10" s="554"/>
      <c r="WIC10" s="554"/>
      <c r="WID10" s="554"/>
      <c r="WIE10" s="554"/>
      <c r="WIF10" s="554"/>
      <c r="WIG10" s="554"/>
      <c r="WIH10" s="554"/>
      <c r="WII10" s="554"/>
      <c r="WIJ10" s="554"/>
      <c r="WIK10" s="554"/>
      <c r="WIL10" s="554"/>
      <c r="WIM10" s="554"/>
      <c r="WIN10" s="554"/>
      <c r="WIO10" s="554"/>
      <c r="WIP10" s="554"/>
      <c r="WIQ10" s="554"/>
      <c r="WIR10" s="554"/>
      <c r="WIS10" s="554"/>
      <c r="WIT10" s="554"/>
      <c r="WIU10" s="554"/>
      <c r="WIV10" s="554"/>
      <c r="WIW10" s="554"/>
      <c r="WIX10" s="554"/>
      <c r="WIY10" s="554"/>
      <c r="WIZ10" s="554"/>
      <c r="WJA10" s="554"/>
      <c r="WJB10" s="554"/>
      <c r="WJC10" s="554"/>
      <c r="WJD10" s="554"/>
      <c r="WJE10" s="554"/>
      <c r="WJF10" s="554"/>
      <c r="WJG10" s="554"/>
      <c r="WJH10" s="554"/>
      <c r="WJI10" s="554"/>
      <c r="WJJ10" s="554"/>
      <c r="WJK10" s="554"/>
      <c r="WJL10" s="554"/>
      <c r="WJM10" s="554"/>
      <c r="WJN10" s="554"/>
      <c r="WJO10" s="554"/>
      <c r="WJP10" s="554"/>
      <c r="WJQ10" s="554"/>
      <c r="WJR10" s="554"/>
      <c r="WJS10" s="554"/>
      <c r="WJT10" s="554"/>
      <c r="WJU10" s="554"/>
      <c r="WJV10" s="554"/>
      <c r="WJW10" s="554"/>
      <c r="WJX10" s="554"/>
      <c r="WJY10" s="554"/>
      <c r="WJZ10" s="554"/>
      <c r="WKA10" s="554"/>
      <c r="WKB10" s="554"/>
      <c r="WKC10" s="554"/>
      <c r="WKD10" s="554"/>
      <c r="WKE10" s="554"/>
      <c r="WKF10" s="554"/>
      <c r="WKG10" s="554"/>
      <c r="WKH10" s="554"/>
      <c r="WKI10" s="554"/>
      <c r="WKJ10" s="554"/>
      <c r="WKK10" s="554"/>
      <c r="WKL10" s="554"/>
      <c r="WKM10" s="554"/>
      <c r="WKN10" s="554"/>
      <c r="WKO10" s="554"/>
      <c r="WKP10" s="554"/>
      <c r="WKQ10" s="554"/>
      <c r="WKR10" s="554"/>
      <c r="WKS10" s="554"/>
      <c r="WKT10" s="554"/>
      <c r="WKU10" s="554"/>
      <c r="WKV10" s="554"/>
      <c r="WKW10" s="554"/>
      <c r="WKX10" s="554"/>
      <c r="WKY10" s="554"/>
      <c r="WKZ10" s="554"/>
      <c r="WLA10" s="554"/>
      <c r="WLB10" s="554"/>
      <c r="WLC10" s="554"/>
      <c r="WLD10" s="554"/>
      <c r="WLE10" s="554"/>
      <c r="WLF10" s="554"/>
      <c r="WLG10" s="554"/>
      <c r="WLH10" s="554"/>
      <c r="WLI10" s="554"/>
      <c r="WLJ10" s="554"/>
      <c r="WLK10" s="554"/>
      <c r="WLL10" s="554"/>
      <c r="WLM10" s="554"/>
      <c r="WLN10" s="554"/>
      <c r="WLO10" s="554"/>
      <c r="WLP10" s="554"/>
      <c r="WLQ10" s="554"/>
      <c r="WLR10" s="554"/>
      <c r="WLS10" s="554"/>
      <c r="WLT10" s="554"/>
      <c r="WLU10" s="554"/>
      <c r="WLV10" s="554"/>
      <c r="WLW10" s="554"/>
      <c r="WLX10" s="554"/>
      <c r="WLY10" s="554"/>
      <c r="WLZ10" s="554"/>
      <c r="WMA10" s="554"/>
      <c r="WMB10" s="554"/>
      <c r="WMC10" s="554"/>
      <c r="WMD10" s="554"/>
      <c r="WME10" s="554"/>
      <c r="WMF10" s="554"/>
      <c r="WMG10" s="554"/>
      <c r="WMH10" s="554"/>
      <c r="WMI10" s="554"/>
      <c r="WMJ10" s="554"/>
      <c r="WMK10" s="554"/>
      <c r="WML10" s="554"/>
      <c r="WMM10" s="554"/>
      <c r="WMN10" s="554"/>
      <c r="WMO10" s="554"/>
      <c r="WMP10" s="554"/>
      <c r="WMQ10" s="554"/>
      <c r="WMR10" s="554"/>
      <c r="WMS10" s="554"/>
      <c r="WMT10" s="554"/>
      <c r="WMU10" s="554"/>
      <c r="WMV10" s="554"/>
      <c r="WMW10" s="554"/>
      <c r="WMX10" s="554"/>
      <c r="WMY10" s="554"/>
      <c r="WMZ10" s="554"/>
      <c r="WNA10" s="554"/>
      <c r="WNB10" s="554"/>
      <c r="WNC10" s="554"/>
      <c r="WND10" s="554"/>
      <c r="WNE10" s="554"/>
      <c r="WNF10" s="554"/>
      <c r="WNG10" s="554"/>
      <c r="WNH10" s="554"/>
      <c r="WNI10" s="554"/>
      <c r="WNJ10" s="554"/>
      <c r="WNK10" s="554"/>
      <c r="WNL10" s="554"/>
      <c r="WNM10" s="554"/>
      <c r="WNN10" s="554"/>
      <c r="WNO10" s="554"/>
      <c r="WNP10" s="554"/>
      <c r="WNQ10" s="554"/>
      <c r="WNR10" s="554"/>
      <c r="WNS10" s="554"/>
      <c r="WNT10" s="554"/>
      <c r="WNU10" s="554"/>
      <c r="WNV10" s="554"/>
      <c r="WNW10" s="554"/>
      <c r="WNX10" s="554"/>
      <c r="WNY10" s="554"/>
      <c r="WNZ10" s="554"/>
      <c r="WOA10" s="554"/>
      <c r="WOB10" s="554"/>
      <c r="WOC10" s="554"/>
      <c r="WOD10" s="554"/>
      <c r="WOE10" s="554"/>
      <c r="WOF10" s="554"/>
      <c r="WOG10" s="554"/>
      <c r="WOH10" s="554"/>
      <c r="WOI10" s="554"/>
      <c r="WOJ10" s="554"/>
      <c r="WOK10" s="554"/>
      <c r="WOL10" s="554"/>
      <c r="WOM10" s="554"/>
      <c r="WON10" s="554"/>
      <c r="WOO10" s="554"/>
      <c r="WOP10" s="554"/>
      <c r="WOQ10" s="554"/>
      <c r="WOR10" s="554"/>
      <c r="WOS10" s="554"/>
      <c r="WOT10" s="554"/>
      <c r="WOU10" s="554"/>
      <c r="WOV10" s="554"/>
      <c r="WOW10" s="554"/>
      <c r="WOX10" s="554"/>
      <c r="WOY10" s="554"/>
      <c r="WOZ10" s="554"/>
      <c r="WPA10" s="554"/>
      <c r="WPB10" s="554"/>
      <c r="WPC10" s="554"/>
      <c r="WPD10" s="554"/>
      <c r="WPE10" s="554"/>
      <c r="WPF10" s="554"/>
      <c r="WPG10" s="554"/>
      <c r="WPH10" s="554"/>
      <c r="WPI10" s="554"/>
      <c r="WPJ10" s="554"/>
      <c r="WPK10" s="554"/>
      <c r="WPL10" s="554"/>
      <c r="WPM10" s="554"/>
      <c r="WPN10" s="554"/>
      <c r="WPO10" s="554"/>
      <c r="WPP10" s="554"/>
      <c r="WPQ10" s="554"/>
      <c r="WPR10" s="554"/>
      <c r="WPS10" s="554"/>
      <c r="WPT10" s="554"/>
      <c r="WPU10" s="554"/>
      <c r="WPV10" s="554"/>
      <c r="WPW10" s="554"/>
      <c r="WPX10" s="554"/>
      <c r="WPY10" s="554"/>
      <c r="WPZ10" s="554"/>
      <c r="WQA10" s="554"/>
      <c r="WQB10" s="554"/>
      <c r="WQC10" s="554"/>
      <c r="WQD10" s="554"/>
      <c r="WQE10" s="554"/>
      <c r="WQF10" s="554"/>
      <c r="WQG10" s="554"/>
      <c r="WQH10" s="554"/>
      <c r="WQI10" s="554"/>
      <c r="WQJ10" s="554"/>
      <c r="WQK10" s="554"/>
      <c r="WQL10" s="554"/>
      <c r="WQM10" s="554"/>
      <c r="WQN10" s="554"/>
      <c r="WQO10" s="554"/>
      <c r="WQP10" s="554"/>
      <c r="WQQ10" s="554"/>
      <c r="WQR10" s="554"/>
      <c r="WQS10" s="554"/>
      <c r="WQT10" s="554"/>
      <c r="WQU10" s="554"/>
      <c r="WQV10" s="554"/>
      <c r="WQW10" s="554"/>
      <c r="WQX10" s="554"/>
      <c r="WQY10" s="554"/>
      <c r="WQZ10" s="554"/>
      <c r="WRA10" s="554"/>
      <c r="WRB10" s="554"/>
      <c r="WRC10" s="554"/>
      <c r="WRD10" s="554"/>
      <c r="WRE10" s="554"/>
      <c r="WRF10" s="554"/>
      <c r="WRG10" s="554"/>
      <c r="WRH10" s="554"/>
      <c r="WRI10" s="554"/>
      <c r="WRJ10" s="554"/>
      <c r="WRK10" s="554"/>
      <c r="WRL10" s="554"/>
      <c r="WRM10" s="554"/>
      <c r="WRN10" s="554"/>
      <c r="WRO10" s="554"/>
      <c r="WRP10" s="554"/>
      <c r="WRQ10" s="554"/>
      <c r="WRR10" s="554"/>
      <c r="WRS10" s="554"/>
      <c r="WRT10" s="554"/>
      <c r="WRU10" s="554"/>
      <c r="WRV10" s="554"/>
      <c r="WRW10" s="554"/>
      <c r="WRX10" s="554"/>
      <c r="WRY10" s="554"/>
      <c r="WRZ10" s="554"/>
      <c r="WSA10" s="554"/>
      <c r="WSB10" s="554"/>
      <c r="WSC10" s="554"/>
      <c r="WSD10" s="554"/>
      <c r="WSE10" s="554"/>
      <c r="WSF10" s="554"/>
      <c r="WSG10" s="554"/>
      <c r="WSH10" s="554"/>
      <c r="WSI10" s="554"/>
      <c r="WSJ10" s="554"/>
      <c r="WSK10" s="554"/>
      <c r="WSL10" s="554"/>
      <c r="WSM10" s="554"/>
      <c r="WSN10" s="554"/>
      <c r="WSO10" s="554"/>
      <c r="WSP10" s="554"/>
      <c r="WSQ10" s="554"/>
      <c r="WSR10" s="554"/>
      <c r="WSS10" s="554"/>
      <c r="WST10" s="554"/>
      <c r="WSU10" s="554"/>
      <c r="WSV10" s="554"/>
      <c r="WSW10" s="554"/>
      <c r="WSX10" s="554"/>
      <c r="WSY10" s="554"/>
      <c r="WSZ10" s="554"/>
      <c r="WTA10" s="554"/>
      <c r="WTB10" s="554"/>
      <c r="WTC10" s="554"/>
      <c r="WTD10" s="554"/>
      <c r="WTE10" s="554"/>
      <c r="WTF10" s="554"/>
      <c r="WTG10" s="554"/>
      <c r="WTH10" s="554"/>
      <c r="WTI10" s="554"/>
      <c r="WTJ10" s="554"/>
      <c r="WTK10" s="554"/>
      <c r="WTL10" s="554"/>
      <c r="WTM10" s="554"/>
      <c r="WTN10" s="554"/>
      <c r="WTO10" s="554"/>
      <c r="WTP10" s="554"/>
      <c r="WTQ10" s="554"/>
      <c r="WTR10" s="554"/>
      <c r="WTS10" s="554"/>
      <c r="WTT10" s="554"/>
      <c r="WTU10" s="554"/>
      <c r="WTV10" s="554"/>
      <c r="WTW10" s="554"/>
      <c r="WTX10" s="554"/>
      <c r="WTY10" s="554"/>
      <c r="WTZ10" s="554"/>
      <c r="WUA10" s="554"/>
      <c r="WUB10" s="554"/>
      <c r="WUC10" s="554"/>
      <c r="WUD10" s="554"/>
      <c r="WUE10" s="554"/>
      <c r="WUF10" s="554"/>
      <c r="WUG10" s="554"/>
      <c r="WUH10" s="554"/>
      <c r="WUI10" s="554"/>
      <c r="WUJ10" s="554"/>
      <c r="WUK10" s="554"/>
      <c r="WUL10" s="554"/>
      <c r="WUM10" s="554"/>
      <c r="WUN10" s="554"/>
      <c r="WUO10" s="554"/>
      <c r="WUP10" s="554"/>
      <c r="WUQ10" s="554"/>
      <c r="WUR10" s="554"/>
      <c r="WUS10" s="554"/>
      <c r="WUT10" s="554"/>
      <c r="WUU10" s="554"/>
      <c r="WUV10" s="554"/>
      <c r="WUW10" s="554"/>
      <c r="WUX10" s="554"/>
      <c r="WUY10" s="554"/>
      <c r="WUZ10" s="554"/>
      <c r="WVA10" s="554"/>
      <c r="WVB10" s="554"/>
      <c r="WVC10" s="554"/>
      <c r="WVD10" s="554"/>
      <c r="WVE10" s="554"/>
      <c r="WVF10" s="554"/>
      <c r="WVG10" s="554"/>
      <c r="WVH10" s="554"/>
      <c r="WVI10" s="554"/>
      <c r="WVJ10" s="554"/>
      <c r="WVK10" s="554"/>
      <c r="WVL10" s="554"/>
      <c r="WVM10" s="554"/>
      <c r="WVN10" s="554"/>
      <c r="WVO10" s="554"/>
      <c r="WVP10" s="554"/>
      <c r="WVQ10" s="554"/>
      <c r="WVR10" s="554"/>
      <c r="WVS10" s="554"/>
      <c r="WVT10" s="554"/>
      <c r="WVU10" s="554"/>
      <c r="WVV10" s="554"/>
      <c r="WVW10" s="554"/>
      <c r="WVX10" s="554"/>
      <c r="WVY10" s="554"/>
      <c r="WVZ10" s="554"/>
      <c r="WWA10" s="554"/>
      <c r="WWB10" s="554"/>
      <c r="WWC10" s="554"/>
      <c r="WWD10" s="554"/>
      <c r="WWE10" s="554"/>
      <c r="WWF10" s="554"/>
      <c r="WWG10" s="554"/>
      <c r="WWH10" s="554"/>
      <c r="WWI10" s="554"/>
      <c r="WWJ10" s="554"/>
      <c r="WWK10" s="554"/>
      <c r="WWL10" s="554"/>
      <c r="WWM10" s="554"/>
      <c r="WWN10" s="554"/>
      <c r="WWO10" s="554"/>
      <c r="WWP10" s="554"/>
      <c r="WWQ10" s="554"/>
      <c r="WWR10" s="554"/>
      <c r="WWS10" s="554"/>
      <c r="WWT10" s="554"/>
      <c r="WWU10" s="554"/>
      <c r="WWV10" s="554"/>
      <c r="WWW10" s="554"/>
      <c r="WWX10" s="554"/>
      <c r="WWY10" s="554"/>
      <c r="WWZ10" s="554"/>
      <c r="WXA10" s="554"/>
      <c r="WXB10" s="554"/>
      <c r="WXC10" s="554"/>
      <c r="WXD10" s="554"/>
      <c r="WXE10" s="554"/>
      <c r="WXF10" s="554"/>
      <c r="WXG10" s="554"/>
      <c r="WXH10" s="554"/>
      <c r="WXI10" s="554"/>
      <c r="WXJ10" s="554"/>
      <c r="WXK10" s="554"/>
      <c r="WXL10" s="554"/>
      <c r="WXM10" s="554"/>
      <c r="WXN10" s="554"/>
      <c r="WXO10" s="554"/>
      <c r="WXP10" s="554"/>
      <c r="WXQ10" s="554"/>
      <c r="WXR10" s="554"/>
      <c r="WXS10" s="554"/>
      <c r="WXT10" s="554"/>
      <c r="WXU10" s="554"/>
      <c r="WXV10" s="554"/>
      <c r="WXW10" s="554"/>
      <c r="WXX10" s="554"/>
      <c r="WXY10" s="554"/>
      <c r="WXZ10" s="554"/>
      <c r="WYA10" s="554"/>
      <c r="WYB10" s="554"/>
      <c r="WYC10" s="554"/>
      <c r="WYD10" s="554"/>
      <c r="WYE10" s="554"/>
      <c r="WYF10" s="554"/>
      <c r="WYG10" s="554"/>
      <c r="WYH10" s="554"/>
      <c r="WYI10" s="554"/>
      <c r="WYJ10" s="554"/>
      <c r="WYK10" s="554"/>
      <c r="WYL10" s="554"/>
      <c r="WYM10" s="554"/>
      <c r="WYN10" s="554"/>
      <c r="WYO10" s="554"/>
      <c r="WYP10" s="554"/>
      <c r="WYQ10" s="554"/>
      <c r="WYR10" s="554"/>
      <c r="WYS10" s="554"/>
      <c r="WYT10" s="554"/>
      <c r="WYU10" s="554"/>
      <c r="WYV10" s="554"/>
      <c r="WYW10" s="554"/>
      <c r="WYX10" s="554"/>
      <c r="WYY10" s="554"/>
      <c r="WYZ10" s="554"/>
      <c r="WZA10" s="554"/>
      <c r="WZB10" s="554"/>
      <c r="WZC10" s="554"/>
      <c r="WZD10" s="554"/>
      <c r="WZE10" s="554"/>
      <c r="WZF10" s="554"/>
      <c r="WZG10" s="554"/>
      <c r="WZH10" s="554"/>
      <c r="WZI10" s="554"/>
      <c r="WZJ10" s="554"/>
      <c r="WZK10" s="554"/>
      <c r="WZL10" s="554"/>
      <c r="WZM10" s="554"/>
      <c r="WZN10" s="554"/>
      <c r="WZO10" s="554"/>
      <c r="WZP10" s="554"/>
      <c r="WZQ10" s="554"/>
      <c r="WZR10" s="554"/>
      <c r="WZS10" s="554"/>
      <c r="WZT10" s="554"/>
      <c r="WZU10" s="554"/>
      <c r="WZV10" s="554"/>
      <c r="WZW10" s="554"/>
      <c r="WZX10" s="554"/>
      <c r="WZY10" s="554"/>
      <c r="WZZ10" s="554"/>
      <c r="XAA10" s="554"/>
      <c r="XAB10" s="554"/>
      <c r="XAC10" s="554"/>
      <c r="XAD10" s="554"/>
      <c r="XAE10" s="554"/>
      <c r="XAF10" s="554"/>
      <c r="XAG10" s="554"/>
      <c r="XAH10" s="554"/>
      <c r="XAI10" s="554"/>
      <c r="XAJ10" s="554"/>
      <c r="XAK10" s="554"/>
      <c r="XAL10" s="554"/>
      <c r="XAM10" s="554"/>
      <c r="XAN10" s="554"/>
      <c r="XAO10" s="554"/>
      <c r="XAP10" s="554"/>
      <c r="XAQ10" s="554"/>
      <c r="XAR10" s="554"/>
      <c r="XAS10" s="554"/>
      <c r="XAT10" s="554"/>
      <c r="XAU10" s="554"/>
      <c r="XAV10" s="554"/>
      <c r="XAW10" s="554"/>
      <c r="XAX10" s="554"/>
      <c r="XAY10" s="554"/>
      <c r="XAZ10" s="554"/>
      <c r="XBA10" s="554"/>
      <c r="XBB10" s="554"/>
      <c r="XBC10" s="554"/>
      <c r="XBD10" s="554"/>
      <c r="XBE10" s="554"/>
      <c r="XBF10" s="554"/>
      <c r="XBG10" s="554"/>
      <c r="XBH10" s="554"/>
      <c r="XBI10" s="554"/>
      <c r="XBJ10" s="554"/>
      <c r="XBK10" s="554"/>
      <c r="XBL10" s="554"/>
      <c r="XBM10" s="554"/>
      <c r="XBN10" s="554"/>
      <c r="XBO10" s="554"/>
      <c r="XBP10" s="554"/>
      <c r="XBQ10" s="554"/>
      <c r="XBR10" s="554"/>
      <c r="XBS10" s="554"/>
      <c r="XBT10" s="554"/>
      <c r="XBU10" s="554"/>
      <c r="XBV10" s="554"/>
      <c r="XBW10" s="554"/>
      <c r="XBX10" s="554"/>
      <c r="XBY10" s="554"/>
      <c r="XBZ10" s="554"/>
      <c r="XCA10" s="554"/>
      <c r="XCB10" s="554"/>
      <c r="XCC10" s="554"/>
      <c r="XCD10" s="554"/>
      <c r="XCE10" s="554"/>
      <c r="XCF10" s="554"/>
      <c r="XCG10" s="554"/>
      <c r="XCH10" s="554"/>
      <c r="XCI10" s="554"/>
      <c r="XCJ10" s="554"/>
      <c r="XCK10" s="554"/>
      <c r="XCL10" s="554"/>
      <c r="XCM10" s="554"/>
      <c r="XCN10" s="554"/>
      <c r="XCO10" s="554"/>
      <c r="XCP10" s="554"/>
      <c r="XCQ10" s="554"/>
      <c r="XCR10" s="554"/>
      <c r="XCS10" s="554"/>
      <c r="XCT10" s="554"/>
      <c r="XCU10" s="554"/>
      <c r="XCV10" s="554"/>
      <c r="XCW10" s="554"/>
      <c r="XCX10" s="554"/>
      <c r="XCY10" s="554"/>
      <c r="XCZ10" s="554"/>
      <c r="XDA10" s="554"/>
      <c r="XDB10" s="554"/>
      <c r="XDC10" s="554"/>
      <c r="XDD10" s="554"/>
      <c r="XDE10" s="554"/>
      <c r="XDF10" s="554"/>
      <c r="XDG10" s="554"/>
      <c r="XDH10" s="554"/>
      <c r="XDI10" s="554"/>
      <c r="XDJ10" s="554"/>
      <c r="XDK10" s="554"/>
      <c r="XDL10" s="554"/>
      <c r="XDM10" s="554"/>
      <c r="XDN10" s="554"/>
      <c r="XDO10" s="554"/>
      <c r="XDP10" s="554"/>
      <c r="XDQ10" s="554"/>
      <c r="XDR10" s="554"/>
      <c r="XDS10" s="554"/>
      <c r="XDT10" s="554"/>
      <c r="XDU10" s="554"/>
      <c r="XDV10" s="554"/>
      <c r="XDW10" s="554"/>
      <c r="XDX10" s="554"/>
      <c r="XDY10" s="554"/>
      <c r="XDZ10" s="554"/>
      <c r="XEA10" s="554"/>
      <c r="XEB10" s="554"/>
      <c r="XEC10" s="554"/>
      <c r="XED10" s="554"/>
      <c r="XEE10" s="554"/>
      <c r="XEF10" s="554"/>
      <c r="XEG10" s="554"/>
      <c r="XEH10" s="554"/>
      <c r="XEI10" s="554"/>
      <c r="XEJ10" s="554"/>
      <c r="XEK10" s="554"/>
      <c r="XEL10" s="554"/>
      <c r="XEM10" s="554"/>
      <c r="XEN10" s="554"/>
      <c r="XEO10" s="554"/>
      <c r="XEP10" s="554"/>
      <c r="XEQ10" s="554"/>
      <c r="XER10" s="554"/>
      <c r="XES10" s="554"/>
      <c r="XET10" s="554"/>
      <c r="XEU10" s="554"/>
      <c r="XEV10" s="554"/>
      <c r="XEW10" s="554"/>
      <c r="XEX10" s="554"/>
      <c r="XEY10" s="554"/>
      <c r="XEZ10" s="554"/>
      <c r="XFA10" s="554"/>
      <c r="XFB10" s="554"/>
      <c r="XFC10" s="554"/>
      <c r="XFD10" s="554"/>
    </row>
    <row r="11" spans="1:16384" x14ac:dyDescent="0.25">
      <c r="A11" s="635"/>
      <c r="B11" s="636"/>
      <c r="C11" s="636"/>
      <c r="D11" s="636"/>
      <c r="E11" s="636"/>
      <c r="F11" s="636"/>
      <c r="G11" s="636"/>
      <c r="H11" s="636"/>
      <c r="I11" s="636"/>
      <c r="J11" s="636"/>
      <c r="K11" s="636"/>
      <c r="L11" s="636"/>
      <c r="M11" s="636"/>
      <c r="N11" s="636"/>
      <c r="O11" s="636"/>
      <c r="P11" s="636"/>
      <c r="Q11" s="636"/>
      <c r="R11" s="636"/>
      <c r="S11" s="636"/>
      <c r="T11" s="636"/>
      <c r="U11" s="636"/>
      <c r="V11" s="636"/>
      <c r="W11" s="636"/>
      <c r="X11" s="637"/>
      <c r="Y11" s="554"/>
      <c r="Z11" s="554"/>
      <c r="AA11" s="554"/>
      <c r="AB11" s="554"/>
      <c r="AC11" s="554"/>
      <c r="AD11" s="554"/>
      <c r="AE11" s="554"/>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c r="BT11" s="554"/>
      <c r="BU11" s="554"/>
      <c r="BV11" s="554"/>
      <c r="BW11" s="554"/>
      <c r="BX11" s="554"/>
      <c r="BY11" s="554"/>
      <c r="BZ11" s="554"/>
      <c r="CA11" s="554"/>
      <c r="CB11" s="554"/>
      <c r="CC11" s="554"/>
      <c r="CD11" s="554"/>
      <c r="CE11" s="554"/>
      <c r="CF11" s="554"/>
      <c r="CG11" s="554"/>
      <c r="CH11" s="554"/>
      <c r="CI11" s="554"/>
      <c r="CJ11" s="554"/>
      <c r="CK11" s="554"/>
      <c r="CL11" s="554"/>
      <c r="CM11" s="554"/>
      <c r="CN11" s="554"/>
      <c r="CO11" s="554"/>
      <c r="CP11" s="554"/>
      <c r="CQ11" s="554"/>
      <c r="CR11" s="554"/>
      <c r="CS11" s="554"/>
      <c r="CT11" s="554"/>
      <c r="CU11" s="554"/>
      <c r="CV11" s="554"/>
      <c r="CW11" s="554"/>
      <c r="CX11" s="554"/>
      <c r="CY11" s="554"/>
      <c r="CZ11" s="554"/>
      <c r="DA11" s="554"/>
      <c r="DB11" s="554"/>
      <c r="DC11" s="554"/>
      <c r="DD11" s="554"/>
      <c r="DE11" s="554"/>
      <c r="DF11" s="554"/>
      <c r="DG11" s="554"/>
      <c r="DH11" s="554"/>
      <c r="DI11" s="554"/>
      <c r="DJ11" s="554"/>
      <c r="DK11" s="554"/>
      <c r="DL11" s="554"/>
      <c r="DM11" s="554"/>
      <c r="DN11" s="554"/>
      <c r="DO11" s="554"/>
      <c r="DP11" s="554"/>
      <c r="DQ11" s="554"/>
      <c r="DR11" s="554"/>
      <c r="DS11" s="554"/>
      <c r="DT11" s="554"/>
      <c r="DU11" s="554"/>
      <c r="DV11" s="554"/>
      <c r="DW11" s="554"/>
      <c r="DX11" s="554"/>
      <c r="DY11" s="554"/>
      <c r="DZ11" s="554"/>
      <c r="EA11" s="554"/>
      <c r="EB11" s="554"/>
      <c r="EC11" s="554"/>
      <c r="ED11" s="554"/>
      <c r="EE11" s="554"/>
      <c r="EF11" s="554"/>
      <c r="EG11" s="554"/>
      <c r="EH11" s="554"/>
      <c r="EI11" s="554"/>
      <c r="EJ11" s="554"/>
      <c r="EK11" s="554"/>
      <c r="EL11" s="554"/>
      <c r="EM11" s="554"/>
      <c r="EN11" s="554"/>
      <c r="EO11" s="554"/>
      <c r="EP11" s="554"/>
      <c r="EQ11" s="554"/>
      <c r="ER11" s="554"/>
      <c r="ES11" s="554"/>
      <c r="ET11" s="554"/>
      <c r="EU11" s="554"/>
      <c r="EV11" s="554"/>
      <c r="EW11" s="554"/>
      <c r="EX11" s="554"/>
      <c r="EY11" s="554"/>
      <c r="EZ11" s="554"/>
      <c r="FA11" s="554"/>
      <c r="FB11" s="554"/>
      <c r="FC11" s="554"/>
      <c r="FD11" s="554"/>
      <c r="FE11" s="554"/>
      <c r="FF11" s="554"/>
      <c r="FG11" s="554"/>
      <c r="FH11" s="554"/>
      <c r="FI11" s="554"/>
      <c r="FJ11" s="554"/>
      <c r="FK11" s="554"/>
      <c r="FL11" s="554"/>
      <c r="FM11" s="554"/>
      <c r="FN11" s="554"/>
      <c r="FO11" s="554"/>
      <c r="FP11" s="554"/>
      <c r="FQ11" s="554"/>
      <c r="FR11" s="554"/>
      <c r="FS11" s="554"/>
      <c r="FT11" s="554"/>
      <c r="FU11" s="554"/>
      <c r="FV11" s="554"/>
      <c r="FW11" s="554"/>
      <c r="FX11" s="554"/>
      <c r="FY11" s="554"/>
      <c r="FZ11" s="554"/>
      <c r="GA11" s="554"/>
      <c r="GB11" s="554"/>
      <c r="GC11" s="554"/>
      <c r="GD11" s="554"/>
      <c r="GE11" s="554"/>
      <c r="GF11" s="554"/>
      <c r="GG11" s="554"/>
      <c r="GH11" s="554"/>
      <c r="GI11" s="554"/>
      <c r="GJ11" s="554"/>
      <c r="GK11" s="554"/>
      <c r="GL11" s="554"/>
      <c r="GM11" s="554"/>
      <c r="GN11" s="554"/>
      <c r="GO11" s="554"/>
      <c r="GP11" s="554"/>
      <c r="GQ11" s="554"/>
      <c r="GR11" s="554"/>
      <c r="GS11" s="554"/>
      <c r="GT11" s="554"/>
      <c r="GU11" s="554"/>
      <c r="GV11" s="554"/>
      <c r="GW11" s="554"/>
      <c r="GX11" s="554"/>
      <c r="GY11" s="554"/>
      <c r="GZ11" s="554"/>
      <c r="HA11" s="554"/>
      <c r="HB11" s="554"/>
      <c r="HC11" s="554"/>
      <c r="HD11" s="554"/>
      <c r="HE11" s="554"/>
      <c r="HF11" s="554"/>
      <c r="HG11" s="554"/>
      <c r="HH11" s="554"/>
      <c r="HI11" s="554"/>
      <c r="HJ11" s="554"/>
      <c r="HK11" s="554"/>
      <c r="HL11" s="554"/>
      <c r="HM11" s="554"/>
      <c r="HN11" s="554"/>
      <c r="HO11" s="554"/>
      <c r="HP11" s="554"/>
      <c r="HQ11" s="554"/>
      <c r="HR11" s="554"/>
      <c r="HS11" s="554"/>
      <c r="HT11" s="554"/>
      <c r="HU11" s="554"/>
      <c r="HV11" s="554"/>
      <c r="HW11" s="554"/>
      <c r="HX11" s="554"/>
      <c r="HY11" s="554"/>
      <c r="HZ11" s="554"/>
      <c r="IA11" s="554"/>
      <c r="IB11" s="554"/>
      <c r="IC11" s="554"/>
      <c r="ID11" s="554"/>
      <c r="IE11" s="554"/>
      <c r="IF11" s="554"/>
      <c r="IG11" s="554"/>
      <c r="IH11" s="554"/>
      <c r="II11" s="554"/>
      <c r="IJ11" s="554"/>
      <c r="IK11" s="554"/>
      <c r="IL11" s="554"/>
      <c r="IM11" s="554"/>
      <c r="IN11" s="554"/>
      <c r="IO11" s="554"/>
      <c r="IP11" s="554"/>
      <c r="IQ11" s="554"/>
      <c r="IR11" s="554"/>
      <c r="IS11" s="554"/>
      <c r="IT11" s="554"/>
      <c r="IU11" s="554"/>
      <c r="IV11" s="554"/>
      <c r="IW11" s="554"/>
      <c r="IX11" s="554"/>
      <c r="IY11" s="554"/>
      <c r="IZ11" s="554"/>
      <c r="JA11" s="554"/>
      <c r="JB11" s="554"/>
      <c r="JC11" s="554"/>
      <c r="JD11" s="554"/>
      <c r="JE11" s="554"/>
      <c r="JF11" s="554"/>
      <c r="JG11" s="554"/>
      <c r="JH11" s="554"/>
      <c r="JI11" s="554"/>
      <c r="JJ11" s="554"/>
      <c r="JK11" s="554"/>
      <c r="JL11" s="554"/>
      <c r="JM11" s="554"/>
      <c r="JN11" s="554"/>
      <c r="JO11" s="554"/>
      <c r="JP11" s="554"/>
      <c r="JQ11" s="554"/>
      <c r="JR11" s="554"/>
      <c r="JS11" s="554"/>
      <c r="JT11" s="554"/>
      <c r="JU11" s="554"/>
      <c r="JV11" s="554"/>
      <c r="JW11" s="554"/>
      <c r="JX11" s="554"/>
      <c r="JY11" s="554"/>
      <c r="JZ11" s="554"/>
      <c r="KA11" s="554"/>
      <c r="KB11" s="554"/>
      <c r="KC11" s="554"/>
      <c r="KD11" s="554"/>
      <c r="KE11" s="554"/>
      <c r="KF11" s="554"/>
      <c r="KG11" s="554"/>
      <c r="KH11" s="554"/>
      <c r="KI11" s="554"/>
      <c r="KJ11" s="554"/>
      <c r="KK11" s="554"/>
      <c r="KL11" s="554"/>
      <c r="KM11" s="554"/>
      <c r="KN11" s="554"/>
      <c r="KO11" s="554"/>
      <c r="KP11" s="554"/>
      <c r="KQ11" s="554"/>
      <c r="KR11" s="554"/>
      <c r="KS11" s="554"/>
      <c r="KT11" s="554"/>
      <c r="KU11" s="554"/>
      <c r="KV11" s="554"/>
      <c r="KW11" s="554"/>
      <c r="KX11" s="554"/>
      <c r="KY11" s="554"/>
      <c r="KZ11" s="554"/>
      <c r="LA11" s="554"/>
      <c r="LB11" s="554"/>
      <c r="LC11" s="554"/>
      <c r="LD11" s="554"/>
      <c r="LE11" s="554"/>
      <c r="LF11" s="554"/>
      <c r="LG11" s="554"/>
      <c r="LH11" s="554"/>
      <c r="LI11" s="554"/>
      <c r="LJ11" s="554"/>
      <c r="LK11" s="554"/>
      <c r="LL11" s="554"/>
      <c r="LM11" s="554"/>
      <c r="LN11" s="554"/>
      <c r="LO11" s="554"/>
      <c r="LP11" s="554"/>
      <c r="LQ11" s="554"/>
      <c r="LR11" s="554"/>
      <c r="LS11" s="554"/>
      <c r="LT11" s="554"/>
      <c r="LU11" s="554"/>
      <c r="LV11" s="554"/>
      <c r="LW11" s="554"/>
      <c r="LX11" s="554"/>
      <c r="LY11" s="554"/>
      <c r="LZ11" s="554"/>
      <c r="MA11" s="554"/>
      <c r="MB11" s="554"/>
      <c r="MC11" s="554"/>
      <c r="MD11" s="554"/>
      <c r="ME11" s="554"/>
      <c r="MF11" s="554"/>
      <c r="MG11" s="554"/>
      <c r="MH11" s="554"/>
      <c r="MI11" s="554"/>
      <c r="MJ11" s="554"/>
      <c r="MK11" s="554"/>
      <c r="ML11" s="554"/>
      <c r="MM11" s="554"/>
      <c r="MN11" s="554"/>
      <c r="MO11" s="554"/>
      <c r="MP11" s="554"/>
      <c r="MQ11" s="554"/>
      <c r="MR11" s="554"/>
      <c r="MS11" s="554"/>
      <c r="MT11" s="554"/>
      <c r="MU11" s="554"/>
      <c r="MV11" s="554"/>
      <c r="MW11" s="554"/>
      <c r="MX11" s="554"/>
      <c r="MY11" s="554"/>
      <c r="MZ11" s="554"/>
      <c r="NA11" s="554"/>
      <c r="NB11" s="554"/>
      <c r="NC11" s="554"/>
      <c r="ND11" s="554"/>
      <c r="NE11" s="554"/>
      <c r="NF11" s="554"/>
      <c r="NG11" s="554"/>
      <c r="NH11" s="554"/>
      <c r="NI11" s="554"/>
      <c r="NJ11" s="554"/>
      <c r="NK11" s="554"/>
      <c r="NL11" s="554"/>
      <c r="NM11" s="554"/>
      <c r="NN11" s="554"/>
      <c r="NO11" s="554"/>
      <c r="NP11" s="554"/>
      <c r="NQ11" s="554"/>
      <c r="NR11" s="554"/>
      <c r="NS11" s="554"/>
      <c r="NT11" s="554"/>
      <c r="NU11" s="554"/>
      <c r="NV11" s="554"/>
      <c r="NW11" s="554"/>
      <c r="NX11" s="554"/>
      <c r="NY11" s="554"/>
      <c r="NZ11" s="554"/>
      <c r="OA11" s="554"/>
      <c r="OB11" s="554"/>
      <c r="OC11" s="554"/>
      <c r="OD11" s="554"/>
      <c r="OE11" s="554"/>
      <c r="OF11" s="554"/>
      <c r="OG11" s="554"/>
      <c r="OH11" s="554"/>
      <c r="OI11" s="554"/>
      <c r="OJ11" s="554"/>
      <c r="OK11" s="554"/>
      <c r="OL11" s="554"/>
      <c r="OM11" s="554"/>
      <c r="ON11" s="554"/>
      <c r="OO11" s="554"/>
      <c r="OP11" s="554"/>
      <c r="OQ11" s="554"/>
      <c r="OR11" s="554"/>
      <c r="OS11" s="554"/>
      <c r="OT11" s="554"/>
      <c r="OU11" s="554"/>
      <c r="OV11" s="554"/>
      <c r="OW11" s="554"/>
      <c r="OX11" s="554"/>
      <c r="OY11" s="554"/>
      <c r="OZ11" s="554"/>
      <c r="PA11" s="554"/>
      <c r="PB11" s="554"/>
      <c r="PC11" s="554"/>
      <c r="PD11" s="554"/>
      <c r="PE11" s="554"/>
      <c r="PF11" s="554"/>
      <c r="PG11" s="554"/>
      <c r="PH11" s="554"/>
      <c r="PI11" s="554"/>
      <c r="PJ11" s="554"/>
      <c r="PK11" s="554"/>
      <c r="PL11" s="554"/>
      <c r="PM11" s="554"/>
      <c r="PN11" s="554"/>
      <c r="PO11" s="554"/>
      <c r="PP11" s="554"/>
      <c r="PQ11" s="554"/>
      <c r="PR11" s="554"/>
      <c r="PS11" s="554"/>
      <c r="PT11" s="554"/>
      <c r="PU11" s="554"/>
      <c r="PV11" s="554"/>
      <c r="PW11" s="554"/>
      <c r="PX11" s="554"/>
      <c r="PY11" s="554"/>
      <c r="PZ11" s="554"/>
      <c r="QA11" s="554"/>
      <c r="QB11" s="554"/>
      <c r="QC11" s="554"/>
      <c r="QD11" s="554"/>
      <c r="QE11" s="554"/>
      <c r="QF11" s="554"/>
      <c r="QG11" s="554"/>
      <c r="QH11" s="554"/>
      <c r="QI11" s="554"/>
      <c r="QJ11" s="554"/>
      <c r="QK11" s="554"/>
      <c r="QL11" s="554"/>
      <c r="QM11" s="554"/>
      <c r="QN11" s="554"/>
      <c r="QO11" s="554"/>
      <c r="QP11" s="554"/>
      <c r="QQ11" s="554"/>
      <c r="QR11" s="554"/>
      <c r="QS11" s="554"/>
      <c r="QT11" s="554"/>
      <c r="QU11" s="554"/>
      <c r="QV11" s="554"/>
      <c r="QW11" s="554"/>
      <c r="QX11" s="554"/>
      <c r="QY11" s="554"/>
      <c r="QZ11" s="554"/>
      <c r="RA11" s="554"/>
      <c r="RB11" s="554"/>
      <c r="RC11" s="554"/>
      <c r="RD11" s="554"/>
      <c r="RE11" s="554"/>
      <c r="RF11" s="554"/>
      <c r="RG11" s="554"/>
      <c r="RH11" s="554"/>
      <c r="RI11" s="554"/>
      <c r="RJ11" s="554"/>
      <c r="RK11" s="554"/>
      <c r="RL11" s="554"/>
      <c r="RM11" s="554"/>
      <c r="RN11" s="554"/>
      <c r="RO11" s="554"/>
      <c r="RP11" s="554"/>
      <c r="RQ11" s="554"/>
      <c r="RR11" s="554"/>
      <c r="RS11" s="554"/>
      <c r="RT11" s="554"/>
      <c r="RU11" s="554"/>
      <c r="RV11" s="554"/>
      <c r="RW11" s="554"/>
      <c r="RX11" s="554"/>
      <c r="RY11" s="554"/>
      <c r="RZ11" s="554"/>
      <c r="SA11" s="554"/>
      <c r="SB11" s="554"/>
      <c r="SC11" s="554"/>
      <c r="SD11" s="554"/>
      <c r="SE11" s="554"/>
      <c r="SF11" s="554"/>
      <c r="SG11" s="554"/>
      <c r="SH11" s="554"/>
      <c r="SI11" s="554"/>
      <c r="SJ11" s="554"/>
      <c r="SK11" s="554"/>
      <c r="SL11" s="554"/>
      <c r="SM11" s="554"/>
      <c r="SN11" s="554"/>
      <c r="SO11" s="554"/>
      <c r="SP11" s="554"/>
      <c r="SQ11" s="554"/>
      <c r="SR11" s="554"/>
      <c r="SS11" s="554"/>
      <c r="ST11" s="554"/>
      <c r="SU11" s="554"/>
      <c r="SV11" s="554"/>
      <c r="SW11" s="554"/>
      <c r="SX11" s="554"/>
      <c r="SY11" s="554"/>
      <c r="SZ11" s="554"/>
      <c r="TA11" s="554"/>
      <c r="TB11" s="554"/>
      <c r="TC11" s="554"/>
      <c r="TD11" s="554"/>
      <c r="TE11" s="554"/>
      <c r="TF11" s="554"/>
      <c r="TG11" s="554"/>
      <c r="TH11" s="554"/>
      <c r="TI11" s="554"/>
      <c r="TJ11" s="554"/>
      <c r="TK11" s="554"/>
      <c r="TL11" s="554"/>
      <c r="TM11" s="554"/>
      <c r="TN11" s="554"/>
      <c r="TO11" s="554"/>
      <c r="TP11" s="554"/>
      <c r="TQ11" s="554"/>
      <c r="TR11" s="554"/>
      <c r="TS11" s="554"/>
      <c r="TT11" s="554"/>
      <c r="TU11" s="554"/>
      <c r="TV11" s="554"/>
      <c r="TW11" s="554"/>
      <c r="TX11" s="554"/>
      <c r="TY11" s="554"/>
      <c r="TZ11" s="554"/>
      <c r="UA11" s="554"/>
      <c r="UB11" s="554"/>
      <c r="UC11" s="554"/>
      <c r="UD11" s="554"/>
      <c r="UE11" s="554"/>
      <c r="UF11" s="554"/>
      <c r="UG11" s="554"/>
      <c r="UH11" s="554"/>
      <c r="UI11" s="554"/>
      <c r="UJ11" s="554"/>
      <c r="UK11" s="554"/>
      <c r="UL11" s="554"/>
      <c r="UM11" s="554"/>
      <c r="UN11" s="554"/>
      <c r="UO11" s="554"/>
      <c r="UP11" s="554"/>
      <c r="UQ11" s="554"/>
      <c r="UR11" s="554"/>
      <c r="US11" s="554"/>
      <c r="UT11" s="554"/>
      <c r="UU11" s="554"/>
      <c r="UV11" s="554"/>
      <c r="UW11" s="554"/>
      <c r="UX11" s="554"/>
      <c r="UY11" s="554"/>
      <c r="UZ11" s="554"/>
      <c r="VA11" s="554"/>
      <c r="VB11" s="554"/>
      <c r="VC11" s="554"/>
      <c r="VD11" s="554"/>
      <c r="VE11" s="554"/>
      <c r="VF11" s="554"/>
      <c r="VG11" s="554"/>
      <c r="VH11" s="554"/>
      <c r="VI11" s="554"/>
      <c r="VJ11" s="554"/>
      <c r="VK11" s="554"/>
      <c r="VL11" s="554"/>
      <c r="VM11" s="554"/>
      <c r="VN11" s="554"/>
      <c r="VO11" s="554"/>
      <c r="VP11" s="554"/>
      <c r="VQ11" s="554"/>
      <c r="VR11" s="554"/>
      <c r="VS11" s="554"/>
      <c r="VT11" s="554"/>
      <c r="VU11" s="554"/>
      <c r="VV11" s="554"/>
      <c r="VW11" s="554"/>
      <c r="VX11" s="554"/>
      <c r="VY11" s="554"/>
      <c r="VZ11" s="554"/>
      <c r="WA11" s="554"/>
      <c r="WB11" s="554"/>
      <c r="WC11" s="554"/>
      <c r="WD11" s="554"/>
      <c r="WE11" s="554"/>
      <c r="WF11" s="554"/>
      <c r="WG11" s="554"/>
      <c r="WH11" s="554"/>
      <c r="WI11" s="554"/>
      <c r="WJ11" s="554"/>
      <c r="WK11" s="554"/>
      <c r="WL11" s="554"/>
      <c r="WM11" s="554"/>
      <c r="WN11" s="554"/>
      <c r="WO11" s="554"/>
      <c r="WP11" s="554"/>
      <c r="WQ11" s="554"/>
      <c r="WR11" s="554"/>
      <c r="WS11" s="554"/>
      <c r="WT11" s="554"/>
      <c r="WU11" s="554"/>
      <c r="WV11" s="554"/>
      <c r="WW11" s="554"/>
      <c r="WX11" s="554"/>
      <c r="WY11" s="554"/>
      <c r="WZ11" s="554"/>
      <c r="XA11" s="554"/>
      <c r="XB11" s="554"/>
      <c r="XC11" s="554"/>
      <c r="XD11" s="554"/>
      <c r="XE11" s="554"/>
      <c r="XF11" s="554"/>
      <c r="XG11" s="554"/>
      <c r="XH11" s="554"/>
      <c r="XI11" s="554"/>
      <c r="XJ11" s="554"/>
      <c r="XK11" s="554"/>
      <c r="XL11" s="554"/>
      <c r="XM11" s="554"/>
      <c r="XN11" s="554"/>
      <c r="XO11" s="554"/>
      <c r="XP11" s="554"/>
      <c r="XQ11" s="554"/>
      <c r="XR11" s="554"/>
      <c r="XS11" s="554"/>
      <c r="XT11" s="554"/>
      <c r="XU11" s="554"/>
      <c r="XV11" s="554"/>
      <c r="XW11" s="554"/>
      <c r="XX11" s="554"/>
      <c r="XY11" s="554"/>
      <c r="XZ11" s="554"/>
      <c r="YA11" s="554"/>
      <c r="YB11" s="554"/>
      <c r="YC11" s="554"/>
      <c r="YD11" s="554"/>
      <c r="YE11" s="554"/>
      <c r="YF11" s="554"/>
      <c r="YG11" s="554"/>
      <c r="YH11" s="554"/>
      <c r="YI11" s="554"/>
      <c r="YJ11" s="554"/>
      <c r="YK11" s="554"/>
      <c r="YL11" s="554"/>
      <c r="YM11" s="554"/>
      <c r="YN11" s="554"/>
      <c r="YO11" s="554"/>
      <c r="YP11" s="554"/>
      <c r="YQ11" s="554"/>
      <c r="YR11" s="554"/>
      <c r="YS11" s="554"/>
      <c r="YT11" s="554"/>
      <c r="YU11" s="554"/>
      <c r="YV11" s="554"/>
      <c r="YW11" s="554"/>
      <c r="YX11" s="554"/>
      <c r="YY11" s="554"/>
      <c r="YZ11" s="554"/>
      <c r="ZA11" s="554"/>
      <c r="ZB11" s="554"/>
      <c r="ZC11" s="554"/>
      <c r="ZD11" s="554"/>
      <c r="ZE11" s="554"/>
      <c r="ZF11" s="554"/>
      <c r="ZG11" s="554"/>
      <c r="ZH11" s="554"/>
      <c r="ZI11" s="554"/>
      <c r="ZJ11" s="554"/>
      <c r="ZK11" s="554"/>
      <c r="ZL11" s="554"/>
      <c r="ZM11" s="554"/>
      <c r="ZN11" s="554"/>
      <c r="ZO11" s="554"/>
      <c r="ZP11" s="554"/>
      <c r="ZQ11" s="554"/>
      <c r="ZR11" s="554"/>
      <c r="ZS11" s="554"/>
      <c r="ZT11" s="554"/>
      <c r="ZU11" s="554"/>
      <c r="ZV11" s="554"/>
      <c r="ZW11" s="554"/>
      <c r="ZX11" s="554"/>
      <c r="ZY11" s="554"/>
      <c r="ZZ11" s="554"/>
      <c r="AAA11" s="554"/>
      <c r="AAB11" s="554"/>
      <c r="AAC11" s="554"/>
      <c r="AAD11" s="554"/>
      <c r="AAE11" s="554"/>
      <c r="AAF11" s="554"/>
      <c r="AAG11" s="554"/>
      <c r="AAH11" s="554"/>
      <c r="AAI11" s="554"/>
      <c r="AAJ11" s="554"/>
      <c r="AAK11" s="554"/>
      <c r="AAL11" s="554"/>
      <c r="AAM11" s="554"/>
      <c r="AAN11" s="554"/>
      <c r="AAO11" s="554"/>
      <c r="AAP11" s="554"/>
      <c r="AAQ11" s="554"/>
      <c r="AAR11" s="554"/>
      <c r="AAS11" s="554"/>
      <c r="AAT11" s="554"/>
      <c r="AAU11" s="554"/>
      <c r="AAV11" s="554"/>
      <c r="AAW11" s="554"/>
      <c r="AAX11" s="554"/>
      <c r="AAY11" s="554"/>
      <c r="AAZ11" s="554"/>
      <c r="ABA11" s="554"/>
      <c r="ABB11" s="554"/>
      <c r="ABC11" s="554"/>
      <c r="ABD11" s="554"/>
      <c r="ABE11" s="554"/>
      <c r="ABF11" s="554"/>
      <c r="ABG11" s="554"/>
      <c r="ABH11" s="554"/>
      <c r="ABI11" s="554"/>
      <c r="ABJ11" s="554"/>
      <c r="ABK11" s="554"/>
      <c r="ABL11" s="554"/>
      <c r="ABM11" s="554"/>
      <c r="ABN11" s="554"/>
      <c r="ABO11" s="554"/>
      <c r="ABP11" s="554"/>
      <c r="ABQ11" s="554"/>
      <c r="ABR11" s="554"/>
      <c r="ABS11" s="554"/>
      <c r="ABT11" s="554"/>
      <c r="ABU11" s="554"/>
      <c r="ABV11" s="554"/>
      <c r="ABW11" s="554"/>
      <c r="ABX11" s="554"/>
      <c r="ABY11" s="554"/>
      <c r="ABZ11" s="554"/>
      <c r="ACA11" s="554"/>
      <c r="ACB11" s="554"/>
      <c r="ACC11" s="554"/>
      <c r="ACD11" s="554"/>
      <c r="ACE11" s="554"/>
      <c r="ACF11" s="554"/>
      <c r="ACG11" s="554"/>
      <c r="ACH11" s="554"/>
      <c r="ACI11" s="554"/>
      <c r="ACJ11" s="554"/>
      <c r="ACK11" s="554"/>
      <c r="ACL11" s="554"/>
      <c r="ACM11" s="554"/>
      <c r="ACN11" s="554"/>
      <c r="ACO11" s="554"/>
      <c r="ACP11" s="554"/>
      <c r="ACQ11" s="554"/>
      <c r="ACR11" s="554"/>
      <c r="ACS11" s="554"/>
      <c r="ACT11" s="554"/>
      <c r="ACU11" s="554"/>
      <c r="ACV11" s="554"/>
      <c r="ACW11" s="554"/>
      <c r="ACX11" s="554"/>
      <c r="ACY11" s="554"/>
      <c r="ACZ11" s="554"/>
      <c r="ADA11" s="554"/>
      <c r="ADB11" s="554"/>
      <c r="ADC11" s="554"/>
      <c r="ADD11" s="554"/>
      <c r="ADE11" s="554"/>
      <c r="ADF11" s="554"/>
      <c r="ADG11" s="554"/>
      <c r="ADH11" s="554"/>
      <c r="ADI11" s="554"/>
      <c r="ADJ11" s="554"/>
      <c r="ADK11" s="554"/>
      <c r="ADL11" s="554"/>
      <c r="ADM11" s="554"/>
      <c r="ADN11" s="554"/>
      <c r="ADO11" s="554"/>
      <c r="ADP11" s="554"/>
      <c r="ADQ11" s="554"/>
      <c r="ADR11" s="554"/>
      <c r="ADS11" s="554"/>
      <c r="ADT11" s="554"/>
      <c r="ADU11" s="554"/>
      <c r="ADV11" s="554"/>
      <c r="ADW11" s="554"/>
      <c r="ADX11" s="554"/>
      <c r="ADY11" s="554"/>
      <c r="ADZ11" s="554"/>
      <c r="AEA11" s="554"/>
      <c r="AEB11" s="554"/>
      <c r="AEC11" s="554"/>
      <c r="AED11" s="554"/>
      <c r="AEE11" s="554"/>
      <c r="AEF11" s="554"/>
      <c r="AEG11" s="554"/>
      <c r="AEH11" s="554"/>
      <c r="AEI11" s="554"/>
      <c r="AEJ11" s="554"/>
      <c r="AEK11" s="554"/>
      <c r="AEL11" s="554"/>
      <c r="AEM11" s="554"/>
      <c r="AEN11" s="554"/>
      <c r="AEO11" s="554"/>
      <c r="AEP11" s="554"/>
      <c r="AEQ11" s="554"/>
      <c r="AER11" s="554"/>
      <c r="AES11" s="554"/>
      <c r="AET11" s="554"/>
      <c r="AEU11" s="554"/>
      <c r="AEV11" s="554"/>
      <c r="AEW11" s="554"/>
      <c r="AEX11" s="554"/>
      <c r="AEY11" s="554"/>
      <c r="AEZ11" s="554"/>
      <c r="AFA11" s="554"/>
      <c r="AFB11" s="554"/>
      <c r="AFC11" s="554"/>
      <c r="AFD11" s="554"/>
      <c r="AFE11" s="554"/>
      <c r="AFF11" s="554"/>
      <c r="AFG11" s="554"/>
      <c r="AFH11" s="554"/>
      <c r="AFI11" s="554"/>
      <c r="AFJ11" s="554"/>
      <c r="AFK11" s="554"/>
      <c r="AFL11" s="554"/>
      <c r="AFM11" s="554"/>
      <c r="AFN11" s="554"/>
      <c r="AFO11" s="554"/>
      <c r="AFP11" s="554"/>
      <c r="AFQ11" s="554"/>
      <c r="AFR11" s="554"/>
      <c r="AFS11" s="554"/>
      <c r="AFT11" s="554"/>
      <c r="AFU11" s="554"/>
      <c r="AFV11" s="554"/>
      <c r="AFW11" s="554"/>
      <c r="AFX11" s="554"/>
      <c r="AFY11" s="554"/>
      <c r="AFZ11" s="554"/>
      <c r="AGA11" s="554"/>
      <c r="AGB11" s="554"/>
      <c r="AGC11" s="554"/>
      <c r="AGD11" s="554"/>
      <c r="AGE11" s="554"/>
      <c r="AGF11" s="554"/>
      <c r="AGG11" s="554"/>
      <c r="AGH11" s="554"/>
      <c r="AGI11" s="554"/>
      <c r="AGJ11" s="554"/>
      <c r="AGK11" s="554"/>
      <c r="AGL11" s="554"/>
      <c r="AGM11" s="554"/>
      <c r="AGN11" s="554"/>
      <c r="AGO11" s="554"/>
      <c r="AGP11" s="554"/>
      <c r="AGQ11" s="554"/>
      <c r="AGR11" s="554"/>
      <c r="AGS11" s="554"/>
      <c r="AGT11" s="554"/>
      <c r="AGU11" s="554"/>
      <c r="AGV11" s="554"/>
      <c r="AGW11" s="554"/>
      <c r="AGX11" s="554"/>
      <c r="AGY11" s="554"/>
      <c r="AGZ11" s="554"/>
      <c r="AHA11" s="554"/>
      <c r="AHB11" s="554"/>
      <c r="AHC11" s="554"/>
      <c r="AHD11" s="554"/>
      <c r="AHE11" s="554"/>
      <c r="AHF11" s="554"/>
      <c r="AHG11" s="554"/>
      <c r="AHH11" s="554"/>
      <c r="AHI11" s="554"/>
      <c r="AHJ11" s="554"/>
      <c r="AHK11" s="554"/>
      <c r="AHL11" s="554"/>
      <c r="AHM11" s="554"/>
      <c r="AHN11" s="554"/>
      <c r="AHO11" s="554"/>
      <c r="AHP11" s="554"/>
      <c r="AHQ11" s="554"/>
      <c r="AHR11" s="554"/>
      <c r="AHS11" s="554"/>
      <c r="AHT11" s="554"/>
      <c r="AHU11" s="554"/>
      <c r="AHV11" s="554"/>
      <c r="AHW11" s="554"/>
      <c r="AHX11" s="554"/>
      <c r="AHY11" s="554"/>
      <c r="AHZ11" s="554"/>
      <c r="AIA11" s="554"/>
      <c r="AIB11" s="554"/>
      <c r="AIC11" s="554"/>
      <c r="AID11" s="554"/>
      <c r="AIE11" s="554"/>
      <c r="AIF11" s="554"/>
      <c r="AIG11" s="554"/>
      <c r="AIH11" s="554"/>
      <c r="AII11" s="554"/>
      <c r="AIJ11" s="554"/>
      <c r="AIK11" s="554"/>
      <c r="AIL11" s="554"/>
      <c r="AIM11" s="554"/>
      <c r="AIN11" s="554"/>
      <c r="AIO11" s="554"/>
      <c r="AIP11" s="554"/>
      <c r="AIQ11" s="554"/>
      <c r="AIR11" s="554"/>
      <c r="AIS11" s="554"/>
      <c r="AIT11" s="554"/>
      <c r="AIU11" s="554"/>
      <c r="AIV11" s="554"/>
      <c r="AIW11" s="554"/>
      <c r="AIX11" s="554"/>
      <c r="AIY11" s="554"/>
      <c r="AIZ11" s="554"/>
      <c r="AJA11" s="554"/>
      <c r="AJB11" s="554"/>
      <c r="AJC11" s="554"/>
      <c r="AJD11" s="554"/>
      <c r="AJE11" s="554"/>
      <c r="AJF11" s="554"/>
      <c r="AJG11" s="554"/>
      <c r="AJH11" s="554"/>
      <c r="AJI11" s="554"/>
      <c r="AJJ11" s="554"/>
      <c r="AJK11" s="554"/>
      <c r="AJL11" s="554"/>
      <c r="AJM11" s="554"/>
      <c r="AJN11" s="554"/>
      <c r="AJO11" s="554"/>
      <c r="AJP11" s="554"/>
      <c r="AJQ11" s="554"/>
      <c r="AJR11" s="554"/>
      <c r="AJS11" s="554"/>
      <c r="AJT11" s="554"/>
      <c r="AJU11" s="554"/>
      <c r="AJV11" s="554"/>
      <c r="AJW11" s="554"/>
      <c r="AJX11" s="554"/>
      <c r="AJY11" s="554"/>
      <c r="AJZ11" s="554"/>
      <c r="AKA11" s="554"/>
      <c r="AKB11" s="554"/>
      <c r="AKC11" s="554"/>
      <c r="AKD11" s="554"/>
      <c r="AKE11" s="554"/>
      <c r="AKF11" s="554"/>
      <c r="AKG11" s="554"/>
      <c r="AKH11" s="554"/>
      <c r="AKI11" s="554"/>
      <c r="AKJ11" s="554"/>
      <c r="AKK11" s="554"/>
      <c r="AKL11" s="554"/>
      <c r="AKM11" s="554"/>
      <c r="AKN11" s="554"/>
      <c r="AKO11" s="554"/>
      <c r="AKP11" s="554"/>
      <c r="AKQ11" s="554"/>
      <c r="AKR11" s="554"/>
      <c r="AKS11" s="554"/>
      <c r="AKT11" s="554"/>
      <c r="AKU11" s="554"/>
      <c r="AKV11" s="554"/>
      <c r="AKW11" s="554"/>
      <c r="AKX11" s="554"/>
      <c r="AKY11" s="554"/>
      <c r="AKZ11" s="554"/>
      <c r="ALA11" s="554"/>
      <c r="ALB11" s="554"/>
      <c r="ALC11" s="554"/>
      <c r="ALD11" s="554"/>
      <c r="ALE11" s="554"/>
      <c r="ALF11" s="554"/>
      <c r="ALG11" s="554"/>
      <c r="ALH11" s="554"/>
      <c r="ALI11" s="554"/>
      <c r="ALJ11" s="554"/>
      <c r="ALK11" s="554"/>
      <c r="ALL11" s="554"/>
      <c r="ALM11" s="554"/>
      <c r="ALN11" s="554"/>
      <c r="ALO11" s="554"/>
      <c r="ALP11" s="554"/>
      <c r="ALQ11" s="554"/>
      <c r="ALR11" s="554"/>
      <c r="ALS11" s="554"/>
      <c r="ALT11" s="554"/>
      <c r="ALU11" s="554"/>
      <c r="ALV11" s="554"/>
      <c r="ALW11" s="554"/>
      <c r="ALX11" s="554"/>
      <c r="ALY11" s="554"/>
      <c r="ALZ11" s="554"/>
      <c r="AMA11" s="554"/>
      <c r="AMB11" s="554"/>
      <c r="AMC11" s="554"/>
      <c r="AMD11" s="554"/>
      <c r="AME11" s="554"/>
      <c r="AMF11" s="554"/>
      <c r="AMG11" s="554"/>
      <c r="AMH11" s="554"/>
      <c r="AMI11" s="554"/>
      <c r="AMJ11" s="554"/>
      <c r="AMK11" s="554"/>
      <c r="AML11" s="554"/>
      <c r="AMM11" s="554"/>
      <c r="AMN11" s="554"/>
      <c r="AMO11" s="554"/>
      <c r="AMP11" s="554"/>
      <c r="AMQ11" s="554"/>
      <c r="AMR11" s="554"/>
      <c r="AMS11" s="554"/>
      <c r="AMT11" s="554"/>
      <c r="AMU11" s="554"/>
      <c r="AMV11" s="554"/>
      <c r="AMW11" s="554"/>
      <c r="AMX11" s="554"/>
      <c r="AMY11" s="554"/>
      <c r="AMZ11" s="554"/>
      <c r="ANA11" s="554"/>
      <c r="ANB11" s="554"/>
      <c r="ANC11" s="554"/>
      <c r="AND11" s="554"/>
      <c r="ANE11" s="554"/>
      <c r="ANF11" s="554"/>
      <c r="ANG11" s="554"/>
      <c r="ANH11" s="554"/>
      <c r="ANI11" s="554"/>
      <c r="ANJ11" s="554"/>
      <c r="ANK11" s="554"/>
      <c r="ANL11" s="554"/>
      <c r="ANM11" s="554"/>
      <c r="ANN11" s="554"/>
      <c r="ANO11" s="554"/>
      <c r="ANP11" s="554"/>
      <c r="ANQ11" s="554"/>
      <c r="ANR11" s="554"/>
      <c r="ANS11" s="554"/>
      <c r="ANT11" s="554"/>
      <c r="ANU11" s="554"/>
      <c r="ANV11" s="554"/>
      <c r="ANW11" s="554"/>
      <c r="ANX11" s="554"/>
      <c r="ANY11" s="554"/>
      <c r="ANZ11" s="554"/>
      <c r="AOA11" s="554"/>
      <c r="AOB11" s="554"/>
      <c r="AOC11" s="554"/>
      <c r="AOD11" s="554"/>
      <c r="AOE11" s="554"/>
      <c r="AOF11" s="554"/>
      <c r="AOG11" s="554"/>
      <c r="AOH11" s="554"/>
      <c r="AOI11" s="554"/>
      <c r="AOJ11" s="554"/>
      <c r="AOK11" s="554"/>
      <c r="AOL11" s="554"/>
      <c r="AOM11" s="554"/>
      <c r="AON11" s="554"/>
      <c r="AOO11" s="554"/>
      <c r="AOP11" s="554"/>
      <c r="AOQ11" s="554"/>
      <c r="AOR11" s="554"/>
      <c r="AOS11" s="554"/>
      <c r="AOT11" s="554"/>
      <c r="AOU11" s="554"/>
      <c r="AOV11" s="554"/>
      <c r="AOW11" s="554"/>
      <c r="AOX11" s="554"/>
      <c r="AOY11" s="554"/>
      <c r="AOZ11" s="554"/>
      <c r="APA11" s="554"/>
      <c r="APB11" s="554"/>
      <c r="APC11" s="554"/>
      <c r="APD11" s="554"/>
      <c r="APE11" s="554"/>
      <c r="APF11" s="554"/>
      <c r="APG11" s="554"/>
      <c r="APH11" s="554"/>
      <c r="API11" s="554"/>
      <c r="APJ11" s="554"/>
      <c r="APK11" s="554"/>
      <c r="APL11" s="554"/>
      <c r="APM11" s="554"/>
      <c r="APN11" s="554"/>
      <c r="APO11" s="554"/>
      <c r="APP11" s="554"/>
      <c r="APQ11" s="554"/>
      <c r="APR11" s="554"/>
      <c r="APS11" s="554"/>
      <c r="APT11" s="554"/>
      <c r="APU11" s="554"/>
      <c r="APV11" s="554"/>
      <c r="APW11" s="554"/>
      <c r="APX11" s="554"/>
      <c r="APY11" s="554"/>
      <c r="APZ11" s="554"/>
      <c r="AQA11" s="554"/>
      <c r="AQB11" s="554"/>
      <c r="AQC11" s="554"/>
      <c r="AQD11" s="554"/>
      <c r="AQE11" s="554"/>
      <c r="AQF11" s="554"/>
      <c r="AQG11" s="554"/>
      <c r="AQH11" s="554"/>
      <c r="AQI11" s="554"/>
      <c r="AQJ11" s="554"/>
      <c r="AQK11" s="554"/>
      <c r="AQL11" s="554"/>
      <c r="AQM11" s="554"/>
      <c r="AQN11" s="554"/>
      <c r="AQO11" s="554"/>
      <c r="AQP11" s="554"/>
      <c r="AQQ11" s="554"/>
      <c r="AQR11" s="554"/>
      <c r="AQS11" s="554"/>
      <c r="AQT11" s="554"/>
      <c r="AQU11" s="554"/>
      <c r="AQV11" s="554"/>
      <c r="AQW11" s="554"/>
      <c r="AQX11" s="554"/>
      <c r="AQY11" s="554"/>
      <c r="AQZ11" s="554"/>
      <c r="ARA11" s="554"/>
      <c r="ARB11" s="554"/>
      <c r="ARC11" s="554"/>
      <c r="ARD11" s="554"/>
      <c r="ARE11" s="554"/>
      <c r="ARF11" s="554"/>
      <c r="ARG11" s="554"/>
      <c r="ARH11" s="554"/>
      <c r="ARI11" s="554"/>
      <c r="ARJ11" s="554"/>
      <c r="ARK11" s="554"/>
      <c r="ARL11" s="554"/>
      <c r="ARM11" s="554"/>
      <c r="ARN11" s="554"/>
      <c r="ARO11" s="554"/>
      <c r="ARP11" s="554"/>
      <c r="ARQ11" s="554"/>
      <c r="ARR11" s="554"/>
      <c r="ARS11" s="554"/>
      <c r="ART11" s="554"/>
      <c r="ARU11" s="554"/>
      <c r="ARV11" s="554"/>
      <c r="ARW11" s="554"/>
      <c r="ARX11" s="554"/>
      <c r="ARY11" s="554"/>
      <c r="ARZ11" s="554"/>
      <c r="ASA11" s="554"/>
      <c r="ASB11" s="554"/>
      <c r="ASC11" s="554"/>
      <c r="ASD11" s="554"/>
      <c r="ASE11" s="554"/>
      <c r="ASF11" s="554"/>
      <c r="ASG11" s="554"/>
      <c r="ASH11" s="554"/>
      <c r="ASI11" s="554"/>
      <c r="ASJ11" s="554"/>
      <c r="ASK11" s="554"/>
      <c r="ASL11" s="554"/>
      <c r="ASM11" s="554"/>
      <c r="ASN11" s="554"/>
      <c r="ASO11" s="554"/>
      <c r="ASP11" s="554"/>
      <c r="ASQ11" s="554"/>
      <c r="ASR11" s="554"/>
      <c r="ASS11" s="554"/>
      <c r="AST11" s="554"/>
      <c r="ASU11" s="554"/>
      <c r="ASV11" s="554"/>
      <c r="ASW11" s="554"/>
      <c r="ASX11" s="554"/>
      <c r="ASY11" s="554"/>
      <c r="ASZ11" s="554"/>
      <c r="ATA11" s="554"/>
      <c r="ATB11" s="554"/>
      <c r="ATC11" s="554"/>
      <c r="ATD11" s="554"/>
      <c r="ATE11" s="554"/>
      <c r="ATF11" s="554"/>
      <c r="ATG11" s="554"/>
      <c r="ATH11" s="554"/>
      <c r="ATI11" s="554"/>
      <c r="ATJ11" s="554"/>
      <c r="ATK11" s="554"/>
      <c r="ATL11" s="554"/>
      <c r="ATM11" s="554"/>
      <c r="ATN11" s="554"/>
      <c r="ATO11" s="554"/>
      <c r="ATP11" s="554"/>
      <c r="ATQ11" s="554"/>
      <c r="ATR11" s="554"/>
      <c r="ATS11" s="554"/>
      <c r="ATT11" s="554"/>
      <c r="ATU11" s="554"/>
      <c r="ATV11" s="554"/>
      <c r="ATW11" s="554"/>
      <c r="ATX11" s="554"/>
      <c r="ATY11" s="554"/>
      <c r="ATZ11" s="554"/>
      <c r="AUA11" s="554"/>
      <c r="AUB11" s="554"/>
      <c r="AUC11" s="554"/>
      <c r="AUD11" s="554"/>
      <c r="AUE11" s="554"/>
      <c r="AUF11" s="554"/>
      <c r="AUG11" s="554"/>
      <c r="AUH11" s="554"/>
      <c r="AUI11" s="554"/>
      <c r="AUJ11" s="554"/>
      <c r="AUK11" s="554"/>
      <c r="AUL11" s="554"/>
      <c r="AUM11" s="554"/>
      <c r="AUN11" s="554"/>
      <c r="AUO11" s="554"/>
      <c r="AUP11" s="554"/>
      <c r="AUQ11" s="554"/>
      <c r="AUR11" s="554"/>
      <c r="AUS11" s="554"/>
      <c r="AUT11" s="554"/>
      <c r="AUU11" s="554"/>
      <c r="AUV11" s="554"/>
      <c r="AUW11" s="554"/>
      <c r="AUX11" s="554"/>
      <c r="AUY11" s="554"/>
      <c r="AUZ11" s="554"/>
      <c r="AVA11" s="554"/>
      <c r="AVB11" s="554"/>
      <c r="AVC11" s="554"/>
      <c r="AVD11" s="554"/>
      <c r="AVE11" s="554"/>
      <c r="AVF11" s="554"/>
      <c r="AVG11" s="554"/>
      <c r="AVH11" s="554"/>
      <c r="AVI11" s="554"/>
      <c r="AVJ11" s="554"/>
      <c r="AVK11" s="554"/>
      <c r="AVL11" s="554"/>
      <c r="AVM11" s="554"/>
      <c r="AVN11" s="554"/>
      <c r="AVO11" s="554"/>
      <c r="AVP11" s="554"/>
      <c r="AVQ11" s="554"/>
      <c r="AVR11" s="554"/>
      <c r="AVS11" s="554"/>
      <c r="AVT11" s="554"/>
      <c r="AVU11" s="554"/>
      <c r="AVV11" s="554"/>
      <c r="AVW11" s="554"/>
      <c r="AVX11" s="554"/>
      <c r="AVY11" s="554"/>
      <c r="AVZ11" s="554"/>
      <c r="AWA11" s="554"/>
      <c r="AWB11" s="554"/>
      <c r="AWC11" s="554"/>
      <c r="AWD11" s="554"/>
      <c r="AWE11" s="554"/>
      <c r="AWF11" s="554"/>
      <c r="AWG11" s="554"/>
      <c r="AWH11" s="554"/>
      <c r="AWI11" s="554"/>
      <c r="AWJ11" s="554"/>
      <c r="AWK11" s="554"/>
      <c r="AWL11" s="554"/>
      <c r="AWM11" s="554"/>
      <c r="AWN11" s="554"/>
      <c r="AWO11" s="554"/>
      <c r="AWP11" s="554"/>
      <c r="AWQ11" s="554"/>
      <c r="AWR11" s="554"/>
      <c r="AWS11" s="554"/>
      <c r="AWT11" s="554"/>
      <c r="AWU11" s="554"/>
      <c r="AWV11" s="554"/>
      <c r="AWW11" s="554"/>
      <c r="AWX11" s="554"/>
      <c r="AWY11" s="554"/>
      <c r="AWZ11" s="554"/>
      <c r="AXA11" s="554"/>
      <c r="AXB11" s="554"/>
      <c r="AXC11" s="554"/>
      <c r="AXD11" s="554"/>
      <c r="AXE11" s="554"/>
      <c r="AXF11" s="554"/>
      <c r="AXG11" s="554"/>
      <c r="AXH11" s="554"/>
      <c r="AXI11" s="554"/>
      <c r="AXJ11" s="554"/>
      <c r="AXK11" s="554"/>
      <c r="AXL11" s="554"/>
      <c r="AXM11" s="554"/>
      <c r="AXN11" s="554"/>
      <c r="AXO11" s="554"/>
      <c r="AXP11" s="554"/>
      <c r="AXQ11" s="554"/>
      <c r="AXR11" s="554"/>
      <c r="AXS11" s="554"/>
      <c r="AXT11" s="554"/>
      <c r="AXU11" s="554"/>
      <c r="AXV11" s="554"/>
      <c r="AXW11" s="554"/>
      <c r="AXX11" s="554"/>
      <c r="AXY11" s="554"/>
      <c r="AXZ11" s="554"/>
      <c r="AYA11" s="554"/>
      <c r="AYB11" s="554"/>
      <c r="AYC11" s="554"/>
      <c r="AYD11" s="554"/>
      <c r="AYE11" s="554"/>
      <c r="AYF11" s="554"/>
      <c r="AYG11" s="554"/>
      <c r="AYH11" s="554"/>
      <c r="AYI11" s="554"/>
      <c r="AYJ11" s="554"/>
      <c r="AYK11" s="554"/>
      <c r="AYL11" s="554"/>
      <c r="AYM11" s="554"/>
      <c r="AYN11" s="554"/>
      <c r="AYO11" s="554"/>
      <c r="AYP11" s="554"/>
      <c r="AYQ11" s="554"/>
      <c r="AYR11" s="554"/>
      <c r="AYS11" s="554"/>
      <c r="AYT11" s="554"/>
      <c r="AYU11" s="554"/>
      <c r="AYV11" s="554"/>
      <c r="AYW11" s="554"/>
      <c r="AYX11" s="554"/>
      <c r="AYY11" s="554"/>
      <c r="AYZ11" s="554"/>
      <c r="AZA11" s="554"/>
      <c r="AZB11" s="554"/>
      <c r="AZC11" s="554"/>
      <c r="AZD11" s="554"/>
      <c r="AZE11" s="554"/>
      <c r="AZF11" s="554"/>
      <c r="AZG11" s="554"/>
      <c r="AZH11" s="554"/>
      <c r="AZI11" s="554"/>
      <c r="AZJ11" s="554"/>
      <c r="AZK11" s="554"/>
      <c r="AZL11" s="554"/>
      <c r="AZM11" s="554"/>
      <c r="AZN11" s="554"/>
      <c r="AZO11" s="554"/>
      <c r="AZP11" s="554"/>
      <c r="AZQ11" s="554"/>
      <c r="AZR11" s="554"/>
      <c r="AZS11" s="554"/>
      <c r="AZT11" s="554"/>
      <c r="AZU11" s="554"/>
      <c r="AZV11" s="554"/>
      <c r="AZW11" s="554"/>
      <c r="AZX11" s="554"/>
      <c r="AZY11" s="554"/>
      <c r="AZZ11" s="554"/>
      <c r="BAA11" s="554"/>
      <c r="BAB11" s="554"/>
      <c r="BAC11" s="554"/>
      <c r="BAD11" s="554"/>
      <c r="BAE11" s="554"/>
      <c r="BAF11" s="554"/>
      <c r="BAG11" s="554"/>
      <c r="BAH11" s="554"/>
      <c r="BAI11" s="554"/>
      <c r="BAJ11" s="554"/>
      <c r="BAK11" s="554"/>
      <c r="BAL11" s="554"/>
      <c r="BAM11" s="554"/>
      <c r="BAN11" s="554"/>
      <c r="BAO11" s="554"/>
      <c r="BAP11" s="554"/>
      <c r="BAQ11" s="554"/>
      <c r="BAR11" s="554"/>
      <c r="BAS11" s="554"/>
      <c r="BAT11" s="554"/>
      <c r="BAU11" s="554"/>
      <c r="BAV11" s="554"/>
      <c r="BAW11" s="554"/>
      <c r="BAX11" s="554"/>
      <c r="BAY11" s="554"/>
      <c r="BAZ11" s="554"/>
      <c r="BBA11" s="554"/>
      <c r="BBB11" s="554"/>
      <c r="BBC11" s="554"/>
      <c r="BBD11" s="554"/>
      <c r="BBE11" s="554"/>
      <c r="BBF11" s="554"/>
      <c r="BBG11" s="554"/>
      <c r="BBH11" s="554"/>
      <c r="BBI11" s="554"/>
      <c r="BBJ11" s="554"/>
      <c r="BBK11" s="554"/>
      <c r="BBL11" s="554"/>
      <c r="BBM11" s="554"/>
      <c r="BBN11" s="554"/>
      <c r="BBO11" s="554"/>
      <c r="BBP11" s="554"/>
      <c r="BBQ11" s="554"/>
      <c r="BBR11" s="554"/>
      <c r="BBS11" s="554"/>
      <c r="BBT11" s="554"/>
      <c r="BBU11" s="554"/>
      <c r="BBV11" s="554"/>
      <c r="BBW11" s="554"/>
      <c r="BBX11" s="554"/>
      <c r="BBY11" s="554"/>
      <c r="BBZ11" s="554"/>
      <c r="BCA11" s="554"/>
      <c r="BCB11" s="554"/>
      <c r="BCC11" s="554"/>
      <c r="BCD11" s="554"/>
      <c r="BCE11" s="554"/>
      <c r="BCF11" s="554"/>
      <c r="BCG11" s="554"/>
      <c r="BCH11" s="554"/>
      <c r="BCI11" s="554"/>
      <c r="BCJ11" s="554"/>
      <c r="BCK11" s="554"/>
      <c r="BCL11" s="554"/>
      <c r="BCM11" s="554"/>
      <c r="BCN11" s="554"/>
      <c r="BCO11" s="554"/>
      <c r="BCP11" s="554"/>
      <c r="BCQ11" s="554"/>
      <c r="BCR11" s="554"/>
      <c r="BCS11" s="554"/>
      <c r="BCT11" s="554"/>
      <c r="BCU11" s="554"/>
      <c r="BCV11" s="554"/>
      <c r="BCW11" s="554"/>
      <c r="BCX11" s="554"/>
      <c r="BCY11" s="554"/>
      <c r="BCZ11" s="554"/>
      <c r="BDA11" s="554"/>
      <c r="BDB11" s="554"/>
      <c r="BDC11" s="554"/>
      <c r="BDD11" s="554"/>
      <c r="BDE11" s="554"/>
      <c r="BDF11" s="554"/>
      <c r="BDG11" s="554"/>
      <c r="BDH11" s="554"/>
      <c r="BDI11" s="554"/>
      <c r="BDJ11" s="554"/>
      <c r="BDK11" s="554"/>
      <c r="BDL11" s="554"/>
      <c r="BDM11" s="554"/>
      <c r="BDN11" s="554"/>
      <c r="BDO11" s="554"/>
      <c r="BDP11" s="554"/>
      <c r="BDQ11" s="554"/>
      <c r="BDR11" s="554"/>
      <c r="BDS11" s="554"/>
      <c r="BDT11" s="554"/>
      <c r="BDU11" s="554"/>
      <c r="BDV11" s="554"/>
      <c r="BDW11" s="554"/>
      <c r="BDX11" s="554"/>
      <c r="BDY11" s="554"/>
      <c r="BDZ11" s="554"/>
      <c r="BEA11" s="554"/>
      <c r="BEB11" s="554"/>
      <c r="BEC11" s="554"/>
      <c r="BED11" s="554"/>
      <c r="BEE11" s="554"/>
      <c r="BEF11" s="554"/>
      <c r="BEG11" s="554"/>
      <c r="BEH11" s="554"/>
      <c r="BEI11" s="554"/>
      <c r="BEJ11" s="554"/>
      <c r="BEK11" s="554"/>
      <c r="BEL11" s="554"/>
      <c r="BEM11" s="554"/>
      <c r="BEN11" s="554"/>
      <c r="BEO11" s="554"/>
      <c r="BEP11" s="554"/>
      <c r="BEQ11" s="554"/>
      <c r="BER11" s="554"/>
      <c r="BES11" s="554"/>
      <c r="BET11" s="554"/>
      <c r="BEU11" s="554"/>
      <c r="BEV11" s="554"/>
      <c r="BEW11" s="554"/>
      <c r="BEX11" s="554"/>
      <c r="BEY11" s="554"/>
      <c r="BEZ11" s="554"/>
      <c r="BFA11" s="554"/>
      <c r="BFB11" s="554"/>
      <c r="BFC11" s="554"/>
      <c r="BFD11" s="554"/>
      <c r="BFE11" s="554"/>
      <c r="BFF11" s="554"/>
      <c r="BFG11" s="554"/>
      <c r="BFH11" s="554"/>
      <c r="BFI11" s="554"/>
      <c r="BFJ11" s="554"/>
      <c r="BFK11" s="554"/>
      <c r="BFL11" s="554"/>
      <c r="BFM11" s="554"/>
      <c r="BFN11" s="554"/>
      <c r="BFO11" s="554"/>
      <c r="BFP11" s="554"/>
      <c r="BFQ11" s="554"/>
      <c r="BFR11" s="554"/>
      <c r="BFS11" s="554"/>
      <c r="BFT11" s="554"/>
      <c r="BFU11" s="554"/>
      <c r="BFV11" s="554"/>
      <c r="BFW11" s="554"/>
      <c r="BFX11" s="554"/>
      <c r="BFY11" s="554"/>
      <c r="BFZ11" s="554"/>
      <c r="BGA11" s="554"/>
      <c r="BGB11" s="554"/>
      <c r="BGC11" s="554"/>
      <c r="BGD11" s="554"/>
      <c r="BGE11" s="554"/>
      <c r="BGF11" s="554"/>
      <c r="BGG11" s="554"/>
      <c r="BGH11" s="554"/>
      <c r="BGI11" s="554"/>
      <c r="BGJ11" s="554"/>
      <c r="BGK11" s="554"/>
      <c r="BGL11" s="554"/>
      <c r="BGM11" s="554"/>
      <c r="BGN11" s="554"/>
      <c r="BGO11" s="554"/>
      <c r="BGP11" s="554"/>
      <c r="BGQ11" s="554"/>
      <c r="BGR11" s="554"/>
      <c r="BGS11" s="554"/>
      <c r="BGT11" s="554"/>
      <c r="BGU11" s="554"/>
      <c r="BGV11" s="554"/>
      <c r="BGW11" s="554"/>
      <c r="BGX11" s="554"/>
      <c r="BGY11" s="554"/>
      <c r="BGZ11" s="554"/>
      <c r="BHA11" s="554"/>
      <c r="BHB11" s="554"/>
      <c r="BHC11" s="554"/>
      <c r="BHD11" s="554"/>
      <c r="BHE11" s="554"/>
      <c r="BHF11" s="554"/>
      <c r="BHG11" s="554"/>
      <c r="BHH11" s="554"/>
      <c r="BHI11" s="554"/>
      <c r="BHJ11" s="554"/>
      <c r="BHK11" s="554"/>
      <c r="BHL11" s="554"/>
      <c r="BHM11" s="554"/>
      <c r="BHN11" s="554"/>
      <c r="BHO11" s="554"/>
      <c r="BHP11" s="554"/>
      <c r="BHQ11" s="554"/>
      <c r="BHR11" s="554"/>
      <c r="BHS11" s="554"/>
      <c r="BHT11" s="554"/>
      <c r="BHU11" s="554"/>
      <c r="BHV11" s="554"/>
      <c r="BHW11" s="554"/>
      <c r="BHX11" s="554"/>
      <c r="BHY11" s="554"/>
      <c r="BHZ11" s="554"/>
      <c r="BIA11" s="554"/>
      <c r="BIB11" s="554"/>
      <c r="BIC11" s="554"/>
      <c r="BID11" s="554"/>
      <c r="BIE11" s="554"/>
      <c r="BIF11" s="554"/>
      <c r="BIG11" s="554"/>
      <c r="BIH11" s="554"/>
      <c r="BII11" s="554"/>
      <c r="BIJ11" s="554"/>
      <c r="BIK11" s="554"/>
      <c r="BIL11" s="554"/>
      <c r="BIM11" s="554"/>
      <c r="BIN11" s="554"/>
      <c r="BIO11" s="554"/>
      <c r="BIP11" s="554"/>
      <c r="BIQ11" s="554"/>
      <c r="BIR11" s="554"/>
      <c r="BIS11" s="554"/>
      <c r="BIT11" s="554"/>
      <c r="BIU11" s="554"/>
      <c r="BIV11" s="554"/>
      <c r="BIW11" s="554"/>
      <c r="BIX11" s="554"/>
      <c r="BIY11" s="554"/>
      <c r="BIZ11" s="554"/>
      <c r="BJA11" s="554"/>
      <c r="BJB11" s="554"/>
      <c r="BJC11" s="554"/>
      <c r="BJD11" s="554"/>
      <c r="BJE11" s="554"/>
      <c r="BJF11" s="554"/>
      <c r="BJG11" s="554"/>
      <c r="BJH11" s="554"/>
      <c r="BJI11" s="554"/>
      <c r="BJJ11" s="554"/>
      <c r="BJK11" s="554"/>
      <c r="BJL11" s="554"/>
      <c r="BJM11" s="554"/>
      <c r="BJN11" s="554"/>
      <c r="BJO11" s="554"/>
      <c r="BJP11" s="554"/>
      <c r="BJQ11" s="554"/>
      <c r="BJR11" s="554"/>
      <c r="BJS11" s="554"/>
      <c r="BJT11" s="554"/>
      <c r="BJU11" s="554"/>
      <c r="BJV11" s="554"/>
      <c r="BJW11" s="554"/>
      <c r="BJX11" s="554"/>
      <c r="BJY11" s="554"/>
      <c r="BJZ11" s="554"/>
      <c r="BKA11" s="554"/>
      <c r="BKB11" s="554"/>
      <c r="BKC11" s="554"/>
      <c r="BKD11" s="554"/>
      <c r="BKE11" s="554"/>
      <c r="BKF11" s="554"/>
      <c r="BKG11" s="554"/>
      <c r="BKH11" s="554"/>
      <c r="BKI11" s="554"/>
      <c r="BKJ11" s="554"/>
      <c r="BKK11" s="554"/>
      <c r="BKL11" s="554"/>
      <c r="BKM11" s="554"/>
      <c r="BKN11" s="554"/>
      <c r="BKO11" s="554"/>
      <c r="BKP11" s="554"/>
      <c r="BKQ11" s="554"/>
      <c r="BKR11" s="554"/>
      <c r="BKS11" s="554"/>
      <c r="BKT11" s="554"/>
      <c r="BKU11" s="554"/>
      <c r="BKV11" s="554"/>
      <c r="BKW11" s="554"/>
      <c r="BKX11" s="554"/>
      <c r="BKY11" s="554"/>
      <c r="BKZ11" s="554"/>
      <c r="BLA11" s="554"/>
      <c r="BLB11" s="554"/>
      <c r="BLC11" s="554"/>
      <c r="BLD11" s="554"/>
      <c r="BLE11" s="554"/>
      <c r="BLF11" s="554"/>
      <c r="BLG11" s="554"/>
      <c r="BLH11" s="554"/>
      <c r="BLI11" s="554"/>
      <c r="BLJ11" s="554"/>
      <c r="BLK11" s="554"/>
      <c r="BLL11" s="554"/>
      <c r="BLM11" s="554"/>
      <c r="BLN11" s="554"/>
      <c r="BLO11" s="554"/>
      <c r="BLP11" s="554"/>
      <c r="BLQ11" s="554"/>
      <c r="BLR11" s="554"/>
      <c r="BLS11" s="554"/>
      <c r="BLT11" s="554"/>
      <c r="BLU11" s="554"/>
      <c r="BLV11" s="554"/>
      <c r="BLW11" s="554"/>
      <c r="BLX11" s="554"/>
      <c r="BLY11" s="554"/>
      <c r="BLZ11" s="554"/>
      <c r="BMA11" s="554"/>
      <c r="BMB11" s="554"/>
      <c r="BMC11" s="554"/>
      <c r="BMD11" s="554"/>
      <c r="BME11" s="554"/>
      <c r="BMF11" s="554"/>
      <c r="BMG11" s="554"/>
      <c r="BMH11" s="554"/>
      <c r="BMI11" s="554"/>
      <c r="BMJ11" s="554"/>
      <c r="BMK11" s="554"/>
      <c r="BML11" s="554"/>
      <c r="BMM11" s="554"/>
      <c r="BMN11" s="554"/>
      <c r="BMO11" s="554"/>
      <c r="BMP11" s="554"/>
      <c r="BMQ11" s="554"/>
      <c r="BMR11" s="554"/>
      <c r="BMS11" s="554"/>
      <c r="BMT11" s="554"/>
      <c r="BMU11" s="554"/>
      <c r="BMV11" s="554"/>
      <c r="BMW11" s="554"/>
      <c r="BMX11" s="554"/>
      <c r="BMY11" s="554"/>
      <c r="BMZ11" s="554"/>
      <c r="BNA11" s="554"/>
      <c r="BNB11" s="554"/>
      <c r="BNC11" s="554"/>
      <c r="BND11" s="554"/>
      <c r="BNE11" s="554"/>
      <c r="BNF11" s="554"/>
      <c r="BNG11" s="554"/>
      <c r="BNH11" s="554"/>
      <c r="BNI11" s="554"/>
      <c r="BNJ11" s="554"/>
      <c r="BNK11" s="554"/>
      <c r="BNL11" s="554"/>
      <c r="BNM11" s="554"/>
      <c r="BNN11" s="554"/>
      <c r="BNO11" s="554"/>
      <c r="BNP11" s="554"/>
      <c r="BNQ11" s="554"/>
      <c r="BNR11" s="554"/>
      <c r="BNS11" s="554"/>
      <c r="BNT11" s="554"/>
      <c r="BNU11" s="554"/>
      <c r="BNV11" s="554"/>
      <c r="BNW11" s="554"/>
      <c r="BNX11" s="554"/>
      <c r="BNY11" s="554"/>
      <c r="BNZ11" s="554"/>
      <c r="BOA11" s="554"/>
      <c r="BOB11" s="554"/>
      <c r="BOC11" s="554"/>
      <c r="BOD11" s="554"/>
      <c r="BOE11" s="554"/>
      <c r="BOF11" s="554"/>
      <c r="BOG11" s="554"/>
      <c r="BOH11" s="554"/>
      <c r="BOI11" s="554"/>
      <c r="BOJ11" s="554"/>
      <c r="BOK11" s="554"/>
      <c r="BOL11" s="554"/>
      <c r="BOM11" s="554"/>
      <c r="BON11" s="554"/>
      <c r="BOO11" s="554"/>
      <c r="BOP11" s="554"/>
      <c r="BOQ11" s="554"/>
      <c r="BOR11" s="554"/>
      <c r="BOS11" s="554"/>
      <c r="BOT11" s="554"/>
      <c r="BOU11" s="554"/>
      <c r="BOV11" s="554"/>
      <c r="BOW11" s="554"/>
      <c r="BOX11" s="554"/>
      <c r="BOY11" s="554"/>
      <c r="BOZ11" s="554"/>
      <c r="BPA11" s="554"/>
      <c r="BPB11" s="554"/>
      <c r="BPC11" s="554"/>
      <c r="BPD11" s="554"/>
      <c r="BPE11" s="554"/>
      <c r="BPF11" s="554"/>
      <c r="BPG11" s="554"/>
      <c r="BPH11" s="554"/>
      <c r="BPI11" s="554"/>
      <c r="BPJ11" s="554"/>
      <c r="BPK11" s="554"/>
      <c r="BPL11" s="554"/>
      <c r="BPM11" s="554"/>
      <c r="BPN11" s="554"/>
      <c r="BPO11" s="554"/>
      <c r="BPP11" s="554"/>
      <c r="BPQ11" s="554"/>
      <c r="BPR11" s="554"/>
      <c r="BPS11" s="554"/>
      <c r="BPT11" s="554"/>
      <c r="BPU11" s="554"/>
      <c r="BPV11" s="554"/>
      <c r="BPW11" s="554"/>
      <c r="BPX11" s="554"/>
      <c r="BPY11" s="554"/>
      <c r="BPZ11" s="554"/>
      <c r="BQA11" s="554"/>
      <c r="BQB11" s="554"/>
      <c r="BQC11" s="554"/>
      <c r="BQD11" s="554"/>
      <c r="BQE11" s="554"/>
      <c r="BQF11" s="554"/>
      <c r="BQG11" s="554"/>
      <c r="BQH11" s="554"/>
      <c r="BQI11" s="554"/>
      <c r="BQJ11" s="554"/>
      <c r="BQK11" s="554"/>
      <c r="BQL11" s="554"/>
      <c r="BQM11" s="554"/>
      <c r="BQN11" s="554"/>
      <c r="BQO11" s="554"/>
      <c r="BQP11" s="554"/>
      <c r="BQQ11" s="554"/>
      <c r="BQR11" s="554"/>
      <c r="BQS11" s="554"/>
      <c r="BQT11" s="554"/>
      <c r="BQU11" s="554"/>
      <c r="BQV11" s="554"/>
      <c r="BQW11" s="554"/>
      <c r="BQX11" s="554"/>
      <c r="BQY11" s="554"/>
      <c r="BQZ11" s="554"/>
      <c r="BRA11" s="554"/>
      <c r="BRB11" s="554"/>
      <c r="BRC11" s="554"/>
      <c r="BRD11" s="554"/>
      <c r="BRE11" s="554"/>
      <c r="BRF11" s="554"/>
      <c r="BRG11" s="554"/>
      <c r="BRH11" s="554"/>
      <c r="BRI11" s="554"/>
      <c r="BRJ11" s="554"/>
      <c r="BRK11" s="554"/>
      <c r="BRL11" s="554"/>
      <c r="BRM11" s="554"/>
      <c r="BRN11" s="554"/>
      <c r="BRO11" s="554"/>
      <c r="BRP11" s="554"/>
      <c r="BRQ11" s="554"/>
      <c r="BRR11" s="554"/>
      <c r="BRS11" s="554"/>
      <c r="BRT11" s="554"/>
      <c r="BRU11" s="554"/>
      <c r="BRV11" s="554"/>
      <c r="BRW11" s="554"/>
      <c r="BRX11" s="554"/>
      <c r="BRY11" s="554"/>
      <c r="BRZ11" s="554"/>
      <c r="BSA11" s="554"/>
      <c r="BSB11" s="554"/>
      <c r="BSC11" s="554"/>
      <c r="BSD11" s="554"/>
      <c r="BSE11" s="554"/>
      <c r="BSF11" s="554"/>
      <c r="BSG11" s="554"/>
      <c r="BSH11" s="554"/>
      <c r="BSI11" s="554"/>
      <c r="BSJ11" s="554"/>
      <c r="BSK11" s="554"/>
      <c r="BSL11" s="554"/>
      <c r="BSM11" s="554"/>
      <c r="BSN11" s="554"/>
      <c r="BSO11" s="554"/>
      <c r="BSP11" s="554"/>
      <c r="BSQ11" s="554"/>
      <c r="BSR11" s="554"/>
      <c r="BSS11" s="554"/>
      <c r="BST11" s="554"/>
      <c r="BSU11" s="554"/>
      <c r="BSV11" s="554"/>
      <c r="BSW11" s="554"/>
      <c r="BSX11" s="554"/>
      <c r="BSY11" s="554"/>
      <c r="BSZ11" s="554"/>
      <c r="BTA11" s="554"/>
      <c r="BTB11" s="554"/>
      <c r="BTC11" s="554"/>
      <c r="BTD11" s="554"/>
      <c r="BTE11" s="554"/>
      <c r="BTF11" s="554"/>
      <c r="BTG11" s="554"/>
      <c r="BTH11" s="554"/>
      <c r="BTI11" s="554"/>
      <c r="BTJ11" s="554"/>
      <c r="BTK11" s="554"/>
      <c r="BTL11" s="554"/>
      <c r="BTM11" s="554"/>
      <c r="BTN11" s="554"/>
      <c r="BTO11" s="554"/>
      <c r="BTP11" s="554"/>
      <c r="BTQ11" s="554"/>
      <c r="BTR11" s="554"/>
      <c r="BTS11" s="554"/>
      <c r="BTT11" s="554"/>
      <c r="BTU11" s="554"/>
      <c r="BTV11" s="554"/>
      <c r="BTW11" s="554"/>
      <c r="BTX11" s="554"/>
      <c r="BTY11" s="554"/>
      <c r="BTZ11" s="554"/>
      <c r="BUA11" s="554"/>
      <c r="BUB11" s="554"/>
      <c r="BUC11" s="554"/>
      <c r="BUD11" s="554"/>
      <c r="BUE11" s="554"/>
      <c r="BUF11" s="554"/>
      <c r="BUG11" s="554"/>
      <c r="BUH11" s="554"/>
      <c r="BUI11" s="554"/>
      <c r="BUJ11" s="554"/>
      <c r="BUK11" s="554"/>
      <c r="BUL11" s="554"/>
      <c r="BUM11" s="554"/>
      <c r="BUN11" s="554"/>
      <c r="BUO11" s="554"/>
      <c r="BUP11" s="554"/>
      <c r="BUQ11" s="554"/>
      <c r="BUR11" s="554"/>
      <c r="BUS11" s="554"/>
      <c r="BUT11" s="554"/>
      <c r="BUU11" s="554"/>
      <c r="BUV11" s="554"/>
      <c r="BUW11" s="554"/>
      <c r="BUX11" s="554"/>
      <c r="BUY11" s="554"/>
      <c r="BUZ11" s="554"/>
      <c r="BVA11" s="554"/>
      <c r="BVB11" s="554"/>
      <c r="BVC11" s="554"/>
      <c r="BVD11" s="554"/>
      <c r="BVE11" s="554"/>
      <c r="BVF11" s="554"/>
      <c r="BVG11" s="554"/>
      <c r="BVH11" s="554"/>
      <c r="BVI11" s="554"/>
      <c r="BVJ11" s="554"/>
      <c r="BVK11" s="554"/>
      <c r="BVL11" s="554"/>
      <c r="BVM11" s="554"/>
      <c r="BVN11" s="554"/>
      <c r="BVO11" s="554"/>
      <c r="BVP11" s="554"/>
      <c r="BVQ11" s="554"/>
      <c r="BVR11" s="554"/>
      <c r="BVS11" s="554"/>
      <c r="BVT11" s="554"/>
      <c r="BVU11" s="554"/>
      <c r="BVV11" s="554"/>
      <c r="BVW11" s="554"/>
      <c r="BVX11" s="554"/>
      <c r="BVY11" s="554"/>
      <c r="BVZ11" s="554"/>
      <c r="BWA11" s="554"/>
      <c r="BWB11" s="554"/>
      <c r="BWC11" s="554"/>
      <c r="BWD11" s="554"/>
      <c r="BWE11" s="554"/>
      <c r="BWF11" s="554"/>
      <c r="BWG11" s="554"/>
      <c r="BWH11" s="554"/>
      <c r="BWI11" s="554"/>
      <c r="BWJ11" s="554"/>
      <c r="BWK11" s="554"/>
      <c r="BWL11" s="554"/>
      <c r="BWM11" s="554"/>
      <c r="BWN11" s="554"/>
      <c r="BWO11" s="554"/>
      <c r="BWP11" s="554"/>
      <c r="BWQ11" s="554"/>
      <c r="BWR11" s="554"/>
      <c r="BWS11" s="554"/>
      <c r="BWT11" s="554"/>
      <c r="BWU11" s="554"/>
      <c r="BWV11" s="554"/>
      <c r="BWW11" s="554"/>
      <c r="BWX11" s="554"/>
      <c r="BWY11" s="554"/>
      <c r="BWZ11" s="554"/>
      <c r="BXA11" s="554"/>
      <c r="BXB11" s="554"/>
      <c r="BXC11" s="554"/>
      <c r="BXD11" s="554"/>
      <c r="BXE11" s="554"/>
      <c r="BXF11" s="554"/>
      <c r="BXG11" s="554"/>
      <c r="BXH11" s="554"/>
      <c r="BXI11" s="554"/>
      <c r="BXJ11" s="554"/>
      <c r="BXK11" s="554"/>
      <c r="BXL11" s="554"/>
      <c r="BXM11" s="554"/>
      <c r="BXN11" s="554"/>
      <c r="BXO11" s="554"/>
      <c r="BXP11" s="554"/>
      <c r="BXQ11" s="554"/>
      <c r="BXR11" s="554"/>
      <c r="BXS11" s="554"/>
      <c r="BXT11" s="554"/>
      <c r="BXU11" s="554"/>
      <c r="BXV11" s="554"/>
      <c r="BXW11" s="554"/>
      <c r="BXX11" s="554"/>
      <c r="BXY11" s="554"/>
      <c r="BXZ11" s="554"/>
      <c r="BYA11" s="554"/>
      <c r="BYB11" s="554"/>
      <c r="BYC11" s="554"/>
      <c r="BYD11" s="554"/>
      <c r="BYE11" s="554"/>
      <c r="BYF11" s="554"/>
      <c r="BYG11" s="554"/>
      <c r="BYH11" s="554"/>
      <c r="BYI11" s="554"/>
      <c r="BYJ11" s="554"/>
      <c r="BYK11" s="554"/>
      <c r="BYL11" s="554"/>
      <c r="BYM11" s="554"/>
      <c r="BYN11" s="554"/>
      <c r="BYO11" s="554"/>
      <c r="BYP11" s="554"/>
      <c r="BYQ11" s="554"/>
      <c r="BYR11" s="554"/>
      <c r="BYS11" s="554"/>
      <c r="BYT11" s="554"/>
      <c r="BYU11" s="554"/>
      <c r="BYV11" s="554"/>
      <c r="BYW11" s="554"/>
      <c r="BYX11" s="554"/>
      <c r="BYY11" s="554"/>
      <c r="BYZ11" s="554"/>
      <c r="BZA11" s="554"/>
      <c r="BZB11" s="554"/>
      <c r="BZC11" s="554"/>
      <c r="BZD11" s="554"/>
      <c r="BZE11" s="554"/>
      <c r="BZF11" s="554"/>
      <c r="BZG11" s="554"/>
      <c r="BZH11" s="554"/>
      <c r="BZI11" s="554"/>
      <c r="BZJ11" s="554"/>
      <c r="BZK11" s="554"/>
      <c r="BZL11" s="554"/>
      <c r="BZM11" s="554"/>
      <c r="BZN11" s="554"/>
      <c r="BZO11" s="554"/>
      <c r="BZP11" s="554"/>
      <c r="BZQ11" s="554"/>
      <c r="BZR11" s="554"/>
      <c r="BZS11" s="554"/>
      <c r="BZT11" s="554"/>
      <c r="BZU11" s="554"/>
      <c r="BZV11" s="554"/>
      <c r="BZW11" s="554"/>
      <c r="BZX11" s="554"/>
      <c r="BZY11" s="554"/>
      <c r="BZZ11" s="554"/>
      <c r="CAA11" s="554"/>
      <c r="CAB11" s="554"/>
      <c r="CAC11" s="554"/>
      <c r="CAD11" s="554"/>
      <c r="CAE11" s="554"/>
      <c r="CAF11" s="554"/>
      <c r="CAG11" s="554"/>
      <c r="CAH11" s="554"/>
      <c r="CAI11" s="554"/>
      <c r="CAJ11" s="554"/>
      <c r="CAK11" s="554"/>
      <c r="CAL11" s="554"/>
      <c r="CAM11" s="554"/>
      <c r="CAN11" s="554"/>
      <c r="CAO11" s="554"/>
      <c r="CAP11" s="554"/>
      <c r="CAQ11" s="554"/>
      <c r="CAR11" s="554"/>
      <c r="CAS11" s="554"/>
      <c r="CAT11" s="554"/>
      <c r="CAU11" s="554"/>
      <c r="CAV11" s="554"/>
      <c r="CAW11" s="554"/>
      <c r="CAX11" s="554"/>
      <c r="CAY11" s="554"/>
      <c r="CAZ11" s="554"/>
      <c r="CBA11" s="554"/>
      <c r="CBB11" s="554"/>
      <c r="CBC11" s="554"/>
      <c r="CBD11" s="554"/>
      <c r="CBE11" s="554"/>
      <c r="CBF11" s="554"/>
      <c r="CBG11" s="554"/>
      <c r="CBH11" s="554"/>
      <c r="CBI11" s="554"/>
      <c r="CBJ11" s="554"/>
      <c r="CBK11" s="554"/>
      <c r="CBL11" s="554"/>
      <c r="CBM11" s="554"/>
      <c r="CBN11" s="554"/>
      <c r="CBO11" s="554"/>
      <c r="CBP11" s="554"/>
      <c r="CBQ11" s="554"/>
      <c r="CBR11" s="554"/>
      <c r="CBS11" s="554"/>
      <c r="CBT11" s="554"/>
      <c r="CBU11" s="554"/>
      <c r="CBV11" s="554"/>
      <c r="CBW11" s="554"/>
      <c r="CBX11" s="554"/>
      <c r="CBY11" s="554"/>
      <c r="CBZ11" s="554"/>
      <c r="CCA11" s="554"/>
      <c r="CCB11" s="554"/>
      <c r="CCC11" s="554"/>
      <c r="CCD11" s="554"/>
      <c r="CCE11" s="554"/>
      <c r="CCF11" s="554"/>
      <c r="CCG11" s="554"/>
      <c r="CCH11" s="554"/>
      <c r="CCI11" s="554"/>
      <c r="CCJ11" s="554"/>
      <c r="CCK11" s="554"/>
      <c r="CCL11" s="554"/>
      <c r="CCM11" s="554"/>
      <c r="CCN11" s="554"/>
      <c r="CCO11" s="554"/>
      <c r="CCP11" s="554"/>
      <c r="CCQ11" s="554"/>
      <c r="CCR11" s="554"/>
      <c r="CCS11" s="554"/>
      <c r="CCT11" s="554"/>
      <c r="CCU11" s="554"/>
      <c r="CCV11" s="554"/>
      <c r="CCW11" s="554"/>
      <c r="CCX11" s="554"/>
      <c r="CCY11" s="554"/>
      <c r="CCZ11" s="554"/>
      <c r="CDA11" s="554"/>
      <c r="CDB11" s="554"/>
      <c r="CDC11" s="554"/>
      <c r="CDD11" s="554"/>
      <c r="CDE11" s="554"/>
      <c r="CDF11" s="554"/>
      <c r="CDG11" s="554"/>
      <c r="CDH11" s="554"/>
      <c r="CDI11" s="554"/>
      <c r="CDJ11" s="554"/>
      <c r="CDK11" s="554"/>
      <c r="CDL11" s="554"/>
      <c r="CDM11" s="554"/>
      <c r="CDN11" s="554"/>
      <c r="CDO11" s="554"/>
      <c r="CDP11" s="554"/>
      <c r="CDQ11" s="554"/>
      <c r="CDR11" s="554"/>
      <c r="CDS11" s="554"/>
      <c r="CDT11" s="554"/>
      <c r="CDU11" s="554"/>
      <c r="CDV11" s="554"/>
      <c r="CDW11" s="554"/>
      <c r="CDX11" s="554"/>
      <c r="CDY11" s="554"/>
      <c r="CDZ11" s="554"/>
      <c r="CEA11" s="554"/>
      <c r="CEB11" s="554"/>
      <c r="CEC11" s="554"/>
      <c r="CED11" s="554"/>
      <c r="CEE11" s="554"/>
      <c r="CEF11" s="554"/>
      <c r="CEG11" s="554"/>
      <c r="CEH11" s="554"/>
      <c r="CEI11" s="554"/>
      <c r="CEJ11" s="554"/>
      <c r="CEK11" s="554"/>
      <c r="CEL11" s="554"/>
      <c r="CEM11" s="554"/>
      <c r="CEN11" s="554"/>
      <c r="CEO11" s="554"/>
      <c r="CEP11" s="554"/>
      <c r="CEQ11" s="554"/>
      <c r="CER11" s="554"/>
      <c r="CES11" s="554"/>
      <c r="CET11" s="554"/>
      <c r="CEU11" s="554"/>
      <c r="CEV11" s="554"/>
      <c r="CEW11" s="554"/>
      <c r="CEX11" s="554"/>
      <c r="CEY11" s="554"/>
      <c r="CEZ11" s="554"/>
      <c r="CFA11" s="554"/>
      <c r="CFB11" s="554"/>
      <c r="CFC11" s="554"/>
      <c r="CFD11" s="554"/>
      <c r="CFE11" s="554"/>
      <c r="CFF11" s="554"/>
      <c r="CFG11" s="554"/>
      <c r="CFH11" s="554"/>
      <c r="CFI11" s="554"/>
      <c r="CFJ11" s="554"/>
      <c r="CFK11" s="554"/>
      <c r="CFL11" s="554"/>
      <c r="CFM11" s="554"/>
      <c r="CFN11" s="554"/>
      <c r="CFO11" s="554"/>
      <c r="CFP11" s="554"/>
      <c r="CFQ11" s="554"/>
      <c r="CFR11" s="554"/>
      <c r="CFS11" s="554"/>
      <c r="CFT11" s="554"/>
      <c r="CFU11" s="554"/>
      <c r="CFV11" s="554"/>
      <c r="CFW11" s="554"/>
      <c r="CFX11" s="554"/>
      <c r="CFY11" s="554"/>
      <c r="CFZ11" s="554"/>
      <c r="CGA11" s="554"/>
      <c r="CGB11" s="554"/>
      <c r="CGC11" s="554"/>
      <c r="CGD11" s="554"/>
      <c r="CGE11" s="554"/>
      <c r="CGF11" s="554"/>
      <c r="CGG11" s="554"/>
      <c r="CGH11" s="554"/>
      <c r="CGI11" s="554"/>
      <c r="CGJ11" s="554"/>
      <c r="CGK11" s="554"/>
      <c r="CGL11" s="554"/>
      <c r="CGM11" s="554"/>
      <c r="CGN11" s="554"/>
      <c r="CGO11" s="554"/>
      <c r="CGP11" s="554"/>
      <c r="CGQ11" s="554"/>
      <c r="CGR11" s="554"/>
      <c r="CGS11" s="554"/>
      <c r="CGT11" s="554"/>
      <c r="CGU11" s="554"/>
      <c r="CGV11" s="554"/>
      <c r="CGW11" s="554"/>
      <c r="CGX11" s="554"/>
      <c r="CGY11" s="554"/>
      <c r="CGZ11" s="554"/>
      <c r="CHA11" s="554"/>
      <c r="CHB11" s="554"/>
      <c r="CHC11" s="554"/>
      <c r="CHD11" s="554"/>
      <c r="CHE11" s="554"/>
      <c r="CHF11" s="554"/>
      <c r="CHG11" s="554"/>
      <c r="CHH11" s="554"/>
      <c r="CHI11" s="554"/>
      <c r="CHJ11" s="554"/>
      <c r="CHK11" s="554"/>
      <c r="CHL11" s="554"/>
      <c r="CHM11" s="554"/>
      <c r="CHN11" s="554"/>
      <c r="CHO11" s="554"/>
      <c r="CHP11" s="554"/>
      <c r="CHQ11" s="554"/>
      <c r="CHR11" s="554"/>
      <c r="CHS11" s="554"/>
      <c r="CHT11" s="554"/>
      <c r="CHU11" s="554"/>
      <c r="CHV11" s="554"/>
      <c r="CHW11" s="554"/>
      <c r="CHX11" s="554"/>
      <c r="CHY11" s="554"/>
      <c r="CHZ11" s="554"/>
      <c r="CIA11" s="554"/>
      <c r="CIB11" s="554"/>
      <c r="CIC11" s="554"/>
      <c r="CID11" s="554"/>
      <c r="CIE11" s="554"/>
      <c r="CIF11" s="554"/>
      <c r="CIG11" s="554"/>
      <c r="CIH11" s="554"/>
      <c r="CII11" s="554"/>
      <c r="CIJ11" s="554"/>
      <c r="CIK11" s="554"/>
      <c r="CIL11" s="554"/>
      <c r="CIM11" s="554"/>
      <c r="CIN11" s="554"/>
      <c r="CIO11" s="554"/>
      <c r="CIP11" s="554"/>
      <c r="CIQ11" s="554"/>
      <c r="CIR11" s="554"/>
      <c r="CIS11" s="554"/>
      <c r="CIT11" s="554"/>
      <c r="CIU11" s="554"/>
      <c r="CIV11" s="554"/>
      <c r="CIW11" s="554"/>
      <c r="CIX11" s="554"/>
      <c r="CIY11" s="554"/>
      <c r="CIZ11" s="554"/>
      <c r="CJA11" s="554"/>
      <c r="CJB11" s="554"/>
      <c r="CJC11" s="554"/>
      <c r="CJD11" s="554"/>
      <c r="CJE11" s="554"/>
      <c r="CJF11" s="554"/>
      <c r="CJG11" s="554"/>
      <c r="CJH11" s="554"/>
      <c r="CJI11" s="554"/>
      <c r="CJJ11" s="554"/>
      <c r="CJK11" s="554"/>
      <c r="CJL11" s="554"/>
      <c r="CJM11" s="554"/>
      <c r="CJN11" s="554"/>
      <c r="CJO11" s="554"/>
      <c r="CJP11" s="554"/>
      <c r="CJQ11" s="554"/>
      <c r="CJR11" s="554"/>
      <c r="CJS11" s="554"/>
      <c r="CJT11" s="554"/>
      <c r="CJU11" s="554"/>
      <c r="CJV11" s="554"/>
      <c r="CJW11" s="554"/>
      <c r="CJX11" s="554"/>
      <c r="CJY11" s="554"/>
      <c r="CJZ11" s="554"/>
      <c r="CKA11" s="554"/>
      <c r="CKB11" s="554"/>
      <c r="CKC11" s="554"/>
      <c r="CKD11" s="554"/>
      <c r="CKE11" s="554"/>
      <c r="CKF11" s="554"/>
      <c r="CKG11" s="554"/>
      <c r="CKH11" s="554"/>
      <c r="CKI11" s="554"/>
      <c r="CKJ11" s="554"/>
      <c r="CKK11" s="554"/>
      <c r="CKL11" s="554"/>
      <c r="CKM11" s="554"/>
      <c r="CKN11" s="554"/>
      <c r="CKO11" s="554"/>
      <c r="CKP11" s="554"/>
      <c r="CKQ11" s="554"/>
      <c r="CKR11" s="554"/>
      <c r="CKS11" s="554"/>
      <c r="CKT11" s="554"/>
      <c r="CKU11" s="554"/>
      <c r="CKV11" s="554"/>
      <c r="CKW11" s="554"/>
      <c r="CKX11" s="554"/>
      <c r="CKY11" s="554"/>
      <c r="CKZ11" s="554"/>
      <c r="CLA11" s="554"/>
      <c r="CLB11" s="554"/>
      <c r="CLC11" s="554"/>
      <c r="CLD11" s="554"/>
      <c r="CLE11" s="554"/>
      <c r="CLF11" s="554"/>
      <c r="CLG11" s="554"/>
      <c r="CLH11" s="554"/>
      <c r="CLI11" s="554"/>
      <c r="CLJ11" s="554"/>
      <c r="CLK11" s="554"/>
      <c r="CLL11" s="554"/>
      <c r="CLM11" s="554"/>
      <c r="CLN11" s="554"/>
      <c r="CLO11" s="554"/>
      <c r="CLP11" s="554"/>
      <c r="CLQ11" s="554"/>
      <c r="CLR11" s="554"/>
      <c r="CLS11" s="554"/>
      <c r="CLT11" s="554"/>
      <c r="CLU11" s="554"/>
      <c r="CLV11" s="554"/>
      <c r="CLW11" s="554"/>
      <c r="CLX11" s="554"/>
      <c r="CLY11" s="554"/>
      <c r="CLZ11" s="554"/>
      <c r="CMA11" s="554"/>
      <c r="CMB11" s="554"/>
      <c r="CMC11" s="554"/>
      <c r="CMD11" s="554"/>
      <c r="CME11" s="554"/>
      <c r="CMF11" s="554"/>
      <c r="CMG11" s="554"/>
      <c r="CMH11" s="554"/>
      <c r="CMI11" s="554"/>
      <c r="CMJ11" s="554"/>
      <c r="CMK11" s="554"/>
      <c r="CML11" s="554"/>
      <c r="CMM11" s="554"/>
      <c r="CMN11" s="554"/>
      <c r="CMO11" s="554"/>
      <c r="CMP11" s="554"/>
      <c r="CMQ11" s="554"/>
      <c r="CMR11" s="554"/>
      <c r="CMS11" s="554"/>
      <c r="CMT11" s="554"/>
      <c r="CMU11" s="554"/>
      <c r="CMV11" s="554"/>
      <c r="CMW11" s="554"/>
      <c r="CMX11" s="554"/>
      <c r="CMY11" s="554"/>
      <c r="CMZ11" s="554"/>
      <c r="CNA11" s="554"/>
      <c r="CNB11" s="554"/>
      <c r="CNC11" s="554"/>
      <c r="CND11" s="554"/>
      <c r="CNE11" s="554"/>
      <c r="CNF11" s="554"/>
      <c r="CNG11" s="554"/>
      <c r="CNH11" s="554"/>
      <c r="CNI11" s="554"/>
      <c r="CNJ11" s="554"/>
      <c r="CNK11" s="554"/>
      <c r="CNL11" s="554"/>
      <c r="CNM11" s="554"/>
      <c r="CNN11" s="554"/>
      <c r="CNO11" s="554"/>
      <c r="CNP11" s="554"/>
      <c r="CNQ11" s="554"/>
      <c r="CNR11" s="554"/>
      <c r="CNS11" s="554"/>
      <c r="CNT11" s="554"/>
      <c r="CNU11" s="554"/>
      <c r="CNV11" s="554"/>
      <c r="CNW11" s="554"/>
      <c r="CNX11" s="554"/>
      <c r="CNY11" s="554"/>
      <c r="CNZ11" s="554"/>
      <c r="COA11" s="554"/>
      <c r="COB11" s="554"/>
      <c r="COC11" s="554"/>
      <c r="COD11" s="554"/>
      <c r="COE11" s="554"/>
      <c r="COF11" s="554"/>
      <c r="COG11" s="554"/>
      <c r="COH11" s="554"/>
      <c r="COI11" s="554"/>
      <c r="COJ11" s="554"/>
      <c r="COK11" s="554"/>
      <c r="COL11" s="554"/>
      <c r="COM11" s="554"/>
      <c r="CON11" s="554"/>
      <c r="COO11" s="554"/>
      <c r="COP11" s="554"/>
      <c r="COQ11" s="554"/>
      <c r="COR11" s="554"/>
      <c r="COS11" s="554"/>
      <c r="COT11" s="554"/>
      <c r="COU11" s="554"/>
      <c r="COV11" s="554"/>
      <c r="COW11" s="554"/>
      <c r="COX11" s="554"/>
      <c r="COY11" s="554"/>
      <c r="COZ11" s="554"/>
      <c r="CPA11" s="554"/>
      <c r="CPB11" s="554"/>
      <c r="CPC11" s="554"/>
      <c r="CPD11" s="554"/>
      <c r="CPE11" s="554"/>
      <c r="CPF11" s="554"/>
      <c r="CPG11" s="554"/>
      <c r="CPH11" s="554"/>
      <c r="CPI11" s="554"/>
      <c r="CPJ11" s="554"/>
      <c r="CPK11" s="554"/>
      <c r="CPL11" s="554"/>
      <c r="CPM11" s="554"/>
      <c r="CPN11" s="554"/>
      <c r="CPO11" s="554"/>
      <c r="CPP11" s="554"/>
      <c r="CPQ11" s="554"/>
      <c r="CPR11" s="554"/>
      <c r="CPS11" s="554"/>
      <c r="CPT11" s="554"/>
      <c r="CPU11" s="554"/>
      <c r="CPV11" s="554"/>
      <c r="CPW11" s="554"/>
      <c r="CPX11" s="554"/>
      <c r="CPY11" s="554"/>
      <c r="CPZ11" s="554"/>
      <c r="CQA11" s="554"/>
      <c r="CQB11" s="554"/>
      <c r="CQC11" s="554"/>
      <c r="CQD11" s="554"/>
      <c r="CQE11" s="554"/>
      <c r="CQF11" s="554"/>
      <c r="CQG11" s="554"/>
      <c r="CQH11" s="554"/>
      <c r="CQI11" s="554"/>
      <c r="CQJ11" s="554"/>
      <c r="CQK11" s="554"/>
      <c r="CQL11" s="554"/>
      <c r="CQM11" s="554"/>
      <c r="CQN11" s="554"/>
      <c r="CQO11" s="554"/>
      <c r="CQP11" s="554"/>
      <c r="CQQ11" s="554"/>
      <c r="CQR11" s="554"/>
      <c r="CQS11" s="554"/>
      <c r="CQT11" s="554"/>
      <c r="CQU11" s="554"/>
      <c r="CQV11" s="554"/>
      <c r="CQW11" s="554"/>
      <c r="CQX11" s="554"/>
      <c r="CQY11" s="554"/>
      <c r="CQZ11" s="554"/>
      <c r="CRA11" s="554"/>
      <c r="CRB11" s="554"/>
      <c r="CRC11" s="554"/>
      <c r="CRD11" s="554"/>
      <c r="CRE11" s="554"/>
      <c r="CRF11" s="554"/>
      <c r="CRG11" s="554"/>
      <c r="CRH11" s="554"/>
      <c r="CRI11" s="554"/>
      <c r="CRJ11" s="554"/>
      <c r="CRK11" s="554"/>
      <c r="CRL11" s="554"/>
      <c r="CRM11" s="554"/>
      <c r="CRN11" s="554"/>
      <c r="CRO11" s="554"/>
      <c r="CRP11" s="554"/>
      <c r="CRQ11" s="554"/>
      <c r="CRR11" s="554"/>
      <c r="CRS11" s="554"/>
      <c r="CRT11" s="554"/>
      <c r="CRU11" s="554"/>
      <c r="CRV11" s="554"/>
      <c r="CRW11" s="554"/>
      <c r="CRX11" s="554"/>
      <c r="CRY11" s="554"/>
      <c r="CRZ11" s="554"/>
      <c r="CSA11" s="554"/>
      <c r="CSB11" s="554"/>
      <c r="CSC11" s="554"/>
      <c r="CSD11" s="554"/>
      <c r="CSE11" s="554"/>
      <c r="CSF11" s="554"/>
      <c r="CSG11" s="554"/>
      <c r="CSH11" s="554"/>
      <c r="CSI11" s="554"/>
      <c r="CSJ11" s="554"/>
      <c r="CSK11" s="554"/>
      <c r="CSL11" s="554"/>
      <c r="CSM11" s="554"/>
      <c r="CSN11" s="554"/>
      <c r="CSO11" s="554"/>
      <c r="CSP11" s="554"/>
      <c r="CSQ11" s="554"/>
      <c r="CSR11" s="554"/>
      <c r="CSS11" s="554"/>
      <c r="CST11" s="554"/>
      <c r="CSU11" s="554"/>
      <c r="CSV11" s="554"/>
      <c r="CSW11" s="554"/>
      <c r="CSX11" s="554"/>
      <c r="CSY11" s="554"/>
      <c r="CSZ11" s="554"/>
      <c r="CTA11" s="554"/>
      <c r="CTB11" s="554"/>
      <c r="CTC11" s="554"/>
      <c r="CTD11" s="554"/>
      <c r="CTE11" s="554"/>
      <c r="CTF11" s="554"/>
      <c r="CTG11" s="554"/>
      <c r="CTH11" s="554"/>
      <c r="CTI11" s="554"/>
      <c r="CTJ11" s="554"/>
      <c r="CTK11" s="554"/>
      <c r="CTL11" s="554"/>
      <c r="CTM11" s="554"/>
      <c r="CTN11" s="554"/>
      <c r="CTO11" s="554"/>
      <c r="CTP11" s="554"/>
      <c r="CTQ11" s="554"/>
      <c r="CTR11" s="554"/>
      <c r="CTS11" s="554"/>
      <c r="CTT11" s="554"/>
      <c r="CTU11" s="554"/>
      <c r="CTV11" s="554"/>
      <c r="CTW11" s="554"/>
      <c r="CTX11" s="554"/>
      <c r="CTY11" s="554"/>
      <c r="CTZ11" s="554"/>
      <c r="CUA11" s="554"/>
      <c r="CUB11" s="554"/>
      <c r="CUC11" s="554"/>
      <c r="CUD11" s="554"/>
      <c r="CUE11" s="554"/>
      <c r="CUF11" s="554"/>
      <c r="CUG11" s="554"/>
      <c r="CUH11" s="554"/>
      <c r="CUI11" s="554"/>
      <c r="CUJ11" s="554"/>
      <c r="CUK11" s="554"/>
      <c r="CUL11" s="554"/>
      <c r="CUM11" s="554"/>
      <c r="CUN11" s="554"/>
      <c r="CUO11" s="554"/>
      <c r="CUP11" s="554"/>
      <c r="CUQ11" s="554"/>
      <c r="CUR11" s="554"/>
      <c r="CUS11" s="554"/>
      <c r="CUT11" s="554"/>
      <c r="CUU11" s="554"/>
      <c r="CUV11" s="554"/>
      <c r="CUW11" s="554"/>
      <c r="CUX11" s="554"/>
      <c r="CUY11" s="554"/>
      <c r="CUZ11" s="554"/>
      <c r="CVA11" s="554"/>
      <c r="CVB11" s="554"/>
      <c r="CVC11" s="554"/>
      <c r="CVD11" s="554"/>
      <c r="CVE11" s="554"/>
      <c r="CVF11" s="554"/>
      <c r="CVG11" s="554"/>
      <c r="CVH11" s="554"/>
      <c r="CVI11" s="554"/>
      <c r="CVJ11" s="554"/>
      <c r="CVK11" s="554"/>
      <c r="CVL11" s="554"/>
      <c r="CVM11" s="554"/>
      <c r="CVN11" s="554"/>
      <c r="CVO11" s="554"/>
      <c r="CVP11" s="554"/>
      <c r="CVQ11" s="554"/>
      <c r="CVR11" s="554"/>
      <c r="CVS11" s="554"/>
      <c r="CVT11" s="554"/>
      <c r="CVU11" s="554"/>
      <c r="CVV11" s="554"/>
      <c r="CVW11" s="554"/>
      <c r="CVX11" s="554"/>
      <c r="CVY11" s="554"/>
      <c r="CVZ11" s="554"/>
      <c r="CWA11" s="554"/>
      <c r="CWB11" s="554"/>
      <c r="CWC11" s="554"/>
      <c r="CWD11" s="554"/>
      <c r="CWE11" s="554"/>
      <c r="CWF11" s="554"/>
      <c r="CWG11" s="554"/>
      <c r="CWH11" s="554"/>
      <c r="CWI11" s="554"/>
      <c r="CWJ11" s="554"/>
      <c r="CWK11" s="554"/>
      <c r="CWL11" s="554"/>
      <c r="CWM11" s="554"/>
      <c r="CWN11" s="554"/>
      <c r="CWO11" s="554"/>
      <c r="CWP11" s="554"/>
      <c r="CWQ11" s="554"/>
      <c r="CWR11" s="554"/>
      <c r="CWS11" s="554"/>
      <c r="CWT11" s="554"/>
      <c r="CWU11" s="554"/>
      <c r="CWV11" s="554"/>
      <c r="CWW11" s="554"/>
      <c r="CWX11" s="554"/>
      <c r="CWY11" s="554"/>
      <c r="CWZ11" s="554"/>
      <c r="CXA11" s="554"/>
      <c r="CXB11" s="554"/>
      <c r="CXC11" s="554"/>
      <c r="CXD11" s="554"/>
      <c r="CXE11" s="554"/>
      <c r="CXF11" s="554"/>
      <c r="CXG11" s="554"/>
      <c r="CXH11" s="554"/>
      <c r="CXI11" s="554"/>
      <c r="CXJ11" s="554"/>
      <c r="CXK11" s="554"/>
      <c r="CXL11" s="554"/>
      <c r="CXM11" s="554"/>
      <c r="CXN11" s="554"/>
      <c r="CXO11" s="554"/>
      <c r="CXP11" s="554"/>
      <c r="CXQ11" s="554"/>
      <c r="CXR11" s="554"/>
      <c r="CXS11" s="554"/>
      <c r="CXT11" s="554"/>
      <c r="CXU11" s="554"/>
      <c r="CXV11" s="554"/>
      <c r="CXW11" s="554"/>
      <c r="CXX11" s="554"/>
      <c r="CXY11" s="554"/>
      <c r="CXZ11" s="554"/>
      <c r="CYA11" s="554"/>
      <c r="CYB11" s="554"/>
      <c r="CYC11" s="554"/>
      <c r="CYD11" s="554"/>
      <c r="CYE11" s="554"/>
      <c r="CYF11" s="554"/>
      <c r="CYG11" s="554"/>
      <c r="CYH11" s="554"/>
      <c r="CYI11" s="554"/>
      <c r="CYJ11" s="554"/>
      <c r="CYK11" s="554"/>
      <c r="CYL11" s="554"/>
      <c r="CYM11" s="554"/>
      <c r="CYN11" s="554"/>
      <c r="CYO11" s="554"/>
      <c r="CYP11" s="554"/>
      <c r="CYQ11" s="554"/>
      <c r="CYR11" s="554"/>
      <c r="CYS11" s="554"/>
      <c r="CYT11" s="554"/>
      <c r="CYU11" s="554"/>
      <c r="CYV11" s="554"/>
      <c r="CYW11" s="554"/>
      <c r="CYX11" s="554"/>
      <c r="CYY11" s="554"/>
      <c r="CYZ11" s="554"/>
      <c r="CZA11" s="554"/>
      <c r="CZB11" s="554"/>
      <c r="CZC11" s="554"/>
      <c r="CZD11" s="554"/>
      <c r="CZE11" s="554"/>
      <c r="CZF11" s="554"/>
      <c r="CZG11" s="554"/>
      <c r="CZH11" s="554"/>
      <c r="CZI11" s="554"/>
      <c r="CZJ11" s="554"/>
      <c r="CZK11" s="554"/>
      <c r="CZL11" s="554"/>
      <c r="CZM11" s="554"/>
      <c r="CZN11" s="554"/>
      <c r="CZO11" s="554"/>
      <c r="CZP11" s="554"/>
      <c r="CZQ11" s="554"/>
      <c r="CZR11" s="554"/>
      <c r="CZS11" s="554"/>
      <c r="CZT11" s="554"/>
      <c r="CZU11" s="554"/>
      <c r="CZV11" s="554"/>
      <c r="CZW11" s="554"/>
      <c r="CZX11" s="554"/>
      <c r="CZY11" s="554"/>
      <c r="CZZ11" s="554"/>
      <c r="DAA11" s="554"/>
      <c r="DAB11" s="554"/>
      <c r="DAC11" s="554"/>
      <c r="DAD11" s="554"/>
      <c r="DAE11" s="554"/>
      <c r="DAF11" s="554"/>
      <c r="DAG11" s="554"/>
      <c r="DAH11" s="554"/>
      <c r="DAI11" s="554"/>
      <c r="DAJ11" s="554"/>
      <c r="DAK11" s="554"/>
      <c r="DAL11" s="554"/>
      <c r="DAM11" s="554"/>
      <c r="DAN11" s="554"/>
      <c r="DAO11" s="554"/>
      <c r="DAP11" s="554"/>
      <c r="DAQ11" s="554"/>
      <c r="DAR11" s="554"/>
      <c r="DAS11" s="554"/>
      <c r="DAT11" s="554"/>
      <c r="DAU11" s="554"/>
      <c r="DAV11" s="554"/>
      <c r="DAW11" s="554"/>
      <c r="DAX11" s="554"/>
      <c r="DAY11" s="554"/>
      <c r="DAZ11" s="554"/>
      <c r="DBA11" s="554"/>
      <c r="DBB11" s="554"/>
      <c r="DBC11" s="554"/>
      <c r="DBD11" s="554"/>
      <c r="DBE11" s="554"/>
      <c r="DBF11" s="554"/>
      <c r="DBG11" s="554"/>
      <c r="DBH11" s="554"/>
      <c r="DBI11" s="554"/>
      <c r="DBJ11" s="554"/>
      <c r="DBK11" s="554"/>
      <c r="DBL11" s="554"/>
      <c r="DBM11" s="554"/>
      <c r="DBN11" s="554"/>
      <c r="DBO11" s="554"/>
      <c r="DBP11" s="554"/>
      <c r="DBQ11" s="554"/>
      <c r="DBR11" s="554"/>
      <c r="DBS11" s="554"/>
      <c r="DBT11" s="554"/>
      <c r="DBU11" s="554"/>
      <c r="DBV11" s="554"/>
      <c r="DBW11" s="554"/>
      <c r="DBX11" s="554"/>
      <c r="DBY11" s="554"/>
      <c r="DBZ11" s="554"/>
      <c r="DCA11" s="554"/>
      <c r="DCB11" s="554"/>
      <c r="DCC11" s="554"/>
      <c r="DCD11" s="554"/>
      <c r="DCE11" s="554"/>
      <c r="DCF11" s="554"/>
      <c r="DCG11" s="554"/>
      <c r="DCH11" s="554"/>
      <c r="DCI11" s="554"/>
      <c r="DCJ11" s="554"/>
      <c r="DCK11" s="554"/>
      <c r="DCL11" s="554"/>
      <c r="DCM11" s="554"/>
      <c r="DCN11" s="554"/>
      <c r="DCO11" s="554"/>
      <c r="DCP11" s="554"/>
      <c r="DCQ11" s="554"/>
      <c r="DCR11" s="554"/>
      <c r="DCS11" s="554"/>
      <c r="DCT11" s="554"/>
      <c r="DCU11" s="554"/>
      <c r="DCV11" s="554"/>
      <c r="DCW11" s="554"/>
      <c r="DCX11" s="554"/>
      <c r="DCY11" s="554"/>
      <c r="DCZ11" s="554"/>
      <c r="DDA11" s="554"/>
      <c r="DDB11" s="554"/>
      <c r="DDC11" s="554"/>
      <c r="DDD11" s="554"/>
      <c r="DDE11" s="554"/>
      <c r="DDF11" s="554"/>
      <c r="DDG11" s="554"/>
      <c r="DDH11" s="554"/>
      <c r="DDI11" s="554"/>
      <c r="DDJ11" s="554"/>
      <c r="DDK11" s="554"/>
      <c r="DDL11" s="554"/>
      <c r="DDM11" s="554"/>
      <c r="DDN11" s="554"/>
      <c r="DDO11" s="554"/>
      <c r="DDP11" s="554"/>
      <c r="DDQ11" s="554"/>
      <c r="DDR11" s="554"/>
      <c r="DDS11" s="554"/>
      <c r="DDT11" s="554"/>
      <c r="DDU11" s="554"/>
      <c r="DDV11" s="554"/>
      <c r="DDW11" s="554"/>
      <c r="DDX11" s="554"/>
      <c r="DDY11" s="554"/>
      <c r="DDZ11" s="554"/>
      <c r="DEA11" s="554"/>
      <c r="DEB11" s="554"/>
      <c r="DEC11" s="554"/>
      <c r="DED11" s="554"/>
      <c r="DEE11" s="554"/>
      <c r="DEF11" s="554"/>
      <c r="DEG11" s="554"/>
      <c r="DEH11" s="554"/>
      <c r="DEI11" s="554"/>
      <c r="DEJ11" s="554"/>
      <c r="DEK11" s="554"/>
      <c r="DEL11" s="554"/>
      <c r="DEM11" s="554"/>
      <c r="DEN11" s="554"/>
      <c r="DEO11" s="554"/>
      <c r="DEP11" s="554"/>
      <c r="DEQ11" s="554"/>
      <c r="DER11" s="554"/>
      <c r="DES11" s="554"/>
      <c r="DET11" s="554"/>
      <c r="DEU11" s="554"/>
      <c r="DEV11" s="554"/>
      <c r="DEW11" s="554"/>
      <c r="DEX11" s="554"/>
      <c r="DEY11" s="554"/>
      <c r="DEZ11" s="554"/>
      <c r="DFA11" s="554"/>
      <c r="DFB11" s="554"/>
      <c r="DFC11" s="554"/>
      <c r="DFD11" s="554"/>
      <c r="DFE11" s="554"/>
      <c r="DFF11" s="554"/>
      <c r="DFG11" s="554"/>
      <c r="DFH11" s="554"/>
      <c r="DFI11" s="554"/>
      <c r="DFJ11" s="554"/>
      <c r="DFK11" s="554"/>
      <c r="DFL11" s="554"/>
      <c r="DFM11" s="554"/>
      <c r="DFN11" s="554"/>
      <c r="DFO11" s="554"/>
      <c r="DFP11" s="554"/>
      <c r="DFQ11" s="554"/>
      <c r="DFR11" s="554"/>
      <c r="DFS11" s="554"/>
      <c r="DFT11" s="554"/>
      <c r="DFU11" s="554"/>
      <c r="DFV11" s="554"/>
      <c r="DFW11" s="554"/>
      <c r="DFX11" s="554"/>
      <c r="DFY11" s="554"/>
      <c r="DFZ11" s="554"/>
      <c r="DGA11" s="554"/>
      <c r="DGB11" s="554"/>
      <c r="DGC11" s="554"/>
      <c r="DGD11" s="554"/>
      <c r="DGE11" s="554"/>
      <c r="DGF11" s="554"/>
      <c r="DGG11" s="554"/>
      <c r="DGH11" s="554"/>
      <c r="DGI11" s="554"/>
      <c r="DGJ11" s="554"/>
      <c r="DGK11" s="554"/>
      <c r="DGL11" s="554"/>
      <c r="DGM11" s="554"/>
      <c r="DGN11" s="554"/>
      <c r="DGO11" s="554"/>
      <c r="DGP11" s="554"/>
      <c r="DGQ11" s="554"/>
      <c r="DGR11" s="554"/>
      <c r="DGS11" s="554"/>
      <c r="DGT11" s="554"/>
      <c r="DGU11" s="554"/>
      <c r="DGV11" s="554"/>
      <c r="DGW11" s="554"/>
      <c r="DGX11" s="554"/>
      <c r="DGY11" s="554"/>
      <c r="DGZ11" s="554"/>
      <c r="DHA11" s="554"/>
      <c r="DHB11" s="554"/>
      <c r="DHC11" s="554"/>
      <c r="DHD11" s="554"/>
      <c r="DHE11" s="554"/>
      <c r="DHF11" s="554"/>
      <c r="DHG11" s="554"/>
      <c r="DHH11" s="554"/>
      <c r="DHI11" s="554"/>
      <c r="DHJ11" s="554"/>
      <c r="DHK11" s="554"/>
      <c r="DHL11" s="554"/>
      <c r="DHM11" s="554"/>
      <c r="DHN11" s="554"/>
      <c r="DHO11" s="554"/>
      <c r="DHP11" s="554"/>
      <c r="DHQ11" s="554"/>
      <c r="DHR11" s="554"/>
      <c r="DHS11" s="554"/>
      <c r="DHT11" s="554"/>
      <c r="DHU11" s="554"/>
      <c r="DHV11" s="554"/>
      <c r="DHW11" s="554"/>
      <c r="DHX11" s="554"/>
      <c r="DHY11" s="554"/>
      <c r="DHZ11" s="554"/>
      <c r="DIA11" s="554"/>
      <c r="DIB11" s="554"/>
      <c r="DIC11" s="554"/>
      <c r="DID11" s="554"/>
      <c r="DIE11" s="554"/>
      <c r="DIF11" s="554"/>
      <c r="DIG11" s="554"/>
      <c r="DIH11" s="554"/>
      <c r="DII11" s="554"/>
      <c r="DIJ11" s="554"/>
      <c r="DIK11" s="554"/>
      <c r="DIL11" s="554"/>
      <c r="DIM11" s="554"/>
      <c r="DIN11" s="554"/>
      <c r="DIO11" s="554"/>
      <c r="DIP11" s="554"/>
      <c r="DIQ11" s="554"/>
      <c r="DIR11" s="554"/>
      <c r="DIS11" s="554"/>
      <c r="DIT11" s="554"/>
      <c r="DIU11" s="554"/>
      <c r="DIV11" s="554"/>
      <c r="DIW11" s="554"/>
      <c r="DIX11" s="554"/>
      <c r="DIY11" s="554"/>
      <c r="DIZ11" s="554"/>
      <c r="DJA11" s="554"/>
      <c r="DJB11" s="554"/>
      <c r="DJC11" s="554"/>
      <c r="DJD11" s="554"/>
      <c r="DJE11" s="554"/>
      <c r="DJF11" s="554"/>
      <c r="DJG11" s="554"/>
      <c r="DJH11" s="554"/>
      <c r="DJI11" s="554"/>
      <c r="DJJ11" s="554"/>
      <c r="DJK11" s="554"/>
      <c r="DJL11" s="554"/>
      <c r="DJM11" s="554"/>
      <c r="DJN11" s="554"/>
      <c r="DJO11" s="554"/>
      <c r="DJP11" s="554"/>
      <c r="DJQ11" s="554"/>
      <c r="DJR11" s="554"/>
      <c r="DJS11" s="554"/>
      <c r="DJT11" s="554"/>
      <c r="DJU11" s="554"/>
      <c r="DJV11" s="554"/>
      <c r="DJW11" s="554"/>
      <c r="DJX11" s="554"/>
      <c r="DJY11" s="554"/>
      <c r="DJZ11" s="554"/>
      <c r="DKA11" s="554"/>
      <c r="DKB11" s="554"/>
      <c r="DKC11" s="554"/>
      <c r="DKD11" s="554"/>
      <c r="DKE11" s="554"/>
      <c r="DKF11" s="554"/>
      <c r="DKG11" s="554"/>
      <c r="DKH11" s="554"/>
      <c r="DKI11" s="554"/>
      <c r="DKJ11" s="554"/>
      <c r="DKK11" s="554"/>
      <c r="DKL11" s="554"/>
      <c r="DKM11" s="554"/>
      <c r="DKN11" s="554"/>
      <c r="DKO11" s="554"/>
      <c r="DKP11" s="554"/>
      <c r="DKQ11" s="554"/>
      <c r="DKR11" s="554"/>
      <c r="DKS11" s="554"/>
      <c r="DKT11" s="554"/>
      <c r="DKU11" s="554"/>
      <c r="DKV11" s="554"/>
      <c r="DKW11" s="554"/>
      <c r="DKX11" s="554"/>
      <c r="DKY11" s="554"/>
      <c r="DKZ11" s="554"/>
      <c r="DLA11" s="554"/>
      <c r="DLB11" s="554"/>
      <c r="DLC11" s="554"/>
      <c r="DLD11" s="554"/>
      <c r="DLE11" s="554"/>
      <c r="DLF11" s="554"/>
      <c r="DLG11" s="554"/>
      <c r="DLH11" s="554"/>
      <c r="DLI11" s="554"/>
      <c r="DLJ11" s="554"/>
      <c r="DLK11" s="554"/>
      <c r="DLL11" s="554"/>
      <c r="DLM11" s="554"/>
      <c r="DLN11" s="554"/>
      <c r="DLO11" s="554"/>
      <c r="DLP11" s="554"/>
      <c r="DLQ11" s="554"/>
      <c r="DLR11" s="554"/>
      <c r="DLS11" s="554"/>
      <c r="DLT11" s="554"/>
      <c r="DLU11" s="554"/>
      <c r="DLV11" s="554"/>
      <c r="DLW11" s="554"/>
      <c r="DLX11" s="554"/>
      <c r="DLY11" s="554"/>
      <c r="DLZ11" s="554"/>
      <c r="DMA11" s="554"/>
      <c r="DMB11" s="554"/>
      <c r="DMC11" s="554"/>
      <c r="DMD11" s="554"/>
      <c r="DME11" s="554"/>
      <c r="DMF11" s="554"/>
      <c r="DMG11" s="554"/>
      <c r="DMH11" s="554"/>
      <c r="DMI11" s="554"/>
      <c r="DMJ11" s="554"/>
      <c r="DMK11" s="554"/>
      <c r="DML11" s="554"/>
      <c r="DMM11" s="554"/>
      <c r="DMN11" s="554"/>
      <c r="DMO11" s="554"/>
      <c r="DMP11" s="554"/>
      <c r="DMQ11" s="554"/>
      <c r="DMR11" s="554"/>
      <c r="DMS11" s="554"/>
      <c r="DMT11" s="554"/>
      <c r="DMU11" s="554"/>
      <c r="DMV11" s="554"/>
      <c r="DMW11" s="554"/>
      <c r="DMX11" s="554"/>
      <c r="DMY11" s="554"/>
      <c r="DMZ11" s="554"/>
      <c r="DNA11" s="554"/>
      <c r="DNB11" s="554"/>
      <c r="DNC11" s="554"/>
      <c r="DND11" s="554"/>
      <c r="DNE11" s="554"/>
      <c r="DNF11" s="554"/>
      <c r="DNG11" s="554"/>
      <c r="DNH11" s="554"/>
      <c r="DNI11" s="554"/>
      <c r="DNJ11" s="554"/>
      <c r="DNK11" s="554"/>
      <c r="DNL11" s="554"/>
      <c r="DNM11" s="554"/>
      <c r="DNN11" s="554"/>
      <c r="DNO11" s="554"/>
      <c r="DNP11" s="554"/>
      <c r="DNQ11" s="554"/>
      <c r="DNR11" s="554"/>
      <c r="DNS11" s="554"/>
      <c r="DNT11" s="554"/>
      <c r="DNU11" s="554"/>
      <c r="DNV11" s="554"/>
      <c r="DNW11" s="554"/>
      <c r="DNX11" s="554"/>
      <c r="DNY11" s="554"/>
      <c r="DNZ11" s="554"/>
      <c r="DOA11" s="554"/>
      <c r="DOB11" s="554"/>
      <c r="DOC11" s="554"/>
      <c r="DOD11" s="554"/>
      <c r="DOE11" s="554"/>
      <c r="DOF11" s="554"/>
      <c r="DOG11" s="554"/>
      <c r="DOH11" s="554"/>
      <c r="DOI11" s="554"/>
      <c r="DOJ11" s="554"/>
      <c r="DOK11" s="554"/>
      <c r="DOL11" s="554"/>
      <c r="DOM11" s="554"/>
      <c r="DON11" s="554"/>
      <c r="DOO11" s="554"/>
      <c r="DOP11" s="554"/>
      <c r="DOQ11" s="554"/>
      <c r="DOR11" s="554"/>
      <c r="DOS11" s="554"/>
      <c r="DOT11" s="554"/>
      <c r="DOU11" s="554"/>
      <c r="DOV11" s="554"/>
      <c r="DOW11" s="554"/>
      <c r="DOX11" s="554"/>
      <c r="DOY11" s="554"/>
      <c r="DOZ11" s="554"/>
      <c r="DPA11" s="554"/>
      <c r="DPB11" s="554"/>
      <c r="DPC11" s="554"/>
      <c r="DPD11" s="554"/>
      <c r="DPE11" s="554"/>
      <c r="DPF11" s="554"/>
      <c r="DPG11" s="554"/>
      <c r="DPH11" s="554"/>
      <c r="DPI11" s="554"/>
      <c r="DPJ11" s="554"/>
      <c r="DPK11" s="554"/>
      <c r="DPL11" s="554"/>
      <c r="DPM11" s="554"/>
      <c r="DPN11" s="554"/>
      <c r="DPO11" s="554"/>
      <c r="DPP11" s="554"/>
      <c r="DPQ11" s="554"/>
      <c r="DPR11" s="554"/>
      <c r="DPS11" s="554"/>
      <c r="DPT11" s="554"/>
      <c r="DPU11" s="554"/>
      <c r="DPV11" s="554"/>
      <c r="DPW11" s="554"/>
      <c r="DPX11" s="554"/>
      <c r="DPY11" s="554"/>
      <c r="DPZ11" s="554"/>
      <c r="DQA11" s="554"/>
      <c r="DQB11" s="554"/>
      <c r="DQC11" s="554"/>
      <c r="DQD11" s="554"/>
      <c r="DQE11" s="554"/>
      <c r="DQF11" s="554"/>
      <c r="DQG11" s="554"/>
      <c r="DQH11" s="554"/>
      <c r="DQI11" s="554"/>
      <c r="DQJ11" s="554"/>
      <c r="DQK11" s="554"/>
      <c r="DQL11" s="554"/>
      <c r="DQM11" s="554"/>
      <c r="DQN11" s="554"/>
      <c r="DQO11" s="554"/>
      <c r="DQP11" s="554"/>
      <c r="DQQ11" s="554"/>
      <c r="DQR11" s="554"/>
      <c r="DQS11" s="554"/>
      <c r="DQT11" s="554"/>
      <c r="DQU11" s="554"/>
      <c r="DQV11" s="554"/>
      <c r="DQW11" s="554"/>
      <c r="DQX11" s="554"/>
      <c r="DQY11" s="554"/>
      <c r="DQZ11" s="554"/>
      <c r="DRA11" s="554"/>
      <c r="DRB11" s="554"/>
      <c r="DRC11" s="554"/>
      <c r="DRD11" s="554"/>
      <c r="DRE11" s="554"/>
      <c r="DRF11" s="554"/>
      <c r="DRG11" s="554"/>
      <c r="DRH11" s="554"/>
      <c r="DRI11" s="554"/>
      <c r="DRJ11" s="554"/>
      <c r="DRK11" s="554"/>
      <c r="DRL11" s="554"/>
      <c r="DRM11" s="554"/>
      <c r="DRN11" s="554"/>
      <c r="DRO11" s="554"/>
      <c r="DRP11" s="554"/>
      <c r="DRQ11" s="554"/>
      <c r="DRR11" s="554"/>
      <c r="DRS11" s="554"/>
      <c r="DRT11" s="554"/>
      <c r="DRU11" s="554"/>
      <c r="DRV11" s="554"/>
      <c r="DRW11" s="554"/>
      <c r="DRX11" s="554"/>
      <c r="DRY11" s="554"/>
      <c r="DRZ11" s="554"/>
      <c r="DSA11" s="554"/>
      <c r="DSB11" s="554"/>
      <c r="DSC11" s="554"/>
      <c r="DSD11" s="554"/>
      <c r="DSE11" s="554"/>
      <c r="DSF11" s="554"/>
      <c r="DSG11" s="554"/>
      <c r="DSH11" s="554"/>
      <c r="DSI11" s="554"/>
      <c r="DSJ11" s="554"/>
      <c r="DSK11" s="554"/>
      <c r="DSL11" s="554"/>
      <c r="DSM11" s="554"/>
      <c r="DSN11" s="554"/>
      <c r="DSO11" s="554"/>
      <c r="DSP11" s="554"/>
      <c r="DSQ11" s="554"/>
      <c r="DSR11" s="554"/>
      <c r="DSS11" s="554"/>
      <c r="DST11" s="554"/>
      <c r="DSU11" s="554"/>
      <c r="DSV11" s="554"/>
      <c r="DSW11" s="554"/>
      <c r="DSX11" s="554"/>
      <c r="DSY11" s="554"/>
      <c r="DSZ11" s="554"/>
      <c r="DTA11" s="554"/>
      <c r="DTB11" s="554"/>
      <c r="DTC11" s="554"/>
      <c r="DTD11" s="554"/>
      <c r="DTE11" s="554"/>
      <c r="DTF11" s="554"/>
      <c r="DTG11" s="554"/>
      <c r="DTH11" s="554"/>
      <c r="DTI11" s="554"/>
      <c r="DTJ11" s="554"/>
      <c r="DTK11" s="554"/>
      <c r="DTL11" s="554"/>
      <c r="DTM11" s="554"/>
      <c r="DTN11" s="554"/>
      <c r="DTO11" s="554"/>
      <c r="DTP11" s="554"/>
      <c r="DTQ11" s="554"/>
      <c r="DTR11" s="554"/>
      <c r="DTS11" s="554"/>
      <c r="DTT11" s="554"/>
      <c r="DTU11" s="554"/>
      <c r="DTV11" s="554"/>
      <c r="DTW11" s="554"/>
      <c r="DTX11" s="554"/>
      <c r="DTY11" s="554"/>
      <c r="DTZ11" s="554"/>
      <c r="DUA11" s="554"/>
      <c r="DUB11" s="554"/>
      <c r="DUC11" s="554"/>
      <c r="DUD11" s="554"/>
      <c r="DUE11" s="554"/>
      <c r="DUF11" s="554"/>
      <c r="DUG11" s="554"/>
      <c r="DUH11" s="554"/>
      <c r="DUI11" s="554"/>
      <c r="DUJ11" s="554"/>
      <c r="DUK11" s="554"/>
      <c r="DUL11" s="554"/>
      <c r="DUM11" s="554"/>
      <c r="DUN11" s="554"/>
      <c r="DUO11" s="554"/>
      <c r="DUP11" s="554"/>
      <c r="DUQ11" s="554"/>
      <c r="DUR11" s="554"/>
      <c r="DUS11" s="554"/>
      <c r="DUT11" s="554"/>
      <c r="DUU11" s="554"/>
      <c r="DUV11" s="554"/>
      <c r="DUW11" s="554"/>
      <c r="DUX11" s="554"/>
      <c r="DUY11" s="554"/>
      <c r="DUZ11" s="554"/>
      <c r="DVA11" s="554"/>
      <c r="DVB11" s="554"/>
      <c r="DVC11" s="554"/>
      <c r="DVD11" s="554"/>
      <c r="DVE11" s="554"/>
      <c r="DVF11" s="554"/>
      <c r="DVG11" s="554"/>
      <c r="DVH11" s="554"/>
      <c r="DVI11" s="554"/>
      <c r="DVJ11" s="554"/>
      <c r="DVK11" s="554"/>
      <c r="DVL11" s="554"/>
      <c r="DVM11" s="554"/>
      <c r="DVN11" s="554"/>
      <c r="DVO11" s="554"/>
      <c r="DVP11" s="554"/>
      <c r="DVQ11" s="554"/>
      <c r="DVR11" s="554"/>
      <c r="DVS11" s="554"/>
      <c r="DVT11" s="554"/>
      <c r="DVU11" s="554"/>
      <c r="DVV11" s="554"/>
      <c r="DVW11" s="554"/>
      <c r="DVX11" s="554"/>
      <c r="DVY11" s="554"/>
      <c r="DVZ11" s="554"/>
      <c r="DWA11" s="554"/>
      <c r="DWB11" s="554"/>
      <c r="DWC11" s="554"/>
      <c r="DWD11" s="554"/>
      <c r="DWE11" s="554"/>
      <c r="DWF11" s="554"/>
      <c r="DWG11" s="554"/>
      <c r="DWH11" s="554"/>
      <c r="DWI11" s="554"/>
      <c r="DWJ11" s="554"/>
      <c r="DWK11" s="554"/>
      <c r="DWL11" s="554"/>
      <c r="DWM11" s="554"/>
      <c r="DWN11" s="554"/>
      <c r="DWO11" s="554"/>
      <c r="DWP11" s="554"/>
      <c r="DWQ11" s="554"/>
      <c r="DWR11" s="554"/>
      <c r="DWS11" s="554"/>
      <c r="DWT11" s="554"/>
      <c r="DWU11" s="554"/>
      <c r="DWV11" s="554"/>
      <c r="DWW11" s="554"/>
      <c r="DWX11" s="554"/>
      <c r="DWY11" s="554"/>
      <c r="DWZ11" s="554"/>
      <c r="DXA11" s="554"/>
      <c r="DXB11" s="554"/>
      <c r="DXC11" s="554"/>
      <c r="DXD11" s="554"/>
      <c r="DXE11" s="554"/>
      <c r="DXF11" s="554"/>
      <c r="DXG11" s="554"/>
      <c r="DXH11" s="554"/>
      <c r="DXI11" s="554"/>
      <c r="DXJ11" s="554"/>
      <c r="DXK11" s="554"/>
      <c r="DXL11" s="554"/>
      <c r="DXM11" s="554"/>
      <c r="DXN11" s="554"/>
      <c r="DXO11" s="554"/>
      <c r="DXP11" s="554"/>
      <c r="DXQ11" s="554"/>
      <c r="DXR11" s="554"/>
      <c r="DXS11" s="554"/>
      <c r="DXT11" s="554"/>
      <c r="DXU11" s="554"/>
      <c r="DXV11" s="554"/>
      <c r="DXW11" s="554"/>
      <c r="DXX11" s="554"/>
      <c r="DXY11" s="554"/>
      <c r="DXZ11" s="554"/>
      <c r="DYA11" s="554"/>
      <c r="DYB11" s="554"/>
      <c r="DYC11" s="554"/>
      <c r="DYD11" s="554"/>
      <c r="DYE11" s="554"/>
      <c r="DYF11" s="554"/>
      <c r="DYG11" s="554"/>
      <c r="DYH11" s="554"/>
      <c r="DYI11" s="554"/>
      <c r="DYJ11" s="554"/>
      <c r="DYK11" s="554"/>
      <c r="DYL11" s="554"/>
      <c r="DYM11" s="554"/>
      <c r="DYN11" s="554"/>
      <c r="DYO11" s="554"/>
      <c r="DYP11" s="554"/>
      <c r="DYQ11" s="554"/>
      <c r="DYR11" s="554"/>
      <c r="DYS11" s="554"/>
      <c r="DYT11" s="554"/>
      <c r="DYU11" s="554"/>
      <c r="DYV11" s="554"/>
      <c r="DYW11" s="554"/>
      <c r="DYX11" s="554"/>
      <c r="DYY11" s="554"/>
      <c r="DYZ11" s="554"/>
      <c r="DZA11" s="554"/>
      <c r="DZB11" s="554"/>
      <c r="DZC11" s="554"/>
      <c r="DZD11" s="554"/>
      <c r="DZE11" s="554"/>
      <c r="DZF11" s="554"/>
      <c r="DZG11" s="554"/>
      <c r="DZH11" s="554"/>
      <c r="DZI11" s="554"/>
      <c r="DZJ11" s="554"/>
      <c r="DZK11" s="554"/>
      <c r="DZL11" s="554"/>
      <c r="DZM11" s="554"/>
      <c r="DZN11" s="554"/>
      <c r="DZO11" s="554"/>
      <c r="DZP11" s="554"/>
      <c r="DZQ11" s="554"/>
      <c r="DZR11" s="554"/>
      <c r="DZS11" s="554"/>
      <c r="DZT11" s="554"/>
      <c r="DZU11" s="554"/>
      <c r="DZV11" s="554"/>
      <c r="DZW11" s="554"/>
      <c r="DZX11" s="554"/>
      <c r="DZY11" s="554"/>
      <c r="DZZ11" s="554"/>
      <c r="EAA11" s="554"/>
      <c r="EAB11" s="554"/>
      <c r="EAC11" s="554"/>
      <c r="EAD11" s="554"/>
      <c r="EAE11" s="554"/>
      <c r="EAF11" s="554"/>
      <c r="EAG11" s="554"/>
      <c r="EAH11" s="554"/>
      <c r="EAI11" s="554"/>
      <c r="EAJ11" s="554"/>
      <c r="EAK11" s="554"/>
      <c r="EAL11" s="554"/>
      <c r="EAM11" s="554"/>
      <c r="EAN11" s="554"/>
      <c r="EAO11" s="554"/>
      <c r="EAP11" s="554"/>
      <c r="EAQ11" s="554"/>
      <c r="EAR11" s="554"/>
      <c r="EAS11" s="554"/>
      <c r="EAT11" s="554"/>
      <c r="EAU11" s="554"/>
      <c r="EAV11" s="554"/>
      <c r="EAW11" s="554"/>
      <c r="EAX11" s="554"/>
      <c r="EAY11" s="554"/>
      <c r="EAZ11" s="554"/>
      <c r="EBA11" s="554"/>
      <c r="EBB11" s="554"/>
      <c r="EBC11" s="554"/>
      <c r="EBD11" s="554"/>
      <c r="EBE11" s="554"/>
      <c r="EBF11" s="554"/>
      <c r="EBG11" s="554"/>
      <c r="EBH11" s="554"/>
      <c r="EBI11" s="554"/>
      <c r="EBJ11" s="554"/>
      <c r="EBK11" s="554"/>
      <c r="EBL11" s="554"/>
      <c r="EBM11" s="554"/>
      <c r="EBN11" s="554"/>
      <c r="EBO11" s="554"/>
      <c r="EBP11" s="554"/>
      <c r="EBQ11" s="554"/>
      <c r="EBR11" s="554"/>
      <c r="EBS11" s="554"/>
      <c r="EBT11" s="554"/>
      <c r="EBU11" s="554"/>
      <c r="EBV11" s="554"/>
      <c r="EBW11" s="554"/>
      <c r="EBX11" s="554"/>
      <c r="EBY11" s="554"/>
      <c r="EBZ11" s="554"/>
      <c r="ECA11" s="554"/>
      <c r="ECB11" s="554"/>
      <c r="ECC11" s="554"/>
      <c r="ECD11" s="554"/>
      <c r="ECE11" s="554"/>
      <c r="ECF11" s="554"/>
      <c r="ECG11" s="554"/>
      <c r="ECH11" s="554"/>
      <c r="ECI11" s="554"/>
      <c r="ECJ11" s="554"/>
      <c r="ECK11" s="554"/>
      <c r="ECL11" s="554"/>
      <c r="ECM11" s="554"/>
      <c r="ECN11" s="554"/>
      <c r="ECO11" s="554"/>
      <c r="ECP11" s="554"/>
      <c r="ECQ11" s="554"/>
      <c r="ECR11" s="554"/>
      <c r="ECS11" s="554"/>
      <c r="ECT11" s="554"/>
      <c r="ECU11" s="554"/>
      <c r="ECV11" s="554"/>
      <c r="ECW11" s="554"/>
      <c r="ECX11" s="554"/>
      <c r="ECY11" s="554"/>
      <c r="ECZ11" s="554"/>
      <c r="EDA11" s="554"/>
      <c r="EDB11" s="554"/>
      <c r="EDC11" s="554"/>
      <c r="EDD11" s="554"/>
      <c r="EDE11" s="554"/>
      <c r="EDF11" s="554"/>
      <c r="EDG11" s="554"/>
      <c r="EDH11" s="554"/>
      <c r="EDI11" s="554"/>
      <c r="EDJ11" s="554"/>
      <c r="EDK11" s="554"/>
      <c r="EDL11" s="554"/>
      <c r="EDM11" s="554"/>
      <c r="EDN11" s="554"/>
      <c r="EDO11" s="554"/>
      <c r="EDP11" s="554"/>
      <c r="EDQ11" s="554"/>
      <c r="EDR11" s="554"/>
      <c r="EDS11" s="554"/>
      <c r="EDT11" s="554"/>
      <c r="EDU11" s="554"/>
      <c r="EDV11" s="554"/>
      <c r="EDW11" s="554"/>
      <c r="EDX11" s="554"/>
      <c r="EDY11" s="554"/>
      <c r="EDZ11" s="554"/>
      <c r="EEA11" s="554"/>
      <c r="EEB11" s="554"/>
      <c r="EEC11" s="554"/>
      <c r="EED11" s="554"/>
      <c r="EEE11" s="554"/>
      <c r="EEF11" s="554"/>
      <c r="EEG11" s="554"/>
      <c r="EEH11" s="554"/>
      <c r="EEI11" s="554"/>
      <c r="EEJ11" s="554"/>
      <c r="EEK11" s="554"/>
      <c r="EEL11" s="554"/>
      <c r="EEM11" s="554"/>
      <c r="EEN11" s="554"/>
      <c r="EEO11" s="554"/>
      <c r="EEP11" s="554"/>
      <c r="EEQ11" s="554"/>
      <c r="EER11" s="554"/>
      <c r="EES11" s="554"/>
      <c r="EET11" s="554"/>
      <c r="EEU11" s="554"/>
      <c r="EEV11" s="554"/>
      <c r="EEW11" s="554"/>
      <c r="EEX11" s="554"/>
      <c r="EEY11" s="554"/>
      <c r="EEZ11" s="554"/>
      <c r="EFA11" s="554"/>
      <c r="EFB11" s="554"/>
      <c r="EFC11" s="554"/>
      <c r="EFD11" s="554"/>
      <c r="EFE11" s="554"/>
      <c r="EFF11" s="554"/>
      <c r="EFG11" s="554"/>
      <c r="EFH11" s="554"/>
      <c r="EFI11" s="554"/>
      <c r="EFJ11" s="554"/>
      <c r="EFK11" s="554"/>
      <c r="EFL11" s="554"/>
      <c r="EFM11" s="554"/>
      <c r="EFN11" s="554"/>
      <c r="EFO11" s="554"/>
      <c r="EFP11" s="554"/>
      <c r="EFQ11" s="554"/>
      <c r="EFR11" s="554"/>
      <c r="EFS11" s="554"/>
      <c r="EFT11" s="554"/>
      <c r="EFU11" s="554"/>
      <c r="EFV11" s="554"/>
      <c r="EFW11" s="554"/>
      <c r="EFX11" s="554"/>
      <c r="EFY11" s="554"/>
      <c r="EFZ11" s="554"/>
      <c r="EGA11" s="554"/>
      <c r="EGB11" s="554"/>
      <c r="EGC11" s="554"/>
      <c r="EGD11" s="554"/>
      <c r="EGE11" s="554"/>
      <c r="EGF11" s="554"/>
      <c r="EGG11" s="554"/>
      <c r="EGH11" s="554"/>
      <c r="EGI11" s="554"/>
      <c r="EGJ11" s="554"/>
      <c r="EGK11" s="554"/>
      <c r="EGL11" s="554"/>
      <c r="EGM11" s="554"/>
      <c r="EGN11" s="554"/>
      <c r="EGO11" s="554"/>
      <c r="EGP11" s="554"/>
      <c r="EGQ11" s="554"/>
      <c r="EGR11" s="554"/>
      <c r="EGS11" s="554"/>
      <c r="EGT11" s="554"/>
      <c r="EGU11" s="554"/>
      <c r="EGV11" s="554"/>
      <c r="EGW11" s="554"/>
      <c r="EGX11" s="554"/>
      <c r="EGY11" s="554"/>
      <c r="EGZ11" s="554"/>
      <c r="EHA11" s="554"/>
      <c r="EHB11" s="554"/>
      <c r="EHC11" s="554"/>
      <c r="EHD11" s="554"/>
      <c r="EHE11" s="554"/>
      <c r="EHF11" s="554"/>
      <c r="EHG11" s="554"/>
      <c r="EHH11" s="554"/>
      <c r="EHI11" s="554"/>
      <c r="EHJ11" s="554"/>
      <c r="EHK11" s="554"/>
      <c r="EHL11" s="554"/>
      <c r="EHM11" s="554"/>
      <c r="EHN11" s="554"/>
      <c r="EHO11" s="554"/>
      <c r="EHP11" s="554"/>
      <c r="EHQ11" s="554"/>
      <c r="EHR11" s="554"/>
      <c r="EHS11" s="554"/>
      <c r="EHT11" s="554"/>
      <c r="EHU11" s="554"/>
      <c r="EHV11" s="554"/>
      <c r="EHW11" s="554"/>
      <c r="EHX11" s="554"/>
      <c r="EHY11" s="554"/>
      <c r="EHZ11" s="554"/>
      <c r="EIA11" s="554"/>
      <c r="EIB11" s="554"/>
      <c r="EIC11" s="554"/>
      <c r="EID11" s="554"/>
      <c r="EIE11" s="554"/>
      <c r="EIF11" s="554"/>
      <c r="EIG11" s="554"/>
      <c r="EIH11" s="554"/>
      <c r="EII11" s="554"/>
      <c r="EIJ11" s="554"/>
      <c r="EIK11" s="554"/>
      <c r="EIL11" s="554"/>
      <c r="EIM11" s="554"/>
      <c r="EIN11" s="554"/>
      <c r="EIO11" s="554"/>
      <c r="EIP11" s="554"/>
      <c r="EIQ11" s="554"/>
      <c r="EIR11" s="554"/>
      <c r="EIS11" s="554"/>
      <c r="EIT11" s="554"/>
      <c r="EIU11" s="554"/>
      <c r="EIV11" s="554"/>
      <c r="EIW11" s="554"/>
      <c r="EIX11" s="554"/>
      <c r="EIY11" s="554"/>
      <c r="EIZ11" s="554"/>
      <c r="EJA11" s="554"/>
      <c r="EJB11" s="554"/>
      <c r="EJC11" s="554"/>
      <c r="EJD11" s="554"/>
      <c r="EJE11" s="554"/>
      <c r="EJF11" s="554"/>
      <c r="EJG11" s="554"/>
      <c r="EJH11" s="554"/>
      <c r="EJI11" s="554"/>
      <c r="EJJ11" s="554"/>
      <c r="EJK11" s="554"/>
      <c r="EJL11" s="554"/>
      <c r="EJM11" s="554"/>
      <c r="EJN11" s="554"/>
      <c r="EJO11" s="554"/>
      <c r="EJP11" s="554"/>
      <c r="EJQ11" s="554"/>
      <c r="EJR11" s="554"/>
      <c r="EJS11" s="554"/>
      <c r="EJT11" s="554"/>
      <c r="EJU11" s="554"/>
      <c r="EJV11" s="554"/>
      <c r="EJW11" s="554"/>
      <c r="EJX11" s="554"/>
      <c r="EJY11" s="554"/>
      <c r="EJZ11" s="554"/>
      <c r="EKA11" s="554"/>
      <c r="EKB11" s="554"/>
      <c r="EKC11" s="554"/>
      <c r="EKD11" s="554"/>
      <c r="EKE11" s="554"/>
      <c r="EKF11" s="554"/>
      <c r="EKG11" s="554"/>
      <c r="EKH11" s="554"/>
      <c r="EKI11" s="554"/>
      <c r="EKJ11" s="554"/>
      <c r="EKK11" s="554"/>
      <c r="EKL11" s="554"/>
      <c r="EKM11" s="554"/>
      <c r="EKN11" s="554"/>
      <c r="EKO11" s="554"/>
      <c r="EKP11" s="554"/>
      <c r="EKQ11" s="554"/>
      <c r="EKR11" s="554"/>
      <c r="EKS11" s="554"/>
      <c r="EKT11" s="554"/>
      <c r="EKU11" s="554"/>
      <c r="EKV11" s="554"/>
      <c r="EKW11" s="554"/>
      <c r="EKX11" s="554"/>
      <c r="EKY11" s="554"/>
      <c r="EKZ11" s="554"/>
      <c r="ELA11" s="554"/>
      <c r="ELB11" s="554"/>
      <c r="ELC11" s="554"/>
      <c r="ELD11" s="554"/>
      <c r="ELE11" s="554"/>
      <c r="ELF11" s="554"/>
      <c r="ELG11" s="554"/>
      <c r="ELH11" s="554"/>
      <c r="ELI11" s="554"/>
      <c r="ELJ11" s="554"/>
      <c r="ELK11" s="554"/>
      <c r="ELL11" s="554"/>
      <c r="ELM11" s="554"/>
      <c r="ELN11" s="554"/>
      <c r="ELO11" s="554"/>
      <c r="ELP11" s="554"/>
      <c r="ELQ11" s="554"/>
      <c r="ELR11" s="554"/>
      <c r="ELS11" s="554"/>
      <c r="ELT11" s="554"/>
      <c r="ELU11" s="554"/>
      <c r="ELV11" s="554"/>
      <c r="ELW11" s="554"/>
      <c r="ELX11" s="554"/>
      <c r="ELY11" s="554"/>
      <c r="ELZ11" s="554"/>
      <c r="EMA11" s="554"/>
      <c r="EMB11" s="554"/>
      <c r="EMC11" s="554"/>
      <c r="EMD11" s="554"/>
      <c r="EME11" s="554"/>
      <c r="EMF11" s="554"/>
      <c r="EMG11" s="554"/>
      <c r="EMH11" s="554"/>
      <c r="EMI11" s="554"/>
      <c r="EMJ11" s="554"/>
      <c r="EMK11" s="554"/>
      <c r="EML11" s="554"/>
      <c r="EMM11" s="554"/>
      <c r="EMN11" s="554"/>
      <c r="EMO11" s="554"/>
      <c r="EMP11" s="554"/>
      <c r="EMQ11" s="554"/>
      <c r="EMR11" s="554"/>
      <c r="EMS11" s="554"/>
      <c r="EMT11" s="554"/>
      <c r="EMU11" s="554"/>
      <c r="EMV11" s="554"/>
      <c r="EMW11" s="554"/>
      <c r="EMX11" s="554"/>
      <c r="EMY11" s="554"/>
      <c r="EMZ11" s="554"/>
      <c r="ENA11" s="554"/>
      <c r="ENB11" s="554"/>
      <c r="ENC11" s="554"/>
      <c r="END11" s="554"/>
      <c r="ENE11" s="554"/>
      <c r="ENF11" s="554"/>
      <c r="ENG11" s="554"/>
      <c r="ENH11" s="554"/>
      <c r="ENI11" s="554"/>
      <c r="ENJ11" s="554"/>
      <c r="ENK11" s="554"/>
      <c r="ENL11" s="554"/>
      <c r="ENM11" s="554"/>
      <c r="ENN11" s="554"/>
      <c r="ENO11" s="554"/>
      <c r="ENP11" s="554"/>
      <c r="ENQ11" s="554"/>
      <c r="ENR11" s="554"/>
      <c r="ENS11" s="554"/>
      <c r="ENT11" s="554"/>
      <c r="ENU11" s="554"/>
      <c r="ENV11" s="554"/>
      <c r="ENW11" s="554"/>
      <c r="ENX11" s="554"/>
      <c r="ENY11" s="554"/>
      <c r="ENZ11" s="554"/>
      <c r="EOA11" s="554"/>
      <c r="EOB11" s="554"/>
      <c r="EOC11" s="554"/>
      <c r="EOD11" s="554"/>
      <c r="EOE11" s="554"/>
      <c r="EOF11" s="554"/>
      <c r="EOG11" s="554"/>
      <c r="EOH11" s="554"/>
      <c r="EOI11" s="554"/>
      <c r="EOJ11" s="554"/>
      <c r="EOK11" s="554"/>
      <c r="EOL11" s="554"/>
      <c r="EOM11" s="554"/>
      <c r="EON11" s="554"/>
      <c r="EOO11" s="554"/>
      <c r="EOP11" s="554"/>
      <c r="EOQ11" s="554"/>
      <c r="EOR11" s="554"/>
      <c r="EOS11" s="554"/>
      <c r="EOT11" s="554"/>
      <c r="EOU11" s="554"/>
      <c r="EOV11" s="554"/>
      <c r="EOW11" s="554"/>
      <c r="EOX11" s="554"/>
      <c r="EOY11" s="554"/>
      <c r="EOZ11" s="554"/>
      <c r="EPA11" s="554"/>
      <c r="EPB11" s="554"/>
      <c r="EPC11" s="554"/>
      <c r="EPD11" s="554"/>
      <c r="EPE11" s="554"/>
      <c r="EPF11" s="554"/>
      <c r="EPG11" s="554"/>
      <c r="EPH11" s="554"/>
      <c r="EPI11" s="554"/>
      <c r="EPJ11" s="554"/>
      <c r="EPK11" s="554"/>
      <c r="EPL11" s="554"/>
      <c r="EPM11" s="554"/>
      <c r="EPN11" s="554"/>
      <c r="EPO11" s="554"/>
      <c r="EPP11" s="554"/>
      <c r="EPQ11" s="554"/>
      <c r="EPR11" s="554"/>
      <c r="EPS11" s="554"/>
      <c r="EPT11" s="554"/>
      <c r="EPU11" s="554"/>
      <c r="EPV11" s="554"/>
      <c r="EPW11" s="554"/>
      <c r="EPX11" s="554"/>
      <c r="EPY11" s="554"/>
      <c r="EPZ11" s="554"/>
      <c r="EQA11" s="554"/>
      <c r="EQB11" s="554"/>
      <c r="EQC11" s="554"/>
      <c r="EQD11" s="554"/>
      <c r="EQE11" s="554"/>
      <c r="EQF11" s="554"/>
      <c r="EQG11" s="554"/>
      <c r="EQH11" s="554"/>
      <c r="EQI11" s="554"/>
      <c r="EQJ11" s="554"/>
      <c r="EQK11" s="554"/>
      <c r="EQL11" s="554"/>
      <c r="EQM11" s="554"/>
      <c r="EQN11" s="554"/>
      <c r="EQO11" s="554"/>
      <c r="EQP11" s="554"/>
      <c r="EQQ11" s="554"/>
      <c r="EQR11" s="554"/>
      <c r="EQS11" s="554"/>
      <c r="EQT11" s="554"/>
      <c r="EQU11" s="554"/>
      <c r="EQV11" s="554"/>
      <c r="EQW11" s="554"/>
      <c r="EQX11" s="554"/>
      <c r="EQY11" s="554"/>
      <c r="EQZ11" s="554"/>
      <c r="ERA11" s="554"/>
      <c r="ERB11" s="554"/>
      <c r="ERC11" s="554"/>
      <c r="ERD11" s="554"/>
      <c r="ERE11" s="554"/>
      <c r="ERF11" s="554"/>
      <c r="ERG11" s="554"/>
      <c r="ERH11" s="554"/>
      <c r="ERI11" s="554"/>
      <c r="ERJ11" s="554"/>
      <c r="ERK11" s="554"/>
      <c r="ERL11" s="554"/>
      <c r="ERM11" s="554"/>
      <c r="ERN11" s="554"/>
      <c r="ERO11" s="554"/>
      <c r="ERP11" s="554"/>
      <c r="ERQ11" s="554"/>
      <c r="ERR11" s="554"/>
      <c r="ERS11" s="554"/>
      <c r="ERT11" s="554"/>
      <c r="ERU11" s="554"/>
      <c r="ERV11" s="554"/>
      <c r="ERW11" s="554"/>
      <c r="ERX11" s="554"/>
      <c r="ERY11" s="554"/>
      <c r="ERZ11" s="554"/>
      <c r="ESA11" s="554"/>
      <c r="ESB11" s="554"/>
      <c r="ESC11" s="554"/>
      <c r="ESD11" s="554"/>
      <c r="ESE11" s="554"/>
      <c r="ESF11" s="554"/>
      <c r="ESG11" s="554"/>
      <c r="ESH11" s="554"/>
      <c r="ESI11" s="554"/>
      <c r="ESJ11" s="554"/>
      <c r="ESK11" s="554"/>
      <c r="ESL11" s="554"/>
      <c r="ESM11" s="554"/>
      <c r="ESN11" s="554"/>
      <c r="ESO11" s="554"/>
      <c r="ESP11" s="554"/>
      <c r="ESQ11" s="554"/>
      <c r="ESR11" s="554"/>
      <c r="ESS11" s="554"/>
      <c r="EST11" s="554"/>
      <c r="ESU11" s="554"/>
      <c r="ESV11" s="554"/>
      <c r="ESW11" s="554"/>
      <c r="ESX11" s="554"/>
      <c r="ESY11" s="554"/>
      <c r="ESZ11" s="554"/>
      <c r="ETA11" s="554"/>
      <c r="ETB11" s="554"/>
      <c r="ETC11" s="554"/>
      <c r="ETD11" s="554"/>
      <c r="ETE11" s="554"/>
      <c r="ETF11" s="554"/>
      <c r="ETG11" s="554"/>
      <c r="ETH11" s="554"/>
      <c r="ETI11" s="554"/>
      <c r="ETJ11" s="554"/>
      <c r="ETK11" s="554"/>
      <c r="ETL11" s="554"/>
      <c r="ETM11" s="554"/>
      <c r="ETN11" s="554"/>
      <c r="ETO11" s="554"/>
      <c r="ETP11" s="554"/>
      <c r="ETQ11" s="554"/>
      <c r="ETR11" s="554"/>
      <c r="ETS11" s="554"/>
      <c r="ETT11" s="554"/>
      <c r="ETU11" s="554"/>
      <c r="ETV11" s="554"/>
      <c r="ETW11" s="554"/>
      <c r="ETX11" s="554"/>
      <c r="ETY11" s="554"/>
      <c r="ETZ11" s="554"/>
      <c r="EUA11" s="554"/>
      <c r="EUB11" s="554"/>
      <c r="EUC11" s="554"/>
      <c r="EUD11" s="554"/>
      <c r="EUE11" s="554"/>
      <c r="EUF11" s="554"/>
      <c r="EUG11" s="554"/>
      <c r="EUH11" s="554"/>
      <c r="EUI11" s="554"/>
      <c r="EUJ11" s="554"/>
      <c r="EUK11" s="554"/>
      <c r="EUL11" s="554"/>
      <c r="EUM11" s="554"/>
      <c r="EUN11" s="554"/>
      <c r="EUO11" s="554"/>
      <c r="EUP11" s="554"/>
      <c r="EUQ11" s="554"/>
      <c r="EUR11" s="554"/>
      <c r="EUS11" s="554"/>
      <c r="EUT11" s="554"/>
      <c r="EUU11" s="554"/>
      <c r="EUV11" s="554"/>
      <c r="EUW11" s="554"/>
      <c r="EUX11" s="554"/>
      <c r="EUY11" s="554"/>
      <c r="EUZ11" s="554"/>
      <c r="EVA11" s="554"/>
      <c r="EVB11" s="554"/>
      <c r="EVC11" s="554"/>
      <c r="EVD11" s="554"/>
      <c r="EVE11" s="554"/>
      <c r="EVF11" s="554"/>
      <c r="EVG11" s="554"/>
      <c r="EVH11" s="554"/>
      <c r="EVI11" s="554"/>
      <c r="EVJ11" s="554"/>
      <c r="EVK11" s="554"/>
      <c r="EVL11" s="554"/>
      <c r="EVM11" s="554"/>
      <c r="EVN11" s="554"/>
      <c r="EVO11" s="554"/>
      <c r="EVP11" s="554"/>
      <c r="EVQ11" s="554"/>
      <c r="EVR11" s="554"/>
      <c r="EVS11" s="554"/>
      <c r="EVT11" s="554"/>
      <c r="EVU11" s="554"/>
      <c r="EVV11" s="554"/>
      <c r="EVW11" s="554"/>
      <c r="EVX11" s="554"/>
      <c r="EVY11" s="554"/>
      <c r="EVZ11" s="554"/>
      <c r="EWA11" s="554"/>
      <c r="EWB11" s="554"/>
      <c r="EWC11" s="554"/>
      <c r="EWD11" s="554"/>
      <c r="EWE11" s="554"/>
      <c r="EWF11" s="554"/>
      <c r="EWG11" s="554"/>
      <c r="EWH11" s="554"/>
      <c r="EWI11" s="554"/>
      <c r="EWJ11" s="554"/>
      <c r="EWK11" s="554"/>
      <c r="EWL11" s="554"/>
      <c r="EWM11" s="554"/>
      <c r="EWN11" s="554"/>
      <c r="EWO11" s="554"/>
      <c r="EWP11" s="554"/>
      <c r="EWQ11" s="554"/>
      <c r="EWR11" s="554"/>
      <c r="EWS11" s="554"/>
      <c r="EWT11" s="554"/>
      <c r="EWU11" s="554"/>
      <c r="EWV11" s="554"/>
      <c r="EWW11" s="554"/>
      <c r="EWX11" s="554"/>
      <c r="EWY11" s="554"/>
      <c r="EWZ11" s="554"/>
      <c r="EXA11" s="554"/>
      <c r="EXB11" s="554"/>
      <c r="EXC11" s="554"/>
      <c r="EXD11" s="554"/>
      <c r="EXE11" s="554"/>
      <c r="EXF11" s="554"/>
      <c r="EXG11" s="554"/>
      <c r="EXH11" s="554"/>
      <c r="EXI11" s="554"/>
      <c r="EXJ11" s="554"/>
      <c r="EXK11" s="554"/>
      <c r="EXL11" s="554"/>
      <c r="EXM11" s="554"/>
      <c r="EXN11" s="554"/>
      <c r="EXO11" s="554"/>
      <c r="EXP11" s="554"/>
      <c r="EXQ11" s="554"/>
      <c r="EXR11" s="554"/>
      <c r="EXS11" s="554"/>
      <c r="EXT11" s="554"/>
      <c r="EXU11" s="554"/>
      <c r="EXV11" s="554"/>
      <c r="EXW11" s="554"/>
      <c r="EXX11" s="554"/>
      <c r="EXY11" s="554"/>
      <c r="EXZ11" s="554"/>
      <c r="EYA11" s="554"/>
      <c r="EYB11" s="554"/>
      <c r="EYC11" s="554"/>
      <c r="EYD11" s="554"/>
      <c r="EYE11" s="554"/>
      <c r="EYF11" s="554"/>
      <c r="EYG11" s="554"/>
      <c r="EYH11" s="554"/>
      <c r="EYI11" s="554"/>
      <c r="EYJ11" s="554"/>
      <c r="EYK11" s="554"/>
      <c r="EYL11" s="554"/>
      <c r="EYM11" s="554"/>
      <c r="EYN11" s="554"/>
      <c r="EYO11" s="554"/>
      <c r="EYP11" s="554"/>
      <c r="EYQ11" s="554"/>
      <c r="EYR11" s="554"/>
      <c r="EYS11" s="554"/>
      <c r="EYT11" s="554"/>
      <c r="EYU11" s="554"/>
      <c r="EYV11" s="554"/>
      <c r="EYW11" s="554"/>
      <c r="EYX11" s="554"/>
      <c r="EYY11" s="554"/>
      <c r="EYZ11" s="554"/>
      <c r="EZA11" s="554"/>
      <c r="EZB11" s="554"/>
      <c r="EZC11" s="554"/>
      <c r="EZD11" s="554"/>
      <c r="EZE11" s="554"/>
      <c r="EZF11" s="554"/>
      <c r="EZG11" s="554"/>
      <c r="EZH11" s="554"/>
      <c r="EZI11" s="554"/>
      <c r="EZJ11" s="554"/>
      <c r="EZK11" s="554"/>
      <c r="EZL11" s="554"/>
      <c r="EZM11" s="554"/>
      <c r="EZN11" s="554"/>
      <c r="EZO11" s="554"/>
      <c r="EZP11" s="554"/>
      <c r="EZQ11" s="554"/>
      <c r="EZR11" s="554"/>
      <c r="EZS11" s="554"/>
      <c r="EZT11" s="554"/>
      <c r="EZU11" s="554"/>
      <c r="EZV11" s="554"/>
      <c r="EZW11" s="554"/>
      <c r="EZX11" s="554"/>
      <c r="EZY11" s="554"/>
      <c r="EZZ11" s="554"/>
      <c r="FAA11" s="554"/>
      <c r="FAB11" s="554"/>
      <c r="FAC11" s="554"/>
      <c r="FAD11" s="554"/>
      <c r="FAE11" s="554"/>
      <c r="FAF11" s="554"/>
      <c r="FAG11" s="554"/>
      <c r="FAH11" s="554"/>
      <c r="FAI11" s="554"/>
      <c r="FAJ11" s="554"/>
      <c r="FAK11" s="554"/>
      <c r="FAL11" s="554"/>
      <c r="FAM11" s="554"/>
      <c r="FAN11" s="554"/>
      <c r="FAO11" s="554"/>
      <c r="FAP11" s="554"/>
      <c r="FAQ11" s="554"/>
      <c r="FAR11" s="554"/>
      <c r="FAS11" s="554"/>
      <c r="FAT11" s="554"/>
      <c r="FAU11" s="554"/>
      <c r="FAV11" s="554"/>
      <c r="FAW11" s="554"/>
      <c r="FAX11" s="554"/>
      <c r="FAY11" s="554"/>
      <c r="FAZ11" s="554"/>
      <c r="FBA11" s="554"/>
      <c r="FBB11" s="554"/>
      <c r="FBC11" s="554"/>
      <c r="FBD11" s="554"/>
      <c r="FBE11" s="554"/>
      <c r="FBF11" s="554"/>
      <c r="FBG11" s="554"/>
      <c r="FBH11" s="554"/>
      <c r="FBI11" s="554"/>
      <c r="FBJ11" s="554"/>
      <c r="FBK11" s="554"/>
      <c r="FBL11" s="554"/>
      <c r="FBM11" s="554"/>
      <c r="FBN11" s="554"/>
      <c r="FBO11" s="554"/>
      <c r="FBP11" s="554"/>
      <c r="FBQ11" s="554"/>
      <c r="FBR11" s="554"/>
      <c r="FBS11" s="554"/>
      <c r="FBT11" s="554"/>
      <c r="FBU11" s="554"/>
      <c r="FBV11" s="554"/>
      <c r="FBW11" s="554"/>
      <c r="FBX11" s="554"/>
      <c r="FBY11" s="554"/>
      <c r="FBZ11" s="554"/>
      <c r="FCA11" s="554"/>
      <c r="FCB11" s="554"/>
      <c r="FCC11" s="554"/>
      <c r="FCD11" s="554"/>
      <c r="FCE11" s="554"/>
      <c r="FCF11" s="554"/>
      <c r="FCG11" s="554"/>
      <c r="FCH11" s="554"/>
      <c r="FCI11" s="554"/>
      <c r="FCJ11" s="554"/>
      <c r="FCK11" s="554"/>
      <c r="FCL11" s="554"/>
      <c r="FCM11" s="554"/>
      <c r="FCN11" s="554"/>
      <c r="FCO11" s="554"/>
      <c r="FCP11" s="554"/>
      <c r="FCQ11" s="554"/>
      <c r="FCR11" s="554"/>
      <c r="FCS11" s="554"/>
      <c r="FCT11" s="554"/>
      <c r="FCU11" s="554"/>
      <c r="FCV11" s="554"/>
      <c r="FCW11" s="554"/>
      <c r="FCX11" s="554"/>
      <c r="FCY11" s="554"/>
      <c r="FCZ11" s="554"/>
      <c r="FDA11" s="554"/>
      <c r="FDB11" s="554"/>
      <c r="FDC11" s="554"/>
      <c r="FDD11" s="554"/>
      <c r="FDE11" s="554"/>
      <c r="FDF11" s="554"/>
      <c r="FDG11" s="554"/>
      <c r="FDH11" s="554"/>
      <c r="FDI11" s="554"/>
      <c r="FDJ11" s="554"/>
      <c r="FDK11" s="554"/>
      <c r="FDL11" s="554"/>
      <c r="FDM11" s="554"/>
      <c r="FDN11" s="554"/>
      <c r="FDO11" s="554"/>
      <c r="FDP11" s="554"/>
      <c r="FDQ11" s="554"/>
      <c r="FDR11" s="554"/>
      <c r="FDS11" s="554"/>
      <c r="FDT11" s="554"/>
      <c r="FDU11" s="554"/>
      <c r="FDV11" s="554"/>
      <c r="FDW11" s="554"/>
      <c r="FDX11" s="554"/>
      <c r="FDY11" s="554"/>
      <c r="FDZ11" s="554"/>
      <c r="FEA11" s="554"/>
      <c r="FEB11" s="554"/>
      <c r="FEC11" s="554"/>
      <c r="FED11" s="554"/>
      <c r="FEE11" s="554"/>
      <c r="FEF11" s="554"/>
      <c r="FEG11" s="554"/>
      <c r="FEH11" s="554"/>
      <c r="FEI11" s="554"/>
      <c r="FEJ11" s="554"/>
      <c r="FEK11" s="554"/>
      <c r="FEL11" s="554"/>
      <c r="FEM11" s="554"/>
      <c r="FEN11" s="554"/>
      <c r="FEO11" s="554"/>
      <c r="FEP11" s="554"/>
      <c r="FEQ11" s="554"/>
      <c r="FER11" s="554"/>
      <c r="FES11" s="554"/>
      <c r="FET11" s="554"/>
      <c r="FEU11" s="554"/>
      <c r="FEV11" s="554"/>
      <c r="FEW11" s="554"/>
      <c r="FEX11" s="554"/>
      <c r="FEY11" s="554"/>
      <c r="FEZ11" s="554"/>
      <c r="FFA11" s="554"/>
      <c r="FFB11" s="554"/>
      <c r="FFC11" s="554"/>
      <c r="FFD11" s="554"/>
      <c r="FFE11" s="554"/>
      <c r="FFF11" s="554"/>
      <c r="FFG11" s="554"/>
      <c r="FFH11" s="554"/>
      <c r="FFI11" s="554"/>
      <c r="FFJ11" s="554"/>
      <c r="FFK11" s="554"/>
      <c r="FFL11" s="554"/>
      <c r="FFM11" s="554"/>
      <c r="FFN11" s="554"/>
      <c r="FFO11" s="554"/>
      <c r="FFP11" s="554"/>
      <c r="FFQ11" s="554"/>
      <c r="FFR11" s="554"/>
      <c r="FFS11" s="554"/>
      <c r="FFT11" s="554"/>
      <c r="FFU11" s="554"/>
      <c r="FFV11" s="554"/>
      <c r="FFW11" s="554"/>
      <c r="FFX11" s="554"/>
      <c r="FFY11" s="554"/>
      <c r="FFZ11" s="554"/>
      <c r="FGA11" s="554"/>
      <c r="FGB11" s="554"/>
      <c r="FGC11" s="554"/>
      <c r="FGD11" s="554"/>
      <c r="FGE11" s="554"/>
      <c r="FGF11" s="554"/>
      <c r="FGG11" s="554"/>
      <c r="FGH11" s="554"/>
      <c r="FGI11" s="554"/>
      <c r="FGJ11" s="554"/>
      <c r="FGK11" s="554"/>
      <c r="FGL11" s="554"/>
      <c r="FGM11" s="554"/>
      <c r="FGN11" s="554"/>
      <c r="FGO11" s="554"/>
      <c r="FGP11" s="554"/>
      <c r="FGQ11" s="554"/>
      <c r="FGR11" s="554"/>
      <c r="FGS11" s="554"/>
      <c r="FGT11" s="554"/>
      <c r="FGU11" s="554"/>
      <c r="FGV11" s="554"/>
      <c r="FGW11" s="554"/>
      <c r="FGX11" s="554"/>
      <c r="FGY11" s="554"/>
      <c r="FGZ11" s="554"/>
      <c r="FHA11" s="554"/>
      <c r="FHB11" s="554"/>
      <c r="FHC11" s="554"/>
      <c r="FHD11" s="554"/>
      <c r="FHE11" s="554"/>
      <c r="FHF11" s="554"/>
      <c r="FHG11" s="554"/>
      <c r="FHH11" s="554"/>
      <c r="FHI11" s="554"/>
      <c r="FHJ11" s="554"/>
      <c r="FHK11" s="554"/>
      <c r="FHL11" s="554"/>
      <c r="FHM11" s="554"/>
      <c r="FHN11" s="554"/>
      <c r="FHO11" s="554"/>
      <c r="FHP11" s="554"/>
      <c r="FHQ11" s="554"/>
      <c r="FHR11" s="554"/>
      <c r="FHS11" s="554"/>
      <c r="FHT11" s="554"/>
      <c r="FHU11" s="554"/>
      <c r="FHV11" s="554"/>
      <c r="FHW11" s="554"/>
      <c r="FHX11" s="554"/>
      <c r="FHY11" s="554"/>
      <c r="FHZ11" s="554"/>
      <c r="FIA11" s="554"/>
      <c r="FIB11" s="554"/>
      <c r="FIC11" s="554"/>
      <c r="FID11" s="554"/>
      <c r="FIE11" s="554"/>
      <c r="FIF11" s="554"/>
      <c r="FIG11" s="554"/>
      <c r="FIH11" s="554"/>
      <c r="FII11" s="554"/>
      <c r="FIJ11" s="554"/>
      <c r="FIK11" s="554"/>
      <c r="FIL11" s="554"/>
      <c r="FIM11" s="554"/>
      <c r="FIN11" s="554"/>
      <c r="FIO11" s="554"/>
      <c r="FIP11" s="554"/>
      <c r="FIQ11" s="554"/>
      <c r="FIR11" s="554"/>
      <c r="FIS11" s="554"/>
      <c r="FIT11" s="554"/>
      <c r="FIU11" s="554"/>
      <c r="FIV11" s="554"/>
      <c r="FIW11" s="554"/>
      <c r="FIX11" s="554"/>
      <c r="FIY11" s="554"/>
      <c r="FIZ11" s="554"/>
      <c r="FJA11" s="554"/>
      <c r="FJB11" s="554"/>
      <c r="FJC11" s="554"/>
      <c r="FJD11" s="554"/>
      <c r="FJE11" s="554"/>
      <c r="FJF11" s="554"/>
      <c r="FJG11" s="554"/>
      <c r="FJH11" s="554"/>
      <c r="FJI11" s="554"/>
      <c r="FJJ11" s="554"/>
      <c r="FJK11" s="554"/>
      <c r="FJL11" s="554"/>
      <c r="FJM11" s="554"/>
      <c r="FJN11" s="554"/>
      <c r="FJO11" s="554"/>
      <c r="FJP11" s="554"/>
      <c r="FJQ11" s="554"/>
      <c r="FJR11" s="554"/>
      <c r="FJS11" s="554"/>
      <c r="FJT11" s="554"/>
      <c r="FJU11" s="554"/>
      <c r="FJV11" s="554"/>
      <c r="FJW11" s="554"/>
      <c r="FJX11" s="554"/>
      <c r="FJY11" s="554"/>
      <c r="FJZ11" s="554"/>
      <c r="FKA11" s="554"/>
      <c r="FKB11" s="554"/>
      <c r="FKC11" s="554"/>
      <c r="FKD11" s="554"/>
      <c r="FKE11" s="554"/>
      <c r="FKF11" s="554"/>
      <c r="FKG11" s="554"/>
      <c r="FKH11" s="554"/>
      <c r="FKI11" s="554"/>
      <c r="FKJ11" s="554"/>
      <c r="FKK11" s="554"/>
      <c r="FKL11" s="554"/>
      <c r="FKM11" s="554"/>
      <c r="FKN11" s="554"/>
      <c r="FKO11" s="554"/>
      <c r="FKP11" s="554"/>
      <c r="FKQ11" s="554"/>
      <c r="FKR11" s="554"/>
      <c r="FKS11" s="554"/>
      <c r="FKT11" s="554"/>
      <c r="FKU11" s="554"/>
      <c r="FKV11" s="554"/>
      <c r="FKW11" s="554"/>
      <c r="FKX11" s="554"/>
      <c r="FKY11" s="554"/>
      <c r="FKZ11" s="554"/>
      <c r="FLA11" s="554"/>
      <c r="FLB11" s="554"/>
      <c r="FLC11" s="554"/>
      <c r="FLD11" s="554"/>
      <c r="FLE11" s="554"/>
      <c r="FLF11" s="554"/>
      <c r="FLG11" s="554"/>
      <c r="FLH11" s="554"/>
      <c r="FLI11" s="554"/>
      <c r="FLJ11" s="554"/>
      <c r="FLK11" s="554"/>
      <c r="FLL11" s="554"/>
      <c r="FLM11" s="554"/>
      <c r="FLN11" s="554"/>
      <c r="FLO11" s="554"/>
      <c r="FLP11" s="554"/>
      <c r="FLQ11" s="554"/>
      <c r="FLR11" s="554"/>
      <c r="FLS11" s="554"/>
      <c r="FLT11" s="554"/>
      <c r="FLU11" s="554"/>
      <c r="FLV11" s="554"/>
      <c r="FLW11" s="554"/>
      <c r="FLX11" s="554"/>
      <c r="FLY11" s="554"/>
      <c r="FLZ11" s="554"/>
      <c r="FMA11" s="554"/>
      <c r="FMB11" s="554"/>
      <c r="FMC11" s="554"/>
      <c r="FMD11" s="554"/>
      <c r="FME11" s="554"/>
      <c r="FMF11" s="554"/>
      <c r="FMG11" s="554"/>
      <c r="FMH11" s="554"/>
      <c r="FMI11" s="554"/>
      <c r="FMJ11" s="554"/>
      <c r="FMK11" s="554"/>
      <c r="FML11" s="554"/>
      <c r="FMM11" s="554"/>
      <c r="FMN11" s="554"/>
      <c r="FMO11" s="554"/>
      <c r="FMP11" s="554"/>
      <c r="FMQ11" s="554"/>
      <c r="FMR11" s="554"/>
      <c r="FMS11" s="554"/>
      <c r="FMT11" s="554"/>
      <c r="FMU11" s="554"/>
      <c r="FMV11" s="554"/>
      <c r="FMW11" s="554"/>
      <c r="FMX11" s="554"/>
      <c r="FMY11" s="554"/>
      <c r="FMZ11" s="554"/>
      <c r="FNA11" s="554"/>
      <c r="FNB11" s="554"/>
      <c r="FNC11" s="554"/>
      <c r="FND11" s="554"/>
      <c r="FNE11" s="554"/>
      <c r="FNF11" s="554"/>
      <c r="FNG11" s="554"/>
      <c r="FNH11" s="554"/>
      <c r="FNI11" s="554"/>
      <c r="FNJ11" s="554"/>
      <c r="FNK11" s="554"/>
      <c r="FNL11" s="554"/>
      <c r="FNM11" s="554"/>
      <c r="FNN11" s="554"/>
      <c r="FNO11" s="554"/>
      <c r="FNP11" s="554"/>
      <c r="FNQ11" s="554"/>
      <c r="FNR11" s="554"/>
      <c r="FNS11" s="554"/>
      <c r="FNT11" s="554"/>
      <c r="FNU11" s="554"/>
      <c r="FNV11" s="554"/>
      <c r="FNW11" s="554"/>
      <c r="FNX11" s="554"/>
      <c r="FNY11" s="554"/>
      <c r="FNZ11" s="554"/>
      <c r="FOA11" s="554"/>
      <c r="FOB11" s="554"/>
      <c r="FOC11" s="554"/>
      <c r="FOD11" s="554"/>
      <c r="FOE11" s="554"/>
      <c r="FOF11" s="554"/>
      <c r="FOG11" s="554"/>
      <c r="FOH11" s="554"/>
      <c r="FOI11" s="554"/>
      <c r="FOJ11" s="554"/>
      <c r="FOK11" s="554"/>
      <c r="FOL11" s="554"/>
      <c r="FOM11" s="554"/>
      <c r="FON11" s="554"/>
      <c r="FOO11" s="554"/>
      <c r="FOP11" s="554"/>
      <c r="FOQ11" s="554"/>
      <c r="FOR11" s="554"/>
      <c r="FOS11" s="554"/>
      <c r="FOT11" s="554"/>
      <c r="FOU11" s="554"/>
      <c r="FOV11" s="554"/>
      <c r="FOW11" s="554"/>
      <c r="FOX11" s="554"/>
      <c r="FOY11" s="554"/>
      <c r="FOZ11" s="554"/>
      <c r="FPA11" s="554"/>
      <c r="FPB11" s="554"/>
      <c r="FPC11" s="554"/>
      <c r="FPD11" s="554"/>
      <c r="FPE11" s="554"/>
      <c r="FPF11" s="554"/>
      <c r="FPG11" s="554"/>
      <c r="FPH11" s="554"/>
      <c r="FPI11" s="554"/>
      <c r="FPJ11" s="554"/>
      <c r="FPK11" s="554"/>
      <c r="FPL11" s="554"/>
      <c r="FPM11" s="554"/>
      <c r="FPN11" s="554"/>
      <c r="FPO11" s="554"/>
      <c r="FPP11" s="554"/>
      <c r="FPQ11" s="554"/>
      <c r="FPR11" s="554"/>
      <c r="FPS11" s="554"/>
      <c r="FPT11" s="554"/>
      <c r="FPU11" s="554"/>
      <c r="FPV11" s="554"/>
      <c r="FPW11" s="554"/>
      <c r="FPX11" s="554"/>
      <c r="FPY11" s="554"/>
      <c r="FPZ11" s="554"/>
      <c r="FQA11" s="554"/>
      <c r="FQB11" s="554"/>
      <c r="FQC11" s="554"/>
      <c r="FQD11" s="554"/>
      <c r="FQE11" s="554"/>
      <c r="FQF11" s="554"/>
      <c r="FQG11" s="554"/>
      <c r="FQH11" s="554"/>
      <c r="FQI11" s="554"/>
      <c r="FQJ11" s="554"/>
      <c r="FQK11" s="554"/>
      <c r="FQL11" s="554"/>
      <c r="FQM11" s="554"/>
      <c r="FQN11" s="554"/>
      <c r="FQO11" s="554"/>
      <c r="FQP11" s="554"/>
      <c r="FQQ11" s="554"/>
      <c r="FQR11" s="554"/>
      <c r="FQS11" s="554"/>
      <c r="FQT11" s="554"/>
      <c r="FQU11" s="554"/>
      <c r="FQV11" s="554"/>
      <c r="FQW11" s="554"/>
      <c r="FQX11" s="554"/>
      <c r="FQY11" s="554"/>
      <c r="FQZ11" s="554"/>
      <c r="FRA11" s="554"/>
      <c r="FRB11" s="554"/>
      <c r="FRC11" s="554"/>
      <c r="FRD11" s="554"/>
      <c r="FRE11" s="554"/>
      <c r="FRF11" s="554"/>
      <c r="FRG11" s="554"/>
      <c r="FRH11" s="554"/>
      <c r="FRI11" s="554"/>
      <c r="FRJ11" s="554"/>
      <c r="FRK11" s="554"/>
      <c r="FRL11" s="554"/>
      <c r="FRM11" s="554"/>
      <c r="FRN11" s="554"/>
      <c r="FRO11" s="554"/>
      <c r="FRP11" s="554"/>
      <c r="FRQ11" s="554"/>
      <c r="FRR11" s="554"/>
      <c r="FRS11" s="554"/>
      <c r="FRT11" s="554"/>
      <c r="FRU11" s="554"/>
      <c r="FRV11" s="554"/>
      <c r="FRW11" s="554"/>
      <c r="FRX11" s="554"/>
      <c r="FRY11" s="554"/>
      <c r="FRZ11" s="554"/>
      <c r="FSA11" s="554"/>
      <c r="FSB11" s="554"/>
      <c r="FSC11" s="554"/>
      <c r="FSD11" s="554"/>
      <c r="FSE11" s="554"/>
      <c r="FSF11" s="554"/>
      <c r="FSG11" s="554"/>
      <c r="FSH11" s="554"/>
      <c r="FSI11" s="554"/>
      <c r="FSJ11" s="554"/>
      <c r="FSK11" s="554"/>
      <c r="FSL11" s="554"/>
      <c r="FSM11" s="554"/>
      <c r="FSN11" s="554"/>
      <c r="FSO11" s="554"/>
      <c r="FSP11" s="554"/>
      <c r="FSQ11" s="554"/>
      <c r="FSR11" s="554"/>
      <c r="FSS11" s="554"/>
      <c r="FST11" s="554"/>
      <c r="FSU11" s="554"/>
      <c r="FSV11" s="554"/>
      <c r="FSW11" s="554"/>
      <c r="FSX11" s="554"/>
      <c r="FSY11" s="554"/>
      <c r="FSZ11" s="554"/>
      <c r="FTA11" s="554"/>
      <c r="FTB11" s="554"/>
      <c r="FTC11" s="554"/>
      <c r="FTD11" s="554"/>
      <c r="FTE11" s="554"/>
      <c r="FTF11" s="554"/>
      <c r="FTG11" s="554"/>
      <c r="FTH11" s="554"/>
      <c r="FTI11" s="554"/>
      <c r="FTJ11" s="554"/>
      <c r="FTK11" s="554"/>
      <c r="FTL11" s="554"/>
      <c r="FTM11" s="554"/>
      <c r="FTN11" s="554"/>
      <c r="FTO11" s="554"/>
      <c r="FTP11" s="554"/>
      <c r="FTQ11" s="554"/>
      <c r="FTR11" s="554"/>
      <c r="FTS11" s="554"/>
      <c r="FTT11" s="554"/>
      <c r="FTU11" s="554"/>
      <c r="FTV11" s="554"/>
      <c r="FTW11" s="554"/>
      <c r="FTX11" s="554"/>
      <c r="FTY11" s="554"/>
      <c r="FTZ11" s="554"/>
      <c r="FUA11" s="554"/>
      <c r="FUB11" s="554"/>
      <c r="FUC11" s="554"/>
      <c r="FUD11" s="554"/>
      <c r="FUE11" s="554"/>
      <c r="FUF11" s="554"/>
      <c r="FUG11" s="554"/>
      <c r="FUH11" s="554"/>
      <c r="FUI11" s="554"/>
      <c r="FUJ11" s="554"/>
      <c r="FUK11" s="554"/>
      <c r="FUL11" s="554"/>
      <c r="FUM11" s="554"/>
      <c r="FUN11" s="554"/>
      <c r="FUO11" s="554"/>
      <c r="FUP11" s="554"/>
      <c r="FUQ11" s="554"/>
      <c r="FUR11" s="554"/>
      <c r="FUS11" s="554"/>
      <c r="FUT11" s="554"/>
      <c r="FUU11" s="554"/>
      <c r="FUV11" s="554"/>
      <c r="FUW11" s="554"/>
      <c r="FUX11" s="554"/>
      <c r="FUY11" s="554"/>
      <c r="FUZ11" s="554"/>
      <c r="FVA11" s="554"/>
      <c r="FVB11" s="554"/>
      <c r="FVC11" s="554"/>
      <c r="FVD11" s="554"/>
      <c r="FVE11" s="554"/>
      <c r="FVF11" s="554"/>
      <c r="FVG11" s="554"/>
      <c r="FVH11" s="554"/>
      <c r="FVI11" s="554"/>
      <c r="FVJ11" s="554"/>
      <c r="FVK11" s="554"/>
      <c r="FVL11" s="554"/>
      <c r="FVM11" s="554"/>
      <c r="FVN11" s="554"/>
      <c r="FVO11" s="554"/>
      <c r="FVP11" s="554"/>
      <c r="FVQ11" s="554"/>
      <c r="FVR11" s="554"/>
      <c r="FVS11" s="554"/>
      <c r="FVT11" s="554"/>
      <c r="FVU11" s="554"/>
      <c r="FVV11" s="554"/>
      <c r="FVW11" s="554"/>
      <c r="FVX11" s="554"/>
      <c r="FVY11" s="554"/>
      <c r="FVZ11" s="554"/>
      <c r="FWA11" s="554"/>
      <c r="FWB11" s="554"/>
      <c r="FWC11" s="554"/>
      <c r="FWD11" s="554"/>
      <c r="FWE11" s="554"/>
      <c r="FWF11" s="554"/>
      <c r="FWG11" s="554"/>
      <c r="FWH11" s="554"/>
      <c r="FWI11" s="554"/>
      <c r="FWJ11" s="554"/>
      <c r="FWK11" s="554"/>
      <c r="FWL11" s="554"/>
      <c r="FWM11" s="554"/>
      <c r="FWN11" s="554"/>
      <c r="FWO11" s="554"/>
      <c r="FWP11" s="554"/>
      <c r="FWQ11" s="554"/>
      <c r="FWR11" s="554"/>
      <c r="FWS11" s="554"/>
      <c r="FWT11" s="554"/>
      <c r="FWU11" s="554"/>
      <c r="FWV11" s="554"/>
      <c r="FWW11" s="554"/>
      <c r="FWX11" s="554"/>
      <c r="FWY11" s="554"/>
      <c r="FWZ11" s="554"/>
      <c r="FXA11" s="554"/>
      <c r="FXB11" s="554"/>
      <c r="FXC11" s="554"/>
      <c r="FXD11" s="554"/>
      <c r="FXE11" s="554"/>
      <c r="FXF11" s="554"/>
      <c r="FXG11" s="554"/>
      <c r="FXH11" s="554"/>
      <c r="FXI11" s="554"/>
      <c r="FXJ11" s="554"/>
      <c r="FXK11" s="554"/>
      <c r="FXL11" s="554"/>
      <c r="FXM11" s="554"/>
      <c r="FXN11" s="554"/>
      <c r="FXO11" s="554"/>
      <c r="FXP11" s="554"/>
      <c r="FXQ11" s="554"/>
      <c r="FXR11" s="554"/>
      <c r="FXS11" s="554"/>
      <c r="FXT11" s="554"/>
      <c r="FXU11" s="554"/>
      <c r="FXV11" s="554"/>
      <c r="FXW11" s="554"/>
      <c r="FXX11" s="554"/>
      <c r="FXY11" s="554"/>
      <c r="FXZ11" s="554"/>
      <c r="FYA11" s="554"/>
      <c r="FYB11" s="554"/>
      <c r="FYC11" s="554"/>
      <c r="FYD11" s="554"/>
      <c r="FYE11" s="554"/>
      <c r="FYF11" s="554"/>
      <c r="FYG11" s="554"/>
      <c r="FYH11" s="554"/>
      <c r="FYI11" s="554"/>
      <c r="FYJ11" s="554"/>
      <c r="FYK11" s="554"/>
      <c r="FYL11" s="554"/>
      <c r="FYM11" s="554"/>
      <c r="FYN11" s="554"/>
      <c r="FYO11" s="554"/>
      <c r="FYP11" s="554"/>
      <c r="FYQ11" s="554"/>
      <c r="FYR11" s="554"/>
      <c r="FYS11" s="554"/>
      <c r="FYT11" s="554"/>
      <c r="FYU11" s="554"/>
      <c r="FYV11" s="554"/>
      <c r="FYW11" s="554"/>
      <c r="FYX11" s="554"/>
      <c r="FYY11" s="554"/>
      <c r="FYZ11" s="554"/>
      <c r="FZA11" s="554"/>
      <c r="FZB11" s="554"/>
      <c r="FZC11" s="554"/>
      <c r="FZD11" s="554"/>
      <c r="FZE11" s="554"/>
      <c r="FZF11" s="554"/>
      <c r="FZG11" s="554"/>
      <c r="FZH11" s="554"/>
      <c r="FZI11" s="554"/>
      <c r="FZJ11" s="554"/>
      <c r="FZK11" s="554"/>
      <c r="FZL11" s="554"/>
      <c r="FZM11" s="554"/>
      <c r="FZN11" s="554"/>
      <c r="FZO11" s="554"/>
      <c r="FZP11" s="554"/>
      <c r="FZQ11" s="554"/>
      <c r="FZR11" s="554"/>
      <c r="FZS11" s="554"/>
      <c r="FZT11" s="554"/>
      <c r="FZU11" s="554"/>
      <c r="FZV11" s="554"/>
      <c r="FZW11" s="554"/>
      <c r="FZX11" s="554"/>
      <c r="FZY11" s="554"/>
      <c r="FZZ11" s="554"/>
      <c r="GAA11" s="554"/>
      <c r="GAB11" s="554"/>
      <c r="GAC11" s="554"/>
      <c r="GAD11" s="554"/>
      <c r="GAE11" s="554"/>
      <c r="GAF11" s="554"/>
      <c r="GAG11" s="554"/>
      <c r="GAH11" s="554"/>
      <c r="GAI11" s="554"/>
      <c r="GAJ11" s="554"/>
      <c r="GAK11" s="554"/>
      <c r="GAL11" s="554"/>
      <c r="GAM11" s="554"/>
      <c r="GAN11" s="554"/>
      <c r="GAO11" s="554"/>
      <c r="GAP11" s="554"/>
      <c r="GAQ11" s="554"/>
      <c r="GAR11" s="554"/>
      <c r="GAS11" s="554"/>
      <c r="GAT11" s="554"/>
      <c r="GAU11" s="554"/>
      <c r="GAV11" s="554"/>
      <c r="GAW11" s="554"/>
      <c r="GAX11" s="554"/>
      <c r="GAY11" s="554"/>
      <c r="GAZ11" s="554"/>
      <c r="GBA11" s="554"/>
      <c r="GBB11" s="554"/>
      <c r="GBC11" s="554"/>
      <c r="GBD11" s="554"/>
      <c r="GBE11" s="554"/>
      <c r="GBF11" s="554"/>
      <c r="GBG11" s="554"/>
      <c r="GBH11" s="554"/>
      <c r="GBI11" s="554"/>
      <c r="GBJ11" s="554"/>
      <c r="GBK11" s="554"/>
      <c r="GBL11" s="554"/>
      <c r="GBM11" s="554"/>
      <c r="GBN11" s="554"/>
      <c r="GBO11" s="554"/>
      <c r="GBP11" s="554"/>
      <c r="GBQ11" s="554"/>
      <c r="GBR11" s="554"/>
      <c r="GBS11" s="554"/>
      <c r="GBT11" s="554"/>
      <c r="GBU11" s="554"/>
      <c r="GBV11" s="554"/>
      <c r="GBW11" s="554"/>
      <c r="GBX11" s="554"/>
      <c r="GBY11" s="554"/>
      <c r="GBZ11" s="554"/>
      <c r="GCA11" s="554"/>
      <c r="GCB11" s="554"/>
      <c r="GCC11" s="554"/>
      <c r="GCD11" s="554"/>
      <c r="GCE11" s="554"/>
      <c r="GCF11" s="554"/>
      <c r="GCG11" s="554"/>
      <c r="GCH11" s="554"/>
      <c r="GCI11" s="554"/>
      <c r="GCJ11" s="554"/>
      <c r="GCK11" s="554"/>
      <c r="GCL11" s="554"/>
      <c r="GCM11" s="554"/>
      <c r="GCN11" s="554"/>
      <c r="GCO11" s="554"/>
      <c r="GCP11" s="554"/>
      <c r="GCQ11" s="554"/>
      <c r="GCR11" s="554"/>
      <c r="GCS11" s="554"/>
      <c r="GCT11" s="554"/>
      <c r="GCU11" s="554"/>
      <c r="GCV11" s="554"/>
      <c r="GCW11" s="554"/>
      <c r="GCX11" s="554"/>
      <c r="GCY11" s="554"/>
      <c r="GCZ11" s="554"/>
      <c r="GDA11" s="554"/>
      <c r="GDB11" s="554"/>
      <c r="GDC11" s="554"/>
      <c r="GDD11" s="554"/>
      <c r="GDE11" s="554"/>
      <c r="GDF11" s="554"/>
      <c r="GDG11" s="554"/>
      <c r="GDH11" s="554"/>
      <c r="GDI11" s="554"/>
      <c r="GDJ11" s="554"/>
      <c r="GDK11" s="554"/>
      <c r="GDL11" s="554"/>
      <c r="GDM11" s="554"/>
      <c r="GDN11" s="554"/>
      <c r="GDO11" s="554"/>
      <c r="GDP11" s="554"/>
      <c r="GDQ11" s="554"/>
      <c r="GDR11" s="554"/>
      <c r="GDS11" s="554"/>
      <c r="GDT11" s="554"/>
      <c r="GDU11" s="554"/>
      <c r="GDV11" s="554"/>
      <c r="GDW11" s="554"/>
      <c r="GDX11" s="554"/>
      <c r="GDY11" s="554"/>
      <c r="GDZ11" s="554"/>
      <c r="GEA11" s="554"/>
      <c r="GEB11" s="554"/>
      <c r="GEC11" s="554"/>
      <c r="GED11" s="554"/>
      <c r="GEE11" s="554"/>
      <c r="GEF11" s="554"/>
      <c r="GEG11" s="554"/>
      <c r="GEH11" s="554"/>
      <c r="GEI11" s="554"/>
      <c r="GEJ11" s="554"/>
      <c r="GEK11" s="554"/>
      <c r="GEL11" s="554"/>
      <c r="GEM11" s="554"/>
      <c r="GEN11" s="554"/>
      <c r="GEO11" s="554"/>
      <c r="GEP11" s="554"/>
      <c r="GEQ11" s="554"/>
      <c r="GER11" s="554"/>
      <c r="GES11" s="554"/>
      <c r="GET11" s="554"/>
      <c r="GEU11" s="554"/>
      <c r="GEV11" s="554"/>
      <c r="GEW11" s="554"/>
      <c r="GEX11" s="554"/>
      <c r="GEY11" s="554"/>
      <c r="GEZ11" s="554"/>
      <c r="GFA11" s="554"/>
      <c r="GFB11" s="554"/>
      <c r="GFC11" s="554"/>
      <c r="GFD11" s="554"/>
      <c r="GFE11" s="554"/>
      <c r="GFF11" s="554"/>
      <c r="GFG11" s="554"/>
      <c r="GFH11" s="554"/>
      <c r="GFI11" s="554"/>
      <c r="GFJ11" s="554"/>
      <c r="GFK11" s="554"/>
      <c r="GFL11" s="554"/>
      <c r="GFM11" s="554"/>
      <c r="GFN11" s="554"/>
      <c r="GFO11" s="554"/>
      <c r="GFP11" s="554"/>
      <c r="GFQ11" s="554"/>
      <c r="GFR11" s="554"/>
      <c r="GFS11" s="554"/>
      <c r="GFT11" s="554"/>
      <c r="GFU11" s="554"/>
      <c r="GFV11" s="554"/>
      <c r="GFW11" s="554"/>
      <c r="GFX11" s="554"/>
      <c r="GFY11" s="554"/>
      <c r="GFZ11" s="554"/>
      <c r="GGA11" s="554"/>
      <c r="GGB11" s="554"/>
      <c r="GGC11" s="554"/>
      <c r="GGD11" s="554"/>
      <c r="GGE11" s="554"/>
      <c r="GGF11" s="554"/>
      <c r="GGG11" s="554"/>
      <c r="GGH11" s="554"/>
      <c r="GGI11" s="554"/>
      <c r="GGJ11" s="554"/>
      <c r="GGK11" s="554"/>
      <c r="GGL11" s="554"/>
      <c r="GGM11" s="554"/>
      <c r="GGN11" s="554"/>
      <c r="GGO11" s="554"/>
      <c r="GGP11" s="554"/>
      <c r="GGQ11" s="554"/>
      <c r="GGR11" s="554"/>
      <c r="GGS11" s="554"/>
      <c r="GGT11" s="554"/>
      <c r="GGU11" s="554"/>
      <c r="GGV11" s="554"/>
      <c r="GGW11" s="554"/>
      <c r="GGX11" s="554"/>
      <c r="GGY11" s="554"/>
      <c r="GGZ11" s="554"/>
      <c r="GHA11" s="554"/>
      <c r="GHB11" s="554"/>
      <c r="GHC11" s="554"/>
      <c r="GHD11" s="554"/>
      <c r="GHE11" s="554"/>
      <c r="GHF11" s="554"/>
      <c r="GHG11" s="554"/>
      <c r="GHH11" s="554"/>
      <c r="GHI11" s="554"/>
      <c r="GHJ11" s="554"/>
      <c r="GHK11" s="554"/>
      <c r="GHL11" s="554"/>
      <c r="GHM11" s="554"/>
      <c r="GHN11" s="554"/>
      <c r="GHO11" s="554"/>
      <c r="GHP11" s="554"/>
      <c r="GHQ11" s="554"/>
      <c r="GHR11" s="554"/>
      <c r="GHS11" s="554"/>
      <c r="GHT11" s="554"/>
      <c r="GHU11" s="554"/>
      <c r="GHV11" s="554"/>
      <c r="GHW11" s="554"/>
      <c r="GHX11" s="554"/>
      <c r="GHY11" s="554"/>
      <c r="GHZ11" s="554"/>
      <c r="GIA11" s="554"/>
      <c r="GIB11" s="554"/>
      <c r="GIC11" s="554"/>
      <c r="GID11" s="554"/>
      <c r="GIE11" s="554"/>
      <c r="GIF11" s="554"/>
      <c r="GIG11" s="554"/>
      <c r="GIH11" s="554"/>
      <c r="GII11" s="554"/>
      <c r="GIJ11" s="554"/>
      <c r="GIK11" s="554"/>
      <c r="GIL11" s="554"/>
      <c r="GIM11" s="554"/>
      <c r="GIN11" s="554"/>
      <c r="GIO11" s="554"/>
      <c r="GIP11" s="554"/>
      <c r="GIQ11" s="554"/>
      <c r="GIR11" s="554"/>
      <c r="GIS11" s="554"/>
      <c r="GIT11" s="554"/>
      <c r="GIU11" s="554"/>
      <c r="GIV11" s="554"/>
      <c r="GIW11" s="554"/>
      <c r="GIX11" s="554"/>
      <c r="GIY11" s="554"/>
      <c r="GIZ11" s="554"/>
      <c r="GJA11" s="554"/>
      <c r="GJB11" s="554"/>
      <c r="GJC11" s="554"/>
      <c r="GJD11" s="554"/>
      <c r="GJE11" s="554"/>
      <c r="GJF11" s="554"/>
      <c r="GJG11" s="554"/>
      <c r="GJH11" s="554"/>
      <c r="GJI11" s="554"/>
      <c r="GJJ11" s="554"/>
      <c r="GJK11" s="554"/>
      <c r="GJL11" s="554"/>
      <c r="GJM11" s="554"/>
      <c r="GJN11" s="554"/>
      <c r="GJO11" s="554"/>
      <c r="GJP11" s="554"/>
      <c r="GJQ11" s="554"/>
      <c r="GJR11" s="554"/>
      <c r="GJS11" s="554"/>
      <c r="GJT11" s="554"/>
      <c r="GJU11" s="554"/>
      <c r="GJV11" s="554"/>
      <c r="GJW11" s="554"/>
      <c r="GJX11" s="554"/>
      <c r="GJY11" s="554"/>
      <c r="GJZ11" s="554"/>
      <c r="GKA11" s="554"/>
      <c r="GKB11" s="554"/>
      <c r="GKC11" s="554"/>
      <c r="GKD11" s="554"/>
      <c r="GKE11" s="554"/>
      <c r="GKF11" s="554"/>
      <c r="GKG11" s="554"/>
      <c r="GKH11" s="554"/>
      <c r="GKI11" s="554"/>
      <c r="GKJ11" s="554"/>
      <c r="GKK11" s="554"/>
      <c r="GKL11" s="554"/>
      <c r="GKM11" s="554"/>
      <c r="GKN11" s="554"/>
      <c r="GKO11" s="554"/>
      <c r="GKP11" s="554"/>
      <c r="GKQ11" s="554"/>
      <c r="GKR11" s="554"/>
      <c r="GKS11" s="554"/>
      <c r="GKT11" s="554"/>
      <c r="GKU11" s="554"/>
      <c r="GKV11" s="554"/>
      <c r="GKW11" s="554"/>
      <c r="GKX11" s="554"/>
      <c r="GKY11" s="554"/>
      <c r="GKZ11" s="554"/>
      <c r="GLA11" s="554"/>
      <c r="GLB11" s="554"/>
      <c r="GLC11" s="554"/>
      <c r="GLD11" s="554"/>
      <c r="GLE11" s="554"/>
      <c r="GLF11" s="554"/>
      <c r="GLG11" s="554"/>
      <c r="GLH11" s="554"/>
      <c r="GLI11" s="554"/>
      <c r="GLJ11" s="554"/>
      <c r="GLK11" s="554"/>
      <c r="GLL11" s="554"/>
      <c r="GLM11" s="554"/>
      <c r="GLN11" s="554"/>
      <c r="GLO11" s="554"/>
      <c r="GLP11" s="554"/>
      <c r="GLQ11" s="554"/>
      <c r="GLR11" s="554"/>
      <c r="GLS11" s="554"/>
      <c r="GLT11" s="554"/>
      <c r="GLU11" s="554"/>
      <c r="GLV11" s="554"/>
      <c r="GLW11" s="554"/>
      <c r="GLX11" s="554"/>
      <c r="GLY11" s="554"/>
      <c r="GLZ11" s="554"/>
      <c r="GMA11" s="554"/>
      <c r="GMB11" s="554"/>
      <c r="GMC11" s="554"/>
      <c r="GMD11" s="554"/>
      <c r="GME11" s="554"/>
      <c r="GMF11" s="554"/>
      <c r="GMG11" s="554"/>
      <c r="GMH11" s="554"/>
      <c r="GMI11" s="554"/>
      <c r="GMJ11" s="554"/>
      <c r="GMK11" s="554"/>
      <c r="GML11" s="554"/>
      <c r="GMM11" s="554"/>
      <c r="GMN11" s="554"/>
      <c r="GMO11" s="554"/>
      <c r="GMP11" s="554"/>
      <c r="GMQ11" s="554"/>
      <c r="GMR11" s="554"/>
      <c r="GMS11" s="554"/>
      <c r="GMT11" s="554"/>
      <c r="GMU11" s="554"/>
      <c r="GMV11" s="554"/>
      <c r="GMW11" s="554"/>
      <c r="GMX11" s="554"/>
      <c r="GMY11" s="554"/>
      <c r="GMZ11" s="554"/>
      <c r="GNA11" s="554"/>
      <c r="GNB11" s="554"/>
      <c r="GNC11" s="554"/>
      <c r="GND11" s="554"/>
      <c r="GNE11" s="554"/>
      <c r="GNF11" s="554"/>
      <c r="GNG11" s="554"/>
      <c r="GNH11" s="554"/>
      <c r="GNI11" s="554"/>
      <c r="GNJ11" s="554"/>
      <c r="GNK11" s="554"/>
      <c r="GNL11" s="554"/>
      <c r="GNM11" s="554"/>
      <c r="GNN11" s="554"/>
      <c r="GNO11" s="554"/>
      <c r="GNP11" s="554"/>
      <c r="GNQ11" s="554"/>
      <c r="GNR11" s="554"/>
      <c r="GNS11" s="554"/>
      <c r="GNT11" s="554"/>
      <c r="GNU11" s="554"/>
      <c r="GNV11" s="554"/>
      <c r="GNW11" s="554"/>
      <c r="GNX11" s="554"/>
      <c r="GNY11" s="554"/>
      <c r="GNZ11" s="554"/>
      <c r="GOA11" s="554"/>
      <c r="GOB11" s="554"/>
      <c r="GOC11" s="554"/>
      <c r="GOD11" s="554"/>
      <c r="GOE11" s="554"/>
      <c r="GOF11" s="554"/>
      <c r="GOG11" s="554"/>
      <c r="GOH11" s="554"/>
      <c r="GOI11" s="554"/>
      <c r="GOJ11" s="554"/>
      <c r="GOK11" s="554"/>
      <c r="GOL11" s="554"/>
      <c r="GOM11" s="554"/>
      <c r="GON11" s="554"/>
      <c r="GOO11" s="554"/>
      <c r="GOP11" s="554"/>
      <c r="GOQ11" s="554"/>
      <c r="GOR11" s="554"/>
      <c r="GOS11" s="554"/>
      <c r="GOT11" s="554"/>
      <c r="GOU11" s="554"/>
      <c r="GOV11" s="554"/>
      <c r="GOW11" s="554"/>
      <c r="GOX11" s="554"/>
      <c r="GOY11" s="554"/>
      <c r="GOZ11" s="554"/>
      <c r="GPA11" s="554"/>
      <c r="GPB11" s="554"/>
      <c r="GPC11" s="554"/>
      <c r="GPD11" s="554"/>
      <c r="GPE11" s="554"/>
      <c r="GPF11" s="554"/>
      <c r="GPG11" s="554"/>
      <c r="GPH11" s="554"/>
      <c r="GPI11" s="554"/>
      <c r="GPJ11" s="554"/>
      <c r="GPK11" s="554"/>
      <c r="GPL11" s="554"/>
      <c r="GPM11" s="554"/>
      <c r="GPN11" s="554"/>
      <c r="GPO11" s="554"/>
      <c r="GPP11" s="554"/>
      <c r="GPQ11" s="554"/>
      <c r="GPR11" s="554"/>
      <c r="GPS11" s="554"/>
      <c r="GPT11" s="554"/>
      <c r="GPU11" s="554"/>
      <c r="GPV11" s="554"/>
      <c r="GPW11" s="554"/>
      <c r="GPX11" s="554"/>
      <c r="GPY11" s="554"/>
      <c r="GPZ11" s="554"/>
      <c r="GQA11" s="554"/>
      <c r="GQB11" s="554"/>
      <c r="GQC11" s="554"/>
      <c r="GQD11" s="554"/>
      <c r="GQE11" s="554"/>
      <c r="GQF11" s="554"/>
      <c r="GQG11" s="554"/>
      <c r="GQH11" s="554"/>
      <c r="GQI11" s="554"/>
      <c r="GQJ11" s="554"/>
      <c r="GQK11" s="554"/>
      <c r="GQL11" s="554"/>
      <c r="GQM11" s="554"/>
      <c r="GQN11" s="554"/>
      <c r="GQO11" s="554"/>
      <c r="GQP11" s="554"/>
      <c r="GQQ11" s="554"/>
      <c r="GQR11" s="554"/>
      <c r="GQS11" s="554"/>
      <c r="GQT11" s="554"/>
      <c r="GQU11" s="554"/>
      <c r="GQV11" s="554"/>
      <c r="GQW11" s="554"/>
      <c r="GQX11" s="554"/>
      <c r="GQY11" s="554"/>
      <c r="GQZ11" s="554"/>
      <c r="GRA11" s="554"/>
      <c r="GRB11" s="554"/>
      <c r="GRC11" s="554"/>
      <c r="GRD11" s="554"/>
      <c r="GRE11" s="554"/>
      <c r="GRF11" s="554"/>
      <c r="GRG11" s="554"/>
      <c r="GRH11" s="554"/>
      <c r="GRI11" s="554"/>
      <c r="GRJ11" s="554"/>
      <c r="GRK11" s="554"/>
      <c r="GRL11" s="554"/>
      <c r="GRM11" s="554"/>
      <c r="GRN11" s="554"/>
      <c r="GRO11" s="554"/>
      <c r="GRP11" s="554"/>
      <c r="GRQ11" s="554"/>
      <c r="GRR11" s="554"/>
      <c r="GRS11" s="554"/>
      <c r="GRT11" s="554"/>
      <c r="GRU11" s="554"/>
      <c r="GRV11" s="554"/>
      <c r="GRW11" s="554"/>
      <c r="GRX11" s="554"/>
      <c r="GRY11" s="554"/>
      <c r="GRZ11" s="554"/>
      <c r="GSA11" s="554"/>
      <c r="GSB11" s="554"/>
      <c r="GSC11" s="554"/>
      <c r="GSD11" s="554"/>
      <c r="GSE11" s="554"/>
      <c r="GSF11" s="554"/>
      <c r="GSG11" s="554"/>
      <c r="GSH11" s="554"/>
      <c r="GSI11" s="554"/>
      <c r="GSJ11" s="554"/>
      <c r="GSK11" s="554"/>
      <c r="GSL11" s="554"/>
      <c r="GSM11" s="554"/>
      <c r="GSN11" s="554"/>
      <c r="GSO11" s="554"/>
      <c r="GSP11" s="554"/>
      <c r="GSQ11" s="554"/>
      <c r="GSR11" s="554"/>
      <c r="GSS11" s="554"/>
      <c r="GST11" s="554"/>
      <c r="GSU11" s="554"/>
      <c r="GSV11" s="554"/>
      <c r="GSW11" s="554"/>
      <c r="GSX11" s="554"/>
      <c r="GSY11" s="554"/>
      <c r="GSZ11" s="554"/>
      <c r="GTA11" s="554"/>
      <c r="GTB11" s="554"/>
      <c r="GTC11" s="554"/>
      <c r="GTD11" s="554"/>
      <c r="GTE11" s="554"/>
      <c r="GTF11" s="554"/>
      <c r="GTG11" s="554"/>
      <c r="GTH11" s="554"/>
      <c r="GTI11" s="554"/>
      <c r="GTJ11" s="554"/>
      <c r="GTK11" s="554"/>
      <c r="GTL11" s="554"/>
      <c r="GTM11" s="554"/>
      <c r="GTN11" s="554"/>
      <c r="GTO11" s="554"/>
      <c r="GTP11" s="554"/>
      <c r="GTQ11" s="554"/>
      <c r="GTR11" s="554"/>
      <c r="GTS11" s="554"/>
      <c r="GTT11" s="554"/>
      <c r="GTU11" s="554"/>
      <c r="GTV11" s="554"/>
      <c r="GTW11" s="554"/>
      <c r="GTX11" s="554"/>
      <c r="GTY11" s="554"/>
      <c r="GTZ11" s="554"/>
      <c r="GUA11" s="554"/>
      <c r="GUB11" s="554"/>
      <c r="GUC11" s="554"/>
      <c r="GUD11" s="554"/>
      <c r="GUE11" s="554"/>
      <c r="GUF11" s="554"/>
      <c r="GUG11" s="554"/>
      <c r="GUH11" s="554"/>
      <c r="GUI11" s="554"/>
      <c r="GUJ11" s="554"/>
      <c r="GUK11" s="554"/>
      <c r="GUL11" s="554"/>
      <c r="GUM11" s="554"/>
      <c r="GUN11" s="554"/>
      <c r="GUO11" s="554"/>
      <c r="GUP11" s="554"/>
      <c r="GUQ11" s="554"/>
      <c r="GUR11" s="554"/>
      <c r="GUS11" s="554"/>
      <c r="GUT11" s="554"/>
      <c r="GUU11" s="554"/>
      <c r="GUV11" s="554"/>
      <c r="GUW11" s="554"/>
      <c r="GUX11" s="554"/>
      <c r="GUY11" s="554"/>
      <c r="GUZ11" s="554"/>
      <c r="GVA11" s="554"/>
      <c r="GVB11" s="554"/>
      <c r="GVC11" s="554"/>
      <c r="GVD11" s="554"/>
      <c r="GVE11" s="554"/>
      <c r="GVF11" s="554"/>
      <c r="GVG11" s="554"/>
      <c r="GVH11" s="554"/>
      <c r="GVI11" s="554"/>
      <c r="GVJ11" s="554"/>
      <c r="GVK11" s="554"/>
      <c r="GVL11" s="554"/>
      <c r="GVM11" s="554"/>
      <c r="GVN11" s="554"/>
      <c r="GVO11" s="554"/>
      <c r="GVP11" s="554"/>
      <c r="GVQ11" s="554"/>
      <c r="GVR11" s="554"/>
      <c r="GVS11" s="554"/>
      <c r="GVT11" s="554"/>
      <c r="GVU11" s="554"/>
      <c r="GVV11" s="554"/>
      <c r="GVW11" s="554"/>
      <c r="GVX11" s="554"/>
      <c r="GVY11" s="554"/>
      <c r="GVZ11" s="554"/>
      <c r="GWA11" s="554"/>
      <c r="GWB11" s="554"/>
      <c r="GWC11" s="554"/>
      <c r="GWD11" s="554"/>
      <c r="GWE11" s="554"/>
      <c r="GWF11" s="554"/>
      <c r="GWG11" s="554"/>
      <c r="GWH11" s="554"/>
      <c r="GWI11" s="554"/>
      <c r="GWJ11" s="554"/>
      <c r="GWK11" s="554"/>
      <c r="GWL11" s="554"/>
      <c r="GWM11" s="554"/>
      <c r="GWN11" s="554"/>
      <c r="GWO11" s="554"/>
      <c r="GWP11" s="554"/>
      <c r="GWQ11" s="554"/>
      <c r="GWR11" s="554"/>
      <c r="GWS11" s="554"/>
      <c r="GWT11" s="554"/>
      <c r="GWU11" s="554"/>
      <c r="GWV11" s="554"/>
      <c r="GWW11" s="554"/>
      <c r="GWX11" s="554"/>
      <c r="GWY11" s="554"/>
      <c r="GWZ11" s="554"/>
      <c r="GXA11" s="554"/>
      <c r="GXB11" s="554"/>
      <c r="GXC11" s="554"/>
      <c r="GXD11" s="554"/>
      <c r="GXE11" s="554"/>
      <c r="GXF11" s="554"/>
      <c r="GXG11" s="554"/>
      <c r="GXH11" s="554"/>
      <c r="GXI11" s="554"/>
      <c r="GXJ11" s="554"/>
      <c r="GXK11" s="554"/>
      <c r="GXL11" s="554"/>
      <c r="GXM11" s="554"/>
      <c r="GXN11" s="554"/>
      <c r="GXO11" s="554"/>
      <c r="GXP11" s="554"/>
      <c r="GXQ11" s="554"/>
      <c r="GXR11" s="554"/>
      <c r="GXS11" s="554"/>
      <c r="GXT11" s="554"/>
      <c r="GXU11" s="554"/>
      <c r="GXV11" s="554"/>
      <c r="GXW11" s="554"/>
      <c r="GXX11" s="554"/>
      <c r="GXY11" s="554"/>
      <c r="GXZ11" s="554"/>
      <c r="GYA11" s="554"/>
      <c r="GYB11" s="554"/>
      <c r="GYC11" s="554"/>
      <c r="GYD11" s="554"/>
      <c r="GYE11" s="554"/>
      <c r="GYF11" s="554"/>
      <c r="GYG11" s="554"/>
      <c r="GYH11" s="554"/>
      <c r="GYI11" s="554"/>
      <c r="GYJ11" s="554"/>
      <c r="GYK11" s="554"/>
      <c r="GYL11" s="554"/>
      <c r="GYM11" s="554"/>
      <c r="GYN11" s="554"/>
      <c r="GYO11" s="554"/>
      <c r="GYP11" s="554"/>
      <c r="GYQ11" s="554"/>
      <c r="GYR11" s="554"/>
      <c r="GYS11" s="554"/>
      <c r="GYT11" s="554"/>
      <c r="GYU11" s="554"/>
      <c r="GYV11" s="554"/>
      <c r="GYW11" s="554"/>
      <c r="GYX11" s="554"/>
      <c r="GYY11" s="554"/>
      <c r="GYZ11" s="554"/>
      <c r="GZA11" s="554"/>
      <c r="GZB11" s="554"/>
      <c r="GZC11" s="554"/>
      <c r="GZD11" s="554"/>
      <c r="GZE11" s="554"/>
      <c r="GZF11" s="554"/>
      <c r="GZG11" s="554"/>
      <c r="GZH11" s="554"/>
      <c r="GZI11" s="554"/>
      <c r="GZJ11" s="554"/>
      <c r="GZK11" s="554"/>
      <c r="GZL11" s="554"/>
      <c r="GZM11" s="554"/>
      <c r="GZN11" s="554"/>
      <c r="GZO11" s="554"/>
      <c r="GZP11" s="554"/>
      <c r="GZQ11" s="554"/>
      <c r="GZR11" s="554"/>
      <c r="GZS11" s="554"/>
      <c r="GZT11" s="554"/>
      <c r="GZU11" s="554"/>
      <c r="GZV11" s="554"/>
      <c r="GZW11" s="554"/>
      <c r="GZX11" s="554"/>
      <c r="GZY11" s="554"/>
      <c r="GZZ11" s="554"/>
      <c r="HAA11" s="554"/>
      <c r="HAB11" s="554"/>
      <c r="HAC11" s="554"/>
      <c r="HAD11" s="554"/>
      <c r="HAE11" s="554"/>
      <c r="HAF11" s="554"/>
      <c r="HAG11" s="554"/>
      <c r="HAH11" s="554"/>
      <c r="HAI11" s="554"/>
      <c r="HAJ11" s="554"/>
      <c r="HAK11" s="554"/>
      <c r="HAL11" s="554"/>
      <c r="HAM11" s="554"/>
      <c r="HAN11" s="554"/>
      <c r="HAO11" s="554"/>
      <c r="HAP11" s="554"/>
      <c r="HAQ11" s="554"/>
      <c r="HAR11" s="554"/>
      <c r="HAS11" s="554"/>
      <c r="HAT11" s="554"/>
      <c r="HAU11" s="554"/>
      <c r="HAV11" s="554"/>
      <c r="HAW11" s="554"/>
      <c r="HAX11" s="554"/>
      <c r="HAY11" s="554"/>
      <c r="HAZ11" s="554"/>
      <c r="HBA11" s="554"/>
      <c r="HBB11" s="554"/>
      <c r="HBC11" s="554"/>
      <c r="HBD11" s="554"/>
      <c r="HBE11" s="554"/>
      <c r="HBF11" s="554"/>
      <c r="HBG11" s="554"/>
      <c r="HBH11" s="554"/>
      <c r="HBI11" s="554"/>
      <c r="HBJ11" s="554"/>
      <c r="HBK11" s="554"/>
      <c r="HBL11" s="554"/>
      <c r="HBM11" s="554"/>
      <c r="HBN11" s="554"/>
      <c r="HBO11" s="554"/>
      <c r="HBP11" s="554"/>
      <c r="HBQ11" s="554"/>
      <c r="HBR11" s="554"/>
      <c r="HBS11" s="554"/>
      <c r="HBT11" s="554"/>
      <c r="HBU11" s="554"/>
      <c r="HBV11" s="554"/>
      <c r="HBW11" s="554"/>
      <c r="HBX11" s="554"/>
      <c r="HBY11" s="554"/>
      <c r="HBZ11" s="554"/>
      <c r="HCA11" s="554"/>
      <c r="HCB11" s="554"/>
      <c r="HCC11" s="554"/>
      <c r="HCD11" s="554"/>
      <c r="HCE11" s="554"/>
      <c r="HCF11" s="554"/>
      <c r="HCG11" s="554"/>
      <c r="HCH11" s="554"/>
      <c r="HCI11" s="554"/>
      <c r="HCJ11" s="554"/>
      <c r="HCK11" s="554"/>
      <c r="HCL11" s="554"/>
      <c r="HCM11" s="554"/>
      <c r="HCN11" s="554"/>
      <c r="HCO11" s="554"/>
      <c r="HCP11" s="554"/>
      <c r="HCQ11" s="554"/>
      <c r="HCR11" s="554"/>
      <c r="HCS11" s="554"/>
      <c r="HCT11" s="554"/>
      <c r="HCU11" s="554"/>
      <c r="HCV11" s="554"/>
      <c r="HCW11" s="554"/>
      <c r="HCX11" s="554"/>
      <c r="HCY11" s="554"/>
      <c r="HCZ11" s="554"/>
      <c r="HDA11" s="554"/>
      <c r="HDB11" s="554"/>
      <c r="HDC11" s="554"/>
      <c r="HDD11" s="554"/>
      <c r="HDE11" s="554"/>
      <c r="HDF11" s="554"/>
      <c r="HDG11" s="554"/>
      <c r="HDH11" s="554"/>
      <c r="HDI11" s="554"/>
      <c r="HDJ11" s="554"/>
      <c r="HDK11" s="554"/>
      <c r="HDL11" s="554"/>
      <c r="HDM11" s="554"/>
      <c r="HDN11" s="554"/>
      <c r="HDO11" s="554"/>
      <c r="HDP11" s="554"/>
      <c r="HDQ11" s="554"/>
      <c r="HDR11" s="554"/>
      <c r="HDS11" s="554"/>
      <c r="HDT11" s="554"/>
      <c r="HDU11" s="554"/>
      <c r="HDV11" s="554"/>
      <c r="HDW11" s="554"/>
      <c r="HDX11" s="554"/>
      <c r="HDY11" s="554"/>
      <c r="HDZ11" s="554"/>
      <c r="HEA11" s="554"/>
      <c r="HEB11" s="554"/>
      <c r="HEC11" s="554"/>
      <c r="HED11" s="554"/>
      <c r="HEE11" s="554"/>
      <c r="HEF11" s="554"/>
      <c r="HEG11" s="554"/>
      <c r="HEH11" s="554"/>
      <c r="HEI11" s="554"/>
      <c r="HEJ11" s="554"/>
      <c r="HEK11" s="554"/>
      <c r="HEL11" s="554"/>
      <c r="HEM11" s="554"/>
      <c r="HEN11" s="554"/>
      <c r="HEO11" s="554"/>
      <c r="HEP11" s="554"/>
      <c r="HEQ11" s="554"/>
      <c r="HER11" s="554"/>
      <c r="HES11" s="554"/>
      <c r="HET11" s="554"/>
      <c r="HEU11" s="554"/>
      <c r="HEV11" s="554"/>
      <c r="HEW11" s="554"/>
      <c r="HEX11" s="554"/>
      <c r="HEY11" s="554"/>
      <c r="HEZ11" s="554"/>
      <c r="HFA11" s="554"/>
      <c r="HFB11" s="554"/>
      <c r="HFC11" s="554"/>
      <c r="HFD11" s="554"/>
      <c r="HFE11" s="554"/>
      <c r="HFF11" s="554"/>
      <c r="HFG11" s="554"/>
      <c r="HFH11" s="554"/>
      <c r="HFI11" s="554"/>
      <c r="HFJ11" s="554"/>
      <c r="HFK11" s="554"/>
      <c r="HFL11" s="554"/>
      <c r="HFM11" s="554"/>
      <c r="HFN11" s="554"/>
      <c r="HFO11" s="554"/>
      <c r="HFP11" s="554"/>
      <c r="HFQ11" s="554"/>
      <c r="HFR11" s="554"/>
      <c r="HFS11" s="554"/>
      <c r="HFT11" s="554"/>
      <c r="HFU11" s="554"/>
      <c r="HFV11" s="554"/>
      <c r="HFW11" s="554"/>
      <c r="HFX11" s="554"/>
      <c r="HFY11" s="554"/>
      <c r="HFZ11" s="554"/>
      <c r="HGA11" s="554"/>
      <c r="HGB11" s="554"/>
      <c r="HGC11" s="554"/>
      <c r="HGD11" s="554"/>
      <c r="HGE11" s="554"/>
      <c r="HGF11" s="554"/>
      <c r="HGG11" s="554"/>
      <c r="HGH11" s="554"/>
      <c r="HGI11" s="554"/>
      <c r="HGJ11" s="554"/>
      <c r="HGK11" s="554"/>
      <c r="HGL11" s="554"/>
      <c r="HGM11" s="554"/>
      <c r="HGN11" s="554"/>
      <c r="HGO11" s="554"/>
      <c r="HGP11" s="554"/>
      <c r="HGQ11" s="554"/>
      <c r="HGR11" s="554"/>
      <c r="HGS11" s="554"/>
      <c r="HGT11" s="554"/>
      <c r="HGU11" s="554"/>
      <c r="HGV11" s="554"/>
      <c r="HGW11" s="554"/>
      <c r="HGX11" s="554"/>
      <c r="HGY11" s="554"/>
      <c r="HGZ11" s="554"/>
      <c r="HHA11" s="554"/>
      <c r="HHB11" s="554"/>
      <c r="HHC11" s="554"/>
      <c r="HHD11" s="554"/>
      <c r="HHE11" s="554"/>
      <c r="HHF11" s="554"/>
      <c r="HHG11" s="554"/>
      <c r="HHH11" s="554"/>
      <c r="HHI11" s="554"/>
      <c r="HHJ11" s="554"/>
      <c r="HHK11" s="554"/>
      <c r="HHL11" s="554"/>
      <c r="HHM11" s="554"/>
      <c r="HHN11" s="554"/>
      <c r="HHO11" s="554"/>
      <c r="HHP11" s="554"/>
      <c r="HHQ11" s="554"/>
      <c r="HHR11" s="554"/>
      <c r="HHS11" s="554"/>
      <c r="HHT11" s="554"/>
      <c r="HHU11" s="554"/>
      <c r="HHV11" s="554"/>
      <c r="HHW11" s="554"/>
      <c r="HHX11" s="554"/>
      <c r="HHY11" s="554"/>
      <c r="HHZ11" s="554"/>
      <c r="HIA11" s="554"/>
      <c r="HIB11" s="554"/>
      <c r="HIC11" s="554"/>
      <c r="HID11" s="554"/>
      <c r="HIE11" s="554"/>
      <c r="HIF11" s="554"/>
      <c r="HIG11" s="554"/>
      <c r="HIH11" s="554"/>
      <c r="HII11" s="554"/>
      <c r="HIJ11" s="554"/>
      <c r="HIK11" s="554"/>
      <c r="HIL11" s="554"/>
      <c r="HIM11" s="554"/>
      <c r="HIN11" s="554"/>
      <c r="HIO11" s="554"/>
      <c r="HIP11" s="554"/>
      <c r="HIQ11" s="554"/>
      <c r="HIR11" s="554"/>
      <c r="HIS11" s="554"/>
      <c r="HIT11" s="554"/>
      <c r="HIU11" s="554"/>
      <c r="HIV11" s="554"/>
      <c r="HIW11" s="554"/>
      <c r="HIX11" s="554"/>
      <c r="HIY11" s="554"/>
      <c r="HIZ11" s="554"/>
      <c r="HJA11" s="554"/>
      <c r="HJB11" s="554"/>
      <c r="HJC11" s="554"/>
      <c r="HJD11" s="554"/>
      <c r="HJE11" s="554"/>
      <c r="HJF11" s="554"/>
      <c r="HJG11" s="554"/>
      <c r="HJH11" s="554"/>
      <c r="HJI11" s="554"/>
      <c r="HJJ11" s="554"/>
      <c r="HJK11" s="554"/>
      <c r="HJL11" s="554"/>
      <c r="HJM11" s="554"/>
      <c r="HJN11" s="554"/>
      <c r="HJO11" s="554"/>
      <c r="HJP11" s="554"/>
      <c r="HJQ11" s="554"/>
      <c r="HJR11" s="554"/>
      <c r="HJS11" s="554"/>
      <c r="HJT11" s="554"/>
      <c r="HJU11" s="554"/>
      <c r="HJV11" s="554"/>
      <c r="HJW11" s="554"/>
      <c r="HJX11" s="554"/>
      <c r="HJY11" s="554"/>
      <c r="HJZ11" s="554"/>
      <c r="HKA11" s="554"/>
      <c r="HKB11" s="554"/>
      <c r="HKC11" s="554"/>
      <c r="HKD11" s="554"/>
      <c r="HKE11" s="554"/>
      <c r="HKF11" s="554"/>
      <c r="HKG11" s="554"/>
      <c r="HKH11" s="554"/>
      <c r="HKI11" s="554"/>
      <c r="HKJ11" s="554"/>
      <c r="HKK11" s="554"/>
      <c r="HKL11" s="554"/>
      <c r="HKM11" s="554"/>
      <c r="HKN11" s="554"/>
      <c r="HKO11" s="554"/>
      <c r="HKP11" s="554"/>
      <c r="HKQ11" s="554"/>
      <c r="HKR11" s="554"/>
      <c r="HKS11" s="554"/>
      <c r="HKT11" s="554"/>
      <c r="HKU11" s="554"/>
      <c r="HKV11" s="554"/>
      <c r="HKW11" s="554"/>
      <c r="HKX11" s="554"/>
      <c r="HKY11" s="554"/>
      <c r="HKZ11" s="554"/>
      <c r="HLA11" s="554"/>
      <c r="HLB11" s="554"/>
      <c r="HLC11" s="554"/>
      <c r="HLD11" s="554"/>
      <c r="HLE11" s="554"/>
      <c r="HLF11" s="554"/>
      <c r="HLG11" s="554"/>
      <c r="HLH11" s="554"/>
      <c r="HLI11" s="554"/>
      <c r="HLJ11" s="554"/>
      <c r="HLK11" s="554"/>
      <c r="HLL11" s="554"/>
      <c r="HLM11" s="554"/>
      <c r="HLN11" s="554"/>
      <c r="HLO11" s="554"/>
      <c r="HLP11" s="554"/>
      <c r="HLQ11" s="554"/>
      <c r="HLR11" s="554"/>
      <c r="HLS11" s="554"/>
      <c r="HLT11" s="554"/>
      <c r="HLU11" s="554"/>
      <c r="HLV11" s="554"/>
      <c r="HLW11" s="554"/>
      <c r="HLX11" s="554"/>
      <c r="HLY11" s="554"/>
      <c r="HLZ11" s="554"/>
      <c r="HMA11" s="554"/>
      <c r="HMB11" s="554"/>
      <c r="HMC11" s="554"/>
      <c r="HMD11" s="554"/>
      <c r="HME11" s="554"/>
      <c r="HMF11" s="554"/>
      <c r="HMG11" s="554"/>
      <c r="HMH11" s="554"/>
      <c r="HMI11" s="554"/>
      <c r="HMJ11" s="554"/>
      <c r="HMK11" s="554"/>
      <c r="HML11" s="554"/>
      <c r="HMM11" s="554"/>
      <c r="HMN11" s="554"/>
      <c r="HMO11" s="554"/>
      <c r="HMP11" s="554"/>
      <c r="HMQ11" s="554"/>
      <c r="HMR11" s="554"/>
      <c r="HMS11" s="554"/>
      <c r="HMT11" s="554"/>
      <c r="HMU11" s="554"/>
      <c r="HMV11" s="554"/>
      <c r="HMW11" s="554"/>
      <c r="HMX11" s="554"/>
      <c r="HMY11" s="554"/>
      <c r="HMZ11" s="554"/>
      <c r="HNA11" s="554"/>
      <c r="HNB11" s="554"/>
      <c r="HNC11" s="554"/>
      <c r="HND11" s="554"/>
      <c r="HNE11" s="554"/>
      <c r="HNF11" s="554"/>
      <c r="HNG11" s="554"/>
      <c r="HNH11" s="554"/>
      <c r="HNI11" s="554"/>
      <c r="HNJ11" s="554"/>
      <c r="HNK11" s="554"/>
      <c r="HNL11" s="554"/>
      <c r="HNM11" s="554"/>
      <c r="HNN11" s="554"/>
      <c r="HNO11" s="554"/>
      <c r="HNP11" s="554"/>
      <c r="HNQ11" s="554"/>
      <c r="HNR11" s="554"/>
      <c r="HNS11" s="554"/>
      <c r="HNT11" s="554"/>
      <c r="HNU11" s="554"/>
      <c r="HNV11" s="554"/>
      <c r="HNW11" s="554"/>
      <c r="HNX11" s="554"/>
      <c r="HNY11" s="554"/>
      <c r="HNZ11" s="554"/>
      <c r="HOA11" s="554"/>
      <c r="HOB11" s="554"/>
      <c r="HOC11" s="554"/>
      <c r="HOD11" s="554"/>
      <c r="HOE11" s="554"/>
      <c r="HOF11" s="554"/>
      <c r="HOG11" s="554"/>
      <c r="HOH11" s="554"/>
      <c r="HOI11" s="554"/>
      <c r="HOJ11" s="554"/>
      <c r="HOK11" s="554"/>
      <c r="HOL11" s="554"/>
      <c r="HOM11" s="554"/>
      <c r="HON11" s="554"/>
      <c r="HOO11" s="554"/>
      <c r="HOP11" s="554"/>
      <c r="HOQ11" s="554"/>
      <c r="HOR11" s="554"/>
      <c r="HOS11" s="554"/>
      <c r="HOT11" s="554"/>
      <c r="HOU11" s="554"/>
      <c r="HOV11" s="554"/>
      <c r="HOW11" s="554"/>
      <c r="HOX11" s="554"/>
      <c r="HOY11" s="554"/>
      <c r="HOZ11" s="554"/>
      <c r="HPA11" s="554"/>
      <c r="HPB11" s="554"/>
      <c r="HPC11" s="554"/>
      <c r="HPD11" s="554"/>
      <c r="HPE11" s="554"/>
      <c r="HPF11" s="554"/>
      <c r="HPG11" s="554"/>
      <c r="HPH11" s="554"/>
      <c r="HPI11" s="554"/>
      <c r="HPJ11" s="554"/>
      <c r="HPK11" s="554"/>
      <c r="HPL11" s="554"/>
      <c r="HPM11" s="554"/>
      <c r="HPN11" s="554"/>
      <c r="HPO11" s="554"/>
      <c r="HPP11" s="554"/>
      <c r="HPQ11" s="554"/>
      <c r="HPR11" s="554"/>
      <c r="HPS11" s="554"/>
      <c r="HPT11" s="554"/>
      <c r="HPU11" s="554"/>
      <c r="HPV11" s="554"/>
      <c r="HPW11" s="554"/>
      <c r="HPX11" s="554"/>
      <c r="HPY11" s="554"/>
      <c r="HPZ11" s="554"/>
      <c r="HQA11" s="554"/>
      <c r="HQB11" s="554"/>
      <c r="HQC11" s="554"/>
      <c r="HQD11" s="554"/>
      <c r="HQE11" s="554"/>
      <c r="HQF11" s="554"/>
      <c r="HQG11" s="554"/>
      <c r="HQH11" s="554"/>
      <c r="HQI11" s="554"/>
      <c r="HQJ11" s="554"/>
      <c r="HQK11" s="554"/>
      <c r="HQL11" s="554"/>
      <c r="HQM11" s="554"/>
      <c r="HQN11" s="554"/>
      <c r="HQO11" s="554"/>
      <c r="HQP11" s="554"/>
      <c r="HQQ11" s="554"/>
      <c r="HQR11" s="554"/>
      <c r="HQS11" s="554"/>
      <c r="HQT11" s="554"/>
      <c r="HQU11" s="554"/>
      <c r="HQV11" s="554"/>
      <c r="HQW11" s="554"/>
      <c r="HQX11" s="554"/>
      <c r="HQY11" s="554"/>
      <c r="HQZ11" s="554"/>
      <c r="HRA11" s="554"/>
      <c r="HRB11" s="554"/>
      <c r="HRC11" s="554"/>
      <c r="HRD11" s="554"/>
      <c r="HRE11" s="554"/>
      <c r="HRF11" s="554"/>
      <c r="HRG11" s="554"/>
      <c r="HRH11" s="554"/>
      <c r="HRI11" s="554"/>
      <c r="HRJ11" s="554"/>
      <c r="HRK11" s="554"/>
      <c r="HRL11" s="554"/>
      <c r="HRM11" s="554"/>
      <c r="HRN11" s="554"/>
      <c r="HRO11" s="554"/>
      <c r="HRP11" s="554"/>
      <c r="HRQ11" s="554"/>
      <c r="HRR11" s="554"/>
      <c r="HRS11" s="554"/>
      <c r="HRT11" s="554"/>
      <c r="HRU11" s="554"/>
      <c r="HRV11" s="554"/>
      <c r="HRW11" s="554"/>
      <c r="HRX11" s="554"/>
      <c r="HRY11" s="554"/>
      <c r="HRZ11" s="554"/>
      <c r="HSA11" s="554"/>
      <c r="HSB11" s="554"/>
      <c r="HSC11" s="554"/>
      <c r="HSD11" s="554"/>
      <c r="HSE11" s="554"/>
      <c r="HSF11" s="554"/>
      <c r="HSG11" s="554"/>
      <c r="HSH11" s="554"/>
      <c r="HSI11" s="554"/>
      <c r="HSJ11" s="554"/>
      <c r="HSK11" s="554"/>
      <c r="HSL11" s="554"/>
      <c r="HSM11" s="554"/>
      <c r="HSN11" s="554"/>
      <c r="HSO11" s="554"/>
      <c r="HSP11" s="554"/>
      <c r="HSQ11" s="554"/>
      <c r="HSR11" s="554"/>
      <c r="HSS11" s="554"/>
      <c r="HST11" s="554"/>
      <c r="HSU11" s="554"/>
      <c r="HSV11" s="554"/>
      <c r="HSW11" s="554"/>
      <c r="HSX11" s="554"/>
      <c r="HSY11" s="554"/>
      <c r="HSZ11" s="554"/>
      <c r="HTA11" s="554"/>
      <c r="HTB11" s="554"/>
      <c r="HTC11" s="554"/>
      <c r="HTD11" s="554"/>
      <c r="HTE11" s="554"/>
      <c r="HTF11" s="554"/>
      <c r="HTG11" s="554"/>
      <c r="HTH11" s="554"/>
      <c r="HTI11" s="554"/>
      <c r="HTJ11" s="554"/>
      <c r="HTK11" s="554"/>
      <c r="HTL11" s="554"/>
      <c r="HTM11" s="554"/>
      <c r="HTN11" s="554"/>
      <c r="HTO11" s="554"/>
      <c r="HTP11" s="554"/>
      <c r="HTQ11" s="554"/>
      <c r="HTR11" s="554"/>
      <c r="HTS11" s="554"/>
      <c r="HTT11" s="554"/>
      <c r="HTU11" s="554"/>
      <c r="HTV11" s="554"/>
      <c r="HTW11" s="554"/>
      <c r="HTX11" s="554"/>
      <c r="HTY11" s="554"/>
      <c r="HTZ11" s="554"/>
      <c r="HUA11" s="554"/>
      <c r="HUB11" s="554"/>
      <c r="HUC11" s="554"/>
      <c r="HUD11" s="554"/>
      <c r="HUE11" s="554"/>
      <c r="HUF11" s="554"/>
      <c r="HUG11" s="554"/>
      <c r="HUH11" s="554"/>
      <c r="HUI11" s="554"/>
      <c r="HUJ11" s="554"/>
      <c r="HUK11" s="554"/>
      <c r="HUL11" s="554"/>
      <c r="HUM11" s="554"/>
      <c r="HUN11" s="554"/>
      <c r="HUO11" s="554"/>
      <c r="HUP11" s="554"/>
      <c r="HUQ11" s="554"/>
      <c r="HUR11" s="554"/>
      <c r="HUS11" s="554"/>
      <c r="HUT11" s="554"/>
      <c r="HUU11" s="554"/>
      <c r="HUV11" s="554"/>
      <c r="HUW11" s="554"/>
      <c r="HUX11" s="554"/>
      <c r="HUY11" s="554"/>
      <c r="HUZ11" s="554"/>
      <c r="HVA11" s="554"/>
      <c r="HVB11" s="554"/>
      <c r="HVC11" s="554"/>
      <c r="HVD11" s="554"/>
      <c r="HVE11" s="554"/>
      <c r="HVF11" s="554"/>
      <c r="HVG11" s="554"/>
      <c r="HVH11" s="554"/>
      <c r="HVI11" s="554"/>
      <c r="HVJ11" s="554"/>
      <c r="HVK11" s="554"/>
      <c r="HVL11" s="554"/>
      <c r="HVM11" s="554"/>
      <c r="HVN11" s="554"/>
      <c r="HVO11" s="554"/>
      <c r="HVP11" s="554"/>
      <c r="HVQ11" s="554"/>
      <c r="HVR11" s="554"/>
      <c r="HVS11" s="554"/>
      <c r="HVT11" s="554"/>
      <c r="HVU11" s="554"/>
      <c r="HVV11" s="554"/>
      <c r="HVW11" s="554"/>
      <c r="HVX11" s="554"/>
      <c r="HVY11" s="554"/>
      <c r="HVZ11" s="554"/>
      <c r="HWA11" s="554"/>
      <c r="HWB11" s="554"/>
      <c r="HWC11" s="554"/>
      <c r="HWD11" s="554"/>
      <c r="HWE11" s="554"/>
      <c r="HWF11" s="554"/>
      <c r="HWG11" s="554"/>
      <c r="HWH11" s="554"/>
      <c r="HWI11" s="554"/>
      <c r="HWJ11" s="554"/>
      <c r="HWK11" s="554"/>
      <c r="HWL11" s="554"/>
      <c r="HWM11" s="554"/>
      <c r="HWN11" s="554"/>
      <c r="HWO11" s="554"/>
      <c r="HWP11" s="554"/>
      <c r="HWQ11" s="554"/>
      <c r="HWR11" s="554"/>
      <c r="HWS11" s="554"/>
      <c r="HWT11" s="554"/>
      <c r="HWU11" s="554"/>
      <c r="HWV11" s="554"/>
      <c r="HWW11" s="554"/>
      <c r="HWX11" s="554"/>
      <c r="HWY11" s="554"/>
      <c r="HWZ11" s="554"/>
      <c r="HXA11" s="554"/>
      <c r="HXB11" s="554"/>
      <c r="HXC11" s="554"/>
      <c r="HXD11" s="554"/>
      <c r="HXE11" s="554"/>
      <c r="HXF11" s="554"/>
      <c r="HXG11" s="554"/>
      <c r="HXH11" s="554"/>
      <c r="HXI11" s="554"/>
      <c r="HXJ11" s="554"/>
      <c r="HXK11" s="554"/>
      <c r="HXL11" s="554"/>
      <c r="HXM11" s="554"/>
      <c r="HXN11" s="554"/>
      <c r="HXO11" s="554"/>
      <c r="HXP11" s="554"/>
      <c r="HXQ11" s="554"/>
      <c r="HXR11" s="554"/>
      <c r="HXS11" s="554"/>
      <c r="HXT11" s="554"/>
      <c r="HXU11" s="554"/>
      <c r="HXV11" s="554"/>
      <c r="HXW11" s="554"/>
      <c r="HXX11" s="554"/>
      <c r="HXY11" s="554"/>
      <c r="HXZ11" s="554"/>
      <c r="HYA11" s="554"/>
      <c r="HYB11" s="554"/>
      <c r="HYC11" s="554"/>
      <c r="HYD11" s="554"/>
      <c r="HYE11" s="554"/>
      <c r="HYF11" s="554"/>
      <c r="HYG11" s="554"/>
      <c r="HYH11" s="554"/>
      <c r="HYI11" s="554"/>
      <c r="HYJ11" s="554"/>
      <c r="HYK11" s="554"/>
      <c r="HYL11" s="554"/>
      <c r="HYM11" s="554"/>
      <c r="HYN11" s="554"/>
      <c r="HYO11" s="554"/>
      <c r="HYP11" s="554"/>
      <c r="HYQ11" s="554"/>
      <c r="HYR11" s="554"/>
      <c r="HYS11" s="554"/>
      <c r="HYT11" s="554"/>
      <c r="HYU11" s="554"/>
      <c r="HYV11" s="554"/>
      <c r="HYW11" s="554"/>
      <c r="HYX11" s="554"/>
      <c r="HYY11" s="554"/>
      <c r="HYZ11" s="554"/>
      <c r="HZA11" s="554"/>
      <c r="HZB11" s="554"/>
      <c r="HZC11" s="554"/>
      <c r="HZD11" s="554"/>
      <c r="HZE11" s="554"/>
      <c r="HZF11" s="554"/>
      <c r="HZG11" s="554"/>
      <c r="HZH11" s="554"/>
      <c r="HZI11" s="554"/>
      <c r="HZJ11" s="554"/>
      <c r="HZK11" s="554"/>
      <c r="HZL11" s="554"/>
      <c r="HZM11" s="554"/>
      <c r="HZN11" s="554"/>
      <c r="HZO11" s="554"/>
      <c r="HZP11" s="554"/>
      <c r="HZQ11" s="554"/>
      <c r="HZR11" s="554"/>
      <c r="HZS11" s="554"/>
      <c r="HZT11" s="554"/>
      <c r="HZU11" s="554"/>
      <c r="HZV11" s="554"/>
      <c r="HZW11" s="554"/>
      <c r="HZX11" s="554"/>
      <c r="HZY11" s="554"/>
      <c r="HZZ11" s="554"/>
      <c r="IAA11" s="554"/>
      <c r="IAB11" s="554"/>
      <c r="IAC11" s="554"/>
      <c r="IAD11" s="554"/>
      <c r="IAE11" s="554"/>
      <c r="IAF11" s="554"/>
      <c r="IAG11" s="554"/>
      <c r="IAH11" s="554"/>
      <c r="IAI11" s="554"/>
      <c r="IAJ11" s="554"/>
      <c r="IAK11" s="554"/>
      <c r="IAL11" s="554"/>
      <c r="IAM11" s="554"/>
      <c r="IAN11" s="554"/>
      <c r="IAO11" s="554"/>
      <c r="IAP11" s="554"/>
      <c r="IAQ11" s="554"/>
      <c r="IAR11" s="554"/>
      <c r="IAS11" s="554"/>
      <c r="IAT11" s="554"/>
      <c r="IAU11" s="554"/>
      <c r="IAV11" s="554"/>
      <c r="IAW11" s="554"/>
      <c r="IAX11" s="554"/>
      <c r="IAY11" s="554"/>
      <c r="IAZ11" s="554"/>
      <c r="IBA11" s="554"/>
      <c r="IBB11" s="554"/>
      <c r="IBC11" s="554"/>
      <c r="IBD11" s="554"/>
      <c r="IBE11" s="554"/>
      <c r="IBF11" s="554"/>
      <c r="IBG11" s="554"/>
      <c r="IBH11" s="554"/>
      <c r="IBI11" s="554"/>
      <c r="IBJ11" s="554"/>
      <c r="IBK11" s="554"/>
      <c r="IBL11" s="554"/>
      <c r="IBM11" s="554"/>
      <c r="IBN11" s="554"/>
      <c r="IBO11" s="554"/>
      <c r="IBP11" s="554"/>
      <c r="IBQ11" s="554"/>
      <c r="IBR11" s="554"/>
      <c r="IBS11" s="554"/>
      <c r="IBT11" s="554"/>
      <c r="IBU11" s="554"/>
      <c r="IBV11" s="554"/>
      <c r="IBW11" s="554"/>
      <c r="IBX11" s="554"/>
      <c r="IBY11" s="554"/>
      <c r="IBZ11" s="554"/>
      <c r="ICA11" s="554"/>
      <c r="ICB11" s="554"/>
      <c r="ICC11" s="554"/>
      <c r="ICD11" s="554"/>
      <c r="ICE11" s="554"/>
      <c r="ICF11" s="554"/>
      <c r="ICG11" s="554"/>
      <c r="ICH11" s="554"/>
      <c r="ICI11" s="554"/>
      <c r="ICJ11" s="554"/>
      <c r="ICK11" s="554"/>
      <c r="ICL11" s="554"/>
      <c r="ICM11" s="554"/>
      <c r="ICN11" s="554"/>
      <c r="ICO11" s="554"/>
      <c r="ICP11" s="554"/>
      <c r="ICQ11" s="554"/>
      <c r="ICR11" s="554"/>
      <c r="ICS11" s="554"/>
      <c r="ICT11" s="554"/>
      <c r="ICU11" s="554"/>
      <c r="ICV11" s="554"/>
      <c r="ICW11" s="554"/>
      <c r="ICX11" s="554"/>
      <c r="ICY11" s="554"/>
      <c r="ICZ11" s="554"/>
      <c r="IDA11" s="554"/>
      <c r="IDB11" s="554"/>
      <c r="IDC11" s="554"/>
      <c r="IDD11" s="554"/>
      <c r="IDE11" s="554"/>
      <c r="IDF11" s="554"/>
      <c r="IDG11" s="554"/>
      <c r="IDH11" s="554"/>
      <c r="IDI11" s="554"/>
      <c r="IDJ11" s="554"/>
      <c r="IDK11" s="554"/>
      <c r="IDL11" s="554"/>
      <c r="IDM11" s="554"/>
      <c r="IDN11" s="554"/>
      <c r="IDO11" s="554"/>
      <c r="IDP11" s="554"/>
      <c r="IDQ11" s="554"/>
      <c r="IDR11" s="554"/>
      <c r="IDS11" s="554"/>
      <c r="IDT11" s="554"/>
      <c r="IDU11" s="554"/>
      <c r="IDV11" s="554"/>
      <c r="IDW11" s="554"/>
      <c r="IDX11" s="554"/>
      <c r="IDY11" s="554"/>
      <c r="IDZ11" s="554"/>
      <c r="IEA11" s="554"/>
      <c r="IEB11" s="554"/>
      <c r="IEC11" s="554"/>
      <c r="IED11" s="554"/>
      <c r="IEE11" s="554"/>
      <c r="IEF11" s="554"/>
      <c r="IEG11" s="554"/>
      <c r="IEH11" s="554"/>
      <c r="IEI11" s="554"/>
      <c r="IEJ11" s="554"/>
      <c r="IEK11" s="554"/>
      <c r="IEL11" s="554"/>
      <c r="IEM11" s="554"/>
      <c r="IEN11" s="554"/>
      <c r="IEO11" s="554"/>
      <c r="IEP11" s="554"/>
      <c r="IEQ11" s="554"/>
      <c r="IER11" s="554"/>
      <c r="IES11" s="554"/>
      <c r="IET11" s="554"/>
      <c r="IEU11" s="554"/>
      <c r="IEV11" s="554"/>
      <c r="IEW11" s="554"/>
      <c r="IEX11" s="554"/>
      <c r="IEY11" s="554"/>
      <c r="IEZ11" s="554"/>
      <c r="IFA11" s="554"/>
      <c r="IFB11" s="554"/>
      <c r="IFC11" s="554"/>
      <c r="IFD11" s="554"/>
      <c r="IFE11" s="554"/>
      <c r="IFF11" s="554"/>
      <c r="IFG11" s="554"/>
      <c r="IFH11" s="554"/>
      <c r="IFI11" s="554"/>
      <c r="IFJ11" s="554"/>
      <c r="IFK11" s="554"/>
      <c r="IFL11" s="554"/>
      <c r="IFM11" s="554"/>
      <c r="IFN11" s="554"/>
      <c r="IFO11" s="554"/>
      <c r="IFP11" s="554"/>
      <c r="IFQ11" s="554"/>
      <c r="IFR11" s="554"/>
      <c r="IFS11" s="554"/>
      <c r="IFT11" s="554"/>
      <c r="IFU11" s="554"/>
      <c r="IFV11" s="554"/>
      <c r="IFW11" s="554"/>
      <c r="IFX11" s="554"/>
      <c r="IFY11" s="554"/>
      <c r="IFZ11" s="554"/>
      <c r="IGA11" s="554"/>
      <c r="IGB11" s="554"/>
      <c r="IGC11" s="554"/>
      <c r="IGD11" s="554"/>
      <c r="IGE11" s="554"/>
      <c r="IGF11" s="554"/>
      <c r="IGG11" s="554"/>
      <c r="IGH11" s="554"/>
      <c r="IGI11" s="554"/>
      <c r="IGJ11" s="554"/>
      <c r="IGK11" s="554"/>
      <c r="IGL11" s="554"/>
      <c r="IGM11" s="554"/>
      <c r="IGN11" s="554"/>
      <c r="IGO11" s="554"/>
      <c r="IGP11" s="554"/>
      <c r="IGQ11" s="554"/>
      <c r="IGR11" s="554"/>
      <c r="IGS11" s="554"/>
      <c r="IGT11" s="554"/>
      <c r="IGU11" s="554"/>
      <c r="IGV11" s="554"/>
      <c r="IGW11" s="554"/>
      <c r="IGX11" s="554"/>
      <c r="IGY11" s="554"/>
      <c r="IGZ11" s="554"/>
      <c r="IHA11" s="554"/>
      <c r="IHB11" s="554"/>
      <c r="IHC11" s="554"/>
      <c r="IHD11" s="554"/>
      <c r="IHE11" s="554"/>
      <c r="IHF11" s="554"/>
      <c r="IHG11" s="554"/>
      <c r="IHH11" s="554"/>
      <c r="IHI11" s="554"/>
      <c r="IHJ11" s="554"/>
      <c r="IHK11" s="554"/>
      <c r="IHL11" s="554"/>
      <c r="IHM11" s="554"/>
      <c r="IHN11" s="554"/>
      <c r="IHO11" s="554"/>
      <c r="IHP11" s="554"/>
      <c r="IHQ11" s="554"/>
      <c r="IHR11" s="554"/>
      <c r="IHS11" s="554"/>
      <c r="IHT11" s="554"/>
      <c r="IHU11" s="554"/>
      <c r="IHV11" s="554"/>
      <c r="IHW11" s="554"/>
      <c r="IHX11" s="554"/>
      <c r="IHY11" s="554"/>
      <c r="IHZ11" s="554"/>
      <c r="IIA11" s="554"/>
      <c r="IIB11" s="554"/>
      <c r="IIC11" s="554"/>
      <c r="IID11" s="554"/>
      <c r="IIE11" s="554"/>
      <c r="IIF11" s="554"/>
      <c r="IIG11" s="554"/>
      <c r="IIH11" s="554"/>
      <c r="III11" s="554"/>
      <c r="IIJ11" s="554"/>
      <c r="IIK11" s="554"/>
      <c r="IIL11" s="554"/>
      <c r="IIM11" s="554"/>
      <c r="IIN11" s="554"/>
      <c r="IIO11" s="554"/>
      <c r="IIP11" s="554"/>
      <c r="IIQ11" s="554"/>
      <c r="IIR11" s="554"/>
      <c r="IIS11" s="554"/>
      <c r="IIT11" s="554"/>
      <c r="IIU11" s="554"/>
      <c r="IIV11" s="554"/>
      <c r="IIW11" s="554"/>
      <c r="IIX11" s="554"/>
      <c r="IIY11" s="554"/>
      <c r="IIZ11" s="554"/>
      <c r="IJA11" s="554"/>
      <c r="IJB11" s="554"/>
      <c r="IJC11" s="554"/>
      <c r="IJD11" s="554"/>
      <c r="IJE11" s="554"/>
      <c r="IJF11" s="554"/>
      <c r="IJG11" s="554"/>
      <c r="IJH11" s="554"/>
      <c r="IJI11" s="554"/>
      <c r="IJJ11" s="554"/>
      <c r="IJK11" s="554"/>
      <c r="IJL11" s="554"/>
      <c r="IJM11" s="554"/>
      <c r="IJN11" s="554"/>
      <c r="IJO11" s="554"/>
      <c r="IJP11" s="554"/>
      <c r="IJQ11" s="554"/>
      <c r="IJR11" s="554"/>
      <c r="IJS11" s="554"/>
      <c r="IJT11" s="554"/>
      <c r="IJU11" s="554"/>
      <c r="IJV11" s="554"/>
      <c r="IJW11" s="554"/>
      <c r="IJX11" s="554"/>
      <c r="IJY11" s="554"/>
      <c r="IJZ11" s="554"/>
      <c r="IKA11" s="554"/>
      <c r="IKB11" s="554"/>
      <c r="IKC11" s="554"/>
      <c r="IKD11" s="554"/>
      <c r="IKE11" s="554"/>
      <c r="IKF11" s="554"/>
      <c r="IKG11" s="554"/>
      <c r="IKH11" s="554"/>
      <c r="IKI11" s="554"/>
      <c r="IKJ11" s="554"/>
      <c r="IKK11" s="554"/>
      <c r="IKL11" s="554"/>
      <c r="IKM11" s="554"/>
      <c r="IKN11" s="554"/>
      <c r="IKO11" s="554"/>
      <c r="IKP11" s="554"/>
      <c r="IKQ11" s="554"/>
      <c r="IKR11" s="554"/>
      <c r="IKS11" s="554"/>
      <c r="IKT11" s="554"/>
      <c r="IKU11" s="554"/>
      <c r="IKV11" s="554"/>
      <c r="IKW11" s="554"/>
      <c r="IKX11" s="554"/>
      <c r="IKY11" s="554"/>
      <c r="IKZ11" s="554"/>
      <c r="ILA11" s="554"/>
      <c r="ILB11" s="554"/>
      <c r="ILC11" s="554"/>
      <c r="ILD11" s="554"/>
      <c r="ILE11" s="554"/>
      <c r="ILF11" s="554"/>
      <c r="ILG11" s="554"/>
      <c r="ILH11" s="554"/>
      <c r="ILI11" s="554"/>
      <c r="ILJ11" s="554"/>
      <c r="ILK11" s="554"/>
      <c r="ILL11" s="554"/>
      <c r="ILM11" s="554"/>
      <c r="ILN11" s="554"/>
      <c r="ILO11" s="554"/>
      <c r="ILP11" s="554"/>
      <c r="ILQ11" s="554"/>
      <c r="ILR11" s="554"/>
      <c r="ILS11" s="554"/>
      <c r="ILT11" s="554"/>
      <c r="ILU11" s="554"/>
      <c r="ILV11" s="554"/>
      <c r="ILW11" s="554"/>
      <c r="ILX11" s="554"/>
      <c r="ILY11" s="554"/>
      <c r="ILZ11" s="554"/>
      <c r="IMA11" s="554"/>
      <c r="IMB11" s="554"/>
      <c r="IMC11" s="554"/>
      <c r="IMD11" s="554"/>
      <c r="IME11" s="554"/>
      <c r="IMF11" s="554"/>
      <c r="IMG11" s="554"/>
      <c r="IMH11" s="554"/>
      <c r="IMI11" s="554"/>
      <c r="IMJ11" s="554"/>
      <c r="IMK11" s="554"/>
      <c r="IML11" s="554"/>
      <c r="IMM11" s="554"/>
      <c r="IMN11" s="554"/>
      <c r="IMO11" s="554"/>
      <c r="IMP11" s="554"/>
      <c r="IMQ11" s="554"/>
      <c r="IMR11" s="554"/>
      <c r="IMS11" s="554"/>
      <c r="IMT11" s="554"/>
      <c r="IMU11" s="554"/>
      <c r="IMV11" s="554"/>
      <c r="IMW11" s="554"/>
      <c r="IMX11" s="554"/>
      <c r="IMY11" s="554"/>
      <c r="IMZ11" s="554"/>
      <c r="INA11" s="554"/>
      <c r="INB11" s="554"/>
      <c r="INC11" s="554"/>
      <c r="IND11" s="554"/>
      <c r="INE11" s="554"/>
      <c r="INF11" s="554"/>
      <c r="ING11" s="554"/>
      <c r="INH11" s="554"/>
      <c r="INI11" s="554"/>
      <c r="INJ11" s="554"/>
      <c r="INK11" s="554"/>
      <c r="INL11" s="554"/>
      <c r="INM11" s="554"/>
      <c r="INN11" s="554"/>
      <c r="INO11" s="554"/>
      <c r="INP11" s="554"/>
      <c r="INQ11" s="554"/>
      <c r="INR11" s="554"/>
      <c r="INS11" s="554"/>
      <c r="INT11" s="554"/>
      <c r="INU11" s="554"/>
      <c r="INV11" s="554"/>
      <c r="INW11" s="554"/>
      <c r="INX11" s="554"/>
      <c r="INY11" s="554"/>
      <c r="INZ11" s="554"/>
      <c r="IOA11" s="554"/>
      <c r="IOB11" s="554"/>
      <c r="IOC11" s="554"/>
      <c r="IOD11" s="554"/>
      <c r="IOE11" s="554"/>
      <c r="IOF11" s="554"/>
      <c r="IOG11" s="554"/>
      <c r="IOH11" s="554"/>
      <c r="IOI11" s="554"/>
      <c r="IOJ11" s="554"/>
      <c r="IOK11" s="554"/>
      <c r="IOL11" s="554"/>
      <c r="IOM11" s="554"/>
      <c r="ION11" s="554"/>
      <c r="IOO11" s="554"/>
      <c r="IOP11" s="554"/>
      <c r="IOQ11" s="554"/>
      <c r="IOR11" s="554"/>
      <c r="IOS11" s="554"/>
      <c r="IOT11" s="554"/>
      <c r="IOU11" s="554"/>
      <c r="IOV11" s="554"/>
      <c r="IOW11" s="554"/>
      <c r="IOX11" s="554"/>
      <c r="IOY11" s="554"/>
      <c r="IOZ11" s="554"/>
      <c r="IPA11" s="554"/>
      <c r="IPB11" s="554"/>
      <c r="IPC11" s="554"/>
      <c r="IPD11" s="554"/>
      <c r="IPE11" s="554"/>
      <c r="IPF11" s="554"/>
      <c r="IPG11" s="554"/>
      <c r="IPH11" s="554"/>
      <c r="IPI11" s="554"/>
      <c r="IPJ11" s="554"/>
      <c r="IPK11" s="554"/>
      <c r="IPL11" s="554"/>
      <c r="IPM11" s="554"/>
      <c r="IPN11" s="554"/>
      <c r="IPO11" s="554"/>
      <c r="IPP11" s="554"/>
      <c r="IPQ11" s="554"/>
      <c r="IPR11" s="554"/>
      <c r="IPS11" s="554"/>
      <c r="IPT11" s="554"/>
      <c r="IPU11" s="554"/>
      <c r="IPV11" s="554"/>
      <c r="IPW11" s="554"/>
      <c r="IPX11" s="554"/>
      <c r="IPY11" s="554"/>
      <c r="IPZ11" s="554"/>
      <c r="IQA11" s="554"/>
      <c r="IQB11" s="554"/>
      <c r="IQC11" s="554"/>
      <c r="IQD11" s="554"/>
      <c r="IQE11" s="554"/>
      <c r="IQF11" s="554"/>
      <c r="IQG11" s="554"/>
      <c r="IQH11" s="554"/>
      <c r="IQI11" s="554"/>
      <c r="IQJ11" s="554"/>
      <c r="IQK11" s="554"/>
      <c r="IQL11" s="554"/>
      <c r="IQM11" s="554"/>
      <c r="IQN11" s="554"/>
      <c r="IQO11" s="554"/>
      <c r="IQP11" s="554"/>
      <c r="IQQ11" s="554"/>
      <c r="IQR11" s="554"/>
      <c r="IQS11" s="554"/>
      <c r="IQT11" s="554"/>
      <c r="IQU11" s="554"/>
      <c r="IQV11" s="554"/>
      <c r="IQW11" s="554"/>
      <c r="IQX11" s="554"/>
      <c r="IQY11" s="554"/>
      <c r="IQZ11" s="554"/>
      <c r="IRA11" s="554"/>
      <c r="IRB11" s="554"/>
      <c r="IRC11" s="554"/>
      <c r="IRD11" s="554"/>
      <c r="IRE11" s="554"/>
      <c r="IRF11" s="554"/>
      <c r="IRG11" s="554"/>
      <c r="IRH11" s="554"/>
      <c r="IRI11" s="554"/>
      <c r="IRJ11" s="554"/>
      <c r="IRK11" s="554"/>
      <c r="IRL11" s="554"/>
      <c r="IRM11" s="554"/>
      <c r="IRN11" s="554"/>
      <c r="IRO11" s="554"/>
      <c r="IRP11" s="554"/>
      <c r="IRQ11" s="554"/>
      <c r="IRR11" s="554"/>
      <c r="IRS11" s="554"/>
      <c r="IRT11" s="554"/>
      <c r="IRU11" s="554"/>
      <c r="IRV11" s="554"/>
      <c r="IRW11" s="554"/>
      <c r="IRX11" s="554"/>
      <c r="IRY11" s="554"/>
      <c r="IRZ11" s="554"/>
      <c r="ISA11" s="554"/>
      <c r="ISB11" s="554"/>
      <c r="ISC11" s="554"/>
      <c r="ISD11" s="554"/>
      <c r="ISE11" s="554"/>
      <c r="ISF11" s="554"/>
      <c r="ISG11" s="554"/>
      <c r="ISH11" s="554"/>
      <c r="ISI11" s="554"/>
      <c r="ISJ11" s="554"/>
      <c r="ISK11" s="554"/>
      <c r="ISL11" s="554"/>
      <c r="ISM11" s="554"/>
      <c r="ISN11" s="554"/>
      <c r="ISO11" s="554"/>
      <c r="ISP11" s="554"/>
      <c r="ISQ11" s="554"/>
      <c r="ISR11" s="554"/>
      <c r="ISS11" s="554"/>
      <c r="IST11" s="554"/>
      <c r="ISU11" s="554"/>
      <c r="ISV11" s="554"/>
      <c r="ISW11" s="554"/>
      <c r="ISX11" s="554"/>
      <c r="ISY11" s="554"/>
      <c r="ISZ11" s="554"/>
      <c r="ITA11" s="554"/>
      <c r="ITB11" s="554"/>
      <c r="ITC11" s="554"/>
      <c r="ITD11" s="554"/>
      <c r="ITE11" s="554"/>
      <c r="ITF11" s="554"/>
      <c r="ITG11" s="554"/>
      <c r="ITH11" s="554"/>
      <c r="ITI11" s="554"/>
      <c r="ITJ11" s="554"/>
      <c r="ITK11" s="554"/>
      <c r="ITL11" s="554"/>
      <c r="ITM11" s="554"/>
      <c r="ITN11" s="554"/>
      <c r="ITO11" s="554"/>
      <c r="ITP11" s="554"/>
      <c r="ITQ11" s="554"/>
      <c r="ITR11" s="554"/>
      <c r="ITS11" s="554"/>
      <c r="ITT11" s="554"/>
      <c r="ITU11" s="554"/>
      <c r="ITV11" s="554"/>
      <c r="ITW11" s="554"/>
      <c r="ITX11" s="554"/>
      <c r="ITY11" s="554"/>
      <c r="ITZ11" s="554"/>
      <c r="IUA11" s="554"/>
      <c r="IUB11" s="554"/>
      <c r="IUC11" s="554"/>
      <c r="IUD11" s="554"/>
      <c r="IUE11" s="554"/>
      <c r="IUF11" s="554"/>
      <c r="IUG11" s="554"/>
      <c r="IUH11" s="554"/>
      <c r="IUI11" s="554"/>
      <c r="IUJ11" s="554"/>
      <c r="IUK11" s="554"/>
      <c r="IUL11" s="554"/>
      <c r="IUM11" s="554"/>
      <c r="IUN11" s="554"/>
      <c r="IUO11" s="554"/>
      <c r="IUP11" s="554"/>
      <c r="IUQ11" s="554"/>
      <c r="IUR11" s="554"/>
      <c r="IUS11" s="554"/>
      <c r="IUT11" s="554"/>
      <c r="IUU11" s="554"/>
      <c r="IUV11" s="554"/>
      <c r="IUW11" s="554"/>
      <c r="IUX11" s="554"/>
      <c r="IUY11" s="554"/>
      <c r="IUZ11" s="554"/>
      <c r="IVA11" s="554"/>
      <c r="IVB11" s="554"/>
      <c r="IVC11" s="554"/>
      <c r="IVD11" s="554"/>
      <c r="IVE11" s="554"/>
      <c r="IVF11" s="554"/>
      <c r="IVG11" s="554"/>
      <c r="IVH11" s="554"/>
      <c r="IVI11" s="554"/>
      <c r="IVJ11" s="554"/>
      <c r="IVK11" s="554"/>
      <c r="IVL11" s="554"/>
      <c r="IVM11" s="554"/>
      <c r="IVN11" s="554"/>
      <c r="IVO11" s="554"/>
      <c r="IVP11" s="554"/>
      <c r="IVQ11" s="554"/>
      <c r="IVR11" s="554"/>
      <c r="IVS11" s="554"/>
      <c r="IVT11" s="554"/>
      <c r="IVU11" s="554"/>
      <c r="IVV11" s="554"/>
      <c r="IVW11" s="554"/>
      <c r="IVX11" s="554"/>
      <c r="IVY11" s="554"/>
      <c r="IVZ11" s="554"/>
      <c r="IWA11" s="554"/>
      <c r="IWB11" s="554"/>
      <c r="IWC11" s="554"/>
      <c r="IWD11" s="554"/>
      <c r="IWE11" s="554"/>
      <c r="IWF11" s="554"/>
      <c r="IWG11" s="554"/>
      <c r="IWH11" s="554"/>
      <c r="IWI11" s="554"/>
      <c r="IWJ11" s="554"/>
      <c r="IWK11" s="554"/>
      <c r="IWL11" s="554"/>
      <c r="IWM11" s="554"/>
      <c r="IWN11" s="554"/>
      <c r="IWO11" s="554"/>
      <c r="IWP11" s="554"/>
      <c r="IWQ11" s="554"/>
      <c r="IWR11" s="554"/>
      <c r="IWS11" s="554"/>
      <c r="IWT11" s="554"/>
      <c r="IWU11" s="554"/>
      <c r="IWV11" s="554"/>
      <c r="IWW11" s="554"/>
      <c r="IWX11" s="554"/>
      <c r="IWY11" s="554"/>
      <c r="IWZ11" s="554"/>
      <c r="IXA11" s="554"/>
      <c r="IXB11" s="554"/>
      <c r="IXC11" s="554"/>
      <c r="IXD11" s="554"/>
      <c r="IXE11" s="554"/>
      <c r="IXF11" s="554"/>
      <c r="IXG11" s="554"/>
      <c r="IXH11" s="554"/>
      <c r="IXI11" s="554"/>
      <c r="IXJ11" s="554"/>
      <c r="IXK11" s="554"/>
      <c r="IXL11" s="554"/>
      <c r="IXM11" s="554"/>
      <c r="IXN11" s="554"/>
      <c r="IXO11" s="554"/>
      <c r="IXP11" s="554"/>
      <c r="IXQ11" s="554"/>
      <c r="IXR11" s="554"/>
      <c r="IXS11" s="554"/>
      <c r="IXT11" s="554"/>
      <c r="IXU11" s="554"/>
      <c r="IXV11" s="554"/>
      <c r="IXW11" s="554"/>
      <c r="IXX11" s="554"/>
      <c r="IXY11" s="554"/>
      <c r="IXZ11" s="554"/>
      <c r="IYA11" s="554"/>
      <c r="IYB11" s="554"/>
      <c r="IYC11" s="554"/>
      <c r="IYD11" s="554"/>
      <c r="IYE11" s="554"/>
      <c r="IYF11" s="554"/>
      <c r="IYG11" s="554"/>
      <c r="IYH11" s="554"/>
      <c r="IYI11" s="554"/>
      <c r="IYJ11" s="554"/>
      <c r="IYK11" s="554"/>
      <c r="IYL11" s="554"/>
      <c r="IYM11" s="554"/>
      <c r="IYN11" s="554"/>
      <c r="IYO11" s="554"/>
      <c r="IYP11" s="554"/>
      <c r="IYQ11" s="554"/>
      <c r="IYR11" s="554"/>
      <c r="IYS11" s="554"/>
      <c r="IYT11" s="554"/>
      <c r="IYU11" s="554"/>
      <c r="IYV11" s="554"/>
      <c r="IYW11" s="554"/>
      <c r="IYX11" s="554"/>
      <c r="IYY11" s="554"/>
      <c r="IYZ11" s="554"/>
      <c r="IZA11" s="554"/>
      <c r="IZB11" s="554"/>
      <c r="IZC11" s="554"/>
      <c r="IZD11" s="554"/>
      <c r="IZE11" s="554"/>
      <c r="IZF11" s="554"/>
      <c r="IZG11" s="554"/>
      <c r="IZH11" s="554"/>
      <c r="IZI11" s="554"/>
      <c r="IZJ11" s="554"/>
      <c r="IZK11" s="554"/>
      <c r="IZL11" s="554"/>
      <c r="IZM11" s="554"/>
      <c r="IZN11" s="554"/>
      <c r="IZO11" s="554"/>
      <c r="IZP11" s="554"/>
      <c r="IZQ11" s="554"/>
      <c r="IZR11" s="554"/>
      <c r="IZS11" s="554"/>
      <c r="IZT11" s="554"/>
      <c r="IZU11" s="554"/>
      <c r="IZV11" s="554"/>
      <c r="IZW11" s="554"/>
      <c r="IZX11" s="554"/>
      <c r="IZY11" s="554"/>
      <c r="IZZ11" s="554"/>
      <c r="JAA11" s="554"/>
      <c r="JAB11" s="554"/>
      <c r="JAC11" s="554"/>
      <c r="JAD11" s="554"/>
      <c r="JAE11" s="554"/>
      <c r="JAF11" s="554"/>
      <c r="JAG11" s="554"/>
      <c r="JAH11" s="554"/>
      <c r="JAI11" s="554"/>
      <c r="JAJ11" s="554"/>
      <c r="JAK11" s="554"/>
      <c r="JAL11" s="554"/>
      <c r="JAM11" s="554"/>
      <c r="JAN11" s="554"/>
      <c r="JAO11" s="554"/>
      <c r="JAP11" s="554"/>
      <c r="JAQ11" s="554"/>
      <c r="JAR11" s="554"/>
      <c r="JAS11" s="554"/>
      <c r="JAT11" s="554"/>
      <c r="JAU11" s="554"/>
      <c r="JAV11" s="554"/>
      <c r="JAW11" s="554"/>
      <c r="JAX11" s="554"/>
      <c r="JAY11" s="554"/>
      <c r="JAZ11" s="554"/>
      <c r="JBA11" s="554"/>
      <c r="JBB11" s="554"/>
      <c r="JBC11" s="554"/>
      <c r="JBD11" s="554"/>
      <c r="JBE11" s="554"/>
      <c r="JBF11" s="554"/>
      <c r="JBG11" s="554"/>
      <c r="JBH11" s="554"/>
      <c r="JBI11" s="554"/>
      <c r="JBJ11" s="554"/>
      <c r="JBK11" s="554"/>
      <c r="JBL11" s="554"/>
      <c r="JBM11" s="554"/>
      <c r="JBN11" s="554"/>
      <c r="JBO11" s="554"/>
      <c r="JBP11" s="554"/>
      <c r="JBQ11" s="554"/>
      <c r="JBR11" s="554"/>
      <c r="JBS11" s="554"/>
      <c r="JBT11" s="554"/>
      <c r="JBU11" s="554"/>
      <c r="JBV11" s="554"/>
      <c r="JBW11" s="554"/>
      <c r="JBX11" s="554"/>
      <c r="JBY11" s="554"/>
      <c r="JBZ11" s="554"/>
      <c r="JCA11" s="554"/>
      <c r="JCB11" s="554"/>
      <c r="JCC11" s="554"/>
      <c r="JCD11" s="554"/>
      <c r="JCE11" s="554"/>
      <c r="JCF11" s="554"/>
      <c r="JCG11" s="554"/>
      <c r="JCH11" s="554"/>
      <c r="JCI11" s="554"/>
      <c r="JCJ11" s="554"/>
      <c r="JCK11" s="554"/>
      <c r="JCL11" s="554"/>
      <c r="JCM11" s="554"/>
      <c r="JCN11" s="554"/>
      <c r="JCO11" s="554"/>
      <c r="JCP11" s="554"/>
      <c r="JCQ11" s="554"/>
      <c r="JCR11" s="554"/>
      <c r="JCS11" s="554"/>
      <c r="JCT11" s="554"/>
      <c r="JCU11" s="554"/>
      <c r="JCV11" s="554"/>
      <c r="JCW11" s="554"/>
      <c r="JCX11" s="554"/>
      <c r="JCY11" s="554"/>
      <c r="JCZ11" s="554"/>
      <c r="JDA11" s="554"/>
      <c r="JDB11" s="554"/>
      <c r="JDC11" s="554"/>
      <c r="JDD11" s="554"/>
      <c r="JDE11" s="554"/>
      <c r="JDF11" s="554"/>
      <c r="JDG11" s="554"/>
      <c r="JDH11" s="554"/>
      <c r="JDI11" s="554"/>
      <c r="JDJ11" s="554"/>
      <c r="JDK11" s="554"/>
      <c r="JDL11" s="554"/>
      <c r="JDM11" s="554"/>
      <c r="JDN11" s="554"/>
      <c r="JDO11" s="554"/>
      <c r="JDP11" s="554"/>
      <c r="JDQ11" s="554"/>
      <c r="JDR11" s="554"/>
      <c r="JDS11" s="554"/>
      <c r="JDT11" s="554"/>
      <c r="JDU11" s="554"/>
      <c r="JDV11" s="554"/>
      <c r="JDW11" s="554"/>
      <c r="JDX11" s="554"/>
      <c r="JDY11" s="554"/>
      <c r="JDZ11" s="554"/>
      <c r="JEA11" s="554"/>
      <c r="JEB11" s="554"/>
      <c r="JEC11" s="554"/>
      <c r="JED11" s="554"/>
      <c r="JEE11" s="554"/>
      <c r="JEF11" s="554"/>
      <c r="JEG11" s="554"/>
      <c r="JEH11" s="554"/>
      <c r="JEI11" s="554"/>
      <c r="JEJ11" s="554"/>
      <c r="JEK11" s="554"/>
      <c r="JEL11" s="554"/>
      <c r="JEM11" s="554"/>
      <c r="JEN11" s="554"/>
      <c r="JEO11" s="554"/>
      <c r="JEP11" s="554"/>
      <c r="JEQ11" s="554"/>
      <c r="JER11" s="554"/>
      <c r="JES11" s="554"/>
      <c r="JET11" s="554"/>
      <c r="JEU11" s="554"/>
      <c r="JEV11" s="554"/>
      <c r="JEW11" s="554"/>
      <c r="JEX11" s="554"/>
      <c r="JEY11" s="554"/>
      <c r="JEZ11" s="554"/>
      <c r="JFA11" s="554"/>
      <c r="JFB11" s="554"/>
      <c r="JFC11" s="554"/>
      <c r="JFD11" s="554"/>
      <c r="JFE11" s="554"/>
      <c r="JFF11" s="554"/>
      <c r="JFG11" s="554"/>
      <c r="JFH11" s="554"/>
      <c r="JFI11" s="554"/>
      <c r="JFJ11" s="554"/>
      <c r="JFK11" s="554"/>
      <c r="JFL11" s="554"/>
      <c r="JFM11" s="554"/>
      <c r="JFN11" s="554"/>
      <c r="JFO11" s="554"/>
      <c r="JFP11" s="554"/>
      <c r="JFQ11" s="554"/>
      <c r="JFR11" s="554"/>
      <c r="JFS11" s="554"/>
      <c r="JFT11" s="554"/>
      <c r="JFU11" s="554"/>
      <c r="JFV11" s="554"/>
      <c r="JFW11" s="554"/>
      <c r="JFX11" s="554"/>
      <c r="JFY11" s="554"/>
      <c r="JFZ11" s="554"/>
      <c r="JGA11" s="554"/>
      <c r="JGB11" s="554"/>
      <c r="JGC11" s="554"/>
      <c r="JGD11" s="554"/>
      <c r="JGE11" s="554"/>
      <c r="JGF11" s="554"/>
      <c r="JGG11" s="554"/>
      <c r="JGH11" s="554"/>
      <c r="JGI11" s="554"/>
      <c r="JGJ11" s="554"/>
      <c r="JGK11" s="554"/>
      <c r="JGL11" s="554"/>
      <c r="JGM11" s="554"/>
      <c r="JGN11" s="554"/>
      <c r="JGO11" s="554"/>
      <c r="JGP11" s="554"/>
      <c r="JGQ11" s="554"/>
      <c r="JGR11" s="554"/>
      <c r="JGS11" s="554"/>
      <c r="JGT11" s="554"/>
      <c r="JGU11" s="554"/>
      <c r="JGV11" s="554"/>
      <c r="JGW11" s="554"/>
      <c r="JGX11" s="554"/>
      <c r="JGY11" s="554"/>
      <c r="JGZ11" s="554"/>
      <c r="JHA11" s="554"/>
      <c r="JHB11" s="554"/>
      <c r="JHC11" s="554"/>
      <c r="JHD11" s="554"/>
      <c r="JHE11" s="554"/>
      <c r="JHF11" s="554"/>
      <c r="JHG11" s="554"/>
      <c r="JHH11" s="554"/>
      <c r="JHI11" s="554"/>
      <c r="JHJ11" s="554"/>
      <c r="JHK11" s="554"/>
      <c r="JHL11" s="554"/>
      <c r="JHM11" s="554"/>
      <c r="JHN11" s="554"/>
      <c r="JHO11" s="554"/>
      <c r="JHP11" s="554"/>
      <c r="JHQ11" s="554"/>
      <c r="JHR11" s="554"/>
      <c r="JHS11" s="554"/>
      <c r="JHT11" s="554"/>
      <c r="JHU11" s="554"/>
      <c r="JHV11" s="554"/>
      <c r="JHW11" s="554"/>
      <c r="JHX11" s="554"/>
      <c r="JHY11" s="554"/>
      <c r="JHZ11" s="554"/>
      <c r="JIA11" s="554"/>
      <c r="JIB11" s="554"/>
      <c r="JIC11" s="554"/>
      <c r="JID11" s="554"/>
      <c r="JIE11" s="554"/>
      <c r="JIF11" s="554"/>
      <c r="JIG11" s="554"/>
      <c r="JIH11" s="554"/>
      <c r="JII11" s="554"/>
      <c r="JIJ11" s="554"/>
      <c r="JIK11" s="554"/>
      <c r="JIL11" s="554"/>
      <c r="JIM11" s="554"/>
      <c r="JIN11" s="554"/>
      <c r="JIO11" s="554"/>
      <c r="JIP11" s="554"/>
      <c r="JIQ11" s="554"/>
      <c r="JIR11" s="554"/>
      <c r="JIS11" s="554"/>
      <c r="JIT11" s="554"/>
      <c r="JIU11" s="554"/>
      <c r="JIV11" s="554"/>
      <c r="JIW11" s="554"/>
      <c r="JIX11" s="554"/>
      <c r="JIY11" s="554"/>
      <c r="JIZ11" s="554"/>
      <c r="JJA11" s="554"/>
      <c r="JJB11" s="554"/>
      <c r="JJC11" s="554"/>
      <c r="JJD11" s="554"/>
      <c r="JJE11" s="554"/>
      <c r="JJF11" s="554"/>
      <c r="JJG11" s="554"/>
      <c r="JJH11" s="554"/>
      <c r="JJI11" s="554"/>
      <c r="JJJ11" s="554"/>
      <c r="JJK11" s="554"/>
      <c r="JJL11" s="554"/>
      <c r="JJM11" s="554"/>
      <c r="JJN11" s="554"/>
      <c r="JJO11" s="554"/>
      <c r="JJP11" s="554"/>
      <c r="JJQ11" s="554"/>
      <c r="JJR11" s="554"/>
      <c r="JJS11" s="554"/>
      <c r="JJT11" s="554"/>
      <c r="JJU11" s="554"/>
      <c r="JJV11" s="554"/>
      <c r="JJW11" s="554"/>
      <c r="JJX11" s="554"/>
      <c r="JJY11" s="554"/>
      <c r="JJZ11" s="554"/>
      <c r="JKA11" s="554"/>
      <c r="JKB11" s="554"/>
      <c r="JKC11" s="554"/>
      <c r="JKD11" s="554"/>
      <c r="JKE11" s="554"/>
      <c r="JKF11" s="554"/>
      <c r="JKG11" s="554"/>
      <c r="JKH11" s="554"/>
      <c r="JKI11" s="554"/>
      <c r="JKJ11" s="554"/>
      <c r="JKK11" s="554"/>
      <c r="JKL11" s="554"/>
      <c r="JKM11" s="554"/>
      <c r="JKN11" s="554"/>
      <c r="JKO11" s="554"/>
      <c r="JKP11" s="554"/>
      <c r="JKQ11" s="554"/>
      <c r="JKR11" s="554"/>
      <c r="JKS11" s="554"/>
      <c r="JKT11" s="554"/>
      <c r="JKU11" s="554"/>
      <c r="JKV11" s="554"/>
      <c r="JKW11" s="554"/>
      <c r="JKX11" s="554"/>
      <c r="JKY11" s="554"/>
      <c r="JKZ11" s="554"/>
      <c r="JLA11" s="554"/>
      <c r="JLB11" s="554"/>
      <c r="JLC11" s="554"/>
      <c r="JLD11" s="554"/>
      <c r="JLE11" s="554"/>
      <c r="JLF11" s="554"/>
      <c r="JLG11" s="554"/>
      <c r="JLH11" s="554"/>
      <c r="JLI11" s="554"/>
      <c r="JLJ11" s="554"/>
      <c r="JLK11" s="554"/>
      <c r="JLL11" s="554"/>
      <c r="JLM11" s="554"/>
      <c r="JLN11" s="554"/>
      <c r="JLO11" s="554"/>
      <c r="JLP11" s="554"/>
      <c r="JLQ11" s="554"/>
      <c r="JLR11" s="554"/>
      <c r="JLS11" s="554"/>
      <c r="JLT11" s="554"/>
      <c r="JLU11" s="554"/>
      <c r="JLV11" s="554"/>
      <c r="JLW11" s="554"/>
      <c r="JLX11" s="554"/>
      <c r="JLY11" s="554"/>
      <c r="JLZ11" s="554"/>
      <c r="JMA11" s="554"/>
      <c r="JMB11" s="554"/>
      <c r="JMC11" s="554"/>
      <c r="JMD11" s="554"/>
      <c r="JME11" s="554"/>
      <c r="JMF11" s="554"/>
      <c r="JMG11" s="554"/>
      <c r="JMH11" s="554"/>
      <c r="JMI11" s="554"/>
      <c r="JMJ11" s="554"/>
      <c r="JMK11" s="554"/>
      <c r="JML11" s="554"/>
      <c r="JMM11" s="554"/>
      <c r="JMN11" s="554"/>
      <c r="JMO11" s="554"/>
      <c r="JMP11" s="554"/>
      <c r="JMQ11" s="554"/>
      <c r="JMR11" s="554"/>
      <c r="JMS11" s="554"/>
      <c r="JMT11" s="554"/>
      <c r="JMU11" s="554"/>
      <c r="JMV11" s="554"/>
      <c r="JMW11" s="554"/>
      <c r="JMX11" s="554"/>
      <c r="JMY11" s="554"/>
      <c r="JMZ11" s="554"/>
      <c r="JNA11" s="554"/>
      <c r="JNB11" s="554"/>
      <c r="JNC11" s="554"/>
      <c r="JND11" s="554"/>
      <c r="JNE11" s="554"/>
      <c r="JNF11" s="554"/>
      <c r="JNG11" s="554"/>
      <c r="JNH11" s="554"/>
      <c r="JNI11" s="554"/>
      <c r="JNJ11" s="554"/>
      <c r="JNK11" s="554"/>
      <c r="JNL11" s="554"/>
      <c r="JNM11" s="554"/>
      <c r="JNN11" s="554"/>
      <c r="JNO11" s="554"/>
      <c r="JNP11" s="554"/>
      <c r="JNQ11" s="554"/>
      <c r="JNR11" s="554"/>
      <c r="JNS11" s="554"/>
      <c r="JNT11" s="554"/>
      <c r="JNU11" s="554"/>
      <c r="JNV11" s="554"/>
      <c r="JNW11" s="554"/>
      <c r="JNX11" s="554"/>
      <c r="JNY11" s="554"/>
      <c r="JNZ11" s="554"/>
      <c r="JOA11" s="554"/>
      <c r="JOB11" s="554"/>
      <c r="JOC11" s="554"/>
      <c r="JOD11" s="554"/>
      <c r="JOE11" s="554"/>
      <c r="JOF11" s="554"/>
      <c r="JOG11" s="554"/>
      <c r="JOH11" s="554"/>
      <c r="JOI11" s="554"/>
      <c r="JOJ11" s="554"/>
      <c r="JOK11" s="554"/>
      <c r="JOL11" s="554"/>
      <c r="JOM11" s="554"/>
      <c r="JON11" s="554"/>
      <c r="JOO11" s="554"/>
      <c r="JOP11" s="554"/>
      <c r="JOQ11" s="554"/>
      <c r="JOR11" s="554"/>
      <c r="JOS11" s="554"/>
      <c r="JOT11" s="554"/>
      <c r="JOU11" s="554"/>
      <c r="JOV11" s="554"/>
      <c r="JOW11" s="554"/>
      <c r="JOX11" s="554"/>
      <c r="JOY11" s="554"/>
      <c r="JOZ11" s="554"/>
      <c r="JPA11" s="554"/>
      <c r="JPB11" s="554"/>
      <c r="JPC11" s="554"/>
      <c r="JPD11" s="554"/>
      <c r="JPE11" s="554"/>
      <c r="JPF11" s="554"/>
      <c r="JPG11" s="554"/>
      <c r="JPH11" s="554"/>
      <c r="JPI11" s="554"/>
      <c r="JPJ11" s="554"/>
      <c r="JPK11" s="554"/>
      <c r="JPL11" s="554"/>
      <c r="JPM11" s="554"/>
      <c r="JPN11" s="554"/>
      <c r="JPO11" s="554"/>
      <c r="JPP11" s="554"/>
      <c r="JPQ11" s="554"/>
      <c r="JPR11" s="554"/>
      <c r="JPS11" s="554"/>
      <c r="JPT11" s="554"/>
      <c r="JPU11" s="554"/>
      <c r="JPV11" s="554"/>
      <c r="JPW11" s="554"/>
      <c r="JPX11" s="554"/>
      <c r="JPY11" s="554"/>
      <c r="JPZ11" s="554"/>
      <c r="JQA11" s="554"/>
      <c r="JQB11" s="554"/>
      <c r="JQC11" s="554"/>
      <c r="JQD11" s="554"/>
      <c r="JQE11" s="554"/>
      <c r="JQF11" s="554"/>
      <c r="JQG11" s="554"/>
      <c r="JQH11" s="554"/>
      <c r="JQI11" s="554"/>
      <c r="JQJ11" s="554"/>
      <c r="JQK11" s="554"/>
      <c r="JQL11" s="554"/>
      <c r="JQM11" s="554"/>
      <c r="JQN11" s="554"/>
      <c r="JQO11" s="554"/>
      <c r="JQP11" s="554"/>
      <c r="JQQ11" s="554"/>
      <c r="JQR11" s="554"/>
      <c r="JQS11" s="554"/>
      <c r="JQT11" s="554"/>
      <c r="JQU11" s="554"/>
      <c r="JQV11" s="554"/>
      <c r="JQW11" s="554"/>
      <c r="JQX11" s="554"/>
      <c r="JQY11" s="554"/>
      <c r="JQZ11" s="554"/>
      <c r="JRA11" s="554"/>
      <c r="JRB11" s="554"/>
      <c r="JRC11" s="554"/>
      <c r="JRD11" s="554"/>
      <c r="JRE11" s="554"/>
      <c r="JRF11" s="554"/>
      <c r="JRG11" s="554"/>
      <c r="JRH11" s="554"/>
      <c r="JRI11" s="554"/>
      <c r="JRJ11" s="554"/>
      <c r="JRK11" s="554"/>
      <c r="JRL11" s="554"/>
      <c r="JRM11" s="554"/>
      <c r="JRN11" s="554"/>
      <c r="JRO11" s="554"/>
      <c r="JRP11" s="554"/>
      <c r="JRQ11" s="554"/>
      <c r="JRR11" s="554"/>
      <c r="JRS11" s="554"/>
      <c r="JRT11" s="554"/>
      <c r="JRU11" s="554"/>
      <c r="JRV11" s="554"/>
      <c r="JRW11" s="554"/>
      <c r="JRX11" s="554"/>
      <c r="JRY11" s="554"/>
      <c r="JRZ11" s="554"/>
      <c r="JSA11" s="554"/>
      <c r="JSB11" s="554"/>
      <c r="JSC11" s="554"/>
      <c r="JSD11" s="554"/>
      <c r="JSE11" s="554"/>
      <c r="JSF11" s="554"/>
      <c r="JSG11" s="554"/>
      <c r="JSH11" s="554"/>
      <c r="JSI11" s="554"/>
      <c r="JSJ11" s="554"/>
      <c r="JSK11" s="554"/>
      <c r="JSL11" s="554"/>
      <c r="JSM11" s="554"/>
      <c r="JSN11" s="554"/>
      <c r="JSO11" s="554"/>
      <c r="JSP11" s="554"/>
      <c r="JSQ11" s="554"/>
      <c r="JSR11" s="554"/>
      <c r="JSS11" s="554"/>
      <c r="JST11" s="554"/>
      <c r="JSU11" s="554"/>
      <c r="JSV11" s="554"/>
      <c r="JSW11" s="554"/>
      <c r="JSX11" s="554"/>
      <c r="JSY11" s="554"/>
      <c r="JSZ11" s="554"/>
      <c r="JTA11" s="554"/>
      <c r="JTB11" s="554"/>
      <c r="JTC11" s="554"/>
      <c r="JTD11" s="554"/>
      <c r="JTE11" s="554"/>
      <c r="JTF11" s="554"/>
      <c r="JTG11" s="554"/>
      <c r="JTH11" s="554"/>
      <c r="JTI11" s="554"/>
      <c r="JTJ11" s="554"/>
      <c r="JTK11" s="554"/>
      <c r="JTL11" s="554"/>
      <c r="JTM11" s="554"/>
      <c r="JTN11" s="554"/>
      <c r="JTO11" s="554"/>
      <c r="JTP11" s="554"/>
      <c r="JTQ11" s="554"/>
      <c r="JTR11" s="554"/>
      <c r="JTS11" s="554"/>
      <c r="JTT11" s="554"/>
      <c r="JTU11" s="554"/>
      <c r="JTV11" s="554"/>
      <c r="JTW11" s="554"/>
      <c r="JTX11" s="554"/>
      <c r="JTY11" s="554"/>
      <c r="JTZ11" s="554"/>
      <c r="JUA11" s="554"/>
      <c r="JUB11" s="554"/>
      <c r="JUC11" s="554"/>
      <c r="JUD11" s="554"/>
      <c r="JUE11" s="554"/>
      <c r="JUF11" s="554"/>
      <c r="JUG11" s="554"/>
      <c r="JUH11" s="554"/>
      <c r="JUI11" s="554"/>
      <c r="JUJ11" s="554"/>
      <c r="JUK11" s="554"/>
      <c r="JUL11" s="554"/>
      <c r="JUM11" s="554"/>
      <c r="JUN11" s="554"/>
      <c r="JUO11" s="554"/>
      <c r="JUP11" s="554"/>
      <c r="JUQ11" s="554"/>
      <c r="JUR11" s="554"/>
      <c r="JUS11" s="554"/>
      <c r="JUT11" s="554"/>
      <c r="JUU11" s="554"/>
      <c r="JUV11" s="554"/>
      <c r="JUW11" s="554"/>
      <c r="JUX11" s="554"/>
      <c r="JUY11" s="554"/>
      <c r="JUZ11" s="554"/>
      <c r="JVA11" s="554"/>
      <c r="JVB11" s="554"/>
      <c r="JVC11" s="554"/>
      <c r="JVD11" s="554"/>
      <c r="JVE11" s="554"/>
      <c r="JVF11" s="554"/>
      <c r="JVG11" s="554"/>
      <c r="JVH11" s="554"/>
      <c r="JVI11" s="554"/>
      <c r="JVJ11" s="554"/>
      <c r="JVK11" s="554"/>
      <c r="JVL11" s="554"/>
      <c r="JVM11" s="554"/>
      <c r="JVN11" s="554"/>
      <c r="JVO11" s="554"/>
      <c r="JVP11" s="554"/>
      <c r="JVQ11" s="554"/>
      <c r="JVR11" s="554"/>
      <c r="JVS11" s="554"/>
      <c r="JVT11" s="554"/>
      <c r="JVU11" s="554"/>
      <c r="JVV11" s="554"/>
      <c r="JVW11" s="554"/>
      <c r="JVX11" s="554"/>
      <c r="JVY11" s="554"/>
      <c r="JVZ11" s="554"/>
      <c r="JWA11" s="554"/>
      <c r="JWB11" s="554"/>
      <c r="JWC11" s="554"/>
      <c r="JWD11" s="554"/>
      <c r="JWE11" s="554"/>
      <c r="JWF11" s="554"/>
      <c r="JWG11" s="554"/>
      <c r="JWH11" s="554"/>
      <c r="JWI11" s="554"/>
      <c r="JWJ11" s="554"/>
      <c r="JWK11" s="554"/>
      <c r="JWL11" s="554"/>
      <c r="JWM11" s="554"/>
      <c r="JWN11" s="554"/>
      <c r="JWO11" s="554"/>
      <c r="JWP11" s="554"/>
      <c r="JWQ11" s="554"/>
      <c r="JWR11" s="554"/>
      <c r="JWS11" s="554"/>
      <c r="JWT11" s="554"/>
      <c r="JWU11" s="554"/>
      <c r="JWV11" s="554"/>
      <c r="JWW11" s="554"/>
      <c r="JWX11" s="554"/>
      <c r="JWY11" s="554"/>
      <c r="JWZ11" s="554"/>
      <c r="JXA11" s="554"/>
      <c r="JXB11" s="554"/>
      <c r="JXC11" s="554"/>
      <c r="JXD11" s="554"/>
      <c r="JXE11" s="554"/>
      <c r="JXF11" s="554"/>
      <c r="JXG11" s="554"/>
      <c r="JXH11" s="554"/>
      <c r="JXI11" s="554"/>
      <c r="JXJ11" s="554"/>
      <c r="JXK11" s="554"/>
      <c r="JXL11" s="554"/>
      <c r="JXM11" s="554"/>
      <c r="JXN11" s="554"/>
      <c r="JXO11" s="554"/>
      <c r="JXP11" s="554"/>
      <c r="JXQ11" s="554"/>
      <c r="JXR11" s="554"/>
      <c r="JXS11" s="554"/>
      <c r="JXT11" s="554"/>
      <c r="JXU11" s="554"/>
      <c r="JXV11" s="554"/>
      <c r="JXW11" s="554"/>
      <c r="JXX11" s="554"/>
      <c r="JXY11" s="554"/>
      <c r="JXZ11" s="554"/>
      <c r="JYA11" s="554"/>
      <c r="JYB11" s="554"/>
      <c r="JYC11" s="554"/>
      <c r="JYD11" s="554"/>
      <c r="JYE11" s="554"/>
      <c r="JYF11" s="554"/>
      <c r="JYG11" s="554"/>
      <c r="JYH11" s="554"/>
      <c r="JYI11" s="554"/>
      <c r="JYJ11" s="554"/>
      <c r="JYK11" s="554"/>
      <c r="JYL11" s="554"/>
      <c r="JYM11" s="554"/>
      <c r="JYN11" s="554"/>
      <c r="JYO11" s="554"/>
      <c r="JYP11" s="554"/>
      <c r="JYQ11" s="554"/>
      <c r="JYR11" s="554"/>
      <c r="JYS11" s="554"/>
      <c r="JYT11" s="554"/>
      <c r="JYU11" s="554"/>
      <c r="JYV11" s="554"/>
      <c r="JYW11" s="554"/>
      <c r="JYX11" s="554"/>
      <c r="JYY11" s="554"/>
      <c r="JYZ11" s="554"/>
      <c r="JZA11" s="554"/>
      <c r="JZB11" s="554"/>
      <c r="JZC11" s="554"/>
      <c r="JZD11" s="554"/>
      <c r="JZE11" s="554"/>
      <c r="JZF11" s="554"/>
      <c r="JZG11" s="554"/>
      <c r="JZH11" s="554"/>
      <c r="JZI11" s="554"/>
      <c r="JZJ11" s="554"/>
      <c r="JZK11" s="554"/>
      <c r="JZL11" s="554"/>
      <c r="JZM11" s="554"/>
      <c r="JZN11" s="554"/>
      <c r="JZO11" s="554"/>
      <c r="JZP11" s="554"/>
      <c r="JZQ11" s="554"/>
      <c r="JZR11" s="554"/>
      <c r="JZS11" s="554"/>
      <c r="JZT11" s="554"/>
      <c r="JZU11" s="554"/>
      <c r="JZV11" s="554"/>
      <c r="JZW11" s="554"/>
      <c r="JZX11" s="554"/>
      <c r="JZY11" s="554"/>
      <c r="JZZ11" s="554"/>
      <c r="KAA11" s="554"/>
      <c r="KAB11" s="554"/>
      <c r="KAC11" s="554"/>
      <c r="KAD11" s="554"/>
      <c r="KAE11" s="554"/>
      <c r="KAF11" s="554"/>
      <c r="KAG11" s="554"/>
      <c r="KAH11" s="554"/>
      <c r="KAI11" s="554"/>
      <c r="KAJ11" s="554"/>
      <c r="KAK11" s="554"/>
      <c r="KAL11" s="554"/>
      <c r="KAM11" s="554"/>
      <c r="KAN11" s="554"/>
      <c r="KAO11" s="554"/>
      <c r="KAP11" s="554"/>
      <c r="KAQ11" s="554"/>
      <c r="KAR11" s="554"/>
      <c r="KAS11" s="554"/>
      <c r="KAT11" s="554"/>
      <c r="KAU11" s="554"/>
      <c r="KAV11" s="554"/>
      <c r="KAW11" s="554"/>
      <c r="KAX11" s="554"/>
      <c r="KAY11" s="554"/>
      <c r="KAZ11" s="554"/>
      <c r="KBA11" s="554"/>
      <c r="KBB11" s="554"/>
      <c r="KBC11" s="554"/>
      <c r="KBD11" s="554"/>
      <c r="KBE11" s="554"/>
      <c r="KBF11" s="554"/>
      <c r="KBG11" s="554"/>
      <c r="KBH11" s="554"/>
      <c r="KBI11" s="554"/>
      <c r="KBJ11" s="554"/>
      <c r="KBK11" s="554"/>
      <c r="KBL11" s="554"/>
      <c r="KBM11" s="554"/>
      <c r="KBN11" s="554"/>
      <c r="KBO11" s="554"/>
      <c r="KBP11" s="554"/>
      <c r="KBQ11" s="554"/>
      <c r="KBR11" s="554"/>
      <c r="KBS11" s="554"/>
      <c r="KBT11" s="554"/>
      <c r="KBU11" s="554"/>
      <c r="KBV11" s="554"/>
      <c r="KBW11" s="554"/>
      <c r="KBX11" s="554"/>
      <c r="KBY11" s="554"/>
      <c r="KBZ11" s="554"/>
      <c r="KCA11" s="554"/>
      <c r="KCB11" s="554"/>
      <c r="KCC11" s="554"/>
      <c r="KCD11" s="554"/>
      <c r="KCE11" s="554"/>
      <c r="KCF11" s="554"/>
      <c r="KCG11" s="554"/>
      <c r="KCH11" s="554"/>
      <c r="KCI11" s="554"/>
      <c r="KCJ11" s="554"/>
      <c r="KCK11" s="554"/>
      <c r="KCL11" s="554"/>
      <c r="KCM11" s="554"/>
      <c r="KCN11" s="554"/>
      <c r="KCO11" s="554"/>
      <c r="KCP11" s="554"/>
      <c r="KCQ11" s="554"/>
      <c r="KCR11" s="554"/>
      <c r="KCS11" s="554"/>
      <c r="KCT11" s="554"/>
      <c r="KCU11" s="554"/>
      <c r="KCV11" s="554"/>
      <c r="KCW11" s="554"/>
      <c r="KCX11" s="554"/>
      <c r="KCY11" s="554"/>
      <c r="KCZ11" s="554"/>
      <c r="KDA11" s="554"/>
      <c r="KDB11" s="554"/>
      <c r="KDC11" s="554"/>
      <c r="KDD11" s="554"/>
      <c r="KDE11" s="554"/>
      <c r="KDF11" s="554"/>
      <c r="KDG11" s="554"/>
      <c r="KDH11" s="554"/>
      <c r="KDI11" s="554"/>
      <c r="KDJ11" s="554"/>
      <c r="KDK11" s="554"/>
      <c r="KDL11" s="554"/>
      <c r="KDM11" s="554"/>
      <c r="KDN11" s="554"/>
      <c r="KDO11" s="554"/>
      <c r="KDP11" s="554"/>
      <c r="KDQ11" s="554"/>
      <c r="KDR11" s="554"/>
      <c r="KDS11" s="554"/>
      <c r="KDT11" s="554"/>
      <c r="KDU11" s="554"/>
      <c r="KDV11" s="554"/>
      <c r="KDW11" s="554"/>
      <c r="KDX11" s="554"/>
      <c r="KDY11" s="554"/>
      <c r="KDZ11" s="554"/>
      <c r="KEA11" s="554"/>
      <c r="KEB11" s="554"/>
      <c r="KEC11" s="554"/>
      <c r="KED11" s="554"/>
      <c r="KEE11" s="554"/>
      <c r="KEF11" s="554"/>
      <c r="KEG11" s="554"/>
      <c r="KEH11" s="554"/>
      <c r="KEI11" s="554"/>
      <c r="KEJ11" s="554"/>
      <c r="KEK11" s="554"/>
      <c r="KEL11" s="554"/>
      <c r="KEM11" s="554"/>
      <c r="KEN11" s="554"/>
      <c r="KEO11" s="554"/>
      <c r="KEP11" s="554"/>
      <c r="KEQ11" s="554"/>
      <c r="KER11" s="554"/>
      <c r="KES11" s="554"/>
      <c r="KET11" s="554"/>
      <c r="KEU11" s="554"/>
      <c r="KEV11" s="554"/>
      <c r="KEW11" s="554"/>
      <c r="KEX11" s="554"/>
      <c r="KEY11" s="554"/>
      <c r="KEZ11" s="554"/>
      <c r="KFA11" s="554"/>
      <c r="KFB11" s="554"/>
      <c r="KFC11" s="554"/>
      <c r="KFD11" s="554"/>
      <c r="KFE11" s="554"/>
      <c r="KFF11" s="554"/>
      <c r="KFG11" s="554"/>
      <c r="KFH11" s="554"/>
      <c r="KFI11" s="554"/>
      <c r="KFJ11" s="554"/>
      <c r="KFK11" s="554"/>
      <c r="KFL11" s="554"/>
      <c r="KFM11" s="554"/>
      <c r="KFN11" s="554"/>
      <c r="KFO11" s="554"/>
      <c r="KFP11" s="554"/>
      <c r="KFQ11" s="554"/>
      <c r="KFR11" s="554"/>
      <c r="KFS11" s="554"/>
      <c r="KFT11" s="554"/>
      <c r="KFU11" s="554"/>
      <c r="KFV11" s="554"/>
      <c r="KFW11" s="554"/>
      <c r="KFX11" s="554"/>
      <c r="KFY11" s="554"/>
      <c r="KFZ11" s="554"/>
      <c r="KGA11" s="554"/>
      <c r="KGB11" s="554"/>
      <c r="KGC11" s="554"/>
      <c r="KGD11" s="554"/>
      <c r="KGE11" s="554"/>
      <c r="KGF11" s="554"/>
      <c r="KGG11" s="554"/>
      <c r="KGH11" s="554"/>
      <c r="KGI11" s="554"/>
      <c r="KGJ11" s="554"/>
      <c r="KGK11" s="554"/>
      <c r="KGL11" s="554"/>
      <c r="KGM11" s="554"/>
      <c r="KGN11" s="554"/>
      <c r="KGO11" s="554"/>
      <c r="KGP11" s="554"/>
      <c r="KGQ11" s="554"/>
      <c r="KGR11" s="554"/>
      <c r="KGS11" s="554"/>
      <c r="KGT11" s="554"/>
      <c r="KGU11" s="554"/>
      <c r="KGV11" s="554"/>
      <c r="KGW11" s="554"/>
      <c r="KGX11" s="554"/>
      <c r="KGY11" s="554"/>
      <c r="KGZ11" s="554"/>
      <c r="KHA11" s="554"/>
      <c r="KHB11" s="554"/>
      <c r="KHC11" s="554"/>
      <c r="KHD11" s="554"/>
      <c r="KHE11" s="554"/>
      <c r="KHF11" s="554"/>
      <c r="KHG11" s="554"/>
      <c r="KHH11" s="554"/>
      <c r="KHI11" s="554"/>
      <c r="KHJ11" s="554"/>
      <c r="KHK11" s="554"/>
      <c r="KHL11" s="554"/>
      <c r="KHM11" s="554"/>
      <c r="KHN11" s="554"/>
      <c r="KHO11" s="554"/>
      <c r="KHP11" s="554"/>
      <c r="KHQ11" s="554"/>
      <c r="KHR11" s="554"/>
      <c r="KHS11" s="554"/>
      <c r="KHT11" s="554"/>
      <c r="KHU11" s="554"/>
      <c r="KHV11" s="554"/>
      <c r="KHW11" s="554"/>
      <c r="KHX11" s="554"/>
      <c r="KHY11" s="554"/>
      <c r="KHZ11" s="554"/>
      <c r="KIA11" s="554"/>
      <c r="KIB11" s="554"/>
      <c r="KIC11" s="554"/>
      <c r="KID11" s="554"/>
      <c r="KIE11" s="554"/>
      <c r="KIF11" s="554"/>
      <c r="KIG11" s="554"/>
      <c r="KIH11" s="554"/>
      <c r="KII11" s="554"/>
      <c r="KIJ11" s="554"/>
      <c r="KIK11" s="554"/>
      <c r="KIL11" s="554"/>
      <c r="KIM11" s="554"/>
      <c r="KIN11" s="554"/>
      <c r="KIO11" s="554"/>
      <c r="KIP11" s="554"/>
      <c r="KIQ11" s="554"/>
      <c r="KIR11" s="554"/>
      <c r="KIS11" s="554"/>
      <c r="KIT11" s="554"/>
      <c r="KIU11" s="554"/>
      <c r="KIV11" s="554"/>
      <c r="KIW11" s="554"/>
      <c r="KIX11" s="554"/>
      <c r="KIY11" s="554"/>
      <c r="KIZ11" s="554"/>
      <c r="KJA11" s="554"/>
      <c r="KJB11" s="554"/>
      <c r="KJC11" s="554"/>
      <c r="KJD11" s="554"/>
      <c r="KJE11" s="554"/>
      <c r="KJF11" s="554"/>
      <c r="KJG11" s="554"/>
      <c r="KJH11" s="554"/>
      <c r="KJI11" s="554"/>
      <c r="KJJ11" s="554"/>
      <c r="KJK11" s="554"/>
      <c r="KJL11" s="554"/>
      <c r="KJM11" s="554"/>
      <c r="KJN11" s="554"/>
      <c r="KJO11" s="554"/>
      <c r="KJP11" s="554"/>
      <c r="KJQ11" s="554"/>
      <c r="KJR11" s="554"/>
      <c r="KJS11" s="554"/>
      <c r="KJT11" s="554"/>
      <c r="KJU11" s="554"/>
      <c r="KJV11" s="554"/>
      <c r="KJW11" s="554"/>
      <c r="KJX11" s="554"/>
      <c r="KJY11" s="554"/>
      <c r="KJZ11" s="554"/>
      <c r="KKA11" s="554"/>
      <c r="KKB11" s="554"/>
      <c r="KKC11" s="554"/>
      <c r="KKD11" s="554"/>
      <c r="KKE11" s="554"/>
      <c r="KKF11" s="554"/>
      <c r="KKG11" s="554"/>
      <c r="KKH11" s="554"/>
      <c r="KKI11" s="554"/>
      <c r="KKJ11" s="554"/>
      <c r="KKK11" s="554"/>
      <c r="KKL11" s="554"/>
      <c r="KKM11" s="554"/>
      <c r="KKN11" s="554"/>
      <c r="KKO11" s="554"/>
      <c r="KKP11" s="554"/>
      <c r="KKQ11" s="554"/>
      <c r="KKR11" s="554"/>
      <c r="KKS11" s="554"/>
      <c r="KKT11" s="554"/>
      <c r="KKU11" s="554"/>
      <c r="KKV11" s="554"/>
      <c r="KKW11" s="554"/>
      <c r="KKX11" s="554"/>
      <c r="KKY11" s="554"/>
      <c r="KKZ11" s="554"/>
      <c r="KLA11" s="554"/>
      <c r="KLB11" s="554"/>
      <c r="KLC11" s="554"/>
      <c r="KLD11" s="554"/>
      <c r="KLE11" s="554"/>
      <c r="KLF11" s="554"/>
      <c r="KLG11" s="554"/>
      <c r="KLH11" s="554"/>
      <c r="KLI11" s="554"/>
      <c r="KLJ11" s="554"/>
      <c r="KLK11" s="554"/>
      <c r="KLL11" s="554"/>
      <c r="KLM11" s="554"/>
      <c r="KLN11" s="554"/>
      <c r="KLO11" s="554"/>
      <c r="KLP11" s="554"/>
      <c r="KLQ11" s="554"/>
      <c r="KLR11" s="554"/>
      <c r="KLS11" s="554"/>
      <c r="KLT11" s="554"/>
      <c r="KLU11" s="554"/>
      <c r="KLV11" s="554"/>
      <c r="KLW11" s="554"/>
      <c r="KLX11" s="554"/>
      <c r="KLY11" s="554"/>
      <c r="KLZ11" s="554"/>
      <c r="KMA11" s="554"/>
      <c r="KMB11" s="554"/>
      <c r="KMC11" s="554"/>
      <c r="KMD11" s="554"/>
      <c r="KME11" s="554"/>
      <c r="KMF11" s="554"/>
      <c r="KMG11" s="554"/>
      <c r="KMH11" s="554"/>
      <c r="KMI11" s="554"/>
      <c r="KMJ11" s="554"/>
      <c r="KMK11" s="554"/>
      <c r="KML11" s="554"/>
      <c r="KMM11" s="554"/>
      <c r="KMN11" s="554"/>
      <c r="KMO11" s="554"/>
      <c r="KMP11" s="554"/>
      <c r="KMQ11" s="554"/>
      <c r="KMR11" s="554"/>
      <c r="KMS11" s="554"/>
      <c r="KMT11" s="554"/>
      <c r="KMU11" s="554"/>
      <c r="KMV11" s="554"/>
      <c r="KMW11" s="554"/>
      <c r="KMX11" s="554"/>
      <c r="KMY11" s="554"/>
      <c r="KMZ11" s="554"/>
      <c r="KNA11" s="554"/>
      <c r="KNB11" s="554"/>
      <c r="KNC11" s="554"/>
      <c r="KND11" s="554"/>
      <c r="KNE11" s="554"/>
      <c r="KNF11" s="554"/>
      <c r="KNG11" s="554"/>
      <c r="KNH11" s="554"/>
      <c r="KNI11" s="554"/>
      <c r="KNJ11" s="554"/>
      <c r="KNK11" s="554"/>
      <c r="KNL11" s="554"/>
      <c r="KNM11" s="554"/>
      <c r="KNN11" s="554"/>
      <c r="KNO11" s="554"/>
      <c r="KNP11" s="554"/>
      <c r="KNQ11" s="554"/>
      <c r="KNR11" s="554"/>
      <c r="KNS11" s="554"/>
      <c r="KNT11" s="554"/>
      <c r="KNU11" s="554"/>
      <c r="KNV11" s="554"/>
      <c r="KNW11" s="554"/>
      <c r="KNX11" s="554"/>
      <c r="KNY11" s="554"/>
      <c r="KNZ11" s="554"/>
      <c r="KOA11" s="554"/>
      <c r="KOB11" s="554"/>
      <c r="KOC11" s="554"/>
      <c r="KOD11" s="554"/>
      <c r="KOE11" s="554"/>
      <c r="KOF11" s="554"/>
      <c r="KOG11" s="554"/>
      <c r="KOH11" s="554"/>
      <c r="KOI11" s="554"/>
      <c r="KOJ11" s="554"/>
      <c r="KOK11" s="554"/>
      <c r="KOL11" s="554"/>
      <c r="KOM11" s="554"/>
      <c r="KON11" s="554"/>
      <c r="KOO11" s="554"/>
      <c r="KOP11" s="554"/>
      <c r="KOQ11" s="554"/>
      <c r="KOR11" s="554"/>
      <c r="KOS11" s="554"/>
      <c r="KOT11" s="554"/>
      <c r="KOU11" s="554"/>
      <c r="KOV11" s="554"/>
      <c r="KOW11" s="554"/>
      <c r="KOX11" s="554"/>
      <c r="KOY11" s="554"/>
      <c r="KOZ11" s="554"/>
      <c r="KPA11" s="554"/>
      <c r="KPB11" s="554"/>
      <c r="KPC11" s="554"/>
      <c r="KPD11" s="554"/>
      <c r="KPE11" s="554"/>
      <c r="KPF11" s="554"/>
      <c r="KPG11" s="554"/>
      <c r="KPH11" s="554"/>
      <c r="KPI11" s="554"/>
      <c r="KPJ11" s="554"/>
      <c r="KPK11" s="554"/>
      <c r="KPL11" s="554"/>
      <c r="KPM11" s="554"/>
      <c r="KPN11" s="554"/>
      <c r="KPO11" s="554"/>
      <c r="KPP11" s="554"/>
      <c r="KPQ11" s="554"/>
      <c r="KPR11" s="554"/>
      <c r="KPS11" s="554"/>
      <c r="KPT11" s="554"/>
      <c r="KPU11" s="554"/>
      <c r="KPV11" s="554"/>
      <c r="KPW11" s="554"/>
      <c r="KPX11" s="554"/>
      <c r="KPY11" s="554"/>
      <c r="KPZ11" s="554"/>
      <c r="KQA11" s="554"/>
      <c r="KQB11" s="554"/>
      <c r="KQC11" s="554"/>
      <c r="KQD11" s="554"/>
      <c r="KQE11" s="554"/>
      <c r="KQF11" s="554"/>
      <c r="KQG11" s="554"/>
      <c r="KQH11" s="554"/>
      <c r="KQI11" s="554"/>
      <c r="KQJ11" s="554"/>
      <c r="KQK11" s="554"/>
      <c r="KQL11" s="554"/>
      <c r="KQM11" s="554"/>
      <c r="KQN11" s="554"/>
      <c r="KQO11" s="554"/>
      <c r="KQP11" s="554"/>
      <c r="KQQ11" s="554"/>
      <c r="KQR11" s="554"/>
      <c r="KQS11" s="554"/>
      <c r="KQT11" s="554"/>
      <c r="KQU11" s="554"/>
      <c r="KQV11" s="554"/>
      <c r="KQW11" s="554"/>
      <c r="KQX11" s="554"/>
      <c r="KQY11" s="554"/>
      <c r="KQZ11" s="554"/>
      <c r="KRA11" s="554"/>
      <c r="KRB11" s="554"/>
      <c r="KRC11" s="554"/>
      <c r="KRD11" s="554"/>
      <c r="KRE11" s="554"/>
      <c r="KRF11" s="554"/>
      <c r="KRG11" s="554"/>
      <c r="KRH11" s="554"/>
      <c r="KRI11" s="554"/>
      <c r="KRJ11" s="554"/>
      <c r="KRK11" s="554"/>
      <c r="KRL11" s="554"/>
      <c r="KRM11" s="554"/>
      <c r="KRN11" s="554"/>
      <c r="KRO11" s="554"/>
      <c r="KRP11" s="554"/>
      <c r="KRQ11" s="554"/>
      <c r="KRR11" s="554"/>
      <c r="KRS11" s="554"/>
      <c r="KRT11" s="554"/>
      <c r="KRU11" s="554"/>
      <c r="KRV11" s="554"/>
      <c r="KRW11" s="554"/>
      <c r="KRX11" s="554"/>
      <c r="KRY11" s="554"/>
      <c r="KRZ11" s="554"/>
      <c r="KSA11" s="554"/>
      <c r="KSB11" s="554"/>
      <c r="KSC11" s="554"/>
      <c r="KSD11" s="554"/>
      <c r="KSE11" s="554"/>
      <c r="KSF11" s="554"/>
      <c r="KSG11" s="554"/>
      <c r="KSH11" s="554"/>
      <c r="KSI11" s="554"/>
      <c r="KSJ11" s="554"/>
      <c r="KSK11" s="554"/>
      <c r="KSL11" s="554"/>
      <c r="KSM11" s="554"/>
      <c r="KSN11" s="554"/>
      <c r="KSO11" s="554"/>
      <c r="KSP11" s="554"/>
      <c r="KSQ11" s="554"/>
      <c r="KSR11" s="554"/>
      <c r="KSS11" s="554"/>
      <c r="KST11" s="554"/>
      <c r="KSU11" s="554"/>
      <c r="KSV11" s="554"/>
      <c r="KSW11" s="554"/>
      <c r="KSX11" s="554"/>
      <c r="KSY11" s="554"/>
      <c r="KSZ11" s="554"/>
      <c r="KTA11" s="554"/>
      <c r="KTB11" s="554"/>
      <c r="KTC11" s="554"/>
      <c r="KTD11" s="554"/>
      <c r="KTE11" s="554"/>
      <c r="KTF11" s="554"/>
      <c r="KTG11" s="554"/>
      <c r="KTH11" s="554"/>
      <c r="KTI11" s="554"/>
      <c r="KTJ11" s="554"/>
      <c r="KTK11" s="554"/>
      <c r="KTL11" s="554"/>
      <c r="KTM11" s="554"/>
      <c r="KTN11" s="554"/>
      <c r="KTO11" s="554"/>
      <c r="KTP11" s="554"/>
      <c r="KTQ11" s="554"/>
      <c r="KTR11" s="554"/>
      <c r="KTS11" s="554"/>
      <c r="KTT11" s="554"/>
      <c r="KTU11" s="554"/>
      <c r="KTV11" s="554"/>
      <c r="KTW11" s="554"/>
      <c r="KTX11" s="554"/>
      <c r="KTY11" s="554"/>
      <c r="KTZ11" s="554"/>
      <c r="KUA11" s="554"/>
      <c r="KUB11" s="554"/>
      <c r="KUC11" s="554"/>
      <c r="KUD11" s="554"/>
      <c r="KUE11" s="554"/>
      <c r="KUF11" s="554"/>
      <c r="KUG11" s="554"/>
      <c r="KUH11" s="554"/>
      <c r="KUI11" s="554"/>
      <c r="KUJ11" s="554"/>
      <c r="KUK11" s="554"/>
      <c r="KUL11" s="554"/>
      <c r="KUM11" s="554"/>
      <c r="KUN11" s="554"/>
      <c r="KUO11" s="554"/>
      <c r="KUP11" s="554"/>
      <c r="KUQ11" s="554"/>
      <c r="KUR11" s="554"/>
      <c r="KUS11" s="554"/>
      <c r="KUT11" s="554"/>
      <c r="KUU11" s="554"/>
      <c r="KUV11" s="554"/>
      <c r="KUW11" s="554"/>
      <c r="KUX11" s="554"/>
      <c r="KUY11" s="554"/>
      <c r="KUZ11" s="554"/>
      <c r="KVA11" s="554"/>
      <c r="KVB11" s="554"/>
      <c r="KVC11" s="554"/>
      <c r="KVD11" s="554"/>
      <c r="KVE11" s="554"/>
      <c r="KVF11" s="554"/>
      <c r="KVG11" s="554"/>
      <c r="KVH11" s="554"/>
      <c r="KVI11" s="554"/>
      <c r="KVJ11" s="554"/>
      <c r="KVK11" s="554"/>
      <c r="KVL11" s="554"/>
      <c r="KVM11" s="554"/>
      <c r="KVN11" s="554"/>
      <c r="KVO11" s="554"/>
      <c r="KVP11" s="554"/>
      <c r="KVQ11" s="554"/>
      <c r="KVR11" s="554"/>
      <c r="KVS11" s="554"/>
      <c r="KVT11" s="554"/>
      <c r="KVU11" s="554"/>
      <c r="KVV11" s="554"/>
      <c r="KVW11" s="554"/>
      <c r="KVX11" s="554"/>
      <c r="KVY11" s="554"/>
      <c r="KVZ11" s="554"/>
      <c r="KWA11" s="554"/>
      <c r="KWB11" s="554"/>
      <c r="KWC11" s="554"/>
      <c r="KWD11" s="554"/>
      <c r="KWE11" s="554"/>
      <c r="KWF11" s="554"/>
      <c r="KWG11" s="554"/>
      <c r="KWH11" s="554"/>
      <c r="KWI11" s="554"/>
      <c r="KWJ11" s="554"/>
      <c r="KWK11" s="554"/>
      <c r="KWL11" s="554"/>
      <c r="KWM11" s="554"/>
      <c r="KWN11" s="554"/>
      <c r="KWO11" s="554"/>
      <c r="KWP11" s="554"/>
      <c r="KWQ11" s="554"/>
      <c r="KWR11" s="554"/>
      <c r="KWS11" s="554"/>
      <c r="KWT11" s="554"/>
      <c r="KWU11" s="554"/>
      <c r="KWV11" s="554"/>
      <c r="KWW11" s="554"/>
      <c r="KWX11" s="554"/>
      <c r="KWY11" s="554"/>
      <c r="KWZ11" s="554"/>
      <c r="KXA11" s="554"/>
      <c r="KXB11" s="554"/>
      <c r="KXC11" s="554"/>
      <c r="KXD11" s="554"/>
      <c r="KXE11" s="554"/>
      <c r="KXF11" s="554"/>
      <c r="KXG11" s="554"/>
      <c r="KXH11" s="554"/>
      <c r="KXI11" s="554"/>
      <c r="KXJ11" s="554"/>
      <c r="KXK11" s="554"/>
      <c r="KXL11" s="554"/>
      <c r="KXM11" s="554"/>
      <c r="KXN11" s="554"/>
      <c r="KXO11" s="554"/>
      <c r="KXP11" s="554"/>
      <c r="KXQ11" s="554"/>
      <c r="KXR11" s="554"/>
      <c r="KXS11" s="554"/>
      <c r="KXT11" s="554"/>
      <c r="KXU11" s="554"/>
      <c r="KXV11" s="554"/>
      <c r="KXW11" s="554"/>
      <c r="KXX11" s="554"/>
      <c r="KXY11" s="554"/>
      <c r="KXZ11" s="554"/>
      <c r="KYA11" s="554"/>
      <c r="KYB11" s="554"/>
      <c r="KYC11" s="554"/>
      <c r="KYD11" s="554"/>
      <c r="KYE11" s="554"/>
      <c r="KYF11" s="554"/>
      <c r="KYG11" s="554"/>
      <c r="KYH11" s="554"/>
      <c r="KYI11" s="554"/>
      <c r="KYJ11" s="554"/>
      <c r="KYK11" s="554"/>
      <c r="KYL11" s="554"/>
      <c r="KYM11" s="554"/>
      <c r="KYN11" s="554"/>
      <c r="KYO11" s="554"/>
      <c r="KYP11" s="554"/>
      <c r="KYQ11" s="554"/>
      <c r="KYR11" s="554"/>
      <c r="KYS11" s="554"/>
      <c r="KYT11" s="554"/>
      <c r="KYU11" s="554"/>
      <c r="KYV11" s="554"/>
      <c r="KYW11" s="554"/>
      <c r="KYX11" s="554"/>
      <c r="KYY11" s="554"/>
      <c r="KYZ11" s="554"/>
      <c r="KZA11" s="554"/>
      <c r="KZB11" s="554"/>
      <c r="KZC11" s="554"/>
      <c r="KZD11" s="554"/>
      <c r="KZE11" s="554"/>
      <c r="KZF11" s="554"/>
      <c r="KZG11" s="554"/>
      <c r="KZH11" s="554"/>
      <c r="KZI11" s="554"/>
      <c r="KZJ11" s="554"/>
      <c r="KZK11" s="554"/>
      <c r="KZL11" s="554"/>
      <c r="KZM11" s="554"/>
      <c r="KZN11" s="554"/>
      <c r="KZO11" s="554"/>
      <c r="KZP11" s="554"/>
      <c r="KZQ11" s="554"/>
      <c r="KZR11" s="554"/>
      <c r="KZS11" s="554"/>
      <c r="KZT11" s="554"/>
      <c r="KZU11" s="554"/>
      <c r="KZV11" s="554"/>
      <c r="KZW11" s="554"/>
      <c r="KZX11" s="554"/>
      <c r="KZY11" s="554"/>
      <c r="KZZ11" s="554"/>
      <c r="LAA11" s="554"/>
      <c r="LAB11" s="554"/>
      <c r="LAC11" s="554"/>
      <c r="LAD11" s="554"/>
      <c r="LAE11" s="554"/>
      <c r="LAF11" s="554"/>
      <c r="LAG11" s="554"/>
      <c r="LAH11" s="554"/>
      <c r="LAI11" s="554"/>
      <c r="LAJ11" s="554"/>
      <c r="LAK11" s="554"/>
      <c r="LAL11" s="554"/>
      <c r="LAM11" s="554"/>
      <c r="LAN11" s="554"/>
      <c r="LAO11" s="554"/>
      <c r="LAP11" s="554"/>
      <c r="LAQ11" s="554"/>
      <c r="LAR11" s="554"/>
      <c r="LAS11" s="554"/>
      <c r="LAT11" s="554"/>
      <c r="LAU11" s="554"/>
      <c r="LAV11" s="554"/>
      <c r="LAW11" s="554"/>
      <c r="LAX11" s="554"/>
      <c r="LAY11" s="554"/>
      <c r="LAZ11" s="554"/>
      <c r="LBA11" s="554"/>
      <c r="LBB11" s="554"/>
      <c r="LBC11" s="554"/>
      <c r="LBD11" s="554"/>
      <c r="LBE11" s="554"/>
      <c r="LBF11" s="554"/>
      <c r="LBG11" s="554"/>
      <c r="LBH11" s="554"/>
      <c r="LBI11" s="554"/>
      <c r="LBJ11" s="554"/>
      <c r="LBK11" s="554"/>
      <c r="LBL11" s="554"/>
      <c r="LBM11" s="554"/>
      <c r="LBN11" s="554"/>
      <c r="LBO11" s="554"/>
      <c r="LBP11" s="554"/>
      <c r="LBQ11" s="554"/>
      <c r="LBR11" s="554"/>
      <c r="LBS11" s="554"/>
      <c r="LBT11" s="554"/>
      <c r="LBU11" s="554"/>
      <c r="LBV11" s="554"/>
      <c r="LBW11" s="554"/>
      <c r="LBX11" s="554"/>
      <c r="LBY11" s="554"/>
      <c r="LBZ11" s="554"/>
      <c r="LCA11" s="554"/>
      <c r="LCB11" s="554"/>
      <c r="LCC11" s="554"/>
      <c r="LCD11" s="554"/>
      <c r="LCE11" s="554"/>
      <c r="LCF11" s="554"/>
      <c r="LCG11" s="554"/>
      <c r="LCH11" s="554"/>
      <c r="LCI11" s="554"/>
      <c r="LCJ11" s="554"/>
      <c r="LCK11" s="554"/>
      <c r="LCL11" s="554"/>
      <c r="LCM11" s="554"/>
      <c r="LCN11" s="554"/>
      <c r="LCO11" s="554"/>
      <c r="LCP11" s="554"/>
      <c r="LCQ11" s="554"/>
      <c r="LCR11" s="554"/>
      <c r="LCS11" s="554"/>
      <c r="LCT11" s="554"/>
      <c r="LCU11" s="554"/>
      <c r="LCV11" s="554"/>
      <c r="LCW11" s="554"/>
      <c r="LCX11" s="554"/>
      <c r="LCY11" s="554"/>
      <c r="LCZ11" s="554"/>
      <c r="LDA11" s="554"/>
      <c r="LDB11" s="554"/>
      <c r="LDC11" s="554"/>
      <c r="LDD11" s="554"/>
      <c r="LDE11" s="554"/>
      <c r="LDF11" s="554"/>
      <c r="LDG11" s="554"/>
      <c r="LDH11" s="554"/>
      <c r="LDI11" s="554"/>
      <c r="LDJ11" s="554"/>
      <c r="LDK11" s="554"/>
      <c r="LDL11" s="554"/>
      <c r="LDM11" s="554"/>
      <c r="LDN11" s="554"/>
      <c r="LDO11" s="554"/>
      <c r="LDP11" s="554"/>
      <c r="LDQ11" s="554"/>
      <c r="LDR11" s="554"/>
      <c r="LDS11" s="554"/>
      <c r="LDT11" s="554"/>
      <c r="LDU11" s="554"/>
      <c r="LDV11" s="554"/>
      <c r="LDW11" s="554"/>
      <c r="LDX11" s="554"/>
      <c r="LDY11" s="554"/>
      <c r="LDZ11" s="554"/>
      <c r="LEA11" s="554"/>
      <c r="LEB11" s="554"/>
      <c r="LEC11" s="554"/>
      <c r="LED11" s="554"/>
      <c r="LEE11" s="554"/>
      <c r="LEF11" s="554"/>
      <c r="LEG11" s="554"/>
      <c r="LEH11" s="554"/>
      <c r="LEI11" s="554"/>
      <c r="LEJ11" s="554"/>
      <c r="LEK11" s="554"/>
      <c r="LEL11" s="554"/>
      <c r="LEM11" s="554"/>
      <c r="LEN11" s="554"/>
      <c r="LEO11" s="554"/>
      <c r="LEP11" s="554"/>
      <c r="LEQ11" s="554"/>
      <c r="LER11" s="554"/>
      <c r="LES11" s="554"/>
      <c r="LET11" s="554"/>
      <c r="LEU11" s="554"/>
      <c r="LEV11" s="554"/>
      <c r="LEW11" s="554"/>
      <c r="LEX11" s="554"/>
      <c r="LEY11" s="554"/>
      <c r="LEZ11" s="554"/>
      <c r="LFA11" s="554"/>
      <c r="LFB11" s="554"/>
      <c r="LFC11" s="554"/>
      <c r="LFD11" s="554"/>
      <c r="LFE11" s="554"/>
      <c r="LFF11" s="554"/>
      <c r="LFG11" s="554"/>
      <c r="LFH11" s="554"/>
      <c r="LFI11" s="554"/>
      <c r="LFJ11" s="554"/>
      <c r="LFK11" s="554"/>
      <c r="LFL11" s="554"/>
      <c r="LFM11" s="554"/>
      <c r="LFN11" s="554"/>
      <c r="LFO11" s="554"/>
      <c r="LFP11" s="554"/>
      <c r="LFQ11" s="554"/>
      <c r="LFR11" s="554"/>
      <c r="LFS11" s="554"/>
      <c r="LFT11" s="554"/>
      <c r="LFU11" s="554"/>
      <c r="LFV11" s="554"/>
      <c r="LFW11" s="554"/>
      <c r="LFX11" s="554"/>
      <c r="LFY11" s="554"/>
      <c r="LFZ11" s="554"/>
      <c r="LGA11" s="554"/>
      <c r="LGB11" s="554"/>
      <c r="LGC11" s="554"/>
      <c r="LGD11" s="554"/>
      <c r="LGE11" s="554"/>
      <c r="LGF11" s="554"/>
      <c r="LGG11" s="554"/>
      <c r="LGH11" s="554"/>
      <c r="LGI11" s="554"/>
      <c r="LGJ11" s="554"/>
      <c r="LGK11" s="554"/>
      <c r="LGL11" s="554"/>
      <c r="LGM11" s="554"/>
      <c r="LGN11" s="554"/>
      <c r="LGO11" s="554"/>
      <c r="LGP11" s="554"/>
      <c r="LGQ11" s="554"/>
      <c r="LGR11" s="554"/>
      <c r="LGS11" s="554"/>
      <c r="LGT11" s="554"/>
      <c r="LGU11" s="554"/>
      <c r="LGV11" s="554"/>
      <c r="LGW11" s="554"/>
      <c r="LGX11" s="554"/>
      <c r="LGY11" s="554"/>
      <c r="LGZ11" s="554"/>
      <c r="LHA11" s="554"/>
      <c r="LHB11" s="554"/>
      <c r="LHC11" s="554"/>
      <c r="LHD11" s="554"/>
      <c r="LHE11" s="554"/>
      <c r="LHF11" s="554"/>
      <c r="LHG11" s="554"/>
      <c r="LHH11" s="554"/>
      <c r="LHI11" s="554"/>
      <c r="LHJ11" s="554"/>
      <c r="LHK11" s="554"/>
      <c r="LHL11" s="554"/>
      <c r="LHM11" s="554"/>
      <c r="LHN11" s="554"/>
      <c r="LHO11" s="554"/>
      <c r="LHP11" s="554"/>
      <c r="LHQ11" s="554"/>
      <c r="LHR11" s="554"/>
      <c r="LHS11" s="554"/>
      <c r="LHT11" s="554"/>
      <c r="LHU11" s="554"/>
      <c r="LHV11" s="554"/>
      <c r="LHW11" s="554"/>
      <c r="LHX11" s="554"/>
      <c r="LHY11" s="554"/>
      <c r="LHZ11" s="554"/>
      <c r="LIA11" s="554"/>
      <c r="LIB11" s="554"/>
      <c r="LIC11" s="554"/>
      <c r="LID11" s="554"/>
      <c r="LIE11" s="554"/>
      <c r="LIF11" s="554"/>
      <c r="LIG11" s="554"/>
      <c r="LIH11" s="554"/>
      <c r="LII11" s="554"/>
      <c r="LIJ11" s="554"/>
      <c r="LIK11" s="554"/>
      <c r="LIL11" s="554"/>
      <c r="LIM11" s="554"/>
      <c r="LIN11" s="554"/>
      <c r="LIO11" s="554"/>
      <c r="LIP11" s="554"/>
      <c r="LIQ11" s="554"/>
      <c r="LIR11" s="554"/>
      <c r="LIS11" s="554"/>
      <c r="LIT11" s="554"/>
      <c r="LIU11" s="554"/>
      <c r="LIV11" s="554"/>
      <c r="LIW11" s="554"/>
      <c r="LIX11" s="554"/>
      <c r="LIY11" s="554"/>
      <c r="LIZ11" s="554"/>
      <c r="LJA11" s="554"/>
      <c r="LJB11" s="554"/>
      <c r="LJC11" s="554"/>
      <c r="LJD11" s="554"/>
      <c r="LJE11" s="554"/>
      <c r="LJF11" s="554"/>
      <c r="LJG11" s="554"/>
      <c r="LJH11" s="554"/>
      <c r="LJI11" s="554"/>
      <c r="LJJ11" s="554"/>
      <c r="LJK11" s="554"/>
      <c r="LJL11" s="554"/>
      <c r="LJM11" s="554"/>
      <c r="LJN11" s="554"/>
      <c r="LJO11" s="554"/>
      <c r="LJP11" s="554"/>
      <c r="LJQ11" s="554"/>
      <c r="LJR11" s="554"/>
      <c r="LJS11" s="554"/>
      <c r="LJT11" s="554"/>
      <c r="LJU11" s="554"/>
      <c r="LJV11" s="554"/>
      <c r="LJW11" s="554"/>
      <c r="LJX11" s="554"/>
      <c r="LJY11" s="554"/>
      <c r="LJZ11" s="554"/>
      <c r="LKA11" s="554"/>
      <c r="LKB11" s="554"/>
      <c r="LKC11" s="554"/>
      <c r="LKD11" s="554"/>
      <c r="LKE11" s="554"/>
      <c r="LKF11" s="554"/>
      <c r="LKG11" s="554"/>
      <c r="LKH11" s="554"/>
      <c r="LKI11" s="554"/>
      <c r="LKJ11" s="554"/>
      <c r="LKK11" s="554"/>
      <c r="LKL11" s="554"/>
      <c r="LKM11" s="554"/>
      <c r="LKN11" s="554"/>
      <c r="LKO11" s="554"/>
      <c r="LKP11" s="554"/>
      <c r="LKQ11" s="554"/>
      <c r="LKR11" s="554"/>
      <c r="LKS11" s="554"/>
      <c r="LKT11" s="554"/>
      <c r="LKU11" s="554"/>
      <c r="LKV11" s="554"/>
      <c r="LKW11" s="554"/>
      <c r="LKX11" s="554"/>
      <c r="LKY11" s="554"/>
      <c r="LKZ11" s="554"/>
      <c r="LLA11" s="554"/>
      <c r="LLB11" s="554"/>
      <c r="LLC11" s="554"/>
      <c r="LLD11" s="554"/>
      <c r="LLE11" s="554"/>
      <c r="LLF11" s="554"/>
      <c r="LLG11" s="554"/>
      <c r="LLH11" s="554"/>
      <c r="LLI11" s="554"/>
      <c r="LLJ11" s="554"/>
      <c r="LLK11" s="554"/>
      <c r="LLL11" s="554"/>
      <c r="LLM11" s="554"/>
      <c r="LLN11" s="554"/>
      <c r="LLO11" s="554"/>
      <c r="LLP11" s="554"/>
      <c r="LLQ11" s="554"/>
      <c r="LLR11" s="554"/>
      <c r="LLS11" s="554"/>
      <c r="LLT11" s="554"/>
      <c r="LLU11" s="554"/>
      <c r="LLV11" s="554"/>
      <c r="LLW11" s="554"/>
      <c r="LLX11" s="554"/>
      <c r="LLY11" s="554"/>
      <c r="LLZ11" s="554"/>
      <c r="LMA11" s="554"/>
      <c r="LMB11" s="554"/>
      <c r="LMC11" s="554"/>
      <c r="LMD11" s="554"/>
      <c r="LME11" s="554"/>
      <c r="LMF11" s="554"/>
      <c r="LMG11" s="554"/>
      <c r="LMH11" s="554"/>
      <c r="LMI11" s="554"/>
      <c r="LMJ11" s="554"/>
      <c r="LMK11" s="554"/>
      <c r="LML11" s="554"/>
      <c r="LMM11" s="554"/>
      <c r="LMN11" s="554"/>
      <c r="LMO11" s="554"/>
      <c r="LMP11" s="554"/>
      <c r="LMQ11" s="554"/>
      <c r="LMR11" s="554"/>
      <c r="LMS11" s="554"/>
      <c r="LMT11" s="554"/>
      <c r="LMU11" s="554"/>
      <c r="LMV11" s="554"/>
      <c r="LMW11" s="554"/>
      <c r="LMX11" s="554"/>
      <c r="LMY11" s="554"/>
      <c r="LMZ11" s="554"/>
      <c r="LNA11" s="554"/>
      <c r="LNB11" s="554"/>
      <c r="LNC11" s="554"/>
      <c r="LND11" s="554"/>
      <c r="LNE11" s="554"/>
      <c r="LNF11" s="554"/>
      <c r="LNG11" s="554"/>
      <c r="LNH11" s="554"/>
      <c r="LNI11" s="554"/>
      <c r="LNJ11" s="554"/>
      <c r="LNK11" s="554"/>
      <c r="LNL11" s="554"/>
      <c r="LNM11" s="554"/>
      <c r="LNN11" s="554"/>
      <c r="LNO11" s="554"/>
      <c r="LNP11" s="554"/>
      <c r="LNQ11" s="554"/>
      <c r="LNR11" s="554"/>
      <c r="LNS11" s="554"/>
      <c r="LNT11" s="554"/>
      <c r="LNU11" s="554"/>
      <c r="LNV11" s="554"/>
      <c r="LNW11" s="554"/>
      <c r="LNX11" s="554"/>
      <c r="LNY11" s="554"/>
      <c r="LNZ11" s="554"/>
      <c r="LOA11" s="554"/>
      <c r="LOB11" s="554"/>
      <c r="LOC11" s="554"/>
      <c r="LOD11" s="554"/>
      <c r="LOE11" s="554"/>
      <c r="LOF11" s="554"/>
      <c r="LOG11" s="554"/>
      <c r="LOH11" s="554"/>
      <c r="LOI11" s="554"/>
      <c r="LOJ11" s="554"/>
      <c r="LOK11" s="554"/>
      <c r="LOL11" s="554"/>
      <c r="LOM11" s="554"/>
      <c r="LON11" s="554"/>
      <c r="LOO11" s="554"/>
      <c r="LOP11" s="554"/>
      <c r="LOQ11" s="554"/>
      <c r="LOR11" s="554"/>
      <c r="LOS11" s="554"/>
      <c r="LOT11" s="554"/>
      <c r="LOU11" s="554"/>
      <c r="LOV11" s="554"/>
      <c r="LOW11" s="554"/>
      <c r="LOX11" s="554"/>
      <c r="LOY11" s="554"/>
      <c r="LOZ11" s="554"/>
      <c r="LPA11" s="554"/>
      <c r="LPB11" s="554"/>
      <c r="LPC11" s="554"/>
      <c r="LPD11" s="554"/>
      <c r="LPE11" s="554"/>
      <c r="LPF11" s="554"/>
      <c r="LPG11" s="554"/>
      <c r="LPH11" s="554"/>
      <c r="LPI11" s="554"/>
      <c r="LPJ11" s="554"/>
      <c r="LPK11" s="554"/>
      <c r="LPL11" s="554"/>
      <c r="LPM11" s="554"/>
      <c r="LPN11" s="554"/>
      <c r="LPO11" s="554"/>
      <c r="LPP11" s="554"/>
      <c r="LPQ11" s="554"/>
      <c r="LPR11" s="554"/>
      <c r="LPS11" s="554"/>
      <c r="LPT11" s="554"/>
      <c r="LPU11" s="554"/>
      <c r="LPV11" s="554"/>
      <c r="LPW11" s="554"/>
      <c r="LPX11" s="554"/>
      <c r="LPY11" s="554"/>
      <c r="LPZ11" s="554"/>
      <c r="LQA11" s="554"/>
      <c r="LQB11" s="554"/>
      <c r="LQC11" s="554"/>
      <c r="LQD11" s="554"/>
      <c r="LQE11" s="554"/>
      <c r="LQF11" s="554"/>
      <c r="LQG11" s="554"/>
      <c r="LQH11" s="554"/>
      <c r="LQI11" s="554"/>
      <c r="LQJ11" s="554"/>
      <c r="LQK11" s="554"/>
      <c r="LQL11" s="554"/>
      <c r="LQM11" s="554"/>
      <c r="LQN11" s="554"/>
      <c r="LQO11" s="554"/>
      <c r="LQP11" s="554"/>
      <c r="LQQ11" s="554"/>
      <c r="LQR11" s="554"/>
      <c r="LQS11" s="554"/>
      <c r="LQT11" s="554"/>
      <c r="LQU11" s="554"/>
      <c r="LQV11" s="554"/>
      <c r="LQW11" s="554"/>
      <c r="LQX11" s="554"/>
      <c r="LQY11" s="554"/>
      <c r="LQZ11" s="554"/>
      <c r="LRA11" s="554"/>
      <c r="LRB11" s="554"/>
      <c r="LRC11" s="554"/>
      <c r="LRD11" s="554"/>
      <c r="LRE11" s="554"/>
      <c r="LRF11" s="554"/>
      <c r="LRG11" s="554"/>
      <c r="LRH11" s="554"/>
      <c r="LRI11" s="554"/>
      <c r="LRJ11" s="554"/>
      <c r="LRK11" s="554"/>
      <c r="LRL11" s="554"/>
      <c r="LRM11" s="554"/>
      <c r="LRN11" s="554"/>
      <c r="LRO11" s="554"/>
      <c r="LRP11" s="554"/>
      <c r="LRQ11" s="554"/>
      <c r="LRR11" s="554"/>
      <c r="LRS11" s="554"/>
      <c r="LRT11" s="554"/>
      <c r="LRU11" s="554"/>
      <c r="LRV11" s="554"/>
      <c r="LRW11" s="554"/>
      <c r="LRX11" s="554"/>
      <c r="LRY11" s="554"/>
      <c r="LRZ11" s="554"/>
      <c r="LSA11" s="554"/>
      <c r="LSB11" s="554"/>
      <c r="LSC11" s="554"/>
      <c r="LSD11" s="554"/>
      <c r="LSE11" s="554"/>
      <c r="LSF11" s="554"/>
      <c r="LSG11" s="554"/>
      <c r="LSH11" s="554"/>
      <c r="LSI11" s="554"/>
      <c r="LSJ11" s="554"/>
      <c r="LSK11" s="554"/>
      <c r="LSL11" s="554"/>
      <c r="LSM11" s="554"/>
      <c r="LSN11" s="554"/>
      <c r="LSO11" s="554"/>
      <c r="LSP11" s="554"/>
      <c r="LSQ11" s="554"/>
      <c r="LSR11" s="554"/>
      <c r="LSS11" s="554"/>
      <c r="LST11" s="554"/>
      <c r="LSU11" s="554"/>
      <c r="LSV11" s="554"/>
      <c r="LSW11" s="554"/>
      <c r="LSX11" s="554"/>
      <c r="LSY11" s="554"/>
      <c r="LSZ11" s="554"/>
      <c r="LTA11" s="554"/>
      <c r="LTB11" s="554"/>
      <c r="LTC11" s="554"/>
      <c r="LTD11" s="554"/>
      <c r="LTE11" s="554"/>
      <c r="LTF11" s="554"/>
      <c r="LTG11" s="554"/>
      <c r="LTH11" s="554"/>
      <c r="LTI11" s="554"/>
      <c r="LTJ11" s="554"/>
      <c r="LTK11" s="554"/>
      <c r="LTL11" s="554"/>
      <c r="LTM11" s="554"/>
      <c r="LTN11" s="554"/>
      <c r="LTO11" s="554"/>
      <c r="LTP11" s="554"/>
      <c r="LTQ11" s="554"/>
      <c r="LTR11" s="554"/>
      <c r="LTS11" s="554"/>
      <c r="LTT11" s="554"/>
      <c r="LTU11" s="554"/>
      <c r="LTV11" s="554"/>
      <c r="LTW11" s="554"/>
      <c r="LTX11" s="554"/>
      <c r="LTY11" s="554"/>
      <c r="LTZ11" s="554"/>
      <c r="LUA11" s="554"/>
      <c r="LUB11" s="554"/>
      <c r="LUC11" s="554"/>
      <c r="LUD11" s="554"/>
      <c r="LUE11" s="554"/>
      <c r="LUF11" s="554"/>
      <c r="LUG11" s="554"/>
      <c r="LUH11" s="554"/>
      <c r="LUI11" s="554"/>
      <c r="LUJ11" s="554"/>
      <c r="LUK11" s="554"/>
      <c r="LUL11" s="554"/>
      <c r="LUM11" s="554"/>
      <c r="LUN11" s="554"/>
      <c r="LUO11" s="554"/>
      <c r="LUP11" s="554"/>
      <c r="LUQ11" s="554"/>
      <c r="LUR11" s="554"/>
      <c r="LUS11" s="554"/>
      <c r="LUT11" s="554"/>
      <c r="LUU11" s="554"/>
      <c r="LUV11" s="554"/>
      <c r="LUW11" s="554"/>
      <c r="LUX11" s="554"/>
      <c r="LUY11" s="554"/>
      <c r="LUZ11" s="554"/>
      <c r="LVA11" s="554"/>
      <c r="LVB11" s="554"/>
      <c r="LVC11" s="554"/>
      <c r="LVD11" s="554"/>
      <c r="LVE11" s="554"/>
      <c r="LVF11" s="554"/>
      <c r="LVG11" s="554"/>
      <c r="LVH11" s="554"/>
      <c r="LVI11" s="554"/>
      <c r="LVJ11" s="554"/>
      <c r="LVK11" s="554"/>
      <c r="LVL11" s="554"/>
      <c r="LVM11" s="554"/>
      <c r="LVN11" s="554"/>
      <c r="LVO11" s="554"/>
      <c r="LVP11" s="554"/>
      <c r="LVQ11" s="554"/>
      <c r="LVR11" s="554"/>
      <c r="LVS11" s="554"/>
      <c r="LVT11" s="554"/>
      <c r="LVU11" s="554"/>
      <c r="LVV11" s="554"/>
      <c r="LVW11" s="554"/>
      <c r="LVX11" s="554"/>
      <c r="LVY11" s="554"/>
      <c r="LVZ11" s="554"/>
      <c r="LWA11" s="554"/>
      <c r="LWB11" s="554"/>
      <c r="LWC11" s="554"/>
      <c r="LWD11" s="554"/>
      <c r="LWE11" s="554"/>
      <c r="LWF11" s="554"/>
      <c r="LWG11" s="554"/>
      <c r="LWH11" s="554"/>
      <c r="LWI11" s="554"/>
      <c r="LWJ11" s="554"/>
      <c r="LWK11" s="554"/>
      <c r="LWL11" s="554"/>
      <c r="LWM11" s="554"/>
      <c r="LWN11" s="554"/>
      <c r="LWO11" s="554"/>
      <c r="LWP11" s="554"/>
      <c r="LWQ11" s="554"/>
      <c r="LWR11" s="554"/>
      <c r="LWS11" s="554"/>
      <c r="LWT11" s="554"/>
      <c r="LWU11" s="554"/>
      <c r="LWV11" s="554"/>
      <c r="LWW11" s="554"/>
      <c r="LWX11" s="554"/>
      <c r="LWY11" s="554"/>
      <c r="LWZ11" s="554"/>
      <c r="LXA11" s="554"/>
      <c r="LXB11" s="554"/>
      <c r="LXC11" s="554"/>
      <c r="LXD11" s="554"/>
      <c r="LXE11" s="554"/>
      <c r="LXF11" s="554"/>
      <c r="LXG11" s="554"/>
      <c r="LXH11" s="554"/>
      <c r="LXI11" s="554"/>
      <c r="LXJ11" s="554"/>
      <c r="LXK11" s="554"/>
      <c r="LXL11" s="554"/>
      <c r="LXM11" s="554"/>
      <c r="LXN11" s="554"/>
      <c r="LXO11" s="554"/>
      <c r="LXP11" s="554"/>
      <c r="LXQ11" s="554"/>
      <c r="LXR11" s="554"/>
      <c r="LXS11" s="554"/>
      <c r="LXT11" s="554"/>
      <c r="LXU11" s="554"/>
      <c r="LXV11" s="554"/>
      <c r="LXW11" s="554"/>
      <c r="LXX11" s="554"/>
      <c r="LXY11" s="554"/>
      <c r="LXZ11" s="554"/>
      <c r="LYA11" s="554"/>
      <c r="LYB11" s="554"/>
      <c r="LYC11" s="554"/>
      <c r="LYD11" s="554"/>
      <c r="LYE11" s="554"/>
      <c r="LYF11" s="554"/>
      <c r="LYG11" s="554"/>
      <c r="LYH11" s="554"/>
      <c r="LYI11" s="554"/>
      <c r="LYJ11" s="554"/>
      <c r="LYK11" s="554"/>
      <c r="LYL11" s="554"/>
      <c r="LYM11" s="554"/>
      <c r="LYN11" s="554"/>
      <c r="LYO11" s="554"/>
      <c r="LYP11" s="554"/>
      <c r="LYQ11" s="554"/>
      <c r="LYR11" s="554"/>
      <c r="LYS11" s="554"/>
      <c r="LYT11" s="554"/>
      <c r="LYU11" s="554"/>
      <c r="LYV11" s="554"/>
      <c r="LYW11" s="554"/>
      <c r="LYX11" s="554"/>
      <c r="LYY11" s="554"/>
      <c r="LYZ11" s="554"/>
      <c r="LZA11" s="554"/>
      <c r="LZB11" s="554"/>
      <c r="LZC11" s="554"/>
      <c r="LZD11" s="554"/>
      <c r="LZE11" s="554"/>
      <c r="LZF11" s="554"/>
      <c r="LZG11" s="554"/>
      <c r="LZH11" s="554"/>
      <c r="LZI11" s="554"/>
      <c r="LZJ11" s="554"/>
      <c r="LZK11" s="554"/>
      <c r="LZL11" s="554"/>
      <c r="LZM11" s="554"/>
      <c r="LZN11" s="554"/>
      <c r="LZO11" s="554"/>
      <c r="LZP11" s="554"/>
      <c r="LZQ11" s="554"/>
      <c r="LZR11" s="554"/>
      <c r="LZS11" s="554"/>
      <c r="LZT11" s="554"/>
      <c r="LZU11" s="554"/>
      <c r="LZV11" s="554"/>
      <c r="LZW11" s="554"/>
      <c r="LZX11" s="554"/>
      <c r="LZY11" s="554"/>
      <c r="LZZ11" s="554"/>
      <c r="MAA11" s="554"/>
      <c r="MAB11" s="554"/>
      <c r="MAC11" s="554"/>
      <c r="MAD11" s="554"/>
      <c r="MAE11" s="554"/>
      <c r="MAF11" s="554"/>
      <c r="MAG11" s="554"/>
      <c r="MAH11" s="554"/>
      <c r="MAI11" s="554"/>
      <c r="MAJ11" s="554"/>
      <c r="MAK11" s="554"/>
      <c r="MAL11" s="554"/>
      <c r="MAM11" s="554"/>
      <c r="MAN11" s="554"/>
      <c r="MAO11" s="554"/>
      <c r="MAP11" s="554"/>
      <c r="MAQ11" s="554"/>
      <c r="MAR11" s="554"/>
      <c r="MAS11" s="554"/>
      <c r="MAT11" s="554"/>
      <c r="MAU11" s="554"/>
      <c r="MAV11" s="554"/>
      <c r="MAW11" s="554"/>
      <c r="MAX11" s="554"/>
      <c r="MAY11" s="554"/>
      <c r="MAZ11" s="554"/>
      <c r="MBA11" s="554"/>
      <c r="MBB11" s="554"/>
      <c r="MBC11" s="554"/>
      <c r="MBD11" s="554"/>
      <c r="MBE11" s="554"/>
      <c r="MBF11" s="554"/>
      <c r="MBG11" s="554"/>
      <c r="MBH11" s="554"/>
      <c r="MBI11" s="554"/>
      <c r="MBJ11" s="554"/>
      <c r="MBK11" s="554"/>
      <c r="MBL11" s="554"/>
      <c r="MBM11" s="554"/>
      <c r="MBN11" s="554"/>
      <c r="MBO11" s="554"/>
      <c r="MBP11" s="554"/>
      <c r="MBQ11" s="554"/>
      <c r="MBR11" s="554"/>
      <c r="MBS11" s="554"/>
      <c r="MBT11" s="554"/>
      <c r="MBU11" s="554"/>
      <c r="MBV11" s="554"/>
      <c r="MBW11" s="554"/>
      <c r="MBX11" s="554"/>
      <c r="MBY11" s="554"/>
      <c r="MBZ11" s="554"/>
      <c r="MCA11" s="554"/>
      <c r="MCB11" s="554"/>
      <c r="MCC11" s="554"/>
      <c r="MCD11" s="554"/>
      <c r="MCE11" s="554"/>
      <c r="MCF11" s="554"/>
      <c r="MCG11" s="554"/>
      <c r="MCH11" s="554"/>
      <c r="MCI11" s="554"/>
      <c r="MCJ11" s="554"/>
      <c r="MCK11" s="554"/>
      <c r="MCL11" s="554"/>
      <c r="MCM11" s="554"/>
      <c r="MCN11" s="554"/>
      <c r="MCO11" s="554"/>
      <c r="MCP11" s="554"/>
      <c r="MCQ11" s="554"/>
      <c r="MCR11" s="554"/>
      <c r="MCS11" s="554"/>
      <c r="MCT11" s="554"/>
      <c r="MCU11" s="554"/>
      <c r="MCV11" s="554"/>
      <c r="MCW11" s="554"/>
      <c r="MCX11" s="554"/>
      <c r="MCY11" s="554"/>
      <c r="MCZ11" s="554"/>
      <c r="MDA11" s="554"/>
      <c r="MDB11" s="554"/>
      <c r="MDC11" s="554"/>
      <c r="MDD11" s="554"/>
      <c r="MDE11" s="554"/>
      <c r="MDF11" s="554"/>
      <c r="MDG11" s="554"/>
      <c r="MDH11" s="554"/>
      <c r="MDI11" s="554"/>
      <c r="MDJ11" s="554"/>
      <c r="MDK11" s="554"/>
      <c r="MDL11" s="554"/>
      <c r="MDM11" s="554"/>
      <c r="MDN11" s="554"/>
      <c r="MDO11" s="554"/>
      <c r="MDP11" s="554"/>
      <c r="MDQ11" s="554"/>
      <c r="MDR11" s="554"/>
      <c r="MDS11" s="554"/>
      <c r="MDT11" s="554"/>
      <c r="MDU11" s="554"/>
      <c r="MDV11" s="554"/>
      <c r="MDW11" s="554"/>
      <c r="MDX11" s="554"/>
      <c r="MDY11" s="554"/>
      <c r="MDZ11" s="554"/>
      <c r="MEA11" s="554"/>
      <c r="MEB11" s="554"/>
      <c r="MEC11" s="554"/>
      <c r="MED11" s="554"/>
      <c r="MEE11" s="554"/>
      <c r="MEF11" s="554"/>
      <c r="MEG11" s="554"/>
      <c r="MEH11" s="554"/>
      <c r="MEI11" s="554"/>
      <c r="MEJ11" s="554"/>
      <c r="MEK11" s="554"/>
      <c r="MEL11" s="554"/>
      <c r="MEM11" s="554"/>
      <c r="MEN11" s="554"/>
      <c r="MEO11" s="554"/>
      <c r="MEP11" s="554"/>
      <c r="MEQ11" s="554"/>
      <c r="MER11" s="554"/>
      <c r="MES11" s="554"/>
      <c r="MET11" s="554"/>
      <c r="MEU11" s="554"/>
      <c r="MEV11" s="554"/>
      <c r="MEW11" s="554"/>
      <c r="MEX11" s="554"/>
      <c r="MEY11" s="554"/>
      <c r="MEZ11" s="554"/>
      <c r="MFA11" s="554"/>
      <c r="MFB11" s="554"/>
      <c r="MFC11" s="554"/>
      <c r="MFD11" s="554"/>
      <c r="MFE11" s="554"/>
      <c r="MFF11" s="554"/>
      <c r="MFG11" s="554"/>
      <c r="MFH11" s="554"/>
      <c r="MFI11" s="554"/>
      <c r="MFJ11" s="554"/>
      <c r="MFK11" s="554"/>
      <c r="MFL11" s="554"/>
      <c r="MFM11" s="554"/>
      <c r="MFN11" s="554"/>
      <c r="MFO11" s="554"/>
      <c r="MFP11" s="554"/>
      <c r="MFQ11" s="554"/>
      <c r="MFR11" s="554"/>
      <c r="MFS11" s="554"/>
      <c r="MFT11" s="554"/>
      <c r="MFU11" s="554"/>
      <c r="MFV11" s="554"/>
      <c r="MFW11" s="554"/>
      <c r="MFX11" s="554"/>
      <c r="MFY11" s="554"/>
      <c r="MFZ11" s="554"/>
      <c r="MGA11" s="554"/>
      <c r="MGB11" s="554"/>
      <c r="MGC11" s="554"/>
      <c r="MGD11" s="554"/>
      <c r="MGE11" s="554"/>
      <c r="MGF11" s="554"/>
      <c r="MGG11" s="554"/>
      <c r="MGH11" s="554"/>
      <c r="MGI11" s="554"/>
      <c r="MGJ11" s="554"/>
      <c r="MGK11" s="554"/>
      <c r="MGL11" s="554"/>
      <c r="MGM11" s="554"/>
      <c r="MGN11" s="554"/>
      <c r="MGO11" s="554"/>
      <c r="MGP11" s="554"/>
      <c r="MGQ11" s="554"/>
      <c r="MGR11" s="554"/>
      <c r="MGS11" s="554"/>
      <c r="MGT11" s="554"/>
      <c r="MGU11" s="554"/>
      <c r="MGV11" s="554"/>
      <c r="MGW11" s="554"/>
      <c r="MGX11" s="554"/>
      <c r="MGY11" s="554"/>
      <c r="MGZ11" s="554"/>
      <c r="MHA11" s="554"/>
      <c r="MHB11" s="554"/>
      <c r="MHC11" s="554"/>
      <c r="MHD11" s="554"/>
      <c r="MHE11" s="554"/>
      <c r="MHF11" s="554"/>
      <c r="MHG11" s="554"/>
      <c r="MHH11" s="554"/>
      <c r="MHI11" s="554"/>
      <c r="MHJ11" s="554"/>
      <c r="MHK11" s="554"/>
      <c r="MHL11" s="554"/>
      <c r="MHM11" s="554"/>
      <c r="MHN11" s="554"/>
      <c r="MHO11" s="554"/>
      <c r="MHP11" s="554"/>
      <c r="MHQ11" s="554"/>
      <c r="MHR11" s="554"/>
      <c r="MHS11" s="554"/>
      <c r="MHT11" s="554"/>
      <c r="MHU11" s="554"/>
      <c r="MHV11" s="554"/>
      <c r="MHW11" s="554"/>
      <c r="MHX11" s="554"/>
      <c r="MHY11" s="554"/>
      <c r="MHZ11" s="554"/>
      <c r="MIA11" s="554"/>
      <c r="MIB11" s="554"/>
      <c r="MIC11" s="554"/>
      <c r="MID11" s="554"/>
      <c r="MIE11" s="554"/>
      <c r="MIF11" s="554"/>
      <c r="MIG11" s="554"/>
      <c r="MIH11" s="554"/>
      <c r="MII11" s="554"/>
      <c r="MIJ11" s="554"/>
      <c r="MIK11" s="554"/>
      <c r="MIL11" s="554"/>
      <c r="MIM11" s="554"/>
      <c r="MIN11" s="554"/>
      <c r="MIO11" s="554"/>
      <c r="MIP11" s="554"/>
      <c r="MIQ11" s="554"/>
      <c r="MIR11" s="554"/>
      <c r="MIS11" s="554"/>
      <c r="MIT11" s="554"/>
      <c r="MIU11" s="554"/>
      <c r="MIV11" s="554"/>
      <c r="MIW11" s="554"/>
      <c r="MIX11" s="554"/>
      <c r="MIY11" s="554"/>
      <c r="MIZ11" s="554"/>
      <c r="MJA11" s="554"/>
      <c r="MJB11" s="554"/>
      <c r="MJC11" s="554"/>
      <c r="MJD11" s="554"/>
      <c r="MJE11" s="554"/>
      <c r="MJF11" s="554"/>
      <c r="MJG11" s="554"/>
      <c r="MJH11" s="554"/>
      <c r="MJI11" s="554"/>
      <c r="MJJ11" s="554"/>
      <c r="MJK11" s="554"/>
      <c r="MJL11" s="554"/>
      <c r="MJM11" s="554"/>
      <c r="MJN11" s="554"/>
      <c r="MJO11" s="554"/>
      <c r="MJP11" s="554"/>
      <c r="MJQ11" s="554"/>
      <c r="MJR11" s="554"/>
      <c r="MJS11" s="554"/>
      <c r="MJT11" s="554"/>
      <c r="MJU11" s="554"/>
      <c r="MJV11" s="554"/>
      <c r="MJW11" s="554"/>
      <c r="MJX11" s="554"/>
      <c r="MJY11" s="554"/>
      <c r="MJZ11" s="554"/>
      <c r="MKA11" s="554"/>
      <c r="MKB11" s="554"/>
      <c r="MKC11" s="554"/>
      <c r="MKD11" s="554"/>
      <c r="MKE11" s="554"/>
      <c r="MKF11" s="554"/>
      <c r="MKG11" s="554"/>
      <c r="MKH11" s="554"/>
      <c r="MKI11" s="554"/>
      <c r="MKJ11" s="554"/>
      <c r="MKK11" s="554"/>
      <c r="MKL11" s="554"/>
      <c r="MKM11" s="554"/>
      <c r="MKN11" s="554"/>
      <c r="MKO11" s="554"/>
      <c r="MKP11" s="554"/>
      <c r="MKQ11" s="554"/>
      <c r="MKR11" s="554"/>
      <c r="MKS11" s="554"/>
      <c r="MKT11" s="554"/>
      <c r="MKU11" s="554"/>
      <c r="MKV11" s="554"/>
      <c r="MKW11" s="554"/>
      <c r="MKX11" s="554"/>
      <c r="MKY11" s="554"/>
      <c r="MKZ11" s="554"/>
      <c r="MLA11" s="554"/>
      <c r="MLB11" s="554"/>
      <c r="MLC11" s="554"/>
      <c r="MLD11" s="554"/>
      <c r="MLE11" s="554"/>
      <c r="MLF11" s="554"/>
      <c r="MLG11" s="554"/>
      <c r="MLH11" s="554"/>
      <c r="MLI11" s="554"/>
      <c r="MLJ11" s="554"/>
      <c r="MLK11" s="554"/>
      <c r="MLL11" s="554"/>
      <c r="MLM11" s="554"/>
      <c r="MLN11" s="554"/>
      <c r="MLO11" s="554"/>
      <c r="MLP11" s="554"/>
      <c r="MLQ11" s="554"/>
      <c r="MLR11" s="554"/>
      <c r="MLS11" s="554"/>
      <c r="MLT11" s="554"/>
      <c r="MLU11" s="554"/>
      <c r="MLV11" s="554"/>
      <c r="MLW11" s="554"/>
      <c r="MLX11" s="554"/>
      <c r="MLY11" s="554"/>
      <c r="MLZ11" s="554"/>
      <c r="MMA11" s="554"/>
      <c r="MMB11" s="554"/>
      <c r="MMC11" s="554"/>
      <c r="MMD11" s="554"/>
      <c r="MME11" s="554"/>
      <c r="MMF11" s="554"/>
      <c r="MMG11" s="554"/>
      <c r="MMH11" s="554"/>
      <c r="MMI11" s="554"/>
      <c r="MMJ11" s="554"/>
      <c r="MMK11" s="554"/>
      <c r="MML11" s="554"/>
      <c r="MMM11" s="554"/>
      <c r="MMN11" s="554"/>
      <c r="MMO11" s="554"/>
      <c r="MMP11" s="554"/>
      <c r="MMQ11" s="554"/>
      <c r="MMR11" s="554"/>
      <c r="MMS11" s="554"/>
      <c r="MMT11" s="554"/>
      <c r="MMU11" s="554"/>
      <c r="MMV11" s="554"/>
      <c r="MMW11" s="554"/>
      <c r="MMX11" s="554"/>
      <c r="MMY11" s="554"/>
      <c r="MMZ11" s="554"/>
      <c r="MNA11" s="554"/>
      <c r="MNB11" s="554"/>
      <c r="MNC11" s="554"/>
      <c r="MND11" s="554"/>
      <c r="MNE11" s="554"/>
      <c r="MNF11" s="554"/>
      <c r="MNG11" s="554"/>
      <c r="MNH11" s="554"/>
      <c r="MNI11" s="554"/>
      <c r="MNJ11" s="554"/>
      <c r="MNK11" s="554"/>
      <c r="MNL11" s="554"/>
      <c r="MNM11" s="554"/>
      <c r="MNN11" s="554"/>
      <c r="MNO11" s="554"/>
      <c r="MNP11" s="554"/>
      <c r="MNQ11" s="554"/>
      <c r="MNR11" s="554"/>
      <c r="MNS11" s="554"/>
      <c r="MNT11" s="554"/>
      <c r="MNU11" s="554"/>
      <c r="MNV11" s="554"/>
      <c r="MNW11" s="554"/>
      <c r="MNX11" s="554"/>
      <c r="MNY11" s="554"/>
      <c r="MNZ11" s="554"/>
      <c r="MOA11" s="554"/>
      <c r="MOB11" s="554"/>
      <c r="MOC11" s="554"/>
      <c r="MOD11" s="554"/>
      <c r="MOE11" s="554"/>
      <c r="MOF11" s="554"/>
      <c r="MOG11" s="554"/>
      <c r="MOH11" s="554"/>
      <c r="MOI11" s="554"/>
      <c r="MOJ11" s="554"/>
      <c r="MOK11" s="554"/>
      <c r="MOL11" s="554"/>
      <c r="MOM11" s="554"/>
      <c r="MON11" s="554"/>
      <c r="MOO11" s="554"/>
      <c r="MOP11" s="554"/>
      <c r="MOQ11" s="554"/>
      <c r="MOR11" s="554"/>
      <c r="MOS11" s="554"/>
      <c r="MOT11" s="554"/>
      <c r="MOU11" s="554"/>
      <c r="MOV11" s="554"/>
      <c r="MOW11" s="554"/>
      <c r="MOX11" s="554"/>
      <c r="MOY11" s="554"/>
      <c r="MOZ11" s="554"/>
      <c r="MPA11" s="554"/>
      <c r="MPB11" s="554"/>
      <c r="MPC11" s="554"/>
      <c r="MPD11" s="554"/>
      <c r="MPE11" s="554"/>
      <c r="MPF11" s="554"/>
      <c r="MPG11" s="554"/>
      <c r="MPH11" s="554"/>
      <c r="MPI11" s="554"/>
      <c r="MPJ11" s="554"/>
      <c r="MPK11" s="554"/>
      <c r="MPL11" s="554"/>
      <c r="MPM11" s="554"/>
      <c r="MPN11" s="554"/>
      <c r="MPO11" s="554"/>
      <c r="MPP11" s="554"/>
      <c r="MPQ11" s="554"/>
      <c r="MPR11" s="554"/>
      <c r="MPS11" s="554"/>
      <c r="MPT11" s="554"/>
      <c r="MPU11" s="554"/>
      <c r="MPV11" s="554"/>
      <c r="MPW11" s="554"/>
      <c r="MPX11" s="554"/>
      <c r="MPY11" s="554"/>
      <c r="MPZ11" s="554"/>
      <c r="MQA11" s="554"/>
      <c r="MQB11" s="554"/>
      <c r="MQC11" s="554"/>
      <c r="MQD11" s="554"/>
      <c r="MQE11" s="554"/>
      <c r="MQF11" s="554"/>
      <c r="MQG11" s="554"/>
      <c r="MQH11" s="554"/>
      <c r="MQI11" s="554"/>
      <c r="MQJ11" s="554"/>
      <c r="MQK11" s="554"/>
      <c r="MQL11" s="554"/>
      <c r="MQM11" s="554"/>
      <c r="MQN11" s="554"/>
      <c r="MQO11" s="554"/>
      <c r="MQP11" s="554"/>
      <c r="MQQ11" s="554"/>
      <c r="MQR11" s="554"/>
      <c r="MQS11" s="554"/>
      <c r="MQT11" s="554"/>
      <c r="MQU11" s="554"/>
      <c r="MQV11" s="554"/>
      <c r="MQW11" s="554"/>
      <c r="MQX11" s="554"/>
      <c r="MQY11" s="554"/>
      <c r="MQZ11" s="554"/>
      <c r="MRA11" s="554"/>
      <c r="MRB11" s="554"/>
      <c r="MRC11" s="554"/>
      <c r="MRD11" s="554"/>
      <c r="MRE11" s="554"/>
      <c r="MRF11" s="554"/>
      <c r="MRG11" s="554"/>
      <c r="MRH11" s="554"/>
      <c r="MRI11" s="554"/>
      <c r="MRJ11" s="554"/>
      <c r="MRK11" s="554"/>
      <c r="MRL11" s="554"/>
      <c r="MRM11" s="554"/>
      <c r="MRN11" s="554"/>
      <c r="MRO11" s="554"/>
      <c r="MRP11" s="554"/>
      <c r="MRQ11" s="554"/>
      <c r="MRR11" s="554"/>
      <c r="MRS11" s="554"/>
      <c r="MRT11" s="554"/>
      <c r="MRU11" s="554"/>
      <c r="MRV11" s="554"/>
      <c r="MRW11" s="554"/>
      <c r="MRX11" s="554"/>
      <c r="MRY11" s="554"/>
      <c r="MRZ11" s="554"/>
      <c r="MSA11" s="554"/>
      <c r="MSB11" s="554"/>
      <c r="MSC11" s="554"/>
      <c r="MSD11" s="554"/>
      <c r="MSE11" s="554"/>
      <c r="MSF11" s="554"/>
      <c r="MSG11" s="554"/>
      <c r="MSH11" s="554"/>
      <c r="MSI11" s="554"/>
      <c r="MSJ11" s="554"/>
      <c r="MSK11" s="554"/>
      <c r="MSL11" s="554"/>
      <c r="MSM11" s="554"/>
      <c r="MSN11" s="554"/>
      <c r="MSO11" s="554"/>
      <c r="MSP11" s="554"/>
      <c r="MSQ11" s="554"/>
      <c r="MSR11" s="554"/>
      <c r="MSS11" s="554"/>
      <c r="MST11" s="554"/>
      <c r="MSU11" s="554"/>
      <c r="MSV11" s="554"/>
      <c r="MSW11" s="554"/>
      <c r="MSX11" s="554"/>
      <c r="MSY11" s="554"/>
      <c r="MSZ11" s="554"/>
      <c r="MTA11" s="554"/>
      <c r="MTB11" s="554"/>
      <c r="MTC11" s="554"/>
      <c r="MTD11" s="554"/>
      <c r="MTE11" s="554"/>
      <c r="MTF11" s="554"/>
      <c r="MTG11" s="554"/>
      <c r="MTH11" s="554"/>
      <c r="MTI11" s="554"/>
      <c r="MTJ11" s="554"/>
      <c r="MTK11" s="554"/>
      <c r="MTL11" s="554"/>
      <c r="MTM11" s="554"/>
      <c r="MTN11" s="554"/>
      <c r="MTO11" s="554"/>
      <c r="MTP11" s="554"/>
      <c r="MTQ11" s="554"/>
      <c r="MTR11" s="554"/>
      <c r="MTS11" s="554"/>
      <c r="MTT11" s="554"/>
      <c r="MTU11" s="554"/>
      <c r="MTV11" s="554"/>
      <c r="MTW11" s="554"/>
      <c r="MTX11" s="554"/>
      <c r="MTY11" s="554"/>
      <c r="MTZ11" s="554"/>
      <c r="MUA11" s="554"/>
      <c r="MUB11" s="554"/>
      <c r="MUC11" s="554"/>
      <c r="MUD11" s="554"/>
      <c r="MUE11" s="554"/>
      <c r="MUF11" s="554"/>
      <c r="MUG11" s="554"/>
      <c r="MUH11" s="554"/>
      <c r="MUI11" s="554"/>
      <c r="MUJ11" s="554"/>
      <c r="MUK11" s="554"/>
      <c r="MUL11" s="554"/>
      <c r="MUM11" s="554"/>
      <c r="MUN11" s="554"/>
      <c r="MUO11" s="554"/>
      <c r="MUP11" s="554"/>
      <c r="MUQ11" s="554"/>
      <c r="MUR11" s="554"/>
      <c r="MUS11" s="554"/>
      <c r="MUT11" s="554"/>
      <c r="MUU11" s="554"/>
      <c r="MUV11" s="554"/>
      <c r="MUW11" s="554"/>
      <c r="MUX11" s="554"/>
      <c r="MUY11" s="554"/>
      <c r="MUZ11" s="554"/>
      <c r="MVA11" s="554"/>
      <c r="MVB11" s="554"/>
      <c r="MVC11" s="554"/>
      <c r="MVD11" s="554"/>
      <c r="MVE11" s="554"/>
      <c r="MVF11" s="554"/>
      <c r="MVG11" s="554"/>
      <c r="MVH11" s="554"/>
      <c r="MVI11" s="554"/>
      <c r="MVJ11" s="554"/>
      <c r="MVK11" s="554"/>
      <c r="MVL11" s="554"/>
      <c r="MVM11" s="554"/>
      <c r="MVN11" s="554"/>
      <c r="MVO11" s="554"/>
      <c r="MVP11" s="554"/>
      <c r="MVQ11" s="554"/>
      <c r="MVR11" s="554"/>
      <c r="MVS11" s="554"/>
      <c r="MVT11" s="554"/>
      <c r="MVU11" s="554"/>
      <c r="MVV11" s="554"/>
      <c r="MVW11" s="554"/>
      <c r="MVX11" s="554"/>
      <c r="MVY11" s="554"/>
      <c r="MVZ11" s="554"/>
      <c r="MWA11" s="554"/>
      <c r="MWB11" s="554"/>
      <c r="MWC11" s="554"/>
      <c r="MWD11" s="554"/>
      <c r="MWE11" s="554"/>
      <c r="MWF11" s="554"/>
      <c r="MWG11" s="554"/>
      <c r="MWH11" s="554"/>
      <c r="MWI11" s="554"/>
      <c r="MWJ11" s="554"/>
      <c r="MWK11" s="554"/>
      <c r="MWL11" s="554"/>
      <c r="MWM11" s="554"/>
      <c r="MWN11" s="554"/>
      <c r="MWO11" s="554"/>
      <c r="MWP11" s="554"/>
      <c r="MWQ11" s="554"/>
      <c r="MWR11" s="554"/>
      <c r="MWS11" s="554"/>
      <c r="MWT11" s="554"/>
      <c r="MWU11" s="554"/>
      <c r="MWV11" s="554"/>
      <c r="MWW11" s="554"/>
      <c r="MWX11" s="554"/>
      <c r="MWY11" s="554"/>
      <c r="MWZ11" s="554"/>
      <c r="MXA11" s="554"/>
      <c r="MXB11" s="554"/>
      <c r="MXC11" s="554"/>
      <c r="MXD11" s="554"/>
      <c r="MXE11" s="554"/>
      <c r="MXF11" s="554"/>
      <c r="MXG11" s="554"/>
      <c r="MXH11" s="554"/>
      <c r="MXI11" s="554"/>
      <c r="MXJ11" s="554"/>
      <c r="MXK11" s="554"/>
      <c r="MXL11" s="554"/>
      <c r="MXM11" s="554"/>
      <c r="MXN11" s="554"/>
      <c r="MXO11" s="554"/>
      <c r="MXP11" s="554"/>
      <c r="MXQ11" s="554"/>
      <c r="MXR11" s="554"/>
      <c r="MXS11" s="554"/>
      <c r="MXT11" s="554"/>
      <c r="MXU11" s="554"/>
      <c r="MXV11" s="554"/>
      <c r="MXW11" s="554"/>
      <c r="MXX11" s="554"/>
      <c r="MXY11" s="554"/>
      <c r="MXZ11" s="554"/>
      <c r="MYA11" s="554"/>
      <c r="MYB11" s="554"/>
      <c r="MYC11" s="554"/>
      <c r="MYD11" s="554"/>
      <c r="MYE11" s="554"/>
      <c r="MYF11" s="554"/>
      <c r="MYG11" s="554"/>
      <c r="MYH11" s="554"/>
      <c r="MYI11" s="554"/>
      <c r="MYJ11" s="554"/>
      <c r="MYK11" s="554"/>
      <c r="MYL11" s="554"/>
      <c r="MYM11" s="554"/>
      <c r="MYN11" s="554"/>
      <c r="MYO11" s="554"/>
      <c r="MYP11" s="554"/>
      <c r="MYQ11" s="554"/>
      <c r="MYR11" s="554"/>
      <c r="MYS11" s="554"/>
      <c r="MYT11" s="554"/>
      <c r="MYU11" s="554"/>
      <c r="MYV11" s="554"/>
      <c r="MYW11" s="554"/>
      <c r="MYX11" s="554"/>
      <c r="MYY11" s="554"/>
      <c r="MYZ11" s="554"/>
      <c r="MZA11" s="554"/>
      <c r="MZB11" s="554"/>
      <c r="MZC11" s="554"/>
      <c r="MZD11" s="554"/>
      <c r="MZE11" s="554"/>
      <c r="MZF11" s="554"/>
      <c r="MZG11" s="554"/>
      <c r="MZH11" s="554"/>
      <c r="MZI11" s="554"/>
      <c r="MZJ11" s="554"/>
      <c r="MZK11" s="554"/>
      <c r="MZL11" s="554"/>
      <c r="MZM11" s="554"/>
      <c r="MZN11" s="554"/>
      <c r="MZO11" s="554"/>
      <c r="MZP11" s="554"/>
      <c r="MZQ11" s="554"/>
      <c r="MZR11" s="554"/>
      <c r="MZS11" s="554"/>
      <c r="MZT11" s="554"/>
      <c r="MZU11" s="554"/>
      <c r="MZV11" s="554"/>
      <c r="MZW11" s="554"/>
      <c r="MZX11" s="554"/>
      <c r="MZY11" s="554"/>
      <c r="MZZ11" s="554"/>
      <c r="NAA11" s="554"/>
      <c r="NAB11" s="554"/>
      <c r="NAC11" s="554"/>
      <c r="NAD11" s="554"/>
      <c r="NAE11" s="554"/>
      <c r="NAF11" s="554"/>
      <c r="NAG11" s="554"/>
      <c r="NAH11" s="554"/>
      <c r="NAI11" s="554"/>
      <c r="NAJ11" s="554"/>
      <c r="NAK11" s="554"/>
      <c r="NAL11" s="554"/>
      <c r="NAM11" s="554"/>
      <c r="NAN11" s="554"/>
      <c r="NAO11" s="554"/>
      <c r="NAP11" s="554"/>
      <c r="NAQ11" s="554"/>
      <c r="NAR11" s="554"/>
      <c r="NAS11" s="554"/>
      <c r="NAT11" s="554"/>
      <c r="NAU11" s="554"/>
      <c r="NAV11" s="554"/>
      <c r="NAW11" s="554"/>
      <c r="NAX11" s="554"/>
      <c r="NAY11" s="554"/>
      <c r="NAZ11" s="554"/>
      <c r="NBA11" s="554"/>
      <c r="NBB11" s="554"/>
      <c r="NBC11" s="554"/>
      <c r="NBD11" s="554"/>
      <c r="NBE11" s="554"/>
      <c r="NBF11" s="554"/>
      <c r="NBG11" s="554"/>
      <c r="NBH11" s="554"/>
      <c r="NBI11" s="554"/>
      <c r="NBJ11" s="554"/>
      <c r="NBK11" s="554"/>
      <c r="NBL11" s="554"/>
      <c r="NBM11" s="554"/>
      <c r="NBN11" s="554"/>
      <c r="NBO11" s="554"/>
      <c r="NBP11" s="554"/>
      <c r="NBQ11" s="554"/>
      <c r="NBR11" s="554"/>
      <c r="NBS11" s="554"/>
      <c r="NBT11" s="554"/>
      <c r="NBU11" s="554"/>
      <c r="NBV11" s="554"/>
      <c r="NBW11" s="554"/>
      <c r="NBX11" s="554"/>
      <c r="NBY11" s="554"/>
      <c r="NBZ11" s="554"/>
      <c r="NCA11" s="554"/>
      <c r="NCB11" s="554"/>
      <c r="NCC11" s="554"/>
      <c r="NCD11" s="554"/>
      <c r="NCE11" s="554"/>
      <c r="NCF11" s="554"/>
      <c r="NCG11" s="554"/>
      <c r="NCH11" s="554"/>
      <c r="NCI11" s="554"/>
      <c r="NCJ11" s="554"/>
      <c r="NCK11" s="554"/>
      <c r="NCL11" s="554"/>
      <c r="NCM11" s="554"/>
      <c r="NCN11" s="554"/>
      <c r="NCO11" s="554"/>
      <c r="NCP11" s="554"/>
      <c r="NCQ11" s="554"/>
      <c r="NCR11" s="554"/>
      <c r="NCS11" s="554"/>
      <c r="NCT11" s="554"/>
      <c r="NCU11" s="554"/>
      <c r="NCV11" s="554"/>
      <c r="NCW11" s="554"/>
      <c r="NCX11" s="554"/>
      <c r="NCY11" s="554"/>
      <c r="NCZ11" s="554"/>
      <c r="NDA11" s="554"/>
      <c r="NDB11" s="554"/>
      <c r="NDC11" s="554"/>
      <c r="NDD11" s="554"/>
      <c r="NDE11" s="554"/>
      <c r="NDF11" s="554"/>
      <c r="NDG11" s="554"/>
      <c r="NDH11" s="554"/>
      <c r="NDI11" s="554"/>
      <c r="NDJ11" s="554"/>
      <c r="NDK11" s="554"/>
      <c r="NDL11" s="554"/>
      <c r="NDM11" s="554"/>
      <c r="NDN11" s="554"/>
      <c r="NDO11" s="554"/>
      <c r="NDP11" s="554"/>
      <c r="NDQ11" s="554"/>
      <c r="NDR11" s="554"/>
      <c r="NDS11" s="554"/>
      <c r="NDT11" s="554"/>
      <c r="NDU11" s="554"/>
      <c r="NDV11" s="554"/>
      <c r="NDW11" s="554"/>
      <c r="NDX11" s="554"/>
      <c r="NDY11" s="554"/>
      <c r="NDZ11" s="554"/>
      <c r="NEA11" s="554"/>
      <c r="NEB11" s="554"/>
      <c r="NEC11" s="554"/>
      <c r="NED11" s="554"/>
      <c r="NEE11" s="554"/>
      <c r="NEF11" s="554"/>
      <c r="NEG11" s="554"/>
      <c r="NEH11" s="554"/>
      <c r="NEI11" s="554"/>
      <c r="NEJ11" s="554"/>
      <c r="NEK11" s="554"/>
      <c r="NEL11" s="554"/>
      <c r="NEM11" s="554"/>
      <c r="NEN11" s="554"/>
      <c r="NEO11" s="554"/>
      <c r="NEP11" s="554"/>
      <c r="NEQ11" s="554"/>
      <c r="NER11" s="554"/>
      <c r="NES11" s="554"/>
      <c r="NET11" s="554"/>
      <c r="NEU11" s="554"/>
      <c r="NEV11" s="554"/>
      <c r="NEW11" s="554"/>
      <c r="NEX11" s="554"/>
      <c r="NEY11" s="554"/>
      <c r="NEZ11" s="554"/>
      <c r="NFA11" s="554"/>
      <c r="NFB11" s="554"/>
      <c r="NFC11" s="554"/>
      <c r="NFD11" s="554"/>
      <c r="NFE11" s="554"/>
      <c r="NFF11" s="554"/>
      <c r="NFG11" s="554"/>
      <c r="NFH11" s="554"/>
      <c r="NFI11" s="554"/>
      <c r="NFJ11" s="554"/>
      <c r="NFK11" s="554"/>
      <c r="NFL11" s="554"/>
      <c r="NFM11" s="554"/>
      <c r="NFN11" s="554"/>
      <c r="NFO11" s="554"/>
      <c r="NFP11" s="554"/>
      <c r="NFQ11" s="554"/>
      <c r="NFR11" s="554"/>
      <c r="NFS11" s="554"/>
      <c r="NFT11" s="554"/>
      <c r="NFU11" s="554"/>
      <c r="NFV11" s="554"/>
      <c r="NFW11" s="554"/>
      <c r="NFX11" s="554"/>
      <c r="NFY11" s="554"/>
      <c r="NFZ11" s="554"/>
      <c r="NGA11" s="554"/>
      <c r="NGB11" s="554"/>
      <c r="NGC11" s="554"/>
      <c r="NGD11" s="554"/>
      <c r="NGE11" s="554"/>
      <c r="NGF11" s="554"/>
      <c r="NGG11" s="554"/>
      <c r="NGH11" s="554"/>
      <c r="NGI11" s="554"/>
      <c r="NGJ11" s="554"/>
      <c r="NGK11" s="554"/>
      <c r="NGL11" s="554"/>
      <c r="NGM11" s="554"/>
      <c r="NGN11" s="554"/>
      <c r="NGO11" s="554"/>
      <c r="NGP11" s="554"/>
      <c r="NGQ11" s="554"/>
      <c r="NGR11" s="554"/>
      <c r="NGS11" s="554"/>
      <c r="NGT11" s="554"/>
      <c r="NGU11" s="554"/>
      <c r="NGV11" s="554"/>
      <c r="NGW11" s="554"/>
      <c r="NGX11" s="554"/>
      <c r="NGY11" s="554"/>
      <c r="NGZ11" s="554"/>
      <c r="NHA11" s="554"/>
      <c r="NHB11" s="554"/>
      <c r="NHC11" s="554"/>
      <c r="NHD11" s="554"/>
      <c r="NHE11" s="554"/>
      <c r="NHF11" s="554"/>
      <c r="NHG11" s="554"/>
      <c r="NHH11" s="554"/>
      <c r="NHI11" s="554"/>
      <c r="NHJ11" s="554"/>
      <c r="NHK11" s="554"/>
      <c r="NHL11" s="554"/>
      <c r="NHM11" s="554"/>
      <c r="NHN11" s="554"/>
      <c r="NHO11" s="554"/>
      <c r="NHP11" s="554"/>
      <c r="NHQ11" s="554"/>
      <c r="NHR11" s="554"/>
      <c r="NHS11" s="554"/>
      <c r="NHT11" s="554"/>
      <c r="NHU11" s="554"/>
      <c r="NHV11" s="554"/>
      <c r="NHW11" s="554"/>
      <c r="NHX11" s="554"/>
      <c r="NHY11" s="554"/>
      <c r="NHZ11" s="554"/>
      <c r="NIA11" s="554"/>
      <c r="NIB11" s="554"/>
      <c r="NIC11" s="554"/>
      <c r="NID11" s="554"/>
      <c r="NIE11" s="554"/>
      <c r="NIF11" s="554"/>
      <c r="NIG11" s="554"/>
      <c r="NIH11" s="554"/>
      <c r="NII11" s="554"/>
      <c r="NIJ11" s="554"/>
      <c r="NIK11" s="554"/>
      <c r="NIL11" s="554"/>
      <c r="NIM11" s="554"/>
      <c r="NIN11" s="554"/>
      <c r="NIO11" s="554"/>
      <c r="NIP11" s="554"/>
      <c r="NIQ11" s="554"/>
      <c r="NIR11" s="554"/>
      <c r="NIS11" s="554"/>
      <c r="NIT11" s="554"/>
      <c r="NIU11" s="554"/>
      <c r="NIV11" s="554"/>
      <c r="NIW11" s="554"/>
      <c r="NIX11" s="554"/>
      <c r="NIY11" s="554"/>
      <c r="NIZ11" s="554"/>
      <c r="NJA11" s="554"/>
      <c r="NJB11" s="554"/>
      <c r="NJC11" s="554"/>
      <c r="NJD11" s="554"/>
      <c r="NJE11" s="554"/>
      <c r="NJF11" s="554"/>
      <c r="NJG11" s="554"/>
      <c r="NJH11" s="554"/>
      <c r="NJI11" s="554"/>
      <c r="NJJ11" s="554"/>
      <c r="NJK11" s="554"/>
      <c r="NJL11" s="554"/>
      <c r="NJM11" s="554"/>
      <c r="NJN11" s="554"/>
      <c r="NJO11" s="554"/>
      <c r="NJP11" s="554"/>
      <c r="NJQ11" s="554"/>
      <c r="NJR11" s="554"/>
      <c r="NJS11" s="554"/>
      <c r="NJT11" s="554"/>
      <c r="NJU11" s="554"/>
      <c r="NJV11" s="554"/>
      <c r="NJW11" s="554"/>
      <c r="NJX11" s="554"/>
      <c r="NJY11" s="554"/>
      <c r="NJZ11" s="554"/>
      <c r="NKA11" s="554"/>
      <c r="NKB11" s="554"/>
      <c r="NKC11" s="554"/>
      <c r="NKD11" s="554"/>
      <c r="NKE11" s="554"/>
      <c r="NKF11" s="554"/>
      <c r="NKG11" s="554"/>
      <c r="NKH11" s="554"/>
      <c r="NKI11" s="554"/>
      <c r="NKJ11" s="554"/>
      <c r="NKK11" s="554"/>
      <c r="NKL11" s="554"/>
      <c r="NKM11" s="554"/>
      <c r="NKN11" s="554"/>
      <c r="NKO11" s="554"/>
      <c r="NKP11" s="554"/>
      <c r="NKQ11" s="554"/>
      <c r="NKR11" s="554"/>
      <c r="NKS11" s="554"/>
      <c r="NKT11" s="554"/>
      <c r="NKU11" s="554"/>
      <c r="NKV11" s="554"/>
      <c r="NKW11" s="554"/>
      <c r="NKX11" s="554"/>
      <c r="NKY11" s="554"/>
      <c r="NKZ11" s="554"/>
      <c r="NLA11" s="554"/>
      <c r="NLB11" s="554"/>
      <c r="NLC11" s="554"/>
      <c r="NLD11" s="554"/>
      <c r="NLE11" s="554"/>
      <c r="NLF11" s="554"/>
      <c r="NLG11" s="554"/>
      <c r="NLH11" s="554"/>
      <c r="NLI11" s="554"/>
      <c r="NLJ11" s="554"/>
      <c r="NLK11" s="554"/>
      <c r="NLL11" s="554"/>
      <c r="NLM11" s="554"/>
      <c r="NLN11" s="554"/>
      <c r="NLO11" s="554"/>
      <c r="NLP11" s="554"/>
      <c r="NLQ11" s="554"/>
      <c r="NLR11" s="554"/>
      <c r="NLS11" s="554"/>
      <c r="NLT11" s="554"/>
      <c r="NLU11" s="554"/>
      <c r="NLV11" s="554"/>
      <c r="NLW11" s="554"/>
      <c r="NLX11" s="554"/>
      <c r="NLY11" s="554"/>
      <c r="NLZ11" s="554"/>
      <c r="NMA11" s="554"/>
      <c r="NMB11" s="554"/>
      <c r="NMC11" s="554"/>
      <c r="NMD11" s="554"/>
      <c r="NME11" s="554"/>
      <c r="NMF11" s="554"/>
      <c r="NMG11" s="554"/>
      <c r="NMH11" s="554"/>
      <c r="NMI11" s="554"/>
      <c r="NMJ11" s="554"/>
      <c r="NMK11" s="554"/>
      <c r="NML11" s="554"/>
      <c r="NMM11" s="554"/>
      <c r="NMN11" s="554"/>
      <c r="NMO11" s="554"/>
      <c r="NMP11" s="554"/>
      <c r="NMQ11" s="554"/>
      <c r="NMR11" s="554"/>
      <c r="NMS11" s="554"/>
      <c r="NMT11" s="554"/>
      <c r="NMU11" s="554"/>
      <c r="NMV11" s="554"/>
      <c r="NMW11" s="554"/>
      <c r="NMX11" s="554"/>
      <c r="NMY11" s="554"/>
      <c r="NMZ11" s="554"/>
      <c r="NNA11" s="554"/>
      <c r="NNB11" s="554"/>
      <c r="NNC11" s="554"/>
      <c r="NND11" s="554"/>
      <c r="NNE11" s="554"/>
      <c r="NNF11" s="554"/>
      <c r="NNG11" s="554"/>
      <c r="NNH11" s="554"/>
      <c r="NNI11" s="554"/>
      <c r="NNJ11" s="554"/>
      <c r="NNK11" s="554"/>
      <c r="NNL11" s="554"/>
      <c r="NNM11" s="554"/>
      <c r="NNN11" s="554"/>
      <c r="NNO11" s="554"/>
      <c r="NNP11" s="554"/>
      <c r="NNQ11" s="554"/>
      <c r="NNR11" s="554"/>
      <c r="NNS11" s="554"/>
      <c r="NNT11" s="554"/>
      <c r="NNU11" s="554"/>
      <c r="NNV11" s="554"/>
      <c r="NNW11" s="554"/>
      <c r="NNX11" s="554"/>
      <c r="NNY11" s="554"/>
      <c r="NNZ11" s="554"/>
      <c r="NOA11" s="554"/>
      <c r="NOB11" s="554"/>
      <c r="NOC11" s="554"/>
      <c r="NOD11" s="554"/>
      <c r="NOE11" s="554"/>
      <c r="NOF11" s="554"/>
      <c r="NOG11" s="554"/>
      <c r="NOH11" s="554"/>
      <c r="NOI11" s="554"/>
      <c r="NOJ11" s="554"/>
      <c r="NOK11" s="554"/>
      <c r="NOL11" s="554"/>
      <c r="NOM11" s="554"/>
      <c r="NON11" s="554"/>
      <c r="NOO11" s="554"/>
      <c r="NOP11" s="554"/>
      <c r="NOQ11" s="554"/>
      <c r="NOR11" s="554"/>
      <c r="NOS11" s="554"/>
      <c r="NOT11" s="554"/>
      <c r="NOU11" s="554"/>
      <c r="NOV11" s="554"/>
      <c r="NOW11" s="554"/>
      <c r="NOX11" s="554"/>
      <c r="NOY11" s="554"/>
      <c r="NOZ11" s="554"/>
      <c r="NPA11" s="554"/>
      <c r="NPB11" s="554"/>
      <c r="NPC11" s="554"/>
      <c r="NPD11" s="554"/>
      <c r="NPE11" s="554"/>
      <c r="NPF11" s="554"/>
      <c r="NPG11" s="554"/>
      <c r="NPH11" s="554"/>
      <c r="NPI11" s="554"/>
      <c r="NPJ11" s="554"/>
      <c r="NPK11" s="554"/>
      <c r="NPL11" s="554"/>
      <c r="NPM11" s="554"/>
      <c r="NPN11" s="554"/>
      <c r="NPO11" s="554"/>
      <c r="NPP11" s="554"/>
      <c r="NPQ11" s="554"/>
      <c r="NPR11" s="554"/>
      <c r="NPS11" s="554"/>
      <c r="NPT11" s="554"/>
      <c r="NPU11" s="554"/>
      <c r="NPV11" s="554"/>
      <c r="NPW11" s="554"/>
      <c r="NPX11" s="554"/>
      <c r="NPY11" s="554"/>
      <c r="NPZ11" s="554"/>
      <c r="NQA11" s="554"/>
      <c r="NQB11" s="554"/>
      <c r="NQC11" s="554"/>
      <c r="NQD11" s="554"/>
      <c r="NQE11" s="554"/>
      <c r="NQF11" s="554"/>
      <c r="NQG11" s="554"/>
      <c r="NQH11" s="554"/>
      <c r="NQI11" s="554"/>
      <c r="NQJ11" s="554"/>
      <c r="NQK11" s="554"/>
      <c r="NQL11" s="554"/>
      <c r="NQM11" s="554"/>
      <c r="NQN11" s="554"/>
      <c r="NQO11" s="554"/>
      <c r="NQP11" s="554"/>
      <c r="NQQ11" s="554"/>
      <c r="NQR11" s="554"/>
      <c r="NQS11" s="554"/>
      <c r="NQT11" s="554"/>
      <c r="NQU11" s="554"/>
      <c r="NQV11" s="554"/>
      <c r="NQW11" s="554"/>
      <c r="NQX11" s="554"/>
      <c r="NQY11" s="554"/>
      <c r="NQZ11" s="554"/>
      <c r="NRA11" s="554"/>
      <c r="NRB11" s="554"/>
      <c r="NRC11" s="554"/>
      <c r="NRD11" s="554"/>
      <c r="NRE11" s="554"/>
      <c r="NRF11" s="554"/>
      <c r="NRG11" s="554"/>
      <c r="NRH11" s="554"/>
      <c r="NRI11" s="554"/>
      <c r="NRJ11" s="554"/>
      <c r="NRK11" s="554"/>
      <c r="NRL11" s="554"/>
      <c r="NRM11" s="554"/>
      <c r="NRN11" s="554"/>
      <c r="NRO11" s="554"/>
      <c r="NRP11" s="554"/>
      <c r="NRQ11" s="554"/>
      <c r="NRR11" s="554"/>
      <c r="NRS11" s="554"/>
      <c r="NRT11" s="554"/>
      <c r="NRU11" s="554"/>
      <c r="NRV11" s="554"/>
      <c r="NRW11" s="554"/>
      <c r="NRX11" s="554"/>
      <c r="NRY11" s="554"/>
      <c r="NRZ11" s="554"/>
      <c r="NSA11" s="554"/>
      <c r="NSB11" s="554"/>
      <c r="NSC11" s="554"/>
      <c r="NSD11" s="554"/>
      <c r="NSE11" s="554"/>
      <c r="NSF11" s="554"/>
      <c r="NSG11" s="554"/>
      <c r="NSH11" s="554"/>
      <c r="NSI11" s="554"/>
      <c r="NSJ11" s="554"/>
      <c r="NSK11" s="554"/>
      <c r="NSL11" s="554"/>
      <c r="NSM11" s="554"/>
      <c r="NSN11" s="554"/>
      <c r="NSO11" s="554"/>
      <c r="NSP11" s="554"/>
      <c r="NSQ11" s="554"/>
      <c r="NSR11" s="554"/>
      <c r="NSS11" s="554"/>
      <c r="NST11" s="554"/>
      <c r="NSU11" s="554"/>
      <c r="NSV11" s="554"/>
      <c r="NSW11" s="554"/>
      <c r="NSX11" s="554"/>
      <c r="NSY11" s="554"/>
      <c r="NSZ11" s="554"/>
      <c r="NTA11" s="554"/>
      <c r="NTB11" s="554"/>
      <c r="NTC11" s="554"/>
      <c r="NTD11" s="554"/>
      <c r="NTE11" s="554"/>
      <c r="NTF11" s="554"/>
      <c r="NTG11" s="554"/>
      <c r="NTH11" s="554"/>
      <c r="NTI11" s="554"/>
      <c r="NTJ11" s="554"/>
      <c r="NTK11" s="554"/>
      <c r="NTL11" s="554"/>
      <c r="NTM11" s="554"/>
      <c r="NTN11" s="554"/>
      <c r="NTO11" s="554"/>
      <c r="NTP11" s="554"/>
      <c r="NTQ11" s="554"/>
      <c r="NTR11" s="554"/>
      <c r="NTS11" s="554"/>
      <c r="NTT11" s="554"/>
      <c r="NTU11" s="554"/>
      <c r="NTV11" s="554"/>
      <c r="NTW11" s="554"/>
      <c r="NTX11" s="554"/>
      <c r="NTY11" s="554"/>
      <c r="NTZ11" s="554"/>
      <c r="NUA11" s="554"/>
      <c r="NUB11" s="554"/>
      <c r="NUC11" s="554"/>
      <c r="NUD11" s="554"/>
      <c r="NUE11" s="554"/>
      <c r="NUF11" s="554"/>
      <c r="NUG11" s="554"/>
      <c r="NUH11" s="554"/>
      <c r="NUI11" s="554"/>
      <c r="NUJ11" s="554"/>
      <c r="NUK11" s="554"/>
      <c r="NUL11" s="554"/>
      <c r="NUM11" s="554"/>
      <c r="NUN11" s="554"/>
      <c r="NUO11" s="554"/>
      <c r="NUP11" s="554"/>
      <c r="NUQ11" s="554"/>
      <c r="NUR11" s="554"/>
      <c r="NUS11" s="554"/>
      <c r="NUT11" s="554"/>
      <c r="NUU11" s="554"/>
      <c r="NUV11" s="554"/>
      <c r="NUW11" s="554"/>
      <c r="NUX11" s="554"/>
      <c r="NUY11" s="554"/>
      <c r="NUZ11" s="554"/>
      <c r="NVA11" s="554"/>
      <c r="NVB11" s="554"/>
      <c r="NVC11" s="554"/>
      <c r="NVD11" s="554"/>
      <c r="NVE11" s="554"/>
      <c r="NVF11" s="554"/>
      <c r="NVG11" s="554"/>
      <c r="NVH11" s="554"/>
      <c r="NVI11" s="554"/>
      <c r="NVJ11" s="554"/>
      <c r="NVK11" s="554"/>
      <c r="NVL11" s="554"/>
      <c r="NVM11" s="554"/>
      <c r="NVN11" s="554"/>
      <c r="NVO11" s="554"/>
      <c r="NVP11" s="554"/>
      <c r="NVQ11" s="554"/>
      <c r="NVR11" s="554"/>
      <c r="NVS11" s="554"/>
      <c r="NVT11" s="554"/>
      <c r="NVU11" s="554"/>
      <c r="NVV11" s="554"/>
      <c r="NVW11" s="554"/>
      <c r="NVX11" s="554"/>
      <c r="NVY11" s="554"/>
      <c r="NVZ11" s="554"/>
      <c r="NWA11" s="554"/>
      <c r="NWB11" s="554"/>
      <c r="NWC11" s="554"/>
      <c r="NWD11" s="554"/>
      <c r="NWE11" s="554"/>
      <c r="NWF11" s="554"/>
      <c r="NWG11" s="554"/>
      <c r="NWH11" s="554"/>
      <c r="NWI11" s="554"/>
      <c r="NWJ11" s="554"/>
      <c r="NWK11" s="554"/>
      <c r="NWL11" s="554"/>
      <c r="NWM11" s="554"/>
      <c r="NWN11" s="554"/>
      <c r="NWO11" s="554"/>
      <c r="NWP11" s="554"/>
      <c r="NWQ11" s="554"/>
      <c r="NWR11" s="554"/>
      <c r="NWS11" s="554"/>
      <c r="NWT11" s="554"/>
      <c r="NWU11" s="554"/>
      <c r="NWV11" s="554"/>
      <c r="NWW11" s="554"/>
      <c r="NWX11" s="554"/>
      <c r="NWY11" s="554"/>
      <c r="NWZ11" s="554"/>
      <c r="NXA11" s="554"/>
      <c r="NXB11" s="554"/>
      <c r="NXC11" s="554"/>
      <c r="NXD11" s="554"/>
      <c r="NXE11" s="554"/>
      <c r="NXF11" s="554"/>
      <c r="NXG11" s="554"/>
      <c r="NXH11" s="554"/>
      <c r="NXI11" s="554"/>
      <c r="NXJ11" s="554"/>
      <c r="NXK11" s="554"/>
      <c r="NXL11" s="554"/>
      <c r="NXM11" s="554"/>
      <c r="NXN11" s="554"/>
      <c r="NXO11" s="554"/>
      <c r="NXP11" s="554"/>
      <c r="NXQ11" s="554"/>
      <c r="NXR11" s="554"/>
      <c r="NXS11" s="554"/>
      <c r="NXT11" s="554"/>
      <c r="NXU11" s="554"/>
      <c r="NXV11" s="554"/>
      <c r="NXW11" s="554"/>
      <c r="NXX11" s="554"/>
      <c r="NXY11" s="554"/>
      <c r="NXZ11" s="554"/>
      <c r="NYA11" s="554"/>
      <c r="NYB11" s="554"/>
      <c r="NYC11" s="554"/>
      <c r="NYD11" s="554"/>
      <c r="NYE11" s="554"/>
      <c r="NYF11" s="554"/>
      <c r="NYG11" s="554"/>
      <c r="NYH11" s="554"/>
      <c r="NYI11" s="554"/>
      <c r="NYJ11" s="554"/>
      <c r="NYK11" s="554"/>
      <c r="NYL11" s="554"/>
      <c r="NYM11" s="554"/>
      <c r="NYN11" s="554"/>
      <c r="NYO11" s="554"/>
      <c r="NYP11" s="554"/>
      <c r="NYQ11" s="554"/>
      <c r="NYR11" s="554"/>
      <c r="NYS11" s="554"/>
      <c r="NYT11" s="554"/>
      <c r="NYU11" s="554"/>
      <c r="NYV11" s="554"/>
      <c r="NYW11" s="554"/>
      <c r="NYX11" s="554"/>
      <c r="NYY11" s="554"/>
      <c r="NYZ11" s="554"/>
      <c r="NZA11" s="554"/>
      <c r="NZB11" s="554"/>
      <c r="NZC11" s="554"/>
      <c r="NZD11" s="554"/>
      <c r="NZE11" s="554"/>
      <c r="NZF11" s="554"/>
      <c r="NZG11" s="554"/>
      <c r="NZH11" s="554"/>
      <c r="NZI11" s="554"/>
      <c r="NZJ11" s="554"/>
      <c r="NZK11" s="554"/>
      <c r="NZL11" s="554"/>
      <c r="NZM11" s="554"/>
      <c r="NZN11" s="554"/>
      <c r="NZO11" s="554"/>
      <c r="NZP11" s="554"/>
      <c r="NZQ11" s="554"/>
      <c r="NZR11" s="554"/>
      <c r="NZS11" s="554"/>
      <c r="NZT11" s="554"/>
      <c r="NZU11" s="554"/>
      <c r="NZV11" s="554"/>
      <c r="NZW11" s="554"/>
      <c r="NZX11" s="554"/>
      <c r="NZY11" s="554"/>
      <c r="NZZ11" s="554"/>
      <c r="OAA11" s="554"/>
      <c r="OAB11" s="554"/>
      <c r="OAC11" s="554"/>
      <c r="OAD11" s="554"/>
      <c r="OAE11" s="554"/>
      <c r="OAF11" s="554"/>
      <c r="OAG11" s="554"/>
      <c r="OAH11" s="554"/>
      <c r="OAI11" s="554"/>
      <c r="OAJ11" s="554"/>
      <c r="OAK11" s="554"/>
      <c r="OAL11" s="554"/>
      <c r="OAM11" s="554"/>
      <c r="OAN11" s="554"/>
      <c r="OAO11" s="554"/>
      <c r="OAP11" s="554"/>
      <c r="OAQ11" s="554"/>
      <c r="OAR11" s="554"/>
      <c r="OAS11" s="554"/>
      <c r="OAT11" s="554"/>
      <c r="OAU11" s="554"/>
      <c r="OAV11" s="554"/>
      <c r="OAW11" s="554"/>
      <c r="OAX11" s="554"/>
      <c r="OAY11" s="554"/>
      <c r="OAZ11" s="554"/>
      <c r="OBA11" s="554"/>
      <c r="OBB11" s="554"/>
      <c r="OBC11" s="554"/>
      <c r="OBD11" s="554"/>
      <c r="OBE11" s="554"/>
      <c r="OBF11" s="554"/>
      <c r="OBG11" s="554"/>
      <c r="OBH11" s="554"/>
      <c r="OBI11" s="554"/>
      <c r="OBJ11" s="554"/>
      <c r="OBK11" s="554"/>
      <c r="OBL11" s="554"/>
      <c r="OBM11" s="554"/>
      <c r="OBN11" s="554"/>
      <c r="OBO11" s="554"/>
      <c r="OBP11" s="554"/>
      <c r="OBQ11" s="554"/>
      <c r="OBR11" s="554"/>
      <c r="OBS11" s="554"/>
      <c r="OBT11" s="554"/>
      <c r="OBU11" s="554"/>
      <c r="OBV11" s="554"/>
      <c r="OBW11" s="554"/>
      <c r="OBX11" s="554"/>
      <c r="OBY11" s="554"/>
      <c r="OBZ11" s="554"/>
      <c r="OCA11" s="554"/>
      <c r="OCB11" s="554"/>
      <c r="OCC11" s="554"/>
      <c r="OCD11" s="554"/>
      <c r="OCE11" s="554"/>
      <c r="OCF11" s="554"/>
      <c r="OCG11" s="554"/>
      <c r="OCH11" s="554"/>
      <c r="OCI11" s="554"/>
      <c r="OCJ11" s="554"/>
      <c r="OCK11" s="554"/>
      <c r="OCL11" s="554"/>
      <c r="OCM11" s="554"/>
      <c r="OCN11" s="554"/>
      <c r="OCO11" s="554"/>
      <c r="OCP11" s="554"/>
      <c r="OCQ11" s="554"/>
      <c r="OCR11" s="554"/>
      <c r="OCS11" s="554"/>
      <c r="OCT11" s="554"/>
      <c r="OCU11" s="554"/>
      <c r="OCV11" s="554"/>
      <c r="OCW11" s="554"/>
      <c r="OCX11" s="554"/>
      <c r="OCY11" s="554"/>
      <c r="OCZ11" s="554"/>
      <c r="ODA11" s="554"/>
      <c r="ODB11" s="554"/>
      <c r="ODC11" s="554"/>
      <c r="ODD11" s="554"/>
      <c r="ODE11" s="554"/>
      <c r="ODF11" s="554"/>
      <c r="ODG11" s="554"/>
      <c r="ODH11" s="554"/>
      <c r="ODI11" s="554"/>
      <c r="ODJ11" s="554"/>
      <c r="ODK11" s="554"/>
      <c r="ODL11" s="554"/>
      <c r="ODM11" s="554"/>
      <c r="ODN11" s="554"/>
      <c r="ODO11" s="554"/>
      <c r="ODP11" s="554"/>
      <c r="ODQ11" s="554"/>
      <c r="ODR11" s="554"/>
      <c r="ODS11" s="554"/>
      <c r="ODT11" s="554"/>
      <c r="ODU11" s="554"/>
      <c r="ODV11" s="554"/>
      <c r="ODW11" s="554"/>
      <c r="ODX11" s="554"/>
      <c r="ODY11" s="554"/>
      <c r="ODZ11" s="554"/>
      <c r="OEA11" s="554"/>
      <c r="OEB11" s="554"/>
      <c r="OEC11" s="554"/>
      <c r="OED11" s="554"/>
      <c r="OEE11" s="554"/>
      <c r="OEF11" s="554"/>
      <c r="OEG11" s="554"/>
      <c r="OEH11" s="554"/>
      <c r="OEI11" s="554"/>
      <c r="OEJ11" s="554"/>
      <c r="OEK11" s="554"/>
      <c r="OEL11" s="554"/>
      <c r="OEM11" s="554"/>
      <c r="OEN11" s="554"/>
      <c r="OEO11" s="554"/>
      <c r="OEP11" s="554"/>
      <c r="OEQ11" s="554"/>
      <c r="OER11" s="554"/>
      <c r="OES11" s="554"/>
      <c r="OET11" s="554"/>
      <c r="OEU11" s="554"/>
      <c r="OEV11" s="554"/>
      <c r="OEW11" s="554"/>
      <c r="OEX11" s="554"/>
      <c r="OEY11" s="554"/>
      <c r="OEZ11" s="554"/>
      <c r="OFA11" s="554"/>
      <c r="OFB11" s="554"/>
      <c r="OFC11" s="554"/>
      <c r="OFD11" s="554"/>
      <c r="OFE11" s="554"/>
      <c r="OFF11" s="554"/>
      <c r="OFG11" s="554"/>
      <c r="OFH11" s="554"/>
      <c r="OFI11" s="554"/>
      <c r="OFJ11" s="554"/>
      <c r="OFK11" s="554"/>
      <c r="OFL11" s="554"/>
      <c r="OFM11" s="554"/>
      <c r="OFN11" s="554"/>
      <c r="OFO11" s="554"/>
      <c r="OFP11" s="554"/>
      <c r="OFQ11" s="554"/>
      <c r="OFR11" s="554"/>
      <c r="OFS11" s="554"/>
      <c r="OFT11" s="554"/>
      <c r="OFU11" s="554"/>
      <c r="OFV11" s="554"/>
      <c r="OFW11" s="554"/>
      <c r="OFX11" s="554"/>
      <c r="OFY11" s="554"/>
      <c r="OFZ11" s="554"/>
      <c r="OGA11" s="554"/>
      <c r="OGB11" s="554"/>
      <c r="OGC11" s="554"/>
      <c r="OGD11" s="554"/>
      <c r="OGE11" s="554"/>
      <c r="OGF11" s="554"/>
      <c r="OGG11" s="554"/>
      <c r="OGH11" s="554"/>
      <c r="OGI11" s="554"/>
      <c r="OGJ11" s="554"/>
      <c r="OGK11" s="554"/>
      <c r="OGL11" s="554"/>
      <c r="OGM11" s="554"/>
      <c r="OGN11" s="554"/>
      <c r="OGO11" s="554"/>
      <c r="OGP11" s="554"/>
      <c r="OGQ11" s="554"/>
      <c r="OGR11" s="554"/>
      <c r="OGS11" s="554"/>
      <c r="OGT11" s="554"/>
      <c r="OGU11" s="554"/>
      <c r="OGV11" s="554"/>
      <c r="OGW11" s="554"/>
      <c r="OGX11" s="554"/>
      <c r="OGY11" s="554"/>
      <c r="OGZ11" s="554"/>
      <c r="OHA11" s="554"/>
      <c r="OHB11" s="554"/>
      <c r="OHC11" s="554"/>
      <c r="OHD11" s="554"/>
      <c r="OHE11" s="554"/>
      <c r="OHF11" s="554"/>
      <c r="OHG11" s="554"/>
      <c r="OHH11" s="554"/>
      <c r="OHI11" s="554"/>
      <c r="OHJ11" s="554"/>
      <c r="OHK11" s="554"/>
      <c r="OHL11" s="554"/>
      <c r="OHM11" s="554"/>
      <c r="OHN11" s="554"/>
      <c r="OHO11" s="554"/>
      <c r="OHP11" s="554"/>
      <c r="OHQ11" s="554"/>
      <c r="OHR11" s="554"/>
      <c r="OHS11" s="554"/>
      <c r="OHT11" s="554"/>
      <c r="OHU11" s="554"/>
      <c r="OHV11" s="554"/>
      <c r="OHW11" s="554"/>
      <c r="OHX11" s="554"/>
      <c r="OHY11" s="554"/>
      <c r="OHZ11" s="554"/>
      <c r="OIA11" s="554"/>
      <c r="OIB11" s="554"/>
      <c r="OIC11" s="554"/>
      <c r="OID11" s="554"/>
      <c r="OIE11" s="554"/>
      <c r="OIF11" s="554"/>
      <c r="OIG11" s="554"/>
      <c r="OIH11" s="554"/>
      <c r="OII11" s="554"/>
      <c r="OIJ11" s="554"/>
      <c r="OIK11" s="554"/>
      <c r="OIL11" s="554"/>
      <c r="OIM11" s="554"/>
      <c r="OIN11" s="554"/>
      <c r="OIO11" s="554"/>
      <c r="OIP11" s="554"/>
      <c r="OIQ11" s="554"/>
      <c r="OIR11" s="554"/>
      <c r="OIS11" s="554"/>
      <c r="OIT11" s="554"/>
      <c r="OIU11" s="554"/>
      <c r="OIV11" s="554"/>
      <c r="OIW11" s="554"/>
      <c r="OIX11" s="554"/>
      <c r="OIY11" s="554"/>
      <c r="OIZ11" s="554"/>
      <c r="OJA11" s="554"/>
      <c r="OJB11" s="554"/>
      <c r="OJC11" s="554"/>
      <c r="OJD11" s="554"/>
      <c r="OJE11" s="554"/>
      <c r="OJF11" s="554"/>
      <c r="OJG11" s="554"/>
      <c r="OJH11" s="554"/>
      <c r="OJI11" s="554"/>
      <c r="OJJ11" s="554"/>
      <c r="OJK11" s="554"/>
      <c r="OJL11" s="554"/>
      <c r="OJM11" s="554"/>
      <c r="OJN11" s="554"/>
      <c r="OJO11" s="554"/>
      <c r="OJP11" s="554"/>
      <c r="OJQ11" s="554"/>
      <c r="OJR11" s="554"/>
      <c r="OJS11" s="554"/>
      <c r="OJT11" s="554"/>
      <c r="OJU11" s="554"/>
      <c r="OJV11" s="554"/>
      <c r="OJW11" s="554"/>
      <c r="OJX11" s="554"/>
      <c r="OJY11" s="554"/>
      <c r="OJZ11" s="554"/>
      <c r="OKA11" s="554"/>
      <c r="OKB11" s="554"/>
      <c r="OKC11" s="554"/>
      <c r="OKD11" s="554"/>
      <c r="OKE11" s="554"/>
      <c r="OKF11" s="554"/>
      <c r="OKG11" s="554"/>
      <c r="OKH11" s="554"/>
      <c r="OKI11" s="554"/>
      <c r="OKJ11" s="554"/>
      <c r="OKK11" s="554"/>
      <c r="OKL11" s="554"/>
      <c r="OKM11" s="554"/>
      <c r="OKN11" s="554"/>
      <c r="OKO11" s="554"/>
      <c r="OKP11" s="554"/>
      <c r="OKQ11" s="554"/>
      <c r="OKR11" s="554"/>
      <c r="OKS11" s="554"/>
      <c r="OKT11" s="554"/>
      <c r="OKU11" s="554"/>
      <c r="OKV11" s="554"/>
      <c r="OKW11" s="554"/>
      <c r="OKX11" s="554"/>
      <c r="OKY11" s="554"/>
      <c r="OKZ11" s="554"/>
      <c r="OLA11" s="554"/>
      <c r="OLB11" s="554"/>
      <c r="OLC11" s="554"/>
      <c r="OLD11" s="554"/>
      <c r="OLE11" s="554"/>
      <c r="OLF11" s="554"/>
      <c r="OLG11" s="554"/>
      <c r="OLH11" s="554"/>
      <c r="OLI11" s="554"/>
      <c r="OLJ11" s="554"/>
      <c r="OLK11" s="554"/>
      <c r="OLL11" s="554"/>
      <c r="OLM11" s="554"/>
      <c r="OLN11" s="554"/>
      <c r="OLO11" s="554"/>
      <c r="OLP11" s="554"/>
      <c r="OLQ11" s="554"/>
      <c r="OLR11" s="554"/>
      <c r="OLS11" s="554"/>
      <c r="OLT11" s="554"/>
      <c r="OLU11" s="554"/>
      <c r="OLV11" s="554"/>
      <c r="OLW11" s="554"/>
      <c r="OLX11" s="554"/>
      <c r="OLY11" s="554"/>
      <c r="OLZ11" s="554"/>
      <c r="OMA11" s="554"/>
      <c r="OMB11" s="554"/>
      <c r="OMC11" s="554"/>
      <c r="OMD11" s="554"/>
      <c r="OME11" s="554"/>
      <c r="OMF11" s="554"/>
      <c r="OMG11" s="554"/>
      <c r="OMH11" s="554"/>
      <c r="OMI11" s="554"/>
      <c r="OMJ11" s="554"/>
      <c r="OMK11" s="554"/>
      <c r="OML11" s="554"/>
      <c r="OMM11" s="554"/>
      <c r="OMN11" s="554"/>
      <c r="OMO11" s="554"/>
      <c r="OMP11" s="554"/>
      <c r="OMQ11" s="554"/>
      <c r="OMR11" s="554"/>
      <c r="OMS11" s="554"/>
      <c r="OMT11" s="554"/>
      <c r="OMU11" s="554"/>
      <c r="OMV11" s="554"/>
      <c r="OMW11" s="554"/>
      <c r="OMX11" s="554"/>
      <c r="OMY11" s="554"/>
      <c r="OMZ11" s="554"/>
      <c r="ONA11" s="554"/>
      <c r="ONB11" s="554"/>
      <c r="ONC11" s="554"/>
      <c r="OND11" s="554"/>
      <c r="ONE11" s="554"/>
      <c r="ONF11" s="554"/>
      <c r="ONG11" s="554"/>
      <c r="ONH11" s="554"/>
      <c r="ONI11" s="554"/>
      <c r="ONJ11" s="554"/>
      <c r="ONK11" s="554"/>
      <c r="ONL11" s="554"/>
      <c r="ONM11" s="554"/>
      <c r="ONN11" s="554"/>
      <c r="ONO11" s="554"/>
      <c r="ONP11" s="554"/>
      <c r="ONQ11" s="554"/>
      <c r="ONR11" s="554"/>
      <c r="ONS11" s="554"/>
      <c r="ONT11" s="554"/>
      <c r="ONU11" s="554"/>
      <c r="ONV11" s="554"/>
      <c r="ONW11" s="554"/>
      <c r="ONX11" s="554"/>
      <c r="ONY11" s="554"/>
      <c r="ONZ11" s="554"/>
      <c r="OOA11" s="554"/>
      <c r="OOB11" s="554"/>
      <c r="OOC11" s="554"/>
      <c r="OOD11" s="554"/>
      <c r="OOE11" s="554"/>
      <c r="OOF11" s="554"/>
      <c r="OOG11" s="554"/>
      <c r="OOH11" s="554"/>
      <c r="OOI11" s="554"/>
      <c r="OOJ11" s="554"/>
      <c r="OOK11" s="554"/>
      <c r="OOL11" s="554"/>
      <c r="OOM11" s="554"/>
      <c r="OON11" s="554"/>
      <c r="OOO11" s="554"/>
      <c r="OOP11" s="554"/>
      <c r="OOQ11" s="554"/>
      <c r="OOR11" s="554"/>
      <c r="OOS11" s="554"/>
      <c r="OOT11" s="554"/>
      <c r="OOU11" s="554"/>
      <c r="OOV11" s="554"/>
      <c r="OOW11" s="554"/>
      <c r="OOX11" s="554"/>
      <c r="OOY11" s="554"/>
      <c r="OOZ11" s="554"/>
      <c r="OPA11" s="554"/>
      <c r="OPB11" s="554"/>
      <c r="OPC11" s="554"/>
      <c r="OPD11" s="554"/>
      <c r="OPE11" s="554"/>
      <c r="OPF11" s="554"/>
      <c r="OPG11" s="554"/>
      <c r="OPH11" s="554"/>
      <c r="OPI11" s="554"/>
      <c r="OPJ11" s="554"/>
      <c r="OPK11" s="554"/>
      <c r="OPL11" s="554"/>
      <c r="OPM11" s="554"/>
      <c r="OPN11" s="554"/>
      <c r="OPO11" s="554"/>
      <c r="OPP11" s="554"/>
      <c r="OPQ11" s="554"/>
      <c r="OPR11" s="554"/>
      <c r="OPS11" s="554"/>
      <c r="OPT11" s="554"/>
      <c r="OPU11" s="554"/>
      <c r="OPV11" s="554"/>
      <c r="OPW11" s="554"/>
      <c r="OPX11" s="554"/>
      <c r="OPY11" s="554"/>
      <c r="OPZ11" s="554"/>
      <c r="OQA11" s="554"/>
      <c r="OQB11" s="554"/>
      <c r="OQC11" s="554"/>
      <c r="OQD11" s="554"/>
      <c r="OQE11" s="554"/>
      <c r="OQF11" s="554"/>
      <c r="OQG11" s="554"/>
      <c r="OQH11" s="554"/>
      <c r="OQI11" s="554"/>
      <c r="OQJ11" s="554"/>
      <c r="OQK11" s="554"/>
      <c r="OQL11" s="554"/>
      <c r="OQM11" s="554"/>
      <c r="OQN11" s="554"/>
      <c r="OQO11" s="554"/>
      <c r="OQP11" s="554"/>
      <c r="OQQ11" s="554"/>
      <c r="OQR11" s="554"/>
      <c r="OQS11" s="554"/>
      <c r="OQT11" s="554"/>
      <c r="OQU11" s="554"/>
      <c r="OQV11" s="554"/>
      <c r="OQW11" s="554"/>
      <c r="OQX11" s="554"/>
      <c r="OQY11" s="554"/>
      <c r="OQZ11" s="554"/>
      <c r="ORA11" s="554"/>
      <c r="ORB11" s="554"/>
      <c r="ORC11" s="554"/>
      <c r="ORD11" s="554"/>
      <c r="ORE11" s="554"/>
      <c r="ORF11" s="554"/>
      <c r="ORG11" s="554"/>
      <c r="ORH11" s="554"/>
      <c r="ORI11" s="554"/>
      <c r="ORJ11" s="554"/>
      <c r="ORK11" s="554"/>
      <c r="ORL11" s="554"/>
      <c r="ORM11" s="554"/>
      <c r="ORN11" s="554"/>
      <c r="ORO11" s="554"/>
      <c r="ORP11" s="554"/>
      <c r="ORQ11" s="554"/>
      <c r="ORR11" s="554"/>
      <c r="ORS11" s="554"/>
      <c r="ORT11" s="554"/>
      <c r="ORU11" s="554"/>
      <c r="ORV11" s="554"/>
      <c r="ORW11" s="554"/>
      <c r="ORX11" s="554"/>
      <c r="ORY11" s="554"/>
      <c r="ORZ11" s="554"/>
      <c r="OSA11" s="554"/>
      <c r="OSB11" s="554"/>
      <c r="OSC11" s="554"/>
      <c r="OSD11" s="554"/>
      <c r="OSE11" s="554"/>
      <c r="OSF11" s="554"/>
      <c r="OSG11" s="554"/>
      <c r="OSH11" s="554"/>
      <c r="OSI11" s="554"/>
      <c r="OSJ11" s="554"/>
      <c r="OSK11" s="554"/>
      <c r="OSL11" s="554"/>
      <c r="OSM11" s="554"/>
      <c r="OSN11" s="554"/>
      <c r="OSO11" s="554"/>
      <c r="OSP11" s="554"/>
      <c r="OSQ11" s="554"/>
      <c r="OSR11" s="554"/>
      <c r="OSS11" s="554"/>
      <c r="OST11" s="554"/>
      <c r="OSU11" s="554"/>
      <c r="OSV11" s="554"/>
      <c r="OSW11" s="554"/>
      <c r="OSX11" s="554"/>
      <c r="OSY11" s="554"/>
      <c r="OSZ11" s="554"/>
      <c r="OTA11" s="554"/>
      <c r="OTB11" s="554"/>
      <c r="OTC11" s="554"/>
      <c r="OTD11" s="554"/>
      <c r="OTE11" s="554"/>
      <c r="OTF11" s="554"/>
      <c r="OTG11" s="554"/>
      <c r="OTH11" s="554"/>
      <c r="OTI11" s="554"/>
      <c r="OTJ11" s="554"/>
      <c r="OTK11" s="554"/>
      <c r="OTL11" s="554"/>
      <c r="OTM11" s="554"/>
      <c r="OTN11" s="554"/>
      <c r="OTO11" s="554"/>
      <c r="OTP11" s="554"/>
      <c r="OTQ11" s="554"/>
      <c r="OTR11" s="554"/>
      <c r="OTS11" s="554"/>
      <c r="OTT11" s="554"/>
      <c r="OTU11" s="554"/>
      <c r="OTV11" s="554"/>
      <c r="OTW11" s="554"/>
      <c r="OTX11" s="554"/>
      <c r="OTY11" s="554"/>
      <c r="OTZ11" s="554"/>
      <c r="OUA11" s="554"/>
      <c r="OUB11" s="554"/>
      <c r="OUC11" s="554"/>
      <c r="OUD11" s="554"/>
      <c r="OUE11" s="554"/>
      <c r="OUF11" s="554"/>
      <c r="OUG11" s="554"/>
      <c r="OUH11" s="554"/>
      <c r="OUI11" s="554"/>
      <c r="OUJ11" s="554"/>
      <c r="OUK11" s="554"/>
      <c r="OUL11" s="554"/>
      <c r="OUM11" s="554"/>
      <c r="OUN11" s="554"/>
      <c r="OUO11" s="554"/>
      <c r="OUP11" s="554"/>
      <c r="OUQ11" s="554"/>
      <c r="OUR11" s="554"/>
      <c r="OUS11" s="554"/>
      <c r="OUT11" s="554"/>
      <c r="OUU11" s="554"/>
      <c r="OUV11" s="554"/>
      <c r="OUW11" s="554"/>
      <c r="OUX11" s="554"/>
      <c r="OUY11" s="554"/>
      <c r="OUZ11" s="554"/>
      <c r="OVA11" s="554"/>
      <c r="OVB11" s="554"/>
      <c r="OVC11" s="554"/>
      <c r="OVD11" s="554"/>
      <c r="OVE11" s="554"/>
      <c r="OVF11" s="554"/>
      <c r="OVG11" s="554"/>
      <c r="OVH11" s="554"/>
      <c r="OVI11" s="554"/>
      <c r="OVJ11" s="554"/>
      <c r="OVK11" s="554"/>
      <c r="OVL11" s="554"/>
      <c r="OVM11" s="554"/>
      <c r="OVN11" s="554"/>
      <c r="OVO11" s="554"/>
      <c r="OVP11" s="554"/>
      <c r="OVQ11" s="554"/>
      <c r="OVR11" s="554"/>
      <c r="OVS11" s="554"/>
      <c r="OVT11" s="554"/>
      <c r="OVU11" s="554"/>
      <c r="OVV11" s="554"/>
      <c r="OVW11" s="554"/>
      <c r="OVX11" s="554"/>
      <c r="OVY11" s="554"/>
      <c r="OVZ11" s="554"/>
      <c r="OWA11" s="554"/>
      <c r="OWB11" s="554"/>
      <c r="OWC11" s="554"/>
      <c r="OWD11" s="554"/>
      <c r="OWE11" s="554"/>
      <c r="OWF11" s="554"/>
      <c r="OWG11" s="554"/>
      <c r="OWH11" s="554"/>
      <c r="OWI11" s="554"/>
      <c r="OWJ11" s="554"/>
      <c r="OWK11" s="554"/>
      <c r="OWL11" s="554"/>
      <c r="OWM11" s="554"/>
      <c r="OWN11" s="554"/>
      <c r="OWO11" s="554"/>
      <c r="OWP11" s="554"/>
      <c r="OWQ11" s="554"/>
      <c r="OWR11" s="554"/>
      <c r="OWS11" s="554"/>
      <c r="OWT11" s="554"/>
      <c r="OWU11" s="554"/>
      <c r="OWV11" s="554"/>
      <c r="OWW11" s="554"/>
      <c r="OWX11" s="554"/>
      <c r="OWY11" s="554"/>
      <c r="OWZ11" s="554"/>
      <c r="OXA11" s="554"/>
      <c r="OXB11" s="554"/>
      <c r="OXC11" s="554"/>
      <c r="OXD11" s="554"/>
      <c r="OXE11" s="554"/>
      <c r="OXF11" s="554"/>
      <c r="OXG11" s="554"/>
      <c r="OXH11" s="554"/>
      <c r="OXI11" s="554"/>
      <c r="OXJ11" s="554"/>
      <c r="OXK11" s="554"/>
      <c r="OXL11" s="554"/>
      <c r="OXM11" s="554"/>
      <c r="OXN11" s="554"/>
      <c r="OXO11" s="554"/>
      <c r="OXP11" s="554"/>
      <c r="OXQ11" s="554"/>
      <c r="OXR11" s="554"/>
      <c r="OXS11" s="554"/>
      <c r="OXT11" s="554"/>
      <c r="OXU11" s="554"/>
      <c r="OXV11" s="554"/>
      <c r="OXW11" s="554"/>
      <c r="OXX11" s="554"/>
      <c r="OXY11" s="554"/>
      <c r="OXZ11" s="554"/>
      <c r="OYA11" s="554"/>
      <c r="OYB11" s="554"/>
      <c r="OYC11" s="554"/>
      <c r="OYD11" s="554"/>
      <c r="OYE11" s="554"/>
      <c r="OYF11" s="554"/>
      <c r="OYG11" s="554"/>
      <c r="OYH11" s="554"/>
      <c r="OYI11" s="554"/>
      <c r="OYJ11" s="554"/>
      <c r="OYK11" s="554"/>
      <c r="OYL11" s="554"/>
      <c r="OYM11" s="554"/>
      <c r="OYN11" s="554"/>
      <c r="OYO11" s="554"/>
      <c r="OYP11" s="554"/>
      <c r="OYQ11" s="554"/>
      <c r="OYR11" s="554"/>
      <c r="OYS11" s="554"/>
      <c r="OYT11" s="554"/>
      <c r="OYU11" s="554"/>
      <c r="OYV11" s="554"/>
      <c r="OYW11" s="554"/>
      <c r="OYX11" s="554"/>
      <c r="OYY11" s="554"/>
      <c r="OYZ11" s="554"/>
      <c r="OZA11" s="554"/>
      <c r="OZB11" s="554"/>
      <c r="OZC11" s="554"/>
      <c r="OZD11" s="554"/>
      <c r="OZE11" s="554"/>
      <c r="OZF11" s="554"/>
      <c r="OZG11" s="554"/>
      <c r="OZH11" s="554"/>
      <c r="OZI11" s="554"/>
      <c r="OZJ11" s="554"/>
      <c r="OZK11" s="554"/>
      <c r="OZL11" s="554"/>
      <c r="OZM11" s="554"/>
      <c r="OZN11" s="554"/>
      <c r="OZO11" s="554"/>
      <c r="OZP11" s="554"/>
      <c r="OZQ11" s="554"/>
      <c r="OZR11" s="554"/>
      <c r="OZS11" s="554"/>
      <c r="OZT11" s="554"/>
      <c r="OZU11" s="554"/>
      <c r="OZV11" s="554"/>
      <c r="OZW11" s="554"/>
      <c r="OZX11" s="554"/>
      <c r="OZY11" s="554"/>
      <c r="OZZ11" s="554"/>
      <c r="PAA11" s="554"/>
      <c r="PAB11" s="554"/>
      <c r="PAC11" s="554"/>
      <c r="PAD11" s="554"/>
      <c r="PAE11" s="554"/>
      <c r="PAF11" s="554"/>
      <c r="PAG11" s="554"/>
      <c r="PAH11" s="554"/>
      <c r="PAI11" s="554"/>
      <c r="PAJ11" s="554"/>
      <c r="PAK11" s="554"/>
      <c r="PAL11" s="554"/>
      <c r="PAM11" s="554"/>
      <c r="PAN11" s="554"/>
      <c r="PAO11" s="554"/>
      <c r="PAP11" s="554"/>
      <c r="PAQ11" s="554"/>
      <c r="PAR11" s="554"/>
      <c r="PAS11" s="554"/>
      <c r="PAT11" s="554"/>
      <c r="PAU11" s="554"/>
      <c r="PAV11" s="554"/>
      <c r="PAW11" s="554"/>
      <c r="PAX11" s="554"/>
      <c r="PAY11" s="554"/>
      <c r="PAZ11" s="554"/>
      <c r="PBA11" s="554"/>
      <c r="PBB11" s="554"/>
      <c r="PBC11" s="554"/>
      <c r="PBD11" s="554"/>
      <c r="PBE11" s="554"/>
      <c r="PBF11" s="554"/>
      <c r="PBG11" s="554"/>
      <c r="PBH11" s="554"/>
      <c r="PBI11" s="554"/>
      <c r="PBJ11" s="554"/>
      <c r="PBK11" s="554"/>
      <c r="PBL11" s="554"/>
      <c r="PBM11" s="554"/>
      <c r="PBN11" s="554"/>
      <c r="PBO11" s="554"/>
      <c r="PBP11" s="554"/>
      <c r="PBQ11" s="554"/>
      <c r="PBR11" s="554"/>
      <c r="PBS11" s="554"/>
      <c r="PBT11" s="554"/>
      <c r="PBU11" s="554"/>
      <c r="PBV11" s="554"/>
      <c r="PBW11" s="554"/>
      <c r="PBX11" s="554"/>
      <c r="PBY11" s="554"/>
      <c r="PBZ11" s="554"/>
      <c r="PCA11" s="554"/>
      <c r="PCB11" s="554"/>
      <c r="PCC11" s="554"/>
      <c r="PCD11" s="554"/>
      <c r="PCE11" s="554"/>
      <c r="PCF11" s="554"/>
      <c r="PCG11" s="554"/>
      <c r="PCH11" s="554"/>
      <c r="PCI11" s="554"/>
      <c r="PCJ11" s="554"/>
      <c r="PCK11" s="554"/>
      <c r="PCL11" s="554"/>
      <c r="PCM11" s="554"/>
      <c r="PCN11" s="554"/>
      <c r="PCO11" s="554"/>
      <c r="PCP11" s="554"/>
      <c r="PCQ11" s="554"/>
      <c r="PCR11" s="554"/>
      <c r="PCS11" s="554"/>
      <c r="PCT11" s="554"/>
      <c r="PCU11" s="554"/>
      <c r="PCV11" s="554"/>
      <c r="PCW11" s="554"/>
      <c r="PCX11" s="554"/>
      <c r="PCY11" s="554"/>
      <c r="PCZ11" s="554"/>
      <c r="PDA11" s="554"/>
      <c r="PDB11" s="554"/>
      <c r="PDC11" s="554"/>
      <c r="PDD11" s="554"/>
      <c r="PDE11" s="554"/>
      <c r="PDF11" s="554"/>
      <c r="PDG11" s="554"/>
      <c r="PDH11" s="554"/>
      <c r="PDI11" s="554"/>
      <c r="PDJ11" s="554"/>
      <c r="PDK11" s="554"/>
      <c r="PDL11" s="554"/>
      <c r="PDM11" s="554"/>
      <c r="PDN11" s="554"/>
      <c r="PDO11" s="554"/>
      <c r="PDP11" s="554"/>
      <c r="PDQ11" s="554"/>
      <c r="PDR11" s="554"/>
      <c r="PDS11" s="554"/>
      <c r="PDT11" s="554"/>
      <c r="PDU11" s="554"/>
      <c r="PDV11" s="554"/>
      <c r="PDW11" s="554"/>
      <c r="PDX11" s="554"/>
      <c r="PDY11" s="554"/>
      <c r="PDZ11" s="554"/>
      <c r="PEA11" s="554"/>
      <c r="PEB11" s="554"/>
      <c r="PEC11" s="554"/>
      <c r="PED11" s="554"/>
      <c r="PEE11" s="554"/>
      <c r="PEF11" s="554"/>
      <c r="PEG11" s="554"/>
      <c r="PEH11" s="554"/>
      <c r="PEI11" s="554"/>
      <c r="PEJ11" s="554"/>
      <c r="PEK11" s="554"/>
      <c r="PEL11" s="554"/>
      <c r="PEM11" s="554"/>
      <c r="PEN11" s="554"/>
      <c r="PEO11" s="554"/>
      <c r="PEP11" s="554"/>
      <c r="PEQ11" s="554"/>
      <c r="PER11" s="554"/>
      <c r="PES11" s="554"/>
      <c r="PET11" s="554"/>
      <c r="PEU11" s="554"/>
      <c r="PEV11" s="554"/>
      <c r="PEW11" s="554"/>
      <c r="PEX11" s="554"/>
      <c r="PEY11" s="554"/>
      <c r="PEZ11" s="554"/>
      <c r="PFA11" s="554"/>
      <c r="PFB11" s="554"/>
      <c r="PFC11" s="554"/>
      <c r="PFD11" s="554"/>
      <c r="PFE11" s="554"/>
      <c r="PFF11" s="554"/>
      <c r="PFG11" s="554"/>
      <c r="PFH11" s="554"/>
      <c r="PFI11" s="554"/>
      <c r="PFJ11" s="554"/>
      <c r="PFK11" s="554"/>
      <c r="PFL11" s="554"/>
      <c r="PFM11" s="554"/>
      <c r="PFN11" s="554"/>
      <c r="PFO11" s="554"/>
      <c r="PFP11" s="554"/>
      <c r="PFQ11" s="554"/>
      <c r="PFR11" s="554"/>
      <c r="PFS11" s="554"/>
      <c r="PFT11" s="554"/>
      <c r="PFU11" s="554"/>
      <c r="PFV11" s="554"/>
      <c r="PFW11" s="554"/>
      <c r="PFX11" s="554"/>
      <c r="PFY11" s="554"/>
      <c r="PFZ11" s="554"/>
      <c r="PGA11" s="554"/>
      <c r="PGB11" s="554"/>
      <c r="PGC11" s="554"/>
      <c r="PGD11" s="554"/>
      <c r="PGE11" s="554"/>
      <c r="PGF11" s="554"/>
      <c r="PGG11" s="554"/>
      <c r="PGH11" s="554"/>
      <c r="PGI11" s="554"/>
      <c r="PGJ11" s="554"/>
      <c r="PGK11" s="554"/>
      <c r="PGL11" s="554"/>
      <c r="PGM11" s="554"/>
      <c r="PGN11" s="554"/>
      <c r="PGO11" s="554"/>
      <c r="PGP11" s="554"/>
      <c r="PGQ11" s="554"/>
      <c r="PGR11" s="554"/>
      <c r="PGS11" s="554"/>
      <c r="PGT11" s="554"/>
      <c r="PGU11" s="554"/>
      <c r="PGV11" s="554"/>
      <c r="PGW11" s="554"/>
      <c r="PGX11" s="554"/>
      <c r="PGY11" s="554"/>
      <c r="PGZ11" s="554"/>
      <c r="PHA11" s="554"/>
      <c r="PHB11" s="554"/>
      <c r="PHC11" s="554"/>
      <c r="PHD11" s="554"/>
      <c r="PHE11" s="554"/>
      <c r="PHF11" s="554"/>
      <c r="PHG11" s="554"/>
      <c r="PHH11" s="554"/>
      <c r="PHI11" s="554"/>
      <c r="PHJ11" s="554"/>
      <c r="PHK11" s="554"/>
      <c r="PHL11" s="554"/>
      <c r="PHM11" s="554"/>
      <c r="PHN11" s="554"/>
      <c r="PHO11" s="554"/>
      <c r="PHP11" s="554"/>
      <c r="PHQ11" s="554"/>
      <c r="PHR11" s="554"/>
      <c r="PHS11" s="554"/>
      <c r="PHT11" s="554"/>
      <c r="PHU11" s="554"/>
      <c r="PHV11" s="554"/>
      <c r="PHW11" s="554"/>
      <c r="PHX11" s="554"/>
      <c r="PHY11" s="554"/>
      <c r="PHZ11" s="554"/>
      <c r="PIA11" s="554"/>
      <c r="PIB11" s="554"/>
      <c r="PIC11" s="554"/>
      <c r="PID11" s="554"/>
      <c r="PIE11" s="554"/>
      <c r="PIF11" s="554"/>
      <c r="PIG11" s="554"/>
      <c r="PIH11" s="554"/>
      <c r="PII11" s="554"/>
      <c r="PIJ11" s="554"/>
      <c r="PIK11" s="554"/>
      <c r="PIL11" s="554"/>
      <c r="PIM11" s="554"/>
      <c r="PIN11" s="554"/>
      <c r="PIO11" s="554"/>
      <c r="PIP11" s="554"/>
      <c r="PIQ11" s="554"/>
      <c r="PIR11" s="554"/>
      <c r="PIS11" s="554"/>
      <c r="PIT11" s="554"/>
      <c r="PIU11" s="554"/>
      <c r="PIV11" s="554"/>
      <c r="PIW11" s="554"/>
      <c r="PIX11" s="554"/>
      <c r="PIY11" s="554"/>
      <c r="PIZ11" s="554"/>
      <c r="PJA11" s="554"/>
      <c r="PJB11" s="554"/>
      <c r="PJC11" s="554"/>
      <c r="PJD11" s="554"/>
      <c r="PJE11" s="554"/>
      <c r="PJF11" s="554"/>
      <c r="PJG11" s="554"/>
      <c r="PJH11" s="554"/>
      <c r="PJI11" s="554"/>
      <c r="PJJ11" s="554"/>
      <c r="PJK11" s="554"/>
      <c r="PJL11" s="554"/>
      <c r="PJM11" s="554"/>
      <c r="PJN11" s="554"/>
      <c r="PJO11" s="554"/>
      <c r="PJP11" s="554"/>
      <c r="PJQ11" s="554"/>
      <c r="PJR11" s="554"/>
      <c r="PJS11" s="554"/>
      <c r="PJT11" s="554"/>
      <c r="PJU11" s="554"/>
      <c r="PJV11" s="554"/>
      <c r="PJW11" s="554"/>
      <c r="PJX11" s="554"/>
      <c r="PJY11" s="554"/>
      <c r="PJZ11" s="554"/>
      <c r="PKA11" s="554"/>
      <c r="PKB11" s="554"/>
      <c r="PKC11" s="554"/>
      <c r="PKD11" s="554"/>
      <c r="PKE11" s="554"/>
      <c r="PKF11" s="554"/>
      <c r="PKG11" s="554"/>
      <c r="PKH11" s="554"/>
      <c r="PKI11" s="554"/>
      <c r="PKJ11" s="554"/>
      <c r="PKK11" s="554"/>
      <c r="PKL11" s="554"/>
      <c r="PKM11" s="554"/>
      <c r="PKN11" s="554"/>
      <c r="PKO11" s="554"/>
      <c r="PKP11" s="554"/>
      <c r="PKQ11" s="554"/>
      <c r="PKR11" s="554"/>
      <c r="PKS11" s="554"/>
      <c r="PKT11" s="554"/>
      <c r="PKU11" s="554"/>
      <c r="PKV11" s="554"/>
      <c r="PKW11" s="554"/>
      <c r="PKX11" s="554"/>
      <c r="PKY11" s="554"/>
      <c r="PKZ11" s="554"/>
      <c r="PLA11" s="554"/>
      <c r="PLB11" s="554"/>
      <c r="PLC11" s="554"/>
      <c r="PLD11" s="554"/>
      <c r="PLE11" s="554"/>
      <c r="PLF11" s="554"/>
      <c r="PLG11" s="554"/>
      <c r="PLH11" s="554"/>
      <c r="PLI11" s="554"/>
      <c r="PLJ11" s="554"/>
      <c r="PLK11" s="554"/>
      <c r="PLL11" s="554"/>
      <c r="PLM11" s="554"/>
      <c r="PLN11" s="554"/>
      <c r="PLO11" s="554"/>
      <c r="PLP11" s="554"/>
      <c r="PLQ11" s="554"/>
      <c r="PLR11" s="554"/>
      <c r="PLS11" s="554"/>
      <c r="PLT11" s="554"/>
      <c r="PLU11" s="554"/>
      <c r="PLV11" s="554"/>
      <c r="PLW11" s="554"/>
      <c r="PLX11" s="554"/>
      <c r="PLY11" s="554"/>
      <c r="PLZ11" s="554"/>
      <c r="PMA11" s="554"/>
      <c r="PMB11" s="554"/>
      <c r="PMC11" s="554"/>
      <c r="PMD11" s="554"/>
      <c r="PME11" s="554"/>
      <c r="PMF11" s="554"/>
      <c r="PMG11" s="554"/>
      <c r="PMH11" s="554"/>
      <c r="PMI11" s="554"/>
      <c r="PMJ11" s="554"/>
      <c r="PMK11" s="554"/>
      <c r="PML11" s="554"/>
      <c r="PMM11" s="554"/>
      <c r="PMN11" s="554"/>
      <c r="PMO11" s="554"/>
      <c r="PMP11" s="554"/>
      <c r="PMQ11" s="554"/>
      <c r="PMR11" s="554"/>
      <c r="PMS11" s="554"/>
      <c r="PMT11" s="554"/>
      <c r="PMU11" s="554"/>
      <c r="PMV11" s="554"/>
      <c r="PMW11" s="554"/>
      <c r="PMX11" s="554"/>
      <c r="PMY11" s="554"/>
      <c r="PMZ11" s="554"/>
      <c r="PNA11" s="554"/>
      <c r="PNB11" s="554"/>
      <c r="PNC11" s="554"/>
      <c r="PND11" s="554"/>
      <c r="PNE11" s="554"/>
      <c r="PNF11" s="554"/>
      <c r="PNG11" s="554"/>
      <c r="PNH11" s="554"/>
      <c r="PNI11" s="554"/>
      <c r="PNJ11" s="554"/>
      <c r="PNK11" s="554"/>
      <c r="PNL11" s="554"/>
      <c r="PNM11" s="554"/>
      <c r="PNN11" s="554"/>
      <c r="PNO11" s="554"/>
      <c r="PNP11" s="554"/>
      <c r="PNQ11" s="554"/>
      <c r="PNR11" s="554"/>
      <c r="PNS11" s="554"/>
      <c r="PNT11" s="554"/>
      <c r="PNU11" s="554"/>
      <c r="PNV11" s="554"/>
      <c r="PNW11" s="554"/>
      <c r="PNX11" s="554"/>
      <c r="PNY11" s="554"/>
      <c r="PNZ11" s="554"/>
      <c r="POA11" s="554"/>
      <c r="POB11" s="554"/>
      <c r="POC11" s="554"/>
      <c r="POD11" s="554"/>
      <c r="POE11" s="554"/>
      <c r="POF11" s="554"/>
      <c r="POG11" s="554"/>
      <c r="POH11" s="554"/>
      <c r="POI11" s="554"/>
      <c r="POJ11" s="554"/>
      <c r="POK11" s="554"/>
      <c r="POL11" s="554"/>
      <c r="POM11" s="554"/>
      <c r="PON11" s="554"/>
      <c r="POO11" s="554"/>
      <c r="POP11" s="554"/>
      <c r="POQ11" s="554"/>
      <c r="POR11" s="554"/>
      <c r="POS11" s="554"/>
      <c r="POT11" s="554"/>
      <c r="POU11" s="554"/>
      <c r="POV11" s="554"/>
      <c r="POW11" s="554"/>
      <c r="POX11" s="554"/>
      <c r="POY11" s="554"/>
      <c r="POZ11" s="554"/>
      <c r="PPA11" s="554"/>
      <c r="PPB11" s="554"/>
      <c r="PPC11" s="554"/>
      <c r="PPD11" s="554"/>
      <c r="PPE11" s="554"/>
      <c r="PPF11" s="554"/>
      <c r="PPG11" s="554"/>
      <c r="PPH11" s="554"/>
      <c r="PPI11" s="554"/>
      <c r="PPJ11" s="554"/>
      <c r="PPK11" s="554"/>
      <c r="PPL11" s="554"/>
      <c r="PPM11" s="554"/>
      <c r="PPN11" s="554"/>
      <c r="PPO11" s="554"/>
      <c r="PPP11" s="554"/>
      <c r="PPQ11" s="554"/>
      <c r="PPR11" s="554"/>
      <c r="PPS11" s="554"/>
      <c r="PPT11" s="554"/>
      <c r="PPU11" s="554"/>
      <c r="PPV11" s="554"/>
      <c r="PPW11" s="554"/>
      <c r="PPX11" s="554"/>
      <c r="PPY11" s="554"/>
      <c r="PPZ11" s="554"/>
      <c r="PQA11" s="554"/>
      <c r="PQB11" s="554"/>
      <c r="PQC11" s="554"/>
      <c r="PQD11" s="554"/>
      <c r="PQE11" s="554"/>
      <c r="PQF11" s="554"/>
      <c r="PQG11" s="554"/>
      <c r="PQH11" s="554"/>
      <c r="PQI11" s="554"/>
      <c r="PQJ11" s="554"/>
      <c r="PQK11" s="554"/>
      <c r="PQL11" s="554"/>
      <c r="PQM11" s="554"/>
      <c r="PQN11" s="554"/>
      <c r="PQO11" s="554"/>
      <c r="PQP11" s="554"/>
      <c r="PQQ11" s="554"/>
      <c r="PQR11" s="554"/>
      <c r="PQS11" s="554"/>
      <c r="PQT11" s="554"/>
      <c r="PQU11" s="554"/>
      <c r="PQV11" s="554"/>
      <c r="PQW11" s="554"/>
      <c r="PQX11" s="554"/>
      <c r="PQY11" s="554"/>
      <c r="PQZ11" s="554"/>
      <c r="PRA11" s="554"/>
      <c r="PRB11" s="554"/>
      <c r="PRC11" s="554"/>
      <c r="PRD11" s="554"/>
      <c r="PRE11" s="554"/>
      <c r="PRF11" s="554"/>
      <c r="PRG11" s="554"/>
      <c r="PRH11" s="554"/>
      <c r="PRI11" s="554"/>
      <c r="PRJ11" s="554"/>
      <c r="PRK11" s="554"/>
      <c r="PRL11" s="554"/>
      <c r="PRM11" s="554"/>
      <c r="PRN11" s="554"/>
      <c r="PRO11" s="554"/>
      <c r="PRP11" s="554"/>
      <c r="PRQ11" s="554"/>
      <c r="PRR11" s="554"/>
      <c r="PRS11" s="554"/>
      <c r="PRT11" s="554"/>
      <c r="PRU11" s="554"/>
      <c r="PRV11" s="554"/>
      <c r="PRW11" s="554"/>
      <c r="PRX11" s="554"/>
      <c r="PRY11" s="554"/>
      <c r="PRZ11" s="554"/>
      <c r="PSA11" s="554"/>
      <c r="PSB11" s="554"/>
      <c r="PSC11" s="554"/>
      <c r="PSD11" s="554"/>
      <c r="PSE11" s="554"/>
      <c r="PSF11" s="554"/>
      <c r="PSG11" s="554"/>
      <c r="PSH11" s="554"/>
      <c r="PSI11" s="554"/>
      <c r="PSJ11" s="554"/>
      <c r="PSK11" s="554"/>
      <c r="PSL11" s="554"/>
      <c r="PSM11" s="554"/>
      <c r="PSN11" s="554"/>
      <c r="PSO11" s="554"/>
      <c r="PSP11" s="554"/>
      <c r="PSQ11" s="554"/>
      <c r="PSR11" s="554"/>
      <c r="PSS11" s="554"/>
      <c r="PST11" s="554"/>
      <c r="PSU11" s="554"/>
      <c r="PSV11" s="554"/>
      <c r="PSW11" s="554"/>
      <c r="PSX11" s="554"/>
      <c r="PSY11" s="554"/>
      <c r="PSZ11" s="554"/>
      <c r="PTA11" s="554"/>
      <c r="PTB11" s="554"/>
      <c r="PTC11" s="554"/>
      <c r="PTD11" s="554"/>
      <c r="PTE11" s="554"/>
      <c r="PTF11" s="554"/>
      <c r="PTG11" s="554"/>
      <c r="PTH11" s="554"/>
      <c r="PTI11" s="554"/>
      <c r="PTJ11" s="554"/>
      <c r="PTK11" s="554"/>
      <c r="PTL11" s="554"/>
      <c r="PTM11" s="554"/>
      <c r="PTN11" s="554"/>
      <c r="PTO11" s="554"/>
      <c r="PTP11" s="554"/>
      <c r="PTQ11" s="554"/>
      <c r="PTR11" s="554"/>
      <c r="PTS11" s="554"/>
      <c r="PTT11" s="554"/>
      <c r="PTU11" s="554"/>
      <c r="PTV11" s="554"/>
      <c r="PTW11" s="554"/>
      <c r="PTX11" s="554"/>
      <c r="PTY11" s="554"/>
      <c r="PTZ11" s="554"/>
      <c r="PUA11" s="554"/>
      <c r="PUB11" s="554"/>
      <c r="PUC11" s="554"/>
      <c r="PUD11" s="554"/>
      <c r="PUE11" s="554"/>
      <c r="PUF11" s="554"/>
      <c r="PUG11" s="554"/>
      <c r="PUH11" s="554"/>
      <c r="PUI11" s="554"/>
      <c r="PUJ11" s="554"/>
      <c r="PUK11" s="554"/>
      <c r="PUL11" s="554"/>
      <c r="PUM11" s="554"/>
      <c r="PUN11" s="554"/>
      <c r="PUO11" s="554"/>
      <c r="PUP11" s="554"/>
      <c r="PUQ11" s="554"/>
      <c r="PUR11" s="554"/>
      <c r="PUS11" s="554"/>
      <c r="PUT11" s="554"/>
      <c r="PUU11" s="554"/>
      <c r="PUV11" s="554"/>
      <c r="PUW11" s="554"/>
      <c r="PUX11" s="554"/>
      <c r="PUY11" s="554"/>
      <c r="PUZ11" s="554"/>
      <c r="PVA11" s="554"/>
      <c r="PVB11" s="554"/>
      <c r="PVC11" s="554"/>
      <c r="PVD11" s="554"/>
      <c r="PVE11" s="554"/>
      <c r="PVF11" s="554"/>
      <c r="PVG11" s="554"/>
      <c r="PVH11" s="554"/>
      <c r="PVI11" s="554"/>
      <c r="PVJ11" s="554"/>
      <c r="PVK11" s="554"/>
      <c r="PVL11" s="554"/>
      <c r="PVM11" s="554"/>
      <c r="PVN11" s="554"/>
      <c r="PVO11" s="554"/>
      <c r="PVP11" s="554"/>
      <c r="PVQ11" s="554"/>
      <c r="PVR11" s="554"/>
      <c r="PVS11" s="554"/>
      <c r="PVT11" s="554"/>
      <c r="PVU11" s="554"/>
      <c r="PVV11" s="554"/>
      <c r="PVW11" s="554"/>
      <c r="PVX11" s="554"/>
      <c r="PVY11" s="554"/>
      <c r="PVZ11" s="554"/>
      <c r="PWA11" s="554"/>
      <c r="PWB11" s="554"/>
      <c r="PWC11" s="554"/>
      <c r="PWD11" s="554"/>
      <c r="PWE11" s="554"/>
      <c r="PWF11" s="554"/>
      <c r="PWG11" s="554"/>
      <c r="PWH11" s="554"/>
      <c r="PWI11" s="554"/>
      <c r="PWJ11" s="554"/>
      <c r="PWK11" s="554"/>
      <c r="PWL11" s="554"/>
      <c r="PWM11" s="554"/>
      <c r="PWN11" s="554"/>
      <c r="PWO11" s="554"/>
      <c r="PWP11" s="554"/>
      <c r="PWQ11" s="554"/>
      <c r="PWR11" s="554"/>
      <c r="PWS11" s="554"/>
      <c r="PWT11" s="554"/>
      <c r="PWU11" s="554"/>
      <c r="PWV11" s="554"/>
      <c r="PWW11" s="554"/>
      <c r="PWX11" s="554"/>
      <c r="PWY11" s="554"/>
      <c r="PWZ11" s="554"/>
      <c r="PXA11" s="554"/>
      <c r="PXB11" s="554"/>
      <c r="PXC11" s="554"/>
      <c r="PXD11" s="554"/>
      <c r="PXE11" s="554"/>
      <c r="PXF11" s="554"/>
      <c r="PXG11" s="554"/>
      <c r="PXH11" s="554"/>
      <c r="PXI11" s="554"/>
      <c r="PXJ11" s="554"/>
      <c r="PXK11" s="554"/>
      <c r="PXL11" s="554"/>
      <c r="PXM11" s="554"/>
      <c r="PXN11" s="554"/>
      <c r="PXO11" s="554"/>
      <c r="PXP11" s="554"/>
      <c r="PXQ11" s="554"/>
      <c r="PXR11" s="554"/>
      <c r="PXS11" s="554"/>
      <c r="PXT11" s="554"/>
      <c r="PXU11" s="554"/>
      <c r="PXV11" s="554"/>
      <c r="PXW11" s="554"/>
      <c r="PXX11" s="554"/>
      <c r="PXY11" s="554"/>
      <c r="PXZ11" s="554"/>
      <c r="PYA11" s="554"/>
      <c r="PYB11" s="554"/>
      <c r="PYC11" s="554"/>
      <c r="PYD11" s="554"/>
      <c r="PYE11" s="554"/>
      <c r="PYF11" s="554"/>
      <c r="PYG11" s="554"/>
      <c r="PYH11" s="554"/>
      <c r="PYI11" s="554"/>
      <c r="PYJ11" s="554"/>
      <c r="PYK11" s="554"/>
      <c r="PYL11" s="554"/>
      <c r="PYM11" s="554"/>
      <c r="PYN11" s="554"/>
      <c r="PYO11" s="554"/>
      <c r="PYP11" s="554"/>
      <c r="PYQ11" s="554"/>
      <c r="PYR11" s="554"/>
      <c r="PYS11" s="554"/>
      <c r="PYT11" s="554"/>
      <c r="PYU11" s="554"/>
      <c r="PYV11" s="554"/>
      <c r="PYW11" s="554"/>
      <c r="PYX11" s="554"/>
      <c r="PYY11" s="554"/>
      <c r="PYZ11" s="554"/>
      <c r="PZA11" s="554"/>
      <c r="PZB11" s="554"/>
      <c r="PZC11" s="554"/>
      <c r="PZD11" s="554"/>
      <c r="PZE11" s="554"/>
      <c r="PZF11" s="554"/>
      <c r="PZG11" s="554"/>
      <c r="PZH11" s="554"/>
      <c r="PZI11" s="554"/>
      <c r="PZJ11" s="554"/>
      <c r="PZK11" s="554"/>
      <c r="PZL11" s="554"/>
      <c r="PZM11" s="554"/>
      <c r="PZN11" s="554"/>
      <c r="PZO11" s="554"/>
      <c r="PZP11" s="554"/>
      <c r="PZQ11" s="554"/>
      <c r="PZR11" s="554"/>
      <c r="PZS11" s="554"/>
      <c r="PZT11" s="554"/>
      <c r="PZU11" s="554"/>
      <c r="PZV11" s="554"/>
      <c r="PZW11" s="554"/>
      <c r="PZX11" s="554"/>
      <c r="PZY11" s="554"/>
      <c r="PZZ11" s="554"/>
      <c r="QAA11" s="554"/>
      <c r="QAB11" s="554"/>
      <c r="QAC11" s="554"/>
      <c r="QAD11" s="554"/>
      <c r="QAE11" s="554"/>
      <c r="QAF11" s="554"/>
      <c r="QAG11" s="554"/>
      <c r="QAH11" s="554"/>
      <c r="QAI11" s="554"/>
      <c r="QAJ11" s="554"/>
      <c r="QAK11" s="554"/>
      <c r="QAL11" s="554"/>
      <c r="QAM11" s="554"/>
      <c r="QAN11" s="554"/>
      <c r="QAO11" s="554"/>
      <c r="QAP11" s="554"/>
      <c r="QAQ11" s="554"/>
      <c r="QAR11" s="554"/>
      <c r="QAS11" s="554"/>
      <c r="QAT11" s="554"/>
      <c r="QAU11" s="554"/>
      <c r="QAV11" s="554"/>
      <c r="QAW11" s="554"/>
      <c r="QAX11" s="554"/>
      <c r="QAY11" s="554"/>
      <c r="QAZ11" s="554"/>
      <c r="QBA11" s="554"/>
      <c r="QBB11" s="554"/>
      <c r="QBC11" s="554"/>
      <c r="QBD11" s="554"/>
      <c r="QBE11" s="554"/>
      <c r="QBF11" s="554"/>
      <c r="QBG11" s="554"/>
      <c r="QBH11" s="554"/>
      <c r="QBI11" s="554"/>
      <c r="QBJ11" s="554"/>
      <c r="QBK11" s="554"/>
      <c r="QBL11" s="554"/>
      <c r="QBM11" s="554"/>
      <c r="QBN11" s="554"/>
      <c r="QBO11" s="554"/>
      <c r="QBP11" s="554"/>
      <c r="QBQ11" s="554"/>
      <c r="QBR11" s="554"/>
      <c r="QBS11" s="554"/>
      <c r="QBT11" s="554"/>
      <c r="QBU11" s="554"/>
      <c r="QBV11" s="554"/>
      <c r="QBW11" s="554"/>
      <c r="QBX11" s="554"/>
      <c r="QBY11" s="554"/>
      <c r="QBZ11" s="554"/>
      <c r="QCA11" s="554"/>
      <c r="QCB11" s="554"/>
      <c r="QCC11" s="554"/>
      <c r="QCD11" s="554"/>
      <c r="QCE11" s="554"/>
      <c r="QCF11" s="554"/>
      <c r="QCG11" s="554"/>
      <c r="QCH11" s="554"/>
      <c r="QCI11" s="554"/>
      <c r="QCJ11" s="554"/>
      <c r="QCK11" s="554"/>
      <c r="QCL11" s="554"/>
      <c r="QCM11" s="554"/>
      <c r="QCN11" s="554"/>
      <c r="QCO11" s="554"/>
      <c r="QCP11" s="554"/>
      <c r="QCQ11" s="554"/>
      <c r="QCR11" s="554"/>
      <c r="QCS11" s="554"/>
      <c r="QCT11" s="554"/>
      <c r="QCU11" s="554"/>
      <c r="QCV11" s="554"/>
      <c r="QCW11" s="554"/>
      <c r="QCX11" s="554"/>
      <c r="QCY11" s="554"/>
      <c r="QCZ11" s="554"/>
      <c r="QDA11" s="554"/>
      <c r="QDB11" s="554"/>
      <c r="QDC11" s="554"/>
      <c r="QDD11" s="554"/>
      <c r="QDE11" s="554"/>
      <c r="QDF11" s="554"/>
      <c r="QDG11" s="554"/>
      <c r="QDH11" s="554"/>
      <c r="QDI11" s="554"/>
      <c r="QDJ11" s="554"/>
      <c r="QDK11" s="554"/>
      <c r="QDL11" s="554"/>
      <c r="QDM11" s="554"/>
      <c r="QDN11" s="554"/>
      <c r="QDO11" s="554"/>
      <c r="QDP11" s="554"/>
      <c r="QDQ11" s="554"/>
      <c r="QDR11" s="554"/>
      <c r="QDS11" s="554"/>
      <c r="QDT11" s="554"/>
      <c r="QDU11" s="554"/>
      <c r="QDV11" s="554"/>
      <c r="QDW11" s="554"/>
      <c r="QDX11" s="554"/>
      <c r="QDY11" s="554"/>
      <c r="QDZ11" s="554"/>
      <c r="QEA11" s="554"/>
      <c r="QEB11" s="554"/>
      <c r="QEC11" s="554"/>
      <c r="QED11" s="554"/>
      <c r="QEE11" s="554"/>
      <c r="QEF11" s="554"/>
      <c r="QEG11" s="554"/>
      <c r="QEH11" s="554"/>
      <c r="QEI11" s="554"/>
      <c r="QEJ11" s="554"/>
      <c r="QEK11" s="554"/>
      <c r="QEL11" s="554"/>
      <c r="QEM11" s="554"/>
      <c r="QEN11" s="554"/>
      <c r="QEO11" s="554"/>
      <c r="QEP11" s="554"/>
      <c r="QEQ11" s="554"/>
      <c r="QER11" s="554"/>
      <c r="QES11" s="554"/>
      <c r="QET11" s="554"/>
      <c r="QEU11" s="554"/>
      <c r="QEV11" s="554"/>
      <c r="QEW11" s="554"/>
      <c r="QEX11" s="554"/>
      <c r="QEY11" s="554"/>
      <c r="QEZ11" s="554"/>
      <c r="QFA11" s="554"/>
      <c r="QFB11" s="554"/>
      <c r="QFC11" s="554"/>
      <c r="QFD11" s="554"/>
      <c r="QFE11" s="554"/>
      <c r="QFF11" s="554"/>
      <c r="QFG11" s="554"/>
      <c r="QFH11" s="554"/>
      <c r="QFI11" s="554"/>
      <c r="QFJ11" s="554"/>
      <c r="QFK11" s="554"/>
      <c r="QFL11" s="554"/>
      <c r="QFM11" s="554"/>
      <c r="QFN11" s="554"/>
      <c r="QFO11" s="554"/>
      <c r="QFP11" s="554"/>
      <c r="QFQ11" s="554"/>
      <c r="QFR11" s="554"/>
      <c r="QFS11" s="554"/>
      <c r="QFT11" s="554"/>
      <c r="QFU11" s="554"/>
      <c r="QFV11" s="554"/>
      <c r="QFW11" s="554"/>
      <c r="QFX11" s="554"/>
      <c r="QFY11" s="554"/>
      <c r="QFZ11" s="554"/>
      <c r="QGA11" s="554"/>
      <c r="QGB11" s="554"/>
      <c r="QGC11" s="554"/>
      <c r="QGD11" s="554"/>
      <c r="QGE11" s="554"/>
      <c r="QGF11" s="554"/>
      <c r="QGG11" s="554"/>
      <c r="QGH11" s="554"/>
      <c r="QGI11" s="554"/>
      <c r="QGJ11" s="554"/>
      <c r="QGK11" s="554"/>
      <c r="QGL11" s="554"/>
      <c r="QGM11" s="554"/>
      <c r="QGN11" s="554"/>
      <c r="QGO11" s="554"/>
      <c r="QGP11" s="554"/>
      <c r="QGQ11" s="554"/>
      <c r="QGR11" s="554"/>
      <c r="QGS11" s="554"/>
      <c r="QGT11" s="554"/>
      <c r="QGU11" s="554"/>
      <c r="QGV11" s="554"/>
      <c r="QGW11" s="554"/>
      <c r="QGX11" s="554"/>
      <c r="QGY11" s="554"/>
      <c r="QGZ11" s="554"/>
      <c r="QHA11" s="554"/>
      <c r="QHB11" s="554"/>
      <c r="QHC11" s="554"/>
      <c r="QHD11" s="554"/>
      <c r="QHE11" s="554"/>
      <c r="QHF11" s="554"/>
      <c r="QHG11" s="554"/>
      <c r="QHH11" s="554"/>
      <c r="QHI11" s="554"/>
      <c r="QHJ11" s="554"/>
      <c r="QHK11" s="554"/>
      <c r="QHL11" s="554"/>
      <c r="QHM11" s="554"/>
      <c r="QHN11" s="554"/>
      <c r="QHO11" s="554"/>
      <c r="QHP11" s="554"/>
      <c r="QHQ11" s="554"/>
      <c r="QHR11" s="554"/>
      <c r="QHS11" s="554"/>
      <c r="QHT11" s="554"/>
      <c r="QHU11" s="554"/>
      <c r="QHV11" s="554"/>
      <c r="QHW11" s="554"/>
      <c r="QHX11" s="554"/>
      <c r="QHY11" s="554"/>
      <c r="QHZ11" s="554"/>
      <c r="QIA11" s="554"/>
      <c r="QIB11" s="554"/>
      <c r="QIC11" s="554"/>
      <c r="QID11" s="554"/>
      <c r="QIE11" s="554"/>
      <c r="QIF11" s="554"/>
      <c r="QIG11" s="554"/>
      <c r="QIH11" s="554"/>
      <c r="QII11" s="554"/>
      <c r="QIJ11" s="554"/>
      <c r="QIK11" s="554"/>
      <c r="QIL11" s="554"/>
      <c r="QIM11" s="554"/>
      <c r="QIN11" s="554"/>
      <c r="QIO11" s="554"/>
      <c r="QIP11" s="554"/>
      <c r="QIQ11" s="554"/>
      <c r="QIR11" s="554"/>
      <c r="QIS11" s="554"/>
      <c r="QIT11" s="554"/>
      <c r="QIU11" s="554"/>
      <c r="QIV11" s="554"/>
      <c r="QIW11" s="554"/>
      <c r="QIX11" s="554"/>
      <c r="QIY11" s="554"/>
      <c r="QIZ11" s="554"/>
      <c r="QJA11" s="554"/>
      <c r="QJB11" s="554"/>
      <c r="QJC11" s="554"/>
      <c r="QJD11" s="554"/>
      <c r="QJE11" s="554"/>
      <c r="QJF11" s="554"/>
      <c r="QJG11" s="554"/>
      <c r="QJH11" s="554"/>
      <c r="QJI11" s="554"/>
      <c r="QJJ11" s="554"/>
      <c r="QJK11" s="554"/>
      <c r="QJL11" s="554"/>
      <c r="QJM11" s="554"/>
      <c r="QJN11" s="554"/>
      <c r="QJO11" s="554"/>
      <c r="QJP11" s="554"/>
      <c r="QJQ11" s="554"/>
      <c r="QJR11" s="554"/>
      <c r="QJS11" s="554"/>
      <c r="QJT11" s="554"/>
      <c r="QJU11" s="554"/>
      <c r="QJV11" s="554"/>
      <c r="QJW11" s="554"/>
      <c r="QJX11" s="554"/>
      <c r="QJY11" s="554"/>
      <c r="QJZ11" s="554"/>
      <c r="QKA11" s="554"/>
      <c r="QKB11" s="554"/>
      <c r="QKC11" s="554"/>
      <c r="QKD11" s="554"/>
      <c r="QKE11" s="554"/>
      <c r="QKF11" s="554"/>
      <c r="QKG11" s="554"/>
      <c r="QKH11" s="554"/>
      <c r="QKI11" s="554"/>
      <c r="QKJ11" s="554"/>
      <c r="QKK11" s="554"/>
      <c r="QKL11" s="554"/>
      <c r="QKM11" s="554"/>
      <c r="QKN11" s="554"/>
      <c r="QKO11" s="554"/>
      <c r="QKP11" s="554"/>
      <c r="QKQ11" s="554"/>
      <c r="QKR11" s="554"/>
      <c r="QKS11" s="554"/>
      <c r="QKT11" s="554"/>
      <c r="QKU11" s="554"/>
      <c r="QKV11" s="554"/>
      <c r="QKW11" s="554"/>
      <c r="QKX11" s="554"/>
      <c r="QKY11" s="554"/>
      <c r="QKZ11" s="554"/>
      <c r="QLA11" s="554"/>
      <c r="QLB11" s="554"/>
      <c r="QLC11" s="554"/>
      <c r="QLD11" s="554"/>
      <c r="QLE11" s="554"/>
      <c r="QLF11" s="554"/>
      <c r="QLG11" s="554"/>
      <c r="QLH11" s="554"/>
      <c r="QLI11" s="554"/>
      <c r="QLJ11" s="554"/>
      <c r="QLK11" s="554"/>
      <c r="QLL11" s="554"/>
      <c r="QLM11" s="554"/>
      <c r="QLN11" s="554"/>
      <c r="QLO11" s="554"/>
      <c r="QLP11" s="554"/>
      <c r="QLQ11" s="554"/>
      <c r="QLR11" s="554"/>
      <c r="QLS11" s="554"/>
      <c r="QLT11" s="554"/>
      <c r="QLU11" s="554"/>
      <c r="QLV11" s="554"/>
      <c r="QLW11" s="554"/>
      <c r="QLX11" s="554"/>
      <c r="QLY11" s="554"/>
      <c r="QLZ11" s="554"/>
      <c r="QMA11" s="554"/>
      <c r="QMB11" s="554"/>
      <c r="QMC11" s="554"/>
      <c r="QMD11" s="554"/>
      <c r="QME11" s="554"/>
      <c r="QMF11" s="554"/>
      <c r="QMG11" s="554"/>
      <c r="QMH11" s="554"/>
      <c r="QMI11" s="554"/>
      <c r="QMJ11" s="554"/>
      <c r="QMK11" s="554"/>
      <c r="QML11" s="554"/>
      <c r="QMM11" s="554"/>
      <c r="QMN11" s="554"/>
      <c r="QMO11" s="554"/>
      <c r="QMP11" s="554"/>
      <c r="QMQ11" s="554"/>
      <c r="QMR11" s="554"/>
      <c r="QMS11" s="554"/>
      <c r="QMT11" s="554"/>
      <c r="QMU11" s="554"/>
      <c r="QMV11" s="554"/>
      <c r="QMW11" s="554"/>
      <c r="QMX11" s="554"/>
      <c r="QMY11" s="554"/>
      <c r="QMZ11" s="554"/>
      <c r="QNA11" s="554"/>
      <c r="QNB11" s="554"/>
      <c r="QNC11" s="554"/>
      <c r="QND11" s="554"/>
      <c r="QNE11" s="554"/>
      <c r="QNF11" s="554"/>
      <c r="QNG11" s="554"/>
      <c r="QNH11" s="554"/>
      <c r="QNI11" s="554"/>
      <c r="QNJ11" s="554"/>
      <c r="QNK11" s="554"/>
      <c r="QNL11" s="554"/>
      <c r="QNM11" s="554"/>
      <c r="QNN11" s="554"/>
      <c r="QNO11" s="554"/>
      <c r="QNP11" s="554"/>
      <c r="QNQ11" s="554"/>
      <c r="QNR11" s="554"/>
      <c r="QNS11" s="554"/>
      <c r="QNT11" s="554"/>
      <c r="QNU11" s="554"/>
      <c r="QNV11" s="554"/>
      <c r="QNW11" s="554"/>
      <c r="QNX11" s="554"/>
      <c r="QNY11" s="554"/>
      <c r="QNZ11" s="554"/>
      <c r="QOA11" s="554"/>
      <c r="QOB11" s="554"/>
      <c r="QOC11" s="554"/>
      <c r="QOD11" s="554"/>
      <c r="QOE11" s="554"/>
      <c r="QOF11" s="554"/>
      <c r="QOG11" s="554"/>
      <c r="QOH11" s="554"/>
      <c r="QOI11" s="554"/>
      <c r="QOJ11" s="554"/>
      <c r="QOK11" s="554"/>
      <c r="QOL11" s="554"/>
      <c r="QOM11" s="554"/>
      <c r="QON11" s="554"/>
      <c r="QOO11" s="554"/>
      <c r="QOP11" s="554"/>
      <c r="QOQ11" s="554"/>
      <c r="QOR11" s="554"/>
      <c r="QOS11" s="554"/>
      <c r="QOT11" s="554"/>
      <c r="QOU11" s="554"/>
      <c r="QOV11" s="554"/>
      <c r="QOW11" s="554"/>
      <c r="QOX11" s="554"/>
      <c r="QOY11" s="554"/>
      <c r="QOZ11" s="554"/>
      <c r="QPA11" s="554"/>
      <c r="QPB11" s="554"/>
      <c r="QPC11" s="554"/>
      <c r="QPD11" s="554"/>
      <c r="QPE11" s="554"/>
      <c r="QPF11" s="554"/>
      <c r="QPG11" s="554"/>
      <c r="QPH11" s="554"/>
      <c r="QPI11" s="554"/>
      <c r="QPJ11" s="554"/>
      <c r="QPK11" s="554"/>
      <c r="QPL11" s="554"/>
      <c r="QPM11" s="554"/>
      <c r="QPN11" s="554"/>
      <c r="QPO11" s="554"/>
      <c r="QPP11" s="554"/>
      <c r="QPQ11" s="554"/>
      <c r="QPR11" s="554"/>
      <c r="QPS11" s="554"/>
      <c r="QPT11" s="554"/>
      <c r="QPU11" s="554"/>
      <c r="QPV11" s="554"/>
      <c r="QPW11" s="554"/>
      <c r="QPX11" s="554"/>
      <c r="QPY11" s="554"/>
      <c r="QPZ11" s="554"/>
      <c r="QQA11" s="554"/>
      <c r="QQB11" s="554"/>
      <c r="QQC11" s="554"/>
      <c r="QQD11" s="554"/>
      <c r="QQE11" s="554"/>
      <c r="QQF11" s="554"/>
      <c r="QQG11" s="554"/>
      <c r="QQH11" s="554"/>
      <c r="QQI11" s="554"/>
      <c r="QQJ11" s="554"/>
      <c r="QQK11" s="554"/>
      <c r="QQL11" s="554"/>
      <c r="QQM11" s="554"/>
      <c r="QQN11" s="554"/>
      <c r="QQO11" s="554"/>
      <c r="QQP11" s="554"/>
      <c r="QQQ11" s="554"/>
      <c r="QQR11" s="554"/>
      <c r="QQS11" s="554"/>
      <c r="QQT11" s="554"/>
      <c r="QQU11" s="554"/>
      <c r="QQV11" s="554"/>
      <c r="QQW11" s="554"/>
      <c r="QQX11" s="554"/>
      <c r="QQY11" s="554"/>
      <c r="QQZ11" s="554"/>
      <c r="QRA11" s="554"/>
      <c r="QRB11" s="554"/>
      <c r="QRC11" s="554"/>
      <c r="QRD11" s="554"/>
      <c r="QRE11" s="554"/>
      <c r="QRF11" s="554"/>
      <c r="QRG11" s="554"/>
      <c r="QRH11" s="554"/>
      <c r="QRI11" s="554"/>
      <c r="QRJ11" s="554"/>
      <c r="QRK11" s="554"/>
      <c r="QRL11" s="554"/>
      <c r="QRM11" s="554"/>
      <c r="QRN11" s="554"/>
      <c r="QRO11" s="554"/>
      <c r="QRP11" s="554"/>
      <c r="QRQ11" s="554"/>
      <c r="QRR11" s="554"/>
      <c r="QRS11" s="554"/>
      <c r="QRT11" s="554"/>
      <c r="QRU11" s="554"/>
      <c r="QRV11" s="554"/>
      <c r="QRW11" s="554"/>
      <c r="QRX11" s="554"/>
      <c r="QRY11" s="554"/>
      <c r="QRZ11" s="554"/>
      <c r="QSA11" s="554"/>
      <c r="QSB11" s="554"/>
      <c r="QSC11" s="554"/>
      <c r="QSD11" s="554"/>
      <c r="QSE11" s="554"/>
      <c r="QSF11" s="554"/>
      <c r="QSG11" s="554"/>
      <c r="QSH11" s="554"/>
      <c r="QSI11" s="554"/>
      <c r="QSJ11" s="554"/>
      <c r="QSK11" s="554"/>
      <c r="QSL11" s="554"/>
      <c r="QSM11" s="554"/>
      <c r="QSN11" s="554"/>
      <c r="QSO11" s="554"/>
      <c r="QSP11" s="554"/>
      <c r="QSQ11" s="554"/>
      <c r="QSR11" s="554"/>
      <c r="QSS11" s="554"/>
      <c r="QST11" s="554"/>
      <c r="QSU11" s="554"/>
      <c r="QSV11" s="554"/>
      <c r="QSW11" s="554"/>
      <c r="QSX11" s="554"/>
      <c r="QSY11" s="554"/>
      <c r="QSZ11" s="554"/>
      <c r="QTA11" s="554"/>
      <c r="QTB11" s="554"/>
      <c r="QTC11" s="554"/>
      <c r="QTD11" s="554"/>
      <c r="QTE11" s="554"/>
      <c r="QTF11" s="554"/>
      <c r="QTG11" s="554"/>
      <c r="QTH11" s="554"/>
      <c r="QTI11" s="554"/>
      <c r="QTJ11" s="554"/>
      <c r="QTK11" s="554"/>
      <c r="QTL11" s="554"/>
      <c r="QTM11" s="554"/>
      <c r="QTN11" s="554"/>
      <c r="QTO11" s="554"/>
      <c r="QTP11" s="554"/>
      <c r="QTQ11" s="554"/>
      <c r="QTR11" s="554"/>
      <c r="QTS11" s="554"/>
      <c r="QTT11" s="554"/>
      <c r="QTU11" s="554"/>
      <c r="QTV11" s="554"/>
      <c r="QTW11" s="554"/>
      <c r="QTX11" s="554"/>
      <c r="QTY11" s="554"/>
      <c r="QTZ11" s="554"/>
      <c r="QUA11" s="554"/>
      <c r="QUB11" s="554"/>
      <c r="QUC11" s="554"/>
      <c r="QUD11" s="554"/>
      <c r="QUE11" s="554"/>
      <c r="QUF11" s="554"/>
      <c r="QUG11" s="554"/>
      <c r="QUH11" s="554"/>
      <c r="QUI11" s="554"/>
      <c r="QUJ11" s="554"/>
      <c r="QUK11" s="554"/>
      <c r="QUL11" s="554"/>
      <c r="QUM11" s="554"/>
      <c r="QUN11" s="554"/>
      <c r="QUO11" s="554"/>
      <c r="QUP11" s="554"/>
      <c r="QUQ11" s="554"/>
      <c r="QUR11" s="554"/>
      <c r="QUS11" s="554"/>
      <c r="QUT11" s="554"/>
      <c r="QUU11" s="554"/>
      <c r="QUV11" s="554"/>
      <c r="QUW11" s="554"/>
      <c r="QUX11" s="554"/>
      <c r="QUY11" s="554"/>
      <c r="QUZ11" s="554"/>
      <c r="QVA11" s="554"/>
      <c r="QVB11" s="554"/>
      <c r="QVC11" s="554"/>
      <c r="QVD11" s="554"/>
      <c r="QVE11" s="554"/>
      <c r="QVF11" s="554"/>
      <c r="QVG11" s="554"/>
      <c r="QVH11" s="554"/>
      <c r="QVI11" s="554"/>
      <c r="QVJ11" s="554"/>
      <c r="QVK11" s="554"/>
      <c r="QVL11" s="554"/>
      <c r="QVM11" s="554"/>
      <c r="QVN11" s="554"/>
      <c r="QVO11" s="554"/>
      <c r="QVP11" s="554"/>
      <c r="QVQ11" s="554"/>
      <c r="QVR11" s="554"/>
      <c r="QVS11" s="554"/>
      <c r="QVT11" s="554"/>
      <c r="QVU11" s="554"/>
      <c r="QVV11" s="554"/>
      <c r="QVW11" s="554"/>
      <c r="QVX11" s="554"/>
      <c r="QVY11" s="554"/>
      <c r="QVZ11" s="554"/>
      <c r="QWA11" s="554"/>
      <c r="QWB11" s="554"/>
      <c r="QWC11" s="554"/>
      <c r="QWD11" s="554"/>
      <c r="QWE11" s="554"/>
      <c r="QWF11" s="554"/>
      <c r="QWG11" s="554"/>
      <c r="QWH11" s="554"/>
      <c r="QWI11" s="554"/>
      <c r="QWJ11" s="554"/>
      <c r="QWK11" s="554"/>
      <c r="QWL11" s="554"/>
      <c r="QWM11" s="554"/>
      <c r="QWN11" s="554"/>
      <c r="QWO11" s="554"/>
      <c r="QWP11" s="554"/>
      <c r="QWQ11" s="554"/>
      <c r="QWR11" s="554"/>
      <c r="QWS11" s="554"/>
      <c r="QWT11" s="554"/>
      <c r="QWU11" s="554"/>
      <c r="QWV11" s="554"/>
      <c r="QWW11" s="554"/>
      <c r="QWX11" s="554"/>
      <c r="QWY11" s="554"/>
      <c r="QWZ11" s="554"/>
      <c r="QXA11" s="554"/>
      <c r="QXB11" s="554"/>
      <c r="QXC11" s="554"/>
      <c r="QXD11" s="554"/>
      <c r="QXE11" s="554"/>
      <c r="QXF11" s="554"/>
      <c r="QXG11" s="554"/>
      <c r="QXH11" s="554"/>
      <c r="QXI11" s="554"/>
      <c r="QXJ11" s="554"/>
      <c r="QXK11" s="554"/>
      <c r="QXL11" s="554"/>
      <c r="QXM11" s="554"/>
      <c r="QXN11" s="554"/>
      <c r="QXO11" s="554"/>
      <c r="QXP11" s="554"/>
      <c r="QXQ11" s="554"/>
      <c r="QXR11" s="554"/>
      <c r="QXS11" s="554"/>
      <c r="QXT11" s="554"/>
      <c r="QXU11" s="554"/>
      <c r="QXV11" s="554"/>
      <c r="QXW11" s="554"/>
      <c r="QXX11" s="554"/>
      <c r="QXY11" s="554"/>
      <c r="QXZ11" s="554"/>
      <c r="QYA11" s="554"/>
      <c r="QYB11" s="554"/>
      <c r="QYC11" s="554"/>
      <c r="QYD11" s="554"/>
      <c r="QYE11" s="554"/>
      <c r="QYF11" s="554"/>
      <c r="QYG11" s="554"/>
      <c r="QYH11" s="554"/>
      <c r="QYI11" s="554"/>
      <c r="QYJ11" s="554"/>
      <c r="QYK11" s="554"/>
      <c r="QYL11" s="554"/>
      <c r="QYM11" s="554"/>
      <c r="QYN11" s="554"/>
      <c r="QYO11" s="554"/>
      <c r="QYP11" s="554"/>
      <c r="QYQ11" s="554"/>
      <c r="QYR11" s="554"/>
      <c r="QYS11" s="554"/>
      <c r="QYT11" s="554"/>
      <c r="QYU11" s="554"/>
      <c r="QYV11" s="554"/>
      <c r="QYW11" s="554"/>
      <c r="QYX11" s="554"/>
      <c r="QYY11" s="554"/>
      <c r="QYZ11" s="554"/>
      <c r="QZA11" s="554"/>
      <c r="QZB11" s="554"/>
      <c r="QZC11" s="554"/>
      <c r="QZD11" s="554"/>
      <c r="QZE11" s="554"/>
      <c r="QZF11" s="554"/>
      <c r="QZG11" s="554"/>
      <c r="QZH11" s="554"/>
      <c r="QZI11" s="554"/>
      <c r="QZJ11" s="554"/>
      <c r="QZK11" s="554"/>
      <c r="QZL11" s="554"/>
      <c r="QZM11" s="554"/>
      <c r="QZN11" s="554"/>
      <c r="QZO11" s="554"/>
      <c r="QZP11" s="554"/>
      <c r="QZQ11" s="554"/>
      <c r="QZR11" s="554"/>
      <c r="QZS11" s="554"/>
      <c r="QZT11" s="554"/>
      <c r="QZU11" s="554"/>
      <c r="QZV11" s="554"/>
      <c r="QZW11" s="554"/>
      <c r="QZX11" s="554"/>
      <c r="QZY11" s="554"/>
      <c r="QZZ11" s="554"/>
      <c r="RAA11" s="554"/>
      <c r="RAB11" s="554"/>
      <c r="RAC11" s="554"/>
      <c r="RAD11" s="554"/>
      <c r="RAE11" s="554"/>
      <c r="RAF11" s="554"/>
      <c r="RAG11" s="554"/>
      <c r="RAH11" s="554"/>
      <c r="RAI11" s="554"/>
      <c r="RAJ11" s="554"/>
      <c r="RAK11" s="554"/>
      <c r="RAL11" s="554"/>
      <c r="RAM11" s="554"/>
      <c r="RAN11" s="554"/>
      <c r="RAO11" s="554"/>
      <c r="RAP11" s="554"/>
      <c r="RAQ11" s="554"/>
      <c r="RAR11" s="554"/>
      <c r="RAS11" s="554"/>
      <c r="RAT11" s="554"/>
      <c r="RAU11" s="554"/>
      <c r="RAV11" s="554"/>
      <c r="RAW11" s="554"/>
      <c r="RAX11" s="554"/>
      <c r="RAY11" s="554"/>
      <c r="RAZ11" s="554"/>
      <c r="RBA11" s="554"/>
      <c r="RBB11" s="554"/>
      <c r="RBC11" s="554"/>
      <c r="RBD11" s="554"/>
      <c r="RBE11" s="554"/>
      <c r="RBF11" s="554"/>
      <c r="RBG11" s="554"/>
      <c r="RBH11" s="554"/>
      <c r="RBI11" s="554"/>
      <c r="RBJ11" s="554"/>
      <c r="RBK11" s="554"/>
      <c r="RBL11" s="554"/>
      <c r="RBM11" s="554"/>
      <c r="RBN11" s="554"/>
      <c r="RBO11" s="554"/>
      <c r="RBP11" s="554"/>
      <c r="RBQ11" s="554"/>
      <c r="RBR11" s="554"/>
      <c r="RBS11" s="554"/>
      <c r="RBT11" s="554"/>
      <c r="RBU11" s="554"/>
      <c r="RBV11" s="554"/>
      <c r="RBW11" s="554"/>
      <c r="RBX11" s="554"/>
      <c r="RBY11" s="554"/>
      <c r="RBZ11" s="554"/>
      <c r="RCA11" s="554"/>
      <c r="RCB11" s="554"/>
      <c r="RCC11" s="554"/>
      <c r="RCD11" s="554"/>
      <c r="RCE11" s="554"/>
      <c r="RCF11" s="554"/>
      <c r="RCG11" s="554"/>
      <c r="RCH11" s="554"/>
      <c r="RCI11" s="554"/>
      <c r="RCJ11" s="554"/>
      <c r="RCK11" s="554"/>
      <c r="RCL11" s="554"/>
      <c r="RCM11" s="554"/>
      <c r="RCN11" s="554"/>
      <c r="RCO11" s="554"/>
      <c r="RCP11" s="554"/>
      <c r="RCQ11" s="554"/>
      <c r="RCR11" s="554"/>
      <c r="RCS11" s="554"/>
      <c r="RCT11" s="554"/>
      <c r="RCU11" s="554"/>
      <c r="RCV11" s="554"/>
      <c r="RCW11" s="554"/>
      <c r="RCX11" s="554"/>
      <c r="RCY11" s="554"/>
      <c r="RCZ11" s="554"/>
      <c r="RDA11" s="554"/>
      <c r="RDB11" s="554"/>
      <c r="RDC11" s="554"/>
      <c r="RDD11" s="554"/>
      <c r="RDE11" s="554"/>
      <c r="RDF11" s="554"/>
      <c r="RDG11" s="554"/>
      <c r="RDH11" s="554"/>
      <c r="RDI11" s="554"/>
      <c r="RDJ11" s="554"/>
      <c r="RDK11" s="554"/>
      <c r="RDL11" s="554"/>
      <c r="RDM11" s="554"/>
      <c r="RDN11" s="554"/>
      <c r="RDO11" s="554"/>
      <c r="RDP11" s="554"/>
      <c r="RDQ11" s="554"/>
      <c r="RDR11" s="554"/>
      <c r="RDS11" s="554"/>
      <c r="RDT11" s="554"/>
      <c r="RDU11" s="554"/>
      <c r="RDV11" s="554"/>
      <c r="RDW11" s="554"/>
      <c r="RDX11" s="554"/>
      <c r="RDY11" s="554"/>
      <c r="RDZ11" s="554"/>
      <c r="REA11" s="554"/>
      <c r="REB11" s="554"/>
      <c r="REC11" s="554"/>
      <c r="RED11" s="554"/>
      <c r="REE11" s="554"/>
      <c r="REF11" s="554"/>
      <c r="REG11" s="554"/>
      <c r="REH11" s="554"/>
      <c r="REI11" s="554"/>
      <c r="REJ11" s="554"/>
      <c r="REK11" s="554"/>
      <c r="REL11" s="554"/>
      <c r="REM11" s="554"/>
      <c r="REN11" s="554"/>
      <c r="REO11" s="554"/>
      <c r="REP11" s="554"/>
      <c r="REQ11" s="554"/>
      <c r="RER11" s="554"/>
      <c r="RES11" s="554"/>
      <c r="RET11" s="554"/>
      <c r="REU11" s="554"/>
      <c r="REV11" s="554"/>
      <c r="REW11" s="554"/>
      <c r="REX11" s="554"/>
      <c r="REY11" s="554"/>
      <c r="REZ11" s="554"/>
      <c r="RFA11" s="554"/>
      <c r="RFB11" s="554"/>
      <c r="RFC11" s="554"/>
      <c r="RFD11" s="554"/>
      <c r="RFE11" s="554"/>
      <c r="RFF11" s="554"/>
      <c r="RFG11" s="554"/>
      <c r="RFH11" s="554"/>
      <c r="RFI11" s="554"/>
      <c r="RFJ11" s="554"/>
      <c r="RFK11" s="554"/>
      <c r="RFL11" s="554"/>
      <c r="RFM11" s="554"/>
      <c r="RFN11" s="554"/>
      <c r="RFO11" s="554"/>
      <c r="RFP11" s="554"/>
      <c r="RFQ11" s="554"/>
      <c r="RFR11" s="554"/>
      <c r="RFS11" s="554"/>
      <c r="RFT11" s="554"/>
      <c r="RFU11" s="554"/>
      <c r="RFV11" s="554"/>
      <c r="RFW11" s="554"/>
      <c r="RFX11" s="554"/>
      <c r="RFY11" s="554"/>
      <c r="RFZ11" s="554"/>
      <c r="RGA11" s="554"/>
      <c r="RGB11" s="554"/>
      <c r="RGC11" s="554"/>
      <c r="RGD11" s="554"/>
      <c r="RGE11" s="554"/>
      <c r="RGF11" s="554"/>
      <c r="RGG11" s="554"/>
      <c r="RGH11" s="554"/>
      <c r="RGI11" s="554"/>
      <c r="RGJ11" s="554"/>
      <c r="RGK11" s="554"/>
      <c r="RGL11" s="554"/>
      <c r="RGM11" s="554"/>
      <c r="RGN11" s="554"/>
      <c r="RGO11" s="554"/>
      <c r="RGP11" s="554"/>
      <c r="RGQ11" s="554"/>
      <c r="RGR11" s="554"/>
      <c r="RGS11" s="554"/>
      <c r="RGT11" s="554"/>
      <c r="RGU11" s="554"/>
      <c r="RGV11" s="554"/>
      <c r="RGW11" s="554"/>
      <c r="RGX11" s="554"/>
      <c r="RGY11" s="554"/>
      <c r="RGZ11" s="554"/>
      <c r="RHA11" s="554"/>
      <c r="RHB11" s="554"/>
      <c r="RHC11" s="554"/>
      <c r="RHD11" s="554"/>
      <c r="RHE11" s="554"/>
      <c r="RHF11" s="554"/>
      <c r="RHG11" s="554"/>
      <c r="RHH11" s="554"/>
      <c r="RHI11" s="554"/>
      <c r="RHJ11" s="554"/>
      <c r="RHK11" s="554"/>
      <c r="RHL11" s="554"/>
      <c r="RHM11" s="554"/>
      <c r="RHN11" s="554"/>
      <c r="RHO11" s="554"/>
      <c r="RHP11" s="554"/>
      <c r="RHQ11" s="554"/>
      <c r="RHR11" s="554"/>
      <c r="RHS11" s="554"/>
      <c r="RHT11" s="554"/>
      <c r="RHU11" s="554"/>
      <c r="RHV11" s="554"/>
      <c r="RHW11" s="554"/>
      <c r="RHX11" s="554"/>
      <c r="RHY11" s="554"/>
      <c r="RHZ11" s="554"/>
      <c r="RIA11" s="554"/>
      <c r="RIB11" s="554"/>
      <c r="RIC11" s="554"/>
      <c r="RID11" s="554"/>
      <c r="RIE11" s="554"/>
      <c r="RIF11" s="554"/>
      <c r="RIG11" s="554"/>
      <c r="RIH11" s="554"/>
      <c r="RII11" s="554"/>
      <c r="RIJ11" s="554"/>
      <c r="RIK11" s="554"/>
      <c r="RIL11" s="554"/>
      <c r="RIM11" s="554"/>
      <c r="RIN11" s="554"/>
      <c r="RIO11" s="554"/>
      <c r="RIP11" s="554"/>
      <c r="RIQ11" s="554"/>
      <c r="RIR11" s="554"/>
      <c r="RIS11" s="554"/>
      <c r="RIT11" s="554"/>
      <c r="RIU11" s="554"/>
      <c r="RIV11" s="554"/>
      <c r="RIW11" s="554"/>
      <c r="RIX11" s="554"/>
      <c r="RIY11" s="554"/>
      <c r="RIZ11" s="554"/>
      <c r="RJA11" s="554"/>
      <c r="RJB11" s="554"/>
      <c r="RJC11" s="554"/>
      <c r="RJD11" s="554"/>
      <c r="RJE11" s="554"/>
      <c r="RJF11" s="554"/>
      <c r="RJG11" s="554"/>
      <c r="RJH11" s="554"/>
      <c r="RJI11" s="554"/>
      <c r="RJJ11" s="554"/>
      <c r="RJK11" s="554"/>
      <c r="RJL11" s="554"/>
      <c r="RJM11" s="554"/>
      <c r="RJN11" s="554"/>
      <c r="RJO11" s="554"/>
      <c r="RJP11" s="554"/>
      <c r="RJQ11" s="554"/>
      <c r="RJR11" s="554"/>
      <c r="RJS11" s="554"/>
      <c r="RJT11" s="554"/>
      <c r="RJU11" s="554"/>
      <c r="RJV11" s="554"/>
      <c r="RJW11" s="554"/>
      <c r="RJX11" s="554"/>
      <c r="RJY11" s="554"/>
      <c r="RJZ11" s="554"/>
      <c r="RKA11" s="554"/>
      <c r="RKB11" s="554"/>
      <c r="RKC11" s="554"/>
      <c r="RKD11" s="554"/>
      <c r="RKE11" s="554"/>
      <c r="RKF11" s="554"/>
      <c r="RKG11" s="554"/>
      <c r="RKH11" s="554"/>
      <c r="RKI11" s="554"/>
      <c r="RKJ11" s="554"/>
      <c r="RKK11" s="554"/>
      <c r="RKL11" s="554"/>
      <c r="RKM11" s="554"/>
      <c r="RKN11" s="554"/>
      <c r="RKO11" s="554"/>
      <c r="RKP11" s="554"/>
      <c r="RKQ11" s="554"/>
      <c r="RKR11" s="554"/>
      <c r="RKS11" s="554"/>
      <c r="RKT11" s="554"/>
      <c r="RKU11" s="554"/>
      <c r="RKV11" s="554"/>
      <c r="RKW11" s="554"/>
      <c r="RKX11" s="554"/>
      <c r="RKY11" s="554"/>
      <c r="RKZ11" s="554"/>
      <c r="RLA11" s="554"/>
      <c r="RLB11" s="554"/>
      <c r="RLC11" s="554"/>
      <c r="RLD11" s="554"/>
      <c r="RLE11" s="554"/>
      <c r="RLF11" s="554"/>
      <c r="RLG11" s="554"/>
      <c r="RLH11" s="554"/>
      <c r="RLI11" s="554"/>
      <c r="RLJ11" s="554"/>
      <c r="RLK11" s="554"/>
      <c r="RLL11" s="554"/>
      <c r="RLM11" s="554"/>
      <c r="RLN11" s="554"/>
      <c r="RLO11" s="554"/>
      <c r="RLP11" s="554"/>
      <c r="RLQ11" s="554"/>
      <c r="RLR11" s="554"/>
      <c r="RLS11" s="554"/>
      <c r="RLT11" s="554"/>
      <c r="RLU11" s="554"/>
      <c r="RLV11" s="554"/>
      <c r="RLW11" s="554"/>
      <c r="RLX11" s="554"/>
      <c r="RLY11" s="554"/>
      <c r="RLZ11" s="554"/>
      <c r="RMA11" s="554"/>
      <c r="RMB11" s="554"/>
      <c r="RMC11" s="554"/>
      <c r="RMD11" s="554"/>
      <c r="RME11" s="554"/>
      <c r="RMF11" s="554"/>
      <c r="RMG11" s="554"/>
      <c r="RMH11" s="554"/>
      <c r="RMI11" s="554"/>
      <c r="RMJ11" s="554"/>
      <c r="RMK11" s="554"/>
      <c r="RML11" s="554"/>
      <c r="RMM11" s="554"/>
      <c r="RMN11" s="554"/>
      <c r="RMO11" s="554"/>
      <c r="RMP11" s="554"/>
      <c r="RMQ11" s="554"/>
      <c r="RMR11" s="554"/>
      <c r="RMS11" s="554"/>
      <c r="RMT11" s="554"/>
      <c r="RMU11" s="554"/>
      <c r="RMV11" s="554"/>
      <c r="RMW11" s="554"/>
      <c r="RMX11" s="554"/>
      <c r="RMY11" s="554"/>
      <c r="RMZ11" s="554"/>
      <c r="RNA11" s="554"/>
      <c r="RNB11" s="554"/>
      <c r="RNC11" s="554"/>
      <c r="RND11" s="554"/>
      <c r="RNE11" s="554"/>
      <c r="RNF11" s="554"/>
      <c r="RNG11" s="554"/>
      <c r="RNH11" s="554"/>
      <c r="RNI11" s="554"/>
      <c r="RNJ11" s="554"/>
      <c r="RNK11" s="554"/>
      <c r="RNL11" s="554"/>
      <c r="RNM11" s="554"/>
      <c r="RNN11" s="554"/>
      <c r="RNO11" s="554"/>
      <c r="RNP11" s="554"/>
      <c r="RNQ11" s="554"/>
      <c r="RNR11" s="554"/>
      <c r="RNS11" s="554"/>
      <c r="RNT11" s="554"/>
      <c r="RNU11" s="554"/>
      <c r="RNV11" s="554"/>
      <c r="RNW11" s="554"/>
      <c r="RNX11" s="554"/>
      <c r="RNY11" s="554"/>
      <c r="RNZ11" s="554"/>
      <c r="ROA11" s="554"/>
      <c r="ROB11" s="554"/>
      <c r="ROC11" s="554"/>
      <c r="ROD11" s="554"/>
      <c r="ROE11" s="554"/>
      <c r="ROF11" s="554"/>
      <c r="ROG11" s="554"/>
      <c r="ROH11" s="554"/>
      <c r="ROI11" s="554"/>
      <c r="ROJ11" s="554"/>
      <c r="ROK11" s="554"/>
      <c r="ROL11" s="554"/>
      <c r="ROM11" s="554"/>
      <c r="RON11" s="554"/>
      <c r="ROO11" s="554"/>
      <c r="ROP11" s="554"/>
      <c r="ROQ11" s="554"/>
      <c r="ROR11" s="554"/>
      <c r="ROS11" s="554"/>
      <c r="ROT11" s="554"/>
      <c r="ROU11" s="554"/>
      <c r="ROV11" s="554"/>
      <c r="ROW11" s="554"/>
      <c r="ROX11" s="554"/>
      <c r="ROY11" s="554"/>
      <c r="ROZ11" s="554"/>
      <c r="RPA11" s="554"/>
      <c r="RPB11" s="554"/>
      <c r="RPC11" s="554"/>
      <c r="RPD11" s="554"/>
      <c r="RPE11" s="554"/>
      <c r="RPF11" s="554"/>
      <c r="RPG11" s="554"/>
      <c r="RPH11" s="554"/>
      <c r="RPI11" s="554"/>
      <c r="RPJ11" s="554"/>
      <c r="RPK11" s="554"/>
      <c r="RPL11" s="554"/>
      <c r="RPM11" s="554"/>
      <c r="RPN11" s="554"/>
      <c r="RPO11" s="554"/>
      <c r="RPP11" s="554"/>
      <c r="RPQ11" s="554"/>
      <c r="RPR11" s="554"/>
      <c r="RPS11" s="554"/>
      <c r="RPT11" s="554"/>
      <c r="RPU11" s="554"/>
      <c r="RPV11" s="554"/>
      <c r="RPW11" s="554"/>
      <c r="RPX11" s="554"/>
      <c r="RPY11" s="554"/>
      <c r="RPZ11" s="554"/>
      <c r="RQA11" s="554"/>
      <c r="RQB11" s="554"/>
      <c r="RQC11" s="554"/>
      <c r="RQD11" s="554"/>
      <c r="RQE11" s="554"/>
      <c r="RQF11" s="554"/>
      <c r="RQG11" s="554"/>
      <c r="RQH11" s="554"/>
      <c r="RQI11" s="554"/>
      <c r="RQJ11" s="554"/>
      <c r="RQK11" s="554"/>
      <c r="RQL11" s="554"/>
      <c r="RQM11" s="554"/>
      <c r="RQN11" s="554"/>
      <c r="RQO11" s="554"/>
      <c r="RQP11" s="554"/>
      <c r="RQQ11" s="554"/>
      <c r="RQR11" s="554"/>
      <c r="RQS11" s="554"/>
      <c r="RQT11" s="554"/>
      <c r="RQU11" s="554"/>
      <c r="RQV11" s="554"/>
      <c r="RQW11" s="554"/>
      <c r="RQX11" s="554"/>
      <c r="RQY11" s="554"/>
      <c r="RQZ11" s="554"/>
      <c r="RRA11" s="554"/>
      <c r="RRB11" s="554"/>
      <c r="RRC11" s="554"/>
      <c r="RRD11" s="554"/>
      <c r="RRE11" s="554"/>
      <c r="RRF11" s="554"/>
      <c r="RRG11" s="554"/>
      <c r="RRH11" s="554"/>
      <c r="RRI11" s="554"/>
      <c r="RRJ11" s="554"/>
      <c r="RRK11" s="554"/>
      <c r="RRL11" s="554"/>
      <c r="RRM11" s="554"/>
      <c r="RRN11" s="554"/>
      <c r="RRO11" s="554"/>
      <c r="RRP11" s="554"/>
      <c r="RRQ11" s="554"/>
      <c r="RRR11" s="554"/>
      <c r="RRS11" s="554"/>
      <c r="RRT11" s="554"/>
      <c r="RRU11" s="554"/>
      <c r="RRV11" s="554"/>
      <c r="RRW11" s="554"/>
      <c r="RRX11" s="554"/>
      <c r="RRY11" s="554"/>
      <c r="RRZ11" s="554"/>
      <c r="RSA11" s="554"/>
      <c r="RSB11" s="554"/>
      <c r="RSC11" s="554"/>
      <c r="RSD11" s="554"/>
      <c r="RSE11" s="554"/>
      <c r="RSF11" s="554"/>
      <c r="RSG11" s="554"/>
      <c r="RSH11" s="554"/>
      <c r="RSI11" s="554"/>
      <c r="RSJ11" s="554"/>
      <c r="RSK11" s="554"/>
      <c r="RSL11" s="554"/>
      <c r="RSM11" s="554"/>
      <c r="RSN11" s="554"/>
      <c r="RSO11" s="554"/>
      <c r="RSP11" s="554"/>
      <c r="RSQ11" s="554"/>
      <c r="RSR11" s="554"/>
      <c r="RSS11" s="554"/>
      <c r="RST11" s="554"/>
      <c r="RSU11" s="554"/>
      <c r="RSV11" s="554"/>
      <c r="RSW11" s="554"/>
      <c r="RSX11" s="554"/>
      <c r="RSY11" s="554"/>
      <c r="RSZ11" s="554"/>
      <c r="RTA11" s="554"/>
      <c r="RTB11" s="554"/>
      <c r="RTC11" s="554"/>
      <c r="RTD11" s="554"/>
      <c r="RTE11" s="554"/>
      <c r="RTF11" s="554"/>
      <c r="RTG11" s="554"/>
      <c r="RTH11" s="554"/>
      <c r="RTI11" s="554"/>
      <c r="RTJ11" s="554"/>
      <c r="RTK11" s="554"/>
      <c r="RTL11" s="554"/>
      <c r="RTM11" s="554"/>
      <c r="RTN11" s="554"/>
      <c r="RTO11" s="554"/>
      <c r="RTP11" s="554"/>
      <c r="RTQ11" s="554"/>
      <c r="RTR11" s="554"/>
      <c r="RTS11" s="554"/>
      <c r="RTT11" s="554"/>
      <c r="RTU11" s="554"/>
      <c r="RTV11" s="554"/>
      <c r="RTW11" s="554"/>
      <c r="RTX11" s="554"/>
      <c r="RTY11" s="554"/>
      <c r="RTZ11" s="554"/>
      <c r="RUA11" s="554"/>
      <c r="RUB11" s="554"/>
      <c r="RUC11" s="554"/>
      <c r="RUD11" s="554"/>
      <c r="RUE11" s="554"/>
      <c r="RUF11" s="554"/>
      <c r="RUG11" s="554"/>
      <c r="RUH11" s="554"/>
      <c r="RUI11" s="554"/>
      <c r="RUJ11" s="554"/>
      <c r="RUK11" s="554"/>
      <c r="RUL11" s="554"/>
      <c r="RUM11" s="554"/>
      <c r="RUN11" s="554"/>
      <c r="RUO11" s="554"/>
      <c r="RUP11" s="554"/>
      <c r="RUQ11" s="554"/>
      <c r="RUR11" s="554"/>
      <c r="RUS11" s="554"/>
      <c r="RUT11" s="554"/>
      <c r="RUU11" s="554"/>
      <c r="RUV11" s="554"/>
      <c r="RUW11" s="554"/>
      <c r="RUX11" s="554"/>
      <c r="RUY11" s="554"/>
      <c r="RUZ11" s="554"/>
      <c r="RVA11" s="554"/>
      <c r="RVB11" s="554"/>
      <c r="RVC11" s="554"/>
      <c r="RVD11" s="554"/>
      <c r="RVE11" s="554"/>
      <c r="RVF11" s="554"/>
      <c r="RVG11" s="554"/>
      <c r="RVH11" s="554"/>
      <c r="RVI11" s="554"/>
      <c r="RVJ11" s="554"/>
      <c r="RVK11" s="554"/>
      <c r="RVL11" s="554"/>
      <c r="RVM11" s="554"/>
      <c r="RVN11" s="554"/>
      <c r="RVO11" s="554"/>
      <c r="RVP11" s="554"/>
      <c r="RVQ11" s="554"/>
      <c r="RVR11" s="554"/>
      <c r="RVS11" s="554"/>
      <c r="RVT11" s="554"/>
      <c r="RVU11" s="554"/>
      <c r="RVV11" s="554"/>
      <c r="RVW11" s="554"/>
      <c r="RVX11" s="554"/>
      <c r="RVY11" s="554"/>
      <c r="RVZ11" s="554"/>
      <c r="RWA11" s="554"/>
      <c r="RWB11" s="554"/>
      <c r="RWC11" s="554"/>
      <c r="RWD11" s="554"/>
      <c r="RWE11" s="554"/>
      <c r="RWF11" s="554"/>
      <c r="RWG11" s="554"/>
      <c r="RWH11" s="554"/>
      <c r="RWI11" s="554"/>
      <c r="RWJ11" s="554"/>
      <c r="RWK11" s="554"/>
      <c r="RWL11" s="554"/>
      <c r="RWM11" s="554"/>
      <c r="RWN11" s="554"/>
      <c r="RWO11" s="554"/>
      <c r="RWP11" s="554"/>
      <c r="RWQ11" s="554"/>
      <c r="RWR11" s="554"/>
      <c r="RWS11" s="554"/>
      <c r="RWT11" s="554"/>
      <c r="RWU11" s="554"/>
      <c r="RWV11" s="554"/>
      <c r="RWW11" s="554"/>
      <c r="RWX11" s="554"/>
      <c r="RWY11" s="554"/>
      <c r="RWZ11" s="554"/>
      <c r="RXA11" s="554"/>
      <c r="RXB11" s="554"/>
      <c r="RXC11" s="554"/>
      <c r="RXD11" s="554"/>
      <c r="RXE11" s="554"/>
      <c r="RXF11" s="554"/>
      <c r="RXG11" s="554"/>
      <c r="RXH11" s="554"/>
      <c r="RXI11" s="554"/>
      <c r="RXJ11" s="554"/>
      <c r="RXK11" s="554"/>
      <c r="RXL11" s="554"/>
      <c r="RXM11" s="554"/>
      <c r="RXN11" s="554"/>
      <c r="RXO11" s="554"/>
      <c r="RXP11" s="554"/>
      <c r="RXQ11" s="554"/>
      <c r="RXR11" s="554"/>
      <c r="RXS11" s="554"/>
      <c r="RXT11" s="554"/>
      <c r="RXU11" s="554"/>
      <c r="RXV11" s="554"/>
      <c r="RXW11" s="554"/>
      <c r="RXX11" s="554"/>
      <c r="RXY11" s="554"/>
      <c r="RXZ11" s="554"/>
      <c r="RYA11" s="554"/>
      <c r="RYB11" s="554"/>
      <c r="RYC11" s="554"/>
      <c r="RYD11" s="554"/>
      <c r="RYE11" s="554"/>
      <c r="RYF11" s="554"/>
      <c r="RYG11" s="554"/>
      <c r="RYH11" s="554"/>
      <c r="RYI11" s="554"/>
      <c r="RYJ11" s="554"/>
      <c r="RYK11" s="554"/>
      <c r="RYL11" s="554"/>
      <c r="RYM11" s="554"/>
      <c r="RYN11" s="554"/>
      <c r="RYO11" s="554"/>
      <c r="RYP11" s="554"/>
      <c r="RYQ11" s="554"/>
      <c r="RYR11" s="554"/>
      <c r="RYS11" s="554"/>
      <c r="RYT11" s="554"/>
      <c r="RYU11" s="554"/>
      <c r="RYV11" s="554"/>
      <c r="RYW11" s="554"/>
      <c r="RYX11" s="554"/>
      <c r="RYY11" s="554"/>
      <c r="RYZ11" s="554"/>
      <c r="RZA11" s="554"/>
      <c r="RZB11" s="554"/>
      <c r="RZC11" s="554"/>
      <c r="RZD11" s="554"/>
      <c r="RZE11" s="554"/>
      <c r="RZF11" s="554"/>
      <c r="RZG11" s="554"/>
      <c r="RZH11" s="554"/>
      <c r="RZI11" s="554"/>
      <c r="RZJ11" s="554"/>
      <c r="RZK11" s="554"/>
      <c r="RZL11" s="554"/>
      <c r="RZM11" s="554"/>
      <c r="RZN11" s="554"/>
      <c r="RZO11" s="554"/>
      <c r="RZP11" s="554"/>
      <c r="RZQ11" s="554"/>
      <c r="RZR11" s="554"/>
      <c r="RZS11" s="554"/>
      <c r="RZT11" s="554"/>
      <c r="RZU11" s="554"/>
      <c r="RZV11" s="554"/>
      <c r="RZW11" s="554"/>
      <c r="RZX11" s="554"/>
      <c r="RZY11" s="554"/>
      <c r="RZZ11" s="554"/>
      <c r="SAA11" s="554"/>
      <c r="SAB11" s="554"/>
      <c r="SAC11" s="554"/>
      <c r="SAD11" s="554"/>
      <c r="SAE11" s="554"/>
      <c r="SAF11" s="554"/>
      <c r="SAG11" s="554"/>
      <c r="SAH11" s="554"/>
      <c r="SAI11" s="554"/>
      <c r="SAJ11" s="554"/>
      <c r="SAK11" s="554"/>
      <c r="SAL11" s="554"/>
      <c r="SAM11" s="554"/>
      <c r="SAN11" s="554"/>
      <c r="SAO11" s="554"/>
      <c r="SAP11" s="554"/>
      <c r="SAQ11" s="554"/>
      <c r="SAR11" s="554"/>
      <c r="SAS11" s="554"/>
      <c r="SAT11" s="554"/>
      <c r="SAU11" s="554"/>
      <c r="SAV11" s="554"/>
      <c r="SAW11" s="554"/>
      <c r="SAX11" s="554"/>
      <c r="SAY11" s="554"/>
      <c r="SAZ11" s="554"/>
      <c r="SBA11" s="554"/>
      <c r="SBB11" s="554"/>
      <c r="SBC11" s="554"/>
      <c r="SBD11" s="554"/>
      <c r="SBE11" s="554"/>
      <c r="SBF11" s="554"/>
      <c r="SBG11" s="554"/>
      <c r="SBH11" s="554"/>
      <c r="SBI11" s="554"/>
      <c r="SBJ11" s="554"/>
      <c r="SBK11" s="554"/>
      <c r="SBL11" s="554"/>
      <c r="SBM11" s="554"/>
      <c r="SBN11" s="554"/>
      <c r="SBO11" s="554"/>
      <c r="SBP11" s="554"/>
      <c r="SBQ11" s="554"/>
      <c r="SBR11" s="554"/>
      <c r="SBS11" s="554"/>
      <c r="SBT11" s="554"/>
      <c r="SBU11" s="554"/>
      <c r="SBV11" s="554"/>
      <c r="SBW11" s="554"/>
      <c r="SBX11" s="554"/>
      <c r="SBY11" s="554"/>
      <c r="SBZ11" s="554"/>
      <c r="SCA11" s="554"/>
      <c r="SCB11" s="554"/>
      <c r="SCC11" s="554"/>
      <c r="SCD11" s="554"/>
      <c r="SCE11" s="554"/>
      <c r="SCF11" s="554"/>
      <c r="SCG11" s="554"/>
      <c r="SCH11" s="554"/>
      <c r="SCI11" s="554"/>
      <c r="SCJ11" s="554"/>
      <c r="SCK11" s="554"/>
      <c r="SCL11" s="554"/>
      <c r="SCM11" s="554"/>
      <c r="SCN11" s="554"/>
      <c r="SCO11" s="554"/>
      <c r="SCP11" s="554"/>
      <c r="SCQ11" s="554"/>
      <c r="SCR11" s="554"/>
      <c r="SCS11" s="554"/>
      <c r="SCT11" s="554"/>
      <c r="SCU11" s="554"/>
      <c r="SCV11" s="554"/>
      <c r="SCW11" s="554"/>
      <c r="SCX11" s="554"/>
      <c r="SCY11" s="554"/>
      <c r="SCZ11" s="554"/>
      <c r="SDA11" s="554"/>
      <c r="SDB11" s="554"/>
      <c r="SDC11" s="554"/>
      <c r="SDD11" s="554"/>
      <c r="SDE11" s="554"/>
      <c r="SDF11" s="554"/>
      <c r="SDG11" s="554"/>
      <c r="SDH11" s="554"/>
      <c r="SDI11" s="554"/>
      <c r="SDJ11" s="554"/>
      <c r="SDK11" s="554"/>
      <c r="SDL11" s="554"/>
      <c r="SDM11" s="554"/>
      <c r="SDN11" s="554"/>
      <c r="SDO11" s="554"/>
      <c r="SDP11" s="554"/>
      <c r="SDQ11" s="554"/>
      <c r="SDR11" s="554"/>
      <c r="SDS11" s="554"/>
      <c r="SDT11" s="554"/>
      <c r="SDU11" s="554"/>
      <c r="SDV11" s="554"/>
      <c r="SDW11" s="554"/>
      <c r="SDX11" s="554"/>
      <c r="SDY11" s="554"/>
      <c r="SDZ11" s="554"/>
      <c r="SEA11" s="554"/>
      <c r="SEB11" s="554"/>
      <c r="SEC11" s="554"/>
      <c r="SED11" s="554"/>
      <c r="SEE11" s="554"/>
      <c r="SEF11" s="554"/>
      <c r="SEG11" s="554"/>
      <c r="SEH11" s="554"/>
      <c r="SEI11" s="554"/>
      <c r="SEJ11" s="554"/>
      <c r="SEK11" s="554"/>
      <c r="SEL11" s="554"/>
      <c r="SEM11" s="554"/>
      <c r="SEN11" s="554"/>
      <c r="SEO11" s="554"/>
      <c r="SEP11" s="554"/>
      <c r="SEQ11" s="554"/>
      <c r="SER11" s="554"/>
      <c r="SES11" s="554"/>
      <c r="SET11" s="554"/>
      <c r="SEU11" s="554"/>
      <c r="SEV11" s="554"/>
      <c r="SEW11" s="554"/>
      <c r="SEX11" s="554"/>
      <c r="SEY11" s="554"/>
      <c r="SEZ11" s="554"/>
      <c r="SFA11" s="554"/>
      <c r="SFB11" s="554"/>
      <c r="SFC11" s="554"/>
      <c r="SFD11" s="554"/>
      <c r="SFE11" s="554"/>
      <c r="SFF11" s="554"/>
      <c r="SFG11" s="554"/>
      <c r="SFH11" s="554"/>
      <c r="SFI11" s="554"/>
      <c r="SFJ11" s="554"/>
      <c r="SFK11" s="554"/>
      <c r="SFL11" s="554"/>
      <c r="SFM11" s="554"/>
      <c r="SFN11" s="554"/>
      <c r="SFO11" s="554"/>
      <c r="SFP11" s="554"/>
      <c r="SFQ11" s="554"/>
      <c r="SFR11" s="554"/>
      <c r="SFS11" s="554"/>
      <c r="SFT11" s="554"/>
      <c r="SFU11" s="554"/>
      <c r="SFV11" s="554"/>
      <c r="SFW11" s="554"/>
      <c r="SFX11" s="554"/>
      <c r="SFY11" s="554"/>
      <c r="SFZ11" s="554"/>
      <c r="SGA11" s="554"/>
      <c r="SGB11" s="554"/>
      <c r="SGC11" s="554"/>
      <c r="SGD11" s="554"/>
      <c r="SGE11" s="554"/>
      <c r="SGF11" s="554"/>
      <c r="SGG11" s="554"/>
      <c r="SGH11" s="554"/>
      <c r="SGI11" s="554"/>
      <c r="SGJ11" s="554"/>
      <c r="SGK11" s="554"/>
      <c r="SGL11" s="554"/>
      <c r="SGM11" s="554"/>
      <c r="SGN11" s="554"/>
      <c r="SGO11" s="554"/>
      <c r="SGP11" s="554"/>
      <c r="SGQ11" s="554"/>
      <c r="SGR11" s="554"/>
      <c r="SGS11" s="554"/>
      <c r="SGT11" s="554"/>
      <c r="SGU11" s="554"/>
      <c r="SGV11" s="554"/>
      <c r="SGW11" s="554"/>
      <c r="SGX11" s="554"/>
      <c r="SGY11" s="554"/>
      <c r="SGZ11" s="554"/>
      <c r="SHA11" s="554"/>
      <c r="SHB11" s="554"/>
      <c r="SHC11" s="554"/>
      <c r="SHD11" s="554"/>
      <c r="SHE11" s="554"/>
      <c r="SHF11" s="554"/>
      <c r="SHG11" s="554"/>
      <c r="SHH11" s="554"/>
      <c r="SHI11" s="554"/>
      <c r="SHJ11" s="554"/>
      <c r="SHK11" s="554"/>
      <c r="SHL11" s="554"/>
      <c r="SHM11" s="554"/>
      <c r="SHN11" s="554"/>
      <c r="SHO11" s="554"/>
      <c r="SHP11" s="554"/>
      <c r="SHQ11" s="554"/>
      <c r="SHR11" s="554"/>
      <c r="SHS11" s="554"/>
      <c r="SHT11" s="554"/>
      <c r="SHU11" s="554"/>
      <c r="SHV11" s="554"/>
      <c r="SHW11" s="554"/>
      <c r="SHX11" s="554"/>
      <c r="SHY11" s="554"/>
      <c r="SHZ11" s="554"/>
      <c r="SIA11" s="554"/>
      <c r="SIB11" s="554"/>
      <c r="SIC11" s="554"/>
      <c r="SID11" s="554"/>
      <c r="SIE11" s="554"/>
      <c r="SIF11" s="554"/>
      <c r="SIG11" s="554"/>
      <c r="SIH11" s="554"/>
      <c r="SII11" s="554"/>
      <c r="SIJ11" s="554"/>
      <c r="SIK11" s="554"/>
      <c r="SIL11" s="554"/>
      <c r="SIM11" s="554"/>
      <c r="SIN11" s="554"/>
      <c r="SIO11" s="554"/>
      <c r="SIP11" s="554"/>
      <c r="SIQ11" s="554"/>
      <c r="SIR11" s="554"/>
      <c r="SIS11" s="554"/>
      <c r="SIT11" s="554"/>
      <c r="SIU11" s="554"/>
      <c r="SIV11" s="554"/>
      <c r="SIW11" s="554"/>
      <c r="SIX11" s="554"/>
      <c r="SIY11" s="554"/>
      <c r="SIZ11" s="554"/>
      <c r="SJA11" s="554"/>
      <c r="SJB11" s="554"/>
      <c r="SJC11" s="554"/>
      <c r="SJD11" s="554"/>
      <c r="SJE11" s="554"/>
      <c r="SJF11" s="554"/>
      <c r="SJG11" s="554"/>
      <c r="SJH11" s="554"/>
      <c r="SJI11" s="554"/>
      <c r="SJJ11" s="554"/>
      <c r="SJK11" s="554"/>
      <c r="SJL11" s="554"/>
      <c r="SJM11" s="554"/>
      <c r="SJN11" s="554"/>
      <c r="SJO11" s="554"/>
      <c r="SJP11" s="554"/>
      <c r="SJQ11" s="554"/>
      <c r="SJR11" s="554"/>
      <c r="SJS11" s="554"/>
      <c r="SJT11" s="554"/>
      <c r="SJU11" s="554"/>
      <c r="SJV11" s="554"/>
      <c r="SJW11" s="554"/>
      <c r="SJX11" s="554"/>
      <c r="SJY11" s="554"/>
      <c r="SJZ11" s="554"/>
      <c r="SKA11" s="554"/>
      <c r="SKB11" s="554"/>
      <c r="SKC11" s="554"/>
      <c r="SKD11" s="554"/>
      <c r="SKE11" s="554"/>
      <c r="SKF11" s="554"/>
      <c r="SKG11" s="554"/>
      <c r="SKH11" s="554"/>
      <c r="SKI11" s="554"/>
      <c r="SKJ11" s="554"/>
      <c r="SKK11" s="554"/>
      <c r="SKL11" s="554"/>
      <c r="SKM11" s="554"/>
      <c r="SKN11" s="554"/>
      <c r="SKO11" s="554"/>
      <c r="SKP11" s="554"/>
      <c r="SKQ11" s="554"/>
      <c r="SKR11" s="554"/>
      <c r="SKS11" s="554"/>
      <c r="SKT11" s="554"/>
      <c r="SKU11" s="554"/>
      <c r="SKV11" s="554"/>
      <c r="SKW11" s="554"/>
      <c r="SKX11" s="554"/>
      <c r="SKY11" s="554"/>
      <c r="SKZ11" s="554"/>
      <c r="SLA11" s="554"/>
      <c r="SLB11" s="554"/>
      <c r="SLC11" s="554"/>
      <c r="SLD11" s="554"/>
      <c r="SLE11" s="554"/>
      <c r="SLF11" s="554"/>
      <c r="SLG11" s="554"/>
      <c r="SLH11" s="554"/>
      <c r="SLI11" s="554"/>
      <c r="SLJ11" s="554"/>
      <c r="SLK11" s="554"/>
      <c r="SLL11" s="554"/>
      <c r="SLM11" s="554"/>
      <c r="SLN11" s="554"/>
      <c r="SLO11" s="554"/>
      <c r="SLP11" s="554"/>
      <c r="SLQ11" s="554"/>
      <c r="SLR11" s="554"/>
      <c r="SLS11" s="554"/>
      <c r="SLT11" s="554"/>
      <c r="SLU11" s="554"/>
      <c r="SLV11" s="554"/>
      <c r="SLW11" s="554"/>
      <c r="SLX11" s="554"/>
      <c r="SLY11" s="554"/>
      <c r="SLZ11" s="554"/>
      <c r="SMA11" s="554"/>
      <c r="SMB11" s="554"/>
      <c r="SMC11" s="554"/>
      <c r="SMD11" s="554"/>
      <c r="SME11" s="554"/>
      <c r="SMF11" s="554"/>
      <c r="SMG11" s="554"/>
      <c r="SMH11" s="554"/>
      <c r="SMI11" s="554"/>
      <c r="SMJ11" s="554"/>
      <c r="SMK11" s="554"/>
      <c r="SML11" s="554"/>
      <c r="SMM11" s="554"/>
      <c r="SMN11" s="554"/>
      <c r="SMO11" s="554"/>
      <c r="SMP11" s="554"/>
      <c r="SMQ11" s="554"/>
      <c r="SMR11" s="554"/>
      <c r="SMS11" s="554"/>
      <c r="SMT11" s="554"/>
      <c r="SMU11" s="554"/>
      <c r="SMV11" s="554"/>
      <c r="SMW11" s="554"/>
      <c r="SMX11" s="554"/>
      <c r="SMY11" s="554"/>
      <c r="SMZ11" s="554"/>
      <c r="SNA11" s="554"/>
      <c r="SNB11" s="554"/>
      <c r="SNC11" s="554"/>
      <c r="SND11" s="554"/>
      <c r="SNE11" s="554"/>
      <c r="SNF11" s="554"/>
      <c r="SNG11" s="554"/>
      <c r="SNH11" s="554"/>
      <c r="SNI11" s="554"/>
      <c r="SNJ11" s="554"/>
      <c r="SNK11" s="554"/>
      <c r="SNL11" s="554"/>
      <c r="SNM11" s="554"/>
      <c r="SNN11" s="554"/>
      <c r="SNO11" s="554"/>
      <c r="SNP11" s="554"/>
      <c r="SNQ11" s="554"/>
      <c r="SNR11" s="554"/>
      <c r="SNS11" s="554"/>
      <c r="SNT11" s="554"/>
      <c r="SNU11" s="554"/>
      <c r="SNV11" s="554"/>
      <c r="SNW11" s="554"/>
      <c r="SNX11" s="554"/>
      <c r="SNY11" s="554"/>
      <c r="SNZ11" s="554"/>
      <c r="SOA11" s="554"/>
      <c r="SOB11" s="554"/>
      <c r="SOC11" s="554"/>
      <c r="SOD11" s="554"/>
      <c r="SOE11" s="554"/>
      <c r="SOF11" s="554"/>
      <c r="SOG11" s="554"/>
      <c r="SOH11" s="554"/>
      <c r="SOI11" s="554"/>
      <c r="SOJ11" s="554"/>
      <c r="SOK11" s="554"/>
      <c r="SOL11" s="554"/>
      <c r="SOM11" s="554"/>
      <c r="SON11" s="554"/>
      <c r="SOO11" s="554"/>
      <c r="SOP11" s="554"/>
      <c r="SOQ11" s="554"/>
      <c r="SOR11" s="554"/>
      <c r="SOS11" s="554"/>
      <c r="SOT11" s="554"/>
      <c r="SOU11" s="554"/>
      <c r="SOV11" s="554"/>
      <c r="SOW11" s="554"/>
      <c r="SOX11" s="554"/>
      <c r="SOY11" s="554"/>
      <c r="SOZ11" s="554"/>
      <c r="SPA11" s="554"/>
      <c r="SPB11" s="554"/>
      <c r="SPC11" s="554"/>
      <c r="SPD11" s="554"/>
      <c r="SPE11" s="554"/>
      <c r="SPF11" s="554"/>
      <c r="SPG11" s="554"/>
      <c r="SPH11" s="554"/>
      <c r="SPI11" s="554"/>
      <c r="SPJ11" s="554"/>
      <c r="SPK11" s="554"/>
      <c r="SPL11" s="554"/>
      <c r="SPM11" s="554"/>
      <c r="SPN11" s="554"/>
      <c r="SPO11" s="554"/>
      <c r="SPP11" s="554"/>
      <c r="SPQ11" s="554"/>
      <c r="SPR11" s="554"/>
      <c r="SPS11" s="554"/>
      <c r="SPT11" s="554"/>
      <c r="SPU11" s="554"/>
      <c r="SPV11" s="554"/>
      <c r="SPW11" s="554"/>
      <c r="SPX11" s="554"/>
      <c r="SPY11" s="554"/>
      <c r="SPZ11" s="554"/>
      <c r="SQA11" s="554"/>
      <c r="SQB11" s="554"/>
      <c r="SQC11" s="554"/>
      <c r="SQD11" s="554"/>
      <c r="SQE11" s="554"/>
      <c r="SQF11" s="554"/>
      <c r="SQG11" s="554"/>
      <c r="SQH11" s="554"/>
      <c r="SQI11" s="554"/>
      <c r="SQJ11" s="554"/>
      <c r="SQK11" s="554"/>
      <c r="SQL11" s="554"/>
      <c r="SQM11" s="554"/>
      <c r="SQN11" s="554"/>
      <c r="SQO11" s="554"/>
      <c r="SQP11" s="554"/>
      <c r="SQQ11" s="554"/>
      <c r="SQR11" s="554"/>
      <c r="SQS11" s="554"/>
      <c r="SQT11" s="554"/>
      <c r="SQU11" s="554"/>
      <c r="SQV11" s="554"/>
      <c r="SQW11" s="554"/>
      <c r="SQX11" s="554"/>
      <c r="SQY11" s="554"/>
      <c r="SQZ11" s="554"/>
      <c r="SRA11" s="554"/>
      <c r="SRB11" s="554"/>
      <c r="SRC11" s="554"/>
      <c r="SRD11" s="554"/>
      <c r="SRE11" s="554"/>
      <c r="SRF11" s="554"/>
      <c r="SRG11" s="554"/>
      <c r="SRH11" s="554"/>
      <c r="SRI11" s="554"/>
      <c r="SRJ11" s="554"/>
      <c r="SRK11" s="554"/>
      <c r="SRL11" s="554"/>
      <c r="SRM11" s="554"/>
      <c r="SRN11" s="554"/>
      <c r="SRO11" s="554"/>
      <c r="SRP11" s="554"/>
      <c r="SRQ11" s="554"/>
      <c r="SRR11" s="554"/>
      <c r="SRS11" s="554"/>
      <c r="SRT11" s="554"/>
      <c r="SRU11" s="554"/>
      <c r="SRV11" s="554"/>
      <c r="SRW11" s="554"/>
      <c r="SRX11" s="554"/>
      <c r="SRY11" s="554"/>
      <c r="SRZ11" s="554"/>
      <c r="SSA11" s="554"/>
      <c r="SSB11" s="554"/>
      <c r="SSC11" s="554"/>
      <c r="SSD11" s="554"/>
      <c r="SSE11" s="554"/>
      <c r="SSF11" s="554"/>
      <c r="SSG11" s="554"/>
      <c r="SSH11" s="554"/>
      <c r="SSI11" s="554"/>
      <c r="SSJ11" s="554"/>
      <c r="SSK11" s="554"/>
      <c r="SSL11" s="554"/>
      <c r="SSM11" s="554"/>
      <c r="SSN11" s="554"/>
      <c r="SSO11" s="554"/>
      <c r="SSP11" s="554"/>
      <c r="SSQ11" s="554"/>
      <c r="SSR11" s="554"/>
      <c r="SSS11" s="554"/>
      <c r="SST11" s="554"/>
      <c r="SSU11" s="554"/>
      <c r="SSV11" s="554"/>
      <c r="SSW11" s="554"/>
      <c r="SSX11" s="554"/>
      <c r="SSY11" s="554"/>
      <c r="SSZ11" s="554"/>
      <c r="STA11" s="554"/>
      <c r="STB11" s="554"/>
      <c r="STC11" s="554"/>
      <c r="STD11" s="554"/>
      <c r="STE11" s="554"/>
      <c r="STF11" s="554"/>
      <c r="STG11" s="554"/>
      <c r="STH11" s="554"/>
      <c r="STI11" s="554"/>
      <c r="STJ11" s="554"/>
      <c r="STK11" s="554"/>
      <c r="STL11" s="554"/>
      <c r="STM11" s="554"/>
      <c r="STN11" s="554"/>
      <c r="STO11" s="554"/>
      <c r="STP11" s="554"/>
      <c r="STQ11" s="554"/>
      <c r="STR11" s="554"/>
      <c r="STS11" s="554"/>
      <c r="STT11" s="554"/>
      <c r="STU11" s="554"/>
      <c r="STV11" s="554"/>
      <c r="STW11" s="554"/>
      <c r="STX11" s="554"/>
      <c r="STY11" s="554"/>
      <c r="STZ11" s="554"/>
      <c r="SUA11" s="554"/>
      <c r="SUB11" s="554"/>
      <c r="SUC11" s="554"/>
      <c r="SUD11" s="554"/>
      <c r="SUE11" s="554"/>
      <c r="SUF11" s="554"/>
      <c r="SUG11" s="554"/>
      <c r="SUH11" s="554"/>
      <c r="SUI11" s="554"/>
      <c r="SUJ11" s="554"/>
      <c r="SUK11" s="554"/>
      <c r="SUL11" s="554"/>
      <c r="SUM11" s="554"/>
      <c r="SUN11" s="554"/>
      <c r="SUO11" s="554"/>
      <c r="SUP11" s="554"/>
      <c r="SUQ11" s="554"/>
      <c r="SUR11" s="554"/>
      <c r="SUS11" s="554"/>
      <c r="SUT11" s="554"/>
      <c r="SUU11" s="554"/>
      <c r="SUV11" s="554"/>
      <c r="SUW11" s="554"/>
      <c r="SUX11" s="554"/>
      <c r="SUY11" s="554"/>
      <c r="SUZ11" s="554"/>
      <c r="SVA11" s="554"/>
      <c r="SVB11" s="554"/>
      <c r="SVC11" s="554"/>
      <c r="SVD11" s="554"/>
      <c r="SVE11" s="554"/>
      <c r="SVF11" s="554"/>
      <c r="SVG11" s="554"/>
      <c r="SVH11" s="554"/>
      <c r="SVI11" s="554"/>
      <c r="SVJ11" s="554"/>
      <c r="SVK11" s="554"/>
      <c r="SVL11" s="554"/>
      <c r="SVM11" s="554"/>
      <c r="SVN11" s="554"/>
      <c r="SVO11" s="554"/>
      <c r="SVP11" s="554"/>
      <c r="SVQ11" s="554"/>
      <c r="SVR11" s="554"/>
      <c r="SVS11" s="554"/>
      <c r="SVT11" s="554"/>
      <c r="SVU11" s="554"/>
      <c r="SVV11" s="554"/>
      <c r="SVW11" s="554"/>
      <c r="SVX11" s="554"/>
      <c r="SVY11" s="554"/>
      <c r="SVZ11" s="554"/>
      <c r="SWA11" s="554"/>
      <c r="SWB11" s="554"/>
      <c r="SWC11" s="554"/>
      <c r="SWD11" s="554"/>
      <c r="SWE11" s="554"/>
      <c r="SWF11" s="554"/>
      <c r="SWG11" s="554"/>
      <c r="SWH11" s="554"/>
      <c r="SWI11" s="554"/>
      <c r="SWJ11" s="554"/>
      <c r="SWK11" s="554"/>
      <c r="SWL11" s="554"/>
      <c r="SWM11" s="554"/>
      <c r="SWN11" s="554"/>
      <c r="SWO11" s="554"/>
      <c r="SWP11" s="554"/>
      <c r="SWQ11" s="554"/>
      <c r="SWR11" s="554"/>
      <c r="SWS11" s="554"/>
      <c r="SWT11" s="554"/>
      <c r="SWU11" s="554"/>
      <c r="SWV11" s="554"/>
      <c r="SWW11" s="554"/>
      <c r="SWX11" s="554"/>
      <c r="SWY11" s="554"/>
      <c r="SWZ11" s="554"/>
      <c r="SXA11" s="554"/>
      <c r="SXB11" s="554"/>
      <c r="SXC11" s="554"/>
      <c r="SXD11" s="554"/>
      <c r="SXE11" s="554"/>
      <c r="SXF11" s="554"/>
      <c r="SXG11" s="554"/>
      <c r="SXH11" s="554"/>
      <c r="SXI11" s="554"/>
      <c r="SXJ11" s="554"/>
      <c r="SXK11" s="554"/>
      <c r="SXL11" s="554"/>
      <c r="SXM11" s="554"/>
      <c r="SXN11" s="554"/>
      <c r="SXO11" s="554"/>
      <c r="SXP11" s="554"/>
      <c r="SXQ11" s="554"/>
      <c r="SXR11" s="554"/>
      <c r="SXS11" s="554"/>
      <c r="SXT11" s="554"/>
      <c r="SXU11" s="554"/>
      <c r="SXV11" s="554"/>
      <c r="SXW11" s="554"/>
      <c r="SXX11" s="554"/>
      <c r="SXY11" s="554"/>
      <c r="SXZ11" s="554"/>
      <c r="SYA11" s="554"/>
      <c r="SYB11" s="554"/>
      <c r="SYC11" s="554"/>
      <c r="SYD11" s="554"/>
      <c r="SYE11" s="554"/>
      <c r="SYF11" s="554"/>
      <c r="SYG11" s="554"/>
      <c r="SYH11" s="554"/>
      <c r="SYI11" s="554"/>
      <c r="SYJ11" s="554"/>
      <c r="SYK11" s="554"/>
      <c r="SYL11" s="554"/>
      <c r="SYM11" s="554"/>
      <c r="SYN11" s="554"/>
      <c r="SYO11" s="554"/>
      <c r="SYP11" s="554"/>
      <c r="SYQ11" s="554"/>
      <c r="SYR11" s="554"/>
      <c r="SYS11" s="554"/>
      <c r="SYT11" s="554"/>
      <c r="SYU11" s="554"/>
      <c r="SYV11" s="554"/>
      <c r="SYW11" s="554"/>
      <c r="SYX11" s="554"/>
      <c r="SYY11" s="554"/>
      <c r="SYZ11" s="554"/>
      <c r="SZA11" s="554"/>
      <c r="SZB11" s="554"/>
      <c r="SZC11" s="554"/>
      <c r="SZD11" s="554"/>
      <c r="SZE11" s="554"/>
      <c r="SZF11" s="554"/>
      <c r="SZG11" s="554"/>
      <c r="SZH11" s="554"/>
      <c r="SZI11" s="554"/>
      <c r="SZJ11" s="554"/>
      <c r="SZK11" s="554"/>
      <c r="SZL11" s="554"/>
      <c r="SZM11" s="554"/>
      <c r="SZN11" s="554"/>
      <c r="SZO11" s="554"/>
      <c r="SZP11" s="554"/>
      <c r="SZQ11" s="554"/>
      <c r="SZR11" s="554"/>
      <c r="SZS11" s="554"/>
      <c r="SZT11" s="554"/>
      <c r="SZU11" s="554"/>
      <c r="SZV11" s="554"/>
      <c r="SZW11" s="554"/>
      <c r="SZX11" s="554"/>
      <c r="SZY11" s="554"/>
      <c r="SZZ11" s="554"/>
      <c r="TAA11" s="554"/>
      <c r="TAB11" s="554"/>
      <c r="TAC11" s="554"/>
      <c r="TAD11" s="554"/>
      <c r="TAE11" s="554"/>
      <c r="TAF11" s="554"/>
      <c r="TAG11" s="554"/>
      <c r="TAH11" s="554"/>
      <c r="TAI11" s="554"/>
      <c r="TAJ11" s="554"/>
      <c r="TAK11" s="554"/>
      <c r="TAL11" s="554"/>
      <c r="TAM11" s="554"/>
      <c r="TAN11" s="554"/>
      <c r="TAO11" s="554"/>
      <c r="TAP11" s="554"/>
      <c r="TAQ11" s="554"/>
      <c r="TAR11" s="554"/>
      <c r="TAS11" s="554"/>
      <c r="TAT11" s="554"/>
      <c r="TAU11" s="554"/>
      <c r="TAV11" s="554"/>
      <c r="TAW11" s="554"/>
      <c r="TAX11" s="554"/>
      <c r="TAY11" s="554"/>
      <c r="TAZ11" s="554"/>
      <c r="TBA11" s="554"/>
      <c r="TBB11" s="554"/>
      <c r="TBC11" s="554"/>
      <c r="TBD11" s="554"/>
      <c r="TBE11" s="554"/>
      <c r="TBF11" s="554"/>
      <c r="TBG11" s="554"/>
      <c r="TBH11" s="554"/>
      <c r="TBI11" s="554"/>
      <c r="TBJ11" s="554"/>
      <c r="TBK11" s="554"/>
      <c r="TBL11" s="554"/>
      <c r="TBM11" s="554"/>
      <c r="TBN11" s="554"/>
      <c r="TBO11" s="554"/>
      <c r="TBP11" s="554"/>
      <c r="TBQ11" s="554"/>
      <c r="TBR11" s="554"/>
      <c r="TBS11" s="554"/>
      <c r="TBT11" s="554"/>
      <c r="TBU11" s="554"/>
      <c r="TBV11" s="554"/>
      <c r="TBW11" s="554"/>
      <c r="TBX11" s="554"/>
      <c r="TBY11" s="554"/>
      <c r="TBZ11" s="554"/>
      <c r="TCA11" s="554"/>
      <c r="TCB11" s="554"/>
      <c r="TCC11" s="554"/>
      <c r="TCD11" s="554"/>
      <c r="TCE11" s="554"/>
      <c r="TCF11" s="554"/>
      <c r="TCG11" s="554"/>
      <c r="TCH11" s="554"/>
      <c r="TCI11" s="554"/>
      <c r="TCJ11" s="554"/>
      <c r="TCK11" s="554"/>
      <c r="TCL11" s="554"/>
      <c r="TCM11" s="554"/>
      <c r="TCN11" s="554"/>
      <c r="TCO11" s="554"/>
      <c r="TCP11" s="554"/>
      <c r="TCQ11" s="554"/>
      <c r="TCR11" s="554"/>
      <c r="TCS11" s="554"/>
      <c r="TCT11" s="554"/>
      <c r="TCU11" s="554"/>
      <c r="TCV11" s="554"/>
      <c r="TCW11" s="554"/>
      <c r="TCX11" s="554"/>
      <c r="TCY11" s="554"/>
      <c r="TCZ11" s="554"/>
      <c r="TDA11" s="554"/>
      <c r="TDB11" s="554"/>
      <c r="TDC11" s="554"/>
      <c r="TDD11" s="554"/>
      <c r="TDE11" s="554"/>
      <c r="TDF11" s="554"/>
      <c r="TDG11" s="554"/>
      <c r="TDH11" s="554"/>
      <c r="TDI11" s="554"/>
      <c r="TDJ11" s="554"/>
      <c r="TDK11" s="554"/>
      <c r="TDL11" s="554"/>
      <c r="TDM11" s="554"/>
      <c r="TDN11" s="554"/>
      <c r="TDO11" s="554"/>
      <c r="TDP11" s="554"/>
      <c r="TDQ11" s="554"/>
      <c r="TDR11" s="554"/>
      <c r="TDS11" s="554"/>
      <c r="TDT11" s="554"/>
      <c r="TDU11" s="554"/>
      <c r="TDV11" s="554"/>
      <c r="TDW11" s="554"/>
      <c r="TDX11" s="554"/>
      <c r="TDY11" s="554"/>
      <c r="TDZ11" s="554"/>
      <c r="TEA11" s="554"/>
      <c r="TEB11" s="554"/>
      <c r="TEC11" s="554"/>
      <c r="TED11" s="554"/>
      <c r="TEE11" s="554"/>
      <c r="TEF11" s="554"/>
      <c r="TEG11" s="554"/>
      <c r="TEH11" s="554"/>
      <c r="TEI11" s="554"/>
      <c r="TEJ11" s="554"/>
      <c r="TEK11" s="554"/>
      <c r="TEL11" s="554"/>
      <c r="TEM11" s="554"/>
      <c r="TEN11" s="554"/>
      <c r="TEO11" s="554"/>
      <c r="TEP11" s="554"/>
      <c r="TEQ11" s="554"/>
      <c r="TER11" s="554"/>
      <c r="TES11" s="554"/>
      <c r="TET11" s="554"/>
      <c r="TEU11" s="554"/>
      <c r="TEV11" s="554"/>
      <c r="TEW11" s="554"/>
      <c r="TEX11" s="554"/>
      <c r="TEY11" s="554"/>
      <c r="TEZ11" s="554"/>
      <c r="TFA11" s="554"/>
      <c r="TFB11" s="554"/>
      <c r="TFC11" s="554"/>
      <c r="TFD11" s="554"/>
      <c r="TFE11" s="554"/>
      <c r="TFF11" s="554"/>
      <c r="TFG11" s="554"/>
      <c r="TFH11" s="554"/>
      <c r="TFI11" s="554"/>
      <c r="TFJ11" s="554"/>
      <c r="TFK11" s="554"/>
      <c r="TFL11" s="554"/>
      <c r="TFM11" s="554"/>
      <c r="TFN11" s="554"/>
      <c r="TFO11" s="554"/>
      <c r="TFP11" s="554"/>
      <c r="TFQ11" s="554"/>
      <c r="TFR11" s="554"/>
      <c r="TFS11" s="554"/>
      <c r="TFT11" s="554"/>
      <c r="TFU11" s="554"/>
      <c r="TFV11" s="554"/>
      <c r="TFW11" s="554"/>
      <c r="TFX11" s="554"/>
      <c r="TFY11" s="554"/>
      <c r="TFZ11" s="554"/>
      <c r="TGA11" s="554"/>
      <c r="TGB11" s="554"/>
      <c r="TGC11" s="554"/>
      <c r="TGD11" s="554"/>
      <c r="TGE11" s="554"/>
      <c r="TGF11" s="554"/>
      <c r="TGG11" s="554"/>
      <c r="TGH11" s="554"/>
      <c r="TGI11" s="554"/>
      <c r="TGJ11" s="554"/>
      <c r="TGK11" s="554"/>
      <c r="TGL11" s="554"/>
      <c r="TGM11" s="554"/>
      <c r="TGN11" s="554"/>
      <c r="TGO11" s="554"/>
      <c r="TGP11" s="554"/>
      <c r="TGQ11" s="554"/>
      <c r="TGR11" s="554"/>
      <c r="TGS11" s="554"/>
      <c r="TGT11" s="554"/>
      <c r="TGU11" s="554"/>
      <c r="TGV11" s="554"/>
      <c r="TGW11" s="554"/>
      <c r="TGX11" s="554"/>
      <c r="TGY11" s="554"/>
      <c r="TGZ11" s="554"/>
      <c r="THA11" s="554"/>
      <c r="THB11" s="554"/>
      <c r="THC11" s="554"/>
      <c r="THD11" s="554"/>
      <c r="THE11" s="554"/>
      <c r="THF11" s="554"/>
      <c r="THG11" s="554"/>
      <c r="THH11" s="554"/>
      <c r="THI11" s="554"/>
      <c r="THJ11" s="554"/>
      <c r="THK11" s="554"/>
      <c r="THL11" s="554"/>
      <c r="THM11" s="554"/>
      <c r="THN11" s="554"/>
      <c r="THO11" s="554"/>
      <c r="THP11" s="554"/>
      <c r="THQ11" s="554"/>
      <c r="THR11" s="554"/>
      <c r="THS11" s="554"/>
      <c r="THT11" s="554"/>
      <c r="THU11" s="554"/>
      <c r="THV11" s="554"/>
      <c r="THW11" s="554"/>
      <c r="THX11" s="554"/>
      <c r="THY11" s="554"/>
      <c r="THZ11" s="554"/>
      <c r="TIA11" s="554"/>
      <c r="TIB11" s="554"/>
      <c r="TIC11" s="554"/>
      <c r="TID11" s="554"/>
      <c r="TIE11" s="554"/>
      <c r="TIF11" s="554"/>
      <c r="TIG11" s="554"/>
      <c r="TIH11" s="554"/>
      <c r="TII11" s="554"/>
      <c r="TIJ11" s="554"/>
      <c r="TIK11" s="554"/>
      <c r="TIL11" s="554"/>
      <c r="TIM11" s="554"/>
      <c r="TIN11" s="554"/>
      <c r="TIO11" s="554"/>
      <c r="TIP11" s="554"/>
      <c r="TIQ11" s="554"/>
      <c r="TIR11" s="554"/>
      <c r="TIS11" s="554"/>
      <c r="TIT11" s="554"/>
      <c r="TIU11" s="554"/>
      <c r="TIV11" s="554"/>
      <c r="TIW11" s="554"/>
      <c r="TIX11" s="554"/>
      <c r="TIY11" s="554"/>
      <c r="TIZ11" s="554"/>
      <c r="TJA11" s="554"/>
      <c r="TJB11" s="554"/>
      <c r="TJC11" s="554"/>
      <c r="TJD11" s="554"/>
      <c r="TJE11" s="554"/>
      <c r="TJF11" s="554"/>
      <c r="TJG11" s="554"/>
      <c r="TJH11" s="554"/>
      <c r="TJI11" s="554"/>
      <c r="TJJ11" s="554"/>
      <c r="TJK11" s="554"/>
      <c r="TJL11" s="554"/>
      <c r="TJM11" s="554"/>
      <c r="TJN11" s="554"/>
      <c r="TJO11" s="554"/>
      <c r="TJP11" s="554"/>
      <c r="TJQ11" s="554"/>
      <c r="TJR11" s="554"/>
      <c r="TJS11" s="554"/>
      <c r="TJT11" s="554"/>
      <c r="TJU11" s="554"/>
      <c r="TJV11" s="554"/>
      <c r="TJW11" s="554"/>
      <c r="TJX11" s="554"/>
      <c r="TJY11" s="554"/>
      <c r="TJZ11" s="554"/>
      <c r="TKA11" s="554"/>
      <c r="TKB11" s="554"/>
      <c r="TKC11" s="554"/>
      <c r="TKD11" s="554"/>
      <c r="TKE11" s="554"/>
      <c r="TKF11" s="554"/>
      <c r="TKG11" s="554"/>
      <c r="TKH11" s="554"/>
      <c r="TKI11" s="554"/>
      <c r="TKJ11" s="554"/>
      <c r="TKK11" s="554"/>
      <c r="TKL11" s="554"/>
      <c r="TKM11" s="554"/>
      <c r="TKN11" s="554"/>
      <c r="TKO11" s="554"/>
      <c r="TKP11" s="554"/>
      <c r="TKQ11" s="554"/>
      <c r="TKR11" s="554"/>
      <c r="TKS11" s="554"/>
      <c r="TKT11" s="554"/>
      <c r="TKU11" s="554"/>
      <c r="TKV11" s="554"/>
      <c r="TKW11" s="554"/>
      <c r="TKX11" s="554"/>
      <c r="TKY11" s="554"/>
      <c r="TKZ11" s="554"/>
      <c r="TLA11" s="554"/>
      <c r="TLB11" s="554"/>
      <c r="TLC11" s="554"/>
      <c r="TLD11" s="554"/>
      <c r="TLE11" s="554"/>
      <c r="TLF11" s="554"/>
      <c r="TLG11" s="554"/>
      <c r="TLH11" s="554"/>
      <c r="TLI11" s="554"/>
      <c r="TLJ11" s="554"/>
      <c r="TLK11" s="554"/>
      <c r="TLL11" s="554"/>
      <c r="TLM11" s="554"/>
      <c r="TLN11" s="554"/>
      <c r="TLO11" s="554"/>
      <c r="TLP11" s="554"/>
      <c r="TLQ11" s="554"/>
      <c r="TLR11" s="554"/>
      <c r="TLS11" s="554"/>
      <c r="TLT11" s="554"/>
      <c r="TLU11" s="554"/>
      <c r="TLV11" s="554"/>
      <c r="TLW11" s="554"/>
      <c r="TLX11" s="554"/>
      <c r="TLY11" s="554"/>
      <c r="TLZ11" s="554"/>
      <c r="TMA11" s="554"/>
      <c r="TMB11" s="554"/>
      <c r="TMC11" s="554"/>
      <c r="TMD11" s="554"/>
      <c r="TME11" s="554"/>
      <c r="TMF11" s="554"/>
      <c r="TMG11" s="554"/>
      <c r="TMH11" s="554"/>
      <c r="TMI11" s="554"/>
      <c r="TMJ11" s="554"/>
      <c r="TMK11" s="554"/>
      <c r="TML11" s="554"/>
      <c r="TMM11" s="554"/>
      <c r="TMN11" s="554"/>
      <c r="TMO11" s="554"/>
      <c r="TMP11" s="554"/>
      <c r="TMQ11" s="554"/>
      <c r="TMR11" s="554"/>
      <c r="TMS11" s="554"/>
      <c r="TMT11" s="554"/>
      <c r="TMU11" s="554"/>
      <c r="TMV11" s="554"/>
      <c r="TMW11" s="554"/>
      <c r="TMX11" s="554"/>
      <c r="TMY11" s="554"/>
      <c r="TMZ11" s="554"/>
      <c r="TNA11" s="554"/>
      <c r="TNB11" s="554"/>
      <c r="TNC11" s="554"/>
      <c r="TND11" s="554"/>
      <c r="TNE11" s="554"/>
      <c r="TNF11" s="554"/>
      <c r="TNG11" s="554"/>
      <c r="TNH11" s="554"/>
      <c r="TNI11" s="554"/>
      <c r="TNJ11" s="554"/>
      <c r="TNK11" s="554"/>
      <c r="TNL11" s="554"/>
      <c r="TNM11" s="554"/>
      <c r="TNN11" s="554"/>
      <c r="TNO11" s="554"/>
      <c r="TNP11" s="554"/>
      <c r="TNQ11" s="554"/>
      <c r="TNR11" s="554"/>
      <c r="TNS11" s="554"/>
      <c r="TNT11" s="554"/>
      <c r="TNU11" s="554"/>
      <c r="TNV11" s="554"/>
      <c r="TNW11" s="554"/>
      <c r="TNX11" s="554"/>
      <c r="TNY11" s="554"/>
      <c r="TNZ11" s="554"/>
      <c r="TOA11" s="554"/>
      <c r="TOB11" s="554"/>
      <c r="TOC11" s="554"/>
      <c r="TOD11" s="554"/>
      <c r="TOE11" s="554"/>
      <c r="TOF11" s="554"/>
      <c r="TOG11" s="554"/>
      <c r="TOH11" s="554"/>
      <c r="TOI11" s="554"/>
      <c r="TOJ11" s="554"/>
      <c r="TOK11" s="554"/>
      <c r="TOL11" s="554"/>
      <c r="TOM11" s="554"/>
      <c r="TON11" s="554"/>
      <c r="TOO11" s="554"/>
      <c r="TOP11" s="554"/>
      <c r="TOQ11" s="554"/>
      <c r="TOR11" s="554"/>
      <c r="TOS11" s="554"/>
      <c r="TOT11" s="554"/>
      <c r="TOU11" s="554"/>
      <c r="TOV11" s="554"/>
      <c r="TOW11" s="554"/>
      <c r="TOX11" s="554"/>
      <c r="TOY11" s="554"/>
      <c r="TOZ11" s="554"/>
      <c r="TPA11" s="554"/>
      <c r="TPB11" s="554"/>
      <c r="TPC11" s="554"/>
      <c r="TPD11" s="554"/>
      <c r="TPE11" s="554"/>
      <c r="TPF11" s="554"/>
      <c r="TPG11" s="554"/>
      <c r="TPH11" s="554"/>
      <c r="TPI11" s="554"/>
      <c r="TPJ11" s="554"/>
      <c r="TPK11" s="554"/>
      <c r="TPL11" s="554"/>
      <c r="TPM11" s="554"/>
      <c r="TPN11" s="554"/>
      <c r="TPO11" s="554"/>
      <c r="TPP11" s="554"/>
      <c r="TPQ11" s="554"/>
      <c r="TPR11" s="554"/>
      <c r="TPS11" s="554"/>
      <c r="TPT11" s="554"/>
      <c r="TPU11" s="554"/>
      <c r="TPV11" s="554"/>
      <c r="TPW11" s="554"/>
      <c r="TPX11" s="554"/>
      <c r="TPY11" s="554"/>
      <c r="TPZ11" s="554"/>
      <c r="TQA11" s="554"/>
      <c r="TQB11" s="554"/>
      <c r="TQC11" s="554"/>
      <c r="TQD11" s="554"/>
      <c r="TQE11" s="554"/>
      <c r="TQF11" s="554"/>
      <c r="TQG11" s="554"/>
      <c r="TQH11" s="554"/>
      <c r="TQI11" s="554"/>
      <c r="TQJ11" s="554"/>
      <c r="TQK11" s="554"/>
      <c r="TQL11" s="554"/>
      <c r="TQM11" s="554"/>
      <c r="TQN11" s="554"/>
      <c r="TQO11" s="554"/>
      <c r="TQP11" s="554"/>
      <c r="TQQ11" s="554"/>
      <c r="TQR11" s="554"/>
      <c r="TQS11" s="554"/>
      <c r="TQT11" s="554"/>
      <c r="TQU11" s="554"/>
      <c r="TQV11" s="554"/>
      <c r="TQW11" s="554"/>
      <c r="TQX11" s="554"/>
      <c r="TQY11" s="554"/>
      <c r="TQZ11" s="554"/>
      <c r="TRA11" s="554"/>
      <c r="TRB11" s="554"/>
      <c r="TRC11" s="554"/>
      <c r="TRD11" s="554"/>
      <c r="TRE11" s="554"/>
      <c r="TRF11" s="554"/>
      <c r="TRG11" s="554"/>
      <c r="TRH11" s="554"/>
      <c r="TRI11" s="554"/>
      <c r="TRJ11" s="554"/>
      <c r="TRK11" s="554"/>
      <c r="TRL11" s="554"/>
      <c r="TRM11" s="554"/>
      <c r="TRN11" s="554"/>
      <c r="TRO11" s="554"/>
      <c r="TRP11" s="554"/>
      <c r="TRQ11" s="554"/>
      <c r="TRR11" s="554"/>
      <c r="TRS11" s="554"/>
      <c r="TRT11" s="554"/>
      <c r="TRU11" s="554"/>
      <c r="TRV11" s="554"/>
      <c r="TRW11" s="554"/>
      <c r="TRX11" s="554"/>
      <c r="TRY11" s="554"/>
      <c r="TRZ11" s="554"/>
      <c r="TSA11" s="554"/>
      <c r="TSB11" s="554"/>
      <c r="TSC11" s="554"/>
      <c r="TSD11" s="554"/>
      <c r="TSE11" s="554"/>
      <c r="TSF11" s="554"/>
      <c r="TSG11" s="554"/>
      <c r="TSH11" s="554"/>
      <c r="TSI11" s="554"/>
      <c r="TSJ11" s="554"/>
      <c r="TSK11" s="554"/>
      <c r="TSL11" s="554"/>
      <c r="TSM11" s="554"/>
      <c r="TSN11" s="554"/>
      <c r="TSO11" s="554"/>
      <c r="TSP11" s="554"/>
      <c r="TSQ11" s="554"/>
      <c r="TSR11" s="554"/>
      <c r="TSS11" s="554"/>
      <c r="TST11" s="554"/>
      <c r="TSU11" s="554"/>
      <c r="TSV11" s="554"/>
      <c r="TSW11" s="554"/>
      <c r="TSX11" s="554"/>
      <c r="TSY11" s="554"/>
      <c r="TSZ11" s="554"/>
      <c r="TTA11" s="554"/>
      <c r="TTB11" s="554"/>
      <c r="TTC11" s="554"/>
      <c r="TTD11" s="554"/>
      <c r="TTE11" s="554"/>
      <c r="TTF11" s="554"/>
      <c r="TTG11" s="554"/>
      <c r="TTH11" s="554"/>
      <c r="TTI11" s="554"/>
      <c r="TTJ11" s="554"/>
      <c r="TTK11" s="554"/>
      <c r="TTL11" s="554"/>
      <c r="TTM11" s="554"/>
      <c r="TTN11" s="554"/>
      <c r="TTO11" s="554"/>
      <c r="TTP11" s="554"/>
      <c r="TTQ11" s="554"/>
      <c r="TTR11" s="554"/>
      <c r="TTS11" s="554"/>
      <c r="TTT11" s="554"/>
      <c r="TTU11" s="554"/>
      <c r="TTV11" s="554"/>
      <c r="TTW11" s="554"/>
      <c r="TTX11" s="554"/>
      <c r="TTY11" s="554"/>
      <c r="TTZ11" s="554"/>
      <c r="TUA11" s="554"/>
      <c r="TUB11" s="554"/>
      <c r="TUC11" s="554"/>
      <c r="TUD11" s="554"/>
      <c r="TUE11" s="554"/>
      <c r="TUF11" s="554"/>
      <c r="TUG11" s="554"/>
      <c r="TUH11" s="554"/>
      <c r="TUI11" s="554"/>
      <c r="TUJ11" s="554"/>
      <c r="TUK11" s="554"/>
      <c r="TUL11" s="554"/>
      <c r="TUM11" s="554"/>
      <c r="TUN11" s="554"/>
      <c r="TUO11" s="554"/>
      <c r="TUP11" s="554"/>
      <c r="TUQ11" s="554"/>
      <c r="TUR11" s="554"/>
      <c r="TUS11" s="554"/>
      <c r="TUT11" s="554"/>
      <c r="TUU11" s="554"/>
      <c r="TUV11" s="554"/>
      <c r="TUW11" s="554"/>
      <c r="TUX11" s="554"/>
      <c r="TUY11" s="554"/>
      <c r="TUZ11" s="554"/>
      <c r="TVA11" s="554"/>
      <c r="TVB11" s="554"/>
      <c r="TVC11" s="554"/>
      <c r="TVD11" s="554"/>
      <c r="TVE11" s="554"/>
      <c r="TVF11" s="554"/>
      <c r="TVG11" s="554"/>
      <c r="TVH11" s="554"/>
      <c r="TVI11" s="554"/>
      <c r="TVJ11" s="554"/>
      <c r="TVK11" s="554"/>
      <c r="TVL11" s="554"/>
      <c r="TVM11" s="554"/>
      <c r="TVN11" s="554"/>
      <c r="TVO11" s="554"/>
      <c r="TVP11" s="554"/>
      <c r="TVQ11" s="554"/>
      <c r="TVR11" s="554"/>
      <c r="TVS11" s="554"/>
      <c r="TVT11" s="554"/>
      <c r="TVU11" s="554"/>
      <c r="TVV11" s="554"/>
      <c r="TVW11" s="554"/>
      <c r="TVX11" s="554"/>
      <c r="TVY11" s="554"/>
      <c r="TVZ11" s="554"/>
      <c r="TWA11" s="554"/>
      <c r="TWB11" s="554"/>
      <c r="TWC11" s="554"/>
      <c r="TWD11" s="554"/>
      <c r="TWE11" s="554"/>
      <c r="TWF11" s="554"/>
      <c r="TWG11" s="554"/>
      <c r="TWH11" s="554"/>
      <c r="TWI11" s="554"/>
      <c r="TWJ11" s="554"/>
      <c r="TWK11" s="554"/>
      <c r="TWL11" s="554"/>
      <c r="TWM11" s="554"/>
      <c r="TWN11" s="554"/>
      <c r="TWO11" s="554"/>
      <c r="TWP11" s="554"/>
      <c r="TWQ11" s="554"/>
      <c r="TWR11" s="554"/>
      <c r="TWS11" s="554"/>
      <c r="TWT11" s="554"/>
      <c r="TWU11" s="554"/>
      <c r="TWV11" s="554"/>
      <c r="TWW11" s="554"/>
      <c r="TWX11" s="554"/>
      <c r="TWY11" s="554"/>
      <c r="TWZ11" s="554"/>
      <c r="TXA11" s="554"/>
      <c r="TXB11" s="554"/>
      <c r="TXC11" s="554"/>
      <c r="TXD11" s="554"/>
      <c r="TXE11" s="554"/>
      <c r="TXF11" s="554"/>
      <c r="TXG11" s="554"/>
      <c r="TXH11" s="554"/>
      <c r="TXI11" s="554"/>
      <c r="TXJ11" s="554"/>
      <c r="TXK11" s="554"/>
      <c r="TXL11" s="554"/>
      <c r="TXM11" s="554"/>
      <c r="TXN11" s="554"/>
      <c r="TXO11" s="554"/>
      <c r="TXP11" s="554"/>
      <c r="TXQ11" s="554"/>
      <c r="TXR11" s="554"/>
      <c r="TXS11" s="554"/>
      <c r="TXT11" s="554"/>
      <c r="TXU11" s="554"/>
      <c r="TXV11" s="554"/>
      <c r="TXW11" s="554"/>
      <c r="TXX11" s="554"/>
      <c r="TXY11" s="554"/>
      <c r="TXZ11" s="554"/>
      <c r="TYA11" s="554"/>
      <c r="TYB11" s="554"/>
      <c r="TYC11" s="554"/>
      <c r="TYD11" s="554"/>
      <c r="TYE11" s="554"/>
      <c r="TYF11" s="554"/>
      <c r="TYG11" s="554"/>
      <c r="TYH11" s="554"/>
      <c r="TYI11" s="554"/>
      <c r="TYJ11" s="554"/>
      <c r="TYK11" s="554"/>
      <c r="TYL11" s="554"/>
      <c r="TYM11" s="554"/>
      <c r="TYN11" s="554"/>
      <c r="TYO11" s="554"/>
      <c r="TYP11" s="554"/>
      <c r="TYQ11" s="554"/>
      <c r="TYR11" s="554"/>
      <c r="TYS11" s="554"/>
      <c r="TYT11" s="554"/>
      <c r="TYU11" s="554"/>
      <c r="TYV11" s="554"/>
      <c r="TYW11" s="554"/>
      <c r="TYX11" s="554"/>
      <c r="TYY11" s="554"/>
      <c r="TYZ11" s="554"/>
      <c r="TZA11" s="554"/>
      <c r="TZB11" s="554"/>
      <c r="TZC11" s="554"/>
      <c r="TZD11" s="554"/>
      <c r="TZE11" s="554"/>
      <c r="TZF11" s="554"/>
      <c r="TZG11" s="554"/>
      <c r="TZH11" s="554"/>
      <c r="TZI11" s="554"/>
      <c r="TZJ11" s="554"/>
      <c r="TZK11" s="554"/>
      <c r="TZL11" s="554"/>
      <c r="TZM11" s="554"/>
      <c r="TZN11" s="554"/>
      <c r="TZO11" s="554"/>
      <c r="TZP11" s="554"/>
      <c r="TZQ11" s="554"/>
      <c r="TZR11" s="554"/>
      <c r="TZS11" s="554"/>
      <c r="TZT11" s="554"/>
      <c r="TZU11" s="554"/>
      <c r="TZV11" s="554"/>
      <c r="TZW11" s="554"/>
      <c r="TZX11" s="554"/>
      <c r="TZY11" s="554"/>
      <c r="TZZ11" s="554"/>
      <c r="UAA11" s="554"/>
      <c r="UAB11" s="554"/>
      <c r="UAC11" s="554"/>
      <c r="UAD11" s="554"/>
      <c r="UAE11" s="554"/>
      <c r="UAF11" s="554"/>
      <c r="UAG11" s="554"/>
      <c r="UAH11" s="554"/>
      <c r="UAI11" s="554"/>
      <c r="UAJ11" s="554"/>
      <c r="UAK11" s="554"/>
      <c r="UAL11" s="554"/>
      <c r="UAM11" s="554"/>
      <c r="UAN11" s="554"/>
      <c r="UAO11" s="554"/>
      <c r="UAP11" s="554"/>
      <c r="UAQ11" s="554"/>
      <c r="UAR11" s="554"/>
      <c r="UAS11" s="554"/>
      <c r="UAT11" s="554"/>
      <c r="UAU11" s="554"/>
      <c r="UAV11" s="554"/>
      <c r="UAW11" s="554"/>
      <c r="UAX11" s="554"/>
      <c r="UAY11" s="554"/>
      <c r="UAZ11" s="554"/>
      <c r="UBA11" s="554"/>
      <c r="UBB11" s="554"/>
      <c r="UBC11" s="554"/>
      <c r="UBD11" s="554"/>
      <c r="UBE11" s="554"/>
      <c r="UBF11" s="554"/>
      <c r="UBG11" s="554"/>
      <c r="UBH11" s="554"/>
      <c r="UBI11" s="554"/>
      <c r="UBJ11" s="554"/>
      <c r="UBK11" s="554"/>
      <c r="UBL11" s="554"/>
      <c r="UBM11" s="554"/>
      <c r="UBN11" s="554"/>
      <c r="UBO11" s="554"/>
      <c r="UBP11" s="554"/>
      <c r="UBQ11" s="554"/>
      <c r="UBR11" s="554"/>
      <c r="UBS11" s="554"/>
      <c r="UBT11" s="554"/>
      <c r="UBU11" s="554"/>
      <c r="UBV11" s="554"/>
      <c r="UBW11" s="554"/>
      <c r="UBX11" s="554"/>
      <c r="UBY11" s="554"/>
      <c r="UBZ11" s="554"/>
      <c r="UCA11" s="554"/>
      <c r="UCB11" s="554"/>
      <c r="UCC11" s="554"/>
      <c r="UCD11" s="554"/>
      <c r="UCE11" s="554"/>
      <c r="UCF11" s="554"/>
      <c r="UCG11" s="554"/>
      <c r="UCH11" s="554"/>
      <c r="UCI11" s="554"/>
      <c r="UCJ11" s="554"/>
      <c r="UCK11" s="554"/>
      <c r="UCL11" s="554"/>
      <c r="UCM11" s="554"/>
      <c r="UCN11" s="554"/>
      <c r="UCO11" s="554"/>
      <c r="UCP11" s="554"/>
      <c r="UCQ11" s="554"/>
      <c r="UCR11" s="554"/>
      <c r="UCS11" s="554"/>
      <c r="UCT11" s="554"/>
      <c r="UCU11" s="554"/>
      <c r="UCV11" s="554"/>
      <c r="UCW11" s="554"/>
      <c r="UCX11" s="554"/>
      <c r="UCY11" s="554"/>
      <c r="UCZ11" s="554"/>
      <c r="UDA11" s="554"/>
      <c r="UDB11" s="554"/>
      <c r="UDC11" s="554"/>
      <c r="UDD11" s="554"/>
      <c r="UDE11" s="554"/>
      <c r="UDF11" s="554"/>
      <c r="UDG11" s="554"/>
      <c r="UDH11" s="554"/>
      <c r="UDI11" s="554"/>
      <c r="UDJ11" s="554"/>
      <c r="UDK11" s="554"/>
      <c r="UDL11" s="554"/>
      <c r="UDM11" s="554"/>
      <c r="UDN11" s="554"/>
      <c r="UDO11" s="554"/>
      <c r="UDP11" s="554"/>
      <c r="UDQ11" s="554"/>
      <c r="UDR11" s="554"/>
      <c r="UDS11" s="554"/>
      <c r="UDT11" s="554"/>
      <c r="UDU11" s="554"/>
      <c r="UDV11" s="554"/>
      <c r="UDW11" s="554"/>
      <c r="UDX11" s="554"/>
      <c r="UDY11" s="554"/>
      <c r="UDZ11" s="554"/>
      <c r="UEA11" s="554"/>
      <c r="UEB11" s="554"/>
      <c r="UEC11" s="554"/>
      <c r="UED11" s="554"/>
      <c r="UEE11" s="554"/>
      <c r="UEF11" s="554"/>
      <c r="UEG11" s="554"/>
      <c r="UEH11" s="554"/>
      <c r="UEI11" s="554"/>
      <c r="UEJ11" s="554"/>
      <c r="UEK11" s="554"/>
      <c r="UEL11" s="554"/>
      <c r="UEM11" s="554"/>
      <c r="UEN11" s="554"/>
      <c r="UEO11" s="554"/>
      <c r="UEP11" s="554"/>
      <c r="UEQ11" s="554"/>
      <c r="UER11" s="554"/>
      <c r="UES11" s="554"/>
      <c r="UET11" s="554"/>
      <c r="UEU11" s="554"/>
      <c r="UEV11" s="554"/>
      <c r="UEW11" s="554"/>
      <c r="UEX11" s="554"/>
      <c r="UEY11" s="554"/>
      <c r="UEZ11" s="554"/>
      <c r="UFA11" s="554"/>
      <c r="UFB11" s="554"/>
      <c r="UFC11" s="554"/>
      <c r="UFD11" s="554"/>
      <c r="UFE11" s="554"/>
      <c r="UFF11" s="554"/>
      <c r="UFG11" s="554"/>
      <c r="UFH11" s="554"/>
      <c r="UFI11" s="554"/>
      <c r="UFJ11" s="554"/>
      <c r="UFK11" s="554"/>
      <c r="UFL11" s="554"/>
      <c r="UFM11" s="554"/>
      <c r="UFN11" s="554"/>
      <c r="UFO11" s="554"/>
      <c r="UFP11" s="554"/>
      <c r="UFQ11" s="554"/>
      <c r="UFR11" s="554"/>
      <c r="UFS11" s="554"/>
      <c r="UFT11" s="554"/>
      <c r="UFU11" s="554"/>
      <c r="UFV11" s="554"/>
      <c r="UFW11" s="554"/>
      <c r="UFX11" s="554"/>
      <c r="UFY11" s="554"/>
      <c r="UFZ11" s="554"/>
      <c r="UGA11" s="554"/>
      <c r="UGB11" s="554"/>
      <c r="UGC11" s="554"/>
      <c r="UGD11" s="554"/>
      <c r="UGE11" s="554"/>
      <c r="UGF11" s="554"/>
      <c r="UGG11" s="554"/>
      <c r="UGH11" s="554"/>
      <c r="UGI11" s="554"/>
      <c r="UGJ11" s="554"/>
      <c r="UGK11" s="554"/>
      <c r="UGL11" s="554"/>
      <c r="UGM11" s="554"/>
      <c r="UGN11" s="554"/>
      <c r="UGO11" s="554"/>
      <c r="UGP11" s="554"/>
      <c r="UGQ11" s="554"/>
      <c r="UGR11" s="554"/>
      <c r="UGS11" s="554"/>
      <c r="UGT11" s="554"/>
      <c r="UGU11" s="554"/>
      <c r="UGV11" s="554"/>
      <c r="UGW11" s="554"/>
      <c r="UGX11" s="554"/>
      <c r="UGY11" s="554"/>
      <c r="UGZ11" s="554"/>
      <c r="UHA11" s="554"/>
      <c r="UHB11" s="554"/>
      <c r="UHC11" s="554"/>
      <c r="UHD11" s="554"/>
      <c r="UHE11" s="554"/>
      <c r="UHF11" s="554"/>
      <c r="UHG11" s="554"/>
      <c r="UHH11" s="554"/>
      <c r="UHI11" s="554"/>
      <c r="UHJ11" s="554"/>
      <c r="UHK11" s="554"/>
      <c r="UHL11" s="554"/>
      <c r="UHM11" s="554"/>
      <c r="UHN11" s="554"/>
      <c r="UHO11" s="554"/>
      <c r="UHP11" s="554"/>
      <c r="UHQ11" s="554"/>
      <c r="UHR11" s="554"/>
      <c r="UHS11" s="554"/>
      <c r="UHT11" s="554"/>
      <c r="UHU11" s="554"/>
      <c r="UHV11" s="554"/>
      <c r="UHW11" s="554"/>
      <c r="UHX11" s="554"/>
      <c r="UHY11" s="554"/>
      <c r="UHZ11" s="554"/>
      <c r="UIA11" s="554"/>
      <c r="UIB11" s="554"/>
      <c r="UIC11" s="554"/>
      <c r="UID11" s="554"/>
      <c r="UIE11" s="554"/>
      <c r="UIF11" s="554"/>
      <c r="UIG11" s="554"/>
      <c r="UIH11" s="554"/>
      <c r="UII11" s="554"/>
      <c r="UIJ11" s="554"/>
      <c r="UIK11" s="554"/>
      <c r="UIL11" s="554"/>
      <c r="UIM11" s="554"/>
      <c r="UIN11" s="554"/>
      <c r="UIO11" s="554"/>
      <c r="UIP11" s="554"/>
      <c r="UIQ11" s="554"/>
      <c r="UIR11" s="554"/>
      <c r="UIS11" s="554"/>
      <c r="UIT11" s="554"/>
      <c r="UIU11" s="554"/>
      <c r="UIV11" s="554"/>
      <c r="UIW11" s="554"/>
      <c r="UIX11" s="554"/>
      <c r="UIY11" s="554"/>
      <c r="UIZ11" s="554"/>
      <c r="UJA11" s="554"/>
      <c r="UJB11" s="554"/>
      <c r="UJC11" s="554"/>
      <c r="UJD11" s="554"/>
      <c r="UJE11" s="554"/>
      <c r="UJF11" s="554"/>
      <c r="UJG11" s="554"/>
      <c r="UJH11" s="554"/>
      <c r="UJI11" s="554"/>
      <c r="UJJ11" s="554"/>
      <c r="UJK11" s="554"/>
      <c r="UJL11" s="554"/>
      <c r="UJM11" s="554"/>
      <c r="UJN11" s="554"/>
      <c r="UJO11" s="554"/>
      <c r="UJP11" s="554"/>
      <c r="UJQ11" s="554"/>
      <c r="UJR11" s="554"/>
      <c r="UJS11" s="554"/>
      <c r="UJT11" s="554"/>
      <c r="UJU11" s="554"/>
      <c r="UJV11" s="554"/>
      <c r="UJW11" s="554"/>
      <c r="UJX11" s="554"/>
      <c r="UJY11" s="554"/>
      <c r="UJZ11" s="554"/>
      <c r="UKA11" s="554"/>
      <c r="UKB11" s="554"/>
      <c r="UKC11" s="554"/>
      <c r="UKD11" s="554"/>
      <c r="UKE11" s="554"/>
      <c r="UKF11" s="554"/>
      <c r="UKG11" s="554"/>
      <c r="UKH11" s="554"/>
      <c r="UKI11" s="554"/>
      <c r="UKJ11" s="554"/>
      <c r="UKK11" s="554"/>
      <c r="UKL11" s="554"/>
      <c r="UKM11" s="554"/>
      <c r="UKN11" s="554"/>
      <c r="UKO11" s="554"/>
      <c r="UKP11" s="554"/>
      <c r="UKQ11" s="554"/>
      <c r="UKR11" s="554"/>
      <c r="UKS11" s="554"/>
      <c r="UKT11" s="554"/>
      <c r="UKU11" s="554"/>
      <c r="UKV11" s="554"/>
      <c r="UKW11" s="554"/>
      <c r="UKX11" s="554"/>
      <c r="UKY11" s="554"/>
      <c r="UKZ11" s="554"/>
      <c r="ULA11" s="554"/>
      <c r="ULB11" s="554"/>
      <c r="ULC11" s="554"/>
      <c r="ULD11" s="554"/>
      <c r="ULE11" s="554"/>
      <c r="ULF11" s="554"/>
      <c r="ULG11" s="554"/>
      <c r="ULH11" s="554"/>
      <c r="ULI11" s="554"/>
      <c r="ULJ11" s="554"/>
      <c r="ULK11" s="554"/>
      <c r="ULL11" s="554"/>
      <c r="ULM11" s="554"/>
      <c r="ULN11" s="554"/>
      <c r="ULO11" s="554"/>
      <c r="ULP11" s="554"/>
      <c r="ULQ11" s="554"/>
      <c r="ULR11" s="554"/>
      <c r="ULS11" s="554"/>
      <c r="ULT11" s="554"/>
      <c r="ULU11" s="554"/>
      <c r="ULV11" s="554"/>
      <c r="ULW11" s="554"/>
      <c r="ULX11" s="554"/>
      <c r="ULY11" s="554"/>
      <c r="ULZ11" s="554"/>
      <c r="UMA11" s="554"/>
      <c r="UMB11" s="554"/>
      <c r="UMC11" s="554"/>
      <c r="UMD11" s="554"/>
      <c r="UME11" s="554"/>
      <c r="UMF11" s="554"/>
      <c r="UMG11" s="554"/>
      <c r="UMH11" s="554"/>
      <c r="UMI11" s="554"/>
      <c r="UMJ11" s="554"/>
      <c r="UMK11" s="554"/>
      <c r="UML11" s="554"/>
      <c r="UMM11" s="554"/>
      <c r="UMN11" s="554"/>
      <c r="UMO11" s="554"/>
      <c r="UMP11" s="554"/>
      <c r="UMQ11" s="554"/>
      <c r="UMR11" s="554"/>
      <c r="UMS11" s="554"/>
      <c r="UMT11" s="554"/>
      <c r="UMU11" s="554"/>
      <c r="UMV11" s="554"/>
      <c r="UMW11" s="554"/>
      <c r="UMX11" s="554"/>
      <c r="UMY11" s="554"/>
      <c r="UMZ11" s="554"/>
      <c r="UNA11" s="554"/>
      <c r="UNB11" s="554"/>
      <c r="UNC11" s="554"/>
      <c r="UND11" s="554"/>
      <c r="UNE11" s="554"/>
      <c r="UNF11" s="554"/>
      <c r="UNG11" s="554"/>
      <c r="UNH11" s="554"/>
      <c r="UNI11" s="554"/>
      <c r="UNJ11" s="554"/>
      <c r="UNK11" s="554"/>
      <c r="UNL11" s="554"/>
      <c r="UNM11" s="554"/>
      <c r="UNN11" s="554"/>
      <c r="UNO11" s="554"/>
      <c r="UNP11" s="554"/>
      <c r="UNQ11" s="554"/>
      <c r="UNR11" s="554"/>
      <c r="UNS11" s="554"/>
      <c r="UNT11" s="554"/>
      <c r="UNU11" s="554"/>
      <c r="UNV11" s="554"/>
      <c r="UNW11" s="554"/>
      <c r="UNX11" s="554"/>
      <c r="UNY11" s="554"/>
      <c r="UNZ11" s="554"/>
      <c r="UOA11" s="554"/>
      <c r="UOB11" s="554"/>
      <c r="UOC11" s="554"/>
      <c r="UOD11" s="554"/>
      <c r="UOE11" s="554"/>
      <c r="UOF11" s="554"/>
      <c r="UOG11" s="554"/>
      <c r="UOH11" s="554"/>
      <c r="UOI11" s="554"/>
      <c r="UOJ11" s="554"/>
      <c r="UOK11" s="554"/>
      <c r="UOL11" s="554"/>
      <c r="UOM11" s="554"/>
      <c r="UON11" s="554"/>
      <c r="UOO11" s="554"/>
      <c r="UOP11" s="554"/>
      <c r="UOQ11" s="554"/>
      <c r="UOR11" s="554"/>
      <c r="UOS11" s="554"/>
      <c r="UOT11" s="554"/>
      <c r="UOU11" s="554"/>
      <c r="UOV11" s="554"/>
      <c r="UOW11" s="554"/>
      <c r="UOX11" s="554"/>
      <c r="UOY11" s="554"/>
      <c r="UOZ11" s="554"/>
      <c r="UPA11" s="554"/>
      <c r="UPB11" s="554"/>
      <c r="UPC11" s="554"/>
      <c r="UPD11" s="554"/>
      <c r="UPE11" s="554"/>
      <c r="UPF11" s="554"/>
      <c r="UPG11" s="554"/>
      <c r="UPH11" s="554"/>
      <c r="UPI11" s="554"/>
      <c r="UPJ11" s="554"/>
      <c r="UPK11" s="554"/>
      <c r="UPL11" s="554"/>
      <c r="UPM11" s="554"/>
      <c r="UPN11" s="554"/>
      <c r="UPO11" s="554"/>
      <c r="UPP11" s="554"/>
      <c r="UPQ11" s="554"/>
      <c r="UPR11" s="554"/>
      <c r="UPS11" s="554"/>
      <c r="UPT11" s="554"/>
      <c r="UPU11" s="554"/>
      <c r="UPV11" s="554"/>
      <c r="UPW11" s="554"/>
      <c r="UPX11" s="554"/>
      <c r="UPY11" s="554"/>
      <c r="UPZ11" s="554"/>
      <c r="UQA11" s="554"/>
      <c r="UQB11" s="554"/>
      <c r="UQC11" s="554"/>
      <c r="UQD11" s="554"/>
      <c r="UQE11" s="554"/>
      <c r="UQF11" s="554"/>
      <c r="UQG11" s="554"/>
      <c r="UQH11" s="554"/>
      <c r="UQI11" s="554"/>
      <c r="UQJ11" s="554"/>
      <c r="UQK11" s="554"/>
      <c r="UQL11" s="554"/>
      <c r="UQM11" s="554"/>
      <c r="UQN11" s="554"/>
      <c r="UQO11" s="554"/>
      <c r="UQP11" s="554"/>
      <c r="UQQ11" s="554"/>
      <c r="UQR11" s="554"/>
      <c r="UQS11" s="554"/>
      <c r="UQT11" s="554"/>
      <c r="UQU11" s="554"/>
      <c r="UQV11" s="554"/>
      <c r="UQW11" s="554"/>
      <c r="UQX11" s="554"/>
      <c r="UQY11" s="554"/>
      <c r="UQZ11" s="554"/>
      <c r="URA11" s="554"/>
      <c r="URB11" s="554"/>
      <c r="URC11" s="554"/>
      <c r="URD11" s="554"/>
      <c r="URE11" s="554"/>
      <c r="URF11" s="554"/>
      <c r="URG11" s="554"/>
      <c r="URH11" s="554"/>
      <c r="URI11" s="554"/>
      <c r="URJ11" s="554"/>
      <c r="URK11" s="554"/>
      <c r="URL11" s="554"/>
      <c r="URM11" s="554"/>
      <c r="URN11" s="554"/>
      <c r="URO11" s="554"/>
      <c r="URP11" s="554"/>
      <c r="URQ11" s="554"/>
      <c r="URR11" s="554"/>
      <c r="URS11" s="554"/>
      <c r="URT11" s="554"/>
      <c r="URU11" s="554"/>
      <c r="URV11" s="554"/>
      <c r="URW11" s="554"/>
      <c r="URX11" s="554"/>
      <c r="URY11" s="554"/>
      <c r="URZ11" s="554"/>
      <c r="USA11" s="554"/>
      <c r="USB11" s="554"/>
      <c r="USC11" s="554"/>
      <c r="USD11" s="554"/>
      <c r="USE11" s="554"/>
      <c r="USF11" s="554"/>
      <c r="USG11" s="554"/>
      <c r="USH11" s="554"/>
      <c r="USI11" s="554"/>
      <c r="USJ11" s="554"/>
      <c r="USK11" s="554"/>
      <c r="USL11" s="554"/>
      <c r="USM11" s="554"/>
      <c r="USN11" s="554"/>
      <c r="USO11" s="554"/>
      <c r="USP11" s="554"/>
      <c r="USQ11" s="554"/>
      <c r="USR11" s="554"/>
      <c r="USS11" s="554"/>
      <c r="UST11" s="554"/>
      <c r="USU11" s="554"/>
      <c r="USV11" s="554"/>
      <c r="USW11" s="554"/>
      <c r="USX11" s="554"/>
      <c r="USY11" s="554"/>
      <c r="USZ11" s="554"/>
      <c r="UTA11" s="554"/>
      <c r="UTB11" s="554"/>
      <c r="UTC11" s="554"/>
      <c r="UTD11" s="554"/>
      <c r="UTE11" s="554"/>
      <c r="UTF11" s="554"/>
      <c r="UTG11" s="554"/>
      <c r="UTH11" s="554"/>
      <c r="UTI11" s="554"/>
      <c r="UTJ11" s="554"/>
      <c r="UTK11" s="554"/>
      <c r="UTL11" s="554"/>
      <c r="UTM11" s="554"/>
      <c r="UTN11" s="554"/>
      <c r="UTO11" s="554"/>
      <c r="UTP11" s="554"/>
      <c r="UTQ11" s="554"/>
      <c r="UTR11" s="554"/>
      <c r="UTS11" s="554"/>
      <c r="UTT11" s="554"/>
      <c r="UTU11" s="554"/>
      <c r="UTV11" s="554"/>
      <c r="UTW11" s="554"/>
      <c r="UTX11" s="554"/>
      <c r="UTY11" s="554"/>
      <c r="UTZ11" s="554"/>
      <c r="UUA11" s="554"/>
      <c r="UUB11" s="554"/>
      <c r="UUC11" s="554"/>
      <c r="UUD11" s="554"/>
      <c r="UUE11" s="554"/>
      <c r="UUF11" s="554"/>
      <c r="UUG11" s="554"/>
      <c r="UUH11" s="554"/>
      <c r="UUI11" s="554"/>
      <c r="UUJ11" s="554"/>
      <c r="UUK11" s="554"/>
      <c r="UUL11" s="554"/>
      <c r="UUM11" s="554"/>
      <c r="UUN11" s="554"/>
      <c r="UUO11" s="554"/>
      <c r="UUP11" s="554"/>
      <c r="UUQ11" s="554"/>
      <c r="UUR11" s="554"/>
      <c r="UUS11" s="554"/>
      <c r="UUT11" s="554"/>
      <c r="UUU11" s="554"/>
      <c r="UUV11" s="554"/>
      <c r="UUW11" s="554"/>
      <c r="UUX11" s="554"/>
      <c r="UUY11" s="554"/>
      <c r="UUZ11" s="554"/>
      <c r="UVA11" s="554"/>
      <c r="UVB11" s="554"/>
      <c r="UVC11" s="554"/>
      <c r="UVD11" s="554"/>
      <c r="UVE11" s="554"/>
      <c r="UVF11" s="554"/>
      <c r="UVG11" s="554"/>
      <c r="UVH11" s="554"/>
      <c r="UVI11" s="554"/>
      <c r="UVJ11" s="554"/>
      <c r="UVK11" s="554"/>
      <c r="UVL11" s="554"/>
      <c r="UVM11" s="554"/>
      <c r="UVN11" s="554"/>
      <c r="UVO11" s="554"/>
      <c r="UVP11" s="554"/>
      <c r="UVQ11" s="554"/>
      <c r="UVR11" s="554"/>
      <c r="UVS11" s="554"/>
      <c r="UVT11" s="554"/>
      <c r="UVU11" s="554"/>
      <c r="UVV11" s="554"/>
      <c r="UVW11" s="554"/>
      <c r="UVX11" s="554"/>
      <c r="UVY11" s="554"/>
      <c r="UVZ11" s="554"/>
      <c r="UWA11" s="554"/>
      <c r="UWB11" s="554"/>
      <c r="UWC11" s="554"/>
      <c r="UWD11" s="554"/>
      <c r="UWE11" s="554"/>
      <c r="UWF11" s="554"/>
      <c r="UWG11" s="554"/>
      <c r="UWH11" s="554"/>
      <c r="UWI11" s="554"/>
      <c r="UWJ11" s="554"/>
      <c r="UWK11" s="554"/>
      <c r="UWL11" s="554"/>
      <c r="UWM11" s="554"/>
      <c r="UWN11" s="554"/>
      <c r="UWO11" s="554"/>
      <c r="UWP11" s="554"/>
      <c r="UWQ11" s="554"/>
      <c r="UWR11" s="554"/>
      <c r="UWS11" s="554"/>
      <c r="UWT11" s="554"/>
      <c r="UWU11" s="554"/>
      <c r="UWV11" s="554"/>
      <c r="UWW11" s="554"/>
      <c r="UWX11" s="554"/>
      <c r="UWY11" s="554"/>
      <c r="UWZ11" s="554"/>
      <c r="UXA11" s="554"/>
      <c r="UXB11" s="554"/>
      <c r="UXC11" s="554"/>
      <c r="UXD11" s="554"/>
      <c r="UXE11" s="554"/>
      <c r="UXF11" s="554"/>
      <c r="UXG11" s="554"/>
      <c r="UXH11" s="554"/>
      <c r="UXI11" s="554"/>
      <c r="UXJ11" s="554"/>
      <c r="UXK11" s="554"/>
      <c r="UXL11" s="554"/>
      <c r="UXM11" s="554"/>
      <c r="UXN11" s="554"/>
      <c r="UXO11" s="554"/>
      <c r="UXP11" s="554"/>
      <c r="UXQ11" s="554"/>
      <c r="UXR11" s="554"/>
      <c r="UXS11" s="554"/>
      <c r="UXT11" s="554"/>
      <c r="UXU11" s="554"/>
      <c r="UXV11" s="554"/>
      <c r="UXW11" s="554"/>
      <c r="UXX11" s="554"/>
      <c r="UXY11" s="554"/>
      <c r="UXZ11" s="554"/>
      <c r="UYA11" s="554"/>
      <c r="UYB11" s="554"/>
      <c r="UYC11" s="554"/>
      <c r="UYD11" s="554"/>
      <c r="UYE11" s="554"/>
      <c r="UYF11" s="554"/>
      <c r="UYG11" s="554"/>
      <c r="UYH11" s="554"/>
      <c r="UYI11" s="554"/>
      <c r="UYJ11" s="554"/>
      <c r="UYK11" s="554"/>
      <c r="UYL11" s="554"/>
      <c r="UYM11" s="554"/>
      <c r="UYN11" s="554"/>
      <c r="UYO11" s="554"/>
      <c r="UYP11" s="554"/>
      <c r="UYQ11" s="554"/>
      <c r="UYR11" s="554"/>
      <c r="UYS11" s="554"/>
      <c r="UYT11" s="554"/>
      <c r="UYU11" s="554"/>
      <c r="UYV11" s="554"/>
      <c r="UYW11" s="554"/>
      <c r="UYX11" s="554"/>
      <c r="UYY11" s="554"/>
      <c r="UYZ11" s="554"/>
      <c r="UZA11" s="554"/>
      <c r="UZB11" s="554"/>
      <c r="UZC11" s="554"/>
      <c r="UZD11" s="554"/>
      <c r="UZE11" s="554"/>
      <c r="UZF11" s="554"/>
      <c r="UZG11" s="554"/>
      <c r="UZH11" s="554"/>
      <c r="UZI11" s="554"/>
      <c r="UZJ11" s="554"/>
      <c r="UZK11" s="554"/>
      <c r="UZL11" s="554"/>
      <c r="UZM11" s="554"/>
      <c r="UZN11" s="554"/>
      <c r="UZO11" s="554"/>
      <c r="UZP11" s="554"/>
      <c r="UZQ11" s="554"/>
      <c r="UZR11" s="554"/>
      <c r="UZS11" s="554"/>
      <c r="UZT11" s="554"/>
      <c r="UZU11" s="554"/>
      <c r="UZV11" s="554"/>
      <c r="UZW11" s="554"/>
      <c r="UZX11" s="554"/>
      <c r="UZY11" s="554"/>
      <c r="UZZ11" s="554"/>
      <c r="VAA11" s="554"/>
      <c r="VAB11" s="554"/>
      <c r="VAC11" s="554"/>
      <c r="VAD11" s="554"/>
      <c r="VAE11" s="554"/>
      <c r="VAF11" s="554"/>
      <c r="VAG11" s="554"/>
      <c r="VAH11" s="554"/>
      <c r="VAI11" s="554"/>
      <c r="VAJ11" s="554"/>
      <c r="VAK11" s="554"/>
      <c r="VAL11" s="554"/>
      <c r="VAM11" s="554"/>
      <c r="VAN11" s="554"/>
      <c r="VAO11" s="554"/>
      <c r="VAP11" s="554"/>
      <c r="VAQ11" s="554"/>
      <c r="VAR11" s="554"/>
      <c r="VAS11" s="554"/>
      <c r="VAT11" s="554"/>
      <c r="VAU11" s="554"/>
      <c r="VAV11" s="554"/>
      <c r="VAW11" s="554"/>
      <c r="VAX11" s="554"/>
      <c r="VAY11" s="554"/>
      <c r="VAZ11" s="554"/>
      <c r="VBA11" s="554"/>
      <c r="VBB11" s="554"/>
      <c r="VBC11" s="554"/>
      <c r="VBD11" s="554"/>
      <c r="VBE11" s="554"/>
      <c r="VBF11" s="554"/>
      <c r="VBG11" s="554"/>
      <c r="VBH11" s="554"/>
      <c r="VBI11" s="554"/>
      <c r="VBJ11" s="554"/>
      <c r="VBK11" s="554"/>
      <c r="VBL11" s="554"/>
      <c r="VBM11" s="554"/>
      <c r="VBN11" s="554"/>
      <c r="VBO11" s="554"/>
      <c r="VBP11" s="554"/>
      <c r="VBQ11" s="554"/>
      <c r="VBR11" s="554"/>
      <c r="VBS11" s="554"/>
      <c r="VBT11" s="554"/>
      <c r="VBU11" s="554"/>
      <c r="VBV11" s="554"/>
      <c r="VBW11" s="554"/>
      <c r="VBX11" s="554"/>
      <c r="VBY11" s="554"/>
      <c r="VBZ11" s="554"/>
      <c r="VCA11" s="554"/>
      <c r="VCB11" s="554"/>
      <c r="VCC11" s="554"/>
      <c r="VCD11" s="554"/>
      <c r="VCE11" s="554"/>
      <c r="VCF11" s="554"/>
      <c r="VCG11" s="554"/>
      <c r="VCH11" s="554"/>
      <c r="VCI11" s="554"/>
      <c r="VCJ11" s="554"/>
      <c r="VCK11" s="554"/>
      <c r="VCL11" s="554"/>
      <c r="VCM11" s="554"/>
      <c r="VCN11" s="554"/>
      <c r="VCO11" s="554"/>
      <c r="VCP11" s="554"/>
      <c r="VCQ11" s="554"/>
      <c r="VCR11" s="554"/>
      <c r="VCS11" s="554"/>
      <c r="VCT11" s="554"/>
      <c r="VCU11" s="554"/>
      <c r="VCV11" s="554"/>
      <c r="VCW11" s="554"/>
      <c r="VCX11" s="554"/>
      <c r="VCY11" s="554"/>
      <c r="VCZ11" s="554"/>
      <c r="VDA11" s="554"/>
      <c r="VDB11" s="554"/>
      <c r="VDC11" s="554"/>
      <c r="VDD11" s="554"/>
      <c r="VDE11" s="554"/>
      <c r="VDF11" s="554"/>
      <c r="VDG11" s="554"/>
      <c r="VDH11" s="554"/>
      <c r="VDI11" s="554"/>
      <c r="VDJ11" s="554"/>
      <c r="VDK11" s="554"/>
      <c r="VDL11" s="554"/>
      <c r="VDM11" s="554"/>
      <c r="VDN11" s="554"/>
      <c r="VDO11" s="554"/>
      <c r="VDP11" s="554"/>
      <c r="VDQ11" s="554"/>
      <c r="VDR11" s="554"/>
      <c r="VDS11" s="554"/>
      <c r="VDT11" s="554"/>
      <c r="VDU11" s="554"/>
      <c r="VDV11" s="554"/>
      <c r="VDW11" s="554"/>
      <c r="VDX11" s="554"/>
      <c r="VDY11" s="554"/>
      <c r="VDZ11" s="554"/>
      <c r="VEA11" s="554"/>
      <c r="VEB11" s="554"/>
      <c r="VEC11" s="554"/>
      <c r="VED11" s="554"/>
      <c r="VEE11" s="554"/>
      <c r="VEF11" s="554"/>
      <c r="VEG11" s="554"/>
      <c r="VEH11" s="554"/>
      <c r="VEI11" s="554"/>
      <c r="VEJ11" s="554"/>
      <c r="VEK11" s="554"/>
      <c r="VEL11" s="554"/>
      <c r="VEM11" s="554"/>
      <c r="VEN11" s="554"/>
      <c r="VEO11" s="554"/>
      <c r="VEP11" s="554"/>
      <c r="VEQ11" s="554"/>
      <c r="VER11" s="554"/>
      <c r="VES11" s="554"/>
      <c r="VET11" s="554"/>
      <c r="VEU11" s="554"/>
      <c r="VEV11" s="554"/>
      <c r="VEW11" s="554"/>
      <c r="VEX11" s="554"/>
      <c r="VEY11" s="554"/>
      <c r="VEZ11" s="554"/>
      <c r="VFA11" s="554"/>
      <c r="VFB11" s="554"/>
      <c r="VFC11" s="554"/>
      <c r="VFD11" s="554"/>
      <c r="VFE11" s="554"/>
      <c r="VFF11" s="554"/>
      <c r="VFG11" s="554"/>
      <c r="VFH11" s="554"/>
      <c r="VFI11" s="554"/>
      <c r="VFJ11" s="554"/>
      <c r="VFK11" s="554"/>
      <c r="VFL11" s="554"/>
      <c r="VFM11" s="554"/>
      <c r="VFN11" s="554"/>
      <c r="VFO11" s="554"/>
      <c r="VFP11" s="554"/>
      <c r="VFQ11" s="554"/>
      <c r="VFR11" s="554"/>
      <c r="VFS11" s="554"/>
      <c r="VFT11" s="554"/>
      <c r="VFU11" s="554"/>
      <c r="VFV11" s="554"/>
      <c r="VFW11" s="554"/>
      <c r="VFX11" s="554"/>
      <c r="VFY11" s="554"/>
      <c r="VFZ11" s="554"/>
      <c r="VGA11" s="554"/>
      <c r="VGB11" s="554"/>
      <c r="VGC11" s="554"/>
      <c r="VGD11" s="554"/>
      <c r="VGE11" s="554"/>
      <c r="VGF11" s="554"/>
      <c r="VGG11" s="554"/>
      <c r="VGH11" s="554"/>
      <c r="VGI11" s="554"/>
      <c r="VGJ11" s="554"/>
      <c r="VGK11" s="554"/>
      <c r="VGL11" s="554"/>
      <c r="VGM11" s="554"/>
      <c r="VGN11" s="554"/>
      <c r="VGO11" s="554"/>
      <c r="VGP11" s="554"/>
      <c r="VGQ11" s="554"/>
      <c r="VGR11" s="554"/>
      <c r="VGS11" s="554"/>
      <c r="VGT11" s="554"/>
      <c r="VGU11" s="554"/>
      <c r="VGV11" s="554"/>
      <c r="VGW11" s="554"/>
      <c r="VGX11" s="554"/>
      <c r="VGY11" s="554"/>
      <c r="VGZ11" s="554"/>
      <c r="VHA11" s="554"/>
      <c r="VHB11" s="554"/>
      <c r="VHC11" s="554"/>
      <c r="VHD11" s="554"/>
      <c r="VHE11" s="554"/>
      <c r="VHF11" s="554"/>
      <c r="VHG11" s="554"/>
      <c r="VHH11" s="554"/>
      <c r="VHI11" s="554"/>
      <c r="VHJ11" s="554"/>
      <c r="VHK11" s="554"/>
      <c r="VHL11" s="554"/>
      <c r="VHM11" s="554"/>
      <c r="VHN11" s="554"/>
      <c r="VHO11" s="554"/>
      <c r="VHP11" s="554"/>
      <c r="VHQ11" s="554"/>
      <c r="VHR11" s="554"/>
      <c r="VHS11" s="554"/>
      <c r="VHT11" s="554"/>
      <c r="VHU11" s="554"/>
      <c r="VHV11" s="554"/>
      <c r="VHW11" s="554"/>
      <c r="VHX11" s="554"/>
      <c r="VHY11" s="554"/>
      <c r="VHZ11" s="554"/>
      <c r="VIA11" s="554"/>
      <c r="VIB11" s="554"/>
      <c r="VIC11" s="554"/>
      <c r="VID11" s="554"/>
      <c r="VIE11" s="554"/>
      <c r="VIF11" s="554"/>
      <c r="VIG11" s="554"/>
      <c r="VIH11" s="554"/>
      <c r="VII11" s="554"/>
      <c r="VIJ11" s="554"/>
      <c r="VIK11" s="554"/>
      <c r="VIL11" s="554"/>
      <c r="VIM11" s="554"/>
      <c r="VIN11" s="554"/>
      <c r="VIO11" s="554"/>
      <c r="VIP11" s="554"/>
      <c r="VIQ11" s="554"/>
      <c r="VIR11" s="554"/>
      <c r="VIS11" s="554"/>
      <c r="VIT11" s="554"/>
      <c r="VIU11" s="554"/>
      <c r="VIV11" s="554"/>
      <c r="VIW11" s="554"/>
      <c r="VIX11" s="554"/>
      <c r="VIY11" s="554"/>
      <c r="VIZ11" s="554"/>
      <c r="VJA11" s="554"/>
      <c r="VJB11" s="554"/>
      <c r="VJC11" s="554"/>
      <c r="VJD11" s="554"/>
      <c r="VJE11" s="554"/>
      <c r="VJF11" s="554"/>
      <c r="VJG11" s="554"/>
      <c r="VJH11" s="554"/>
      <c r="VJI11" s="554"/>
      <c r="VJJ11" s="554"/>
      <c r="VJK11" s="554"/>
      <c r="VJL11" s="554"/>
      <c r="VJM11" s="554"/>
      <c r="VJN11" s="554"/>
      <c r="VJO11" s="554"/>
      <c r="VJP11" s="554"/>
      <c r="VJQ11" s="554"/>
      <c r="VJR11" s="554"/>
      <c r="VJS11" s="554"/>
      <c r="VJT11" s="554"/>
      <c r="VJU11" s="554"/>
      <c r="VJV11" s="554"/>
      <c r="VJW11" s="554"/>
      <c r="VJX11" s="554"/>
      <c r="VJY11" s="554"/>
      <c r="VJZ11" s="554"/>
      <c r="VKA11" s="554"/>
      <c r="VKB11" s="554"/>
      <c r="VKC11" s="554"/>
      <c r="VKD11" s="554"/>
      <c r="VKE11" s="554"/>
      <c r="VKF11" s="554"/>
      <c r="VKG11" s="554"/>
      <c r="VKH11" s="554"/>
      <c r="VKI11" s="554"/>
      <c r="VKJ11" s="554"/>
      <c r="VKK11" s="554"/>
      <c r="VKL11" s="554"/>
      <c r="VKM11" s="554"/>
      <c r="VKN11" s="554"/>
      <c r="VKO11" s="554"/>
      <c r="VKP11" s="554"/>
      <c r="VKQ11" s="554"/>
      <c r="VKR11" s="554"/>
      <c r="VKS11" s="554"/>
      <c r="VKT11" s="554"/>
      <c r="VKU11" s="554"/>
      <c r="VKV11" s="554"/>
      <c r="VKW11" s="554"/>
      <c r="VKX11" s="554"/>
      <c r="VKY11" s="554"/>
      <c r="VKZ11" s="554"/>
      <c r="VLA11" s="554"/>
      <c r="VLB11" s="554"/>
      <c r="VLC11" s="554"/>
      <c r="VLD11" s="554"/>
      <c r="VLE11" s="554"/>
      <c r="VLF11" s="554"/>
      <c r="VLG11" s="554"/>
      <c r="VLH11" s="554"/>
      <c r="VLI11" s="554"/>
      <c r="VLJ11" s="554"/>
      <c r="VLK11" s="554"/>
      <c r="VLL11" s="554"/>
      <c r="VLM11" s="554"/>
      <c r="VLN11" s="554"/>
      <c r="VLO11" s="554"/>
      <c r="VLP11" s="554"/>
      <c r="VLQ11" s="554"/>
      <c r="VLR11" s="554"/>
      <c r="VLS11" s="554"/>
      <c r="VLT11" s="554"/>
      <c r="VLU11" s="554"/>
      <c r="VLV11" s="554"/>
      <c r="VLW11" s="554"/>
      <c r="VLX11" s="554"/>
      <c r="VLY11" s="554"/>
      <c r="VLZ11" s="554"/>
      <c r="VMA11" s="554"/>
      <c r="VMB11" s="554"/>
      <c r="VMC11" s="554"/>
      <c r="VMD11" s="554"/>
      <c r="VME11" s="554"/>
      <c r="VMF11" s="554"/>
      <c r="VMG11" s="554"/>
      <c r="VMH11" s="554"/>
      <c r="VMI11" s="554"/>
      <c r="VMJ11" s="554"/>
      <c r="VMK11" s="554"/>
      <c r="VML11" s="554"/>
      <c r="VMM11" s="554"/>
      <c r="VMN11" s="554"/>
      <c r="VMO11" s="554"/>
      <c r="VMP11" s="554"/>
      <c r="VMQ11" s="554"/>
      <c r="VMR11" s="554"/>
      <c r="VMS11" s="554"/>
      <c r="VMT11" s="554"/>
      <c r="VMU11" s="554"/>
      <c r="VMV11" s="554"/>
      <c r="VMW11" s="554"/>
      <c r="VMX11" s="554"/>
      <c r="VMY11" s="554"/>
      <c r="VMZ11" s="554"/>
      <c r="VNA11" s="554"/>
      <c r="VNB11" s="554"/>
      <c r="VNC11" s="554"/>
      <c r="VND11" s="554"/>
      <c r="VNE11" s="554"/>
      <c r="VNF11" s="554"/>
      <c r="VNG11" s="554"/>
      <c r="VNH11" s="554"/>
      <c r="VNI11" s="554"/>
      <c r="VNJ11" s="554"/>
      <c r="VNK11" s="554"/>
      <c r="VNL11" s="554"/>
      <c r="VNM11" s="554"/>
      <c r="VNN11" s="554"/>
      <c r="VNO11" s="554"/>
      <c r="VNP11" s="554"/>
      <c r="VNQ11" s="554"/>
      <c r="VNR11" s="554"/>
      <c r="VNS11" s="554"/>
      <c r="VNT11" s="554"/>
      <c r="VNU11" s="554"/>
      <c r="VNV11" s="554"/>
      <c r="VNW11" s="554"/>
      <c r="VNX11" s="554"/>
      <c r="VNY11" s="554"/>
      <c r="VNZ11" s="554"/>
      <c r="VOA11" s="554"/>
      <c r="VOB11" s="554"/>
      <c r="VOC11" s="554"/>
      <c r="VOD11" s="554"/>
      <c r="VOE11" s="554"/>
      <c r="VOF11" s="554"/>
      <c r="VOG11" s="554"/>
      <c r="VOH11" s="554"/>
      <c r="VOI11" s="554"/>
      <c r="VOJ11" s="554"/>
      <c r="VOK11" s="554"/>
      <c r="VOL11" s="554"/>
      <c r="VOM11" s="554"/>
      <c r="VON11" s="554"/>
      <c r="VOO11" s="554"/>
      <c r="VOP11" s="554"/>
      <c r="VOQ11" s="554"/>
      <c r="VOR11" s="554"/>
      <c r="VOS11" s="554"/>
      <c r="VOT11" s="554"/>
      <c r="VOU11" s="554"/>
      <c r="VOV11" s="554"/>
      <c r="VOW11" s="554"/>
      <c r="VOX11" s="554"/>
      <c r="VOY11" s="554"/>
      <c r="VOZ11" s="554"/>
      <c r="VPA11" s="554"/>
      <c r="VPB11" s="554"/>
      <c r="VPC11" s="554"/>
      <c r="VPD11" s="554"/>
      <c r="VPE11" s="554"/>
      <c r="VPF11" s="554"/>
      <c r="VPG11" s="554"/>
      <c r="VPH11" s="554"/>
      <c r="VPI11" s="554"/>
      <c r="VPJ11" s="554"/>
      <c r="VPK11" s="554"/>
      <c r="VPL11" s="554"/>
      <c r="VPM11" s="554"/>
      <c r="VPN11" s="554"/>
      <c r="VPO11" s="554"/>
      <c r="VPP11" s="554"/>
      <c r="VPQ11" s="554"/>
      <c r="VPR11" s="554"/>
      <c r="VPS11" s="554"/>
      <c r="VPT11" s="554"/>
      <c r="VPU11" s="554"/>
      <c r="VPV11" s="554"/>
      <c r="VPW11" s="554"/>
      <c r="VPX11" s="554"/>
      <c r="VPY11" s="554"/>
      <c r="VPZ11" s="554"/>
      <c r="VQA11" s="554"/>
      <c r="VQB11" s="554"/>
      <c r="VQC11" s="554"/>
      <c r="VQD11" s="554"/>
      <c r="VQE11" s="554"/>
      <c r="VQF11" s="554"/>
      <c r="VQG11" s="554"/>
      <c r="VQH11" s="554"/>
      <c r="VQI11" s="554"/>
      <c r="VQJ11" s="554"/>
      <c r="VQK11" s="554"/>
      <c r="VQL11" s="554"/>
      <c r="VQM11" s="554"/>
      <c r="VQN11" s="554"/>
      <c r="VQO11" s="554"/>
      <c r="VQP11" s="554"/>
      <c r="VQQ11" s="554"/>
      <c r="VQR11" s="554"/>
      <c r="VQS11" s="554"/>
      <c r="VQT11" s="554"/>
      <c r="VQU11" s="554"/>
      <c r="VQV11" s="554"/>
      <c r="VQW11" s="554"/>
      <c r="VQX11" s="554"/>
      <c r="VQY11" s="554"/>
      <c r="VQZ11" s="554"/>
      <c r="VRA11" s="554"/>
      <c r="VRB11" s="554"/>
      <c r="VRC11" s="554"/>
      <c r="VRD11" s="554"/>
      <c r="VRE11" s="554"/>
      <c r="VRF11" s="554"/>
      <c r="VRG11" s="554"/>
      <c r="VRH11" s="554"/>
      <c r="VRI11" s="554"/>
      <c r="VRJ11" s="554"/>
      <c r="VRK11" s="554"/>
      <c r="VRL11" s="554"/>
      <c r="VRM11" s="554"/>
      <c r="VRN11" s="554"/>
      <c r="VRO11" s="554"/>
      <c r="VRP11" s="554"/>
      <c r="VRQ11" s="554"/>
      <c r="VRR11" s="554"/>
      <c r="VRS11" s="554"/>
      <c r="VRT11" s="554"/>
      <c r="VRU11" s="554"/>
      <c r="VRV11" s="554"/>
      <c r="VRW11" s="554"/>
      <c r="VRX11" s="554"/>
      <c r="VRY11" s="554"/>
      <c r="VRZ11" s="554"/>
      <c r="VSA11" s="554"/>
      <c r="VSB11" s="554"/>
      <c r="VSC11" s="554"/>
      <c r="VSD11" s="554"/>
      <c r="VSE11" s="554"/>
      <c r="VSF11" s="554"/>
      <c r="VSG11" s="554"/>
      <c r="VSH11" s="554"/>
      <c r="VSI11" s="554"/>
      <c r="VSJ11" s="554"/>
      <c r="VSK11" s="554"/>
      <c r="VSL11" s="554"/>
      <c r="VSM11" s="554"/>
      <c r="VSN11" s="554"/>
      <c r="VSO11" s="554"/>
      <c r="VSP11" s="554"/>
      <c r="VSQ11" s="554"/>
      <c r="VSR11" s="554"/>
      <c r="VSS11" s="554"/>
      <c r="VST11" s="554"/>
      <c r="VSU11" s="554"/>
      <c r="VSV11" s="554"/>
      <c r="VSW11" s="554"/>
      <c r="VSX11" s="554"/>
      <c r="VSY11" s="554"/>
      <c r="VSZ11" s="554"/>
      <c r="VTA11" s="554"/>
      <c r="VTB11" s="554"/>
      <c r="VTC11" s="554"/>
      <c r="VTD11" s="554"/>
      <c r="VTE11" s="554"/>
      <c r="VTF11" s="554"/>
      <c r="VTG11" s="554"/>
      <c r="VTH11" s="554"/>
      <c r="VTI11" s="554"/>
      <c r="VTJ11" s="554"/>
      <c r="VTK11" s="554"/>
      <c r="VTL11" s="554"/>
      <c r="VTM11" s="554"/>
      <c r="VTN11" s="554"/>
      <c r="VTO11" s="554"/>
      <c r="VTP11" s="554"/>
      <c r="VTQ11" s="554"/>
      <c r="VTR11" s="554"/>
      <c r="VTS11" s="554"/>
      <c r="VTT11" s="554"/>
      <c r="VTU11" s="554"/>
      <c r="VTV11" s="554"/>
      <c r="VTW11" s="554"/>
      <c r="VTX11" s="554"/>
      <c r="VTY11" s="554"/>
      <c r="VTZ11" s="554"/>
      <c r="VUA11" s="554"/>
      <c r="VUB11" s="554"/>
      <c r="VUC11" s="554"/>
      <c r="VUD11" s="554"/>
      <c r="VUE11" s="554"/>
      <c r="VUF11" s="554"/>
      <c r="VUG11" s="554"/>
      <c r="VUH11" s="554"/>
      <c r="VUI11" s="554"/>
      <c r="VUJ11" s="554"/>
      <c r="VUK11" s="554"/>
      <c r="VUL11" s="554"/>
      <c r="VUM11" s="554"/>
      <c r="VUN11" s="554"/>
      <c r="VUO11" s="554"/>
      <c r="VUP11" s="554"/>
      <c r="VUQ11" s="554"/>
      <c r="VUR11" s="554"/>
      <c r="VUS11" s="554"/>
      <c r="VUT11" s="554"/>
      <c r="VUU11" s="554"/>
      <c r="VUV11" s="554"/>
      <c r="VUW11" s="554"/>
      <c r="VUX11" s="554"/>
      <c r="VUY11" s="554"/>
      <c r="VUZ11" s="554"/>
      <c r="VVA11" s="554"/>
      <c r="VVB11" s="554"/>
      <c r="VVC11" s="554"/>
      <c r="VVD11" s="554"/>
      <c r="VVE11" s="554"/>
      <c r="VVF11" s="554"/>
      <c r="VVG11" s="554"/>
      <c r="VVH11" s="554"/>
      <c r="VVI11" s="554"/>
      <c r="VVJ11" s="554"/>
      <c r="VVK11" s="554"/>
      <c r="VVL11" s="554"/>
      <c r="VVM11" s="554"/>
      <c r="VVN11" s="554"/>
      <c r="VVO11" s="554"/>
      <c r="VVP11" s="554"/>
      <c r="VVQ11" s="554"/>
      <c r="VVR11" s="554"/>
      <c r="VVS11" s="554"/>
      <c r="VVT11" s="554"/>
      <c r="VVU11" s="554"/>
      <c r="VVV11" s="554"/>
      <c r="VVW11" s="554"/>
      <c r="VVX11" s="554"/>
      <c r="VVY11" s="554"/>
      <c r="VVZ11" s="554"/>
      <c r="VWA11" s="554"/>
      <c r="VWB11" s="554"/>
      <c r="VWC11" s="554"/>
      <c r="VWD11" s="554"/>
      <c r="VWE11" s="554"/>
      <c r="VWF11" s="554"/>
      <c r="VWG11" s="554"/>
      <c r="VWH11" s="554"/>
      <c r="VWI11" s="554"/>
      <c r="VWJ11" s="554"/>
      <c r="VWK11" s="554"/>
      <c r="VWL11" s="554"/>
      <c r="VWM11" s="554"/>
      <c r="VWN11" s="554"/>
      <c r="VWO11" s="554"/>
      <c r="VWP11" s="554"/>
      <c r="VWQ11" s="554"/>
      <c r="VWR11" s="554"/>
      <c r="VWS11" s="554"/>
      <c r="VWT11" s="554"/>
      <c r="VWU11" s="554"/>
      <c r="VWV11" s="554"/>
      <c r="VWW11" s="554"/>
      <c r="VWX11" s="554"/>
      <c r="VWY11" s="554"/>
      <c r="VWZ11" s="554"/>
      <c r="VXA11" s="554"/>
      <c r="VXB11" s="554"/>
      <c r="VXC11" s="554"/>
      <c r="VXD11" s="554"/>
      <c r="VXE11" s="554"/>
      <c r="VXF11" s="554"/>
      <c r="VXG11" s="554"/>
      <c r="VXH11" s="554"/>
      <c r="VXI11" s="554"/>
      <c r="VXJ11" s="554"/>
      <c r="VXK11" s="554"/>
      <c r="VXL11" s="554"/>
      <c r="VXM11" s="554"/>
      <c r="VXN11" s="554"/>
      <c r="VXO11" s="554"/>
      <c r="VXP11" s="554"/>
      <c r="VXQ11" s="554"/>
      <c r="VXR11" s="554"/>
      <c r="VXS11" s="554"/>
      <c r="VXT11" s="554"/>
      <c r="VXU11" s="554"/>
      <c r="VXV11" s="554"/>
      <c r="VXW11" s="554"/>
      <c r="VXX11" s="554"/>
      <c r="VXY11" s="554"/>
      <c r="VXZ11" s="554"/>
      <c r="VYA11" s="554"/>
      <c r="VYB11" s="554"/>
      <c r="VYC11" s="554"/>
      <c r="VYD11" s="554"/>
      <c r="VYE11" s="554"/>
      <c r="VYF11" s="554"/>
      <c r="VYG11" s="554"/>
      <c r="VYH11" s="554"/>
      <c r="VYI11" s="554"/>
      <c r="VYJ11" s="554"/>
      <c r="VYK11" s="554"/>
      <c r="VYL11" s="554"/>
      <c r="VYM11" s="554"/>
      <c r="VYN11" s="554"/>
      <c r="VYO11" s="554"/>
      <c r="VYP11" s="554"/>
      <c r="VYQ11" s="554"/>
      <c r="VYR11" s="554"/>
      <c r="VYS11" s="554"/>
      <c r="VYT11" s="554"/>
      <c r="VYU11" s="554"/>
      <c r="VYV11" s="554"/>
      <c r="VYW11" s="554"/>
      <c r="VYX11" s="554"/>
      <c r="VYY11" s="554"/>
      <c r="VYZ11" s="554"/>
      <c r="VZA11" s="554"/>
      <c r="VZB11" s="554"/>
      <c r="VZC11" s="554"/>
      <c r="VZD11" s="554"/>
      <c r="VZE11" s="554"/>
      <c r="VZF11" s="554"/>
      <c r="VZG11" s="554"/>
      <c r="VZH11" s="554"/>
      <c r="VZI11" s="554"/>
      <c r="VZJ11" s="554"/>
      <c r="VZK11" s="554"/>
      <c r="VZL11" s="554"/>
      <c r="VZM11" s="554"/>
      <c r="VZN11" s="554"/>
      <c r="VZO11" s="554"/>
      <c r="VZP11" s="554"/>
      <c r="VZQ11" s="554"/>
      <c r="VZR11" s="554"/>
      <c r="VZS11" s="554"/>
      <c r="VZT11" s="554"/>
      <c r="VZU11" s="554"/>
      <c r="VZV11" s="554"/>
      <c r="VZW11" s="554"/>
      <c r="VZX11" s="554"/>
      <c r="VZY11" s="554"/>
      <c r="VZZ11" s="554"/>
      <c r="WAA11" s="554"/>
      <c r="WAB11" s="554"/>
      <c r="WAC11" s="554"/>
      <c r="WAD11" s="554"/>
      <c r="WAE11" s="554"/>
      <c r="WAF11" s="554"/>
      <c r="WAG11" s="554"/>
      <c r="WAH11" s="554"/>
      <c r="WAI11" s="554"/>
      <c r="WAJ11" s="554"/>
      <c r="WAK11" s="554"/>
      <c r="WAL11" s="554"/>
      <c r="WAM11" s="554"/>
      <c r="WAN11" s="554"/>
      <c r="WAO11" s="554"/>
      <c r="WAP11" s="554"/>
      <c r="WAQ11" s="554"/>
      <c r="WAR11" s="554"/>
      <c r="WAS11" s="554"/>
      <c r="WAT11" s="554"/>
      <c r="WAU11" s="554"/>
      <c r="WAV11" s="554"/>
      <c r="WAW11" s="554"/>
      <c r="WAX11" s="554"/>
      <c r="WAY11" s="554"/>
      <c r="WAZ11" s="554"/>
      <c r="WBA11" s="554"/>
      <c r="WBB11" s="554"/>
      <c r="WBC11" s="554"/>
      <c r="WBD11" s="554"/>
      <c r="WBE11" s="554"/>
      <c r="WBF11" s="554"/>
      <c r="WBG11" s="554"/>
      <c r="WBH11" s="554"/>
      <c r="WBI11" s="554"/>
      <c r="WBJ11" s="554"/>
      <c r="WBK11" s="554"/>
      <c r="WBL11" s="554"/>
      <c r="WBM11" s="554"/>
      <c r="WBN11" s="554"/>
      <c r="WBO11" s="554"/>
      <c r="WBP11" s="554"/>
      <c r="WBQ11" s="554"/>
      <c r="WBR11" s="554"/>
      <c r="WBS11" s="554"/>
      <c r="WBT11" s="554"/>
      <c r="WBU11" s="554"/>
      <c r="WBV11" s="554"/>
      <c r="WBW11" s="554"/>
      <c r="WBX11" s="554"/>
      <c r="WBY11" s="554"/>
      <c r="WBZ11" s="554"/>
      <c r="WCA11" s="554"/>
      <c r="WCB11" s="554"/>
      <c r="WCC11" s="554"/>
      <c r="WCD11" s="554"/>
      <c r="WCE11" s="554"/>
      <c r="WCF11" s="554"/>
      <c r="WCG11" s="554"/>
      <c r="WCH11" s="554"/>
      <c r="WCI11" s="554"/>
      <c r="WCJ11" s="554"/>
      <c r="WCK11" s="554"/>
      <c r="WCL11" s="554"/>
      <c r="WCM11" s="554"/>
      <c r="WCN11" s="554"/>
      <c r="WCO11" s="554"/>
      <c r="WCP11" s="554"/>
      <c r="WCQ11" s="554"/>
      <c r="WCR11" s="554"/>
      <c r="WCS11" s="554"/>
      <c r="WCT11" s="554"/>
      <c r="WCU11" s="554"/>
      <c r="WCV11" s="554"/>
      <c r="WCW11" s="554"/>
      <c r="WCX11" s="554"/>
      <c r="WCY11" s="554"/>
      <c r="WCZ11" s="554"/>
      <c r="WDA11" s="554"/>
      <c r="WDB11" s="554"/>
      <c r="WDC11" s="554"/>
      <c r="WDD11" s="554"/>
      <c r="WDE11" s="554"/>
      <c r="WDF11" s="554"/>
      <c r="WDG11" s="554"/>
      <c r="WDH11" s="554"/>
      <c r="WDI11" s="554"/>
      <c r="WDJ11" s="554"/>
      <c r="WDK11" s="554"/>
      <c r="WDL11" s="554"/>
      <c r="WDM11" s="554"/>
      <c r="WDN11" s="554"/>
      <c r="WDO11" s="554"/>
      <c r="WDP11" s="554"/>
      <c r="WDQ11" s="554"/>
      <c r="WDR11" s="554"/>
      <c r="WDS11" s="554"/>
      <c r="WDT11" s="554"/>
      <c r="WDU11" s="554"/>
      <c r="WDV11" s="554"/>
      <c r="WDW11" s="554"/>
      <c r="WDX11" s="554"/>
      <c r="WDY11" s="554"/>
      <c r="WDZ11" s="554"/>
      <c r="WEA11" s="554"/>
      <c r="WEB11" s="554"/>
      <c r="WEC11" s="554"/>
      <c r="WED11" s="554"/>
      <c r="WEE11" s="554"/>
      <c r="WEF11" s="554"/>
      <c r="WEG11" s="554"/>
      <c r="WEH11" s="554"/>
      <c r="WEI11" s="554"/>
      <c r="WEJ11" s="554"/>
      <c r="WEK11" s="554"/>
      <c r="WEL11" s="554"/>
      <c r="WEM11" s="554"/>
      <c r="WEN11" s="554"/>
      <c r="WEO11" s="554"/>
      <c r="WEP11" s="554"/>
      <c r="WEQ11" s="554"/>
      <c r="WER11" s="554"/>
      <c r="WES11" s="554"/>
      <c r="WET11" s="554"/>
      <c r="WEU11" s="554"/>
      <c r="WEV11" s="554"/>
      <c r="WEW11" s="554"/>
      <c r="WEX11" s="554"/>
      <c r="WEY11" s="554"/>
      <c r="WEZ11" s="554"/>
      <c r="WFA11" s="554"/>
      <c r="WFB11" s="554"/>
      <c r="WFC11" s="554"/>
      <c r="WFD11" s="554"/>
      <c r="WFE11" s="554"/>
      <c r="WFF11" s="554"/>
      <c r="WFG11" s="554"/>
      <c r="WFH11" s="554"/>
      <c r="WFI11" s="554"/>
      <c r="WFJ11" s="554"/>
      <c r="WFK11" s="554"/>
      <c r="WFL11" s="554"/>
      <c r="WFM11" s="554"/>
      <c r="WFN11" s="554"/>
      <c r="WFO11" s="554"/>
      <c r="WFP11" s="554"/>
      <c r="WFQ11" s="554"/>
      <c r="WFR11" s="554"/>
      <c r="WFS11" s="554"/>
      <c r="WFT11" s="554"/>
      <c r="WFU11" s="554"/>
      <c r="WFV11" s="554"/>
      <c r="WFW11" s="554"/>
      <c r="WFX11" s="554"/>
      <c r="WFY11" s="554"/>
      <c r="WFZ11" s="554"/>
      <c r="WGA11" s="554"/>
      <c r="WGB11" s="554"/>
      <c r="WGC11" s="554"/>
      <c r="WGD11" s="554"/>
      <c r="WGE11" s="554"/>
      <c r="WGF11" s="554"/>
      <c r="WGG11" s="554"/>
      <c r="WGH11" s="554"/>
      <c r="WGI11" s="554"/>
      <c r="WGJ11" s="554"/>
      <c r="WGK11" s="554"/>
      <c r="WGL11" s="554"/>
      <c r="WGM11" s="554"/>
      <c r="WGN11" s="554"/>
      <c r="WGO11" s="554"/>
      <c r="WGP11" s="554"/>
      <c r="WGQ11" s="554"/>
      <c r="WGR11" s="554"/>
      <c r="WGS11" s="554"/>
      <c r="WGT11" s="554"/>
      <c r="WGU11" s="554"/>
      <c r="WGV11" s="554"/>
      <c r="WGW11" s="554"/>
      <c r="WGX11" s="554"/>
      <c r="WGY11" s="554"/>
      <c r="WGZ11" s="554"/>
      <c r="WHA11" s="554"/>
      <c r="WHB11" s="554"/>
      <c r="WHC11" s="554"/>
      <c r="WHD11" s="554"/>
      <c r="WHE11" s="554"/>
      <c r="WHF11" s="554"/>
      <c r="WHG11" s="554"/>
      <c r="WHH11" s="554"/>
      <c r="WHI11" s="554"/>
      <c r="WHJ11" s="554"/>
      <c r="WHK11" s="554"/>
      <c r="WHL11" s="554"/>
      <c r="WHM11" s="554"/>
      <c r="WHN11" s="554"/>
      <c r="WHO11" s="554"/>
      <c r="WHP11" s="554"/>
      <c r="WHQ11" s="554"/>
      <c r="WHR11" s="554"/>
      <c r="WHS11" s="554"/>
      <c r="WHT11" s="554"/>
      <c r="WHU11" s="554"/>
      <c r="WHV11" s="554"/>
      <c r="WHW11" s="554"/>
      <c r="WHX11" s="554"/>
      <c r="WHY11" s="554"/>
      <c r="WHZ11" s="554"/>
      <c r="WIA11" s="554"/>
      <c r="WIB11" s="554"/>
      <c r="WIC11" s="554"/>
      <c r="WID11" s="554"/>
      <c r="WIE11" s="554"/>
      <c r="WIF11" s="554"/>
      <c r="WIG11" s="554"/>
      <c r="WIH11" s="554"/>
      <c r="WII11" s="554"/>
      <c r="WIJ11" s="554"/>
      <c r="WIK11" s="554"/>
      <c r="WIL11" s="554"/>
      <c r="WIM11" s="554"/>
      <c r="WIN11" s="554"/>
      <c r="WIO11" s="554"/>
      <c r="WIP11" s="554"/>
      <c r="WIQ11" s="554"/>
      <c r="WIR11" s="554"/>
      <c r="WIS11" s="554"/>
      <c r="WIT11" s="554"/>
      <c r="WIU11" s="554"/>
      <c r="WIV11" s="554"/>
      <c r="WIW11" s="554"/>
      <c r="WIX11" s="554"/>
      <c r="WIY11" s="554"/>
      <c r="WIZ11" s="554"/>
      <c r="WJA11" s="554"/>
      <c r="WJB11" s="554"/>
      <c r="WJC11" s="554"/>
      <c r="WJD11" s="554"/>
      <c r="WJE11" s="554"/>
      <c r="WJF11" s="554"/>
      <c r="WJG11" s="554"/>
      <c r="WJH11" s="554"/>
      <c r="WJI11" s="554"/>
      <c r="WJJ11" s="554"/>
      <c r="WJK11" s="554"/>
      <c r="WJL11" s="554"/>
      <c r="WJM11" s="554"/>
      <c r="WJN11" s="554"/>
      <c r="WJO11" s="554"/>
      <c r="WJP11" s="554"/>
      <c r="WJQ11" s="554"/>
      <c r="WJR11" s="554"/>
      <c r="WJS11" s="554"/>
      <c r="WJT11" s="554"/>
      <c r="WJU11" s="554"/>
      <c r="WJV11" s="554"/>
      <c r="WJW11" s="554"/>
      <c r="WJX11" s="554"/>
      <c r="WJY11" s="554"/>
      <c r="WJZ11" s="554"/>
      <c r="WKA11" s="554"/>
      <c r="WKB11" s="554"/>
      <c r="WKC11" s="554"/>
      <c r="WKD11" s="554"/>
      <c r="WKE11" s="554"/>
      <c r="WKF11" s="554"/>
      <c r="WKG11" s="554"/>
      <c r="WKH11" s="554"/>
      <c r="WKI11" s="554"/>
      <c r="WKJ11" s="554"/>
      <c r="WKK11" s="554"/>
      <c r="WKL11" s="554"/>
      <c r="WKM11" s="554"/>
      <c r="WKN11" s="554"/>
      <c r="WKO11" s="554"/>
      <c r="WKP11" s="554"/>
      <c r="WKQ11" s="554"/>
      <c r="WKR11" s="554"/>
      <c r="WKS11" s="554"/>
      <c r="WKT11" s="554"/>
      <c r="WKU11" s="554"/>
      <c r="WKV11" s="554"/>
      <c r="WKW11" s="554"/>
      <c r="WKX11" s="554"/>
      <c r="WKY11" s="554"/>
      <c r="WKZ11" s="554"/>
      <c r="WLA11" s="554"/>
      <c r="WLB11" s="554"/>
      <c r="WLC11" s="554"/>
      <c r="WLD11" s="554"/>
      <c r="WLE11" s="554"/>
      <c r="WLF11" s="554"/>
      <c r="WLG11" s="554"/>
      <c r="WLH11" s="554"/>
      <c r="WLI11" s="554"/>
      <c r="WLJ11" s="554"/>
      <c r="WLK11" s="554"/>
      <c r="WLL11" s="554"/>
      <c r="WLM11" s="554"/>
      <c r="WLN11" s="554"/>
      <c r="WLO11" s="554"/>
      <c r="WLP11" s="554"/>
      <c r="WLQ11" s="554"/>
      <c r="WLR11" s="554"/>
      <c r="WLS11" s="554"/>
      <c r="WLT11" s="554"/>
      <c r="WLU11" s="554"/>
      <c r="WLV11" s="554"/>
      <c r="WLW11" s="554"/>
      <c r="WLX11" s="554"/>
      <c r="WLY11" s="554"/>
      <c r="WLZ11" s="554"/>
      <c r="WMA11" s="554"/>
      <c r="WMB11" s="554"/>
      <c r="WMC11" s="554"/>
      <c r="WMD11" s="554"/>
      <c r="WME11" s="554"/>
      <c r="WMF11" s="554"/>
      <c r="WMG11" s="554"/>
      <c r="WMH11" s="554"/>
      <c r="WMI11" s="554"/>
      <c r="WMJ11" s="554"/>
      <c r="WMK11" s="554"/>
      <c r="WML11" s="554"/>
      <c r="WMM11" s="554"/>
      <c r="WMN11" s="554"/>
      <c r="WMO11" s="554"/>
      <c r="WMP11" s="554"/>
      <c r="WMQ11" s="554"/>
      <c r="WMR11" s="554"/>
      <c r="WMS11" s="554"/>
      <c r="WMT11" s="554"/>
      <c r="WMU11" s="554"/>
      <c r="WMV11" s="554"/>
      <c r="WMW11" s="554"/>
      <c r="WMX11" s="554"/>
      <c r="WMY11" s="554"/>
      <c r="WMZ11" s="554"/>
      <c r="WNA11" s="554"/>
      <c r="WNB11" s="554"/>
      <c r="WNC11" s="554"/>
      <c r="WND11" s="554"/>
      <c r="WNE11" s="554"/>
      <c r="WNF11" s="554"/>
      <c r="WNG11" s="554"/>
      <c r="WNH11" s="554"/>
      <c r="WNI11" s="554"/>
      <c r="WNJ11" s="554"/>
      <c r="WNK11" s="554"/>
      <c r="WNL11" s="554"/>
      <c r="WNM11" s="554"/>
      <c r="WNN11" s="554"/>
      <c r="WNO11" s="554"/>
      <c r="WNP11" s="554"/>
      <c r="WNQ11" s="554"/>
      <c r="WNR11" s="554"/>
      <c r="WNS11" s="554"/>
      <c r="WNT11" s="554"/>
      <c r="WNU11" s="554"/>
      <c r="WNV11" s="554"/>
      <c r="WNW11" s="554"/>
      <c r="WNX11" s="554"/>
      <c r="WNY11" s="554"/>
      <c r="WNZ11" s="554"/>
      <c r="WOA11" s="554"/>
      <c r="WOB11" s="554"/>
      <c r="WOC11" s="554"/>
      <c r="WOD11" s="554"/>
      <c r="WOE11" s="554"/>
      <c r="WOF11" s="554"/>
      <c r="WOG11" s="554"/>
      <c r="WOH11" s="554"/>
      <c r="WOI11" s="554"/>
      <c r="WOJ11" s="554"/>
      <c r="WOK11" s="554"/>
      <c r="WOL11" s="554"/>
      <c r="WOM11" s="554"/>
      <c r="WON11" s="554"/>
      <c r="WOO11" s="554"/>
      <c r="WOP11" s="554"/>
      <c r="WOQ11" s="554"/>
      <c r="WOR11" s="554"/>
      <c r="WOS11" s="554"/>
      <c r="WOT11" s="554"/>
      <c r="WOU11" s="554"/>
      <c r="WOV11" s="554"/>
      <c r="WOW11" s="554"/>
      <c r="WOX11" s="554"/>
      <c r="WOY11" s="554"/>
      <c r="WOZ11" s="554"/>
      <c r="WPA11" s="554"/>
      <c r="WPB11" s="554"/>
      <c r="WPC11" s="554"/>
      <c r="WPD11" s="554"/>
      <c r="WPE11" s="554"/>
      <c r="WPF11" s="554"/>
      <c r="WPG11" s="554"/>
      <c r="WPH11" s="554"/>
      <c r="WPI11" s="554"/>
      <c r="WPJ11" s="554"/>
      <c r="WPK11" s="554"/>
      <c r="WPL11" s="554"/>
      <c r="WPM11" s="554"/>
      <c r="WPN11" s="554"/>
      <c r="WPO11" s="554"/>
      <c r="WPP11" s="554"/>
      <c r="WPQ11" s="554"/>
      <c r="WPR11" s="554"/>
      <c r="WPS11" s="554"/>
      <c r="WPT11" s="554"/>
      <c r="WPU11" s="554"/>
      <c r="WPV11" s="554"/>
      <c r="WPW11" s="554"/>
      <c r="WPX11" s="554"/>
      <c r="WPY11" s="554"/>
      <c r="WPZ11" s="554"/>
      <c r="WQA11" s="554"/>
      <c r="WQB11" s="554"/>
      <c r="WQC11" s="554"/>
      <c r="WQD11" s="554"/>
      <c r="WQE11" s="554"/>
      <c r="WQF11" s="554"/>
      <c r="WQG11" s="554"/>
      <c r="WQH11" s="554"/>
      <c r="WQI11" s="554"/>
      <c r="WQJ11" s="554"/>
      <c r="WQK11" s="554"/>
      <c r="WQL11" s="554"/>
      <c r="WQM11" s="554"/>
      <c r="WQN11" s="554"/>
      <c r="WQO11" s="554"/>
      <c r="WQP11" s="554"/>
      <c r="WQQ11" s="554"/>
      <c r="WQR11" s="554"/>
      <c r="WQS11" s="554"/>
      <c r="WQT11" s="554"/>
      <c r="WQU11" s="554"/>
      <c r="WQV11" s="554"/>
      <c r="WQW11" s="554"/>
      <c r="WQX11" s="554"/>
      <c r="WQY11" s="554"/>
      <c r="WQZ11" s="554"/>
      <c r="WRA11" s="554"/>
      <c r="WRB11" s="554"/>
      <c r="WRC11" s="554"/>
      <c r="WRD11" s="554"/>
      <c r="WRE11" s="554"/>
      <c r="WRF11" s="554"/>
      <c r="WRG11" s="554"/>
      <c r="WRH11" s="554"/>
      <c r="WRI11" s="554"/>
      <c r="WRJ11" s="554"/>
      <c r="WRK11" s="554"/>
      <c r="WRL11" s="554"/>
      <c r="WRM11" s="554"/>
      <c r="WRN11" s="554"/>
      <c r="WRO11" s="554"/>
      <c r="WRP11" s="554"/>
      <c r="WRQ11" s="554"/>
      <c r="WRR11" s="554"/>
      <c r="WRS11" s="554"/>
      <c r="WRT11" s="554"/>
      <c r="WRU11" s="554"/>
      <c r="WRV11" s="554"/>
      <c r="WRW11" s="554"/>
      <c r="WRX11" s="554"/>
      <c r="WRY11" s="554"/>
      <c r="WRZ11" s="554"/>
      <c r="WSA11" s="554"/>
      <c r="WSB11" s="554"/>
      <c r="WSC11" s="554"/>
      <c r="WSD11" s="554"/>
      <c r="WSE11" s="554"/>
      <c r="WSF11" s="554"/>
      <c r="WSG11" s="554"/>
      <c r="WSH11" s="554"/>
      <c r="WSI11" s="554"/>
      <c r="WSJ11" s="554"/>
      <c r="WSK11" s="554"/>
      <c r="WSL11" s="554"/>
      <c r="WSM11" s="554"/>
      <c r="WSN11" s="554"/>
      <c r="WSO11" s="554"/>
      <c r="WSP11" s="554"/>
      <c r="WSQ11" s="554"/>
      <c r="WSR11" s="554"/>
      <c r="WSS11" s="554"/>
      <c r="WST11" s="554"/>
      <c r="WSU11" s="554"/>
      <c r="WSV11" s="554"/>
      <c r="WSW11" s="554"/>
      <c r="WSX11" s="554"/>
      <c r="WSY11" s="554"/>
      <c r="WSZ11" s="554"/>
      <c r="WTA11" s="554"/>
      <c r="WTB11" s="554"/>
      <c r="WTC11" s="554"/>
      <c r="WTD11" s="554"/>
      <c r="WTE11" s="554"/>
      <c r="WTF11" s="554"/>
      <c r="WTG11" s="554"/>
      <c r="WTH11" s="554"/>
      <c r="WTI11" s="554"/>
      <c r="WTJ11" s="554"/>
      <c r="WTK11" s="554"/>
      <c r="WTL11" s="554"/>
      <c r="WTM11" s="554"/>
      <c r="WTN11" s="554"/>
      <c r="WTO11" s="554"/>
      <c r="WTP11" s="554"/>
      <c r="WTQ11" s="554"/>
      <c r="WTR11" s="554"/>
      <c r="WTS11" s="554"/>
      <c r="WTT11" s="554"/>
      <c r="WTU11" s="554"/>
      <c r="WTV11" s="554"/>
      <c r="WTW11" s="554"/>
      <c r="WTX11" s="554"/>
      <c r="WTY11" s="554"/>
      <c r="WTZ11" s="554"/>
      <c r="WUA11" s="554"/>
      <c r="WUB11" s="554"/>
      <c r="WUC11" s="554"/>
      <c r="WUD11" s="554"/>
      <c r="WUE11" s="554"/>
      <c r="WUF11" s="554"/>
      <c r="WUG11" s="554"/>
      <c r="WUH11" s="554"/>
      <c r="WUI11" s="554"/>
      <c r="WUJ11" s="554"/>
      <c r="WUK11" s="554"/>
      <c r="WUL11" s="554"/>
      <c r="WUM11" s="554"/>
      <c r="WUN11" s="554"/>
      <c r="WUO11" s="554"/>
      <c r="WUP11" s="554"/>
      <c r="WUQ11" s="554"/>
      <c r="WUR11" s="554"/>
      <c r="WUS11" s="554"/>
      <c r="WUT11" s="554"/>
      <c r="WUU11" s="554"/>
      <c r="WUV11" s="554"/>
      <c r="WUW11" s="554"/>
      <c r="WUX11" s="554"/>
      <c r="WUY11" s="554"/>
      <c r="WUZ11" s="554"/>
      <c r="WVA11" s="554"/>
      <c r="WVB11" s="554"/>
      <c r="WVC11" s="554"/>
      <c r="WVD11" s="554"/>
      <c r="WVE11" s="554"/>
      <c r="WVF11" s="554"/>
      <c r="WVG11" s="554"/>
      <c r="WVH11" s="554"/>
      <c r="WVI11" s="554"/>
      <c r="WVJ11" s="554"/>
      <c r="WVK11" s="554"/>
      <c r="WVL11" s="554"/>
      <c r="WVM11" s="554"/>
      <c r="WVN11" s="554"/>
      <c r="WVO11" s="554"/>
      <c r="WVP11" s="554"/>
      <c r="WVQ11" s="554"/>
      <c r="WVR11" s="554"/>
      <c r="WVS11" s="554"/>
      <c r="WVT11" s="554"/>
      <c r="WVU11" s="554"/>
      <c r="WVV11" s="554"/>
      <c r="WVW11" s="554"/>
      <c r="WVX11" s="554"/>
      <c r="WVY11" s="554"/>
      <c r="WVZ11" s="554"/>
      <c r="WWA11" s="554"/>
      <c r="WWB11" s="554"/>
      <c r="WWC11" s="554"/>
      <c r="WWD11" s="554"/>
      <c r="WWE11" s="554"/>
      <c r="WWF11" s="554"/>
      <c r="WWG11" s="554"/>
      <c r="WWH11" s="554"/>
      <c r="WWI11" s="554"/>
      <c r="WWJ11" s="554"/>
      <c r="WWK11" s="554"/>
      <c r="WWL11" s="554"/>
      <c r="WWM11" s="554"/>
      <c r="WWN11" s="554"/>
      <c r="WWO11" s="554"/>
      <c r="WWP11" s="554"/>
      <c r="WWQ11" s="554"/>
      <c r="WWR11" s="554"/>
      <c r="WWS11" s="554"/>
      <c r="WWT11" s="554"/>
      <c r="WWU11" s="554"/>
      <c r="WWV11" s="554"/>
      <c r="WWW11" s="554"/>
      <c r="WWX11" s="554"/>
      <c r="WWY11" s="554"/>
      <c r="WWZ11" s="554"/>
      <c r="WXA11" s="554"/>
      <c r="WXB11" s="554"/>
      <c r="WXC11" s="554"/>
      <c r="WXD11" s="554"/>
      <c r="WXE11" s="554"/>
      <c r="WXF11" s="554"/>
      <c r="WXG11" s="554"/>
      <c r="WXH11" s="554"/>
      <c r="WXI11" s="554"/>
      <c r="WXJ11" s="554"/>
      <c r="WXK11" s="554"/>
      <c r="WXL11" s="554"/>
      <c r="WXM11" s="554"/>
      <c r="WXN11" s="554"/>
      <c r="WXO11" s="554"/>
      <c r="WXP11" s="554"/>
      <c r="WXQ11" s="554"/>
      <c r="WXR11" s="554"/>
      <c r="WXS11" s="554"/>
      <c r="WXT11" s="554"/>
      <c r="WXU11" s="554"/>
      <c r="WXV11" s="554"/>
      <c r="WXW11" s="554"/>
      <c r="WXX11" s="554"/>
      <c r="WXY11" s="554"/>
      <c r="WXZ11" s="554"/>
      <c r="WYA11" s="554"/>
      <c r="WYB11" s="554"/>
      <c r="WYC11" s="554"/>
      <c r="WYD11" s="554"/>
      <c r="WYE11" s="554"/>
      <c r="WYF11" s="554"/>
      <c r="WYG11" s="554"/>
      <c r="WYH11" s="554"/>
      <c r="WYI11" s="554"/>
      <c r="WYJ11" s="554"/>
      <c r="WYK11" s="554"/>
      <c r="WYL11" s="554"/>
      <c r="WYM11" s="554"/>
      <c r="WYN11" s="554"/>
      <c r="WYO11" s="554"/>
      <c r="WYP11" s="554"/>
      <c r="WYQ11" s="554"/>
      <c r="WYR11" s="554"/>
      <c r="WYS11" s="554"/>
      <c r="WYT11" s="554"/>
      <c r="WYU11" s="554"/>
      <c r="WYV11" s="554"/>
      <c r="WYW11" s="554"/>
      <c r="WYX11" s="554"/>
      <c r="WYY11" s="554"/>
      <c r="WYZ11" s="554"/>
      <c r="WZA11" s="554"/>
      <c r="WZB11" s="554"/>
      <c r="WZC11" s="554"/>
      <c r="WZD11" s="554"/>
      <c r="WZE11" s="554"/>
      <c r="WZF11" s="554"/>
      <c r="WZG11" s="554"/>
      <c r="WZH11" s="554"/>
      <c r="WZI11" s="554"/>
      <c r="WZJ11" s="554"/>
      <c r="WZK11" s="554"/>
      <c r="WZL11" s="554"/>
      <c r="WZM11" s="554"/>
      <c r="WZN11" s="554"/>
      <c r="WZO11" s="554"/>
      <c r="WZP11" s="554"/>
      <c r="WZQ11" s="554"/>
      <c r="WZR11" s="554"/>
      <c r="WZS11" s="554"/>
      <c r="WZT11" s="554"/>
      <c r="WZU11" s="554"/>
      <c r="WZV11" s="554"/>
      <c r="WZW11" s="554"/>
      <c r="WZX11" s="554"/>
      <c r="WZY11" s="554"/>
      <c r="WZZ11" s="554"/>
      <c r="XAA11" s="554"/>
      <c r="XAB11" s="554"/>
      <c r="XAC11" s="554"/>
      <c r="XAD11" s="554"/>
      <c r="XAE11" s="554"/>
      <c r="XAF11" s="554"/>
      <c r="XAG11" s="554"/>
      <c r="XAH11" s="554"/>
      <c r="XAI11" s="554"/>
      <c r="XAJ11" s="554"/>
      <c r="XAK11" s="554"/>
      <c r="XAL11" s="554"/>
      <c r="XAM11" s="554"/>
      <c r="XAN11" s="554"/>
      <c r="XAO11" s="554"/>
      <c r="XAP11" s="554"/>
      <c r="XAQ11" s="554"/>
      <c r="XAR11" s="554"/>
      <c r="XAS11" s="554"/>
      <c r="XAT11" s="554"/>
      <c r="XAU11" s="554"/>
      <c r="XAV11" s="554"/>
      <c r="XAW11" s="554"/>
      <c r="XAX11" s="554"/>
      <c r="XAY11" s="554"/>
      <c r="XAZ11" s="554"/>
      <c r="XBA11" s="554"/>
      <c r="XBB11" s="554"/>
      <c r="XBC11" s="554"/>
      <c r="XBD11" s="554"/>
      <c r="XBE11" s="554"/>
      <c r="XBF11" s="554"/>
      <c r="XBG11" s="554"/>
      <c r="XBH11" s="554"/>
      <c r="XBI11" s="554"/>
      <c r="XBJ11" s="554"/>
      <c r="XBK11" s="554"/>
      <c r="XBL11" s="554"/>
      <c r="XBM11" s="554"/>
      <c r="XBN11" s="554"/>
      <c r="XBO11" s="554"/>
      <c r="XBP11" s="554"/>
      <c r="XBQ11" s="554"/>
      <c r="XBR11" s="554"/>
      <c r="XBS11" s="554"/>
      <c r="XBT11" s="554"/>
      <c r="XBU11" s="554"/>
      <c r="XBV11" s="554"/>
      <c r="XBW11" s="554"/>
      <c r="XBX11" s="554"/>
      <c r="XBY11" s="554"/>
      <c r="XBZ11" s="554"/>
      <c r="XCA11" s="554"/>
      <c r="XCB11" s="554"/>
      <c r="XCC11" s="554"/>
      <c r="XCD11" s="554"/>
      <c r="XCE11" s="554"/>
      <c r="XCF11" s="554"/>
      <c r="XCG11" s="554"/>
      <c r="XCH11" s="554"/>
      <c r="XCI11" s="554"/>
      <c r="XCJ11" s="554"/>
      <c r="XCK11" s="554"/>
      <c r="XCL11" s="554"/>
      <c r="XCM11" s="554"/>
      <c r="XCN11" s="554"/>
      <c r="XCO11" s="554"/>
      <c r="XCP11" s="554"/>
      <c r="XCQ11" s="554"/>
      <c r="XCR11" s="554"/>
      <c r="XCS11" s="554"/>
      <c r="XCT11" s="554"/>
      <c r="XCU11" s="554"/>
      <c r="XCV11" s="554"/>
      <c r="XCW11" s="554"/>
      <c r="XCX11" s="554"/>
      <c r="XCY11" s="554"/>
      <c r="XCZ11" s="554"/>
      <c r="XDA11" s="554"/>
      <c r="XDB11" s="554"/>
      <c r="XDC11" s="554"/>
      <c r="XDD11" s="554"/>
      <c r="XDE11" s="554"/>
      <c r="XDF11" s="554"/>
      <c r="XDG11" s="554"/>
      <c r="XDH11" s="554"/>
      <c r="XDI11" s="554"/>
      <c r="XDJ11" s="554"/>
      <c r="XDK11" s="554"/>
      <c r="XDL11" s="554"/>
      <c r="XDM11" s="554"/>
      <c r="XDN11" s="554"/>
      <c r="XDO11" s="554"/>
      <c r="XDP11" s="554"/>
      <c r="XDQ11" s="554"/>
      <c r="XDR11" s="554"/>
      <c r="XDS11" s="554"/>
      <c r="XDT11" s="554"/>
      <c r="XDU11" s="554"/>
      <c r="XDV11" s="554"/>
      <c r="XDW11" s="554"/>
      <c r="XDX11" s="554"/>
      <c r="XDY11" s="554"/>
      <c r="XDZ11" s="554"/>
      <c r="XEA11" s="554"/>
      <c r="XEB11" s="554"/>
      <c r="XEC11" s="554"/>
      <c r="XED11" s="554"/>
      <c r="XEE11" s="554"/>
      <c r="XEF11" s="554"/>
      <c r="XEG11" s="554"/>
      <c r="XEH11" s="554"/>
      <c r="XEI11" s="554"/>
      <c r="XEJ11" s="554"/>
      <c r="XEK11" s="554"/>
      <c r="XEL11" s="554"/>
      <c r="XEM11" s="554"/>
      <c r="XEN11" s="554"/>
      <c r="XEO11" s="554"/>
      <c r="XEP11" s="554"/>
      <c r="XEQ11" s="554"/>
      <c r="XER11" s="554"/>
      <c r="XES11" s="554"/>
      <c r="XET11" s="554"/>
      <c r="XEU11" s="554"/>
      <c r="XEV11" s="554"/>
      <c r="XEW11" s="554"/>
      <c r="XEX11" s="554"/>
      <c r="XEY11" s="554"/>
      <c r="XEZ11" s="554"/>
      <c r="XFA11" s="554"/>
      <c r="XFB11" s="554"/>
      <c r="XFC11" s="554"/>
      <c r="XFD11" s="554"/>
    </row>
    <row r="12" spans="1:16384" x14ac:dyDescent="0.25">
      <c r="A12" s="635"/>
      <c r="B12" s="636"/>
      <c r="C12" s="636"/>
      <c r="D12" s="636"/>
      <c r="E12" s="636"/>
      <c r="F12" s="636"/>
      <c r="G12" s="636"/>
      <c r="H12" s="636"/>
      <c r="I12" s="636"/>
      <c r="J12" s="636"/>
      <c r="K12" s="636"/>
      <c r="L12" s="636"/>
      <c r="M12" s="636"/>
      <c r="N12" s="636"/>
      <c r="O12" s="636"/>
      <c r="P12" s="636"/>
      <c r="Q12" s="636"/>
      <c r="R12" s="636"/>
      <c r="S12" s="636"/>
      <c r="T12" s="636"/>
      <c r="U12" s="636"/>
      <c r="V12" s="636"/>
      <c r="W12" s="636"/>
      <c r="X12" s="637"/>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c r="IT12" s="569"/>
      <c r="IU12" s="569"/>
      <c r="IV12" s="569"/>
      <c r="IW12" s="569"/>
      <c r="IX12" s="569"/>
      <c r="IY12" s="569"/>
      <c r="IZ12" s="569"/>
      <c r="JA12" s="569"/>
      <c r="JB12" s="569"/>
      <c r="JC12" s="569"/>
      <c r="JD12" s="569"/>
      <c r="JE12" s="569"/>
      <c r="JF12" s="569"/>
      <c r="JG12" s="569"/>
      <c r="JH12" s="569"/>
      <c r="JI12" s="569"/>
      <c r="JJ12" s="569"/>
      <c r="JK12" s="569"/>
      <c r="JL12" s="569"/>
      <c r="JM12" s="569"/>
      <c r="JN12" s="569"/>
      <c r="JO12" s="569"/>
      <c r="JP12" s="569"/>
      <c r="JQ12" s="569"/>
      <c r="JR12" s="569"/>
      <c r="JS12" s="569"/>
      <c r="JT12" s="569"/>
      <c r="JU12" s="569"/>
      <c r="JV12" s="569"/>
      <c r="JW12" s="569"/>
      <c r="JX12" s="569"/>
      <c r="JY12" s="569"/>
      <c r="JZ12" s="569"/>
      <c r="KA12" s="569"/>
      <c r="KB12" s="569"/>
      <c r="KC12" s="569"/>
      <c r="KD12" s="569"/>
      <c r="KE12" s="569"/>
      <c r="KF12" s="569"/>
      <c r="KG12" s="569"/>
      <c r="KH12" s="569"/>
      <c r="KI12" s="569"/>
      <c r="KJ12" s="569"/>
      <c r="KK12" s="569"/>
      <c r="KL12" s="569"/>
      <c r="KM12" s="569"/>
      <c r="KN12" s="569"/>
      <c r="KO12" s="569"/>
      <c r="KP12" s="569"/>
      <c r="KQ12" s="569"/>
      <c r="KR12" s="569"/>
      <c r="KS12" s="569"/>
      <c r="KT12" s="569"/>
      <c r="KU12" s="569"/>
      <c r="KV12" s="569"/>
      <c r="KW12" s="569"/>
      <c r="KX12" s="569"/>
      <c r="KY12" s="569"/>
      <c r="KZ12" s="569"/>
      <c r="LA12" s="569"/>
      <c r="LB12" s="569"/>
      <c r="LC12" s="569"/>
      <c r="LD12" s="569"/>
      <c r="LE12" s="569"/>
      <c r="LF12" s="569"/>
      <c r="LG12" s="569"/>
      <c r="LH12" s="569"/>
      <c r="LI12" s="569"/>
      <c r="LJ12" s="569"/>
      <c r="LK12" s="569"/>
      <c r="LL12" s="569"/>
      <c r="LM12" s="569"/>
      <c r="LN12" s="569"/>
      <c r="LO12" s="569"/>
      <c r="LP12" s="569"/>
      <c r="LQ12" s="569"/>
      <c r="LR12" s="569"/>
      <c r="LS12" s="569"/>
      <c r="LT12" s="569"/>
      <c r="LU12" s="569"/>
      <c r="LV12" s="569"/>
      <c r="LW12" s="569"/>
      <c r="LX12" s="569"/>
      <c r="LY12" s="569"/>
      <c r="LZ12" s="569"/>
      <c r="MA12" s="569"/>
      <c r="MB12" s="569"/>
      <c r="MC12" s="569"/>
      <c r="MD12" s="569"/>
      <c r="ME12" s="569"/>
      <c r="MF12" s="569"/>
      <c r="MG12" s="569"/>
      <c r="MH12" s="569"/>
      <c r="MI12" s="569"/>
      <c r="MJ12" s="569"/>
      <c r="MK12" s="569"/>
      <c r="ML12" s="569"/>
      <c r="MM12" s="569"/>
      <c r="MN12" s="569"/>
      <c r="MO12" s="569"/>
      <c r="MP12" s="569"/>
      <c r="MQ12" s="569"/>
      <c r="MR12" s="569"/>
      <c r="MS12" s="569"/>
      <c r="MT12" s="569"/>
      <c r="MU12" s="569"/>
      <c r="MV12" s="569"/>
      <c r="MW12" s="569"/>
      <c r="MX12" s="569"/>
      <c r="MY12" s="569"/>
      <c r="MZ12" s="569"/>
      <c r="NA12" s="569"/>
      <c r="NB12" s="569"/>
      <c r="NC12" s="569"/>
      <c r="ND12" s="569"/>
      <c r="NE12" s="569"/>
      <c r="NF12" s="569"/>
      <c r="NG12" s="569"/>
      <c r="NH12" s="569"/>
      <c r="NI12" s="569"/>
      <c r="NJ12" s="569"/>
      <c r="NK12" s="569"/>
      <c r="NL12" s="569"/>
      <c r="NM12" s="569"/>
      <c r="NN12" s="569"/>
      <c r="NO12" s="569"/>
      <c r="NP12" s="569"/>
      <c r="NQ12" s="569"/>
      <c r="NR12" s="569"/>
      <c r="NS12" s="569"/>
      <c r="NT12" s="569"/>
      <c r="NU12" s="569"/>
      <c r="NV12" s="569"/>
      <c r="NW12" s="569"/>
      <c r="NX12" s="569"/>
      <c r="NY12" s="569"/>
      <c r="NZ12" s="569"/>
      <c r="OA12" s="569"/>
      <c r="OB12" s="569"/>
      <c r="OC12" s="569"/>
      <c r="OD12" s="569"/>
      <c r="OE12" s="569"/>
      <c r="OF12" s="569"/>
      <c r="OG12" s="569"/>
      <c r="OH12" s="569"/>
      <c r="OI12" s="569"/>
      <c r="OJ12" s="569"/>
      <c r="OK12" s="569"/>
      <c r="OL12" s="569"/>
      <c r="OM12" s="569"/>
      <c r="ON12" s="569"/>
      <c r="OO12" s="569"/>
      <c r="OP12" s="569"/>
      <c r="OQ12" s="569"/>
      <c r="OR12" s="569"/>
      <c r="OS12" s="569"/>
      <c r="OT12" s="569"/>
      <c r="OU12" s="569"/>
      <c r="OV12" s="569"/>
      <c r="OW12" s="569"/>
      <c r="OX12" s="569"/>
      <c r="OY12" s="569"/>
      <c r="OZ12" s="569"/>
      <c r="PA12" s="569"/>
      <c r="PB12" s="569"/>
      <c r="PC12" s="569"/>
      <c r="PD12" s="569"/>
      <c r="PE12" s="569"/>
      <c r="PF12" s="569"/>
      <c r="PG12" s="569"/>
      <c r="PH12" s="569"/>
      <c r="PI12" s="569"/>
      <c r="PJ12" s="569"/>
      <c r="PK12" s="569"/>
      <c r="PL12" s="569"/>
      <c r="PM12" s="569"/>
      <c r="PN12" s="569"/>
      <c r="PO12" s="569"/>
      <c r="PP12" s="569"/>
      <c r="PQ12" s="569"/>
      <c r="PR12" s="569"/>
      <c r="PS12" s="569"/>
      <c r="PT12" s="569"/>
      <c r="PU12" s="569"/>
      <c r="PV12" s="569"/>
      <c r="PW12" s="569"/>
      <c r="PX12" s="569"/>
      <c r="PY12" s="569"/>
      <c r="PZ12" s="569"/>
      <c r="QA12" s="569"/>
      <c r="QB12" s="569"/>
      <c r="QC12" s="569"/>
      <c r="QD12" s="569"/>
      <c r="QE12" s="569"/>
      <c r="QF12" s="569"/>
      <c r="QG12" s="569"/>
      <c r="QH12" s="569"/>
      <c r="QI12" s="569"/>
      <c r="QJ12" s="569"/>
      <c r="QK12" s="569"/>
      <c r="QL12" s="569"/>
      <c r="QM12" s="569"/>
      <c r="QN12" s="569"/>
      <c r="QO12" s="569"/>
      <c r="QP12" s="569"/>
      <c r="QQ12" s="569"/>
      <c r="QR12" s="569"/>
      <c r="QS12" s="569"/>
      <c r="QT12" s="569"/>
      <c r="QU12" s="569"/>
      <c r="QV12" s="569"/>
      <c r="QW12" s="569"/>
      <c r="QX12" s="569"/>
      <c r="QY12" s="569"/>
      <c r="QZ12" s="569"/>
      <c r="RA12" s="569"/>
      <c r="RB12" s="569"/>
      <c r="RC12" s="569"/>
      <c r="RD12" s="569"/>
      <c r="RE12" s="569"/>
      <c r="RF12" s="569"/>
      <c r="RG12" s="569"/>
      <c r="RH12" s="569"/>
      <c r="RI12" s="569"/>
      <c r="RJ12" s="569"/>
      <c r="RK12" s="569"/>
      <c r="RL12" s="569"/>
      <c r="RM12" s="569"/>
      <c r="RN12" s="569"/>
      <c r="RO12" s="569"/>
      <c r="RP12" s="569"/>
      <c r="RQ12" s="569"/>
      <c r="RR12" s="569"/>
      <c r="RS12" s="569"/>
      <c r="RT12" s="569"/>
      <c r="RU12" s="569"/>
      <c r="RV12" s="569"/>
      <c r="RW12" s="569"/>
      <c r="RX12" s="569"/>
      <c r="RY12" s="569"/>
      <c r="RZ12" s="569"/>
      <c r="SA12" s="569"/>
      <c r="SB12" s="569"/>
      <c r="SC12" s="569"/>
      <c r="SD12" s="569"/>
      <c r="SE12" s="569"/>
      <c r="SF12" s="569"/>
      <c r="SG12" s="569"/>
      <c r="SH12" s="569"/>
      <c r="SI12" s="569"/>
      <c r="SJ12" s="569"/>
      <c r="SK12" s="569"/>
      <c r="SL12" s="569"/>
      <c r="SM12" s="569"/>
      <c r="SN12" s="569"/>
      <c r="SO12" s="569"/>
      <c r="SP12" s="569"/>
      <c r="SQ12" s="569"/>
      <c r="SR12" s="569"/>
      <c r="SS12" s="569"/>
      <c r="ST12" s="569"/>
      <c r="SU12" s="569"/>
      <c r="SV12" s="569"/>
      <c r="SW12" s="569"/>
      <c r="SX12" s="569"/>
      <c r="SY12" s="569"/>
      <c r="SZ12" s="569"/>
      <c r="TA12" s="569"/>
      <c r="TB12" s="569"/>
      <c r="TC12" s="569"/>
      <c r="TD12" s="569"/>
      <c r="TE12" s="569"/>
      <c r="TF12" s="569"/>
      <c r="TG12" s="569"/>
      <c r="TH12" s="569"/>
      <c r="TI12" s="569"/>
      <c r="TJ12" s="569"/>
      <c r="TK12" s="569"/>
      <c r="TL12" s="569"/>
      <c r="TM12" s="569"/>
      <c r="TN12" s="569"/>
      <c r="TO12" s="569"/>
      <c r="TP12" s="569"/>
      <c r="TQ12" s="569"/>
      <c r="TR12" s="569"/>
      <c r="TS12" s="569"/>
      <c r="TT12" s="569"/>
      <c r="TU12" s="569"/>
      <c r="TV12" s="569"/>
      <c r="TW12" s="569"/>
      <c r="TX12" s="569"/>
      <c r="TY12" s="569"/>
      <c r="TZ12" s="569"/>
      <c r="UA12" s="569"/>
      <c r="UB12" s="569"/>
      <c r="UC12" s="569"/>
      <c r="UD12" s="569"/>
      <c r="UE12" s="569"/>
      <c r="UF12" s="569"/>
      <c r="UG12" s="569"/>
      <c r="UH12" s="569"/>
      <c r="UI12" s="569"/>
      <c r="UJ12" s="569"/>
      <c r="UK12" s="569"/>
      <c r="UL12" s="569"/>
      <c r="UM12" s="569"/>
      <c r="UN12" s="569"/>
      <c r="UO12" s="569"/>
      <c r="UP12" s="569"/>
      <c r="UQ12" s="569"/>
      <c r="UR12" s="569"/>
      <c r="US12" s="569"/>
      <c r="UT12" s="569"/>
      <c r="UU12" s="569"/>
      <c r="UV12" s="569"/>
      <c r="UW12" s="569"/>
      <c r="UX12" s="569"/>
      <c r="UY12" s="569"/>
      <c r="UZ12" s="569"/>
      <c r="VA12" s="569"/>
      <c r="VB12" s="569"/>
      <c r="VC12" s="569"/>
      <c r="VD12" s="569"/>
      <c r="VE12" s="569"/>
      <c r="VF12" s="569"/>
      <c r="VG12" s="569"/>
      <c r="VH12" s="569"/>
      <c r="VI12" s="569"/>
      <c r="VJ12" s="569"/>
      <c r="VK12" s="569"/>
      <c r="VL12" s="569"/>
      <c r="VM12" s="569"/>
      <c r="VN12" s="569"/>
      <c r="VO12" s="569"/>
      <c r="VP12" s="569"/>
      <c r="VQ12" s="569"/>
      <c r="VR12" s="569"/>
      <c r="VS12" s="569"/>
      <c r="VT12" s="569"/>
      <c r="VU12" s="569"/>
      <c r="VV12" s="569"/>
      <c r="VW12" s="569"/>
      <c r="VX12" s="569"/>
      <c r="VY12" s="569"/>
      <c r="VZ12" s="569"/>
      <c r="WA12" s="569"/>
      <c r="WB12" s="569"/>
      <c r="WC12" s="569"/>
      <c r="WD12" s="569"/>
      <c r="WE12" s="569"/>
      <c r="WF12" s="569"/>
      <c r="WG12" s="569"/>
      <c r="WH12" s="569"/>
      <c r="WI12" s="569"/>
      <c r="WJ12" s="569"/>
      <c r="WK12" s="569"/>
      <c r="WL12" s="569"/>
      <c r="WM12" s="569"/>
      <c r="WN12" s="569"/>
      <c r="WO12" s="569"/>
      <c r="WP12" s="569"/>
      <c r="WQ12" s="569"/>
      <c r="WR12" s="569"/>
      <c r="WS12" s="569"/>
      <c r="WT12" s="569"/>
      <c r="WU12" s="569"/>
      <c r="WV12" s="569"/>
      <c r="WW12" s="569"/>
      <c r="WX12" s="569"/>
      <c r="WY12" s="569"/>
      <c r="WZ12" s="569"/>
      <c r="XA12" s="569"/>
      <c r="XB12" s="569"/>
      <c r="XC12" s="569"/>
      <c r="XD12" s="569"/>
      <c r="XE12" s="569"/>
      <c r="XF12" s="569"/>
      <c r="XG12" s="569"/>
      <c r="XH12" s="569"/>
      <c r="XI12" s="569"/>
      <c r="XJ12" s="569"/>
      <c r="XK12" s="569"/>
      <c r="XL12" s="569"/>
      <c r="XM12" s="569"/>
      <c r="XN12" s="569"/>
      <c r="XO12" s="569"/>
      <c r="XP12" s="569"/>
      <c r="XQ12" s="569"/>
      <c r="XR12" s="569"/>
      <c r="XS12" s="569"/>
      <c r="XT12" s="569"/>
      <c r="XU12" s="569"/>
      <c r="XV12" s="569"/>
      <c r="XW12" s="569"/>
      <c r="XX12" s="569"/>
      <c r="XY12" s="569"/>
      <c r="XZ12" s="569"/>
      <c r="YA12" s="569"/>
      <c r="YB12" s="569"/>
      <c r="YC12" s="569"/>
      <c r="YD12" s="569"/>
      <c r="YE12" s="569"/>
      <c r="YF12" s="569"/>
      <c r="YG12" s="569"/>
      <c r="YH12" s="569"/>
      <c r="YI12" s="569"/>
      <c r="YJ12" s="569"/>
      <c r="YK12" s="569"/>
      <c r="YL12" s="569"/>
      <c r="YM12" s="569"/>
      <c r="YN12" s="569"/>
      <c r="YO12" s="569"/>
      <c r="YP12" s="569"/>
      <c r="YQ12" s="569"/>
      <c r="YR12" s="569"/>
      <c r="YS12" s="569"/>
      <c r="YT12" s="569"/>
      <c r="YU12" s="569"/>
      <c r="YV12" s="569"/>
      <c r="YW12" s="569"/>
      <c r="YX12" s="569"/>
      <c r="YY12" s="569"/>
      <c r="YZ12" s="569"/>
      <c r="ZA12" s="569"/>
      <c r="ZB12" s="569"/>
      <c r="ZC12" s="569"/>
      <c r="ZD12" s="569"/>
      <c r="ZE12" s="569"/>
      <c r="ZF12" s="569"/>
      <c r="ZG12" s="569"/>
      <c r="ZH12" s="569"/>
      <c r="ZI12" s="569"/>
      <c r="ZJ12" s="569"/>
      <c r="ZK12" s="569"/>
      <c r="ZL12" s="569"/>
      <c r="ZM12" s="569"/>
      <c r="ZN12" s="569"/>
      <c r="ZO12" s="569"/>
      <c r="ZP12" s="569"/>
      <c r="ZQ12" s="569"/>
      <c r="ZR12" s="569"/>
      <c r="ZS12" s="569"/>
      <c r="ZT12" s="569"/>
      <c r="ZU12" s="569"/>
      <c r="ZV12" s="569"/>
      <c r="ZW12" s="569"/>
      <c r="ZX12" s="569"/>
      <c r="ZY12" s="569"/>
      <c r="ZZ12" s="569"/>
      <c r="AAA12" s="569"/>
      <c r="AAB12" s="569"/>
      <c r="AAC12" s="569"/>
      <c r="AAD12" s="569"/>
      <c r="AAE12" s="569"/>
      <c r="AAF12" s="569"/>
      <c r="AAG12" s="569"/>
      <c r="AAH12" s="569"/>
      <c r="AAI12" s="569"/>
      <c r="AAJ12" s="569"/>
      <c r="AAK12" s="569"/>
      <c r="AAL12" s="569"/>
      <c r="AAM12" s="569"/>
      <c r="AAN12" s="569"/>
      <c r="AAO12" s="569"/>
      <c r="AAP12" s="569"/>
      <c r="AAQ12" s="569"/>
      <c r="AAR12" s="569"/>
      <c r="AAS12" s="569"/>
      <c r="AAT12" s="569"/>
      <c r="AAU12" s="569"/>
      <c r="AAV12" s="569"/>
      <c r="AAW12" s="569"/>
      <c r="AAX12" s="569"/>
      <c r="AAY12" s="569"/>
      <c r="AAZ12" s="569"/>
      <c r="ABA12" s="569"/>
      <c r="ABB12" s="569"/>
      <c r="ABC12" s="569"/>
      <c r="ABD12" s="569"/>
      <c r="ABE12" s="569"/>
      <c r="ABF12" s="569"/>
      <c r="ABG12" s="569"/>
      <c r="ABH12" s="569"/>
      <c r="ABI12" s="569"/>
      <c r="ABJ12" s="569"/>
      <c r="ABK12" s="569"/>
      <c r="ABL12" s="569"/>
      <c r="ABM12" s="569"/>
      <c r="ABN12" s="569"/>
      <c r="ABO12" s="569"/>
      <c r="ABP12" s="569"/>
      <c r="ABQ12" s="569"/>
      <c r="ABR12" s="569"/>
      <c r="ABS12" s="569"/>
      <c r="ABT12" s="569"/>
      <c r="ABU12" s="569"/>
      <c r="ABV12" s="569"/>
      <c r="ABW12" s="569"/>
      <c r="ABX12" s="569"/>
      <c r="ABY12" s="569"/>
      <c r="ABZ12" s="569"/>
      <c r="ACA12" s="569"/>
      <c r="ACB12" s="569"/>
      <c r="ACC12" s="569"/>
      <c r="ACD12" s="569"/>
      <c r="ACE12" s="569"/>
      <c r="ACF12" s="569"/>
      <c r="ACG12" s="569"/>
      <c r="ACH12" s="569"/>
      <c r="ACI12" s="569"/>
      <c r="ACJ12" s="569"/>
      <c r="ACK12" s="569"/>
      <c r="ACL12" s="569"/>
      <c r="ACM12" s="569"/>
      <c r="ACN12" s="569"/>
      <c r="ACO12" s="569"/>
      <c r="ACP12" s="569"/>
      <c r="ACQ12" s="569"/>
      <c r="ACR12" s="569"/>
      <c r="ACS12" s="569"/>
      <c r="ACT12" s="569"/>
      <c r="ACU12" s="569"/>
      <c r="ACV12" s="569"/>
      <c r="ACW12" s="569"/>
      <c r="ACX12" s="569"/>
      <c r="ACY12" s="569"/>
      <c r="ACZ12" s="569"/>
      <c r="ADA12" s="569"/>
      <c r="ADB12" s="569"/>
      <c r="ADC12" s="569"/>
      <c r="ADD12" s="569"/>
      <c r="ADE12" s="569"/>
      <c r="ADF12" s="569"/>
      <c r="ADG12" s="569"/>
      <c r="ADH12" s="569"/>
      <c r="ADI12" s="569"/>
      <c r="ADJ12" s="569"/>
      <c r="ADK12" s="569"/>
      <c r="ADL12" s="569"/>
      <c r="ADM12" s="569"/>
      <c r="ADN12" s="569"/>
      <c r="ADO12" s="569"/>
      <c r="ADP12" s="569"/>
      <c r="ADQ12" s="569"/>
      <c r="ADR12" s="569"/>
      <c r="ADS12" s="569"/>
      <c r="ADT12" s="569"/>
      <c r="ADU12" s="569"/>
      <c r="ADV12" s="569"/>
      <c r="ADW12" s="569"/>
      <c r="ADX12" s="569"/>
      <c r="ADY12" s="569"/>
      <c r="ADZ12" s="569"/>
      <c r="AEA12" s="569"/>
      <c r="AEB12" s="569"/>
      <c r="AEC12" s="569"/>
      <c r="AED12" s="569"/>
      <c r="AEE12" s="569"/>
      <c r="AEF12" s="569"/>
      <c r="AEG12" s="569"/>
      <c r="AEH12" s="569"/>
      <c r="AEI12" s="569"/>
      <c r="AEJ12" s="569"/>
      <c r="AEK12" s="569"/>
      <c r="AEL12" s="569"/>
      <c r="AEM12" s="569"/>
      <c r="AEN12" s="569"/>
      <c r="AEO12" s="569"/>
      <c r="AEP12" s="569"/>
      <c r="AEQ12" s="569"/>
      <c r="AER12" s="569"/>
      <c r="AES12" s="569"/>
      <c r="AET12" s="569"/>
      <c r="AEU12" s="569"/>
      <c r="AEV12" s="569"/>
      <c r="AEW12" s="569"/>
      <c r="AEX12" s="569"/>
      <c r="AEY12" s="569"/>
      <c r="AEZ12" s="569"/>
      <c r="AFA12" s="569"/>
      <c r="AFB12" s="569"/>
      <c r="AFC12" s="569"/>
      <c r="AFD12" s="569"/>
      <c r="AFE12" s="569"/>
      <c r="AFF12" s="569"/>
      <c r="AFG12" s="569"/>
      <c r="AFH12" s="569"/>
      <c r="AFI12" s="569"/>
      <c r="AFJ12" s="569"/>
      <c r="AFK12" s="569"/>
      <c r="AFL12" s="569"/>
      <c r="AFM12" s="569"/>
      <c r="AFN12" s="569"/>
      <c r="AFO12" s="569"/>
      <c r="AFP12" s="569"/>
      <c r="AFQ12" s="569"/>
      <c r="AFR12" s="569"/>
      <c r="AFS12" s="569"/>
      <c r="AFT12" s="569"/>
      <c r="AFU12" s="569"/>
      <c r="AFV12" s="569"/>
      <c r="AFW12" s="569"/>
      <c r="AFX12" s="569"/>
      <c r="AFY12" s="569"/>
      <c r="AFZ12" s="569"/>
      <c r="AGA12" s="569"/>
      <c r="AGB12" s="569"/>
      <c r="AGC12" s="569"/>
      <c r="AGD12" s="569"/>
      <c r="AGE12" s="569"/>
      <c r="AGF12" s="569"/>
      <c r="AGG12" s="569"/>
      <c r="AGH12" s="569"/>
      <c r="AGI12" s="569"/>
      <c r="AGJ12" s="569"/>
      <c r="AGK12" s="569"/>
      <c r="AGL12" s="569"/>
      <c r="AGM12" s="569"/>
      <c r="AGN12" s="569"/>
      <c r="AGO12" s="569"/>
      <c r="AGP12" s="569"/>
      <c r="AGQ12" s="569"/>
      <c r="AGR12" s="569"/>
      <c r="AGS12" s="569"/>
      <c r="AGT12" s="569"/>
      <c r="AGU12" s="569"/>
      <c r="AGV12" s="569"/>
      <c r="AGW12" s="569"/>
      <c r="AGX12" s="569"/>
      <c r="AGY12" s="569"/>
      <c r="AGZ12" s="569"/>
      <c r="AHA12" s="569"/>
      <c r="AHB12" s="569"/>
      <c r="AHC12" s="569"/>
      <c r="AHD12" s="569"/>
      <c r="AHE12" s="569"/>
      <c r="AHF12" s="569"/>
      <c r="AHG12" s="569"/>
      <c r="AHH12" s="569"/>
      <c r="AHI12" s="569"/>
      <c r="AHJ12" s="569"/>
      <c r="AHK12" s="569"/>
      <c r="AHL12" s="569"/>
      <c r="AHM12" s="569"/>
      <c r="AHN12" s="569"/>
      <c r="AHO12" s="569"/>
      <c r="AHP12" s="569"/>
      <c r="AHQ12" s="569"/>
      <c r="AHR12" s="569"/>
      <c r="AHS12" s="569"/>
      <c r="AHT12" s="569"/>
      <c r="AHU12" s="569"/>
      <c r="AHV12" s="569"/>
      <c r="AHW12" s="569"/>
      <c r="AHX12" s="569"/>
      <c r="AHY12" s="569"/>
      <c r="AHZ12" s="569"/>
      <c r="AIA12" s="569"/>
      <c r="AIB12" s="569"/>
      <c r="AIC12" s="569"/>
      <c r="AID12" s="569"/>
      <c r="AIE12" s="569"/>
      <c r="AIF12" s="569"/>
      <c r="AIG12" s="569"/>
      <c r="AIH12" s="569"/>
      <c r="AII12" s="569"/>
      <c r="AIJ12" s="569"/>
      <c r="AIK12" s="569"/>
      <c r="AIL12" s="569"/>
      <c r="AIM12" s="569"/>
      <c r="AIN12" s="569"/>
      <c r="AIO12" s="569"/>
      <c r="AIP12" s="569"/>
      <c r="AIQ12" s="569"/>
      <c r="AIR12" s="569"/>
      <c r="AIS12" s="569"/>
      <c r="AIT12" s="569"/>
      <c r="AIU12" s="569"/>
      <c r="AIV12" s="569"/>
      <c r="AIW12" s="569"/>
      <c r="AIX12" s="569"/>
      <c r="AIY12" s="569"/>
      <c r="AIZ12" s="569"/>
      <c r="AJA12" s="569"/>
      <c r="AJB12" s="569"/>
      <c r="AJC12" s="569"/>
      <c r="AJD12" s="569"/>
      <c r="AJE12" s="569"/>
      <c r="AJF12" s="569"/>
      <c r="AJG12" s="569"/>
      <c r="AJH12" s="569"/>
      <c r="AJI12" s="569"/>
      <c r="AJJ12" s="569"/>
      <c r="AJK12" s="569"/>
      <c r="AJL12" s="569"/>
      <c r="AJM12" s="569"/>
      <c r="AJN12" s="569"/>
      <c r="AJO12" s="569"/>
      <c r="AJP12" s="569"/>
      <c r="AJQ12" s="569"/>
      <c r="AJR12" s="569"/>
      <c r="AJS12" s="569"/>
      <c r="AJT12" s="569"/>
      <c r="AJU12" s="569"/>
      <c r="AJV12" s="569"/>
      <c r="AJW12" s="569"/>
      <c r="AJX12" s="569"/>
      <c r="AJY12" s="569"/>
      <c r="AJZ12" s="569"/>
      <c r="AKA12" s="569"/>
      <c r="AKB12" s="569"/>
      <c r="AKC12" s="569"/>
      <c r="AKD12" s="569"/>
      <c r="AKE12" s="569"/>
      <c r="AKF12" s="569"/>
      <c r="AKG12" s="569"/>
      <c r="AKH12" s="569"/>
      <c r="AKI12" s="569"/>
      <c r="AKJ12" s="569"/>
      <c r="AKK12" s="569"/>
      <c r="AKL12" s="569"/>
      <c r="AKM12" s="569"/>
      <c r="AKN12" s="569"/>
      <c r="AKO12" s="569"/>
      <c r="AKP12" s="569"/>
      <c r="AKQ12" s="569"/>
      <c r="AKR12" s="569"/>
      <c r="AKS12" s="569"/>
      <c r="AKT12" s="569"/>
      <c r="AKU12" s="569"/>
      <c r="AKV12" s="569"/>
      <c r="AKW12" s="569"/>
      <c r="AKX12" s="569"/>
      <c r="AKY12" s="569"/>
      <c r="AKZ12" s="569"/>
      <c r="ALA12" s="569"/>
      <c r="ALB12" s="569"/>
      <c r="ALC12" s="569"/>
      <c r="ALD12" s="569"/>
      <c r="ALE12" s="569"/>
      <c r="ALF12" s="569"/>
      <c r="ALG12" s="569"/>
      <c r="ALH12" s="569"/>
      <c r="ALI12" s="569"/>
      <c r="ALJ12" s="569"/>
      <c r="ALK12" s="569"/>
      <c r="ALL12" s="569"/>
      <c r="ALM12" s="569"/>
      <c r="ALN12" s="569"/>
      <c r="ALO12" s="569"/>
      <c r="ALP12" s="569"/>
      <c r="ALQ12" s="569"/>
      <c r="ALR12" s="569"/>
      <c r="ALS12" s="569"/>
      <c r="ALT12" s="569"/>
      <c r="ALU12" s="569"/>
      <c r="ALV12" s="569"/>
      <c r="ALW12" s="569"/>
      <c r="ALX12" s="569"/>
      <c r="ALY12" s="569"/>
      <c r="ALZ12" s="569"/>
      <c r="AMA12" s="569"/>
      <c r="AMB12" s="569"/>
      <c r="AMC12" s="569"/>
      <c r="AMD12" s="569"/>
      <c r="AME12" s="569"/>
      <c r="AMF12" s="569"/>
      <c r="AMG12" s="569"/>
      <c r="AMH12" s="569"/>
      <c r="AMI12" s="569"/>
      <c r="AMJ12" s="569"/>
      <c r="AMK12" s="569"/>
      <c r="AML12" s="569"/>
      <c r="AMM12" s="569"/>
      <c r="AMN12" s="569"/>
      <c r="AMO12" s="569"/>
      <c r="AMP12" s="569"/>
      <c r="AMQ12" s="569"/>
      <c r="AMR12" s="569"/>
      <c r="AMS12" s="569"/>
      <c r="AMT12" s="569"/>
      <c r="AMU12" s="569"/>
      <c r="AMV12" s="569"/>
      <c r="AMW12" s="569"/>
      <c r="AMX12" s="569"/>
      <c r="AMY12" s="569"/>
      <c r="AMZ12" s="569"/>
      <c r="ANA12" s="569"/>
      <c r="ANB12" s="569"/>
      <c r="ANC12" s="569"/>
      <c r="AND12" s="569"/>
      <c r="ANE12" s="569"/>
      <c r="ANF12" s="569"/>
      <c r="ANG12" s="569"/>
      <c r="ANH12" s="569"/>
      <c r="ANI12" s="569"/>
      <c r="ANJ12" s="569"/>
      <c r="ANK12" s="569"/>
      <c r="ANL12" s="569"/>
      <c r="ANM12" s="569"/>
      <c r="ANN12" s="569"/>
      <c r="ANO12" s="569"/>
      <c r="ANP12" s="569"/>
      <c r="ANQ12" s="569"/>
      <c r="ANR12" s="569"/>
      <c r="ANS12" s="569"/>
      <c r="ANT12" s="569"/>
      <c r="ANU12" s="569"/>
      <c r="ANV12" s="569"/>
      <c r="ANW12" s="569"/>
      <c r="ANX12" s="569"/>
      <c r="ANY12" s="569"/>
      <c r="ANZ12" s="569"/>
      <c r="AOA12" s="569"/>
      <c r="AOB12" s="569"/>
      <c r="AOC12" s="569"/>
      <c r="AOD12" s="569"/>
      <c r="AOE12" s="569"/>
      <c r="AOF12" s="569"/>
      <c r="AOG12" s="569"/>
      <c r="AOH12" s="569"/>
      <c r="AOI12" s="569"/>
      <c r="AOJ12" s="569"/>
      <c r="AOK12" s="569"/>
      <c r="AOL12" s="569"/>
      <c r="AOM12" s="569"/>
      <c r="AON12" s="569"/>
      <c r="AOO12" s="569"/>
      <c r="AOP12" s="569"/>
      <c r="AOQ12" s="569"/>
      <c r="AOR12" s="569"/>
      <c r="AOS12" s="569"/>
      <c r="AOT12" s="569"/>
      <c r="AOU12" s="569"/>
      <c r="AOV12" s="569"/>
      <c r="AOW12" s="569"/>
      <c r="AOX12" s="569"/>
      <c r="AOY12" s="569"/>
      <c r="AOZ12" s="569"/>
      <c r="APA12" s="569"/>
      <c r="APB12" s="569"/>
      <c r="APC12" s="569"/>
      <c r="APD12" s="569"/>
      <c r="APE12" s="569"/>
      <c r="APF12" s="569"/>
      <c r="APG12" s="569"/>
      <c r="APH12" s="569"/>
      <c r="API12" s="569"/>
      <c r="APJ12" s="569"/>
      <c r="APK12" s="569"/>
      <c r="APL12" s="569"/>
      <c r="APM12" s="569"/>
      <c r="APN12" s="569"/>
      <c r="APO12" s="569"/>
      <c r="APP12" s="569"/>
      <c r="APQ12" s="569"/>
      <c r="APR12" s="569"/>
      <c r="APS12" s="569"/>
      <c r="APT12" s="569"/>
      <c r="APU12" s="569"/>
      <c r="APV12" s="569"/>
      <c r="APW12" s="569"/>
      <c r="APX12" s="569"/>
      <c r="APY12" s="569"/>
      <c r="APZ12" s="569"/>
      <c r="AQA12" s="569"/>
      <c r="AQB12" s="569"/>
      <c r="AQC12" s="569"/>
      <c r="AQD12" s="569"/>
      <c r="AQE12" s="569"/>
      <c r="AQF12" s="569"/>
      <c r="AQG12" s="569"/>
      <c r="AQH12" s="569"/>
      <c r="AQI12" s="569"/>
      <c r="AQJ12" s="569"/>
      <c r="AQK12" s="569"/>
      <c r="AQL12" s="569"/>
      <c r="AQM12" s="569"/>
      <c r="AQN12" s="569"/>
      <c r="AQO12" s="569"/>
      <c r="AQP12" s="569"/>
      <c r="AQQ12" s="569"/>
      <c r="AQR12" s="569"/>
      <c r="AQS12" s="569"/>
      <c r="AQT12" s="569"/>
      <c r="AQU12" s="569"/>
      <c r="AQV12" s="569"/>
      <c r="AQW12" s="569"/>
      <c r="AQX12" s="569"/>
      <c r="AQY12" s="569"/>
      <c r="AQZ12" s="569"/>
      <c r="ARA12" s="569"/>
      <c r="ARB12" s="569"/>
      <c r="ARC12" s="569"/>
      <c r="ARD12" s="569"/>
      <c r="ARE12" s="569"/>
      <c r="ARF12" s="569"/>
      <c r="ARG12" s="569"/>
      <c r="ARH12" s="569"/>
      <c r="ARI12" s="569"/>
      <c r="ARJ12" s="569"/>
      <c r="ARK12" s="569"/>
      <c r="ARL12" s="569"/>
      <c r="ARM12" s="569"/>
      <c r="ARN12" s="569"/>
      <c r="ARO12" s="569"/>
      <c r="ARP12" s="569"/>
      <c r="ARQ12" s="569"/>
      <c r="ARR12" s="569"/>
      <c r="ARS12" s="569"/>
      <c r="ART12" s="569"/>
      <c r="ARU12" s="569"/>
      <c r="ARV12" s="569"/>
      <c r="ARW12" s="569"/>
      <c r="ARX12" s="569"/>
      <c r="ARY12" s="569"/>
      <c r="ARZ12" s="569"/>
      <c r="ASA12" s="569"/>
      <c r="ASB12" s="569"/>
      <c r="ASC12" s="569"/>
      <c r="ASD12" s="569"/>
      <c r="ASE12" s="569"/>
      <c r="ASF12" s="569"/>
      <c r="ASG12" s="569"/>
      <c r="ASH12" s="569"/>
      <c r="ASI12" s="569"/>
      <c r="ASJ12" s="569"/>
      <c r="ASK12" s="569"/>
      <c r="ASL12" s="569"/>
      <c r="ASM12" s="569"/>
      <c r="ASN12" s="569"/>
      <c r="ASO12" s="569"/>
      <c r="ASP12" s="569"/>
      <c r="ASQ12" s="569"/>
      <c r="ASR12" s="569"/>
      <c r="ASS12" s="569"/>
      <c r="AST12" s="569"/>
      <c r="ASU12" s="569"/>
      <c r="ASV12" s="569"/>
      <c r="ASW12" s="569"/>
      <c r="ASX12" s="569"/>
      <c r="ASY12" s="569"/>
      <c r="ASZ12" s="569"/>
      <c r="ATA12" s="569"/>
      <c r="ATB12" s="569"/>
      <c r="ATC12" s="569"/>
      <c r="ATD12" s="569"/>
      <c r="ATE12" s="569"/>
      <c r="ATF12" s="569"/>
      <c r="ATG12" s="569"/>
      <c r="ATH12" s="569"/>
      <c r="ATI12" s="569"/>
      <c r="ATJ12" s="569"/>
      <c r="ATK12" s="569"/>
      <c r="ATL12" s="569"/>
      <c r="ATM12" s="569"/>
      <c r="ATN12" s="569"/>
      <c r="ATO12" s="569"/>
      <c r="ATP12" s="569"/>
      <c r="ATQ12" s="569"/>
      <c r="ATR12" s="569"/>
      <c r="ATS12" s="569"/>
      <c r="ATT12" s="569"/>
      <c r="ATU12" s="569"/>
      <c r="ATV12" s="569"/>
      <c r="ATW12" s="569"/>
      <c r="ATX12" s="569"/>
      <c r="ATY12" s="569"/>
      <c r="ATZ12" s="569"/>
      <c r="AUA12" s="569"/>
      <c r="AUB12" s="569"/>
      <c r="AUC12" s="569"/>
      <c r="AUD12" s="569"/>
      <c r="AUE12" s="569"/>
      <c r="AUF12" s="569"/>
      <c r="AUG12" s="569"/>
      <c r="AUH12" s="569"/>
      <c r="AUI12" s="569"/>
      <c r="AUJ12" s="569"/>
      <c r="AUK12" s="569"/>
      <c r="AUL12" s="569"/>
      <c r="AUM12" s="569"/>
      <c r="AUN12" s="569"/>
      <c r="AUO12" s="569"/>
      <c r="AUP12" s="569"/>
      <c r="AUQ12" s="569"/>
      <c r="AUR12" s="569"/>
      <c r="AUS12" s="569"/>
      <c r="AUT12" s="569"/>
      <c r="AUU12" s="569"/>
      <c r="AUV12" s="569"/>
      <c r="AUW12" s="569"/>
      <c r="AUX12" s="569"/>
      <c r="AUY12" s="569"/>
      <c r="AUZ12" s="569"/>
      <c r="AVA12" s="569"/>
      <c r="AVB12" s="569"/>
      <c r="AVC12" s="569"/>
      <c r="AVD12" s="569"/>
      <c r="AVE12" s="569"/>
      <c r="AVF12" s="569"/>
      <c r="AVG12" s="569"/>
      <c r="AVH12" s="569"/>
      <c r="AVI12" s="569"/>
      <c r="AVJ12" s="569"/>
      <c r="AVK12" s="569"/>
      <c r="AVL12" s="569"/>
      <c r="AVM12" s="569"/>
      <c r="AVN12" s="569"/>
      <c r="AVO12" s="569"/>
      <c r="AVP12" s="569"/>
      <c r="AVQ12" s="569"/>
      <c r="AVR12" s="569"/>
      <c r="AVS12" s="569"/>
      <c r="AVT12" s="569"/>
      <c r="AVU12" s="569"/>
      <c r="AVV12" s="569"/>
      <c r="AVW12" s="569"/>
      <c r="AVX12" s="569"/>
      <c r="AVY12" s="569"/>
      <c r="AVZ12" s="569"/>
      <c r="AWA12" s="569"/>
      <c r="AWB12" s="569"/>
      <c r="AWC12" s="569"/>
      <c r="AWD12" s="569"/>
      <c r="AWE12" s="569"/>
      <c r="AWF12" s="569"/>
      <c r="AWG12" s="569"/>
      <c r="AWH12" s="569"/>
      <c r="AWI12" s="569"/>
      <c r="AWJ12" s="569"/>
      <c r="AWK12" s="569"/>
      <c r="AWL12" s="569"/>
      <c r="AWM12" s="569"/>
      <c r="AWN12" s="569"/>
      <c r="AWO12" s="569"/>
      <c r="AWP12" s="569"/>
      <c r="AWQ12" s="569"/>
      <c r="AWR12" s="569"/>
      <c r="AWS12" s="569"/>
      <c r="AWT12" s="569"/>
      <c r="AWU12" s="569"/>
      <c r="AWV12" s="569"/>
      <c r="AWW12" s="569"/>
      <c r="AWX12" s="569"/>
      <c r="AWY12" s="569"/>
      <c r="AWZ12" s="569"/>
      <c r="AXA12" s="569"/>
      <c r="AXB12" s="569"/>
      <c r="AXC12" s="569"/>
      <c r="AXD12" s="569"/>
      <c r="AXE12" s="569"/>
      <c r="AXF12" s="569"/>
      <c r="AXG12" s="569"/>
      <c r="AXH12" s="569"/>
      <c r="AXI12" s="569"/>
      <c r="AXJ12" s="569"/>
      <c r="AXK12" s="569"/>
      <c r="AXL12" s="569"/>
      <c r="AXM12" s="569"/>
      <c r="AXN12" s="569"/>
      <c r="AXO12" s="569"/>
      <c r="AXP12" s="569"/>
      <c r="AXQ12" s="569"/>
      <c r="AXR12" s="569"/>
      <c r="AXS12" s="569"/>
      <c r="AXT12" s="569"/>
      <c r="AXU12" s="569"/>
      <c r="AXV12" s="569"/>
      <c r="AXW12" s="569"/>
      <c r="AXX12" s="569"/>
      <c r="AXY12" s="569"/>
      <c r="AXZ12" s="569"/>
      <c r="AYA12" s="569"/>
      <c r="AYB12" s="569"/>
      <c r="AYC12" s="569"/>
      <c r="AYD12" s="569"/>
      <c r="AYE12" s="569"/>
      <c r="AYF12" s="569"/>
      <c r="AYG12" s="569"/>
      <c r="AYH12" s="569"/>
      <c r="AYI12" s="569"/>
      <c r="AYJ12" s="569"/>
      <c r="AYK12" s="569"/>
      <c r="AYL12" s="569"/>
      <c r="AYM12" s="569"/>
      <c r="AYN12" s="569"/>
      <c r="AYO12" s="569"/>
      <c r="AYP12" s="569"/>
      <c r="AYQ12" s="569"/>
      <c r="AYR12" s="569"/>
      <c r="AYS12" s="569"/>
      <c r="AYT12" s="569"/>
      <c r="AYU12" s="569"/>
      <c r="AYV12" s="569"/>
      <c r="AYW12" s="569"/>
      <c r="AYX12" s="569"/>
      <c r="AYY12" s="569"/>
      <c r="AYZ12" s="569"/>
      <c r="AZA12" s="569"/>
      <c r="AZB12" s="569"/>
      <c r="AZC12" s="569"/>
      <c r="AZD12" s="569"/>
      <c r="AZE12" s="569"/>
      <c r="AZF12" s="569"/>
      <c r="AZG12" s="569"/>
      <c r="AZH12" s="569"/>
      <c r="AZI12" s="569"/>
      <c r="AZJ12" s="569"/>
      <c r="AZK12" s="569"/>
      <c r="AZL12" s="569"/>
      <c r="AZM12" s="569"/>
      <c r="AZN12" s="569"/>
      <c r="AZO12" s="569"/>
      <c r="AZP12" s="569"/>
      <c r="AZQ12" s="569"/>
      <c r="AZR12" s="569"/>
      <c r="AZS12" s="569"/>
      <c r="AZT12" s="569"/>
      <c r="AZU12" s="569"/>
      <c r="AZV12" s="569"/>
      <c r="AZW12" s="569"/>
      <c r="AZX12" s="569"/>
      <c r="AZY12" s="569"/>
      <c r="AZZ12" s="569"/>
      <c r="BAA12" s="569"/>
      <c r="BAB12" s="569"/>
      <c r="BAC12" s="569"/>
      <c r="BAD12" s="569"/>
      <c r="BAE12" s="569"/>
      <c r="BAF12" s="569"/>
      <c r="BAG12" s="569"/>
      <c r="BAH12" s="569"/>
      <c r="BAI12" s="569"/>
      <c r="BAJ12" s="569"/>
      <c r="BAK12" s="569"/>
      <c r="BAL12" s="569"/>
      <c r="BAM12" s="569"/>
      <c r="BAN12" s="569"/>
      <c r="BAO12" s="569"/>
      <c r="BAP12" s="569"/>
      <c r="BAQ12" s="569"/>
      <c r="BAR12" s="569"/>
      <c r="BAS12" s="569"/>
      <c r="BAT12" s="569"/>
      <c r="BAU12" s="569"/>
      <c r="BAV12" s="569"/>
      <c r="BAW12" s="569"/>
      <c r="BAX12" s="569"/>
      <c r="BAY12" s="569"/>
      <c r="BAZ12" s="569"/>
      <c r="BBA12" s="569"/>
      <c r="BBB12" s="569"/>
      <c r="BBC12" s="569"/>
      <c r="BBD12" s="569"/>
      <c r="BBE12" s="569"/>
      <c r="BBF12" s="569"/>
      <c r="BBG12" s="569"/>
      <c r="BBH12" s="569"/>
      <c r="BBI12" s="569"/>
      <c r="BBJ12" s="569"/>
      <c r="BBK12" s="569"/>
      <c r="BBL12" s="569"/>
      <c r="BBM12" s="569"/>
      <c r="BBN12" s="569"/>
      <c r="BBO12" s="569"/>
      <c r="BBP12" s="569"/>
      <c r="BBQ12" s="569"/>
      <c r="BBR12" s="569"/>
      <c r="BBS12" s="569"/>
      <c r="BBT12" s="569"/>
      <c r="BBU12" s="569"/>
      <c r="BBV12" s="569"/>
      <c r="BBW12" s="569"/>
      <c r="BBX12" s="569"/>
      <c r="BBY12" s="569"/>
      <c r="BBZ12" s="569"/>
      <c r="BCA12" s="569"/>
      <c r="BCB12" s="569"/>
      <c r="BCC12" s="569"/>
      <c r="BCD12" s="569"/>
      <c r="BCE12" s="569"/>
      <c r="BCF12" s="569"/>
      <c r="BCG12" s="569"/>
      <c r="BCH12" s="569"/>
      <c r="BCI12" s="569"/>
      <c r="BCJ12" s="569"/>
      <c r="BCK12" s="569"/>
      <c r="BCL12" s="569"/>
      <c r="BCM12" s="569"/>
      <c r="BCN12" s="569"/>
      <c r="BCO12" s="569"/>
      <c r="BCP12" s="569"/>
      <c r="BCQ12" s="569"/>
      <c r="BCR12" s="569"/>
      <c r="BCS12" s="569"/>
      <c r="BCT12" s="569"/>
      <c r="BCU12" s="569"/>
      <c r="BCV12" s="569"/>
      <c r="BCW12" s="569"/>
      <c r="BCX12" s="569"/>
      <c r="BCY12" s="569"/>
      <c r="BCZ12" s="569"/>
      <c r="BDA12" s="569"/>
      <c r="BDB12" s="569"/>
      <c r="BDC12" s="569"/>
      <c r="BDD12" s="569"/>
      <c r="BDE12" s="569"/>
      <c r="BDF12" s="569"/>
      <c r="BDG12" s="569"/>
      <c r="BDH12" s="569"/>
      <c r="BDI12" s="569"/>
      <c r="BDJ12" s="569"/>
      <c r="BDK12" s="569"/>
      <c r="BDL12" s="569"/>
      <c r="BDM12" s="569"/>
      <c r="BDN12" s="569"/>
      <c r="BDO12" s="569"/>
      <c r="BDP12" s="569"/>
      <c r="BDQ12" s="569"/>
      <c r="BDR12" s="569"/>
      <c r="BDS12" s="569"/>
      <c r="BDT12" s="569"/>
      <c r="BDU12" s="569"/>
      <c r="BDV12" s="569"/>
      <c r="BDW12" s="569"/>
      <c r="BDX12" s="569"/>
      <c r="BDY12" s="569"/>
      <c r="BDZ12" s="569"/>
      <c r="BEA12" s="569"/>
      <c r="BEB12" s="569"/>
      <c r="BEC12" s="569"/>
      <c r="BED12" s="569"/>
      <c r="BEE12" s="569"/>
      <c r="BEF12" s="569"/>
      <c r="BEG12" s="569"/>
      <c r="BEH12" s="569"/>
      <c r="BEI12" s="569"/>
      <c r="BEJ12" s="569"/>
      <c r="BEK12" s="569"/>
      <c r="BEL12" s="569"/>
      <c r="BEM12" s="569"/>
      <c r="BEN12" s="569"/>
      <c r="BEO12" s="569"/>
      <c r="BEP12" s="569"/>
      <c r="BEQ12" s="569"/>
      <c r="BER12" s="569"/>
      <c r="BES12" s="569"/>
      <c r="BET12" s="569"/>
      <c r="BEU12" s="569"/>
      <c r="BEV12" s="569"/>
      <c r="BEW12" s="569"/>
      <c r="BEX12" s="569"/>
      <c r="BEY12" s="569"/>
      <c r="BEZ12" s="569"/>
      <c r="BFA12" s="569"/>
      <c r="BFB12" s="569"/>
      <c r="BFC12" s="569"/>
      <c r="BFD12" s="569"/>
      <c r="BFE12" s="569"/>
      <c r="BFF12" s="569"/>
      <c r="BFG12" s="569"/>
      <c r="BFH12" s="569"/>
      <c r="BFI12" s="569"/>
      <c r="BFJ12" s="569"/>
      <c r="BFK12" s="569"/>
      <c r="BFL12" s="569"/>
      <c r="BFM12" s="569"/>
      <c r="BFN12" s="569"/>
      <c r="BFO12" s="569"/>
      <c r="BFP12" s="569"/>
      <c r="BFQ12" s="569"/>
      <c r="BFR12" s="569"/>
      <c r="BFS12" s="569"/>
      <c r="BFT12" s="569"/>
      <c r="BFU12" s="569"/>
      <c r="BFV12" s="569"/>
      <c r="BFW12" s="569"/>
      <c r="BFX12" s="569"/>
      <c r="BFY12" s="569"/>
      <c r="BFZ12" s="569"/>
      <c r="BGA12" s="569"/>
      <c r="BGB12" s="569"/>
      <c r="BGC12" s="569"/>
      <c r="BGD12" s="569"/>
      <c r="BGE12" s="569"/>
      <c r="BGF12" s="569"/>
      <c r="BGG12" s="569"/>
      <c r="BGH12" s="569"/>
      <c r="BGI12" s="569"/>
      <c r="BGJ12" s="569"/>
      <c r="BGK12" s="569"/>
      <c r="BGL12" s="569"/>
      <c r="BGM12" s="569"/>
      <c r="BGN12" s="569"/>
      <c r="BGO12" s="569"/>
      <c r="BGP12" s="569"/>
      <c r="BGQ12" s="569"/>
      <c r="BGR12" s="569"/>
      <c r="BGS12" s="569"/>
      <c r="BGT12" s="569"/>
      <c r="BGU12" s="569"/>
      <c r="BGV12" s="569"/>
      <c r="BGW12" s="569"/>
      <c r="BGX12" s="569"/>
      <c r="BGY12" s="569"/>
      <c r="BGZ12" s="569"/>
      <c r="BHA12" s="569"/>
      <c r="BHB12" s="569"/>
      <c r="BHC12" s="569"/>
      <c r="BHD12" s="569"/>
      <c r="BHE12" s="569"/>
      <c r="BHF12" s="569"/>
      <c r="BHG12" s="569"/>
      <c r="BHH12" s="569"/>
      <c r="BHI12" s="569"/>
      <c r="BHJ12" s="569"/>
      <c r="BHK12" s="569"/>
      <c r="BHL12" s="569"/>
      <c r="BHM12" s="569"/>
      <c r="BHN12" s="569"/>
      <c r="BHO12" s="569"/>
      <c r="BHP12" s="569"/>
      <c r="BHQ12" s="569"/>
      <c r="BHR12" s="569"/>
      <c r="BHS12" s="569"/>
      <c r="BHT12" s="569"/>
      <c r="BHU12" s="569"/>
      <c r="BHV12" s="569"/>
      <c r="BHW12" s="569"/>
      <c r="BHX12" s="569"/>
      <c r="BHY12" s="569"/>
      <c r="BHZ12" s="569"/>
      <c r="BIA12" s="569"/>
      <c r="BIB12" s="569"/>
      <c r="BIC12" s="569"/>
      <c r="BID12" s="569"/>
      <c r="BIE12" s="569"/>
      <c r="BIF12" s="569"/>
      <c r="BIG12" s="569"/>
      <c r="BIH12" s="569"/>
      <c r="BII12" s="569"/>
      <c r="BIJ12" s="569"/>
      <c r="BIK12" s="569"/>
      <c r="BIL12" s="569"/>
      <c r="BIM12" s="569"/>
      <c r="BIN12" s="569"/>
      <c r="BIO12" s="569"/>
      <c r="BIP12" s="569"/>
      <c r="BIQ12" s="569"/>
      <c r="BIR12" s="569"/>
      <c r="BIS12" s="569"/>
      <c r="BIT12" s="569"/>
      <c r="BIU12" s="569"/>
      <c r="BIV12" s="569"/>
      <c r="BIW12" s="569"/>
      <c r="BIX12" s="569"/>
      <c r="BIY12" s="569"/>
      <c r="BIZ12" s="569"/>
      <c r="BJA12" s="569"/>
      <c r="BJB12" s="569"/>
      <c r="BJC12" s="569"/>
      <c r="BJD12" s="569"/>
      <c r="BJE12" s="569"/>
      <c r="BJF12" s="569"/>
      <c r="BJG12" s="569"/>
      <c r="BJH12" s="569"/>
      <c r="BJI12" s="569"/>
      <c r="BJJ12" s="569"/>
      <c r="BJK12" s="569"/>
      <c r="BJL12" s="569"/>
      <c r="BJM12" s="569"/>
      <c r="BJN12" s="569"/>
      <c r="BJO12" s="569"/>
      <c r="BJP12" s="569"/>
      <c r="BJQ12" s="569"/>
      <c r="BJR12" s="569"/>
      <c r="BJS12" s="569"/>
      <c r="BJT12" s="569"/>
      <c r="BJU12" s="569"/>
      <c r="BJV12" s="569"/>
      <c r="BJW12" s="569"/>
      <c r="BJX12" s="569"/>
      <c r="BJY12" s="569"/>
      <c r="BJZ12" s="569"/>
      <c r="BKA12" s="569"/>
      <c r="BKB12" s="569"/>
      <c r="BKC12" s="569"/>
      <c r="BKD12" s="569"/>
      <c r="BKE12" s="569"/>
      <c r="BKF12" s="569"/>
      <c r="BKG12" s="569"/>
      <c r="BKH12" s="569"/>
      <c r="BKI12" s="569"/>
      <c r="BKJ12" s="569"/>
      <c r="BKK12" s="569"/>
      <c r="BKL12" s="569"/>
      <c r="BKM12" s="569"/>
      <c r="BKN12" s="569"/>
      <c r="BKO12" s="569"/>
      <c r="BKP12" s="569"/>
      <c r="BKQ12" s="569"/>
      <c r="BKR12" s="569"/>
      <c r="BKS12" s="569"/>
      <c r="BKT12" s="569"/>
      <c r="BKU12" s="569"/>
      <c r="BKV12" s="569"/>
      <c r="BKW12" s="569"/>
      <c r="BKX12" s="569"/>
      <c r="BKY12" s="569"/>
      <c r="BKZ12" s="569"/>
      <c r="BLA12" s="569"/>
      <c r="BLB12" s="569"/>
      <c r="BLC12" s="569"/>
      <c r="BLD12" s="569"/>
      <c r="BLE12" s="569"/>
      <c r="BLF12" s="569"/>
      <c r="BLG12" s="569"/>
      <c r="BLH12" s="569"/>
      <c r="BLI12" s="569"/>
      <c r="BLJ12" s="569"/>
      <c r="BLK12" s="569"/>
      <c r="BLL12" s="569"/>
      <c r="BLM12" s="569"/>
      <c r="BLN12" s="569"/>
      <c r="BLO12" s="569"/>
      <c r="BLP12" s="569"/>
      <c r="BLQ12" s="569"/>
      <c r="BLR12" s="569"/>
      <c r="BLS12" s="569"/>
      <c r="BLT12" s="569"/>
      <c r="BLU12" s="569"/>
      <c r="BLV12" s="569"/>
      <c r="BLW12" s="569"/>
      <c r="BLX12" s="569"/>
      <c r="BLY12" s="569"/>
      <c r="BLZ12" s="569"/>
      <c r="BMA12" s="569"/>
      <c r="BMB12" s="569"/>
      <c r="BMC12" s="569"/>
      <c r="BMD12" s="569"/>
      <c r="BME12" s="569"/>
      <c r="BMF12" s="569"/>
      <c r="BMG12" s="569"/>
      <c r="BMH12" s="569"/>
      <c r="BMI12" s="569"/>
      <c r="BMJ12" s="569"/>
      <c r="BMK12" s="569"/>
      <c r="BML12" s="569"/>
      <c r="BMM12" s="569"/>
      <c r="BMN12" s="569"/>
      <c r="BMO12" s="569"/>
      <c r="BMP12" s="569"/>
      <c r="BMQ12" s="569"/>
      <c r="BMR12" s="569"/>
      <c r="BMS12" s="569"/>
      <c r="BMT12" s="569"/>
      <c r="BMU12" s="569"/>
      <c r="BMV12" s="569"/>
      <c r="BMW12" s="569"/>
      <c r="BMX12" s="569"/>
      <c r="BMY12" s="569"/>
      <c r="BMZ12" s="569"/>
      <c r="BNA12" s="569"/>
      <c r="BNB12" s="569"/>
      <c r="BNC12" s="569"/>
      <c r="BND12" s="569"/>
      <c r="BNE12" s="569"/>
      <c r="BNF12" s="569"/>
      <c r="BNG12" s="569"/>
      <c r="BNH12" s="569"/>
      <c r="BNI12" s="569"/>
      <c r="BNJ12" s="569"/>
      <c r="BNK12" s="569"/>
      <c r="BNL12" s="569"/>
      <c r="BNM12" s="569"/>
      <c r="BNN12" s="569"/>
      <c r="BNO12" s="569"/>
      <c r="BNP12" s="569"/>
      <c r="BNQ12" s="569"/>
      <c r="BNR12" s="569"/>
      <c r="BNS12" s="569"/>
      <c r="BNT12" s="569"/>
      <c r="BNU12" s="569"/>
      <c r="BNV12" s="569"/>
      <c r="BNW12" s="569"/>
      <c r="BNX12" s="569"/>
      <c r="BNY12" s="569"/>
      <c r="BNZ12" s="569"/>
      <c r="BOA12" s="569"/>
      <c r="BOB12" s="569"/>
      <c r="BOC12" s="569"/>
      <c r="BOD12" s="569"/>
      <c r="BOE12" s="569"/>
      <c r="BOF12" s="569"/>
      <c r="BOG12" s="569"/>
      <c r="BOH12" s="569"/>
      <c r="BOI12" s="569"/>
      <c r="BOJ12" s="569"/>
      <c r="BOK12" s="569"/>
      <c r="BOL12" s="569"/>
      <c r="BOM12" s="569"/>
      <c r="BON12" s="569"/>
      <c r="BOO12" s="569"/>
      <c r="BOP12" s="569"/>
      <c r="BOQ12" s="569"/>
      <c r="BOR12" s="569"/>
      <c r="BOS12" s="569"/>
      <c r="BOT12" s="569"/>
      <c r="BOU12" s="569"/>
      <c r="BOV12" s="569"/>
      <c r="BOW12" s="569"/>
      <c r="BOX12" s="569"/>
      <c r="BOY12" s="569"/>
      <c r="BOZ12" s="569"/>
      <c r="BPA12" s="569"/>
      <c r="BPB12" s="569"/>
      <c r="BPC12" s="569"/>
      <c r="BPD12" s="569"/>
      <c r="BPE12" s="569"/>
      <c r="BPF12" s="569"/>
      <c r="BPG12" s="569"/>
      <c r="BPH12" s="569"/>
      <c r="BPI12" s="569"/>
      <c r="BPJ12" s="569"/>
      <c r="BPK12" s="569"/>
      <c r="BPL12" s="569"/>
      <c r="BPM12" s="569"/>
      <c r="BPN12" s="569"/>
      <c r="BPO12" s="569"/>
      <c r="BPP12" s="569"/>
      <c r="BPQ12" s="569"/>
      <c r="BPR12" s="569"/>
      <c r="BPS12" s="569"/>
      <c r="BPT12" s="569"/>
      <c r="BPU12" s="569"/>
      <c r="BPV12" s="569"/>
      <c r="BPW12" s="569"/>
      <c r="BPX12" s="569"/>
      <c r="BPY12" s="569"/>
      <c r="BPZ12" s="569"/>
      <c r="BQA12" s="569"/>
      <c r="BQB12" s="569"/>
      <c r="BQC12" s="569"/>
      <c r="BQD12" s="569"/>
      <c r="BQE12" s="569"/>
      <c r="BQF12" s="569"/>
      <c r="BQG12" s="569"/>
      <c r="BQH12" s="569"/>
      <c r="BQI12" s="569"/>
      <c r="BQJ12" s="569"/>
      <c r="BQK12" s="569"/>
      <c r="BQL12" s="569"/>
      <c r="BQM12" s="569"/>
      <c r="BQN12" s="569"/>
      <c r="BQO12" s="569"/>
      <c r="BQP12" s="569"/>
      <c r="BQQ12" s="569"/>
      <c r="BQR12" s="569"/>
      <c r="BQS12" s="569"/>
      <c r="BQT12" s="569"/>
      <c r="BQU12" s="569"/>
      <c r="BQV12" s="569"/>
      <c r="BQW12" s="569"/>
      <c r="BQX12" s="569"/>
      <c r="BQY12" s="569"/>
      <c r="BQZ12" s="569"/>
      <c r="BRA12" s="569"/>
      <c r="BRB12" s="569"/>
      <c r="BRC12" s="569"/>
      <c r="BRD12" s="569"/>
      <c r="BRE12" s="569"/>
      <c r="BRF12" s="569"/>
      <c r="BRG12" s="569"/>
      <c r="BRH12" s="569"/>
      <c r="BRI12" s="569"/>
      <c r="BRJ12" s="569"/>
      <c r="BRK12" s="569"/>
      <c r="BRL12" s="569"/>
      <c r="BRM12" s="569"/>
      <c r="BRN12" s="569"/>
      <c r="BRO12" s="569"/>
      <c r="BRP12" s="569"/>
      <c r="BRQ12" s="569"/>
      <c r="BRR12" s="569"/>
      <c r="BRS12" s="569"/>
      <c r="BRT12" s="569"/>
      <c r="BRU12" s="569"/>
      <c r="BRV12" s="569"/>
      <c r="BRW12" s="569"/>
      <c r="BRX12" s="569"/>
      <c r="BRY12" s="569"/>
      <c r="BRZ12" s="569"/>
      <c r="BSA12" s="569"/>
      <c r="BSB12" s="569"/>
      <c r="BSC12" s="569"/>
      <c r="BSD12" s="569"/>
      <c r="BSE12" s="569"/>
      <c r="BSF12" s="569"/>
      <c r="BSG12" s="569"/>
      <c r="BSH12" s="569"/>
      <c r="BSI12" s="569"/>
      <c r="BSJ12" s="569"/>
      <c r="BSK12" s="569"/>
      <c r="BSL12" s="569"/>
      <c r="BSM12" s="569"/>
      <c r="BSN12" s="569"/>
      <c r="BSO12" s="569"/>
      <c r="BSP12" s="569"/>
      <c r="BSQ12" s="569"/>
      <c r="BSR12" s="569"/>
      <c r="BSS12" s="569"/>
      <c r="BST12" s="569"/>
      <c r="BSU12" s="569"/>
      <c r="BSV12" s="569"/>
      <c r="BSW12" s="569"/>
      <c r="BSX12" s="569"/>
      <c r="BSY12" s="569"/>
      <c r="BSZ12" s="569"/>
      <c r="BTA12" s="569"/>
      <c r="BTB12" s="569"/>
      <c r="BTC12" s="569"/>
      <c r="BTD12" s="569"/>
      <c r="BTE12" s="569"/>
      <c r="BTF12" s="569"/>
      <c r="BTG12" s="569"/>
      <c r="BTH12" s="569"/>
      <c r="BTI12" s="569"/>
      <c r="BTJ12" s="569"/>
      <c r="BTK12" s="569"/>
      <c r="BTL12" s="569"/>
      <c r="BTM12" s="569"/>
      <c r="BTN12" s="569"/>
      <c r="BTO12" s="569"/>
      <c r="BTP12" s="569"/>
      <c r="BTQ12" s="569"/>
      <c r="BTR12" s="569"/>
      <c r="BTS12" s="569"/>
      <c r="BTT12" s="569"/>
      <c r="BTU12" s="569"/>
      <c r="BTV12" s="569"/>
      <c r="BTW12" s="569"/>
      <c r="BTX12" s="569"/>
      <c r="BTY12" s="569"/>
      <c r="BTZ12" s="569"/>
      <c r="BUA12" s="569"/>
      <c r="BUB12" s="569"/>
      <c r="BUC12" s="569"/>
      <c r="BUD12" s="569"/>
      <c r="BUE12" s="569"/>
      <c r="BUF12" s="569"/>
      <c r="BUG12" s="569"/>
      <c r="BUH12" s="569"/>
      <c r="BUI12" s="569"/>
      <c r="BUJ12" s="569"/>
      <c r="BUK12" s="569"/>
      <c r="BUL12" s="569"/>
      <c r="BUM12" s="569"/>
      <c r="BUN12" s="569"/>
      <c r="BUO12" s="569"/>
      <c r="BUP12" s="569"/>
      <c r="BUQ12" s="569"/>
      <c r="BUR12" s="569"/>
      <c r="BUS12" s="569"/>
      <c r="BUT12" s="569"/>
      <c r="BUU12" s="569"/>
      <c r="BUV12" s="569"/>
      <c r="BUW12" s="569"/>
      <c r="BUX12" s="569"/>
      <c r="BUY12" s="569"/>
      <c r="BUZ12" s="569"/>
      <c r="BVA12" s="569"/>
      <c r="BVB12" s="569"/>
      <c r="BVC12" s="569"/>
      <c r="BVD12" s="569"/>
      <c r="BVE12" s="569"/>
      <c r="BVF12" s="569"/>
      <c r="BVG12" s="569"/>
      <c r="BVH12" s="569"/>
      <c r="BVI12" s="569"/>
      <c r="BVJ12" s="569"/>
      <c r="BVK12" s="569"/>
      <c r="BVL12" s="569"/>
      <c r="BVM12" s="569"/>
      <c r="BVN12" s="569"/>
      <c r="BVO12" s="569"/>
      <c r="BVP12" s="569"/>
      <c r="BVQ12" s="569"/>
      <c r="BVR12" s="569"/>
      <c r="BVS12" s="569"/>
      <c r="BVT12" s="569"/>
      <c r="BVU12" s="569"/>
      <c r="BVV12" s="569"/>
      <c r="BVW12" s="569"/>
      <c r="BVX12" s="569"/>
      <c r="BVY12" s="569"/>
      <c r="BVZ12" s="569"/>
      <c r="BWA12" s="569"/>
      <c r="BWB12" s="569"/>
      <c r="BWC12" s="569"/>
      <c r="BWD12" s="569"/>
      <c r="BWE12" s="569"/>
      <c r="BWF12" s="569"/>
      <c r="BWG12" s="569"/>
      <c r="BWH12" s="569"/>
      <c r="BWI12" s="569"/>
      <c r="BWJ12" s="569"/>
      <c r="BWK12" s="569"/>
      <c r="BWL12" s="569"/>
      <c r="BWM12" s="569"/>
      <c r="BWN12" s="569"/>
      <c r="BWO12" s="569"/>
      <c r="BWP12" s="569"/>
      <c r="BWQ12" s="569"/>
      <c r="BWR12" s="569"/>
      <c r="BWS12" s="569"/>
      <c r="BWT12" s="569"/>
      <c r="BWU12" s="569"/>
      <c r="BWV12" s="569"/>
      <c r="BWW12" s="569"/>
      <c r="BWX12" s="569"/>
      <c r="BWY12" s="569"/>
      <c r="BWZ12" s="569"/>
      <c r="BXA12" s="569"/>
      <c r="BXB12" s="569"/>
      <c r="BXC12" s="569"/>
      <c r="BXD12" s="569"/>
      <c r="BXE12" s="569"/>
      <c r="BXF12" s="569"/>
      <c r="BXG12" s="569"/>
      <c r="BXH12" s="569"/>
      <c r="BXI12" s="569"/>
      <c r="BXJ12" s="569"/>
      <c r="BXK12" s="569"/>
      <c r="BXL12" s="569"/>
      <c r="BXM12" s="569"/>
      <c r="BXN12" s="569"/>
      <c r="BXO12" s="569"/>
      <c r="BXP12" s="569"/>
      <c r="BXQ12" s="569"/>
      <c r="BXR12" s="569"/>
      <c r="BXS12" s="569"/>
      <c r="BXT12" s="569"/>
      <c r="BXU12" s="569"/>
      <c r="BXV12" s="569"/>
      <c r="BXW12" s="569"/>
      <c r="BXX12" s="569"/>
      <c r="BXY12" s="569"/>
      <c r="BXZ12" s="569"/>
      <c r="BYA12" s="569"/>
      <c r="BYB12" s="569"/>
      <c r="BYC12" s="569"/>
      <c r="BYD12" s="569"/>
      <c r="BYE12" s="569"/>
      <c r="BYF12" s="569"/>
      <c r="BYG12" s="569"/>
      <c r="BYH12" s="569"/>
      <c r="BYI12" s="569"/>
      <c r="BYJ12" s="569"/>
      <c r="BYK12" s="569"/>
      <c r="BYL12" s="569"/>
      <c r="BYM12" s="569"/>
      <c r="BYN12" s="569"/>
      <c r="BYO12" s="569"/>
      <c r="BYP12" s="569"/>
      <c r="BYQ12" s="569"/>
      <c r="BYR12" s="569"/>
      <c r="BYS12" s="569"/>
      <c r="BYT12" s="569"/>
      <c r="BYU12" s="569"/>
      <c r="BYV12" s="569"/>
      <c r="BYW12" s="569"/>
      <c r="BYX12" s="569"/>
      <c r="BYY12" s="569"/>
      <c r="BYZ12" s="569"/>
      <c r="BZA12" s="569"/>
      <c r="BZB12" s="569"/>
      <c r="BZC12" s="569"/>
      <c r="BZD12" s="569"/>
      <c r="BZE12" s="569"/>
      <c r="BZF12" s="569"/>
      <c r="BZG12" s="569"/>
      <c r="BZH12" s="569"/>
      <c r="BZI12" s="569"/>
      <c r="BZJ12" s="569"/>
      <c r="BZK12" s="569"/>
      <c r="BZL12" s="569"/>
      <c r="BZM12" s="569"/>
      <c r="BZN12" s="569"/>
      <c r="BZO12" s="569"/>
      <c r="BZP12" s="569"/>
      <c r="BZQ12" s="569"/>
      <c r="BZR12" s="569"/>
      <c r="BZS12" s="569"/>
      <c r="BZT12" s="569"/>
      <c r="BZU12" s="569"/>
      <c r="BZV12" s="569"/>
      <c r="BZW12" s="569"/>
      <c r="BZX12" s="569"/>
      <c r="BZY12" s="569"/>
      <c r="BZZ12" s="569"/>
      <c r="CAA12" s="569"/>
      <c r="CAB12" s="569"/>
      <c r="CAC12" s="569"/>
      <c r="CAD12" s="569"/>
      <c r="CAE12" s="569"/>
      <c r="CAF12" s="569"/>
      <c r="CAG12" s="569"/>
      <c r="CAH12" s="569"/>
      <c r="CAI12" s="569"/>
      <c r="CAJ12" s="569"/>
      <c r="CAK12" s="569"/>
      <c r="CAL12" s="569"/>
      <c r="CAM12" s="569"/>
      <c r="CAN12" s="569"/>
      <c r="CAO12" s="569"/>
      <c r="CAP12" s="569"/>
      <c r="CAQ12" s="569"/>
      <c r="CAR12" s="569"/>
      <c r="CAS12" s="569"/>
      <c r="CAT12" s="569"/>
      <c r="CAU12" s="569"/>
      <c r="CAV12" s="569"/>
      <c r="CAW12" s="569"/>
      <c r="CAX12" s="569"/>
      <c r="CAY12" s="569"/>
      <c r="CAZ12" s="569"/>
      <c r="CBA12" s="569"/>
      <c r="CBB12" s="569"/>
      <c r="CBC12" s="569"/>
      <c r="CBD12" s="569"/>
      <c r="CBE12" s="569"/>
      <c r="CBF12" s="569"/>
      <c r="CBG12" s="569"/>
      <c r="CBH12" s="569"/>
      <c r="CBI12" s="569"/>
      <c r="CBJ12" s="569"/>
      <c r="CBK12" s="569"/>
      <c r="CBL12" s="569"/>
      <c r="CBM12" s="569"/>
      <c r="CBN12" s="569"/>
      <c r="CBO12" s="569"/>
      <c r="CBP12" s="569"/>
      <c r="CBQ12" s="569"/>
      <c r="CBR12" s="569"/>
      <c r="CBS12" s="569"/>
      <c r="CBT12" s="569"/>
      <c r="CBU12" s="569"/>
      <c r="CBV12" s="569"/>
      <c r="CBW12" s="569"/>
      <c r="CBX12" s="569"/>
      <c r="CBY12" s="569"/>
      <c r="CBZ12" s="569"/>
      <c r="CCA12" s="569"/>
      <c r="CCB12" s="569"/>
      <c r="CCC12" s="569"/>
      <c r="CCD12" s="569"/>
      <c r="CCE12" s="569"/>
      <c r="CCF12" s="569"/>
      <c r="CCG12" s="569"/>
      <c r="CCH12" s="569"/>
      <c r="CCI12" s="569"/>
      <c r="CCJ12" s="569"/>
      <c r="CCK12" s="569"/>
      <c r="CCL12" s="569"/>
      <c r="CCM12" s="569"/>
      <c r="CCN12" s="569"/>
      <c r="CCO12" s="569"/>
      <c r="CCP12" s="569"/>
      <c r="CCQ12" s="569"/>
      <c r="CCR12" s="569"/>
      <c r="CCS12" s="569"/>
      <c r="CCT12" s="569"/>
      <c r="CCU12" s="569"/>
      <c r="CCV12" s="569"/>
      <c r="CCW12" s="569"/>
      <c r="CCX12" s="569"/>
      <c r="CCY12" s="569"/>
      <c r="CCZ12" s="569"/>
      <c r="CDA12" s="569"/>
      <c r="CDB12" s="569"/>
      <c r="CDC12" s="569"/>
      <c r="CDD12" s="569"/>
      <c r="CDE12" s="569"/>
      <c r="CDF12" s="569"/>
      <c r="CDG12" s="569"/>
      <c r="CDH12" s="569"/>
      <c r="CDI12" s="569"/>
      <c r="CDJ12" s="569"/>
      <c r="CDK12" s="569"/>
      <c r="CDL12" s="569"/>
      <c r="CDM12" s="569"/>
      <c r="CDN12" s="569"/>
      <c r="CDO12" s="569"/>
      <c r="CDP12" s="569"/>
      <c r="CDQ12" s="569"/>
      <c r="CDR12" s="569"/>
      <c r="CDS12" s="569"/>
      <c r="CDT12" s="569"/>
      <c r="CDU12" s="569"/>
      <c r="CDV12" s="569"/>
      <c r="CDW12" s="569"/>
      <c r="CDX12" s="569"/>
      <c r="CDY12" s="569"/>
      <c r="CDZ12" s="569"/>
      <c r="CEA12" s="569"/>
      <c r="CEB12" s="569"/>
      <c r="CEC12" s="569"/>
      <c r="CED12" s="569"/>
      <c r="CEE12" s="569"/>
      <c r="CEF12" s="569"/>
      <c r="CEG12" s="569"/>
      <c r="CEH12" s="569"/>
      <c r="CEI12" s="569"/>
      <c r="CEJ12" s="569"/>
      <c r="CEK12" s="569"/>
      <c r="CEL12" s="569"/>
      <c r="CEM12" s="569"/>
      <c r="CEN12" s="569"/>
      <c r="CEO12" s="569"/>
      <c r="CEP12" s="569"/>
      <c r="CEQ12" s="569"/>
      <c r="CER12" s="569"/>
      <c r="CES12" s="569"/>
      <c r="CET12" s="569"/>
      <c r="CEU12" s="569"/>
      <c r="CEV12" s="569"/>
      <c r="CEW12" s="569"/>
      <c r="CEX12" s="569"/>
      <c r="CEY12" s="569"/>
      <c r="CEZ12" s="569"/>
      <c r="CFA12" s="569"/>
      <c r="CFB12" s="569"/>
      <c r="CFC12" s="569"/>
      <c r="CFD12" s="569"/>
      <c r="CFE12" s="569"/>
      <c r="CFF12" s="569"/>
      <c r="CFG12" s="569"/>
      <c r="CFH12" s="569"/>
      <c r="CFI12" s="569"/>
      <c r="CFJ12" s="569"/>
      <c r="CFK12" s="569"/>
      <c r="CFL12" s="569"/>
      <c r="CFM12" s="569"/>
      <c r="CFN12" s="569"/>
      <c r="CFO12" s="569"/>
      <c r="CFP12" s="569"/>
      <c r="CFQ12" s="569"/>
      <c r="CFR12" s="569"/>
      <c r="CFS12" s="569"/>
      <c r="CFT12" s="569"/>
      <c r="CFU12" s="569"/>
      <c r="CFV12" s="569"/>
      <c r="CFW12" s="569"/>
      <c r="CFX12" s="569"/>
      <c r="CFY12" s="569"/>
      <c r="CFZ12" s="569"/>
      <c r="CGA12" s="569"/>
      <c r="CGB12" s="569"/>
      <c r="CGC12" s="569"/>
      <c r="CGD12" s="569"/>
      <c r="CGE12" s="569"/>
      <c r="CGF12" s="569"/>
      <c r="CGG12" s="569"/>
      <c r="CGH12" s="569"/>
      <c r="CGI12" s="569"/>
      <c r="CGJ12" s="569"/>
      <c r="CGK12" s="569"/>
      <c r="CGL12" s="569"/>
      <c r="CGM12" s="569"/>
      <c r="CGN12" s="569"/>
      <c r="CGO12" s="569"/>
      <c r="CGP12" s="569"/>
      <c r="CGQ12" s="569"/>
      <c r="CGR12" s="569"/>
      <c r="CGS12" s="569"/>
      <c r="CGT12" s="569"/>
      <c r="CGU12" s="569"/>
      <c r="CGV12" s="569"/>
      <c r="CGW12" s="569"/>
      <c r="CGX12" s="569"/>
      <c r="CGY12" s="569"/>
      <c r="CGZ12" s="569"/>
      <c r="CHA12" s="569"/>
      <c r="CHB12" s="569"/>
      <c r="CHC12" s="569"/>
      <c r="CHD12" s="569"/>
      <c r="CHE12" s="569"/>
      <c r="CHF12" s="569"/>
      <c r="CHG12" s="569"/>
      <c r="CHH12" s="569"/>
      <c r="CHI12" s="569"/>
      <c r="CHJ12" s="569"/>
      <c r="CHK12" s="569"/>
      <c r="CHL12" s="569"/>
      <c r="CHM12" s="569"/>
      <c r="CHN12" s="569"/>
      <c r="CHO12" s="569"/>
      <c r="CHP12" s="569"/>
      <c r="CHQ12" s="569"/>
      <c r="CHR12" s="569"/>
      <c r="CHS12" s="569"/>
      <c r="CHT12" s="569"/>
      <c r="CHU12" s="569"/>
      <c r="CHV12" s="569"/>
      <c r="CHW12" s="569"/>
      <c r="CHX12" s="569"/>
      <c r="CHY12" s="569"/>
      <c r="CHZ12" s="569"/>
      <c r="CIA12" s="569"/>
      <c r="CIB12" s="569"/>
      <c r="CIC12" s="569"/>
      <c r="CID12" s="569"/>
      <c r="CIE12" s="569"/>
      <c r="CIF12" s="569"/>
      <c r="CIG12" s="569"/>
      <c r="CIH12" s="569"/>
      <c r="CII12" s="569"/>
      <c r="CIJ12" s="569"/>
      <c r="CIK12" s="569"/>
      <c r="CIL12" s="569"/>
      <c r="CIM12" s="569"/>
      <c r="CIN12" s="569"/>
      <c r="CIO12" s="569"/>
      <c r="CIP12" s="569"/>
      <c r="CIQ12" s="569"/>
      <c r="CIR12" s="569"/>
      <c r="CIS12" s="569"/>
      <c r="CIT12" s="569"/>
      <c r="CIU12" s="569"/>
      <c r="CIV12" s="569"/>
      <c r="CIW12" s="569"/>
      <c r="CIX12" s="569"/>
      <c r="CIY12" s="569"/>
      <c r="CIZ12" s="569"/>
      <c r="CJA12" s="569"/>
      <c r="CJB12" s="569"/>
      <c r="CJC12" s="569"/>
      <c r="CJD12" s="569"/>
      <c r="CJE12" s="569"/>
      <c r="CJF12" s="569"/>
      <c r="CJG12" s="569"/>
      <c r="CJH12" s="569"/>
      <c r="CJI12" s="569"/>
      <c r="CJJ12" s="569"/>
      <c r="CJK12" s="569"/>
      <c r="CJL12" s="569"/>
      <c r="CJM12" s="569"/>
      <c r="CJN12" s="569"/>
      <c r="CJO12" s="569"/>
      <c r="CJP12" s="569"/>
      <c r="CJQ12" s="569"/>
      <c r="CJR12" s="569"/>
      <c r="CJS12" s="569"/>
      <c r="CJT12" s="569"/>
      <c r="CJU12" s="569"/>
      <c r="CJV12" s="569"/>
      <c r="CJW12" s="569"/>
      <c r="CJX12" s="569"/>
      <c r="CJY12" s="569"/>
      <c r="CJZ12" s="569"/>
      <c r="CKA12" s="569"/>
      <c r="CKB12" s="569"/>
      <c r="CKC12" s="569"/>
      <c r="CKD12" s="569"/>
      <c r="CKE12" s="569"/>
      <c r="CKF12" s="569"/>
      <c r="CKG12" s="569"/>
      <c r="CKH12" s="569"/>
      <c r="CKI12" s="569"/>
      <c r="CKJ12" s="569"/>
      <c r="CKK12" s="569"/>
      <c r="CKL12" s="569"/>
      <c r="CKM12" s="569"/>
      <c r="CKN12" s="569"/>
      <c r="CKO12" s="569"/>
      <c r="CKP12" s="569"/>
      <c r="CKQ12" s="569"/>
      <c r="CKR12" s="569"/>
      <c r="CKS12" s="569"/>
      <c r="CKT12" s="569"/>
      <c r="CKU12" s="569"/>
      <c r="CKV12" s="569"/>
      <c r="CKW12" s="569"/>
      <c r="CKX12" s="569"/>
      <c r="CKY12" s="569"/>
      <c r="CKZ12" s="569"/>
      <c r="CLA12" s="569"/>
      <c r="CLB12" s="569"/>
      <c r="CLC12" s="569"/>
      <c r="CLD12" s="569"/>
      <c r="CLE12" s="569"/>
      <c r="CLF12" s="569"/>
      <c r="CLG12" s="569"/>
      <c r="CLH12" s="569"/>
      <c r="CLI12" s="569"/>
      <c r="CLJ12" s="569"/>
      <c r="CLK12" s="569"/>
      <c r="CLL12" s="569"/>
      <c r="CLM12" s="569"/>
      <c r="CLN12" s="569"/>
      <c r="CLO12" s="569"/>
      <c r="CLP12" s="569"/>
      <c r="CLQ12" s="569"/>
      <c r="CLR12" s="569"/>
      <c r="CLS12" s="569"/>
      <c r="CLT12" s="569"/>
      <c r="CLU12" s="569"/>
      <c r="CLV12" s="569"/>
      <c r="CLW12" s="569"/>
      <c r="CLX12" s="569"/>
      <c r="CLY12" s="569"/>
      <c r="CLZ12" s="569"/>
      <c r="CMA12" s="569"/>
      <c r="CMB12" s="569"/>
      <c r="CMC12" s="569"/>
      <c r="CMD12" s="569"/>
      <c r="CME12" s="569"/>
      <c r="CMF12" s="569"/>
      <c r="CMG12" s="569"/>
      <c r="CMH12" s="569"/>
      <c r="CMI12" s="569"/>
      <c r="CMJ12" s="569"/>
      <c r="CMK12" s="569"/>
      <c r="CML12" s="569"/>
      <c r="CMM12" s="569"/>
      <c r="CMN12" s="569"/>
      <c r="CMO12" s="569"/>
      <c r="CMP12" s="569"/>
      <c r="CMQ12" s="569"/>
      <c r="CMR12" s="569"/>
      <c r="CMS12" s="569"/>
      <c r="CMT12" s="569"/>
      <c r="CMU12" s="569"/>
      <c r="CMV12" s="569"/>
      <c r="CMW12" s="569"/>
      <c r="CMX12" s="569"/>
      <c r="CMY12" s="569"/>
      <c r="CMZ12" s="569"/>
      <c r="CNA12" s="569"/>
      <c r="CNB12" s="569"/>
      <c r="CNC12" s="569"/>
      <c r="CND12" s="569"/>
      <c r="CNE12" s="569"/>
      <c r="CNF12" s="569"/>
      <c r="CNG12" s="569"/>
      <c r="CNH12" s="569"/>
      <c r="CNI12" s="569"/>
      <c r="CNJ12" s="569"/>
      <c r="CNK12" s="569"/>
      <c r="CNL12" s="569"/>
      <c r="CNM12" s="569"/>
      <c r="CNN12" s="569"/>
      <c r="CNO12" s="569"/>
      <c r="CNP12" s="569"/>
      <c r="CNQ12" s="569"/>
      <c r="CNR12" s="569"/>
      <c r="CNS12" s="569"/>
      <c r="CNT12" s="569"/>
      <c r="CNU12" s="569"/>
      <c r="CNV12" s="569"/>
      <c r="CNW12" s="569"/>
      <c r="CNX12" s="569"/>
      <c r="CNY12" s="569"/>
      <c r="CNZ12" s="569"/>
      <c r="COA12" s="569"/>
      <c r="COB12" s="569"/>
      <c r="COC12" s="569"/>
      <c r="COD12" s="569"/>
      <c r="COE12" s="569"/>
      <c r="COF12" s="569"/>
      <c r="COG12" s="569"/>
      <c r="COH12" s="569"/>
      <c r="COI12" s="569"/>
      <c r="COJ12" s="569"/>
      <c r="COK12" s="569"/>
      <c r="COL12" s="569"/>
      <c r="COM12" s="569"/>
      <c r="CON12" s="569"/>
      <c r="COO12" s="569"/>
      <c r="COP12" s="569"/>
      <c r="COQ12" s="569"/>
      <c r="COR12" s="569"/>
      <c r="COS12" s="569"/>
      <c r="COT12" s="569"/>
      <c r="COU12" s="569"/>
      <c r="COV12" s="569"/>
      <c r="COW12" s="569"/>
      <c r="COX12" s="569"/>
      <c r="COY12" s="569"/>
      <c r="COZ12" s="569"/>
      <c r="CPA12" s="569"/>
      <c r="CPB12" s="569"/>
      <c r="CPC12" s="569"/>
      <c r="CPD12" s="569"/>
      <c r="CPE12" s="569"/>
      <c r="CPF12" s="569"/>
      <c r="CPG12" s="569"/>
      <c r="CPH12" s="569"/>
      <c r="CPI12" s="569"/>
      <c r="CPJ12" s="569"/>
      <c r="CPK12" s="569"/>
      <c r="CPL12" s="569"/>
      <c r="CPM12" s="569"/>
      <c r="CPN12" s="569"/>
      <c r="CPO12" s="569"/>
      <c r="CPP12" s="569"/>
      <c r="CPQ12" s="569"/>
      <c r="CPR12" s="569"/>
      <c r="CPS12" s="569"/>
      <c r="CPT12" s="569"/>
      <c r="CPU12" s="569"/>
      <c r="CPV12" s="569"/>
      <c r="CPW12" s="569"/>
      <c r="CPX12" s="569"/>
      <c r="CPY12" s="569"/>
      <c r="CPZ12" s="569"/>
      <c r="CQA12" s="569"/>
      <c r="CQB12" s="569"/>
      <c r="CQC12" s="569"/>
      <c r="CQD12" s="569"/>
      <c r="CQE12" s="569"/>
      <c r="CQF12" s="569"/>
      <c r="CQG12" s="569"/>
      <c r="CQH12" s="569"/>
      <c r="CQI12" s="569"/>
      <c r="CQJ12" s="569"/>
      <c r="CQK12" s="569"/>
      <c r="CQL12" s="569"/>
      <c r="CQM12" s="569"/>
      <c r="CQN12" s="569"/>
      <c r="CQO12" s="569"/>
      <c r="CQP12" s="569"/>
      <c r="CQQ12" s="569"/>
      <c r="CQR12" s="569"/>
      <c r="CQS12" s="569"/>
      <c r="CQT12" s="569"/>
      <c r="CQU12" s="569"/>
      <c r="CQV12" s="569"/>
      <c r="CQW12" s="569"/>
      <c r="CQX12" s="569"/>
      <c r="CQY12" s="569"/>
      <c r="CQZ12" s="569"/>
      <c r="CRA12" s="569"/>
      <c r="CRB12" s="569"/>
      <c r="CRC12" s="569"/>
      <c r="CRD12" s="569"/>
      <c r="CRE12" s="569"/>
      <c r="CRF12" s="569"/>
      <c r="CRG12" s="569"/>
      <c r="CRH12" s="569"/>
      <c r="CRI12" s="569"/>
      <c r="CRJ12" s="569"/>
      <c r="CRK12" s="569"/>
      <c r="CRL12" s="569"/>
      <c r="CRM12" s="569"/>
      <c r="CRN12" s="569"/>
      <c r="CRO12" s="569"/>
      <c r="CRP12" s="569"/>
      <c r="CRQ12" s="569"/>
      <c r="CRR12" s="569"/>
      <c r="CRS12" s="569"/>
      <c r="CRT12" s="569"/>
      <c r="CRU12" s="569"/>
      <c r="CRV12" s="569"/>
      <c r="CRW12" s="569"/>
      <c r="CRX12" s="569"/>
      <c r="CRY12" s="569"/>
      <c r="CRZ12" s="569"/>
      <c r="CSA12" s="569"/>
      <c r="CSB12" s="569"/>
      <c r="CSC12" s="569"/>
      <c r="CSD12" s="569"/>
      <c r="CSE12" s="569"/>
      <c r="CSF12" s="569"/>
      <c r="CSG12" s="569"/>
      <c r="CSH12" s="569"/>
      <c r="CSI12" s="569"/>
      <c r="CSJ12" s="569"/>
      <c r="CSK12" s="569"/>
      <c r="CSL12" s="569"/>
      <c r="CSM12" s="569"/>
      <c r="CSN12" s="569"/>
      <c r="CSO12" s="569"/>
      <c r="CSP12" s="569"/>
      <c r="CSQ12" s="569"/>
      <c r="CSR12" s="569"/>
      <c r="CSS12" s="569"/>
      <c r="CST12" s="569"/>
      <c r="CSU12" s="569"/>
      <c r="CSV12" s="569"/>
      <c r="CSW12" s="569"/>
      <c r="CSX12" s="569"/>
      <c r="CSY12" s="569"/>
      <c r="CSZ12" s="569"/>
      <c r="CTA12" s="569"/>
      <c r="CTB12" s="569"/>
      <c r="CTC12" s="569"/>
      <c r="CTD12" s="569"/>
      <c r="CTE12" s="569"/>
      <c r="CTF12" s="569"/>
      <c r="CTG12" s="569"/>
      <c r="CTH12" s="569"/>
      <c r="CTI12" s="569"/>
      <c r="CTJ12" s="569"/>
      <c r="CTK12" s="569"/>
      <c r="CTL12" s="569"/>
      <c r="CTM12" s="569"/>
      <c r="CTN12" s="569"/>
      <c r="CTO12" s="569"/>
      <c r="CTP12" s="569"/>
      <c r="CTQ12" s="569"/>
      <c r="CTR12" s="569"/>
      <c r="CTS12" s="569"/>
      <c r="CTT12" s="569"/>
      <c r="CTU12" s="569"/>
      <c r="CTV12" s="569"/>
      <c r="CTW12" s="569"/>
      <c r="CTX12" s="569"/>
      <c r="CTY12" s="569"/>
      <c r="CTZ12" s="569"/>
      <c r="CUA12" s="569"/>
      <c r="CUB12" s="569"/>
      <c r="CUC12" s="569"/>
      <c r="CUD12" s="569"/>
      <c r="CUE12" s="569"/>
      <c r="CUF12" s="569"/>
      <c r="CUG12" s="569"/>
      <c r="CUH12" s="569"/>
      <c r="CUI12" s="569"/>
      <c r="CUJ12" s="569"/>
      <c r="CUK12" s="569"/>
      <c r="CUL12" s="569"/>
      <c r="CUM12" s="569"/>
      <c r="CUN12" s="569"/>
      <c r="CUO12" s="569"/>
      <c r="CUP12" s="569"/>
      <c r="CUQ12" s="569"/>
      <c r="CUR12" s="569"/>
      <c r="CUS12" s="569"/>
      <c r="CUT12" s="569"/>
      <c r="CUU12" s="569"/>
      <c r="CUV12" s="569"/>
      <c r="CUW12" s="569"/>
      <c r="CUX12" s="569"/>
      <c r="CUY12" s="569"/>
      <c r="CUZ12" s="569"/>
      <c r="CVA12" s="569"/>
      <c r="CVB12" s="569"/>
      <c r="CVC12" s="569"/>
      <c r="CVD12" s="569"/>
      <c r="CVE12" s="569"/>
      <c r="CVF12" s="569"/>
      <c r="CVG12" s="569"/>
      <c r="CVH12" s="569"/>
      <c r="CVI12" s="569"/>
      <c r="CVJ12" s="569"/>
      <c r="CVK12" s="569"/>
      <c r="CVL12" s="569"/>
      <c r="CVM12" s="569"/>
      <c r="CVN12" s="569"/>
      <c r="CVO12" s="569"/>
      <c r="CVP12" s="569"/>
      <c r="CVQ12" s="569"/>
      <c r="CVR12" s="569"/>
      <c r="CVS12" s="569"/>
      <c r="CVT12" s="569"/>
      <c r="CVU12" s="569"/>
      <c r="CVV12" s="569"/>
      <c r="CVW12" s="569"/>
      <c r="CVX12" s="569"/>
      <c r="CVY12" s="569"/>
      <c r="CVZ12" s="569"/>
      <c r="CWA12" s="569"/>
      <c r="CWB12" s="569"/>
      <c r="CWC12" s="569"/>
      <c r="CWD12" s="569"/>
      <c r="CWE12" s="569"/>
      <c r="CWF12" s="569"/>
      <c r="CWG12" s="569"/>
      <c r="CWH12" s="569"/>
      <c r="CWI12" s="569"/>
      <c r="CWJ12" s="569"/>
      <c r="CWK12" s="569"/>
      <c r="CWL12" s="569"/>
      <c r="CWM12" s="569"/>
      <c r="CWN12" s="569"/>
      <c r="CWO12" s="569"/>
      <c r="CWP12" s="569"/>
      <c r="CWQ12" s="569"/>
      <c r="CWR12" s="569"/>
      <c r="CWS12" s="569"/>
      <c r="CWT12" s="569"/>
      <c r="CWU12" s="569"/>
      <c r="CWV12" s="569"/>
      <c r="CWW12" s="569"/>
      <c r="CWX12" s="569"/>
      <c r="CWY12" s="569"/>
      <c r="CWZ12" s="569"/>
      <c r="CXA12" s="569"/>
      <c r="CXB12" s="569"/>
      <c r="CXC12" s="569"/>
      <c r="CXD12" s="569"/>
      <c r="CXE12" s="569"/>
      <c r="CXF12" s="569"/>
      <c r="CXG12" s="569"/>
      <c r="CXH12" s="569"/>
      <c r="CXI12" s="569"/>
      <c r="CXJ12" s="569"/>
      <c r="CXK12" s="569"/>
      <c r="CXL12" s="569"/>
      <c r="CXM12" s="569"/>
      <c r="CXN12" s="569"/>
      <c r="CXO12" s="569"/>
      <c r="CXP12" s="569"/>
      <c r="CXQ12" s="569"/>
      <c r="CXR12" s="569"/>
      <c r="CXS12" s="569"/>
      <c r="CXT12" s="569"/>
      <c r="CXU12" s="569"/>
      <c r="CXV12" s="569"/>
      <c r="CXW12" s="569"/>
      <c r="CXX12" s="569"/>
      <c r="CXY12" s="569"/>
      <c r="CXZ12" s="569"/>
      <c r="CYA12" s="569"/>
      <c r="CYB12" s="569"/>
      <c r="CYC12" s="569"/>
      <c r="CYD12" s="569"/>
      <c r="CYE12" s="569"/>
      <c r="CYF12" s="569"/>
      <c r="CYG12" s="569"/>
      <c r="CYH12" s="569"/>
      <c r="CYI12" s="569"/>
      <c r="CYJ12" s="569"/>
      <c r="CYK12" s="569"/>
      <c r="CYL12" s="569"/>
      <c r="CYM12" s="569"/>
      <c r="CYN12" s="569"/>
      <c r="CYO12" s="569"/>
      <c r="CYP12" s="569"/>
      <c r="CYQ12" s="569"/>
      <c r="CYR12" s="569"/>
      <c r="CYS12" s="569"/>
      <c r="CYT12" s="569"/>
      <c r="CYU12" s="569"/>
      <c r="CYV12" s="569"/>
      <c r="CYW12" s="569"/>
      <c r="CYX12" s="569"/>
      <c r="CYY12" s="569"/>
      <c r="CYZ12" s="569"/>
      <c r="CZA12" s="569"/>
      <c r="CZB12" s="569"/>
      <c r="CZC12" s="569"/>
      <c r="CZD12" s="569"/>
      <c r="CZE12" s="569"/>
      <c r="CZF12" s="569"/>
      <c r="CZG12" s="569"/>
      <c r="CZH12" s="569"/>
      <c r="CZI12" s="569"/>
      <c r="CZJ12" s="569"/>
      <c r="CZK12" s="569"/>
      <c r="CZL12" s="569"/>
      <c r="CZM12" s="569"/>
      <c r="CZN12" s="569"/>
      <c r="CZO12" s="569"/>
      <c r="CZP12" s="569"/>
      <c r="CZQ12" s="569"/>
      <c r="CZR12" s="569"/>
      <c r="CZS12" s="569"/>
      <c r="CZT12" s="569"/>
      <c r="CZU12" s="569"/>
      <c r="CZV12" s="569"/>
      <c r="CZW12" s="569"/>
      <c r="CZX12" s="569"/>
      <c r="CZY12" s="569"/>
      <c r="CZZ12" s="569"/>
      <c r="DAA12" s="569"/>
      <c r="DAB12" s="569"/>
      <c r="DAC12" s="569"/>
      <c r="DAD12" s="569"/>
      <c r="DAE12" s="569"/>
      <c r="DAF12" s="569"/>
      <c r="DAG12" s="569"/>
      <c r="DAH12" s="569"/>
      <c r="DAI12" s="569"/>
      <c r="DAJ12" s="569"/>
      <c r="DAK12" s="569"/>
      <c r="DAL12" s="569"/>
      <c r="DAM12" s="569"/>
      <c r="DAN12" s="569"/>
      <c r="DAO12" s="569"/>
      <c r="DAP12" s="569"/>
      <c r="DAQ12" s="569"/>
      <c r="DAR12" s="569"/>
      <c r="DAS12" s="569"/>
      <c r="DAT12" s="569"/>
      <c r="DAU12" s="569"/>
      <c r="DAV12" s="569"/>
      <c r="DAW12" s="569"/>
      <c r="DAX12" s="569"/>
      <c r="DAY12" s="569"/>
      <c r="DAZ12" s="569"/>
      <c r="DBA12" s="569"/>
      <c r="DBB12" s="569"/>
      <c r="DBC12" s="569"/>
      <c r="DBD12" s="569"/>
      <c r="DBE12" s="569"/>
      <c r="DBF12" s="569"/>
      <c r="DBG12" s="569"/>
      <c r="DBH12" s="569"/>
      <c r="DBI12" s="569"/>
      <c r="DBJ12" s="569"/>
      <c r="DBK12" s="569"/>
      <c r="DBL12" s="569"/>
      <c r="DBM12" s="569"/>
      <c r="DBN12" s="569"/>
      <c r="DBO12" s="569"/>
      <c r="DBP12" s="569"/>
      <c r="DBQ12" s="569"/>
      <c r="DBR12" s="569"/>
      <c r="DBS12" s="569"/>
      <c r="DBT12" s="569"/>
      <c r="DBU12" s="569"/>
      <c r="DBV12" s="569"/>
      <c r="DBW12" s="569"/>
      <c r="DBX12" s="569"/>
      <c r="DBY12" s="569"/>
      <c r="DBZ12" s="569"/>
      <c r="DCA12" s="569"/>
      <c r="DCB12" s="569"/>
      <c r="DCC12" s="569"/>
      <c r="DCD12" s="569"/>
      <c r="DCE12" s="569"/>
      <c r="DCF12" s="569"/>
      <c r="DCG12" s="569"/>
      <c r="DCH12" s="569"/>
      <c r="DCI12" s="569"/>
      <c r="DCJ12" s="569"/>
      <c r="DCK12" s="569"/>
      <c r="DCL12" s="569"/>
      <c r="DCM12" s="569"/>
      <c r="DCN12" s="569"/>
      <c r="DCO12" s="569"/>
      <c r="DCP12" s="569"/>
      <c r="DCQ12" s="569"/>
      <c r="DCR12" s="569"/>
      <c r="DCS12" s="569"/>
      <c r="DCT12" s="569"/>
      <c r="DCU12" s="569"/>
      <c r="DCV12" s="569"/>
      <c r="DCW12" s="569"/>
      <c r="DCX12" s="569"/>
      <c r="DCY12" s="569"/>
      <c r="DCZ12" s="569"/>
      <c r="DDA12" s="569"/>
      <c r="DDB12" s="569"/>
      <c r="DDC12" s="569"/>
      <c r="DDD12" s="569"/>
      <c r="DDE12" s="569"/>
      <c r="DDF12" s="569"/>
      <c r="DDG12" s="569"/>
      <c r="DDH12" s="569"/>
      <c r="DDI12" s="569"/>
      <c r="DDJ12" s="569"/>
      <c r="DDK12" s="569"/>
      <c r="DDL12" s="569"/>
      <c r="DDM12" s="569"/>
      <c r="DDN12" s="569"/>
      <c r="DDO12" s="569"/>
      <c r="DDP12" s="569"/>
      <c r="DDQ12" s="569"/>
      <c r="DDR12" s="569"/>
      <c r="DDS12" s="569"/>
      <c r="DDT12" s="569"/>
      <c r="DDU12" s="569"/>
      <c r="DDV12" s="569"/>
      <c r="DDW12" s="569"/>
      <c r="DDX12" s="569"/>
      <c r="DDY12" s="569"/>
      <c r="DDZ12" s="569"/>
      <c r="DEA12" s="569"/>
      <c r="DEB12" s="569"/>
      <c r="DEC12" s="569"/>
      <c r="DED12" s="569"/>
      <c r="DEE12" s="569"/>
      <c r="DEF12" s="569"/>
      <c r="DEG12" s="569"/>
      <c r="DEH12" s="569"/>
      <c r="DEI12" s="569"/>
      <c r="DEJ12" s="569"/>
      <c r="DEK12" s="569"/>
      <c r="DEL12" s="569"/>
      <c r="DEM12" s="569"/>
      <c r="DEN12" s="569"/>
      <c r="DEO12" s="569"/>
      <c r="DEP12" s="569"/>
      <c r="DEQ12" s="569"/>
      <c r="DER12" s="569"/>
      <c r="DES12" s="569"/>
      <c r="DET12" s="569"/>
      <c r="DEU12" s="569"/>
      <c r="DEV12" s="569"/>
      <c r="DEW12" s="569"/>
      <c r="DEX12" s="569"/>
      <c r="DEY12" s="569"/>
      <c r="DEZ12" s="569"/>
      <c r="DFA12" s="569"/>
      <c r="DFB12" s="569"/>
      <c r="DFC12" s="569"/>
      <c r="DFD12" s="569"/>
      <c r="DFE12" s="569"/>
      <c r="DFF12" s="569"/>
      <c r="DFG12" s="569"/>
      <c r="DFH12" s="569"/>
      <c r="DFI12" s="569"/>
      <c r="DFJ12" s="569"/>
      <c r="DFK12" s="569"/>
      <c r="DFL12" s="569"/>
      <c r="DFM12" s="569"/>
      <c r="DFN12" s="569"/>
      <c r="DFO12" s="569"/>
      <c r="DFP12" s="569"/>
      <c r="DFQ12" s="569"/>
      <c r="DFR12" s="569"/>
      <c r="DFS12" s="569"/>
      <c r="DFT12" s="569"/>
      <c r="DFU12" s="569"/>
      <c r="DFV12" s="569"/>
      <c r="DFW12" s="569"/>
      <c r="DFX12" s="569"/>
      <c r="DFY12" s="569"/>
      <c r="DFZ12" s="569"/>
      <c r="DGA12" s="569"/>
      <c r="DGB12" s="569"/>
      <c r="DGC12" s="569"/>
      <c r="DGD12" s="569"/>
      <c r="DGE12" s="569"/>
      <c r="DGF12" s="569"/>
      <c r="DGG12" s="569"/>
      <c r="DGH12" s="569"/>
      <c r="DGI12" s="569"/>
      <c r="DGJ12" s="569"/>
      <c r="DGK12" s="569"/>
      <c r="DGL12" s="569"/>
      <c r="DGM12" s="569"/>
      <c r="DGN12" s="569"/>
      <c r="DGO12" s="569"/>
      <c r="DGP12" s="569"/>
      <c r="DGQ12" s="569"/>
      <c r="DGR12" s="569"/>
      <c r="DGS12" s="569"/>
      <c r="DGT12" s="569"/>
      <c r="DGU12" s="569"/>
      <c r="DGV12" s="569"/>
      <c r="DGW12" s="569"/>
      <c r="DGX12" s="569"/>
      <c r="DGY12" s="569"/>
      <c r="DGZ12" s="569"/>
      <c r="DHA12" s="569"/>
      <c r="DHB12" s="569"/>
      <c r="DHC12" s="569"/>
      <c r="DHD12" s="569"/>
      <c r="DHE12" s="569"/>
      <c r="DHF12" s="569"/>
      <c r="DHG12" s="569"/>
      <c r="DHH12" s="569"/>
      <c r="DHI12" s="569"/>
      <c r="DHJ12" s="569"/>
      <c r="DHK12" s="569"/>
      <c r="DHL12" s="569"/>
      <c r="DHM12" s="569"/>
      <c r="DHN12" s="569"/>
      <c r="DHO12" s="569"/>
      <c r="DHP12" s="569"/>
      <c r="DHQ12" s="569"/>
      <c r="DHR12" s="569"/>
      <c r="DHS12" s="569"/>
      <c r="DHT12" s="569"/>
      <c r="DHU12" s="569"/>
      <c r="DHV12" s="569"/>
      <c r="DHW12" s="569"/>
      <c r="DHX12" s="569"/>
      <c r="DHY12" s="569"/>
      <c r="DHZ12" s="569"/>
      <c r="DIA12" s="569"/>
      <c r="DIB12" s="569"/>
      <c r="DIC12" s="569"/>
      <c r="DID12" s="569"/>
      <c r="DIE12" s="569"/>
      <c r="DIF12" s="569"/>
      <c r="DIG12" s="569"/>
      <c r="DIH12" s="569"/>
      <c r="DII12" s="569"/>
      <c r="DIJ12" s="569"/>
      <c r="DIK12" s="569"/>
      <c r="DIL12" s="569"/>
      <c r="DIM12" s="569"/>
      <c r="DIN12" s="569"/>
      <c r="DIO12" s="569"/>
      <c r="DIP12" s="569"/>
      <c r="DIQ12" s="569"/>
      <c r="DIR12" s="569"/>
      <c r="DIS12" s="569"/>
      <c r="DIT12" s="569"/>
      <c r="DIU12" s="569"/>
      <c r="DIV12" s="569"/>
      <c r="DIW12" s="569"/>
      <c r="DIX12" s="569"/>
      <c r="DIY12" s="569"/>
      <c r="DIZ12" s="569"/>
      <c r="DJA12" s="569"/>
      <c r="DJB12" s="569"/>
      <c r="DJC12" s="569"/>
      <c r="DJD12" s="569"/>
      <c r="DJE12" s="569"/>
      <c r="DJF12" s="569"/>
      <c r="DJG12" s="569"/>
      <c r="DJH12" s="569"/>
      <c r="DJI12" s="569"/>
      <c r="DJJ12" s="569"/>
      <c r="DJK12" s="569"/>
      <c r="DJL12" s="569"/>
      <c r="DJM12" s="569"/>
      <c r="DJN12" s="569"/>
      <c r="DJO12" s="569"/>
      <c r="DJP12" s="569"/>
      <c r="DJQ12" s="569"/>
      <c r="DJR12" s="569"/>
      <c r="DJS12" s="569"/>
      <c r="DJT12" s="569"/>
      <c r="DJU12" s="569"/>
      <c r="DJV12" s="569"/>
      <c r="DJW12" s="569"/>
      <c r="DJX12" s="569"/>
      <c r="DJY12" s="569"/>
      <c r="DJZ12" s="569"/>
      <c r="DKA12" s="569"/>
      <c r="DKB12" s="569"/>
      <c r="DKC12" s="569"/>
      <c r="DKD12" s="569"/>
      <c r="DKE12" s="569"/>
      <c r="DKF12" s="569"/>
      <c r="DKG12" s="569"/>
      <c r="DKH12" s="569"/>
      <c r="DKI12" s="569"/>
      <c r="DKJ12" s="569"/>
      <c r="DKK12" s="569"/>
      <c r="DKL12" s="569"/>
      <c r="DKM12" s="569"/>
      <c r="DKN12" s="569"/>
      <c r="DKO12" s="569"/>
      <c r="DKP12" s="569"/>
      <c r="DKQ12" s="569"/>
      <c r="DKR12" s="569"/>
      <c r="DKS12" s="569"/>
      <c r="DKT12" s="569"/>
      <c r="DKU12" s="569"/>
      <c r="DKV12" s="569"/>
      <c r="DKW12" s="569"/>
      <c r="DKX12" s="569"/>
      <c r="DKY12" s="569"/>
      <c r="DKZ12" s="569"/>
      <c r="DLA12" s="569"/>
      <c r="DLB12" s="569"/>
      <c r="DLC12" s="569"/>
      <c r="DLD12" s="569"/>
      <c r="DLE12" s="569"/>
      <c r="DLF12" s="569"/>
      <c r="DLG12" s="569"/>
      <c r="DLH12" s="569"/>
      <c r="DLI12" s="569"/>
      <c r="DLJ12" s="569"/>
      <c r="DLK12" s="569"/>
      <c r="DLL12" s="569"/>
      <c r="DLM12" s="569"/>
      <c r="DLN12" s="569"/>
      <c r="DLO12" s="569"/>
      <c r="DLP12" s="569"/>
      <c r="DLQ12" s="569"/>
      <c r="DLR12" s="569"/>
      <c r="DLS12" s="569"/>
      <c r="DLT12" s="569"/>
      <c r="DLU12" s="569"/>
      <c r="DLV12" s="569"/>
      <c r="DLW12" s="569"/>
      <c r="DLX12" s="569"/>
      <c r="DLY12" s="569"/>
      <c r="DLZ12" s="569"/>
      <c r="DMA12" s="569"/>
      <c r="DMB12" s="569"/>
      <c r="DMC12" s="569"/>
      <c r="DMD12" s="569"/>
      <c r="DME12" s="569"/>
      <c r="DMF12" s="569"/>
      <c r="DMG12" s="569"/>
      <c r="DMH12" s="569"/>
      <c r="DMI12" s="569"/>
      <c r="DMJ12" s="569"/>
      <c r="DMK12" s="569"/>
      <c r="DML12" s="569"/>
      <c r="DMM12" s="569"/>
      <c r="DMN12" s="569"/>
      <c r="DMO12" s="569"/>
      <c r="DMP12" s="569"/>
      <c r="DMQ12" s="569"/>
      <c r="DMR12" s="569"/>
      <c r="DMS12" s="569"/>
      <c r="DMT12" s="569"/>
      <c r="DMU12" s="569"/>
      <c r="DMV12" s="569"/>
      <c r="DMW12" s="569"/>
      <c r="DMX12" s="569"/>
      <c r="DMY12" s="569"/>
      <c r="DMZ12" s="569"/>
      <c r="DNA12" s="569"/>
      <c r="DNB12" s="569"/>
      <c r="DNC12" s="569"/>
      <c r="DND12" s="569"/>
      <c r="DNE12" s="569"/>
      <c r="DNF12" s="569"/>
      <c r="DNG12" s="569"/>
      <c r="DNH12" s="569"/>
      <c r="DNI12" s="569"/>
      <c r="DNJ12" s="569"/>
      <c r="DNK12" s="569"/>
      <c r="DNL12" s="569"/>
      <c r="DNM12" s="569"/>
      <c r="DNN12" s="569"/>
      <c r="DNO12" s="569"/>
      <c r="DNP12" s="569"/>
      <c r="DNQ12" s="569"/>
      <c r="DNR12" s="569"/>
      <c r="DNS12" s="569"/>
      <c r="DNT12" s="569"/>
      <c r="DNU12" s="569"/>
      <c r="DNV12" s="569"/>
      <c r="DNW12" s="569"/>
      <c r="DNX12" s="569"/>
      <c r="DNY12" s="569"/>
      <c r="DNZ12" s="569"/>
      <c r="DOA12" s="569"/>
      <c r="DOB12" s="569"/>
      <c r="DOC12" s="569"/>
      <c r="DOD12" s="569"/>
      <c r="DOE12" s="569"/>
      <c r="DOF12" s="569"/>
      <c r="DOG12" s="569"/>
      <c r="DOH12" s="569"/>
      <c r="DOI12" s="569"/>
      <c r="DOJ12" s="569"/>
      <c r="DOK12" s="569"/>
      <c r="DOL12" s="569"/>
      <c r="DOM12" s="569"/>
      <c r="DON12" s="569"/>
      <c r="DOO12" s="569"/>
      <c r="DOP12" s="569"/>
      <c r="DOQ12" s="569"/>
      <c r="DOR12" s="569"/>
      <c r="DOS12" s="569"/>
      <c r="DOT12" s="569"/>
      <c r="DOU12" s="569"/>
      <c r="DOV12" s="569"/>
      <c r="DOW12" s="569"/>
      <c r="DOX12" s="569"/>
      <c r="DOY12" s="569"/>
      <c r="DOZ12" s="569"/>
      <c r="DPA12" s="569"/>
      <c r="DPB12" s="569"/>
      <c r="DPC12" s="569"/>
      <c r="DPD12" s="569"/>
      <c r="DPE12" s="569"/>
      <c r="DPF12" s="569"/>
      <c r="DPG12" s="569"/>
      <c r="DPH12" s="569"/>
      <c r="DPI12" s="569"/>
      <c r="DPJ12" s="569"/>
      <c r="DPK12" s="569"/>
      <c r="DPL12" s="569"/>
      <c r="DPM12" s="569"/>
      <c r="DPN12" s="569"/>
      <c r="DPO12" s="569"/>
      <c r="DPP12" s="569"/>
      <c r="DPQ12" s="569"/>
      <c r="DPR12" s="569"/>
      <c r="DPS12" s="569"/>
      <c r="DPT12" s="569"/>
      <c r="DPU12" s="569"/>
      <c r="DPV12" s="569"/>
      <c r="DPW12" s="569"/>
      <c r="DPX12" s="569"/>
      <c r="DPY12" s="569"/>
      <c r="DPZ12" s="569"/>
      <c r="DQA12" s="569"/>
      <c r="DQB12" s="569"/>
      <c r="DQC12" s="569"/>
      <c r="DQD12" s="569"/>
      <c r="DQE12" s="569"/>
      <c r="DQF12" s="569"/>
      <c r="DQG12" s="569"/>
      <c r="DQH12" s="569"/>
      <c r="DQI12" s="569"/>
      <c r="DQJ12" s="569"/>
      <c r="DQK12" s="569"/>
      <c r="DQL12" s="569"/>
      <c r="DQM12" s="569"/>
      <c r="DQN12" s="569"/>
      <c r="DQO12" s="569"/>
      <c r="DQP12" s="569"/>
      <c r="DQQ12" s="569"/>
      <c r="DQR12" s="569"/>
      <c r="DQS12" s="569"/>
      <c r="DQT12" s="569"/>
      <c r="DQU12" s="569"/>
      <c r="DQV12" s="569"/>
      <c r="DQW12" s="569"/>
      <c r="DQX12" s="569"/>
      <c r="DQY12" s="569"/>
      <c r="DQZ12" s="569"/>
      <c r="DRA12" s="569"/>
      <c r="DRB12" s="569"/>
      <c r="DRC12" s="569"/>
      <c r="DRD12" s="569"/>
      <c r="DRE12" s="569"/>
      <c r="DRF12" s="569"/>
      <c r="DRG12" s="569"/>
      <c r="DRH12" s="569"/>
      <c r="DRI12" s="569"/>
      <c r="DRJ12" s="569"/>
      <c r="DRK12" s="569"/>
      <c r="DRL12" s="569"/>
      <c r="DRM12" s="569"/>
      <c r="DRN12" s="569"/>
      <c r="DRO12" s="569"/>
      <c r="DRP12" s="569"/>
      <c r="DRQ12" s="569"/>
      <c r="DRR12" s="569"/>
      <c r="DRS12" s="569"/>
      <c r="DRT12" s="569"/>
      <c r="DRU12" s="569"/>
      <c r="DRV12" s="569"/>
      <c r="DRW12" s="569"/>
      <c r="DRX12" s="569"/>
      <c r="DRY12" s="569"/>
      <c r="DRZ12" s="569"/>
      <c r="DSA12" s="569"/>
      <c r="DSB12" s="569"/>
      <c r="DSC12" s="569"/>
      <c r="DSD12" s="569"/>
      <c r="DSE12" s="569"/>
      <c r="DSF12" s="569"/>
      <c r="DSG12" s="569"/>
      <c r="DSH12" s="569"/>
      <c r="DSI12" s="569"/>
      <c r="DSJ12" s="569"/>
      <c r="DSK12" s="569"/>
      <c r="DSL12" s="569"/>
      <c r="DSM12" s="569"/>
      <c r="DSN12" s="569"/>
      <c r="DSO12" s="569"/>
      <c r="DSP12" s="569"/>
      <c r="DSQ12" s="569"/>
      <c r="DSR12" s="569"/>
      <c r="DSS12" s="569"/>
      <c r="DST12" s="569"/>
      <c r="DSU12" s="569"/>
      <c r="DSV12" s="569"/>
      <c r="DSW12" s="569"/>
      <c r="DSX12" s="569"/>
      <c r="DSY12" s="569"/>
      <c r="DSZ12" s="569"/>
      <c r="DTA12" s="569"/>
      <c r="DTB12" s="569"/>
      <c r="DTC12" s="569"/>
      <c r="DTD12" s="569"/>
      <c r="DTE12" s="569"/>
      <c r="DTF12" s="569"/>
      <c r="DTG12" s="569"/>
      <c r="DTH12" s="569"/>
      <c r="DTI12" s="569"/>
      <c r="DTJ12" s="569"/>
      <c r="DTK12" s="569"/>
      <c r="DTL12" s="569"/>
      <c r="DTM12" s="569"/>
      <c r="DTN12" s="569"/>
      <c r="DTO12" s="569"/>
      <c r="DTP12" s="569"/>
      <c r="DTQ12" s="569"/>
      <c r="DTR12" s="569"/>
      <c r="DTS12" s="569"/>
      <c r="DTT12" s="569"/>
      <c r="DTU12" s="569"/>
      <c r="DTV12" s="569"/>
      <c r="DTW12" s="569"/>
      <c r="DTX12" s="569"/>
      <c r="DTY12" s="569"/>
      <c r="DTZ12" s="569"/>
      <c r="DUA12" s="569"/>
      <c r="DUB12" s="569"/>
      <c r="DUC12" s="569"/>
      <c r="DUD12" s="569"/>
      <c r="DUE12" s="569"/>
      <c r="DUF12" s="569"/>
      <c r="DUG12" s="569"/>
      <c r="DUH12" s="569"/>
      <c r="DUI12" s="569"/>
      <c r="DUJ12" s="569"/>
      <c r="DUK12" s="569"/>
      <c r="DUL12" s="569"/>
      <c r="DUM12" s="569"/>
      <c r="DUN12" s="569"/>
      <c r="DUO12" s="569"/>
      <c r="DUP12" s="569"/>
      <c r="DUQ12" s="569"/>
      <c r="DUR12" s="569"/>
      <c r="DUS12" s="569"/>
      <c r="DUT12" s="569"/>
      <c r="DUU12" s="569"/>
      <c r="DUV12" s="569"/>
      <c r="DUW12" s="569"/>
      <c r="DUX12" s="569"/>
      <c r="DUY12" s="569"/>
      <c r="DUZ12" s="569"/>
      <c r="DVA12" s="569"/>
      <c r="DVB12" s="569"/>
      <c r="DVC12" s="569"/>
      <c r="DVD12" s="569"/>
      <c r="DVE12" s="569"/>
      <c r="DVF12" s="569"/>
      <c r="DVG12" s="569"/>
      <c r="DVH12" s="569"/>
      <c r="DVI12" s="569"/>
      <c r="DVJ12" s="569"/>
      <c r="DVK12" s="569"/>
      <c r="DVL12" s="569"/>
      <c r="DVM12" s="569"/>
      <c r="DVN12" s="569"/>
      <c r="DVO12" s="569"/>
      <c r="DVP12" s="569"/>
      <c r="DVQ12" s="569"/>
      <c r="DVR12" s="569"/>
      <c r="DVS12" s="569"/>
      <c r="DVT12" s="569"/>
      <c r="DVU12" s="569"/>
      <c r="DVV12" s="569"/>
      <c r="DVW12" s="569"/>
      <c r="DVX12" s="569"/>
      <c r="DVY12" s="569"/>
      <c r="DVZ12" s="569"/>
      <c r="DWA12" s="569"/>
      <c r="DWB12" s="569"/>
      <c r="DWC12" s="569"/>
      <c r="DWD12" s="569"/>
      <c r="DWE12" s="569"/>
      <c r="DWF12" s="569"/>
      <c r="DWG12" s="569"/>
      <c r="DWH12" s="569"/>
      <c r="DWI12" s="569"/>
      <c r="DWJ12" s="569"/>
      <c r="DWK12" s="569"/>
      <c r="DWL12" s="569"/>
      <c r="DWM12" s="569"/>
      <c r="DWN12" s="569"/>
      <c r="DWO12" s="569"/>
      <c r="DWP12" s="569"/>
      <c r="DWQ12" s="569"/>
      <c r="DWR12" s="569"/>
      <c r="DWS12" s="569"/>
      <c r="DWT12" s="569"/>
      <c r="DWU12" s="569"/>
      <c r="DWV12" s="569"/>
      <c r="DWW12" s="569"/>
      <c r="DWX12" s="569"/>
      <c r="DWY12" s="569"/>
      <c r="DWZ12" s="569"/>
      <c r="DXA12" s="569"/>
      <c r="DXB12" s="569"/>
      <c r="DXC12" s="569"/>
      <c r="DXD12" s="569"/>
      <c r="DXE12" s="569"/>
      <c r="DXF12" s="569"/>
      <c r="DXG12" s="569"/>
      <c r="DXH12" s="569"/>
      <c r="DXI12" s="569"/>
      <c r="DXJ12" s="569"/>
      <c r="DXK12" s="569"/>
      <c r="DXL12" s="569"/>
      <c r="DXM12" s="569"/>
      <c r="DXN12" s="569"/>
      <c r="DXO12" s="569"/>
      <c r="DXP12" s="569"/>
      <c r="DXQ12" s="569"/>
      <c r="DXR12" s="569"/>
      <c r="DXS12" s="569"/>
      <c r="DXT12" s="569"/>
      <c r="DXU12" s="569"/>
      <c r="DXV12" s="569"/>
      <c r="DXW12" s="569"/>
      <c r="DXX12" s="569"/>
      <c r="DXY12" s="569"/>
      <c r="DXZ12" s="569"/>
      <c r="DYA12" s="569"/>
      <c r="DYB12" s="569"/>
      <c r="DYC12" s="569"/>
      <c r="DYD12" s="569"/>
      <c r="DYE12" s="569"/>
      <c r="DYF12" s="569"/>
      <c r="DYG12" s="569"/>
      <c r="DYH12" s="569"/>
      <c r="DYI12" s="569"/>
      <c r="DYJ12" s="569"/>
      <c r="DYK12" s="569"/>
      <c r="DYL12" s="569"/>
      <c r="DYM12" s="569"/>
      <c r="DYN12" s="569"/>
      <c r="DYO12" s="569"/>
      <c r="DYP12" s="569"/>
      <c r="DYQ12" s="569"/>
      <c r="DYR12" s="569"/>
      <c r="DYS12" s="569"/>
      <c r="DYT12" s="569"/>
      <c r="DYU12" s="569"/>
      <c r="DYV12" s="569"/>
      <c r="DYW12" s="569"/>
      <c r="DYX12" s="569"/>
      <c r="DYY12" s="569"/>
      <c r="DYZ12" s="569"/>
      <c r="DZA12" s="569"/>
      <c r="DZB12" s="569"/>
      <c r="DZC12" s="569"/>
      <c r="DZD12" s="569"/>
      <c r="DZE12" s="569"/>
      <c r="DZF12" s="569"/>
      <c r="DZG12" s="569"/>
      <c r="DZH12" s="569"/>
      <c r="DZI12" s="569"/>
      <c r="DZJ12" s="569"/>
      <c r="DZK12" s="569"/>
      <c r="DZL12" s="569"/>
      <c r="DZM12" s="569"/>
      <c r="DZN12" s="569"/>
      <c r="DZO12" s="569"/>
      <c r="DZP12" s="569"/>
      <c r="DZQ12" s="569"/>
      <c r="DZR12" s="569"/>
      <c r="DZS12" s="569"/>
      <c r="DZT12" s="569"/>
      <c r="DZU12" s="569"/>
      <c r="DZV12" s="569"/>
      <c r="DZW12" s="569"/>
      <c r="DZX12" s="569"/>
      <c r="DZY12" s="569"/>
      <c r="DZZ12" s="569"/>
      <c r="EAA12" s="569"/>
      <c r="EAB12" s="569"/>
      <c r="EAC12" s="569"/>
      <c r="EAD12" s="569"/>
      <c r="EAE12" s="569"/>
      <c r="EAF12" s="569"/>
      <c r="EAG12" s="569"/>
      <c r="EAH12" s="569"/>
      <c r="EAI12" s="569"/>
      <c r="EAJ12" s="569"/>
      <c r="EAK12" s="569"/>
      <c r="EAL12" s="569"/>
      <c r="EAM12" s="569"/>
      <c r="EAN12" s="569"/>
      <c r="EAO12" s="569"/>
      <c r="EAP12" s="569"/>
      <c r="EAQ12" s="569"/>
      <c r="EAR12" s="569"/>
      <c r="EAS12" s="569"/>
      <c r="EAT12" s="569"/>
      <c r="EAU12" s="569"/>
      <c r="EAV12" s="569"/>
      <c r="EAW12" s="569"/>
      <c r="EAX12" s="569"/>
      <c r="EAY12" s="569"/>
      <c r="EAZ12" s="569"/>
      <c r="EBA12" s="569"/>
      <c r="EBB12" s="569"/>
      <c r="EBC12" s="569"/>
      <c r="EBD12" s="569"/>
      <c r="EBE12" s="569"/>
      <c r="EBF12" s="569"/>
      <c r="EBG12" s="569"/>
      <c r="EBH12" s="569"/>
      <c r="EBI12" s="569"/>
      <c r="EBJ12" s="569"/>
      <c r="EBK12" s="569"/>
      <c r="EBL12" s="569"/>
      <c r="EBM12" s="569"/>
      <c r="EBN12" s="569"/>
      <c r="EBO12" s="569"/>
      <c r="EBP12" s="569"/>
      <c r="EBQ12" s="569"/>
      <c r="EBR12" s="569"/>
      <c r="EBS12" s="569"/>
      <c r="EBT12" s="569"/>
      <c r="EBU12" s="569"/>
      <c r="EBV12" s="569"/>
      <c r="EBW12" s="569"/>
      <c r="EBX12" s="569"/>
      <c r="EBY12" s="569"/>
      <c r="EBZ12" s="569"/>
      <c r="ECA12" s="569"/>
      <c r="ECB12" s="569"/>
      <c r="ECC12" s="569"/>
      <c r="ECD12" s="569"/>
      <c r="ECE12" s="569"/>
      <c r="ECF12" s="569"/>
      <c r="ECG12" s="569"/>
      <c r="ECH12" s="569"/>
      <c r="ECI12" s="569"/>
      <c r="ECJ12" s="569"/>
      <c r="ECK12" s="569"/>
      <c r="ECL12" s="569"/>
      <c r="ECM12" s="569"/>
      <c r="ECN12" s="569"/>
      <c r="ECO12" s="569"/>
      <c r="ECP12" s="569"/>
      <c r="ECQ12" s="569"/>
      <c r="ECR12" s="569"/>
      <c r="ECS12" s="569"/>
      <c r="ECT12" s="569"/>
      <c r="ECU12" s="569"/>
      <c r="ECV12" s="569"/>
      <c r="ECW12" s="569"/>
      <c r="ECX12" s="569"/>
      <c r="ECY12" s="569"/>
      <c r="ECZ12" s="569"/>
      <c r="EDA12" s="569"/>
      <c r="EDB12" s="569"/>
      <c r="EDC12" s="569"/>
      <c r="EDD12" s="569"/>
      <c r="EDE12" s="569"/>
      <c r="EDF12" s="569"/>
      <c r="EDG12" s="569"/>
      <c r="EDH12" s="569"/>
      <c r="EDI12" s="569"/>
      <c r="EDJ12" s="569"/>
      <c r="EDK12" s="569"/>
      <c r="EDL12" s="569"/>
      <c r="EDM12" s="569"/>
      <c r="EDN12" s="569"/>
      <c r="EDO12" s="569"/>
      <c r="EDP12" s="569"/>
      <c r="EDQ12" s="569"/>
      <c r="EDR12" s="569"/>
      <c r="EDS12" s="569"/>
      <c r="EDT12" s="569"/>
      <c r="EDU12" s="569"/>
      <c r="EDV12" s="569"/>
      <c r="EDW12" s="569"/>
      <c r="EDX12" s="569"/>
      <c r="EDY12" s="569"/>
      <c r="EDZ12" s="569"/>
      <c r="EEA12" s="569"/>
      <c r="EEB12" s="569"/>
      <c r="EEC12" s="569"/>
      <c r="EED12" s="569"/>
      <c r="EEE12" s="569"/>
      <c r="EEF12" s="569"/>
      <c r="EEG12" s="569"/>
      <c r="EEH12" s="569"/>
      <c r="EEI12" s="569"/>
      <c r="EEJ12" s="569"/>
      <c r="EEK12" s="569"/>
      <c r="EEL12" s="569"/>
      <c r="EEM12" s="569"/>
      <c r="EEN12" s="569"/>
      <c r="EEO12" s="569"/>
      <c r="EEP12" s="569"/>
      <c r="EEQ12" s="569"/>
      <c r="EER12" s="569"/>
      <c r="EES12" s="569"/>
      <c r="EET12" s="569"/>
      <c r="EEU12" s="569"/>
      <c r="EEV12" s="569"/>
      <c r="EEW12" s="569"/>
      <c r="EEX12" s="569"/>
      <c r="EEY12" s="569"/>
      <c r="EEZ12" s="569"/>
      <c r="EFA12" s="569"/>
      <c r="EFB12" s="569"/>
      <c r="EFC12" s="569"/>
      <c r="EFD12" s="569"/>
      <c r="EFE12" s="569"/>
      <c r="EFF12" s="569"/>
      <c r="EFG12" s="569"/>
      <c r="EFH12" s="569"/>
      <c r="EFI12" s="569"/>
      <c r="EFJ12" s="569"/>
      <c r="EFK12" s="569"/>
      <c r="EFL12" s="569"/>
      <c r="EFM12" s="569"/>
      <c r="EFN12" s="569"/>
      <c r="EFO12" s="569"/>
      <c r="EFP12" s="569"/>
      <c r="EFQ12" s="569"/>
      <c r="EFR12" s="569"/>
      <c r="EFS12" s="569"/>
      <c r="EFT12" s="569"/>
      <c r="EFU12" s="569"/>
      <c r="EFV12" s="569"/>
      <c r="EFW12" s="569"/>
      <c r="EFX12" s="569"/>
      <c r="EFY12" s="569"/>
      <c r="EFZ12" s="569"/>
      <c r="EGA12" s="569"/>
      <c r="EGB12" s="569"/>
      <c r="EGC12" s="569"/>
      <c r="EGD12" s="569"/>
      <c r="EGE12" s="569"/>
      <c r="EGF12" s="569"/>
      <c r="EGG12" s="569"/>
      <c r="EGH12" s="569"/>
      <c r="EGI12" s="569"/>
      <c r="EGJ12" s="569"/>
      <c r="EGK12" s="569"/>
      <c r="EGL12" s="569"/>
      <c r="EGM12" s="569"/>
      <c r="EGN12" s="569"/>
      <c r="EGO12" s="569"/>
      <c r="EGP12" s="569"/>
      <c r="EGQ12" s="569"/>
      <c r="EGR12" s="569"/>
      <c r="EGS12" s="569"/>
      <c r="EGT12" s="569"/>
      <c r="EGU12" s="569"/>
      <c r="EGV12" s="569"/>
      <c r="EGW12" s="569"/>
      <c r="EGX12" s="569"/>
      <c r="EGY12" s="569"/>
      <c r="EGZ12" s="569"/>
      <c r="EHA12" s="569"/>
      <c r="EHB12" s="569"/>
      <c r="EHC12" s="569"/>
      <c r="EHD12" s="569"/>
      <c r="EHE12" s="569"/>
      <c r="EHF12" s="569"/>
      <c r="EHG12" s="569"/>
      <c r="EHH12" s="569"/>
      <c r="EHI12" s="569"/>
      <c r="EHJ12" s="569"/>
      <c r="EHK12" s="569"/>
      <c r="EHL12" s="569"/>
      <c r="EHM12" s="569"/>
      <c r="EHN12" s="569"/>
      <c r="EHO12" s="569"/>
      <c r="EHP12" s="569"/>
      <c r="EHQ12" s="569"/>
      <c r="EHR12" s="569"/>
      <c r="EHS12" s="569"/>
      <c r="EHT12" s="569"/>
      <c r="EHU12" s="569"/>
      <c r="EHV12" s="569"/>
      <c r="EHW12" s="569"/>
      <c r="EHX12" s="569"/>
      <c r="EHY12" s="569"/>
      <c r="EHZ12" s="569"/>
      <c r="EIA12" s="569"/>
      <c r="EIB12" s="569"/>
      <c r="EIC12" s="569"/>
      <c r="EID12" s="569"/>
      <c r="EIE12" s="569"/>
      <c r="EIF12" s="569"/>
      <c r="EIG12" s="569"/>
      <c r="EIH12" s="569"/>
      <c r="EII12" s="569"/>
      <c r="EIJ12" s="569"/>
      <c r="EIK12" s="569"/>
      <c r="EIL12" s="569"/>
      <c r="EIM12" s="569"/>
      <c r="EIN12" s="569"/>
      <c r="EIO12" s="569"/>
      <c r="EIP12" s="569"/>
      <c r="EIQ12" s="569"/>
      <c r="EIR12" s="569"/>
      <c r="EIS12" s="569"/>
      <c r="EIT12" s="569"/>
      <c r="EIU12" s="569"/>
      <c r="EIV12" s="569"/>
      <c r="EIW12" s="569"/>
      <c r="EIX12" s="569"/>
      <c r="EIY12" s="569"/>
      <c r="EIZ12" s="569"/>
      <c r="EJA12" s="569"/>
      <c r="EJB12" s="569"/>
      <c r="EJC12" s="569"/>
      <c r="EJD12" s="569"/>
      <c r="EJE12" s="569"/>
      <c r="EJF12" s="569"/>
      <c r="EJG12" s="569"/>
      <c r="EJH12" s="569"/>
      <c r="EJI12" s="569"/>
      <c r="EJJ12" s="569"/>
      <c r="EJK12" s="569"/>
      <c r="EJL12" s="569"/>
      <c r="EJM12" s="569"/>
      <c r="EJN12" s="569"/>
      <c r="EJO12" s="569"/>
      <c r="EJP12" s="569"/>
      <c r="EJQ12" s="569"/>
      <c r="EJR12" s="569"/>
      <c r="EJS12" s="569"/>
      <c r="EJT12" s="569"/>
      <c r="EJU12" s="569"/>
      <c r="EJV12" s="569"/>
      <c r="EJW12" s="569"/>
      <c r="EJX12" s="569"/>
      <c r="EJY12" s="569"/>
      <c r="EJZ12" s="569"/>
      <c r="EKA12" s="569"/>
      <c r="EKB12" s="569"/>
      <c r="EKC12" s="569"/>
      <c r="EKD12" s="569"/>
      <c r="EKE12" s="569"/>
      <c r="EKF12" s="569"/>
      <c r="EKG12" s="569"/>
      <c r="EKH12" s="569"/>
      <c r="EKI12" s="569"/>
      <c r="EKJ12" s="569"/>
      <c r="EKK12" s="569"/>
      <c r="EKL12" s="569"/>
      <c r="EKM12" s="569"/>
      <c r="EKN12" s="569"/>
      <c r="EKO12" s="569"/>
      <c r="EKP12" s="569"/>
      <c r="EKQ12" s="569"/>
      <c r="EKR12" s="569"/>
      <c r="EKS12" s="569"/>
      <c r="EKT12" s="569"/>
      <c r="EKU12" s="569"/>
      <c r="EKV12" s="569"/>
      <c r="EKW12" s="569"/>
      <c r="EKX12" s="569"/>
      <c r="EKY12" s="569"/>
      <c r="EKZ12" s="569"/>
      <c r="ELA12" s="569"/>
      <c r="ELB12" s="569"/>
      <c r="ELC12" s="569"/>
      <c r="ELD12" s="569"/>
      <c r="ELE12" s="569"/>
      <c r="ELF12" s="569"/>
      <c r="ELG12" s="569"/>
      <c r="ELH12" s="569"/>
      <c r="ELI12" s="569"/>
      <c r="ELJ12" s="569"/>
      <c r="ELK12" s="569"/>
      <c r="ELL12" s="569"/>
      <c r="ELM12" s="569"/>
      <c r="ELN12" s="569"/>
      <c r="ELO12" s="569"/>
      <c r="ELP12" s="569"/>
      <c r="ELQ12" s="569"/>
      <c r="ELR12" s="569"/>
      <c r="ELS12" s="569"/>
      <c r="ELT12" s="569"/>
      <c r="ELU12" s="569"/>
      <c r="ELV12" s="569"/>
      <c r="ELW12" s="569"/>
      <c r="ELX12" s="569"/>
      <c r="ELY12" s="569"/>
      <c r="ELZ12" s="569"/>
      <c r="EMA12" s="569"/>
      <c r="EMB12" s="569"/>
      <c r="EMC12" s="569"/>
      <c r="EMD12" s="569"/>
      <c r="EME12" s="569"/>
      <c r="EMF12" s="569"/>
      <c r="EMG12" s="569"/>
      <c r="EMH12" s="569"/>
      <c r="EMI12" s="569"/>
      <c r="EMJ12" s="569"/>
      <c r="EMK12" s="569"/>
      <c r="EML12" s="569"/>
      <c r="EMM12" s="569"/>
      <c r="EMN12" s="569"/>
      <c r="EMO12" s="569"/>
      <c r="EMP12" s="569"/>
      <c r="EMQ12" s="569"/>
      <c r="EMR12" s="569"/>
      <c r="EMS12" s="569"/>
      <c r="EMT12" s="569"/>
      <c r="EMU12" s="569"/>
      <c r="EMV12" s="569"/>
      <c r="EMW12" s="569"/>
      <c r="EMX12" s="569"/>
      <c r="EMY12" s="569"/>
      <c r="EMZ12" s="569"/>
      <c r="ENA12" s="569"/>
      <c r="ENB12" s="569"/>
      <c r="ENC12" s="569"/>
      <c r="END12" s="569"/>
      <c r="ENE12" s="569"/>
      <c r="ENF12" s="569"/>
      <c r="ENG12" s="569"/>
      <c r="ENH12" s="569"/>
      <c r="ENI12" s="569"/>
      <c r="ENJ12" s="569"/>
      <c r="ENK12" s="569"/>
      <c r="ENL12" s="569"/>
      <c r="ENM12" s="569"/>
      <c r="ENN12" s="569"/>
      <c r="ENO12" s="569"/>
      <c r="ENP12" s="569"/>
      <c r="ENQ12" s="569"/>
      <c r="ENR12" s="569"/>
      <c r="ENS12" s="569"/>
      <c r="ENT12" s="569"/>
      <c r="ENU12" s="569"/>
      <c r="ENV12" s="569"/>
      <c r="ENW12" s="569"/>
      <c r="ENX12" s="569"/>
      <c r="ENY12" s="569"/>
      <c r="ENZ12" s="569"/>
      <c r="EOA12" s="569"/>
      <c r="EOB12" s="569"/>
      <c r="EOC12" s="569"/>
      <c r="EOD12" s="569"/>
      <c r="EOE12" s="569"/>
      <c r="EOF12" s="569"/>
      <c r="EOG12" s="569"/>
      <c r="EOH12" s="569"/>
      <c r="EOI12" s="569"/>
      <c r="EOJ12" s="569"/>
      <c r="EOK12" s="569"/>
      <c r="EOL12" s="569"/>
      <c r="EOM12" s="569"/>
      <c r="EON12" s="569"/>
      <c r="EOO12" s="569"/>
      <c r="EOP12" s="569"/>
      <c r="EOQ12" s="569"/>
      <c r="EOR12" s="569"/>
      <c r="EOS12" s="569"/>
      <c r="EOT12" s="569"/>
      <c r="EOU12" s="569"/>
      <c r="EOV12" s="569"/>
      <c r="EOW12" s="569"/>
      <c r="EOX12" s="569"/>
      <c r="EOY12" s="569"/>
      <c r="EOZ12" s="569"/>
      <c r="EPA12" s="569"/>
      <c r="EPB12" s="569"/>
      <c r="EPC12" s="569"/>
      <c r="EPD12" s="569"/>
      <c r="EPE12" s="569"/>
      <c r="EPF12" s="569"/>
      <c r="EPG12" s="569"/>
      <c r="EPH12" s="569"/>
      <c r="EPI12" s="569"/>
      <c r="EPJ12" s="569"/>
      <c r="EPK12" s="569"/>
      <c r="EPL12" s="569"/>
      <c r="EPM12" s="569"/>
      <c r="EPN12" s="569"/>
      <c r="EPO12" s="569"/>
      <c r="EPP12" s="569"/>
      <c r="EPQ12" s="569"/>
      <c r="EPR12" s="569"/>
      <c r="EPS12" s="569"/>
      <c r="EPT12" s="569"/>
      <c r="EPU12" s="569"/>
      <c r="EPV12" s="569"/>
      <c r="EPW12" s="569"/>
      <c r="EPX12" s="569"/>
      <c r="EPY12" s="569"/>
      <c r="EPZ12" s="569"/>
      <c r="EQA12" s="569"/>
      <c r="EQB12" s="569"/>
      <c r="EQC12" s="569"/>
      <c r="EQD12" s="569"/>
      <c r="EQE12" s="569"/>
      <c r="EQF12" s="569"/>
      <c r="EQG12" s="569"/>
      <c r="EQH12" s="569"/>
      <c r="EQI12" s="569"/>
      <c r="EQJ12" s="569"/>
      <c r="EQK12" s="569"/>
      <c r="EQL12" s="569"/>
      <c r="EQM12" s="569"/>
      <c r="EQN12" s="569"/>
      <c r="EQO12" s="569"/>
      <c r="EQP12" s="569"/>
      <c r="EQQ12" s="569"/>
      <c r="EQR12" s="569"/>
      <c r="EQS12" s="569"/>
      <c r="EQT12" s="569"/>
      <c r="EQU12" s="569"/>
      <c r="EQV12" s="569"/>
      <c r="EQW12" s="569"/>
      <c r="EQX12" s="569"/>
      <c r="EQY12" s="569"/>
      <c r="EQZ12" s="569"/>
      <c r="ERA12" s="569"/>
      <c r="ERB12" s="569"/>
      <c r="ERC12" s="569"/>
      <c r="ERD12" s="569"/>
      <c r="ERE12" s="569"/>
      <c r="ERF12" s="569"/>
      <c r="ERG12" s="569"/>
      <c r="ERH12" s="569"/>
      <c r="ERI12" s="569"/>
      <c r="ERJ12" s="569"/>
      <c r="ERK12" s="569"/>
      <c r="ERL12" s="569"/>
      <c r="ERM12" s="569"/>
      <c r="ERN12" s="569"/>
      <c r="ERO12" s="569"/>
      <c r="ERP12" s="569"/>
      <c r="ERQ12" s="569"/>
      <c r="ERR12" s="569"/>
      <c r="ERS12" s="569"/>
      <c r="ERT12" s="569"/>
      <c r="ERU12" s="569"/>
      <c r="ERV12" s="569"/>
      <c r="ERW12" s="569"/>
      <c r="ERX12" s="569"/>
      <c r="ERY12" s="569"/>
      <c r="ERZ12" s="569"/>
      <c r="ESA12" s="569"/>
      <c r="ESB12" s="569"/>
      <c r="ESC12" s="569"/>
      <c r="ESD12" s="569"/>
      <c r="ESE12" s="569"/>
      <c r="ESF12" s="569"/>
      <c r="ESG12" s="569"/>
      <c r="ESH12" s="569"/>
      <c r="ESI12" s="569"/>
      <c r="ESJ12" s="569"/>
      <c r="ESK12" s="569"/>
      <c r="ESL12" s="569"/>
      <c r="ESM12" s="569"/>
      <c r="ESN12" s="569"/>
      <c r="ESO12" s="569"/>
      <c r="ESP12" s="569"/>
      <c r="ESQ12" s="569"/>
      <c r="ESR12" s="569"/>
      <c r="ESS12" s="569"/>
      <c r="EST12" s="569"/>
      <c r="ESU12" s="569"/>
      <c r="ESV12" s="569"/>
      <c r="ESW12" s="569"/>
      <c r="ESX12" s="569"/>
      <c r="ESY12" s="569"/>
      <c r="ESZ12" s="569"/>
      <c r="ETA12" s="569"/>
      <c r="ETB12" s="569"/>
      <c r="ETC12" s="569"/>
      <c r="ETD12" s="569"/>
      <c r="ETE12" s="569"/>
      <c r="ETF12" s="569"/>
      <c r="ETG12" s="569"/>
      <c r="ETH12" s="569"/>
      <c r="ETI12" s="569"/>
      <c r="ETJ12" s="569"/>
      <c r="ETK12" s="569"/>
      <c r="ETL12" s="569"/>
      <c r="ETM12" s="569"/>
      <c r="ETN12" s="569"/>
      <c r="ETO12" s="569"/>
      <c r="ETP12" s="569"/>
      <c r="ETQ12" s="569"/>
      <c r="ETR12" s="569"/>
      <c r="ETS12" s="569"/>
      <c r="ETT12" s="569"/>
      <c r="ETU12" s="569"/>
      <c r="ETV12" s="569"/>
      <c r="ETW12" s="569"/>
      <c r="ETX12" s="569"/>
      <c r="ETY12" s="569"/>
      <c r="ETZ12" s="569"/>
      <c r="EUA12" s="569"/>
      <c r="EUB12" s="569"/>
      <c r="EUC12" s="569"/>
      <c r="EUD12" s="569"/>
      <c r="EUE12" s="569"/>
      <c r="EUF12" s="569"/>
      <c r="EUG12" s="569"/>
      <c r="EUH12" s="569"/>
      <c r="EUI12" s="569"/>
      <c r="EUJ12" s="569"/>
      <c r="EUK12" s="569"/>
      <c r="EUL12" s="569"/>
      <c r="EUM12" s="569"/>
      <c r="EUN12" s="569"/>
      <c r="EUO12" s="569"/>
      <c r="EUP12" s="569"/>
      <c r="EUQ12" s="569"/>
      <c r="EUR12" s="569"/>
      <c r="EUS12" s="569"/>
      <c r="EUT12" s="569"/>
      <c r="EUU12" s="569"/>
      <c r="EUV12" s="569"/>
      <c r="EUW12" s="569"/>
      <c r="EUX12" s="569"/>
      <c r="EUY12" s="569"/>
      <c r="EUZ12" s="569"/>
      <c r="EVA12" s="569"/>
      <c r="EVB12" s="569"/>
      <c r="EVC12" s="569"/>
      <c r="EVD12" s="569"/>
      <c r="EVE12" s="569"/>
      <c r="EVF12" s="569"/>
      <c r="EVG12" s="569"/>
      <c r="EVH12" s="569"/>
      <c r="EVI12" s="569"/>
      <c r="EVJ12" s="569"/>
      <c r="EVK12" s="569"/>
      <c r="EVL12" s="569"/>
      <c r="EVM12" s="569"/>
      <c r="EVN12" s="569"/>
      <c r="EVO12" s="569"/>
      <c r="EVP12" s="569"/>
      <c r="EVQ12" s="569"/>
      <c r="EVR12" s="569"/>
      <c r="EVS12" s="569"/>
      <c r="EVT12" s="569"/>
      <c r="EVU12" s="569"/>
      <c r="EVV12" s="569"/>
      <c r="EVW12" s="569"/>
      <c r="EVX12" s="569"/>
      <c r="EVY12" s="569"/>
      <c r="EVZ12" s="569"/>
      <c r="EWA12" s="569"/>
      <c r="EWB12" s="569"/>
      <c r="EWC12" s="569"/>
      <c r="EWD12" s="569"/>
      <c r="EWE12" s="569"/>
      <c r="EWF12" s="569"/>
      <c r="EWG12" s="569"/>
      <c r="EWH12" s="569"/>
      <c r="EWI12" s="569"/>
      <c r="EWJ12" s="569"/>
      <c r="EWK12" s="569"/>
      <c r="EWL12" s="569"/>
      <c r="EWM12" s="569"/>
      <c r="EWN12" s="569"/>
      <c r="EWO12" s="569"/>
      <c r="EWP12" s="569"/>
      <c r="EWQ12" s="569"/>
      <c r="EWR12" s="569"/>
      <c r="EWS12" s="569"/>
      <c r="EWT12" s="569"/>
      <c r="EWU12" s="569"/>
      <c r="EWV12" s="569"/>
      <c r="EWW12" s="569"/>
      <c r="EWX12" s="569"/>
      <c r="EWY12" s="569"/>
      <c r="EWZ12" s="569"/>
      <c r="EXA12" s="569"/>
      <c r="EXB12" s="569"/>
      <c r="EXC12" s="569"/>
      <c r="EXD12" s="569"/>
      <c r="EXE12" s="569"/>
      <c r="EXF12" s="569"/>
      <c r="EXG12" s="569"/>
      <c r="EXH12" s="569"/>
      <c r="EXI12" s="569"/>
      <c r="EXJ12" s="569"/>
      <c r="EXK12" s="569"/>
      <c r="EXL12" s="569"/>
      <c r="EXM12" s="569"/>
      <c r="EXN12" s="569"/>
      <c r="EXO12" s="569"/>
      <c r="EXP12" s="569"/>
      <c r="EXQ12" s="569"/>
      <c r="EXR12" s="569"/>
      <c r="EXS12" s="569"/>
      <c r="EXT12" s="569"/>
      <c r="EXU12" s="569"/>
      <c r="EXV12" s="569"/>
      <c r="EXW12" s="569"/>
      <c r="EXX12" s="569"/>
      <c r="EXY12" s="569"/>
      <c r="EXZ12" s="569"/>
      <c r="EYA12" s="569"/>
      <c r="EYB12" s="569"/>
      <c r="EYC12" s="569"/>
      <c r="EYD12" s="569"/>
      <c r="EYE12" s="569"/>
      <c r="EYF12" s="569"/>
      <c r="EYG12" s="569"/>
      <c r="EYH12" s="569"/>
      <c r="EYI12" s="569"/>
      <c r="EYJ12" s="569"/>
      <c r="EYK12" s="569"/>
      <c r="EYL12" s="569"/>
      <c r="EYM12" s="569"/>
      <c r="EYN12" s="569"/>
      <c r="EYO12" s="569"/>
      <c r="EYP12" s="569"/>
      <c r="EYQ12" s="569"/>
      <c r="EYR12" s="569"/>
      <c r="EYS12" s="569"/>
      <c r="EYT12" s="569"/>
      <c r="EYU12" s="569"/>
      <c r="EYV12" s="569"/>
      <c r="EYW12" s="569"/>
      <c r="EYX12" s="569"/>
      <c r="EYY12" s="569"/>
      <c r="EYZ12" s="569"/>
      <c r="EZA12" s="569"/>
      <c r="EZB12" s="569"/>
      <c r="EZC12" s="569"/>
      <c r="EZD12" s="569"/>
      <c r="EZE12" s="569"/>
      <c r="EZF12" s="569"/>
      <c r="EZG12" s="569"/>
      <c r="EZH12" s="569"/>
      <c r="EZI12" s="569"/>
      <c r="EZJ12" s="569"/>
      <c r="EZK12" s="569"/>
      <c r="EZL12" s="569"/>
      <c r="EZM12" s="569"/>
      <c r="EZN12" s="569"/>
      <c r="EZO12" s="569"/>
      <c r="EZP12" s="569"/>
      <c r="EZQ12" s="569"/>
      <c r="EZR12" s="569"/>
      <c r="EZS12" s="569"/>
      <c r="EZT12" s="569"/>
      <c r="EZU12" s="569"/>
      <c r="EZV12" s="569"/>
      <c r="EZW12" s="569"/>
      <c r="EZX12" s="569"/>
      <c r="EZY12" s="569"/>
      <c r="EZZ12" s="569"/>
      <c r="FAA12" s="569"/>
      <c r="FAB12" s="569"/>
      <c r="FAC12" s="569"/>
      <c r="FAD12" s="569"/>
      <c r="FAE12" s="569"/>
      <c r="FAF12" s="569"/>
      <c r="FAG12" s="569"/>
      <c r="FAH12" s="569"/>
      <c r="FAI12" s="569"/>
      <c r="FAJ12" s="569"/>
      <c r="FAK12" s="569"/>
      <c r="FAL12" s="569"/>
      <c r="FAM12" s="569"/>
      <c r="FAN12" s="569"/>
      <c r="FAO12" s="569"/>
      <c r="FAP12" s="569"/>
      <c r="FAQ12" s="569"/>
      <c r="FAR12" s="569"/>
      <c r="FAS12" s="569"/>
      <c r="FAT12" s="569"/>
      <c r="FAU12" s="569"/>
      <c r="FAV12" s="569"/>
      <c r="FAW12" s="569"/>
      <c r="FAX12" s="569"/>
      <c r="FAY12" s="569"/>
      <c r="FAZ12" s="569"/>
      <c r="FBA12" s="569"/>
      <c r="FBB12" s="569"/>
      <c r="FBC12" s="569"/>
      <c r="FBD12" s="569"/>
      <c r="FBE12" s="569"/>
      <c r="FBF12" s="569"/>
      <c r="FBG12" s="569"/>
      <c r="FBH12" s="569"/>
      <c r="FBI12" s="569"/>
      <c r="FBJ12" s="569"/>
      <c r="FBK12" s="569"/>
      <c r="FBL12" s="569"/>
      <c r="FBM12" s="569"/>
      <c r="FBN12" s="569"/>
      <c r="FBO12" s="569"/>
      <c r="FBP12" s="569"/>
      <c r="FBQ12" s="569"/>
      <c r="FBR12" s="569"/>
      <c r="FBS12" s="569"/>
      <c r="FBT12" s="569"/>
      <c r="FBU12" s="569"/>
      <c r="FBV12" s="569"/>
      <c r="FBW12" s="569"/>
      <c r="FBX12" s="569"/>
      <c r="FBY12" s="569"/>
      <c r="FBZ12" s="569"/>
      <c r="FCA12" s="569"/>
      <c r="FCB12" s="569"/>
      <c r="FCC12" s="569"/>
      <c r="FCD12" s="569"/>
      <c r="FCE12" s="569"/>
      <c r="FCF12" s="569"/>
      <c r="FCG12" s="569"/>
      <c r="FCH12" s="569"/>
      <c r="FCI12" s="569"/>
      <c r="FCJ12" s="569"/>
      <c r="FCK12" s="569"/>
      <c r="FCL12" s="569"/>
      <c r="FCM12" s="569"/>
      <c r="FCN12" s="569"/>
      <c r="FCO12" s="569"/>
      <c r="FCP12" s="569"/>
      <c r="FCQ12" s="569"/>
      <c r="FCR12" s="569"/>
      <c r="FCS12" s="569"/>
      <c r="FCT12" s="569"/>
      <c r="FCU12" s="569"/>
      <c r="FCV12" s="569"/>
      <c r="FCW12" s="569"/>
      <c r="FCX12" s="569"/>
      <c r="FCY12" s="569"/>
      <c r="FCZ12" s="569"/>
      <c r="FDA12" s="569"/>
      <c r="FDB12" s="569"/>
      <c r="FDC12" s="569"/>
      <c r="FDD12" s="569"/>
      <c r="FDE12" s="569"/>
      <c r="FDF12" s="569"/>
      <c r="FDG12" s="569"/>
      <c r="FDH12" s="569"/>
      <c r="FDI12" s="569"/>
      <c r="FDJ12" s="569"/>
      <c r="FDK12" s="569"/>
      <c r="FDL12" s="569"/>
      <c r="FDM12" s="569"/>
      <c r="FDN12" s="569"/>
      <c r="FDO12" s="569"/>
      <c r="FDP12" s="569"/>
      <c r="FDQ12" s="569"/>
      <c r="FDR12" s="569"/>
      <c r="FDS12" s="569"/>
      <c r="FDT12" s="569"/>
      <c r="FDU12" s="569"/>
      <c r="FDV12" s="569"/>
      <c r="FDW12" s="569"/>
      <c r="FDX12" s="569"/>
      <c r="FDY12" s="569"/>
      <c r="FDZ12" s="569"/>
      <c r="FEA12" s="569"/>
      <c r="FEB12" s="569"/>
      <c r="FEC12" s="569"/>
      <c r="FED12" s="569"/>
      <c r="FEE12" s="569"/>
      <c r="FEF12" s="569"/>
      <c r="FEG12" s="569"/>
      <c r="FEH12" s="569"/>
      <c r="FEI12" s="569"/>
      <c r="FEJ12" s="569"/>
      <c r="FEK12" s="569"/>
      <c r="FEL12" s="569"/>
      <c r="FEM12" s="569"/>
      <c r="FEN12" s="569"/>
      <c r="FEO12" s="569"/>
      <c r="FEP12" s="569"/>
      <c r="FEQ12" s="569"/>
      <c r="FER12" s="569"/>
      <c r="FES12" s="569"/>
      <c r="FET12" s="569"/>
      <c r="FEU12" s="569"/>
      <c r="FEV12" s="569"/>
      <c r="FEW12" s="569"/>
      <c r="FEX12" s="569"/>
      <c r="FEY12" s="569"/>
      <c r="FEZ12" s="569"/>
      <c r="FFA12" s="569"/>
      <c r="FFB12" s="569"/>
      <c r="FFC12" s="569"/>
      <c r="FFD12" s="569"/>
      <c r="FFE12" s="569"/>
      <c r="FFF12" s="569"/>
      <c r="FFG12" s="569"/>
      <c r="FFH12" s="569"/>
      <c r="FFI12" s="569"/>
      <c r="FFJ12" s="569"/>
      <c r="FFK12" s="569"/>
      <c r="FFL12" s="569"/>
      <c r="FFM12" s="569"/>
      <c r="FFN12" s="569"/>
      <c r="FFO12" s="569"/>
      <c r="FFP12" s="569"/>
      <c r="FFQ12" s="569"/>
      <c r="FFR12" s="569"/>
      <c r="FFS12" s="569"/>
      <c r="FFT12" s="569"/>
      <c r="FFU12" s="569"/>
      <c r="FFV12" s="569"/>
      <c r="FFW12" s="569"/>
      <c r="FFX12" s="569"/>
      <c r="FFY12" s="569"/>
      <c r="FFZ12" s="569"/>
      <c r="FGA12" s="569"/>
      <c r="FGB12" s="569"/>
      <c r="FGC12" s="569"/>
      <c r="FGD12" s="569"/>
      <c r="FGE12" s="569"/>
      <c r="FGF12" s="569"/>
      <c r="FGG12" s="569"/>
      <c r="FGH12" s="569"/>
      <c r="FGI12" s="569"/>
      <c r="FGJ12" s="569"/>
      <c r="FGK12" s="569"/>
      <c r="FGL12" s="569"/>
      <c r="FGM12" s="569"/>
      <c r="FGN12" s="569"/>
      <c r="FGO12" s="569"/>
      <c r="FGP12" s="569"/>
      <c r="FGQ12" s="569"/>
      <c r="FGR12" s="569"/>
      <c r="FGS12" s="569"/>
      <c r="FGT12" s="569"/>
      <c r="FGU12" s="569"/>
      <c r="FGV12" s="569"/>
      <c r="FGW12" s="569"/>
      <c r="FGX12" s="569"/>
      <c r="FGY12" s="569"/>
      <c r="FGZ12" s="569"/>
      <c r="FHA12" s="569"/>
      <c r="FHB12" s="569"/>
      <c r="FHC12" s="569"/>
      <c r="FHD12" s="569"/>
      <c r="FHE12" s="569"/>
      <c r="FHF12" s="569"/>
      <c r="FHG12" s="569"/>
      <c r="FHH12" s="569"/>
      <c r="FHI12" s="569"/>
      <c r="FHJ12" s="569"/>
      <c r="FHK12" s="569"/>
      <c r="FHL12" s="569"/>
      <c r="FHM12" s="569"/>
      <c r="FHN12" s="569"/>
      <c r="FHO12" s="569"/>
      <c r="FHP12" s="569"/>
      <c r="FHQ12" s="569"/>
      <c r="FHR12" s="569"/>
      <c r="FHS12" s="569"/>
      <c r="FHT12" s="569"/>
      <c r="FHU12" s="569"/>
      <c r="FHV12" s="569"/>
      <c r="FHW12" s="569"/>
      <c r="FHX12" s="569"/>
      <c r="FHY12" s="569"/>
      <c r="FHZ12" s="569"/>
      <c r="FIA12" s="569"/>
      <c r="FIB12" s="569"/>
      <c r="FIC12" s="569"/>
      <c r="FID12" s="569"/>
      <c r="FIE12" s="569"/>
      <c r="FIF12" s="569"/>
      <c r="FIG12" s="569"/>
      <c r="FIH12" s="569"/>
      <c r="FII12" s="569"/>
      <c r="FIJ12" s="569"/>
      <c r="FIK12" s="569"/>
      <c r="FIL12" s="569"/>
      <c r="FIM12" s="569"/>
      <c r="FIN12" s="569"/>
      <c r="FIO12" s="569"/>
      <c r="FIP12" s="569"/>
      <c r="FIQ12" s="569"/>
      <c r="FIR12" s="569"/>
      <c r="FIS12" s="569"/>
      <c r="FIT12" s="569"/>
      <c r="FIU12" s="569"/>
      <c r="FIV12" s="569"/>
      <c r="FIW12" s="569"/>
      <c r="FIX12" s="569"/>
      <c r="FIY12" s="569"/>
      <c r="FIZ12" s="569"/>
      <c r="FJA12" s="569"/>
      <c r="FJB12" s="569"/>
      <c r="FJC12" s="569"/>
      <c r="FJD12" s="569"/>
      <c r="FJE12" s="569"/>
      <c r="FJF12" s="569"/>
      <c r="FJG12" s="569"/>
      <c r="FJH12" s="569"/>
      <c r="FJI12" s="569"/>
      <c r="FJJ12" s="569"/>
      <c r="FJK12" s="569"/>
      <c r="FJL12" s="569"/>
      <c r="FJM12" s="569"/>
      <c r="FJN12" s="569"/>
      <c r="FJO12" s="569"/>
      <c r="FJP12" s="569"/>
      <c r="FJQ12" s="569"/>
      <c r="FJR12" s="569"/>
      <c r="FJS12" s="569"/>
      <c r="FJT12" s="569"/>
      <c r="FJU12" s="569"/>
      <c r="FJV12" s="569"/>
      <c r="FJW12" s="569"/>
      <c r="FJX12" s="569"/>
      <c r="FJY12" s="569"/>
      <c r="FJZ12" s="569"/>
      <c r="FKA12" s="569"/>
      <c r="FKB12" s="569"/>
      <c r="FKC12" s="569"/>
      <c r="FKD12" s="569"/>
      <c r="FKE12" s="569"/>
      <c r="FKF12" s="569"/>
      <c r="FKG12" s="569"/>
      <c r="FKH12" s="569"/>
      <c r="FKI12" s="569"/>
      <c r="FKJ12" s="569"/>
      <c r="FKK12" s="569"/>
      <c r="FKL12" s="569"/>
      <c r="FKM12" s="569"/>
      <c r="FKN12" s="569"/>
      <c r="FKO12" s="569"/>
      <c r="FKP12" s="569"/>
      <c r="FKQ12" s="569"/>
      <c r="FKR12" s="569"/>
      <c r="FKS12" s="569"/>
      <c r="FKT12" s="569"/>
      <c r="FKU12" s="569"/>
      <c r="FKV12" s="569"/>
      <c r="FKW12" s="569"/>
      <c r="FKX12" s="569"/>
      <c r="FKY12" s="569"/>
      <c r="FKZ12" s="569"/>
      <c r="FLA12" s="569"/>
      <c r="FLB12" s="569"/>
      <c r="FLC12" s="569"/>
      <c r="FLD12" s="569"/>
      <c r="FLE12" s="569"/>
      <c r="FLF12" s="569"/>
      <c r="FLG12" s="569"/>
      <c r="FLH12" s="569"/>
      <c r="FLI12" s="569"/>
      <c r="FLJ12" s="569"/>
      <c r="FLK12" s="569"/>
      <c r="FLL12" s="569"/>
      <c r="FLM12" s="569"/>
      <c r="FLN12" s="569"/>
      <c r="FLO12" s="569"/>
      <c r="FLP12" s="569"/>
      <c r="FLQ12" s="569"/>
      <c r="FLR12" s="569"/>
      <c r="FLS12" s="569"/>
      <c r="FLT12" s="569"/>
      <c r="FLU12" s="569"/>
      <c r="FLV12" s="569"/>
      <c r="FLW12" s="569"/>
      <c r="FLX12" s="569"/>
      <c r="FLY12" s="569"/>
      <c r="FLZ12" s="569"/>
      <c r="FMA12" s="569"/>
      <c r="FMB12" s="569"/>
      <c r="FMC12" s="569"/>
      <c r="FMD12" s="569"/>
      <c r="FME12" s="569"/>
      <c r="FMF12" s="569"/>
      <c r="FMG12" s="569"/>
      <c r="FMH12" s="569"/>
      <c r="FMI12" s="569"/>
      <c r="FMJ12" s="569"/>
      <c r="FMK12" s="569"/>
      <c r="FML12" s="569"/>
      <c r="FMM12" s="569"/>
      <c r="FMN12" s="569"/>
      <c r="FMO12" s="569"/>
      <c r="FMP12" s="569"/>
      <c r="FMQ12" s="569"/>
      <c r="FMR12" s="569"/>
      <c r="FMS12" s="569"/>
      <c r="FMT12" s="569"/>
      <c r="FMU12" s="569"/>
      <c r="FMV12" s="569"/>
      <c r="FMW12" s="569"/>
      <c r="FMX12" s="569"/>
      <c r="FMY12" s="569"/>
      <c r="FMZ12" s="569"/>
      <c r="FNA12" s="569"/>
      <c r="FNB12" s="569"/>
      <c r="FNC12" s="569"/>
      <c r="FND12" s="569"/>
      <c r="FNE12" s="569"/>
      <c r="FNF12" s="569"/>
      <c r="FNG12" s="569"/>
      <c r="FNH12" s="569"/>
      <c r="FNI12" s="569"/>
      <c r="FNJ12" s="569"/>
      <c r="FNK12" s="569"/>
      <c r="FNL12" s="569"/>
      <c r="FNM12" s="569"/>
      <c r="FNN12" s="569"/>
      <c r="FNO12" s="569"/>
      <c r="FNP12" s="569"/>
      <c r="FNQ12" s="569"/>
      <c r="FNR12" s="569"/>
      <c r="FNS12" s="569"/>
      <c r="FNT12" s="569"/>
      <c r="FNU12" s="569"/>
      <c r="FNV12" s="569"/>
      <c r="FNW12" s="569"/>
      <c r="FNX12" s="569"/>
      <c r="FNY12" s="569"/>
      <c r="FNZ12" s="569"/>
      <c r="FOA12" s="569"/>
      <c r="FOB12" s="569"/>
      <c r="FOC12" s="569"/>
      <c r="FOD12" s="569"/>
      <c r="FOE12" s="569"/>
      <c r="FOF12" s="569"/>
      <c r="FOG12" s="569"/>
      <c r="FOH12" s="569"/>
      <c r="FOI12" s="569"/>
      <c r="FOJ12" s="569"/>
      <c r="FOK12" s="569"/>
      <c r="FOL12" s="569"/>
      <c r="FOM12" s="569"/>
      <c r="FON12" s="569"/>
      <c r="FOO12" s="569"/>
      <c r="FOP12" s="569"/>
      <c r="FOQ12" s="569"/>
      <c r="FOR12" s="569"/>
      <c r="FOS12" s="569"/>
      <c r="FOT12" s="569"/>
      <c r="FOU12" s="569"/>
      <c r="FOV12" s="569"/>
      <c r="FOW12" s="569"/>
      <c r="FOX12" s="569"/>
      <c r="FOY12" s="569"/>
      <c r="FOZ12" s="569"/>
      <c r="FPA12" s="569"/>
      <c r="FPB12" s="569"/>
      <c r="FPC12" s="569"/>
      <c r="FPD12" s="569"/>
      <c r="FPE12" s="569"/>
      <c r="FPF12" s="569"/>
      <c r="FPG12" s="569"/>
      <c r="FPH12" s="569"/>
      <c r="FPI12" s="569"/>
      <c r="FPJ12" s="569"/>
      <c r="FPK12" s="569"/>
      <c r="FPL12" s="569"/>
      <c r="FPM12" s="569"/>
      <c r="FPN12" s="569"/>
      <c r="FPO12" s="569"/>
      <c r="FPP12" s="569"/>
      <c r="FPQ12" s="569"/>
      <c r="FPR12" s="569"/>
      <c r="FPS12" s="569"/>
      <c r="FPT12" s="569"/>
      <c r="FPU12" s="569"/>
      <c r="FPV12" s="569"/>
      <c r="FPW12" s="569"/>
      <c r="FPX12" s="569"/>
      <c r="FPY12" s="569"/>
      <c r="FPZ12" s="569"/>
      <c r="FQA12" s="569"/>
      <c r="FQB12" s="569"/>
      <c r="FQC12" s="569"/>
      <c r="FQD12" s="569"/>
      <c r="FQE12" s="569"/>
      <c r="FQF12" s="569"/>
      <c r="FQG12" s="569"/>
      <c r="FQH12" s="569"/>
      <c r="FQI12" s="569"/>
      <c r="FQJ12" s="569"/>
      <c r="FQK12" s="569"/>
      <c r="FQL12" s="569"/>
      <c r="FQM12" s="569"/>
      <c r="FQN12" s="569"/>
      <c r="FQO12" s="569"/>
      <c r="FQP12" s="569"/>
      <c r="FQQ12" s="569"/>
      <c r="FQR12" s="569"/>
      <c r="FQS12" s="569"/>
      <c r="FQT12" s="569"/>
      <c r="FQU12" s="569"/>
      <c r="FQV12" s="569"/>
      <c r="FQW12" s="569"/>
      <c r="FQX12" s="569"/>
      <c r="FQY12" s="569"/>
      <c r="FQZ12" s="569"/>
      <c r="FRA12" s="569"/>
      <c r="FRB12" s="569"/>
      <c r="FRC12" s="569"/>
      <c r="FRD12" s="569"/>
      <c r="FRE12" s="569"/>
      <c r="FRF12" s="569"/>
      <c r="FRG12" s="569"/>
      <c r="FRH12" s="569"/>
      <c r="FRI12" s="569"/>
      <c r="FRJ12" s="569"/>
      <c r="FRK12" s="569"/>
      <c r="FRL12" s="569"/>
      <c r="FRM12" s="569"/>
      <c r="FRN12" s="569"/>
      <c r="FRO12" s="569"/>
      <c r="FRP12" s="569"/>
      <c r="FRQ12" s="569"/>
      <c r="FRR12" s="569"/>
      <c r="FRS12" s="569"/>
      <c r="FRT12" s="569"/>
      <c r="FRU12" s="569"/>
      <c r="FRV12" s="569"/>
      <c r="FRW12" s="569"/>
      <c r="FRX12" s="569"/>
      <c r="FRY12" s="569"/>
      <c r="FRZ12" s="569"/>
      <c r="FSA12" s="569"/>
      <c r="FSB12" s="569"/>
      <c r="FSC12" s="569"/>
      <c r="FSD12" s="569"/>
      <c r="FSE12" s="569"/>
      <c r="FSF12" s="569"/>
      <c r="FSG12" s="569"/>
      <c r="FSH12" s="569"/>
      <c r="FSI12" s="569"/>
      <c r="FSJ12" s="569"/>
      <c r="FSK12" s="569"/>
      <c r="FSL12" s="569"/>
      <c r="FSM12" s="569"/>
      <c r="FSN12" s="569"/>
      <c r="FSO12" s="569"/>
      <c r="FSP12" s="569"/>
      <c r="FSQ12" s="569"/>
      <c r="FSR12" s="569"/>
      <c r="FSS12" s="569"/>
      <c r="FST12" s="569"/>
      <c r="FSU12" s="569"/>
      <c r="FSV12" s="569"/>
      <c r="FSW12" s="569"/>
      <c r="FSX12" s="569"/>
      <c r="FSY12" s="569"/>
      <c r="FSZ12" s="569"/>
      <c r="FTA12" s="569"/>
      <c r="FTB12" s="569"/>
      <c r="FTC12" s="569"/>
      <c r="FTD12" s="569"/>
      <c r="FTE12" s="569"/>
      <c r="FTF12" s="569"/>
      <c r="FTG12" s="569"/>
      <c r="FTH12" s="569"/>
      <c r="FTI12" s="569"/>
      <c r="FTJ12" s="569"/>
      <c r="FTK12" s="569"/>
      <c r="FTL12" s="569"/>
      <c r="FTM12" s="569"/>
      <c r="FTN12" s="569"/>
      <c r="FTO12" s="569"/>
      <c r="FTP12" s="569"/>
      <c r="FTQ12" s="569"/>
      <c r="FTR12" s="569"/>
      <c r="FTS12" s="569"/>
      <c r="FTT12" s="569"/>
      <c r="FTU12" s="569"/>
      <c r="FTV12" s="569"/>
      <c r="FTW12" s="569"/>
      <c r="FTX12" s="569"/>
      <c r="FTY12" s="569"/>
      <c r="FTZ12" s="569"/>
      <c r="FUA12" s="569"/>
      <c r="FUB12" s="569"/>
      <c r="FUC12" s="569"/>
      <c r="FUD12" s="569"/>
      <c r="FUE12" s="569"/>
      <c r="FUF12" s="569"/>
      <c r="FUG12" s="569"/>
      <c r="FUH12" s="569"/>
      <c r="FUI12" s="569"/>
      <c r="FUJ12" s="569"/>
      <c r="FUK12" s="569"/>
      <c r="FUL12" s="569"/>
      <c r="FUM12" s="569"/>
      <c r="FUN12" s="569"/>
      <c r="FUO12" s="569"/>
      <c r="FUP12" s="569"/>
      <c r="FUQ12" s="569"/>
      <c r="FUR12" s="569"/>
      <c r="FUS12" s="569"/>
      <c r="FUT12" s="569"/>
      <c r="FUU12" s="569"/>
      <c r="FUV12" s="569"/>
      <c r="FUW12" s="569"/>
      <c r="FUX12" s="569"/>
      <c r="FUY12" s="569"/>
      <c r="FUZ12" s="569"/>
      <c r="FVA12" s="569"/>
      <c r="FVB12" s="569"/>
      <c r="FVC12" s="569"/>
      <c r="FVD12" s="569"/>
      <c r="FVE12" s="569"/>
      <c r="FVF12" s="569"/>
      <c r="FVG12" s="569"/>
      <c r="FVH12" s="569"/>
      <c r="FVI12" s="569"/>
      <c r="FVJ12" s="569"/>
      <c r="FVK12" s="569"/>
      <c r="FVL12" s="569"/>
      <c r="FVM12" s="569"/>
      <c r="FVN12" s="569"/>
      <c r="FVO12" s="569"/>
      <c r="FVP12" s="569"/>
      <c r="FVQ12" s="569"/>
      <c r="FVR12" s="569"/>
      <c r="FVS12" s="569"/>
      <c r="FVT12" s="569"/>
      <c r="FVU12" s="569"/>
      <c r="FVV12" s="569"/>
      <c r="FVW12" s="569"/>
      <c r="FVX12" s="569"/>
      <c r="FVY12" s="569"/>
      <c r="FVZ12" s="569"/>
      <c r="FWA12" s="569"/>
      <c r="FWB12" s="569"/>
      <c r="FWC12" s="569"/>
      <c r="FWD12" s="569"/>
      <c r="FWE12" s="569"/>
      <c r="FWF12" s="569"/>
      <c r="FWG12" s="569"/>
      <c r="FWH12" s="569"/>
      <c r="FWI12" s="569"/>
      <c r="FWJ12" s="569"/>
      <c r="FWK12" s="569"/>
      <c r="FWL12" s="569"/>
      <c r="FWM12" s="569"/>
      <c r="FWN12" s="569"/>
      <c r="FWO12" s="569"/>
      <c r="FWP12" s="569"/>
      <c r="FWQ12" s="569"/>
      <c r="FWR12" s="569"/>
      <c r="FWS12" s="569"/>
      <c r="FWT12" s="569"/>
      <c r="FWU12" s="569"/>
      <c r="FWV12" s="569"/>
      <c r="FWW12" s="569"/>
      <c r="FWX12" s="569"/>
      <c r="FWY12" s="569"/>
      <c r="FWZ12" s="569"/>
      <c r="FXA12" s="569"/>
      <c r="FXB12" s="569"/>
      <c r="FXC12" s="569"/>
      <c r="FXD12" s="569"/>
      <c r="FXE12" s="569"/>
      <c r="FXF12" s="569"/>
      <c r="FXG12" s="569"/>
      <c r="FXH12" s="569"/>
      <c r="FXI12" s="569"/>
      <c r="FXJ12" s="569"/>
      <c r="FXK12" s="569"/>
      <c r="FXL12" s="569"/>
      <c r="FXM12" s="569"/>
      <c r="FXN12" s="569"/>
      <c r="FXO12" s="569"/>
      <c r="FXP12" s="569"/>
      <c r="FXQ12" s="569"/>
      <c r="FXR12" s="569"/>
      <c r="FXS12" s="569"/>
      <c r="FXT12" s="569"/>
      <c r="FXU12" s="569"/>
      <c r="FXV12" s="569"/>
      <c r="FXW12" s="569"/>
      <c r="FXX12" s="569"/>
      <c r="FXY12" s="569"/>
      <c r="FXZ12" s="569"/>
      <c r="FYA12" s="569"/>
      <c r="FYB12" s="569"/>
      <c r="FYC12" s="569"/>
      <c r="FYD12" s="569"/>
      <c r="FYE12" s="569"/>
      <c r="FYF12" s="569"/>
      <c r="FYG12" s="569"/>
      <c r="FYH12" s="569"/>
      <c r="FYI12" s="569"/>
      <c r="FYJ12" s="569"/>
      <c r="FYK12" s="569"/>
      <c r="FYL12" s="569"/>
      <c r="FYM12" s="569"/>
      <c r="FYN12" s="569"/>
      <c r="FYO12" s="569"/>
      <c r="FYP12" s="569"/>
      <c r="FYQ12" s="569"/>
      <c r="FYR12" s="569"/>
      <c r="FYS12" s="569"/>
      <c r="FYT12" s="569"/>
      <c r="FYU12" s="569"/>
      <c r="FYV12" s="569"/>
      <c r="FYW12" s="569"/>
      <c r="FYX12" s="569"/>
      <c r="FYY12" s="569"/>
      <c r="FYZ12" s="569"/>
      <c r="FZA12" s="569"/>
      <c r="FZB12" s="569"/>
      <c r="FZC12" s="569"/>
      <c r="FZD12" s="569"/>
      <c r="FZE12" s="569"/>
      <c r="FZF12" s="569"/>
      <c r="FZG12" s="569"/>
      <c r="FZH12" s="569"/>
      <c r="FZI12" s="569"/>
      <c r="FZJ12" s="569"/>
      <c r="FZK12" s="569"/>
      <c r="FZL12" s="569"/>
      <c r="FZM12" s="569"/>
      <c r="FZN12" s="569"/>
      <c r="FZO12" s="569"/>
      <c r="FZP12" s="569"/>
      <c r="FZQ12" s="569"/>
      <c r="FZR12" s="569"/>
      <c r="FZS12" s="569"/>
      <c r="FZT12" s="569"/>
      <c r="FZU12" s="569"/>
      <c r="FZV12" s="569"/>
      <c r="FZW12" s="569"/>
      <c r="FZX12" s="569"/>
      <c r="FZY12" s="569"/>
      <c r="FZZ12" s="569"/>
      <c r="GAA12" s="569"/>
      <c r="GAB12" s="569"/>
      <c r="GAC12" s="569"/>
      <c r="GAD12" s="569"/>
      <c r="GAE12" s="569"/>
      <c r="GAF12" s="569"/>
      <c r="GAG12" s="569"/>
      <c r="GAH12" s="569"/>
      <c r="GAI12" s="569"/>
      <c r="GAJ12" s="569"/>
      <c r="GAK12" s="569"/>
      <c r="GAL12" s="569"/>
      <c r="GAM12" s="569"/>
      <c r="GAN12" s="569"/>
      <c r="GAO12" s="569"/>
      <c r="GAP12" s="569"/>
      <c r="GAQ12" s="569"/>
      <c r="GAR12" s="569"/>
      <c r="GAS12" s="569"/>
      <c r="GAT12" s="569"/>
      <c r="GAU12" s="569"/>
      <c r="GAV12" s="569"/>
      <c r="GAW12" s="569"/>
      <c r="GAX12" s="569"/>
      <c r="GAY12" s="569"/>
      <c r="GAZ12" s="569"/>
      <c r="GBA12" s="569"/>
      <c r="GBB12" s="569"/>
      <c r="GBC12" s="569"/>
      <c r="GBD12" s="569"/>
      <c r="GBE12" s="569"/>
      <c r="GBF12" s="569"/>
      <c r="GBG12" s="569"/>
      <c r="GBH12" s="569"/>
      <c r="GBI12" s="569"/>
      <c r="GBJ12" s="569"/>
      <c r="GBK12" s="569"/>
      <c r="GBL12" s="569"/>
      <c r="GBM12" s="569"/>
      <c r="GBN12" s="569"/>
      <c r="GBO12" s="569"/>
      <c r="GBP12" s="569"/>
      <c r="GBQ12" s="569"/>
      <c r="GBR12" s="569"/>
      <c r="GBS12" s="569"/>
      <c r="GBT12" s="569"/>
      <c r="GBU12" s="569"/>
      <c r="GBV12" s="569"/>
      <c r="GBW12" s="569"/>
      <c r="GBX12" s="569"/>
      <c r="GBY12" s="569"/>
      <c r="GBZ12" s="569"/>
      <c r="GCA12" s="569"/>
      <c r="GCB12" s="569"/>
      <c r="GCC12" s="569"/>
      <c r="GCD12" s="569"/>
      <c r="GCE12" s="569"/>
      <c r="GCF12" s="569"/>
      <c r="GCG12" s="569"/>
      <c r="GCH12" s="569"/>
      <c r="GCI12" s="569"/>
      <c r="GCJ12" s="569"/>
      <c r="GCK12" s="569"/>
      <c r="GCL12" s="569"/>
      <c r="GCM12" s="569"/>
      <c r="GCN12" s="569"/>
      <c r="GCO12" s="569"/>
      <c r="GCP12" s="569"/>
      <c r="GCQ12" s="569"/>
      <c r="GCR12" s="569"/>
      <c r="GCS12" s="569"/>
      <c r="GCT12" s="569"/>
      <c r="GCU12" s="569"/>
      <c r="GCV12" s="569"/>
      <c r="GCW12" s="569"/>
      <c r="GCX12" s="569"/>
      <c r="GCY12" s="569"/>
      <c r="GCZ12" s="569"/>
      <c r="GDA12" s="569"/>
      <c r="GDB12" s="569"/>
      <c r="GDC12" s="569"/>
      <c r="GDD12" s="569"/>
      <c r="GDE12" s="569"/>
      <c r="GDF12" s="569"/>
      <c r="GDG12" s="569"/>
      <c r="GDH12" s="569"/>
      <c r="GDI12" s="569"/>
      <c r="GDJ12" s="569"/>
      <c r="GDK12" s="569"/>
      <c r="GDL12" s="569"/>
      <c r="GDM12" s="569"/>
      <c r="GDN12" s="569"/>
      <c r="GDO12" s="569"/>
      <c r="GDP12" s="569"/>
      <c r="GDQ12" s="569"/>
      <c r="GDR12" s="569"/>
      <c r="GDS12" s="569"/>
      <c r="GDT12" s="569"/>
      <c r="GDU12" s="569"/>
      <c r="GDV12" s="569"/>
      <c r="GDW12" s="569"/>
      <c r="GDX12" s="569"/>
      <c r="GDY12" s="569"/>
      <c r="GDZ12" s="569"/>
      <c r="GEA12" s="569"/>
      <c r="GEB12" s="569"/>
      <c r="GEC12" s="569"/>
      <c r="GED12" s="569"/>
      <c r="GEE12" s="569"/>
      <c r="GEF12" s="569"/>
      <c r="GEG12" s="569"/>
      <c r="GEH12" s="569"/>
      <c r="GEI12" s="569"/>
      <c r="GEJ12" s="569"/>
      <c r="GEK12" s="569"/>
      <c r="GEL12" s="569"/>
      <c r="GEM12" s="569"/>
      <c r="GEN12" s="569"/>
      <c r="GEO12" s="569"/>
      <c r="GEP12" s="569"/>
      <c r="GEQ12" s="569"/>
      <c r="GER12" s="569"/>
      <c r="GES12" s="569"/>
      <c r="GET12" s="569"/>
      <c r="GEU12" s="569"/>
      <c r="GEV12" s="569"/>
      <c r="GEW12" s="569"/>
      <c r="GEX12" s="569"/>
      <c r="GEY12" s="569"/>
      <c r="GEZ12" s="569"/>
      <c r="GFA12" s="569"/>
      <c r="GFB12" s="569"/>
      <c r="GFC12" s="569"/>
      <c r="GFD12" s="569"/>
      <c r="GFE12" s="569"/>
      <c r="GFF12" s="569"/>
      <c r="GFG12" s="569"/>
      <c r="GFH12" s="569"/>
      <c r="GFI12" s="569"/>
      <c r="GFJ12" s="569"/>
      <c r="GFK12" s="569"/>
      <c r="GFL12" s="569"/>
      <c r="GFM12" s="569"/>
      <c r="GFN12" s="569"/>
      <c r="GFO12" s="569"/>
      <c r="GFP12" s="569"/>
      <c r="GFQ12" s="569"/>
      <c r="GFR12" s="569"/>
      <c r="GFS12" s="569"/>
      <c r="GFT12" s="569"/>
      <c r="GFU12" s="569"/>
      <c r="GFV12" s="569"/>
      <c r="GFW12" s="569"/>
      <c r="GFX12" s="569"/>
      <c r="GFY12" s="569"/>
      <c r="GFZ12" s="569"/>
      <c r="GGA12" s="569"/>
      <c r="GGB12" s="569"/>
      <c r="GGC12" s="569"/>
      <c r="GGD12" s="569"/>
      <c r="GGE12" s="569"/>
      <c r="GGF12" s="569"/>
      <c r="GGG12" s="569"/>
      <c r="GGH12" s="569"/>
      <c r="GGI12" s="569"/>
      <c r="GGJ12" s="569"/>
      <c r="GGK12" s="569"/>
      <c r="GGL12" s="569"/>
      <c r="GGM12" s="569"/>
      <c r="GGN12" s="569"/>
      <c r="GGO12" s="569"/>
      <c r="GGP12" s="569"/>
      <c r="GGQ12" s="569"/>
      <c r="GGR12" s="569"/>
      <c r="GGS12" s="569"/>
      <c r="GGT12" s="569"/>
      <c r="GGU12" s="569"/>
      <c r="GGV12" s="569"/>
      <c r="GGW12" s="569"/>
      <c r="GGX12" s="569"/>
      <c r="GGY12" s="569"/>
      <c r="GGZ12" s="569"/>
      <c r="GHA12" s="569"/>
      <c r="GHB12" s="569"/>
      <c r="GHC12" s="569"/>
      <c r="GHD12" s="569"/>
      <c r="GHE12" s="569"/>
      <c r="GHF12" s="569"/>
      <c r="GHG12" s="569"/>
      <c r="GHH12" s="569"/>
      <c r="GHI12" s="569"/>
      <c r="GHJ12" s="569"/>
      <c r="GHK12" s="569"/>
      <c r="GHL12" s="569"/>
      <c r="GHM12" s="569"/>
      <c r="GHN12" s="569"/>
      <c r="GHO12" s="569"/>
      <c r="GHP12" s="569"/>
      <c r="GHQ12" s="569"/>
      <c r="GHR12" s="569"/>
      <c r="GHS12" s="569"/>
      <c r="GHT12" s="569"/>
      <c r="GHU12" s="569"/>
      <c r="GHV12" s="569"/>
      <c r="GHW12" s="569"/>
      <c r="GHX12" s="569"/>
      <c r="GHY12" s="569"/>
      <c r="GHZ12" s="569"/>
      <c r="GIA12" s="569"/>
      <c r="GIB12" s="569"/>
      <c r="GIC12" s="569"/>
      <c r="GID12" s="569"/>
      <c r="GIE12" s="569"/>
      <c r="GIF12" s="569"/>
      <c r="GIG12" s="569"/>
      <c r="GIH12" s="569"/>
      <c r="GII12" s="569"/>
      <c r="GIJ12" s="569"/>
      <c r="GIK12" s="569"/>
      <c r="GIL12" s="569"/>
      <c r="GIM12" s="569"/>
      <c r="GIN12" s="569"/>
      <c r="GIO12" s="569"/>
      <c r="GIP12" s="569"/>
      <c r="GIQ12" s="569"/>
      <c r="GIR12" s="569"/>
      <c r="GIS12" s="569"/>
      <c r="GIT12" s="569"/>
      <c r="GIU12" s="569"/>
      <c r="GIV12" s="569"/>
      <c r="GIW12" s="569"/>
      <c r="GIX12" s="569"/>
      <c r="GIY12" s="569"/>
      <c r="GIZ12" s="569"/>
      <c r="GJA12" s="569"/>
      <c r="GJB12" s="569"/>
      <c r="GJC12" s="569"/>
      <c r="GJD12" s="569"/>
      <c r="GJE12" s="569"/>
      <c r="GJF12" s="569"/>
      <c r="GJG12" s="569"/>
      <c r="GJH12" s="569"/>
      <c r="GJI12" s="569"/>
      <c r="GJJ12" s="569"/>
      <c r="GJK12" s="569"/>
      <c r="GJL12" s="569"/>
      <c r="GJM12" s="569"/>
      <c r="GJN12" s="569"/>
      <c r="GJO12" s="569"/>
      <c r="GJP12" s="569"/>
      <c r="GJQ12" s="569"/>
      <c r="GJR12" s="569"/>
      <c r="GJS12" s="569"/>
      <c r="GJT12" s="569"/>
      <c r="GJU12" s="569"/>
      <c r="GJV12" s="569"/>
      <c r="GJW12" s="569"/>
      <c r="GJX12" s="569"/>
      <c r="GJY12" s="569"/>
      <c r="GJZ12" s="569"/>
      <c r="GKA12" s="569"/>
      <c r="GKB12" s="569"/>
      <c r="GKC12" s="569"/>
      <c r="GKD12" s="569"/>
      <c r="GKE12" s="569"/>
      <c r="GKF12" s="569"/>
      <c r="GKG12" s="569"/>
      <c r="GKH12" s="569"/>
      <c r="GKI12" s="569"/>
      <c r="GKJ12" s="569"/>
      <c r="GKK12" s="569"/>
      <c r="GKL12" s="569"/>
      <c r="GKM12" s="569"/>
      <c r="GKN12" s="569"/>
      <c r="GKO12" s="569"/>
      <c r="GKP12" s="569"/>
      <c r="GKQ12" s="569"/>
      <c r="GKR12" s="569"/>
      <c r="GKS12" s="569"/>
      <c r="GKT12" s="569"/>
      <c r="GKU12" s="569"/>
      <c r="GKV12" s="569"/>
      <c r="GKW12" s="569"/>
      <c r="GKX12" s="569"/>
      <c r="GKY12" s="569"/>
      <c r="GKZ12" s="569"/>
      <c r="GLA12" s="569"/>
      <c r="GLB12" s="569"/>
      <c r="GLC12" s="569"/>
      <c r="GLD12" s="569"/>
      <c r="GLE12" s="569"/>
      <c r="GLF12" s="569"/>
      <c r="GLG12" s="569"/>
      <c r="GLH12" s="569"/>
      <c r="GLI12" s="569"/>
      <c r="GLJ12" s="569"/>
      <c r="GLK12" s="569"/>
      <c r="GLL12" s="569"/>
      <c r="GLM12" s="569"/>
      <c r="GLN12" s="569"/>
      <c r="GLO12" s="569"/>
      <c r="GLP12" s="569"/>
      <c r="GLQ12" s="569"/>
      <c r="GLR12" s="569"/>
      <c r="GLS12" s="569"/>
      <c r="GLT12" s="569"/>
      <c r="GLU12" s="569"/>
      <c r="GLV12" s="569"/>
      <c r="GLW12" s="569"/>
      <c r="GLX12" s="569"/>
      <c r="GLY12" s="569"/>
      <c r="GLZ12" s="569"/>
      <c r="GMA12" s="569"/>
      <c r="GMB12" s="569"/>
      <c r="GMC12" s="569"/>
      <c r="GMD12" s="569"/>
      <c r="GME12" s="569"/>
      <c r="GMF12" s="569"/>
      <c r="GMG12" s="569"/>
      <c r="GMH12" s="569"/>
      <c r="GMI12" s="569"/>
      <c r="GMJ12" s="569"/>
      <c r="GMK12" s="569"/>
      <c r="GML12" s="569"/>
      <c r="GMM12" s="569"/>
      <c r="GMN12" s="569"/>
      <c r="GMO12" s="569"/>
      <c r="GMP12" s="569"/>
      <c r="GMQ12" s="569"/>
      <c r="GMR12" s="569"/>
      <c r="GMS12" s="569"/>
      <c r="GMT12" s="569"/>
      <c r="GMU12" s="569"/>
      <c r="GMV12" s="569"/>
      <c r="GMW12" s="569"/>
      <c r="GMX12" s="569"/>
      <c r="GMY12" s="569"/>
      <c r="GMZ12" s="569"/>
      <c r="GNA12" s="569"/>
      <c r="GNB12" s="569"/>
      <c r="GNC12" s="569"/>
      <c r="GND12" s="569"/>
      <c r="GNE12" s="569"/>
      <c r="GNF12" s="569"/>
      <c r="GNG12" s="569"/>
      <c r="GNH12" s="569"/>
      <c r="GNI12" s="569"/>
      <c r="GNJ12" s="569"/>
      <c r="GNK12" s="569"/>
      <c r="GNL12" s="569"/>
      <c r="GNM12" s="569"/>
      <c r="GNN12" s="569"/>
      <c r="GNO12" s="569"/>
      <c r="GNP12" s="569"/>
      <c r="GNQ12" s="569"/>
      <c r="GNR12" s="569"/>
      <c r="GNS12" s="569"/>
      <c r="GNT12" s="569"/>
      <c r="GNU12" s="569"/>
      <c r="GNV12" s="569"/>
      <c r="GNW12" s="569"/>
      <c r="GNX12" s="569"/>
      <c r="GNY12" s="569"/>
      <c r="GNZ12" s="569"/>
      <c r="GOA12" s="569"/>
      <c r="GOB12" s="569"/>
      <c r="GOC12" s="569"/>
      <c r="GOD12" s="569"/>
      <c r="GOE12" s="569"/>
      <c r="GOF12" s="569"/>
      <c r="GOG12" s="569"/>
      <c r="GOH12" s="569"/>
      <c r="GOI12" s="569"/>
      <c r="GOJ12" s="569"/>
      <c r="GOK12" s="569"/>
      <c r="GOL12" s="569"/>
      <c r="GOM12" s="569"/>
      <c r="GON12" s="569"/>
      <c r="GOO12" s="569"/>
      <c r="GOP12" s="569"/>
      <c r="GOQ12" s="569"/>
      <c r="GOR12" s="569"/>
      <c r="GOS12" s="569"/>
      <c r="GOT12" s="569"/>
      <c r="GOU12" s="569"/>
      <c r="GOV12" s="569"/>
      <c r="GOW12" s="569"/>
      <c r="GOX12" s="569"/>
      <c r="GOY12" s="569"/>
      <c r="GOZ12" s="569"/>
      <c r="GPA12" s="569"/>
      <c r="GPB12" s="569"/>
      <c r="GPC12" s="569"/>
      <c r="GPD12" s="569"/>
      <c r="GPE12" s="569"/>
      <c r="GPF12" s="569"/>
      <c r="GPG12" s="569"/>
      <c r="GPH12" s="569"/>
      <c r="GPI12" s="569"/>
      <c r="GPJ12" s="569"/>
      <c r="GPK12" s="569"/>
      <c r="GPL12" s="569"/>
      <c r="GPM12" s="569"/>
      <c r="GPN12" s="569"/>
      <c r="GPO12" s="569"/>
      <c r="GPP12" s="569"/>
      <c r="GPQ12" s="569"/>
      <c r="GPR12" s="569"/>
      <c r="GPS12" s="569"/>
      <c r="GPT12" s="569"/>
      <c r="GPU12" s="569"/>
      <c r="GPV12" s="569"/>
      <c r="GPW12" s="569"/>
      <c r="GPX12" s="569"/>
      <c r="GPY12" s="569"/>
      <c r="GPZ12" s="569"/>
      <c r="GQA12" s="569"/>
      <c r="GQB12" s="569"/>
      <c r="GQC12" s="569"/>
      <c r="GQD12" s="569"/>
      <c r="GQE12" s="569"/>
      <c r="GQF12" s="569"/>
      <c r="GQG12" s="569"/>
      <c r="GQH12" s="569"/>
      <c r="GQI12" s="569"/>
      <c r="GQJ12" s="569"/>
      <c r="GQK12" s="569"/>
      <c r="GQL12" s="569"/>
      <c r="GQM12" s="569"/>
      <c r="GQN12" s="569"/>
      <c r="GQO12" s="569"/>
      <c r="GQP12" s="569"/>
      <c r="GQQ12" s="569"/>
      <c r="GQR12" s="569"/>
      <c r="GQS12" s="569"/>
      <c r="GQT12" s="569"/>
      <c r="GQU12" s="569"/>
      <c r="GQV12" s="569"/>
      <c r="GQW12" s="569"/>
      <c r="GQX12" s="569"/>
      <c r="GQY12" s="569"/>
      <c r="GQZ12" s="569"/>
      <c r="GRA12" s="569"/>
      <c r="GRB12" s="569"/>
      <c r="GRC12" s="569"/>
      <c r="GRD12" s="569"/>
      <c r="GRE12" s="569"/>
      <c r="GRF12" s="569"/>
      <c r="GRG12" s="569"/>
      <c r="GRH12" s="569"/>
      <c r="GRI12" s="569"/>
      <c r="GRJ12" s="569"/>
      <c r="GRK12" s="569"/>
      <c r="GRL12" s="569"/>
      <c r="GRM12" s="569"/>
      <c r="GRN12" s="569"/>
      <c r="GRO12" s="569"/>
      <c r="GRP12" s="569"/>
      <c r="GRQ12" s="569"/>
      <c r="GRR12" s="569"/>
      <c r="GRS12" s="569"/>
      <c r="GRT12" s="569"/>
      <c r="GRU12" s="569"/>
      <c r="GRV12" s="569"/>
      <c r="GRW12" s="569"/>
      <c r="GRX12" s="569"/>
      <c r="GRY12" s="569"/>
      <c r="GRZ12" s="569"/>
      <c r="GSA12" s="569"/>
      <c r="GSB12" s="569"/>
      <c r="GSC12" s="569"/>
      <c r="GSD12" s="569"/>
      <c r="GSE12" s="569"/>
      <c r="GSF12" s="569"/>
      <c r="GSG12" s="569"/>
      <c r="GSH12" s="569"/>
      <c r="GSI12" s="569"/>
      <c r="GSJ12" s="569"/>
      <c r="GSK12" s="569"/>
      <c r="GSL12" s="569"/>
      <c r="GSM12" s="569"/>
      <c r="GSN12" s="569"/>
      <c r="GSO12" s="569"/>
      <c r="GSP12" s="569"/>
      <c r="GSQ12" s="569"/>
      <c r="GSR12" s="569"/>
      <c r="GSS12" s="569"/>
      <c r="GST12" s="569"/>
      <c r="GSU12" s="569"/>
      <c r="GSV12" s="569"/>
      <c r="GSW12" s="569"/>
      <c r="GSX12" s="569"/>
      <c r="GSY12" s="569"/>
      <c r="GSZ12" s="569"/>
      <c r="GTA12" s="569"/>
      <c r="GTB12" s="569"/>
      <c r="GTC12" s="569"/>
      <c r="GTD12" s="569"/>
      <c r="GTE12" s="569"/>
      <c r="GTF12" s="569"/>
      <c r="GTG12" s="569"/>
      <c r="GTH12" s="569"/>
      <c r="GTI12" s="569"/>
      <c r="GTJ12" s="569"/>
      <c r="GTK12" s="569"/>
      <c r="GTL12" s="569"/>
      <c r="GTM12" s="569"/>
      <c r="GTN12" s="569"/>
      <c r="GTO12" s="569"/>
      <c r="GTP12" s="569"/>
      <c r="GTQ12" s="569"/>
      <c r="GTR12" s="569"/>
      <c r="GTS12" s="569"/>
      <c r="GTT12" s="569"/>
      <c r="GTU12" s="569"/>
      <c r="GTV12" s="569"/>
      <c r="GTW12" s="569"/>
      <c r="GTX12" s="569"/>
      <c r="GTY12" s="569"/>
      <c r="GTZ12" s="569"/>
      <c r="GUA12" s="569"/>
      <c r="GUB12" s="569"/>
      <c r="GUC12" s="569"/>
      <c r="GUD12" s="569"/>
      <c r="GUE12" s="569"/>
      <c r="GUF12" s="569"/>
      <c r="GUG12" s="569"/>
      <c r="GUH12" s="569"/>
      <c r="GUI12" s="569"/>
      <c r="GUJ12" s="569"/>
      <c r="GUK12" s="569"/>
      <c r="GUL12" s="569"/>
      <c r="GUM12" s="569"/>
      <c r="GUN12" s="569"/>
      <c r="GUO12" s="569"/>
      <c r="GUP12" s="569"/>
      <c r="GUQ12" s="569"/>
      <c r="GUR12" s="569"/>
      <c r="GUS12" s="569"/>
      <c r="GUT12" s="569"/>
      <c r="GUU12" s="569"/>
      <c r="GUV12" s="569"/>
      <c r="GUW12" s="569"/>
      <c r="GUX12" s="569"/>
      <c r="GUY12" s="569"/>
      <c r="GUZ12" s="569"/>
      <c r="GVA12" s="569"/>
      <c r="GVB12" s="569"/>
      <c r="GVC12" s="569"/>
      <c r="GVD12" s="569"/>
      <c r="GVE12" s="569"/>
      <c r="GVF12" s="569"/>
      <c r="GVG12" s="569"/>
      <c r="GVH12" s="569"/>
      <c r="GVI12" s="569"/>
      <c r="GVJ12" s="569"/>
      <c r="GVK12" s="569"/>
      <c r="GVL12" s="569"/>
      <c r="GVM12" s="569"/>
      <c r="GVN12" s="569"/>
      <c r="GVO12" s="569"/>
      <c r="GVP12" s="569"/>
      <c r="GVQ12" s="569"/>
      <c r="GVR12" s="569"/>
      <c r="GVS12" s="569"/>
      <c r="GVT12" s="569"/>
      <c r="GVU12" s="569"/>
      <c r="GVV12" s="569"/>
      <c r="GVW12" s="569"/>
      <c r="GVX12" s="569"/>
      <c r="GVY12" s="569"/>
      <c r="GVZ12" s="569"/>
      <c r="GWA12" s="569"/>
      <c r="GWB12" s="569"/>
      <c r="GWC12" s="569"/>
      <c r="GWD12" s="569"/>
      <c r="GWE12" s="569"/>
      <c r="GWF12" s="569"/>
      <c r="GWG12" s="569"/>
      <c r="GWH12" s="569"/>
      <c r="GWI12" s="569"/>
      <c r="GWJ12" s="569"/>
      <c r="GWK12" s="569"/>
      <c r="GWL12" s="569"/>
      <c r="GWM12" s="569"/>
      <c r="GWN12" s="569"/>
      <c r="GWO12" s="569"/>
      <c r="GWP12" s="569"/>
      <c r="GWQ12" s="569"/>
      <c r="GWR12" s="569"/>
      <c r="GWS12" s="569"/>
      <c r="GWT12" s="569"/>
      <c r="GWU12" s="569"/>
      <c r="GWV12" s="569"/>
      <c r="GWW12" s="569"/>
      <c r="GWX12" s="569"/>
      <c r="GWY12" s="569"/>
      <c r="GWZ12" s="569"/>
      <c r="GXA12" s="569"/>
      <c r="GXB12" s="569"/>
      <c r="GXC12" s="569"/>
      <c r="GXD12" s="569"/>
      <c r="GXE12" s="569"/>
      <c r="GXF12" s="569"/>
      <c r="GXG12" s="569"/>
      <c r="GXH12" s="569"/>
      <c r="GXI12" s="569"/>
      <c r="GXJ12" s="569"/>
      <c r="GXK12" s="569"/>
      <c r="GXL12" s="569"/>
      <c r="GXM12" s="569"/>
      <c r="GXN12" s="569"/>
      <c r="GXO12" s="569"/>
      <c r="GXP12" s="569"/>
      <c r="GXQ12" s="569"/>
      <c r="GXR12" s="569"/>
      <c r="GXS12" s="569"/>
      <c r="GXT12" s="569"/>
      <c r="GXU12" s="569"/>
      <c r="GXV12" s="569"/>
      <c r="GXW12" s="569"/>
      <c r="GXX12" s="569"/>
      <c r="GXY12" s="569"/>
      <c r="GXZ12" s="569"/>
      <c r="GYA12" s="569"/>
      <c r="GYB12" s="569"/>
      <c r="GYC12" s="569"/>
      <c r="GYD12" s="569"/>
      <c r="GYE12" s="569"/>
      <c r="GYF12" s="569"/>
      <c r="GYG12" s="569"/>
      <c r="GYH12" s="569"/>
      <c r="GYI12" s="569"/>
      <c r="GYJ12" s="569"/>
      <c r="GYK12" s="569"/>
      <c r="GYL12" s="569"/>
      <c r="GYM12" s="569"/>
      <c r="GYN12" s="569"/>
      <c r="GYO12" s="569"/>
      <c r="GYP12" s="569"/>
      <c r="GYQ12" s="569"/>
      <c r="GYR12" s="569"/>
      <c r="GYS12" s="569"/>
      <c r="GYT12" s="569"/>
      <c r="GYU12" s="569"/>
      <c r="GYV12" s="569"/>
      <c r="GYW12" s="569"/>
      <c r="GYX12" s="569"/>
      <c r="GYY12" s="569"/>
      <c r="GYZ12" s="569"/>
      <c r="GZA12" s="569"/>
      <c r="GZB12" s="569"/>
      <c r="GZC12" s="569"/>
      <c r="GZD12" s="569"/>
      <c r="GZE12" s="569"/>
      <c r="GZF12" s="569"/>
      <c r="GZG12" s="569"/>
      <c r="GZH12" s="569"/>
      <c r="GZI12" s="569"/>
      <c r="GZJ12" s="569"/>
      <c r="GZK12" s="569"/>
      <c r="GZL12" s="569"/>
      <c r="GZM12" s="569"/>
      <c r="GZN12" s="569"/>
      <c r="GZO12" s="569"/>
      <c r="GZP12" s="569"/>
      <c r="GZQ12" s="569"/>
      <c r="GZR12" s="569"/>
      <c r="GZS12" s="569"/>
      <c r="GZT12" s="569"/>
      <c r="GZU12" s="569"/>
      <c r="GZV12" s="569"/>
      <c r="GZW12" s="569"/>
      <c r="GZX12" s="569"/>
      <c r="GZY12" s="569"/>
      <c r="GZZ12" s="569"/>
      <c r="HAA12" s="569"/>
      <c r="HAB12" s="569"/>
      <c r="HAC12" s="569"/>
      <c r="HAD12" s="569"/>
      <c r="HAE12" s="569"/>
      <c r="HAF12" s="569"/>
      <c r="HAG12" s="569"/>
      <c r="HAH12" s="569"/>
      <c r="HAI12" s="569"/>
      <c r="HAJ12" s="569"/>
      <c r="HAK12" s="569"/>
      <c r="HAL12" s="569"/>
      <c r="HAM12" s="569"/>
      <c r="HAN12" s="569"/>
      <c r="HAO12" s="569"/>
      <c r="HAP12" s="569"/>
      <c r="HAQ12" s="569"/>
      <c r="HAR12" s="569"/>
      <c r="HAS12" s="569"/>
      <c r="HAT12" s="569"/>
      <c r="HAU12" s="569"/>
      <c r="HAV12" s="569"/>
      <c r="HAW12" s="569"/>
      <c r="HAX12" s="569"/>
      <c r="HAY12" s="569"/>
      <c r="HAZ12" s="569"/>
      <c r="HBA12" s="569"/>
      <c r="HBB12" s="569"/>
      <c r="HBC12" s="569"/>
      <c r="HBD12" s="569"/>
      <c r="HBE12" s="569"/>
      <c r="HBF12" s="569"/>
      <c r="HBG12" s="569"/>
      <c r="HBH12" s="569"/>
      <c r="HBI12" s="569"/>
      <c r="HBJ12" s="569"/>
      <c r="HBK12" s="569"/>
      <c r="HBL12" s="569"/>
      <c r="HBM12" s="569"/>
      <c r="HBN12" s="569"/>
      <c r="HBO12" s="569"/>
      <c r="HBP12" s="569"/>
      <c r="HBQ12" s="569"/>
      <c r="HBR12" s="569"/>
      <c r="HBS12" s="569"/>
      <c r="HBT12" s="569"/>
      <c r="HBU12" s="569"/>
      <c r="HBV12" s="569"/>
      <c r="HBW12" s="569"/>
      <c r="HBX12" s="569"/>
      <c r="HBY12" s="569"/>
      <c r="HBZ12" s="569"/>
      <c r="HCA12" s="569"/>
      <c r="HCB12" s="569"/>
      <c r="HCC12" s="569"/>
      <c r="HCD12" s="569"/>
      <c r="HCE12" s="569"/>
      <c r="HCF12" s="569"/>
      <c r="HCG12" s="569"/>
      <c r="HCH12" s="569"/>
      <c r="HCI12" s="569"/>
      <c r="HCJ12" s="569"/>
      <c r="HCK12" s="569"/>
      <c r="HCL12" s="569"/>
      <c r="HCM12" s="569"/>
      <c r="HCN12" s="569"/>
      <c r="HCO12" s="569"/>
      <c r="HCP12" s="569"/>
      <c r="HCQ12" s="569"/>
      <c r="HCR12" s="569"/>
      <c r="HCS12" s="569"/>
      <c r="HCT12" s="569"/>
      <c r="HCU12" s="569"/>
      <c r="HCV12" s="569"/>
      <c r="HCW12" s="569"/>
      <c r="HCX12" s="569"/>
      <c r="HCY12" s="569"/>
      <c r="HCZ12" s="569"/>
      <c r="HDA12" s="569"/>
      <c r="HDB12" s="569"/>
      <c r="HDC12" s="569"/>
      <c r="HDD12" s="569"/>
      <c r="HDE12" s="569"/>
      <c r="HDF12" s="569"/>
      <c r="HDG12" s="569"/>
      <c r="HDH12" s="569"/>
      <c r="HDI12" s="569"/>
      <c r="HDJ12" s="569"/>
      <c r="HDK12" s="569"/>
      <c r="HDL12" s="569"/>
      <c r="HDM12" s="569"/>
      <c r="HDN12" s="569"/>
      <c r="HDO12" s="569"/>
      <c r="HDP12" s="569"/>
      <c r="HDQ12" s="569"/>
      <c r="HDR12" s="569"/>
      <c r="HDS12" s="569"/>
      <c r="HDT12" s="569"/>
      <c r="HDU12" s="569"/>
      <c r="HDV12" s="569"/>
      <c r="HDW12" s="569"/>
      <c r="HDX12" s="569"/>
      <c r="HDY12" s="569"/>
      <c r="HDZ12" s="569"/>
      <c r="HEA12" s="569"/>
      <c r="HEB12" s="569"/>
      <c r="HEC12" s="569"/>
      <c r="HED12" s="569"/>
      <c r="HEE12" s="569"/>
      <c r="HEF12" s="569"/>
      <c r="HEG12" s="569"/>
      <c r="HEH12" s="569"/>
      <c r="HEI12" s="569"/>
      <c r="HEJ12" s="569"/>
      <c r="HEK12" s="569"/>
      <c r="HEL12" s="569"/>
      <c r="HEM12" s="569"/>
      <c r="HEN12" s="569"/>
      <c r="HEO12" s="569"/>
      <c r="HEP12" s="569"/>
      <c r="HEQ12" s="569"/>
      <c r="HER12" s="569"/>
      <c r="HES12" s="569"/>
      <c r="HET12" s="569"/>
      <c r="HEU12" s="569"/>
      <c r="HEV12" s="569"/>
      <c r="HEW12" s="569"/>
      <c r="HEX12" s="569"/>
      <c r="HEY12" s="569"/>
      <c r="HEZ12" s="569"/>
      <c r="HFA12" s="569"/>
      <c r="HFB12" s="569"/>
      <c r="HFC12" s="569"/>
      <c r="HFD12" s="569"/>
      <c r="HFE12" s="569"/>
      <c r="HFF12" s="569"/>
      <c r="HFG12" s="569"/>
      <c r="HFH12" s="569"/>
      <c r="HFI12" s="569"/>
      <c r="HFJ12" s="569"/>
      <c r="HFK12" s="569"/>
      <c r="HFL12" s="569"/>
      <c r="HFM12" s="569"/>
      <c r="HFN12" s="569"/>
      <c r="HFO12" s="569"/>
      <c r="HFP12" s="569"/>
      <c r="HFQ12" s="569"/>
      <c r="HFR12" s="569"/>
      <c r="HFS12" s="569"/>
      <c r="HFT12" s="569"/>
      <c r="HFU12" s="569"/>
      <c r="HFV12" s="569"/>
      <c r="HFW12" s="569"/>
      <c r="HFX12" s="569"/>
      <c r="HFY12" s="569"/>
      <c r="HFZ12" s="569"/>
      <c r="HGA12" s="569"/>
      <c r="HGB12" s="569"/>
      <c r="HGC12" s="569"/>
      <c r="HGD12" s="569"/>
      <c r="HGE12" s="569"/>
      <c r="HGF12" s="569"/>
      <c r="HGG12" s="569"/>
      <c r="HGH12" s="569"/>
      <c r="HGI12" s="569"/>
      <c r="HGJ12" s="569"/>
      <c r="HGK12" s="569"/>
      <c r="HGL12" s="569"/>
      <c r="HGM12" s="569"/>
      <c r="HGN12" s="569"/>
      <c r="HGO12" s="569"/>
      <c r="HGP12" s="569"/>
      <c r="HGQ12" s="569"/>
      <c r="HGR12" s="569"/>
      <c r="HGS12" s="569"/>
      <c r="HGT12" s="569"/>
      <c r="HGU12" s="569"/>
      <c r="HGV12" s="569"/>
      <c r="HGW12" s="569"/>
      <c r="HGX12" s="569"/>
      <c r="HGY12" s="569"/>
      <c r="HGZ12" s="569"/>
      <c r="HHA12" s="569"/>
      <c r="HHB12" s="569"/>
      <c r="HHC12" s="569"/>
      <c r="HHD12" s="569"/>
      <c r="HHE12" s="569"/>
      <c r="HHF12" s="569"/>
      <c r="HHG12" s="569"/>
      <c r="HHH12" s="569"/>
      <c r="HHI12" s="569"/>
      <c r="HHJ12" s="569"/>
      <c r="HHK12" s="569"/>
      <c r="HHL12" s="569"/>
      <c r="HHM12" s="569"/>
      <c r="HHN12" s="569"/>
      <c r="HHO12" s="569"/>
      <c r="HHP12" s="569"/>
      <c r="HHQ12" s="569"/>
      <c r="HHR12" s="569"/>
      <c r="HHS12" s="569"/>
      <c r="HHT12" s="569"/>
      <c r="HHU12" s="569"/>
      <c r="HHV12" s="569"/>
      <c r="HHW12" s="569"/>
      <c r="HHX12" s="569"/>
      <c r="HHY12" s="569"/>
      <c r="HHZ12" s="569"/>
      <c r="HIA12" s="569"/>
      <c r="HIB12" s="569"/>
      <c r="HIC12" s="569"/>
      <c r="HID12" s="569"/>
      <c r="HIE12" s="569"/>
      <c r="HIF12" s="569"/>
      <c r="HIG12" s="569"/>
      <c r="HIH12" s="569"/>
      <c r="HII12" s="569"/>
      <c r="HIJ12" s="569"/>
      <c r="HIK12" s="569"/>
      <c r="HIL12" s="569"/>
      <c r="HIM12" s="569"/>
      <c r="HIN12" s="569"/>
      <c r="HIO12" s="569"/>
      <c r="HIP12" s="569"/>
      <c r="HIQ12" s="569"/>
      <c r="HIR12" s="569"/>
      <c r="HIS12" s="569"/>
      <c r="HIT12" s="569"/>
      <c r="HIU12" s="569"/>
      <c r="HIV12" s="569"/>
      <c r="HIW12" s="569"/>
      <c r="HIX12" s="569"/>
      <c r="HIY12" s="569"/>
      <c r="HIZ12" s="569"/>
      <c r="HJA12" s="569"/>
      <c r="HJB12" s="569"/>
      <c r="HJC12" s="569"/>
      <c r="HJD12" s="569"/>
      <c r="HJE12" s="569"/>
      <c r="HJF12" s="569"/>
      <c r="HJG12" s="569"/>
      <c r="HJH12" s="569"/>
      <c r="HJI12" s="569"/>
      <c r="HJJ12" s="569"/>
      <c r="HJK12" s="569"/>
      <c r="HJL12" s="569"/>
      <c r="HJM12" s="569"/>
      <c r="HJN12" s="569"/>
      <c r="HJO12" s="569"/>
      <c r="HJP12" s="569"/>
      <c r="HJQ12" s="569"/>
      <c r="HJR12" s="569"/>
      <c r="HJS12" s="569"/>
      <c r="HJT12" s="569"/>
      <c r="HJU12" s="569"/>
      <c r="HJV12" s="569"/>
      <c r="HJW12" s="569"/>
      <c r="HJX12" s="569"/>
      <c r="HJY12" s="569"/>
      <c r="HJZ12" s="569"/>
      <c r="HKA12" s="569"/>
      <c r="HKB12" s="569"/>
      <c r="HKC12" s="569"/>
      <c r="HKD12" s="569"/>
      <c r="HKE12" s="569"/>
      <c r="HKF12" s="569"/>
      <c r="HKG12" s="569"/>
      <c r="HKH12" s="569"/>
      <c r="HKI12" s="569"/>
      <c r="HKJ12" s="569"/>
      <c r="HKK12" s="569"/>
      <c r="HKL12" s="569"/>
      <c r="HKM12" s="569"/>
      <c r="HKN12" s="569"/>
      <c r="HKO12" s="569"/>
      <c r="HKP12" s="569"/>
      <c r="HKQ12" s="569"/>
      <c r="HKR12" s="569"/>
      <c r="HKS12" s="569"/>
      <c r="HKT12" s="569"/>
      <c r="HKU12" s="569"/>
      <c r="HKV12" s="569"/>
      <c r="HKW12" s="569"/>
      <c r="HKX12" s="569"/>
      <c r="HKY12" s="569"/>
      <c r="HKZ12" s="569"/>
      <c r="HLA12" s="569"/>
      <c r="HLB12" s="569"/>
      <c r="HLC12" s="569"/>
      <c r="HLD12" s="569"/>
      <c r="HLE12" s="569"/>
      <c r="HLF12" s="569"/>
      <c r="HLG12" s="569"/>
      <c r="HLH12" s="569"/>
      <c r="HLI12" s="569"/>
      <c r="HLJ12" s="569"/>
      <c r="HLK12" s="569"/>
      <c r="HLL12" s="569"/>
      <c r="HLM12" s="569"/>
      <c r="HLN12" s="569"/>
      <c r="HLO12" s="569"/>
      <c r="HLP12" s="569"/>
      <c r="HLQ12" s="569"/>
      <c r="HLR12" s="569"/>
      <c r="HLS12" s="569"/>
      <c r="HLT12" s="569"/>
      <c r="HLU12" s="569"/>
      <c r="HLV12" s="569"/>
      <c r="HLW12" s="569"/>
      <c r="HLX12" s="569"/>
      <c r="HLY12" s="569"/>
      <c r="HLZ12" s="569"/>
      <c r="HMA12" s="569"/>
      <c r="HMB12" s="569"/>
      <c r="HMC12" s="569"/>
      <c r="HMD12" s="569"/>
      <c r="HME12" s="569"/>
      <c r="HMF12" s="569"/>
      <c r="HMG12" s="569"/>
      <c r="HMH12" s="569"/>
      <c r="HMI12" s="569"/>
      <c r="HMJ12" s="569"/>
      <c r="HMK12" s="569"/>
      <c r="HML12" s="569"/>
      <c r="HMM12" s="569"/>
      <c r="HMN12" s="569"/>
      <c r="HMO12" s="569"/>
      <c r="HMP12" s="569"/>
      <c r="HMQ12" s="569"/>
      <c r="HMR12" s="569"/>
      <c r="HMS12" s="569"/>
      <c r="HMT12" s="569"/>
      <c r="HMU12" s="569"/>
      <c r="HMV12" s="569"/>
      <c r="HMW12" s="569"/>
      <c r="HMX12" s="569"/>
      <c r="HMY12" s="569"/>
      <c r="HMZ12" s="569"/>
      <c r="HNA12" s="569"/>
      <c r="HNB12" s="569"/>
      <c r="HNC12" s="569"/>
      <c r="HND12" s="569"/>
      <c r="HNE12" s="569"/>
      <c r="HNF12" s="569"/>
      <c r="HNG12" s="569"/>
      <c r="HNH12" s="569"/>
      <c r="HNI12" s="569"/>
      <c r="HNJ12" s="569"/>
      <c r="HNK12" s="569"/>
      <c r="HNL12" s="569"/>
      <c r="HNM12" s="569"/>
      <c r="HNN12" s="569"/>
      <c r="HNO12" s="569"/>
      <c r="HNP12" s="569"/>
      <c r="HNQ12" s="569"/>
      <c r="HNR12" s="569"/>
      <c r="HNS12" s="569"/>
      <c r="HNT12" s="569"/>
      <c r="HNU12" s="569"/>
      <c r="HNV12" s="569"/>
      <c r="HNW12" s="569"/>
      <c r="HNX12" s="569"/>
      <c r="HNY12" s="569"/>
      <c r="HNZ12" s="569"/>
      <c r="HOA12" s="569"/>
      <c r="HOB12" s="569"/>
      <c r="HOC12" s="569"/>
      <c r="HOD12" s="569"/>
      <c r="HOE12" s="569"/>
      <c r="HOF12" s="569"/>
      <c r="HOG12" s="569"/>
      <c r="HOH12" s="569"/>
      <c r="HOI12" s="569"/>
      <c r="HOJ12" s="569"/>
      <c r="HOK12" s="569"/>
      <c r="HOL12" s="569"/>
      <c r="HOM12" s="569"/>
      <c r="HON12" s="569"/>
      <c r="HOO12" s="569"/>
      <c r="HOP12" s="569"/>
      <c r="HOQ12" s="569"/>
      <c r="HOR12" s="569"/>
      <c r="HOS12" s="569"/>
      <c r="HOT12" s="569"/>
      <c r="HOU12" s="569"/>
      <c r="HOV12" s="569"/>
      <c r="HOW12" s="569"/>
      <c r="HOX12" s="569"/>
      <c r="HOY12" s="569"/>
      <c r="HOZ12" s="569"/>
      <c r="HPA12" s="569"/>
      <c r="HPB12" s="569"/>
      <c r="HPC12" s="569"/>
      <c r="HPD12" s="569"/>
      <c r="HPE12" s="569"/>
      <c r="HPF12" s="569"/>
      <c r="HPG12" s="569"/>
      <c r="HPH12" s="569"/>
      <c r="HPI12" s="569"/>
      <c r="HPJ12" s="569"/>
      <c r="HPK12" s="569"/>
      <c r="HPL12" s="569"/>
      <c r="HPM12" s="569"/>
      <c r="HPN12" s="569"/>
      <c r="HPO12" s="569"/>
      <c r="HPP12" s="569"/>
      <c r="HPQ12" s="569"/>
      <c r="HPR12" s="569"/>
      <c r="HPS12" s="569"/>
      <c r="HPT12" s="569"/>
      <c r="HPU12" s="569"/>
      <c r="HPV12" s="569"/>
      <c r="HPW12" s="569"/>
      <c r="HPX12" s="569"/>
      <c r="HPY12" s="569"/>
      <c r="HPZ12" s="569"/>
      <c r="HQA12" s="569"/>
      <c r="HQB12" s="569"/>
      <c r="HQC12" s="569"/>
      <c r="HQD12" s="569"/>
      <c r="HQE12" s="569"/>
      <c r="HQF12" s="569"/>
      <c r="HQG12" s="569"/>
      <c r="HQH12" s="569"/>
      <c r="HQI12" s="569"/>
      <c r="HQJ12" s="569"/>
      <c r="HQK12" s="569"/>
      <c r="HQL12" s="569"/>
      <c r="HQM12" s="569"/>
      <c r="HQN12" s="569"/>
      <c r="HQO12" s="569"/>
      <c r="HQP12" s="569"/>
      <c r="HQQ12" s="569"/>
      <c r="HQR12" s="569"/>
      <c r="HQS12" s="569"/>
      <c r="HQT12" s="569"/>
      <c r="HQU12" s="569"/>
      <c r="HQV12" s="569"/>
      <c r="HQW12" s="569"/>
      <c r="HQX12" s="569"/>
      <c r="HQY12" s="569"/>
      <c r="HQZ12" s="569"/>
      <c r="HRA12" s="569"/>
      <c r="HRB12" s="569"/>
      <c r="HRC12" s="569"/>
      <c r="HRD12" s="569"/>
      <c r="HRE12" s="569"/>
      <c r="HRF12" s="569"/>
      <c r="HRG12" s="569"/>
      <c r="HRH12" s="569"/>
      <c r="HRI12" s="569"/>
      <c r="HRJ12" s="569"/>
      <c r="HRK12" s="569"/>
      <c r="HRL12" s="569"/>
      <c r="HRM12" s="569"/>
      <c r="HRN12" s="569"/>
      <c r="HRO12" s="569"/>
      <c r="HRP12" s="569"/>
      <c r="HRQ12" s="569"/>
      <c r="HRR12" s="569"/>
      <c r="HRS12" s="569"/>
      <c r="HRT12" s="569"/>
      <c r="HRU12" s="569"/>
      <c r="HRV12" s="569"/>
      <c r="HRW12" s="569"/>
      <c r="HRX12" s="569"/>
      <c r="HRY12" s="569"/>
      <c r="HRZ12" s="569"/>
      <c r="HSA12" s="569"/>
      <c r="HSB12" s="569"/>
      <c r="HSC12" s="569"/>
      <c r="HSD12" s="569"/>
      <c r="HSE12" s="569"/>
      <c r="HSF12" s="569"/>
      <c r="HSG12" s="569"/>
      <c r="HSH12" s="569"/>
      <c r="HSI12" s="569"/>
      <c r="HSJ12" s="569"/>
      <c r="HSK12" s="569"/>
      <c r="HSL12" s="569"/>
      <c r="HSM12" s="569"/>
      <c r="HSN12" s="569"/>
      <c r="HSO12" s="569"/>
      <c r="HSP12" s="569"/>
      <c r="HSQ12" s="569"/>
      <c r="HSR12" s="569"/>
      <c r="HSS12" s="569"/>
      <c r="HST12" s="569"/>
      <c r="HSU12" s="569"/>
      <c r="HSV12" s="569"/>
      <c r="HSW12" s="569"/>
      <c r="HSX12" s="569"/>
      <c r="HSY12" s="569"/>
      <c r="HSZ12" s="569"/>
      <c r="HTA12" s="569"/>
      <c r="HTB12" s="569"/>
      <c r="HTC12" s="569"/>
      <c r="HTD12" s="569"/>
      <c r="HTE12" s="569"/>
      <c r="HTF12" s="569"/>
      <c r="HTG12" s="569"/>
      <c r="HTH12" s="569"/>
      <c r="HTI12" s="569"/>
      <c r="HTJ12" s="569"/>
      <c r="HTK12" s="569"/>
      <c r="HTL12" s="569"/>
      <c r="HTM12" s="569"/>
      <c r="HTN12" s="569"/>
      <c r="HTO12" s="569"/>
      <c r="HTP12" s="569"/>
      <c r="HTQ12" s="569"/>
      <c r="HTR12" s="569"/>
      <c r="HTS12" s="569"/>
      <c r="HTT12" s="569"/>
      <c r="HTU12" s="569"/>
      <c r="HTV12" s="569"/>
      <c r="HTW12" s="569"/>
      <c r="HTX12" s="569"/>
      <c r="HTY12" s="569"/>
      <c r="HTZ12" s="569"/>
      <c r="HUA12" s="569"/>
      <c r="HUB12" s="569"/>
      <c r="HUC12" s="569"/>
      <c r="HUD12" s="569"/>
      <c r="HUE12" s="569"/>
      <c r="HUF12" s="569"/>
      <c r="HUG12" s="569"/>
      <c r="HUH12" s="569"/>
      <c r="HUI12" s="569"/>
      <c r="HUJ12" s="569"/>
      <c r="HUK12" s="569"/>
      <c r="HUL12" s="569"/>
      <c r="HUM12" s="569"/>
      <c r="HUN12" s="569"/>
      <c r="HUO12" s="569"/>
      <c r="HUP12" s="569"/>
      <c r="HUQ12" s="569"/>
      <c r="HUR12" s="569"/>
      <c r="HUS12" s="569"/>
      <c r="HUT12" s="569"/>
      <c r="HUU12" s="569"/>
      <c r="HUV12" s="569"/>
      <c r="HUW12" s="569"/>
      <c r="HUX12" s="569"/>
      <c r="HUY12" s="569"/>
      <c r="HUZ12" s="569"/>
      <c r="HVA12" s="569"/>
      <c r="HVB12" s="569"/>
      <c r="HVC12" s="569"/>
      <c r="HVD12" s="569"/>
      <c r="HVE12" s="569"/>
      <c r="HVF12" s="569"/>
      <c r="HVG12" s="569"/>
      <c r="HVH12" s="569"/>
      <c r="HVI12" s="569"/>
      <c r="HVJ12" s="569"/>
      <c r="HVK12" s="569"/>
      <c r="HVL12" s="569"/>
      <c r="HVM12" s="569"/>
      <c r="HVN12" s="569"/>
      <c r="HVO12" s="569"/>
      <c r="HVP12" s="569"/>
      <c r="HVQ12" s="569"/>
      <c r="HVR12" s="569"/>
      <c r="HVS12" s="569"/>
      <c r="HVT12" s="569"/>
      <c r="HVU12" s="569"/>
      <c r="HVV12" s="569"/>
      <c r="HVW12" s="569"/>
      <c r="HVX12" s="569"/>
      <c r="HVY12" s="569"/>
      <c r="HVZ12" s="569"/>
      <c r="HWA12" s="569"/>
      <c r="HWB12" s="569"/>
      <c r="HWC12" s="569"/>
      <c r="HWD12" s="569"/>
      <c r="HWE12" s="569"/>
      <c r="HWF12" s="569"/>
      <c r="HWG12" s="569"/>
      <c r="HWH12" s="569"/>
      <c r="HWI12" s="569"/>
      <c r="HWJ12" s="569"/>
      <c r="HWK12" s="569"/>
      <c r="HWL12" s="569"/>
      <c r="HWM12" s="569"/>
      <c r="HWN12" s="569"/>
      <c r="HWO12" s="569"/>
      <c r="HWP12" s="569"/>
      <c r="HWQ12" s="569"/>
      <c r="HWR12" s="569"/>
      <c r="HWS12" s="569"/>
      <c r="HWT12" s="569"/>
      <c r="HWU12" s="569"/>
      <c r="HWV12" s="569"/>
      <c r="HWW12" s="569"/>
      <c r="HWX12" s="569"/>
      <c r="HWY12" s="569"/>
      <c r="HWZ12" s="569"/>
      <c r="HXA12" s="569"/>
      <c r="HXB12" s="569"/>
      <c r="HXC12" s="569"/>
      <c r="HXD12" s="569"/>
      <c r="HXE12" s="569"/>
      <c r="HXF12" s="569"/>
      <c r="HXG12" s="569"/>
      <c r="HXH12" s="569"/>
      <c r="HXI12" s="569"/>
      <c r="HXJ12" s="569"/>
      <c r="HXK12" s="569"/>
      <c r="HXL12" s="569"/>
      <c r="HXM12" s="569"/>
      <c r="HXN12" s="569"/>
      <c r="HXO12" s="569"/>
      <c r="HXP12" s="569"/>
      <c r="HXQ12" s="569"/>
      <c r="HXR12" s="569"/>
      <c r="HXS12" s="569"/>
      <c r="HXT12" s="569"/>
      <c r="HXU12" s="569"/>
      <c r="HXV12" s="569"/>
      <c r="HXW12" s="569"/>
      <c r="HXX12" s="569"/>
      <c r="HXY12" s="569"/>
      <c r="HXZ12" s="569"/>
      <c r="HYA12" s="569"/>
      <c r="HYB12" s="569"/>
      <c r="HYC12" s="569"/>
      <c r="HYD12" s="569"/>
      <c r="HYE12" s="569"/>
      <c r="HYF12" s="569"/>
      <c r="HYG12" s="569"/>
      <c r="HYH12" s="569"/>
      <c r="HYI12" s="569"/>
      <c r="HYJ12" s="569"/>
      <c r="HYK12" s="569"/>
      <c r="HYL12" s="569"/>
      <c r="HYM12" s="569"/>
      <c r="HYN12" s="569"/>
      <c r="HYO12" s="569"/>
      <c r="HYP12" s="569"/>
      <c r="HYQ12" s="569"/>
      <c r="HYR12" s="569"/>
      <c r="HYS12" s="569"/>
      <c r="HYT12" s="569"/>
      <c r="HYU12" s="569"/>
      <c r="HYV12" s="569"/>
      <c r="HYW12" s="569"/>
      <c r="HYX12" s="569"/>
      <c r="HYY12" s="569"/>
      <c r="HYZ12" s="569"/>
      <c r="HZA12" s="569"/>
      <c r="HZB12" s="569"/>
      <c r="HZC12" s="569"/>
      <c r="HZD12" s="569"/>
      <c r="HZE12" s="569"/>
      <c r="HZF12" s="569"/>
      <c r="HZG12" s="569"/>
      <c r="HZH12" s="569"/>
      <c r="HZI12" s="569"/>
      <c r="HZJ12" s="569"/>
      <c r="HZK12" s="569"/>
      <c r="HZL12" s="569"/>
      <c r="HZM12" s="569"/>
      <c r="HZN12" s="569"/>
      <c r="HZO12" s="569"/>
      <c r="HZP12" s="569"/>
      <c r="HZQ12" s="569"/>
      <c r="HZR12" s="569"/>
      <c r="HZS12" s="569"/>
      <c r="HZT12" s="569"/>
      <c r="HZU12" s="569"/>
      <c r="HZV12" s="569"/>
      <c r="HZW12" s="569"/>
      <c r="HZX12" s="569"/>
      <c r="HZY12" s="569"/>
      <c r="HZZ12" s="569"/>
      <c r="IAA12" s="569"/>
      <c r="IAB12" s="569"/>
      <c r="IAC12" s="569"/>
      <c r="IAD12" s="569"/>
      <c r="IAE12" s="569"/>
      <c r="IAF12" s="569"/>
      <c r="IAG12" s="569"/>
      <c r="IAH12" s="569"/>
      <c r="IAI12" s="569"/>
      <c r="IAJ12" s="569"/>
      <c r="IAK12" s="569"/>
      <c r="IAL12" s="569"/>
      <c r="IAM12" s="569"/>
      <c r="IAN12" s="569"/>
      <c r="IAO12" s="569"/>
      <c r="IAP12" s="569"/>
      <c r="IAQ12" s="569"/>
      <c r="IAR12" s="569"/>
      <c r="IAS12" s="569"/>
      <c r="IAT12" s="569"/>
      <c r="IAU12" s="569"/>
      <c r="IAV12" s="569"/>
      <c r="IAW12" s="569"/>
      <c r="IAX12" s="569"/>
      <c r="IAY12" s="569"/>
      <c r="IAZ12" s="569"/>
      <c r="IBA12" s="569"/>
      <c r="IBB12" s="569"/>
      <c r="IBC12" s="569"/>
      <c r="IBD12" s="569"/>
      <c r="IBE12" s="569"/>
      <c r="IBF12" s="569"/>
      <c r="IBG12" s="569"/>
      <c r="IBH12" s="569"/>
      <c r="IBI12" s="569"/>
      <c r="IBJ12" s="569"/>
      <c r="IBK12" s="569"/>
      <c r="IBL12" s="569"/>
      <c r="IBM12" s="569"/>
      <c r="IBN12" s="569"/>
      <c r="IBO12" s="569"/>
      <c r="IBP12" s="569"/>
      <c r="IBQ12" s="569"/>
      <c r="IBR12" s="569"/>
      <c r="IBS12" s="569"/>
      <c r="IBT12" s="569"/>
      <c r="IBU12" s="569"/>
      <c r="IBV12" s="569"/>
      <c r="IBW12" s="569"/>
      <c r="IBX12" s="569"/>
      <c r="IBY12" s="569"/>
      <c r="IBZ12" s="569"/>
      <c r="ICA12" s="569"/>
      <c r="ICB12" s="569"/>
      <c r="ICC12" s="569"/>
      <c r="ICD12" s="569"/>
      <c r="ICE12" s="569"/>
      <c r="ICF12" s="569"/>
      <c r="ICG12" s="569"/>
      <c r="ICH12" s="569"/>
      <c r="ICI12" s="569"/>
      <c r="ICJ12" s="569"/>
      <c r="ICK12" s="569"/>
      <c r="ICL12" s="569"/>
      <c r="ICM12" s="569"/>
      <c r="ICN12" s="569"/>
      <c r="ICO12" s="569"/>
      <c r="ICP12" s="569"/>
      <c r="ICQ12" s="569"/>
      <c r="ICR12" s="569"/>
      <c r="ICS12" s="569"/>
      <c r="ICT12" s="569"/>
      <c r="ICU12" s="569"/>
      <c r="ICV12" s="569"/>
      <c r="ICW12" s="569"/>
      <c r="ICX12" s="569"/>
      <c r="ICY12" s="569"/>
      <c r="ICZ12" s="569"/>
      <c r="IDA12" s="569"/>
      <c r="IDB12" s="569"/>
      <c r="IDC12" s="569"/>
      <c r="IDD12" s="569"/>
      <c r="IDE12" s="569"/>
      <c r="IDF12" s="569"/>
      <c r="IDG12" s="569"/>
      <c r="IDH12" s="569"/>
      <c r="IDI12" s="569"/>
      <c r="IDJ12" s="569"/>
      <c r="IDK12" s="569"/>
      <c r="IDL12" s="569"/>
      <c r="IDM12" s="569"/>
      <c r="IDN12" s="569"/>
      <c r="IDO12" s="569"/>
      <c r="IDP12" s="569"/>
      <c r="IDQ12" s="569"/>
      <c r="IDR12" s="569"/>
      <c r="IDS12" s="569"/>
      <c r="IDT12" s="569"/>
      <c r="IDU12" s="569"/>
      <c r="IDV12" s="569"/>
      <c r="IDW12" s="569"/>
      <c r="IDX12" s="569"/>
      <c r="IDY12" s="569"/>
      <c r="IDZ12" s="569"/>
      <c r="IEA12" s="569"/>
      <c r="IEB12" s="569"/>
      <c r="IEC12" s="569"/>
      <c r="IED12" s="569"/>
      <c r="IEE12" s="569"/>
      <c r="IEF12" s="569"/>
      <c r="IEG12" s="569"/>
      <c r="IEH12" s="569"/>
      <c r="IEI12" s="569"/>
      <c r="IEJ12" s="569"/>
      <c r="IEK12" s="569"/>
      <c r="IEL12" s="569"/>
      <c r="IEM12" s="569"/>
      <c r="IEN12" s="569"/>
      <c r="IEO12" s="569"/>
      <c r="IEP12" s="569"/>
      <c r="IEQ12" s="569"/>
      <c r="IER12" s="569"/>
      <c r="IES12" s="569"/>
      <c r="IET12" s="569"/>
      <c r="IEU12" s="569"/>
      <c r="IEV12" s="569"/>
      <c r="IEW12" s="569"/>
      <c r="IEX12" s="569"/>
      <c r="IEY12" s="569"/>
      <c r="IEZ12" s="569"/>
      <c r="IFA12" s="569"/>
      <c r="IFB12" s="569"/>
      <c r="IFC12" s="569"/>
      <c r="IFD12" s="569"/>
      <c r="IFE12" s="569"/>
      <c r="IFF12" s="569"/>
      <c r="IFG12" s="569"/>
      <c r="IFH12" s="569"/>
      <c r="IFI12" s="569"/>
      <c r="IFJ12" s="569"/>
      <c r="IFK12" s="569"/>
      <c r="IFL12" s="569"/>
      <c r="IFM12" s="569"/>
      <c r="IFN12" s="569"/>
      <c r="IFO12" s="569"/>
      <c r="IFP12" s="569"/>
      <c r="IFQ12" s="569"/>
      <c r="IFR12" s="569"/>
      <c r="IFS12" s="569"/>
      <c r="IFT12" s="569"/>
      <c r="IFU12" s="569"/>
      <c r="IFV12" s="569"/>
      <c r="IFW12" s="569"/>
      <c r="IFX12" s="569"/>
      <c r="IFY12" s="569"/>
      <c r="IFZ12" s="569"/>
      <c r="IGA12" s="569"/>
      <c r="IGB12" s="569"/>
      <c r="IGC12" s="569"/>
      <c r="IGD12" s="569"/>
      <c r="IGE12" s="569"/>
      <c r="IGF12" s="569"/>
      <c r="IGG12" s="569"/>
      <c r="IGH12" s="569"/>
      <c r="IGI12" s="569"/>
      <c r="IGJ12" s="569"/>
      <c r="IGK12" s="569"/>
      <c r="IGL12" s="569"/>
      <c r="IGM12" s="569"/>
      <c r="IGN12" s="569"/>
      <c r="IGO12" s="569"/>
      <c r="IGP12" s="569"/>
      <c r="IGQ12" s="569"/>
      <c r="IGR12" s="569"/>
      <c r="IGS12" s="569"/>
      <c r="IGT12" s="569"/>
      <c r="IGU12" s="569"/>
      <c r="IGV12" s="569"/>
      <c r="IGW12" s="569"/>
      <c r="IGX12" s="569"/>
      <c r="IGY12" s="569"/>
      <c r="IGZ12" s="569"/>
      <c r="IHA12" s="569"/>
      <c r="IHB12" s="569"/>
      <c r="IHC12" s="569"/>
      <c r="IHD12" s="569"/>
      <c r="IHE12" s="569"/>
      <c r="IHF12" s="569"/>
      <c r="IHG12" s="569"/>
      <c r="IHH12" s="569"/>
      <c r="IHI12" s="569"/>
      <c r="IHJ12" s="569"/>
      <c r="IHK12" s="569"/>
      <c r="IHL12" s="569"/>
      <c r="IHM12" s="569"/>
      <c r="IHN12" s="569"/>
      <c r="IHO12" s="569"/>
      <c r="IHP12" s="569"/>
      <c r="IHQ12" s="569"/>
      <c r="IHR12" s="569"/>
      <c r="IHS12" s="569"/>
      <c r="IHT12" s="569"/>
      <c r="IHU12" s="569"/>
      <c r="IHV12" s="569"/>
      <c r="IHW12" s="569"/>
      <c r="IHX12" s="569"/>
      <c r="IHY12" s="569"/>
      <c r="IHZ12" s="569"/>
      <c r="IIA12" s="569"/>
      <c r="IIB12" s="569"/>
      <c r="IIC12" s="569"/>
      <c r="IID12" s="569"/>
      <c r="IIE12" s="569"/>
      <c r="IIF12" s="569"/>
      <c r="IIG12" s="569"/>
      <c r="IIH12" s="569"/>
      <c r="III12" s="569"/>
      <c r="IIJ12" s="569"/>
      <c r="IIK12" s="569"/>
      <c r="IIL12" s="569"/>
      <c r="IIM12" s="569"/>
      <c r="IIN12" s="569"/>
      <c r="IIO12" s="569"/>
      <c r="IIP12" s="569"/>
      <c r="IIQ12" s="569"/>
      <c r="IIR12" s="569"/>
      <c r="IIS12" s="569"/>
      <c r="IIT12" s="569"/>
      <c r="IIU12" s="569"/>
      <c r="IIV12" s="569"/>
      <c r="IIW12" s="569"/>
      <c r="IIX12" s="569"/>
      <c r="IIY12" s="569"/>
      <c r="IIZ12" s="569"/>
      <c r="IJA12" s="569"/>
      <c r="IJB12" s="569"/>
      <c r="IJC12" s="569"/>
      <c r="IJD12" s="569"/>
      <c r="IJE12" s="569"/>
      <c r="IJF12" s="569"/>
      <c r="IJG12" s="569"/>
      <c r="IJH12" s="569"/>
      <c r="IJI12" s="569"/>
      <c r="IJJ12" s="569"/>
      <c r="IJK12" s="569"/>
      <c r="IJL12" s="569"/>
      <c r="IJM12" s="569"/>
      <c r="IJN12" s="569"/>
      <c r="IJO12" s="569"/>
      <c r="IJP12" s="569"/>
      <c r="IJQ12" s="569"/>
      <c r="IJR12" s="569"/>
      <c r="IJS12" s="569"/>
      <c r="IJT12" s="569"/>
      <c r="IJU12" s="569"/>
      <c r="IJV12" s="569"/>
      <c r="IJW12" s="569"/>
      <c r="IJX12" s="569"/>
      <c r="IJY12" s="569"/>
      <c r="IJZ12" s="569"/>
      <c r="IKA12" s="569"/>
      <c r="IKB12" s="569"/>
      <c r="IKC12" s="569"/>
      <c r="IKD12" s="569"/>
      <c r="IKE12" s="569"/>
      <c r="IKF12" s="569"/>
      <c r="IKG12" s="569"/>
      <c r="IKH12" s="569"/>
      <c r="IKI12" s="569"/>
      <c r="IKJ12" s="569"/>
      <c r="IKK12" s="569"/>
      <c r="IKL12" s="569"/>
      <c r="IKM12" s="569"/>
      <c r="IKN12" s="569"/>
      <c r="IKO12" s="569"/>
      <c r="IKP12" s="569"/>
      <c r="IKQ12" s="569"/>
      <c r="IKR12" s="569"/>
      <c r="IKS12" s="569"/>
      <c r="IKT12" s="569"/>
      <c r="IKU12" s="569"/>
      <c r="IKV12" s="569"/>
      <c r="IKW12" s="569"/>
      <c r="IKX12" s="569"/>
      <c r="IKY12" s="569"/>
      <c r="IKZ12" s="569"/>
      <c r="ILA12" s="569"/>
      <c r="ILB12" s="569"/>
      <c r="ILC12" s="569"/>
      <c r="ILD12" s="569"/>
      <c r="ILE12" s="569"/>
      <c r="ILF12" s="569"/>
      <c r="ILG12" s="569"/>
      <c r="ILH12" s="569"/>
      <c r="ILI12" s="569"/>
      <c r="ILJ12" s="569"/>
      <c r="ILK12" s="569"/>
      <c r="ILL12" s="569"/>
      <c r="ILM12" s="569"/>
      <c r="ILN12" s="569"/>
      <c r="ILO12" s="569"/>
      <c r="ILP12" s="569"/>
      <c r="ILQ12" s="569"/>
      <c r="ILR12" s="569"/>
      <c r="ILS12" s="569"/>
      <c r="ILT12" s="569"/>
      <c r="ILU12" s="569"/>
      <c r="ILV12" s="569"/>
      <c r="ILW12" s="569"/>
      <c r="ILX12" s="569"/>
      <c r="ILY12" s="569"/>
      <c r="ILZ12" s="569"/>
      <c r="IMA12" s="569"/>
      <c r="IMB12" s="569"/>
      <c r="IMC12" s="569"/>
      <c r="IMD12" s="569"/>
      <c r="IME12" s="569"/>
      <c r="IMF12" s="569"/>
      <c r="IMG12" s="569"/>
      <c r="IMH12" s="569"/>
      <c r="IMI12" s="569"/>
      <c r="IMJ12" s="569"/>
      <c r="IMK12" s="569"/>
      <c r="IML12" s="569"/>
      <c r="IMM12" s="569"/>
      <c r="IMN12" s="569"/>
      <c r="IMO12" s="569"/>
      <c r="IMP12" s="569"/>
      <c r="IMQ12" s="569"/>
      <c r="IMR12" s="569"/>
      <c r="IMS12" s="569"/>
      <c r="IMT12" s="569"/>
      <c r="IMU12" s="569"/>
      <c r="IMV12" s="569"/>
      <c r="IMW12" s="569"/>
      <c r="IMX12" s="569"/>
      <c r="IMY12" s="569"/>
      <c r="IMZ12" s="569"/>
      <c r="INA12" s="569"/>
      <c r="INB12" s="569"/>
      <c r="INC12" s="569"/>
      <c r="IND12" s="569"/>
      <c r="INE12" s="569"/>
      <c r="INF12" s="569"/>
      <c r="ING12" s="569"/>
      <c r="INH12" s="569"/>
      <c r="INI12" s="569"/>
      <c r="INJ12" s="569"/>
      <c r="INK12" s="569"/>
      <c r="INL12" s="569"/>
      <c r="INM12" s="569"/>
      <c r="INN12" s="569"/>
      <c r="INO12" s="569"/>
      <c r="INP12" s="569"/>
      <c r="INQ12" s="569"/>
      <c r="INR12" s="569"/>
      <c r="INS12" s="569"/>
      <c r="INT12" s="569"/>
      <c r="INU12" s="569"/>
      <c r="INV12" s="569"/>
      <c r="INW12" s="569"/>
      <c r="INX12" s="569"/>
      <c r="INY12" s="569"/>
      <c r="INZ12" s="569"/>
      <c r="IOA12" s="569"/>
      <c r="IOB12" s="569"/>
      <c r="IOC12" s="569"/>
      <c r="IOD12" s="569"/>
      <c r="IOE12" s="569"/>
      <c r="IOF12" s="569"/>
      <c r="IOG12" s="569"/>
      <c r="IOH12" s="569"/>
      <c r="IOI12" s="569"/>
      <c r="IOJ12" s="569"/>
      <c r="IOK12" s="569"/>
      <c r="IOL12" s="569"/>
      <c r="IOM12" s="569"/>
      <c r="ION12" s="569"/>
      <c r="IOO12" s="569"/>
      <c r="IOP12" s="569"/>
      <c r="IOQ12" s="569"/>
      <c r="IOR12" s="569"/>
      <c r="IOS12" s="569"/>
      <c r="IOT12" s="569"/>
      <c r="IOU12" s="569"/>
      <c r="IOV12" s="569"/>
      <c r="IOW12" s="569"/>
      <c r="IOX12" s="569"/>
      <c r="IOY12" s="569"/>
      <c r="IOZ12" s="569"/>
      <c r="IPA12" s="569"/>
      <c r="IPB12" s="569"/>
      <c r="IPC12" s="569"/>
      <c r="IPD12" s="569"/>
      <c r="IPE12" s="569"/>
      <c r="IPF12" s="569"/>
      <c r="IPG12" s="569"/>
      <c r="IPH12" s="569"/>
      <c r="IPI12" s="569"/>
      <c r="IPJ12" s="569"/>
      <c r="IPK12" s="569"/>
      <c r="IPL12" s="569"/>
      <c r="IPM12" s="569"/>
      <c r="IPN12" s="569"/>
      <c r="IPO12" s="569"/>
      <c r="IPP12" s="569"/>
      <c r="IPQ12" s="569"/>
      <c r="IPR12" s="569"/>
      <c r="IPS12" s="569"/>
      <c r="IPT12" s="569"/>
      <c r="IPU12" s="569"/>
      <c r="IPV12" s="569"/>
      <c r="IPW12" s="569"/>
      <c r="IPX12" s="569"/>
      <c r="IPY12" s="569"/>
      <c r="IPZ12" s="569"/>
      <c r="IQA12" s="569"/>
      <c r="IQB12" s="569"/>
      <c r="IQC12" s="569"/>
      <c r="IQD12" s="569"/>
      <c r="IQE12" s="569"/>
      <c r="IQF12" s="569"/>
      <c r="IQG12" s="569"/>
      <c r="IQH12" s="569"/>
      <c r="IQI12" s="569"/>
      <c r="IQJ12" s="569"/>
      <c r="IQK12" s="569"/>
      <c r="IQL12" s="569"/>
      <c r="IQM12" s="569"/>
      <c r="IQN12" s="569"/>
      <c r="IQO12" s="569"/>
      <c r="IQP12" s="569"/>
      <c r="IQQ12" s="569"/>
      <c r="IQR12" s="569"/>
      <c r="IQS12" s="569"/>
      <c r="IQT12" s="569"/>
      <c r="IQU12" s="569"/>
      <c r="IQV12" s="569"/>
      <c r="IQW12" s="569"/>
      <c r="IQX12" s="569"/>
      <c r="IQY12" s="569"/>
      <c r="IQZ12" s="569"/>
      <c r="IRA12" s="569"/>
      <c r="IRB12" s="569"/>
      <c r="IRC12" s="569"/>
      <c r="IRD12" s="569"/>
      <c r="IRE12" s="569"/>
      <c r="IRF12" s="569"/>
      <c r="IRG12" s="569"/>
      <c r="IRH12" s="569"/>
      <c r="IRI12" s="569"/>
      <c r="IRJ12" s="569"/>
      <c r="IRK12" s="569"/>
      <c r="IRL12" s="569"/>
      <c r="IRM12" s="569"/>
      <c r="IRN12" s="569"/>
      <c r="IRO12" s="569"/>
      <c r="IRP12" s="569"/>
      <c r="IRQ12" s="569"/>
      <c r="IRR12" s="569"/>
      <c r="IRS12" s="569"/>
      <c r="IRT12" s="569"/>
      <c r="IRU12" s="569"/>
      <c r="IRV12" s="569"/>
      <c r="IRW12" s="569"/>
      <c r="IRX12" s="569"/>
      <c r="IRY12" s="569"/>
      <c r="IRZ12" s="569"/>
      <c r="ISA12" s="569"/>
      <c r="ISB12" s="569"/>
      <c r="ISC12" s="569"/>
      <c r="ISD12" s="569"/>
      <c r="ISE12" s="569"/>
      <c r="ISF12" s="569"/>
      <c r="ISG12" s="569"/>
      <c r="ISH12" s="569"/>
      <c r="ISI12" s="569"/>
      <c r="ISJ12" s="569"/>
      <c r="ISK12" s="569"/>
      <c r="ISL12" s="569"/>
      <c r="ISM12" s="569"/>
      <c r="ISN12" s="569"/>
      <c r="ISO12" s="569"/>
      <c r="ISP12" s="569"/>
      <c r="ISQ12" s="569"/>
      <c r="ISR12" s="569"/>
      <c r="ISS12" s="569"/>
      <c r="IST12" s="569"/>
      <c r="ISU12" s="569"/>
      <c r="ISV12" s="569"/>
      <c r="ISW12" s="569"/>
      <c r="ISX12" s="569"/>
      <c r="ISY12" s="569"/>
      <c r="ISZ12" s="569"/>
      <c r="ITA12" s="569"/>
      <c r="ITB12" s="569"/>
      <c r="ITC12" s="569"/>
      <c r="ITD12" s="569"/>
      <c r="ITE12" s="569"/>
      <c r="ITF12" s="569"/>
      <c r="ITG12" s="569"/>
      <c r="ITH12" s="569"/>
      <c r="ITI12" s="569"/>
      <c r="ITJ12" s="569"/>
      <c r="ITK12" s="569"/>
      <c r="ITL12" s="569"/>
      <c r="ITM12" s="569"/>
      <c r="ITN12" s="569"/>
      <c r="ITO12" s="569"/>
      <c r="ITP12" s="569"/>
      <c r="ITQ12" s="569"/>
      <c r="ITR12" s="569"/>
      <c r="ITS12" s="569"/>
      <c r="ITT12" s="569"/>
      <c r="ITU12" s="569"/>
      <c r="ITV12" s="569"/>
      <c r="ITW12" s="569"/>
      <c r="ITX12" s="569"/>
      <c r="ITY12" s="569"/>
      <c r="ITZ12" s="569"/>
      <c r="IUA12" s="569"/>
      <c r="IUB12" s="569"/>
      <c r="IUC12" s="569"/>
      <c r="IUD12" s="569"/>
      <c r="IUE12" s="569"/>
      <c r="IUF12" s="569"/>
      <c r="IUG12" s="569"/>
      <c r="IUH12" s="569"/>
      <c r="IUI12" s="569"/>
      <c r="IUJ12" s="569"/>
      <c r="IUK12" s="569"/>
      <c r="IUL12" s="569"/>
      <c r="IUM12" s="569"/>
      <c r="IUN12" s="569"/>
      <c r="IUO12" s="569"/>
      <c r="IUP12" s="569"/>
      <c r="IUQ12" s="569"/>
      <c r="IUR12" s="569"/>
      <c r="IUS12" s="569"/>
      <c r="IUT12" s="569"/>
      <c r="IUU12" s="569"/>
      <c r="IUV12" s="569"/>
      <c r="IUW12" s="569"/>
      <c r="IUX12" s="569"/>
      <c r="IUY12" s="569"/>
      <c r="IUZ12" s="569"/>
      <c r="IVA12" s="569"/>
      <c r="IVB12" s="569"/>
      <c r="IVC12" s="569"/>
      <c r="IVD12" s="569"/>
      <c r="IVE12" s="569"/>
      <c r="IVF12" s="569"/>
      <c r="IVG12" s="569"/>
      <c r="IVH12" s="569"/>
      <c r="IVI12" s="569"/>
      <c r="IVJ12" s="569"/>
      <c r="IVK12" s="569"/>
      <c r="IVL12" s="569"/>
      <c r="IVM12" s="569"/>
      <c r="IVN12" s="569"/>
      <c r="IVO12" s="569"/>
      <c r="IVP12" s="569"/>
      <c r="IVQ12" s="569"/>
      <c r="IVR12" s="569"/>
      <c r="IVS12" s="569"/>
      <c r="IVT12" s="569"/>
      <c r="IVU12" s="569"/>
      <c r="IVV12" s="569"/>
      <c r="IVW12" s="569"/>
      <c r="IVX12" s="569"/>
      <c r="IVY12" s="569"/>
      <c r="IVZ12" s="569"/>
      <c r="IWA12" s="569"/>
      <c r="IWB12" s="569"/>
      <c r="IWC12" s="569"/>
      <c r="IWD12" s="569"/>
      <c r="IWE12" s="569"/>
      <c r="IWF12" s="569"/>
      <c r="IWG12" s="569"/>
      <c r="IWH12" s="569"/>
      <c r="IWI12" s="569"/>
      <c r="IWJ12" s="569"/>
      <c r="IWK12" s="569"/>
      <c r="IWL12" s="569"/>
      <c r="IWM12" s="569"/>
      <c r="IWN12" s="569"/>
      <c r="IWO12" s="569"/>
      <c r="IWP12" s="569"/>
      <c r="IWQ12" s="569"/>
      <c r="IWR12" s="569"/>
      <c r="IWS12" s="569"/>
      <c r="IWT12" s="569"/>
      <c r="IWU12" s="569"/>
      <c r="IWV12" s="569"/>
      <c r="IWW12" s="569"/>
      <c r="IWX12" s="569"/>
      <c r="IWY12" s="569"/>
      <c r="IWZ12" s="569"/>
      <c r="IXA12" s="569"/>
      <c r="IXB12" s="569"/>
      <c r="IXC12" s="569"/>
      <c r="IXD12" s="569"/>
      <c r="IXE12" s="569"/>
      <c r="IXF12" s="569"/>
      <c r="IXG12" s="569"/>
      <c r="IXH12" s="569"/>
      <c r="IXI12" s="569"/>
      <c r="IXJ12" s="569"/>
      <c r="IXK12" s="569"/>
      <c r="IXL12" s="569"/>
      <c r="IXM12" s="569"/>
      <c r="IXN12" s="569"/>
      <c r="IXO12" s="569"/>
      <c r="IXP12" s="569"/>
      <c r="IXQ12" s="569"/>
      <c r="IXR12" s="569"/>
      <c r="IXS12" s="569"/>
      <c r="IXT12" s="569"/>
      <c r="IXU12" s="569"/>
      <c r="IXV12" s="569"/>
      <c r="IXW12" s="569"/>
      <c r="IXX12" s="569"/>
      <c r="IXY12" s="569"/>
      <c r="IXZ12" s="569"/>
      <c r="IYA12" s="569"/>
      <c r="IYB12" s="569"/>
      <c r="IYC12" s="569"/>
      <c r="IYD12" s="569"/>
      <c r="IYE12" s="569"/>
      <c r="IYF12" s="569"/>
      <c r="IYG12" s="569"/>
      <c r="IYH12" s="569"/>
      <c r="IYI12" s="569"/>
      <c r="IYJ12" s="569"/>
      <c r="IYK12" s="569"/>
      <c r="IYL12" s="569"/>
      <c r="IYM12" s="569"/>
      <c r="IYN12" s="569"/>
      <c r="IYO12" s="569"/>
      <c r="IYP12" s="569"/>
      <c r="IYQ12" s="569"/>
      <c r="IYR12" s="569"/>
      <c r="IYS12" s="569"/>
      <c r="IYT12" s="569"/>
      <c r="IYU12" s="569"/>
      <c r="IYV12" s="569"/>
      <c r="IYW12" s="569"/>
      <c r="IYX12" s="569"/>
      <c r="IYY12" s="569"/>
      <c r="IYZ12" s="569"/>
      <c r="IZA12" s="569"/>
      <c r="IZB12" s="569"/>
      <c r="IZC12" s="569"/>
      <c r="IZD12" s="569"/>
      <c r="IZE12" s="569"/>
      <c r="IZF12" s="569"/>
      <c r="IZG12" s="569"/>
      <c r="IZH12" s="569"/>
      <c r="IZI12" s="569"/>
      <c r="IZJ12" s="569"/>
      <c r="IZK12" s="569"/>
      <c r="IZL12" s="569"/>
      <c r="IZM12" s="569"/>
      <c r="IZN12" s="569"/>
      <c r="IZO12" s="569"/>
      <c r="IZP12" s="569"/>
      <c r="IZQ12" s="569"/>
      <c r="IZR12" s="569"/>
      <c r="IZS12" s="569"/>
      <c r="IZT12" s="569"/>
      <c r="IZU12" s="569"/>
      <c r="IZV12" s="569"/>
      <c r="IZW12" s="569"/>
      <c r="IZX12" s="569"/>
      <c r="IZY12" s="569"/>
      <c r="IZZ12" s="569"/>
      <c r="JAA12" s="569"/>
      <c r="JAB12" s="569"/>
      <c r="JAC12" s="569"/>
      <c r="JAD12" s="569"/>
      <c r="JAE12" s="569"/>
      <c r="JAF12" s="569"/>
      <c r="JAG12" s="569"/>
      <c r="JAH12" s="569"/>
      <c r="JAI12" s="569"/>
      <c r="JAJ12" s="569"/>
      <c r="JAK12" s="569"/>
      <c r="JAL12" s="569"/>
      <c r="JAM12" s="569"/>
      <c r="JAN12" s="569"/>
      <c r="JAO12" s="569"/>
      <c r="JAP12" s="569"/>
      <c r="JAQ12" s="569"/>
      <c r="JAR12" s="569"/>
      <c r="JAS12" s="569"/>
      <c r="JAT12" s="569"/>
      <c r="JAU12" s="569"/>
      <c r="JAV12" s="569"/>
      <c r="JAW12" s="569"/>
      <c r="JAX12" s="569"/>
      <c r="JAY12" s="569"/>
      <c r="JAZ12" s="569"/>
      <c r="JBA12" s="569"/>
      <c r="JBB12" s="569"/>
      <c r="JBC12" s="569"/>
      <c r="JBD12" s="569"/>
      <c r="JBE12" s="569"/>
      <c r="JBF12" s="569"/>
      <c r="JBG12" s="569"/>
      <c r="JBH12" s="569"/>
      <c r="JBI12" s="569"/>
      <c r="JBJ12" s="569"/>
      <c r="JBK12" s="569"/>
      <c r="JBL12" s="569"/>
      <c r="JBM12" s="569"/>
      <c r="JBN12" s="569"/>
      <c r="JBO12" s="569"/>
      <c r="JBP12" s="569"/>
      <c r="JBQ12" s="569"/>
      <c r="JBR12" s="569"/>
      <c r="JBS12" s="569"/>
      <c r="JBT12" s="569"/>
      <c r="JBU12" s="569"/>
      <c r="JBV12" s="569"/>
      <c r="JBW12" s="569"/>
      <c r="JBX12" s="569"/>
      <c r="JBY12" s="569"/>
      <c r="JBZ12" s="569"/>
      <c r="JCA12" s="569"/>
      <c r="JCB12" s="569"/>
      <c r="JCC12" s="569"/>
      <c r="JCD12" s="569"/>
      <c r="JCE12" s="569"/>
      <c r="JCF12" s="569"/>
      <c r="JCG12" s="569"/>
      <c r="JCH12" s="569"/>
      <c r="JCI12" s="569"/>
      <c r="JCJ12" s="569"/>
      <c r="JCK12" s="569"/>
      <c r="JCL12" s="569"/>
      <c r="JCM12" s="569"/>
      <c r="JCN12" s="569"/>
      <c r="JCO12" s="569"/>
      <c r="JCP12" s="569"/>
      <c r="JCQ12" s="569"/>
      <c r="JCR12" s="569"/>
      <c r="JCS12" s="569"/>
      <c r="JCT12" s="569"/>
      <c r="JCU12" s="569"/>
      <c r="JCV12" s="569"/>
      <c r="JCW12" s="569"/>
      <c r="JCX12" s="569"/>
      <c r="JCY12" s="569"/>
      <c r="JCZ12" s="569"/>
      <c r="JDA12" s="569"/>
      <c r="JDB12" s="569"/>
      <c r="JDC12" s="569"/>
      <c r="JDD12" s="569"/>
      <c r="JDE12" s="569"/>
      <c r="JDF12" s="569"/>
      <c r="JDG12" s="569"/>
      <c r="JDH12" s="569"/>
      <c r="JDI12" s="569"/>
      <c r="JDJ12" s="569"/>
      <c r="JDK12" s="569"/>
      <c r="JDL12" s="569"/>
      <c r="JDM12" s="569"/>
      <c r="JDN12" s="569"/>
      <c r="JDO12" s="569"/>
      <c r="JDP12" s="569"/>
      <c r="JDQ12" s="569"/>
      <c r="JDR12" s="569"/>
      <c r="JDS12" s="569"/>
      <c r="JDT12" s="569"/>
      <c r="JDU12" s="569"/>
      <c r="JDV12" s="569"/>
      <c r="JDW12" s="569"/>
      <c r="JDX12" s="569"/>
      <c r="JDY12" s="569"/>
      <c r="JDZ12" s="569"/>
      <c r="JEA12" s="569"/>
      <c r="JEB12" s="569"/>
      <c r="JEC12" s="569"/>
      <c r="JED12" s="569"/>
      <c r="JEE12" s="569"/>
      <c r="JEF12" s="569"/>
      <c r="JEG12" s="569"/>
      <c r="JEH12" s="569"/>
      <c r="JEI12" s="569"/>
      <c r="JEJ12" s="569"/>
      <c r="JEK12" s="569"/>
      <c r="JEL12" s="569"/>
      <c r="JEM12" s="569"/>
      <c r="JEN12" s="569"/>
      <c r="JEO12" s="569"/>
      <c r="JEP12" s="569"/>
      <c r="JEQ12" s="569"/>
      <c r="JER12" s="569"/>
      <c r="JES12" s="569"/>
      <c r="JET12" s="569"/>
      <c r="JEU12" s="569"/>
      <c r="JEV12" s="569"/>
      <c r="JEW12" s="569"/>
      <c r="JEX12" s="569"/>
      <c r="JEY12" s="569"/>
      <c r="JEZ12" s="569"/>
      <c r="JFA12" s="569"/>
      <c r="JFB12" s="569"/>
      <c r="JFC12" s="569"/>
      <c r="JFD12" s="569"/>
      <c r="JFE12" s="569"/>
      <c r="JFF12" s="569"/>
      <c r="JFG12" s="569"/>
      <c r="JFH12" s="569"/>
      <c r="JFI12" s="569"/>
      <c r="JFJ12" s="569"/>
      <c r="JFK12" s="569"/>
      <c r="JFL12" s="569"/>
      <c r="JFM12" s="569"/>
      <c r="JFN12" s="569"/>
      <c r="JFO12" s="569"/>
      <c r="JFP12" s="569"/>
      <c r="JFQ12" s="569"/>
      <c r="JFR12" s="569"/>
      <c r="JFS12" s="569"/>
      <c r="JFT12" s="569"/>
      <c r="JFU12" s="569"/>
      <c r="JFV12" s="569"/>
      <c r="JFW12" s="569"/>
      <c r="JFX12" s="569"/>
      <c r="JFY12" s="569"/>
      <c r="JFZ12" s="569"/>
      <c r="JGA12" s="569"/>
      <c r="JGB12" s="569"/>
      <c r="JGC12" s="569"/>
      <c r="JGD12" s="569"/>
      <c r="JGE12" s="569"/>
      <c r="JGF12" s="569"/>
      <c r="JGG12" s="569"/>
      <c r="JGH12" s="569"/>
      <c r="JGI12" s="569"/>
      <c r="JGJ12" s="569"/>
      <c r="JGK12" s="569"/>
      <c r="JGL12" s="569"/>
      <c r="JGM12" s="569"/>
      <c r="JGN12" s="569"/>
      <c r="JGO12" s="569"/>
      <c r="JGP12" s="569"/>
      <c r="JGQ12" s="569"/>
      <c r="JGR12" s="569"/>
      <c r="JGS12" s="569"/>
      <c r="JGT12" s="569"/>
      <c r="JGU12" s="569"/>
      <c r="JGV12" s="569"/>
      <c r="JGW12" s="569"/>
      <c r="JGX12" s="569"/>
      <c r="JGY12" s="569"/>
      <c r="JGZ12" s="569"/>
      <c r="JHA12" s="569"/>
      <c r="JHB12" s="569"/>
      <c r="JHC12" s="569"/>
      <c r="JHD12" s="569"/>
      <c r="JHE12" s="569"/>
      <c r="JHF12" s="569"/>
      <c r="JHG12" s="569"/>
      <c r="JHH12" s="569"/>
      <c r="JHI12" s="569"/>
      <c r="JHJ12" s="569"/>
      <c r="JHK12" s="569"/>
      <c r="JHL12" s="569"/>
      <c r="JHM12" s="569"/>
      <c r="JHN12" s="569"/>
      <c r="JHO12" s="569"/>
      <c r="JHP12" s="569"/>
      <c r="JHQ12" s="569"/>
      <c r="JHR12" s="569"/>
      <c r="JHS12" s="569"/>
      <c r="JHT12" s="569"/>
      <c r="JHU12" s="569"/>
      <c r="JHV12" s="569"/>
      <c r="JHW12" s="569"/>
      <c r="JHX12" s="569"/>
      <c r="JHY12" s="569"/>
      <c r="JHZ12" s="569"/>
      <c r="JIA12" s="569"/>
      <c r="JIB12" s="569"/>
      <c r="JIC12" s="569"/>
      <c r="JID12" s="569"/>
      <c r="JIE12" s="569"/>
      <c r="JIF12" s="569"/>
      <c r="JIG12" s="569"/>
      <c r="JIH12" s="569"/>
      <c r="JII12" s="569"/>
      <c r="JIJ12" s="569"/>
      <c r="JIK12" s="569"/>
      <c r="JIL12" s="569"/>
      <c r="JIM12" s="569"/>
      <c r="JIN12" s="569"/>
      <c r="JIO12" s="569"/>
      <c r="JIP12" s="569"/>
      <c r="JIQ12" s="569"/>
      <c r="JIR12" s="569"/>
      <c r="JIS12" s="569"/>
      <c r="JIT12" s="569"/>
      <c r="JIU12" s="569"/>
      <c r="JIV12" s="569"/>
      <c r="JIW12" s="569"/>
      <c r="JIX12" s="569"/>
      <c r="JIY12" s="569"/>
      <c r="JIZ12" s="569"/>
      <c r="JJA12" s="569"/>
      <c r="JJB12" s="569"/>
      <c r="JJC12" s="569"/>
      <c r="JJD12" s="569"/>
      <c r="JJE12" s="569"/>
      <c r="JJF12" s="569"/>
      <c r="JJG12" s="569"/>
      <c r="JJH12" s="569"/>
      <c r="JJI12" s="569"/>
      <c r="JJJ12" s="569"/>
      <c r="JJK12" s="569"/>
      <c r="JJL12" s="569"/>
      <c r="JJM12" s="569"/>
      <c r="JJN12" s="569"/>
      <c r="JJO12" s="569"/>
      <c r="JJP12" s="569"/>
      <c r="JJQ12" s="569"/>
      <c r="JJR12" s="569"/>
      <c r="JJS12" s="569"/>
      <c r="JJT12" s="569"/>
      <c r="JJU12" s="569"/>
      <c r="JJV12" s="569"/>
      <c r="JJW12" s="569"/>
      <c r="JJX12" s="569"/>
      <c r="JJY12" s="569"/>
      <c r="JJZ12" s="569"/>
      <c r="JKA12" s="569"/>
      <c r="JKB12" s="569"/>
      <c r="JKC12" s="569"/>
      <c r="JKD12" s="569"/>
      <c r="JKE12" s="569"/>
      <c r="JKF12" s="569"/>
      <c r="JKG12" s="569"/>
      <c r="JKH12" s="569"/>
      <c r="JKI12" s="569"/>
      <c r="JKJ12" s="569"/>
      <c r="JKK12" s="569"/>
      <c r="JKL12" s="569"/>
      <c r="JKM12" s="569"/>
      <c r="JKN12" s="569"/>
      <c r="JKO12" s="569"/>
      <c r="JKP12" s="569"/>
      <c r="JKQ12" s="569"/>
      <c r="JKR12" s="569"/>
      <c r="JKS12" s="569"/>
      <c r="JKT12" s="569"/>
      <c r="JKU12" s="569"/>
      <c r="JKV12" s="569"/>
      <c r="JKW12" s="569"/>
      <c r="JKX12" s="569"/>
      <c r="JKY12" s="569"/>
      <c r="JKZ12" s="569"/>
      <c r="JLA12" s="569"/>
      <c r="JLB12" s="569"/>
      <c r="JLC12" s="569"/>
      <c r="JLD12" s="569"/>
      <c r="JLE12" s="569"/>
      <c r="JLF12" s="569"/>
      <c r="JLG12" s="569"/>
      <c r="JLH12" s="569"/>
      <c r="JLI12" s="569"/>
      <c r="JLJ12" s="569"/>
      <c r="JLK12" s="569"/>
      <c r="JLL12" s="569"/>
      <c r="JLM12" s="569"/>
      <c r="JLN12" s="569"/>
      <c r="JLO12" s="569"/>
      <c r="JLP12" s="569"/>
      <c r="JLQ12" s="569"/>
      <c r="JLR12" s="569"/>
      <c r="JLS12" s="569"/>
      <c r="JLT12" s="569"/>
      <c r="JLU12" s="569"/>
      <c r="JLV12" s="569"/>
      <c r="JLW12" s="569"/>
      <c r="JLX12" s="569"/>
      <c r="JLY12" s="569"/>
      <c r="JLZ12" s="569"/>
      <c r="JMA12" s="569"/>
      <c r="JMB12" s="569"/>
      <c r="JMC12" s="569"/>
      <c r="JMD12" s="569"/>
      <c r="JME12" s="569"/>
      <c r="JMF12" s="569"/>
      <c r="JMG12" s="569"/>
      <c r="JMH12" s="569"/>
      <c r="JMI12" s="569"/>
      <c r="JMJ12" s="569"/>
      <c r="JMK12" s="569"/>
      <c r="JML12" s="569"/>
      <c r="JMM12" s="569"/>
      <c r="JMN12" s="569"/>
      <c r="JMO12" s="569"/>
      <c r="JMP12" s="569"/>
      <c r="JMQ12" s="569"/>
      <c r="JMR12" s="569"/>
      <c r="JMS12" s="569"/>
      <c r="JMT12" s="569"/>
      <c r="JMU12" s="569"/>
      <c r="JMV12" s="569"/>
      <c r="JMW12" s="569"/>
      <c r="JMX12" s="569"/>
      <c r="JMY12" s="569"/>
      <c r="JMZ12" s="569"/>
      <c r="JNA12" s="569"/>
      <c r="JNB12" s="569"/>
      <c r="JNC12" s="569"/>
      <c r="JND12" s="569"/>
      <c r="JNE12" s="569"/>
      <c r="JNF12" s="569"/>
      <c r="JNG12" s="569"/>
      <c r="JNH12" s="569"/>
      <c r="JNI12" s="569"/>
      <c r="JNJ12" s="569"/>
      <c r="JNK12" s="569"/>
      <c r="JNL12" s="569"/>
      <c r="JNM12" s="569"/>
      <c r="JNN12" s="569"/>
      <c r="JNO12" s="569"/>
      <c r="JNP12" s="569"/>
      <c r="JNQ12" s="569"/>
      <c r="JNR12" s="569"/>
      <c r="JNS12" s="569"/>
      <c r="JNT12" s="569"/>
      <c r="JNU12" s="569"/>
      <c r="JNV12" s="569"/>
      <c r="JNW12" s="569"/>
      <c r="JNX12" s="569"/>
      <c r="JNY12" s="569"/>
      <c r="JNZ12" s="569"/>
      <c r="JOA12" s="569"/>
      <c r="JOB12" s="569"/>
      <c r="JOC12" s="569"/>
      <c r="JOD12" s="569"/>
      <c r="JOE12" s="569"/>
      <c r="JOF12" s="569"/>
      <c r="JOG12" s="569"/>
      <c r="JOH12" s="569"/>
      <c r="JOI12" s="569"/>
      <c r="JOJ12" s="569"/>
      <c r="JOK12" s="569"/>
      <c r="JOL12" s="569"/>
      <c r="JOM12" s="569"/>
      <c r="JON12" s="569"/>
      <c r="JOO12" s="569"/>
      <c r="JOP12" s="569"/>
      <c r="JOQ12" s="569"/>
      <c r="JOR12" s="569"/>
      <c r="JOS12" s="569"/>
      <c r="JOT12" s="569"/>
      <c r="JOU12" s="569"/>
      <c r="JOV12" s="569"/>
      <c r="JOW12" s="569"/>
      <c r="JOX12" s="569"/>
      <c r="JOY12" s="569"/>
      <c r="JOZ12" s="569"/>
      <c r="JPA12" s="569"/>
      <c r="JPB12" s="569"/>
      <c r="JPC12" s="569"/>
      <c r="JPD12" s="569"/>
      <c r="JPE12" s="569"/>
      <c r="JPF12" s="569"/>
      <c r="JPG12" s="569"/>
      <c r="JPH12" s="569"/>
      <c r="JPI12" s="569"/>
      <c r="JPJ12" s="569"/>
      <c r="JPK12" s="569"/>
      <c r="JPL12" s="569"/>
      <c r="JPM12" s="569"/>
      <c r="JPN12" s="569"/>
      <c r="JPO12" s="569"/>
      <c r="JPP12" s="569"/>
      <c r="JPQ12" s="569"/>
      <c r="JPR12" s="569"/>
      <c r="JPS12" s="569"/>
      <c r="JPT12" s="569"/>
      <c r="JPU12" s="569"/>
      <c r="JPV12" s="569"/>
      <c r="JPW12" s="569"/>
      <c r="JPX12" s="569"/>
      <c r="JPY12" s="569"/>
      <c r="JPZ12" s="569"/>
      <c r="JQA12" s="569"/>
      <c r="JQB12" s="569"/>
      <c r="JQC12" s="569"/>
      <c r="JQD12" s="569"/>
      <c r="JQE12" s="569"/>
      <c r="JQF12" s="569"/>
      <c r="JQG12" s="569"/>
      <c r="JQH12" s="569"/>
      <c r="JQI12" s="569"/>
      <c r="JQJ12" s="569"/>
      <c r="JQK12" s="569"/>
      <c r="JQL12" s="569"/>
      <c r="JQM12" s="569"/>
      <c r="JQN12" s="569"/>
      <c r="JQO12" s="569"/>
      <c r="JQP12" s="569"/>
      <c r="JQQ12" s="569"/>
      <c r="JQR12" s="569"/>
      <c r="JQS12" s="569"/>
      <c r="JQT12" s="569"/>
      <c r="JQU12" s="569"/>
      <c r="JQV12" s="569"/>
      <c r="JQW12" s="569"/>
      <c r="JQX12" s="569"/>
      <c r="JQY12" s="569"/>
      <c r="JQZ12" s="569"/>
      <c r="JRA12" s="569"/>
      <c r="JRB12" s="569"/>
      <c r="JRC12" s="569"/>
      <c r="JRD12" s="569"/>
      <c r="JRE12" s="569"/>
      <c r="JRF12" s="569"/>
      <c r="JRG12" s="569"/>
      <c r="JRH12" s="569"/>
      <c r="JRI12" s="569"/>
      <c r="JRJ12" s="569"/>
      <c r="JRK12" s="569"/>
      <c r="JRL12" s="569"/>
      <c r="JRM12" s="569"/>
      <c r="JRN12" s="569"/>
      <c r="JRO12" s="569"/>
      <c r="JRP12" s="569"/>
      <c r="JRQ12" s="569"/>
      <c r="JRR12" s="569"/>
      <c r="JRS12" s="569"/>
      <c r="JRT12" s="569"/>
      <c r="JRU12" s="569"/>
      <c r="JRV12" s="569"/>
      <c r="JRW12" s="569"/>
      <c r="JRX12" s="569"/>
      <c r="JRY12" s="569"/>
      <c r="JRZ12" s="569"/>
      <c r="JSA12" s="569"/>
      <c r="JSB12" s="569"/>
      <c r="JSC12" s="569"/>
      <c r="JSD12" s="569"/>
      <c r="JSE12" s="569"/>
      <c r="JSF12" s="569"/>
      <c r="JSG12" s="569"/>
      <c r="JSH12" s="569"/>
      <c r="JSI12" s="569"/>
      <c r="JSJ12" s="569"/>
      <c r="JSK12" s="569"/>
      <c r="JSL12" s="569"/>
      <c r="JSM12" s="569"/>
      <c r="JSN12" s="569"/>
      <c r="JSO12" s="569"/>
      <c r="JSP12" s="569"/>
      <c r="JSQ12" s="569"/>
      <c r="JSR12" s="569"/>
      <c r="JSS12" s="569"/>
      <c r="JST12" s="569"/>
      <c r="JSU12" s="569"/>
      <c r="JSV12" s="569"/>
      <c r="JSW12" s="569"/>
      <c r="JSX12" s="569"/>
      <c r="JSY12" s="569"/>
      <c r="JSZ12" s="569"/>
      <c r="JTA12" s="569"/>
      <c r="JTB12" s="569"/>
      <c r="JTC12" s="569"/>
      <c r="JTD12" s="569"/>
      <c r="JTE12" s="569"/>
      <c r="JTF12" s="569"/>
      <c r="JTG12" s="569"/>
      <c r="JTH12" s="569"/>
      <c r="JTI12" s="569"/>
      <c r="JTJ12" s="569"/>
      <c r="JTK12" s="569"/>
      <c r="JTL12" s="569"/>
      <c r="JTM12" s="569"/>
      <c r="JTN12" s="569"/>
      <c r="JTO12" s="569"/>
      <c r="JTP12" s="569"/>
      <c r="JTQ12" s="569"/>
      <c r="JTR12" s="569"/>
      <c r="JTS12" s="569"/>
      <c r="JTT12" s="569"/>
      <c r="JTU12" s="569"/>
      <c r="JTV12" s="569"/>
      <c r="JTW12" s="569"/>
      <c r="JTX12" s="569"/>
      <c r="JTY12" s="569"/>
      <c r="JTZ12" s="569"/>
      <c r="JUA12" s="569"/>
      <c r="JUB12" s="569"/>
      <c r="JUC12" s="569"/>
      <c r="JUD12" s="569"/>
      <c r="JUE12" s="569"/>
      <c r="JUF12" s="569"/>
      <c r="JUG12" s="569"/>
      <c r="JUH12" s="569"/>
      <c r="JUI12" s="569"/>
      <c r="JUJ12" s="569"/>
      <c r="JUK12" s="569"/>
      <c r="JUL12" s="569"/>
      <c r="JUM12" s="569"/>
      <c r="JUN12" s="569"/>
      <c r="JUO12" s="569"/>
      <c r="JUP12" s="569"/>
      <c r="JUQ12" s="569"/>
      <c r="JUR12" s="569"/>
      <c r="JUS12" s="569"/>
      <c r="JUT12" s="569"/>
      <c r="JUU12" s="569"/>
      <c r="JUV12" s="569"/>
      <c r="JUW12" s="569"/>
      <c r="JUX12" s="569"/>
      <c r="JUY12" s="569"/>
      <c r="JUZ12" s="569"/>
      <c r="JVA12" s="569"/>
      <c r="JVB12" s="569"/>
      <c r="JVC12" s="569"/>
      <c r="JVD12" s="569"/>
      <c r="JVE12" s="569"/>
      <c r="JVF12" s="569"/>
      <c r="JVG12" s="569"/>
      <c r="JVH12" s="569"/>
      <c r="JVI12" s="569"/>
      <c r="JVJ12" s="569"/>
      <c r="JVK12" s="569"/>
      <c r="JVL12" s="569"/>
      <c r="JVM12" s="569"/>
      <c r="JVN12" s="569"/>
      <c r="JVO12" s="569"/>
      <c r="JVP12" s="569"/>
      <c r="JVQ12" s="569"/>
      <c r="JVR12" s="569"/>
      <c r="JVS12" s="569"/>
      <c r="JVT12" s="569"/>
      <c r="JVU12" s="569"/>
      <c r="JVV12" s="569"/>
      <c r="JVW12" s="569"/>
      <c r="JVX12" s="569"/>
      <c r="JVY12" s="569"/>
      <c r="JVZ12" s="569"/>
      <c r="JWA12" s="569"/>
      <c r="JWB12" s="569"/>
      <c r="JWC12" s="569"/>
      <c r="JWD12" s="569"/>
      <c r="JWE12" s="569"/>
      <c r="JWF12" s="569"/>
      <c r="JWG12" s="569"/>
      <c r="JWH12" s="569"/>
      <c r="JWI12" s="569"/>
      <c r="JWJ12" s="569"/>
      <c r="JWK12" s="569"/>
      <c r="JWL12" s="569"/>
      <c r="JWM12" s="569"/>
      <c r="JWN12" s="569"/>
      <c r="JWO12" s="569"/>
      <c r="JWP12" s="569"/>
      <c r="JWQ12" s="569"/>
      <c r="JWR12" s="569"/>
      <c r="JWS12" s="569"/>
      <c r="JWT12" s="569"/>
      <c r="JWU12" s="569"/>
      <c r="JWV12" s="569"/>
      <c r="JWW12" s="569"/>
      <c r="JWX12" s="569"/>
      <c r="JWY12" s="569"/>
      <c r="JWZ12" s="569"/>
      <c r="JXA12" s="569"/>
      <c r="JXB12" s="569"/>
      <c r="JXC12" s="569"/>
      <c r="JXD12" s="569"/>
      <c r="JXE12" s="569"/>
      <c r="JXF12" s="569"/>
      <c r="JXG12" s="569"/>
      <c r="JXH12" s="569"/>
      <c r="JXI12" s="569"/>
      <c r="JXJ12" s="569"/>
      <c r="JXK12" s="569"/>
      <c r="JXL12" s="569"/>
      <c r="JXM12" s="569"/>
      <c r="JXN12" s="569"/>
      <c r="JXO12" s="569"/>
      <c r="JXP12" s="569"/>
      <c r="JXQ12" s="569"/>
      <c r="JXR12" s="569"/>
      <c r="JXS12" s="569"/>
      <c r="JXT12" s="569"/>
      <c r="JXU12" s="569"/>
      <c r="JXV12" s="569"/>
      <c r="JXW12" s="569"/>
      <c r="JXX12" s="569"/>
      <c r="JXY12" s="569"/>
      <c r="JXZ12" s="569"/>
      <c r="JYA12" s="569"/>
      <c r="JYB12" s="569"/>
      <c r="JYC12" s="569"/>
      <c r="JYD12" s="569"/>
      <c r="JYE12" s="569"/>
      <c r="JYF12" s="569"/>
      <c r="JYG12" s="569"/>
      <c r="JYH12" s="569"/>
      <c r="JYI12" s="569"/>
      <c r="JYJ12" s="569"/>
      <c r="JYK12" s="569"/>
      <c r="JYL12" s="569"/>
      <c r="JYM12" s="569"/>
      <c r="JYN12" s="569"/>
      <c r="JYO12" s="569"/>
      <c r="JYP12" s="569"/>
      <c r="JYQ12" s="569"/>
      <c r="JYR12" s="569"/>
      <c r="JYS12" s="569"/>
      <c r="JYT12" s="569"/>
      <c r="JYU12" s="569"/>
      <c r="JYV12" s="569"/>
      <c r="JYW12" s="569"/>
      <c r="JYX12" s="569"/>
      <c r="JYY12" s="569"/>
      <c r="JYZ12" s="569"/>
      <c r="JZA12" s="569"/>
      <c r="JZB12" s="569"/>
      <c r="JZC12" s="569"/>
      <c r="JZD12" s="569"/>
      <c r="JZE12" s="569"/>
      <c r="JZF12" s="569"/>
      <c r="JZG12" s="569"/>
      <c r="JZH12" s="569"/>
      <c r="JZI12" s="569"/>
      <c r="JZJ12" s="569"/>
      <c r="JZK12" s="569"/>
      <c r="JZL12" s="569"/>
      <c r="JZM12" s="569"/>
      <c r="JZN12" s="569"/>
      <c r="JZO12" s="569"/>
      <c r="JZP12" s="569"/>
      <c r="JZQ12" s="569"/>
      <c r="JZR12" s="569"/>
      <c r="JZS12" s="569"/>
      <c r="JZT12" s="569"/>
      <c r="JZU12" s="569"/>
      <c r="JZV12" s="569"/>
      <c r="JZW12" s="569"/>
      <c r="JZX12" s="569"/>
      <c r="JZY12" s="569"/>
      <c r="JZZ12" s="569"/>
      <c r="KAA12" s="569"/>
      <c r="KAB12" s="569"/>
      <c r="KAC12" s="569"/>
      <c r="KAD12" s="569"/>
      <c r="KAE12" s="569"/>
      <c r="KAF12" s="569"/>
      <c r="KAG12" s="569"/>
      <c r="KAH12" s="569"/>
      <c r="KAI12" s="569"/>
      <c r="KAJ12" s="569"/>
      <c r="KAK12" s="569"/>
      <c r="KAL12" s="569"/>
      <c r="KAM12" s="569"/>
      <c r="KAN12" s="569"/>
      <c r="KAO12" s="569"/>
      <c r="KAP12" s="569"/>
      <c r="KAQ12" s="569"/>
      <c r="KAR12" s="569"/>
      <c r="KAS12" s="569"/>
      <c r="KAT12" s="569"/>
      <c r="KAU12" s="569"/>
      <c r="KAV12" s="569"/>
      <c r="KAW12" s="569"/>
      <c r="KAX12" s="569"/>
      <c r="KAY12" s="569"/>
      <c r="KAZ12" s="569"/>
      <c r="KBA12" s="569"/>
      <c r="KBB12" s="569"/>
      <c r="KBC12" s="569"/>
      <c r="KBD12" s="569"/>
      <c r="KBE12" s="569"/>
      <c r="KBF12" s="569"/>
      <c r="KBG12" s="569"/>
      <c r="KBH12" s="569"/>
      <c r="KBI12" s="569"/>
      <c r="KBJ12" s="569"/>
      <c r="KBK12" s="569"/>
      <c r="KBL12" s="569"/>
      <c r="KBM12" s="569"/>
      <c r="KBN12" s="569"/>
      <c r="KBO12" s="569"/>
      <c r="KBP12" s="569"/>
      <c r="KBQ12" s="569"/>
      <c r="KBR12" s="569"/>
      <c r="KBS12" s="569"/>
      <c r="KBT12" s="569"/>
      <c r="KBU12" s="569"/>
      <c r="KBV12" s="569"/>
      <c r="KBW12" s="569"/>
      <c r="KBX12" s="569"/>
      <c r="KBY12" s="569"/>
      <c r="KBZ12" s="569"/>
      <c r="KCA12" s="569"/>
      <c r="KCB12" s="569"/>
      <c r="KCC12" s="569"/>
      <c r="KCD12" s="569"/>
      <c r="KCE12" s="569"/>
      <c r="KCF12" s="569"/>
      <c r="KCG12" s="569"/>
      <c r="KCH12" s="569"/>
      <c r="KCI12" s="569"/>
      <c r="KCJ12" s="569"/>
      <c r="KCK12" s="569"/>
      <c r="KCL12" s="569"/>
      <c r="KCM12" s="569"/>
      <c r="KCN12" s="569"/>
      <c r="KCO12" s="569"/>
      <c r="KCP12" s="569"/>
      <c r="KCQ12" s="569"/>
      <c r="KCR12" s="569"/>
      <c r="KCS12" s="569"/>
      <c r="KCT12" s="569"/>
      <c r="KCU12" s="569"/>
      <c r="KCV12" s="569"/>
      <c r="KCW12" s="569"/>
      <c r="KCX12" s="569"/>
      <c r="KCY12" s="569"/>
      <c r="KCZ12" s="569"/>
      <c r="KDA12" s="569"/>
      <c r="KDB12" s="569"/>
      <c r="KDC12" s="569"/>
      <c r="KDD12" s="569"/>
      <c r="KDE12" s="569"/>
      <c r="KDF12" s="569"/>
      <c r="KDG12" s="569"/>
      <c r="KDH12" s="569"/>
      <c r="KDI12" s="569"/>
      <c r="KDJ12" s="569"/>
      <c r="KDK12" s="569"/>
      <c r="KDL12" s="569"/>
      <c r="KDM12" s="569"/>
      <c r="KDN12" s="569"/>
      <c r="KDO12" s="569"/>
      <c r="KDP12" s="569"/>
      <c r="KDQ12" s="569"/>
      <c r="KDR12" s="569"/>
      <c r="KDS12" s="569"/>
      <c r="KDT12" s="569"/>
      <c r="KDU12" s="569"/>
      <c r="KDV12" s="569"/>
      <c r="KDW12" s="569"/>
      <c r="KDX12" s="569"/>
      <c r="KDY12" s="569"/>
      <c r="KDZ12" s="569"/>
      <c r="KEA12" s="569"/>
      <c r="KEB12" s="569"/>
      <c r="KEC12" s="569"/>
      <c r="KED12" s="569"/>
      <c r="KEE12" s="569"/>
      <c r="KEF12" s="569"/>
      <c r="KEG12" s="569"/>
      <c r="KEH12" s="569"/>
      <c r="KEI12" s="569"/>
      <c r="KEJ12" s="569"/>
      <c r="KEK12" s="569"/>
      <c r="KEL12" s="569"/>
      <c r="KEM12" s="569"/>
      <c r="KEN12" s="569"/>
      <c r="KEO12" s="569"/>
      <c r="KEP12" s="569"/>
      <c r="KEQ12" s="569"/>
      <c r="KER12" s="569"/>
      <c r="KES12" s="569"/>
      <c r="KET12" s="569"/>
      <c r="KEU12" s="569"/>
      <c r="KEV12" s="569"/>
      <c r="KEW12" s="569"/>
      <c r="KEX12" s="569"/>
      <c r="KEY12" s="569"/>
      <c r="KEZ12" s="569"/>
      <c r="KFA12" s="569"/>
      <c r="KFB12" s="569"/>
      <c r="KFC12" s="569"/>
      <c r="KFD12" s="569"/>
      <c r="KFE12" s="569"/>
      <c r="KFF12" s="569"/>
      <c r="KFG12" s="569"/>
      <c r="KFH12" s="569"/>
      <c r="KFI12" s="569"/>
      <c r="KFJ12" s="569"/>
      <c r="KFK12" s="569"/>
      <c r="KFL12" s="569"/>
      <c r="KFM12" s="569"/>
      <c r="KFN12" s="569"/>
      <c r="KFO12" s="569"/>
      <c r="KFP12" s="569"/>
      <c r="KFQ12" s="569"/>
      <c r="KFR12" s="569"/>
      <c r="KFS12" s="569"/>
      <c r="KFT12" s="569"/>
      <c r="KFU12" s="569"/>
      <c r="KFV12" s="569"/>
      <c r="KFW12" s="569"/>
      <c r="KFX12" s="569"/>
      <c r="KFY12" s="569"/>
      <c r="KFZ12" s="569"/>
      <c r="KGA12" s="569"/>
      <c r="KGB12" s="569"/>
      <c r="KGC12" s="569"/>
      <c r="KGD12" s="569"/>
      <c r="KGE12" s="569"/>
      <c r="KGF12" s="569"/>
      <c r="KGG12" s="569"/>
      <c r="KGH12" s="569"/>
      <c r="KGI12" s="569"/>
      <c r="KGJ12" s="569"/>
      <c r="KGK12" s="569"/>
      <c r="KGL12" s="569"/>
      <c r="KGM12" s="569"/>
      <c r="KGN12" s="569"/>
      <c r="KGO12" s="569"/>
      <c r="KGP12" s="569"/>
      <c r="KGQ12" s="569"/>
      <c r="KGR12" s="569"/>
      <c r="KGS12" s="569"/>
      <c r="KGT12" s="569"/>
      <c r="KGU12" s="569"/>
      <c r="KGV12" s="569"/>
      <c r="KGW12" s="569"/>
      <c r="KGX12" s="569"/>
      <c r="KGY12" s="569"/>
      <c r="KGZ12" s="569"/>
      <c r="KHA12" s="569"/>
      <c r="KHB12" s="569"/>
      <c r="KHC12" s="569"/>
      <c r="KHD12" s="569"/>
      <c r="KHE12" s="569"/>
      <c r="KHF12" s="569"/>
      <c r="KHG12" s="569"/>
      <c r="KHH12" s="569"/>
      <c r="KHI12" s="569"/>
      <c r="KHJ12" s="569"/>
      <c r="KHK12" s="569"/>
      <c r="KHL12" s="569"/>
      <c r="KHM12" s="569"/>
      <c r="KHN12" s="569"/>
      <c r="KHO12" s="569"/>
      <c r="KHP12" s="569"/>
      <c r="KHQ12" s="569"/>
      <c r="KHR12" s="569"/>
      <c r="KHS12" s="569"/>
      <c r="KHT12" s="569"/>
      <c r="KHU12" s="569"/>
      <c r="KHV12" s="569"/>
      <c r="KHW12" s="569"/>
      <c r="KHX12" s="569"/>
      <c r="KHY12" s="569"/>
      <c r="KHZ12" s="569"/>
      <c r="KIA12" s="569"/>
      <c r="KIB12" s="569"/>
      <c r="KIC12" s="569"/>
      <c r="KID12" s="569"/>
      <c r="KIE12" s="569"/>
      <c r="KIF12" s="569"/>
      <c r="KIG12" s="569"/>
      <c r="KIH12" s="569"/>
      <c r="KII12" s="569"/>
      <c r="KIJ12" s="569"/>
      <c r="KIK12" s="569"/>
      <c r="KIL12" s="569"/>
      <c r="KIM12" s="569"/>
      <c r="KIN12" s="569"/>
      <c r="KIO12" s="569"/>
      <c r="KIP12" s="569"/>
      <c r="KIQ12" s="569"/>
      <c r="KIR12" s="569"/>
      <c r="KIS12" s="569"/>
      <c r="KIT12" s="569"/>
      <c r="KIU12" s="569"/>
      <c r="KIV12" s="569"/>
      <c r="KIW12" s="569"/>
      <c r="KIX12" s="569"/>
      <c r="KIY12" s="569"/>
      <c r="KIZ12" s="569"/>
      <c r="KJA12" s="569"/>
      <c r="KJB12" s="569"/>
      <c r="KJC12" s="569"/>
      <c r="KJD12" s="569"/>
      <c r="KJE12" s="569"/>
      <c r="KJF12" s="569"/>
      <c r="KJG12" s="569"/>
      <c r="KJH12" s="569"/>
      <c r="KJI12" s="569"/>
      <c r="KJJ12" s="569"/>
      <c r="KJK12" s="569"/>
      <c r="KJL12" s="569"/>
      <c r="KJM12" s="569"/>
      <c r="KJN12" s="569"/>
      <c r="KJO12" s="569"/>
      <c r="KJP12" s="569"/>
      <c r="KJQ12" s="569"/>
      <c r="KJR12" s="569"/>
      <c r="KJS12" s="569"/>
      <c r="KJT12" s="569"/>
      <c r="KJU12" s="569"/>
      <c r="KJV12" s="569"/>
      <c r="KJW12" s="569"/>
      <c r="KJX12" s="569"/>
      <c r="KJY12" s="569"/>
      <c r="KJZ12" s="569"/>
      <c r="KKA12" s="569"/>
      <c r="KKB12" s="569"/>
      <c r="KKC12" s="569"/>
      <c r="KKD12" s="569"/>
      <c r="KKE12" s="569"/>
      <c r="KKF12" s="569"/>
      <c r="KKG12" s="569"/>
      <c r="KKH12" s="569"/>
      <c r="KKI12" s="569"/>
      <c r="KKJ12" s="569"/>
      <c r="KKK12" s="569"/>
      <c r="KKL12" s="569"/>
      <c r="KKM12" s="569"/>
      <c r="KKN12" s="569"/>
      <c r="KKO12" s="569"/>
      <c r="KKP12" s="569"/>
      <c r="KKQ12" s="569"/>
      <c r="KKR12" s="569"/>
      <c r="KKS12" s="569"/>
      <c r="KKT12" s="569"/>
      <c r="KKU12" s="569"/>
      <c r="KKV12" s="569"/>
      <c r="KKW12" s="569"/>
      <c r="KKX12" s="569"/>
      <c r="KKY12" s="569"/>
      <c r="KKZ12" s="569"/>
      <c r="KLA12" s="569"/>
      <c r="KLB12" s="569"/>
      <c r="KLC12" s="569"/>
      <c r="KLD12" s="569"/>
      <c r="KLE12" s="569"/>
      <c r="KLF12" s="569"/>
      <c r="KLG12" s="569"/>
      <c r="KLH12" s="569"/>
      <c r="KLI12" s="569"/>
      <c r="KLJ12" s="569"/>
      <c r="KLK12" s="569"/>
      <c r="KLL12" s="569"/>
      <c r="KLM12" s="569"/>
      <c r="KLN12" s="569"/>
      <c r="KLO12" s="569"/>
      <c r="KLP12" s="569"/>
      <c r="KLQ12" s="569"/>
      <c r="KLR12" s="569"/>
      <c r="KLS12" s="569"/>
      <c r="KLT12" s="569"/>
      <c r="KLU12" s="569"/>
      <c r="KLV12" s="569"/>
      <c r="KLW12" s="569"/>
      <c r="KLX12" s="569"/>
      <c r="KLY12" s="569"/>
      <c r="KLZ12" s="569"/>
      <c r="KMA12" s="569"/>
      <c r="KMB12" s="569"/>
      <c r="KMC12" s="569"/>
      <c r="KMD12" s="569"/>
      <c r="KME12" s="569"/>
      <c r="KMF12" s="569"/>
      <c r="KMG12" s="569"/>
      <c r="KMH12" s="569"/>
      <c r="KMI12" s="569"/>
      <c r="KMJ12" s="569"/>
      <c r="KMK12" s="569"/>
      <c r="KML12" s="569"/>
      <c r="KMM12" s="569"/>
      <c r="KMN12" s="569"/>
      <c r="KMO12" s="569"/>
      <c r="KMP12" s="569"/>
      <c r="KMQ12" s="569"/>
      <c r="KMR12" s="569"/>
      <c r="KMS12" s="569"/>
      <c r="KMT12" s="569"/>
      <c r="KMU12" s="569"/>
      <c r="KMV12" s="569"/>
      <c r="KMW12" s="569"/>
      <c r="KMX12" s="569"/>
      <c r="KMY12" s="569"/>
      <c r="KMZ12" s="569"/>
      <c r="KNA12" s="569"/>
      <c r="KNB12" s="569"/>
      <c r="KNC12" s="569"/>
      <c r="KND12" s="569"/>
      <c r="KNE12" s="569"/>
      <c r="KNF12" s="569"/>
      <c r="KNG12" s="569"/>
      <c r="KNH12" s="569"/>
      <c r="KNI12" s="569"/>
      <c r="KNJ12" s="569"/>
      <c r="KNK12" s="569"/>
      <c r="KNL12" s="569"/>
      <c r="KNM12" s="569"/>
      <c r="KNN12" s="569"/>
      <c r="KNO12" s="569"/>
      <c r="KNP12" s="569"/>
      <c r="KNQ12" s="569"/>
      <c r="KNR12" s="569"/>
      <c r="KNS12" s="569"/>
      <c r="KNT12" s="569"/>
      <c r="KNU12" s="569"/>
      <c r="KNV12" s="569"/>
      <c r="KNW12" s="569"/>
      <c r="KNX12" s="569"/>
      <c r="KNY12" s="569"/>
      <c r="KNZ12" s="569"/>
      <c r="KOA12" s="569"/>
      <c r="KOB12" s="569"/>
      <c r="KOC12" s="569"/>
      <c r="KOD12" s="569"/>
      <c r="KOE12" s="569"/>
      <c r="KOF12" s="569"/>
      <c r="KOG12" s="569"/>
      <c r="KOH12" s="569"/>
      <c r="KOI12" s="569"/>
      <c r="KOJ12" s="569"/>
      <c r="KOK12" s="569"/>
      <c r="KOL12" s="569"/>
      <c r="KOM12" s="569"/>
      <c r="KON12" s="569"/>
      <c r="KOO12" s="569"/>
      <c r="KOP12" s="569"/>
      <c r="KOQ12" s="569"/>
      <c r="KOR12" s="569"/>
      <c r="KOS12" s="569"/>
      <c r="KOT12" s="569"/>
      <c r="KOU12" s="569"/>
      <c r="KOV12" s="569"/>
      <c r="KOW12" s="569"/>
      <c r="KOX12" s="569"/>
      <c r="KOY12" s="569"/>
      <c r="KOZ12" s="569"/>
      <c r="KPA12" s="569"/>
      <c r="KPB12" s="569"/>
      <c r="KPC12" s="569"/>
      <c r="KPD12" s="569"/>
      <c r="KPE12" s="569"/>
      <c r="KPF12" s="569"/>
      <c r="KPG12" s="569"/>
      <c r="KPH12" s="569"/>
      <c r="KPI12" s="569"/>
      <c r="KPJ12" s="569"/>
      <c r="KPK12" s="569"/>
      <c r="KPL12" s="569"/>
      <c r="KPM12" s="569"/>
      <c r="KPN12" s="569"/>
      <c r="KPO12" s="569"/>
      <c r="KPP12" s="569"/>
      <c r="KPQ12" s="569"/>
      <c r="KPR12" s="569"/>
      <c r="KPS12" s="569"/>
      <c r="KPT12" s="569"/>
      <c r="KPU12" s="569"/>
      <c r="KPV12" s="569"/>
      <c r="KPW12" s="569"/>
      <c r="KPX12" s="569"/>
      <c r="KPY12" s="569"/>
      <c r="KPZ12" s="569"/>
      <c r="KQA12" s="569"/>
      <c r="KQB12" s="569"/>
      <c r="KQC12" s="569"/>
      <c r="KQD12" s="569"/>
      <c r="KQE12" s="569"/>
      <c r="KQF12" s="569"/>
      <c r="KQG12" s="569"/>
      <c r="KQH12" s="569"/>
      <c r="KQI12" s="569"/>
      <c r="KQJ12" s="569"/>
      <c r="KQK12" s="569"/>
      <c r="KQL12" s="569"/>
      <c r="KQM12" s="569"/>
      <c r="KQN12" s="569"/>
      <c r="KQO12" s="569"/>
      <c r="KQP12" s="569"/>
      <c r="KQQ12" s="569"/>
      <c r="KQR12" s="569"/>
      <c r="KQS12" s="569"/>
      <c r="KQT12" s="569"/>
      <c r="KQU12" s="569"/>
      <c r="KQV12" s="569"/>
      <c r="KQW12" s="569"/>
      <c r="KQX12" s="569"/>
      <c r="KQY12" s="569"/>
      <c r="KQZ12" s="569"/>
      <c r="KRA12" s="569"/>
      <c r="KRB12" s="569"/>
      <c r="KRC12" s="569"/>
      <c r="KRD12" s="569"/>
      <c r="KRE12" s="569"/>
      <c r="KRF12" s="569"/>
      <c r="KRG12" s="569"/>
      <c r="KRH12" s="569"/>
      <c r="KRI12" s="569"/>
      <c r="KRJ12" s="569"/>
      <c r="KRK12" s="569"/>
      <c r="KRL12" s="569"/>
      <c r="KRM12" s="569"/>
      <c r="KRN12" s="569"/>
      <c r="KRO12" s="569"/>
      <c r="KRP12" s="569"/>
      <c r="KRQ12" s="569"/>
      <c r="KRR12" s="569"/>
      <c r="KRS12" s="569"/>
      <c r="KRT12" s="569"/>
      <c r="KRU12" s="569"/>
      <c r="KRV12" s="569"/>
      <c r="KRW12" s="569"/>
      <c r="KRX12" s="569"/>
      <c r="KRY12" s="569"/>
      <c r="KRZ12" s="569"/>
      <c r="KSA12" s="569"/>
      <c r="KSB12" s="569"/>
      <c r="KSC12" s="569"/>
      <c r="KSD12" s="569"/>
      <c r="KSE12" s="569"/>
      <c r="KSF12" s="569"/>
      <c r="KSG12" s="569"/>
      <c r="KSH12" s="569"/>
      <c r="KSI12" s="569"/>
      <c r="KSJ12" s="569"/>
      <c r="KSK12" s="569"/>
      <c r="KSL12" s="569"/>
      <c r="KSM12" s="569"/>
      <c r="KSN12" s="569"/>
      <c r="KSO12" s="569"/>
      <c r="KSP12" s="569"/>
      <c r="KSQ12" s="569"/>
      <c r="KSR12" s="569"/>
      <c r="KSS12" s="569"/>
      <c r="KST12" s="569"/>
      <c r="KSU12" s="569"/>
      <c r="KSV12" s="569"/>
      <c r="KSW12" s="569"/>
      <c r="KSX12" s="569"/>
      <c r="KSY12" s="569"/>
      <c r="KSZ12" s="569"/>
      <c r="KTA12" s="569"/>
      <c r="KTB12" s="569"/>
      <c r="KTC12" s="569"/>
      <c r="KTD12" s="569"/>
      <c r="KTE12" s="569"/>
      <c r="KTF12" s="569"/>
      <c r="KTG12" s="569"/>
      <c r="KTH12" s="569"/>
      <c r="KTI12" s="569"/>
      <c r="KTJ12" s="569"/>
      <c r="KTK12" s="569"/>
      <c r="KTL12" s="569"/>
      <c r="KTM12" s="569"/>
      <c r="KTN12" s="569"/>
      <c r="KTO12" s="569"/>
      <c r="KTP12" s="569"/>
      <c r="KTQ12" s="569"/>
      <c r="KTR12" s="569"/>
      <c r="KTS12" s="569"/>
      <c r="KTT12" s="569"/>
      <c r="KTU12" s="569"/>
      <c r="KTV12" s="569"/>
      <c r="KTW12" s="569"/>
      <c r="KTX12" s="569"/>
      <c r="KTY12" s="569"/>
      <c r="KTZ12" s="569"/>
      <c r="KUA12" s="569"/>
      <c r="KUB12" s="569"/>
      <c r="KUC12" s="569"/>
      <c r="KUD12" s="569"/>
      <c r="KUE12" s="569"/>
      <c r="KUF12" s="569"/>
      <c r="KUG12" s="569"/>
      <c r="KUH12" s="569"/>
      <c r="KUI12" s="569"/>
      <c r="KUJ12" s="569"/>
      <c r="KUK12" s="569"/>
      <c r="KUL12" s="569"/>
      <c r="KUM12" s="569"/>
      <c r="KUN12" s="569"/>
      <c r="KUO12" s="569"/>
      <c r="KUP12" s="569"/>
      <c r="KUQ12" s="569"/>
      <c r="KUR12" s="569"/>
      <c r="KUS12" s="569"/>
      <c r="KUT12" s="569"/>
      <c r="KUU12" s="569"/>
      <c r="KUV12" s="569"/>
      <c r="KUW12" s="569"/>
      <c r="KUX12" s="569"/>
      <c r="KUY12" s="569"/>
      <c r="KUZ12" s="569"/>
      <c r="KVA12" s="569"/>
      <c r="KVB12" s="569"/>
      <c r="KVC12" s="569"/>
      <c r="KVD12" s="569"/>
      <c r="KVE12" s="569"/>
      <c r="KVF12" s="569"/>
      <c r="KVG12" s="569"/>
      <c r="KVH12" s="569"/>
      <c r="KVI12" s="569"/>
      <c r="KVJ12" s="569"/>
      <c r="KVK12" s="569"/>
      <c r="KVL12" s="569"/>
      <c r="KVM12" s="569"/>
      <c r="KVN12" s="569"/>
      <c r="KVO12" s="569"/>
      <c r="KVP12" s="569"/>
      <c r="KVQ12" s="569"/>
      <c r="KVR12" s="569"/>
      <c r="KVS12" s="569"/>
      <c r="KVT12" s="569"/>
      <c r="KVU12" s="569"/>
      <c r="KVV12" s="569"/>
      <c r="KVW12" s="569"/>
      <c r="KVX12" s="569"/>
      <c r="KVY12" s="569"/>
      <c r="KVZ12" s="569"/>
      <c r="KWA12" s="569"/>
      <c r="KWB12" s="569"/>
      <c r="KWC12" s="569"/>
      <c r="KWD12" s="569"/>
      <c r="KWE12" s="569"/>
      <c r="KWF12" s="569"/>
      <c r="KWG12" s="569"/>
      <c r="KWH12" s="569"/>
      <c r="KWI12" s="569"/>
      <c r="KWJ12" s="569"/>
      <c r="KWK12" s="569"/>
      <c r="KWL12" s="569"/>
      <c r="KWM12" s="569"/>
      <c r="KWN12" s="569"/>
      <c r="KWO12" s="569"/>
      <c r="KWP12" s="569"/>
      <c r="KWQ12" s="569"/>
      <c r="KWR12" s="569"/>
      <c r="KWS12" s="569"/>
      <c r="KWT12" s="569"/>
      <c r="KWU12" s="569"/>
      <c r="KWV12" s="569"/>
      <c r="KWW12" s="569"/>
      <c r="KWX12" s="569"/>
      <c r="KWY12" s="569"/>
      <c r="KWZ12" s="569"/>
      <c r="KXA12" s="569"/>
      <c r="KXB12" s="569"/>
      <c r="KXC12" s="569"/>
      <c r="KXD12" s="569"/>
      <c r="KXE12" s="569"/>
      <c r="KXF12" s="569"/>
      <c r="KXG12" s="569"/>
      <c r="KXH12" s="569"/>
      <c r="KXI12" s="569"/>
      <c r="KXJ12" s="569"/>
      <c r="KXK12" s="569"/>
      <c r="KXL12" s="569"/>
      <c r="KXM12" s="569"/>
      <c r="KXN12" s="569"/>
      <c r="KXO12" s="569"/>
      <c r="KXP12" s="569"/>
      <c r="KXQ12" s="569"/>
      <c r="KXR12" s="569"/>
      <c r="KXS12" s="569"/>
      <c r="KXT12" s="569"/>
      <c r="KXU12" s="569"/>
      <c r="KXV12" s="569"/>
      <c r="KXW12" s="569"/>
      <c r="KXX12" s="569"/>
      <c r="KXY12" s="569"/>
      <c r="KXZ12" s="569"/>
      <c r="KYA12" s="569"/>
      <c r="KYB12" s="569"/>
      <c r="KYC12" s="569"/>
      <c r="KYD12" s="569"/>
      <c r="KYE12" s="569"/>
      <c r="KYF12" s="569"/>
      <c r="KYG12" s="569"/>
      <c r="KYH12" s="569"/>
      <c r="KYI12" s="569"/>
      <c r="KYJ12" s="569"/>
      <c r="KYK12" s="569"/>
      <c r="KYL12" s="569"/>
      <c r="KYM12" s="569"/>
      <c r="KYN12" s="569"/>
      <c r="KYO12" s="569"/>
      <c r="KYP12" s="569"/>
      <c r="KYQ12" s="569"/>
      <c r="KYR12" s="569"/>
      <c r="KYS12" s="569"/>
      <c r="KYT12" s="569"/>
      <c r="KYU12" s="569"/>
      <c r="KYV12" s="569"/>
      <c r="KYW12" s="569"/>
      <c r="KYX12" s="569"/>
      <c r="KYY12" s="569"/>
      <c r="KYZ12" s="569"/>
      <c r="KZA12" s="569"/>
      <c r="KZB12" s="569"/>
      <c r="KZC12" s="569"/>
      <c r="KZD12" s="569"/>
      <c r="KZE12" s="569"/>
      <c r="KZF12" s="569"/>
      <c r="KZG12" s="569"/>
      <c r="KZH12" s="569"/>
      <c r="KZI12" s="569"/>
      <c r="KZJ12" s="569"/>
      <c r="KZK12" s="569"/>
      <c r="KZL12" s="569"/>
      <c r="KZM12" s="569"/>
      <c r="KZN12" s="569"/>
      <c r="KZO12" s="569"/>
      <c r="KZP12" s="569"/>
      <c r="KZQ12" s="569"/>
      <c r="KZR12" s="569"/>
      <c r="KZS12" s="569"/>
      <c r="KZT12" s="569"/>
      <c r="KZU12" s="569"/>
      <c r="KZV12" s="569"/>
      <c r="KZW12" s="569"/>
      <c r="KZX12" s="569"/>
      <c r="KZY12" s="569"/>
      <c r="KZZ12" s="569"/>
      <c r="LAA12" s="569"/>
      <c r="LAB12" s="569"/>
      <c r="LAC12" s="569"/>
      <c r="LAD12" s="569"/>
      <c r="LAE12" s="569"/>
      <c r="LAF12" s="569"/>
      <c r="LAG12" s="569"/>
      <c r="LAH12" s="569"/>
      <c r="LAI12" s="569"/>
      <c r="LAJ12" s="569"/>
      <c r="LAK12" s="569"/>
      <c r="LAL12" s="569"/>
      <c r="LAM12" s="569"/>
      <c r="LAN12" s="569"/>
      <c r="LAO12" s="569"/>
      <c r="LAP12" s="569"/>
      <c r="LAQ12" s="569"/>
      <c r="LAR12" s="569"/>
      <c r="LAS12" s="569"/>
      <c r="LAT12" s="569"/>
      <c r="LAU12" s="569"/>
      <c r="LAV12" s="569"/>
      <c r="LAW12" s="569"/>
      <c r="LAX12" s="569"/>
      <c r="LAY12" s="569"/>
      <c r="LAZ12" s="569"/>
      <c r="LBA12" s="569"/>
      <c r="LBB12" s="569"/>
      <c r="LBC12" s="569"/>
      <c r="LBD12" s="569"/>
      <c r="LBE12" s="569"/>
      <c r="LBF12" s="569"/>
      <c r="LBG12" s="569"/>
      <c r="LBH12" s="569"/>
      <c r="LBI12" s="569"/>
      <c r="LBJ12" s="569"/>
      <c r="LBK12" s="569"/>
      <c r="LBL12" s="569"/>
      <c r="LBM12" s="569"/>
      <c r="LBN12" s="569"/>
      <c r="LBO12" s="569"/>
      <c r="LBP12" s="569"/>
      <c r="LBQ12" s="569"/>
      <c r="LBR12" s="569"/>
      <c r="LBS12" s="569"/>
      <c r="LBT12" s="569"/>
      <c r="LBU12" s="569"/>
      <c r="LBV12" s="569"/>
      <c r="LBW12" s="569"/>
      <c r="LBX12" s="569"/>
      <c r="LBY12" s="569"/>
      <c r="LBZ12" s="569"/>
      <c r="LCA12" s="569"/>
      <c r="LCB12" s="569"/>
      <c r="LCC12" s="569"/>
      <c r="LCD12" s="569"/>
      <c r="LCE12" s="569"/>
      <c r="LCF12" s="569"/>
      <c r="LCG12" s="569"/>
      <c r="LCH12" s="569"/>
      <c r="LCI12" s="569"/>
      <c r="LCJ12" s="569"/>
      <c r="LCK12" s="569"/>
      <c r="LCL12" s="569"/>
      <c r="LCM12" s="569"/>
      <c r="LCN12" s="569"/>
      <c r="LCO12" s="569"/>
      <c r="LCP12" s="569"/>
      <c r="LCQ12" s="569"/>
      <c r="LCR12" s="569"/>
      <c r="LCS12" s="569"/>
      <c r="LCT12" s="569"/>
      <c r="LCU12" s="569"/>
      <c r="LCV12" s="569"/>
      <c r="LCW12" s="569"/>
      <c r="LCX12" s="569"/>
      <c r="LCY12" s="569"/>
      <c r="LCZ12" s="569"/>
      <c r="LDA12" s="569"/>
      <c r="LDB12" s="569"/>
      <c r="LDC12" s="569"/>
      <c r="LDD12" s="569"/>
      <c r="LDE12" s="569"/>
      <c r="LDF12" s="569"/>
      <c r="LDG12" s="569"/>
      <c r="LDH12" s="569"/>
      <c r="LDI12" s="569"/>
      <c r="LDJ12" s="569"/>
      <c r="LDK12" s="569"/>
      <c r="LDL12" s="569"/>
      <c r="LDM12" s="569"/>
      <c r="LDN12" s="569"/>
      <c r="LDO12" s="569"/>
      <c r="LDP12" s="569"/>
      <c r="LDQ12" s="569"/>
      <c r="LDR12" s="569"/>
      <c r="LDS12" s="569"/>
      <c r="LDT12" s="569"/>
      <c r="LDU12" s="569"/>
      <c r="LDV12" s="569"/>
      <c r="LDW12" s="569"/>
      <c r="LDX12" s="569"/>
      <c r="LDY12" s="569"/>
      <c r="LDZ12" s="569"/>
      <c r="LEA12" s="569"/>
      <c r="LEB12" s="569"/>
      <c r="LEC12" s="569"/>
      <c r="LED12" s="569"/>
      <c r="LEE12" s="569"/>
      <c r="LEF12" s="569"/>
      <c r="LEG12" s="569"/>
      <c r="LEH12" s="569"/>
      <c r="LEI12" s="569"/>
      <c r="LEJ12" s="569"/>
      <c r="LEK12" s="569"/>
      <c r="LEL12" s="569"/>
      <c r="LEM12" s="569"/>
      <c r="LEN12" s="569"/>
      <c r="LEO12" s="569"/>
      <c r="LEP12" s="569"/>
      <c r="LEQ12" s="569"/>
      <c r="LER12" s="569"/>
      <c r="LES12" s="569"/>
      <c r="LET12" s="569"/>
      <c r="LEU12" s="569"/>
      <c r="LEV12" s="569"/>
      <c r="LEW12" s="569"/>
      <c r="LEX12" s="569"/>
      <c r="LEY12" s="569"/>
      <c r="LEZ12" s="569"/>
      <c r="LFA12" s="569"/>
      <c r="LFB12" s="569"/>
      <c r="LFC12" s="569"/>
      <c r="LFD12" s="569"/>
      <c r="LFE12" s="569"/>
      <c r="LFF12" s="569"/>
      <c r="LFG12" s="569"/>
      <c r="LFH12" s="569"/>
      <c r="LFI12" s="569"/>
      <c r="LFJ12" s="569"/>
      <c r="LFK12" s="569"/>
      <c r="LFL12" s="569"/>
      <c r="LFM12" s="569"/>
      <c r="LFN12" s="569"/>
      <c r="LFO12" s="569"/>
      <c r="LFP12" s="569"/>
      <c r="LFQ12" s="569"/>
      <c r="LFR12" s="569"/>
      <c r="LFS12" s="569"/>
      <c r="LFT12" s="569"/>
      <c r="LFU12" s="569"/>
      <c r="LFV12" s="569"/>
      <c r="LFW12" s="569"/>
      <c r="LFX12" s="569"/>
      <c r="LFY12" s="569"/>
      <c r="LFZ12" s="569"/>
      <c r="LGA12" s="569"/>
      <c r="LGB12" s="569"/>
      <c r="LGC12" s="569"/>
      <c r="LGD12" s="569"/>
      <c r="LGE12" s="569"/>
      <c r="LGF12" s="569"/>
      <c r="LGG12" s="569"/>
      <c r="LGH12" s="569"/>
      <c r="LGI12" s="569"/>
      <c r="LGJ12" s="569"/>
      <c r="LGK12" s="569"/>
      <c r="LGL12" s="569"/>
      <c r="LGM12" s="569"/>
      <c r="LGN12" s="569"/>
      <c r="LGO12" s="569"/>
      <c r="LGP12" s="569"/>
      <c r="LGQ12" s="569"/>
      <c r="LGR12" s="569"/>
      <c r="LGS12" s="569"/>
      <c r="LGT12" s="569"/>
      <c r="LGU12" s="569"/>
      <c r="LGV12" s="569"/>
      <c r="LGW12" s="569"/>
      <c r="LGX12" s="569"/>
      <c r="LGY12" s="569"/>
      <c r="LGZ12" s="569"/>
      <c r="LHA12" s="569"/>
      <c r="LHB12" s="569"/>
      <c r="LHC12" s="569"/>
      <c r="LHD12" s="569"/>
      <c r="LHE12" s="569"/>
      <c r="LHF12" s="569"/>
      <c r="LHG12" s="569"/>
      <c r="LHH12" s="569"/>
      <c r="LHI12" s="569"/>
      <c r="LHJ12" s="569"/>
      <c r="LHK12" s="569"/>
      <c r="LHL12" s="569"/>
      <c r="LHM12" s="569"/>
      <c r="LHN12" s="569"/>
      <c r="LHO12" s="569"/>
      <c r="LHP12" s="569"/>
      <c r="LHQ12" s="569"/>
      <c r="LHR12" s="569"/>
      <c r="LHS12" s="569"/>
      <c r="LHT12" s="569"/>
      <c r="LHU12" s="569"/>
      <c r="LHV12" s="569"/>
      <c r="LHW12" s="569"/>
      <c r="LHX12" s="569"/>
      <c r="LHY12" s="569"/>
      <c r="LHZ12" s="569"/>
      <c r="LIA12" s="569"/>
      <c r="LIB12" s="569"/>
      <c r="LIC12" s="569"/>
      <c r="LID12" s="569"/>
      <c r="LIE12" s="569"/>
      <c r="LIF12" s="569"/>
      <c r="LIG12" s="569"/>
      <c r="LIH12" s="569"/>
      <c r="LII12" s="569"/>
      <c r="LIJ12" s="569"/>
      <c r="LIK12" s="569"/>
      <c r="LIL12" s="569"/>
      <c r="LIM12" s="569"/>
      <c r="LIN12" s="569"/>
      <c r="LIO12" s="569"/>
      <c r="LIP12" s="569"/>
      <c r="LIQ12" s="569"/>
      <c r="LIR12" s="569"/>
      <c r="LIS12" s="569"/>
      <c r="LIT12" s="569"/>
      <c r="LIU12" s="569"/>
      <c r="LIV12" s="569"/>
      <c r="LIW12" s="569"/>
      <c r="LIX12" s="569"/>
      <c r="LIY12" s="569"/>
      <c r="LIZ12" s="569"/>
      <c r="LJA12" s="569"/>
      <c r="LJB12" s="569"/>
      <c r="LJC12" s="569"/>
      <c r="LJD12" s="569"/>
      <c r="LJE12" s="569"/>
      <c r="LJF12" s="569"/>
      <c r="LJG12" s="569"/>
      <c r="LJH12" s="569"/>
      <c r="LJI12" s="569"/>
      <c r="LJJ12" s="569"/>
      <c r="LJK12" s="569"/>
      <c r="LJL12" s="569"/>
      <c r="LJM12" s="569"/>
      <c r="LJN12" s="569"/>
      <c r="LJO12" s="569"/>
      <c r="LJP12" s="569"/>
      <c r="LJQ12" s="569"/>
      <c r="LJR12" s="569"/>
      <c r="LJS12" s="569"/>
      <c r="LJT12" s="569"/>
      <c r="LJU12" s="569"/>
      <c r="LJV12" s="569"/>
      <c r="LJW12" s="569"/>
      <c r="LJX12" s="569"/>
      <c r="LJY12" s="569"/>
      <c r="LJZ12" s="569"/>
      <c r="LKA12" s="569"/>
      <c r="LKB12" s="569"/>
      <c r="LKC12" s="569"/>
      <c r="LKD12" s="569"/>
      <c r="LKE12" s="569"/>
      <c r="LKF12" s="569"/>
      <c r="LKG12" s="569"/>
      <c r="LKH12" s="569"/>
      <c r="LKI12" s="569"/>
      <c r="LKJ12" s="569"/>
      <c r="LKK12" s="569"/>
      <c r="LKL12" s="569"/>
      <c r="LKM12" s="569"/>
      <c r="LKN12" s="569"/>
      <c r="LKO12" s="569"/>
      <c r="LKP12" s="569"/>
      <c r="LKQ12" s="569"/>
      <c r="LKR12" s="569"/>
      <c r="LKS12" s="569"/>
      <c r="LKT12" s="569"/>
      <c r="LKU12" s="569"/>
      <c r="LKV12" s="569"/>
      <c r="LKW12" s="569"/>
      <c r="LKX12" s="569"/>
      <c r="LKY12" s="569"/>
      <c r="LKZ12" s="569"/>
      <c r="LLA12" s="569"/>
      <c r="LLB12" s="569"/>
      <c r="LLC12" s="569"/>
      <c r="LLD12" s="569"/>
      <c r="LLE12" s="569"/>
      <c r="LLF12" s="569"/>
      <c r="LLG12" s="569"/>
      <c r="LLH12" s="569"/>
      <c r="LLI12" s="569"/>
      <c r="LLJ12" s="569"/>
      <c r="LLK12" s="569"/>
      <c r="LLL12" s="569"/>
      <c r="LLM12" s="569"/>
      <c r="LLN12" s="569"/>
      <c r="LLO12" s="569"/>
      <c r="LLP12" s="569"/>
      <c r="LLQ12" s="569"/>
      <c r="LLR12" s="569"/>
      <c r="LLS12" s="569"/>
      <c r="LLT12" s="569"/>
      <c r="LLU12" s="569"/>
      <c r="LLV12" s="569"/>
      <c r="LLW12" s="569"/>
      <c r="LLX12" s="569"/>
      <c r="LLY12" s="569"/>
      <c r="LLZ12" s="569"/>
      <c r="LMA12" s="569"/>
      <c r="LMB12" s="569"/>
      <c r="LMC12" s="569"/>
      <c r="LMD12" s="569"/>
      <c r="LME12" s="569"/>
      <c r="LMF12" s="569"/>
      <c r="LMG12" s="569"/>
      <c r="LMH12" s="569"/>
      <c r="LMI12" s="569"/>
      <c r="LMJ12" s="569"/>
      <c r="LMK12" s="569"/>
      <c r="LML12" s="569"/>
      <c r="LMM12" s="569"/>
      <c r="LMN12" s="569"/>
      <c r="LMO12" s="569"/>
      <c r="LMP12" s="569"/>
      <c r="LMQ12" s="569"/>
      <c r="LMR12" s="569"/>
      <c r="LMS12" s="569"/>
      <c r="LMT12" s="569"/>
      <c r="LMU12" s="569"/>
      <c r="LMV12" s="569"/>
      <c r="LMW12" s="569"/>
      <c r="LMX12" s="569"/>
      <c r="LMY12" s="569"/>
      <c r="LMZ12" s="569"/>
      <c r="LNA12" s="569"/>
      <c r="LNB12" s="569"/>
      <c r="LNC12" s="569"/>
      <c r="LND12" s="569"/>
      <c r="LNE12" s="569"/>
      <c r="LNF12" s="569"/>
      <c r="LNG12" s="569"/>
      <c r="LNH12" s="569"/>
      <c r="LNI12" s="569"/>
      <c r="LNJ12" s="569"/>
      <c r="LNK12" s="569"/>
      <c r="LNL12" s="569"/>
      <c r="LNM12" s="569"/>
      <c r="LNN12" s="569"/>
      <c r="LNO12" s="569"/>
      <c r="LNP12" s="569"/>
      <c r="LNQ12" s="569"/>
      <c r="LNR12" s="569"/>
      <c r="LNS12" s="569"/>
      <c r="LNT12" s="569"/>
      <c r="LNU12" s="569"/>
      <c r="LNV12" s="569"/>
      <c r="LNW12" s="569"/>
      <c r="LNX12" s="569"/>
      <c r="LNY12" s="569"/>
      <c r="LNZ12" s="569"/>
      <c r="LOA12" s="569"/>
      <c r="LOB12" s="569"/>
      <c r="LOC12" s="569"/>
      <c r="LOD12" s="569"/>
      <c r="LOE12" s="569"/>
      <c r="LOF12" s="569"/>
      <c r="LOG12" s="569"/>
      <c r="LOH12" s="569"/>
      <c r="LOI12" s="569"/>
      <c r="LOJ12" s="569"/>
      <c r="LOK12" s="569"/>
      <c r="LOL12" s="569"/>
      <c r="LOM12" s="569"/>
      <c r="LON12" s="569"/>
      <c r="LOO12" s="569"/>
      <c r="LOP12" s="569"/>
      <c r="LOQ12" s="569"/>
      <c r="LOR12" s="569"/>
      <c r="LOS12" s="569"/>
      <c r="LOT12" s="569"/>
      <c r="LOU12" s="569"/>
      <c r="LOV12" s="569"/>
      <c r="LOW12" s="569"/>
      <c r="LOX12" s="569"/>
      <c r="LOY12" s="569"/>
      <c r="LOZ12" s="569"/>
      <c r="LPA12" s="569"/>
      <c r="LPB12" s="569"/>
      <c r="LPC12" s="569"/>
      <c r="LPD12" s="569"/>
      <c r="LPE12" s="569"/>
      <c r="LPF12" s="569"/>
      <c r="LPG12" s="569"/>
      <c r="LPH12" s="569"/>
      <c r="LPI12" s="569"/>
      <c r="LPJ12" s="569"/>
      <c r="LPK12" s="569"/>
      <c r="LPL12" s="569"/>
      <c r="LPM12" s="569"/>
      <c r="LPN12" s="569"/>
      <c r="LPO12" s="569"/>
      <c r="LPP12" s="569"/>
      <c r="LPQ12" s="569"/>
      <c r="LPR12" s="569"/>
      <c r="LPS12" s="569"/>
      <c r="LPT12" s="569"/>
      <c r="LPU12" s="569"/>
      <c r="LPV12" s="569"/>
      <c r="LPW12" s="569"/>
      <c r="LPX12" s="569"/>
      <c r="LPY12" s="569"/>
      <c r="LPZ12" s="569"/>
      <c r="LQA12" s="569"/>
      <c r="LQB12" s="569"/>
      <c r="LQC12" s="569"/>
      <c r="LQD12" s="569"/>
      <c r="LQE12" s="569"/>
      <c r="LQF12" s="569"/>
      <c r="LQG12" s="569"/>
      <c r="LQH12" s="569"/>
      <c r="LQI12" s="569"/>
      <c r="LQJ12" s="569"/>
      <c r="LQK12" s="569"/>
      <c r="LQL12" s="569"/>
      <c r="LQM12" s="569"/>
      <c r="LQN12" s="569"/>
      <c r="LQO12" s="569"/>
      <c r="LQP12" s="569"/>
      <c r="LQQ12" s="569"/>
      <c r="LQR12" s="569"/>
      <c r="LQS12" s="569"/>
      <c r="LQT12" s="569"/>
      <c r="LQU12" s="569"/>
      <c r="LQV12" s="569"/>
      <c r="LQW12" s="569"/>
      <c r="LQX12" s="569"/>
      <c r="LQY12" s="569"/>
      <c r="LQZ12" s="569"/>
      <c r="LRA12" s="569"/>
      <c r="LRB12" s="569"/>
      <c r="LRC12" s="569"/>
      <c r="LRD12" s="569"/>
      <c r="LRE12" s="569"/>
      <c r="LRF12" s="569"/>
      <c r="LRG12" s="569"/>
      <c r="LRH12" s="569"/>
      <c r="LRI12" s="569"/>
      <c r="LRJ12" s="569"/>
      <c r="LRK12" s="569"/>
      <c r="LRL12" s="569"/>
      <c r="LRM12" s="569"/>
      <c r="LRN12" s="569"/>
      <c r="LRO12" s="569"/>
      <c r="LRP12" s="569"/>
      <c r="LRQ12" s="569"/>
      <c r="LRR12" s="569"/>
      <c r="LRS12" s="569"/>
      <c r="LRT12" s="569"/>
      <c r="LRU12" s="569"/>
      <c r="LRV12" s="569"/>
      <c r="LRW12" s="569"/>
      <c r="LRX12" s="569"/>
      <c r="LRY12" s="569"/>
      <c r="LRZ12" s="569"/>
      <c r="LSA12" s="569"/>
      <c r="LSB12" s="569"/>
      <c r="LSC12" s="569"/>
      <c r="LSD12" s="569"/>
      <c r="LSE12" s="569"/>
      <c r="LSF12" s="569"/>
      <c r="LSG12" s="569"/>
      <c r="LSH12" s="569"/>
      <c r="LSI12" s="569"/>
      <c r="LSJ12" s="569"/>
      <c r="LSK12" s="569"/>
      <c r="LSL12" s="569"/>
      <c r="LSM12" s="569"/>
      <c r="LSN12" s="569"/>
      <c r="LSO12" s="569"/>
      <c r="LSP12" s="569"/>
      <c r="LSQ12" s="569"/>
      <c r="LSR12" s="569"/>
      <c r="LSS12" s="569"/>
      <c r="LST12" s="569"/>
      <c r="LSU12" s="569"/>
      <c r="LSV12" s="569"/>
      <c r="LSW12" s="569"/>
      <c r="LSX12" s="569"/>
      <c r="LSY12" s="569"/>
      <c r="LSZ12" s="569"/>
      <c r="LTA12" s="569"/>
      <c r="LTB12" s="569"/>
      <c r="LTC12" s="569"/>
      <c r="LTD12" s="569"/>
      <c r="LTE12" s="569"/>
      <c r="LTF12" s="569"/>
      <c r="LTG12" s="569"/>
      <c r="LTH12" s="569"/>
      <c r="LTI12" s="569"/>
      <c r="LTJ12" s="569"/>
      <c r="LTK12" s="569"/>
      <c r="LTL12" s="569"/>
      <c r="LTM12" s="569"/>
      <c r="LTN12" s="569"/>
      <c r="LTO12" s="569"/>
      <c r="LTP12" s="569"/>
      <c r="LTQ12" s="569"/>
      <c r="LTR12" s="569"/>
      <c r="LTS12" s="569"/>
      <c r="LTT12" s="569"/>
      <c r="LTU12" s="569"/>
      <c r="LTV12" s="569"/>
      <c r="LTW12" s="569"/>
      <c r="LTX12" s="569"/>
      <c r="LTY12" s="569"/>
      <c r="LTZ12" s="569"/>
      <c r="LUA12" s="569"/>
      <c r="LUB12" s="569"/>
      <c r="LUC12" s="569"/>
      <c r="LUD12" s="569"/>
      <c r="LUE12" s="569"/>
      <c r="LUF12" s="569"/>
      <c r="LUG12" s="569"/>
      <c r="LUH12" s="569"/>
      <c r="LUI12" s="569"/>
      <c r="LUJ12" s="569"/>
      <c r="LUK12" s="569"/>
      <c r="LUL12" s="569"/>
      <c r="LUM12" s="569"/>
      <c r="LUN12" s="569"/>
      <c r="LUO12" s="569"/>
      <c r="LUP12" s="569"/>
      <c r="LUQ12" s="569"/>
      <c r="LUR12" s="569"/>
      <c r="LUS12" s="569"/>
      <c r="LUT12" s="569"/>
      <c r="LUU12" s="569"/>
      <c r="LUV12" s="569"/>
      <c r="LUW12" s="569"/>
      <c r="LUX12" s="569"/>
      <c r="LUY12" s="569"/>
      <c r="LUZ12" s="569"/>
      <c r="LVA12" s="569"/>
      <c r="LVB12" s="569"/>
      <c r="LVC12" s="569"/>
      <c r="LVD12" s="569"/>
      <c r="LVE12" s="569"/>
      <c r="LVF12" s="569"/>
      <c r="LVG12" s="569"/>
      <c r="LVH12" s="569"/>
      <c r="LVI12" s="569"/>
      <c r="LVJ12" s="569"/>
      <c r="LVK12" s="569"/>
      <c r="LVL12" s="569"/>
      <c r="LVM12" s="569"/>
      <c r="LVN12" s="569"/>
      <c r="LVO12" s="569"/>
      <c r="LVP12" s="569"/>
      <c r="LVQ12" s="569"/>
      <c r="LVR12" s="569"/>
      <c r="LVS12" s="569"/>
      <c r="LVT12" s="569"/>
      <c r="LVU12" s="569"/>
      <c r="LVV12" s="569"/>
      <c r="LVW12" s="569"/>
      <c r="LVX12" s="569"/>
      <c r="LVY12" s="569"/>
      <c r="LVZ12" s="569"/>
      <c r="LWA12" s="569"/>
      <c r="LWB12" s="569"/>
      <c r="LWC12" s="569"/>
      <c r="LWD12" s="569"/>
      <c r="LWE12" s="569"/>
      <c r="LWF12" s="569"/>
      <c r="LWG12" s="569"/>
      <c r="LWH12" s="569"/>
      <c r="LWI12" s="569"/>
      <c r="LWJ12" s="569"/>
      <c r="LWK12" s="569"/>
      <c r="LWL12" s="569"/>
      <c r="LWM12" s="569"/>
      <c r="LWN12" s="569"/>
      <c r="LWO12" s="569"/>
      <c r="LWP12" s="569"/>
      <c r="LWQ12" s="569"/>
      <c r="LWR12" s="569"/>
      <c r="LWS12" s="569"/>
      <c r="LWT12" s="569"/>
      <c r="LWU12" s="569"/>
      <c r="LWV12" s="569"/>
      <c r="LWW12" s="569"/>
      <c r="LWX12" s="569"/>
      <c r="LWY12" s="569"/>
      <c r="LWZ12" s="569"/>
      <c r="LXA12" s="569"/>
      <c r="LXB12" s="569"/>
      <c r="LXC12" s="569"/>
      <c r="LXD12" s="569"/>
      <c r="LXE12" s="569"/>
      <c r="LXF12" s="569"/>
      <c r="LXG12" s="569"/>
      <c r="LXH12" s="569"/>
      <c r="LXI12" s="569"/>
      <c r="LXJ12" s="569"/>
      <c r="LXK12" s="569"/>
      <c r="LXL12" s="569"/>
      <c r="LXM12" s="569"/>
      <c r="LXN12" s="569"/>
      <c r="LXO12" s="569"/>
      <c r="LXP12" s="569"/>
      <c r="LXQ12" s="569"/>
      <c r="LXR12" s="569"/>
      <c r="LXS12" s="569"/>
      <c r="LXT12" s="569"/>
      <c r="LXU12" s="569"/>
      <c r="LXV12" s="569"/>
      <c r="LXW12" s="569"/>
      <c r="LXX12" s="569"/>
      <c r="LXY12" s="569"/>
      <c r="LXZ12" s="569"/>
      <c r="LYA12" s="569"/>
      <c r="LYB12" s="569"/>
      <c r="LYC12" s="569"/>
      <c r="LYD12" s="569"/>
      <c r="LYE12" s="569"/>
      <c r="LYF12" s="569"/>
      <c r="LYG12" s="569"/>
      <c r="LYH12" s="569"/>
      <c r="LYI12" s="569"/>
      <c r="LYJ12" s="569"/>
      <c r="LYK12" s="569"/>
      <c r="LYL12" s="569"/>
      <c r="LYM12" s="569"/>
      <c r="LYN12" s="569"/>
      <c r="LYO12" s="569"/>
      <c r="LYP12" s="569"/>
      <c r="LYQ12" s="569"/>
      <c r="LYR12" s="569"/>
      <c r="LYS12" s="569"/>
      <c r="LYT12" s="569"/>
      <c r="LYU12" s="569"/>
      <c r="LYV12" s="569"/>
      <c r="LYW12" s="569"/>
      <c r="LYX12" s="569"/>
      <c r="LYY12" s="569"/>
      <c r="LYZ12" s="569"/>
      <c r="LZA12" s="569"/>
      <c r="LZB12" s="569"/>
      <c r="LZC12" s="569"/>
      <c r="LZD12" s="569"/>
      <c r="LZE12" s="569"/>
      <c r="LZF12" s="569"/>
      <c r="LZG12" s="569"/>
      <c r="LZH12" s="569"/>
      <c r="LZI12" s="569"/>
      <c r="LZJ12" s="569"/>
      <c r="LZK12" s="569"/>
      <c r="LZL12" s="569"/>
      <c r="LZM12" s="569"/>
      <c r="LZN12" s="569"/>
      <c r="LZO12" s="569"/>
      <c r="LZP12" s="569"/>
      <c r="LZQ12" s="569"/>
      <c r="LZR12" s="569"/>
      <c r="LZS12" s="569"/>
      <c r="LZT12" s="569"/>
      <c r="LZU12" s="569"/>
      <c r="LZV12" s="569"/>
      <c r="LZW12" s="569"/>
      <c r="LZX12" s="569"/>
      <c r="LZY12" s="569"/>
      <c r="LZZ12" s="569"/>
      <c r="MAA12" s="569"/>
      <c r="MAB12" s="569"/>
      <c r="MAC12" s="569"/>
      <c r="MAD12" s="569"/>
      <c r="MAE12" s="569"/>
      <c r="MAF12" s="569"/>
      <c r="MAG12" s="569"/>
      <c r="MAH12" s="569"/>
      <c r="MAI12" s="569"/>
      <c r="MAJ12" s="569"/>
      <c r="MAK12" s="569"/>
      <c r="MAL12" s="569"/>
      <c r="MAM12" s="569"/>
      <c r="MAN12" s="569"/>
      <c r="MAO12" s="569"/>
      <c r="MAP12" s="569"/>
      <c r="MAQ12" s="569"/>
      <c r="MAR12" s="569"/>
      <c r="MAS12" s="569"/>
      <c r="MAT12" s="569"/>
      <c r="MAU12" s="569"/>
      <c r="MAV12" s="569"/>
      <c r="MAW12" s="569"/>
      <c r="MAX12" s="569"/>
      <c r="MAY12" s="569"/>
      <c r="MAZ12" s="569"/>
      <c r="MBA12" s="569"/>
      <c r="MBB12" s="569"/>
      <c r="MBC12" s="569"/>
      <c r="MBD12" s="569"/>
      <c r="MBE12" s="569"/>
      <c r="MBF12" s="569"/>
      <c r="MBG12" s="569"/>
      <c r="MBH12" s="569"/>
      <c r="MBI12" s="569"/>
      <c r="MBJ12" s="569"/>
      <c r="MBK12" s="569"/>
      <c r="MBL12" s="569"/>
      <c r="MBM12" s="569"/>
      <c r="MBN12" s="569"/>
      <c r="MBO12" s="569"/>
      <c r="MBP12" s="569"/>
      <c r="MBQ12" s="569"/>
      <c r="MBR12" s="569"/>
      <c r="MBS12" s="569"/>
      <c r="MBT12" s="569"/>
      <c r="MBU12" s="569"/>
      <c r="MBV12" s="569"/>
      <c r="MBW12" s="569"/>
      <c r="MBX12" s="569"/>
      <c r="MBY12" s="569"/>
      <c r="MBZ12" s="569"/>
      <c r="MCA12" s="569"/>
      <c r="MCB12" s="569"/>
      <c r="MCC12" s="569"/>
      <c r="MCD12" s="569"/>
      <c r="MCE12" s="569"/>
      <c r="MCF12" s="569"/>
      <c r="MCG12" s="569"/>
      <c r="MCH12" s="569"/>
      <c r="MCI12" s="569"/>
      <c r="MCJ12" s="569"/>
      <c r="MCK12" s="569"/>
      <c r="MCL12" s="569"/>
      <c r="MCM12" s="569"/>
      <c r="MCN12" s="569"/>
      <c r="MCO12" s="569"/>
      <c r="MCP12" s="569"/>
      <c r="MCQ12" s="569"/>
      <c r="MCR12" s="569"/>
      <c r="MCS12" s="569"/>
      <c r="MCT12" s="569"/>
      <c r="MCU12" s="569"/>
      <c r="MCV12" s="569"/>
      <c r="MCW12" s="569"/>
      <c r="MCX12" s="569"/>
      <c r="MCY12" s="569"/>
      <c r="MCZ12" s="569"/>
      <c r="MDA12" s="569"/>
      <c r="MDB12" s="569"/>
      <c r="MDC12" s="569"/>
      <c r="MDD12" s="569"/>
      <c r="MDE12" s="569"/>
      <c r="MDF12" s="569"/>
      <c r="MDG12" s="569"/>
      <c r="MDH12" s="569"/>
      <c r="MDI12" s="569"/>
      <c r="MDJ12" s="569"/>
      <c r="MDK12" s="569"/>
      <c r="MDL12" s="569"/>
      <c r="MDM12" s="569"/>
      <c r="MDN12" s="569"/>
      <c r="MDO12" s="569"/>
      <c r="MDP12" s="569"/>
      <c r="MDQ12" s="569"/>
      <c r="MDR12" s="569"/>
      <c r="MDS12" s="569"/>
      <c r="MDT12" s="569"/>
      <c r="MDU12" s="569"/>
      <c r="MDV12" s="569"/>
      <c r="MDW12" s="569"/>
      <c r="MDX12" s="569"/>
      <c r="MDY12" s="569"/>
      <c r="MDZ12" s="569"/>
      <c r="MEA12" s="569"/>
      <c r="MEB12" s="569"/>
      <c r="MEC12" s="569"/>
      <c r="MED12" s="569"/>
      <c r="MEE12" s="569"/>
      <c r="MEF12" s="569"/>
      <c r="MEG12" s="569"/>
      <c r="MEH12" s="569"/>
      <c r="MEI12" s="569"/>
      <c r="MEJ12" s="569"/>
      <c r="MEK12" s="569"/>
      <c r="MEL12" s="569"/>
      <c r="MEM12" s="569"/>
      <c r="MEN12" s="569"/>
      <c r="MEO12" s="569"/>
      <c r="MEP12" s="569"/>
      <c r="MEQ12" s="569"/>
      <c r="MER12" s="569"/>
      <c r="MES12" s="569"/>
      <c r="MET12" s="569"/>
      <c r="MEU12" s="569"/>
      <c r="MEV12" s="569"/>
      <c r="MEW12" s="569"/>
      <c r="MEX12" s="569"/>
      <c r="MEY12" s="569"/>
      <c r="MEZ12" s="569"/>
      <c r="MFA12" s="569"/>
      <c r="MFB12" s="569"/>
      <c r="MFC12" s="569"/>
      <c r="MFD12" s="569"/>
      <c r="MFE12" s="569"/>
      <c r="MFF12" s="569"/>
      <c r="MFG12" s="569"/>
      <c r="MFH12" s="569"/>
      <c r="MFI12" s="569"/>
      <c r="MFJ12" s="569"/>
      <c r="MFK12" s="569"/>
      <c r="MFL12" s="569"/>
      <c r="MFM12" s="569"/>
      <c r="MFN12" s="569"/>
      <c r="MFO12" s="569"/>
      <c r="MFP12" s="569"/>
      <c r="MFQ12" s="569"/>
      <c r="MFR12" s="569"/>
      <c r="MFS12" s="569"/>
      <c r="MFT12" s="569"/>
      <c r="MFU12" s="569"/>
      <c r="MFV12" s="569"/>
      <c r="MFW12" s="569"/>
      <c r="MFX12" s="569"/>
      <c r="MFY12" s="569"/>
      <c r="MFZ12" s="569"/>
      <c r="MGA12" s="569"/>
      <c r="MGB12" s="569"/>
      <c r="MGC12" s="569"/>
      <c r="MGD12" s="569"/>
      <c r="MGE12" s="569"/>
      <c r="MGF12" s="569"/>
      <c r="MGG12" s="569"/>
      <c r="MGH12" s="569"/>
      <c r="MGI12" s="569"/>
      <c r="MGJ12" s="569"/>
      <c r="MGK12" s="569"/>
      <c r="MGL12" s="569"/>
      <c r="MGM12" s="569"/>
      <c r="MGN12" s="569"/>
      <c r="MGO12" s="569"/>
      <c r="MGP12" s="569"/>
      <c r="MGQ12" s="569"/>
      <c r="MGR12" s="569"/>
      <c r="MGS12" s="569"/>
      <c r="MGT12" s="569"/>
      <c r="MGU12" s="569"/>
      <c r="MGV12" s="569"/>
      <c r="MGW12" s="569"/>
      <c r="MGX12" s="569"/>
      <c r="MGY12" s="569"/>
      <c r="MGZ12" s="569"/>
      <c r="MHA12" s="569"/>
      <c r="MHB12" s="569"/>
      <c r="MHC12" s="569"/>
      <c r="MHD12" s="569"/>
      <c r="MHE12" s="569"/>
      <c r="MHF12" s="569"/>
      <c r="MHG12" s="569"/>
      <c r="MHH12" s="569"/>
      <c r="MHI12" s="569"/>
      <c r="MHJ12" s="569"/>
      <c r="MHK12" s="569"/>
      <c r="MHL12" s="569"/>
      <c r="MHM12" s="569"/>
      <c r="MHN12" s="569"/>
      <c r="MHO12" s="569"/>
      <c r="MHP12" s="569"/>
      <c r="MHQ12" s="569"/>
      <c r="MHR12" s="569"/>
      <c r="MHS12" s="569"/>
      <c r="MHT12" s="569"/>
      <c r="MHU12" s="569"/>
      <c r="MHV12" s="569"/>
      <c r="MHW12" s="569"/>
      <c r="MHX12" s="569"/>
      <c r="MHY12" s="569"/>
      <c r="MHZ12" s="569"/>
      <c r="MIA12" s="569"/>
      <c r="MIB12" s="569"/>
      <c r="MIC12" s="569"/>
      <c r="MID12" s="569"/>
      <c r="MIE12" s="569"/>
      <c r="MIF12" s="569"/>
      <c r="MIG12" s="569"/>
      <c r="MIH12" s="569"/>
      <c r="MII12" s="569"/>
      <c r="MIJ12" s="569"/>
      <c r="MIK12" s="569"/>
      <c r="MIL12" s="569"/>
      <c r="MIM12" s="569"/>
      <c r="MIN12" s="569"/>
      <c r="MIO12" s="569"/>
      <c r="MIP12" s="569"/>
      <c r="MIQ12" s="569"/>
      <c r="MIR12" s="569"/>
      <c r="MIS12" s="569"/>
      <c r="MIT12" s="569"/>
      <c r="MIU12" s="569"/>
      <c r="MIV12" s="569"/>
      <c r="MIW12" s="569"/>
      <c r="MIX12" s="569"/>
      <c r="MIY12" s="569"/>
      <c r="MIZ12" s="569"/>
      <c r="MJA12" s="569"/>
      <c r="MJB12" s="569"/>
      <c r="MJC12" s="569"/>
      <c r="MJD12" s="569"/>
      <c r="MJE12" s="569"/>
      <c r="MJF12" s="569"/>
      <c r="MJG12" s="569"/>
      <c r="MJH12" s="569"/>
      <c r="MJI12" s="569"/>
      <c r="MJJ12" s="569"/>
      <c r="MJK12" s="569"/>
      <c r="MJL12" s="569"/>
      <c r="MJM12" s="569"/>
      <c r="MJN12" s="569"/>
      <c r="MJO12" s="569"/>
      <c r="MJP12" s="569"/>
      <c r="MJQ12" s="569"/>
      <c r="MJR12" s="569"/>
      <c r="MJS12" s="569"/>
      <c r="MJT12" s="569"/>
      <c r="MJU12" s="569"/>
      <c r="MJV12" s="569"/>
      <c r="MJW12" s="569"/>
      <c r="MJX12" s="569"/>
      <c r="MJY12" s="569"/>
      <c r="MJZ12" s="569"/>
      <c r="MKA12" s="569"/>
      <c r="MKB12" s="569"/>
      <c r="MKC12" s="569"/>
      <c r="MKD12" s="569"/>
      <c r="MKE12" s="569"/>
      <c r="MKF12" s="569"/>
      <c r="MKG12" s="569"/>
      <c r="MKH12" s="569"/>
      <c r="MKI12" s="569"/>
      <c r="MKJ12" s="569"/>
      <c r="MKK12" s="569"/>
      <c r="MKL12" s="569"/>
      <c r="MKM12" s="569"/>
      <c r="MKN12" s="569"/>
      <c r="MKO12" s="569"/>
      <c r="MKP12" s="569"/>
      <c r="MKQ12" s="569"/>
      <c r="MKR12" s="569"/>
      <c r="MKS12" s="569"/>
      <c r="MKT12" s="569"/>
      <c r="MKU12" s="569"/>
      <c r="MKV12" s="569"/>
      <c r="MKW12" s="569"/>
      <c r="MKX12" s="569"/>
      <c r="MKY12" s="569"/>
      <c r="MKZ12" s="569"/>
      <c r="MLA12" s="569"/>
      <c r="MLB12" s="569"/>
      <c r="MLC12" s="569"/>
      <c r="MLD12" s="569"/>
      <c r="MLE12" s="569"/>
      <c r="MLF12" s="569"/>
      <c r="MLG12" s="569"/>
      <c r="MLH12" s="569"/>
      <c r="MLI12" s="569"/>
      <c r="MLJ12" s="569"/>
      <c r="MLK12" s="569"/>
      <c r="MLL12" s="569"/>
      <c r="MLM12" s="569"/>
      <c r="MLN12" s="569"/>
      <c r="MLO12" s="569"/>
      <c r="MLP12" s="569"/>
      <c r="MLQ12" s="569"/>
      <c r="MLR12" s="569"/>
      <c r="MLS12" s="569"/>
      <c r="MLT12" s="569"/>
      <c r="MLU12" s="569"/>
      <c r="MLV12" s="569"/>
      <c r="MLW12" s="569"/>
      <c r="MLX12" s="569"/>
      <c r="MLY12" s="569"/>
      <c r="MLZ12" s="569"/>
      <c r="MMA12" s="569"/>
      <c r="MMB12" s="569"/>
      <c r="MMC12" s="569"/>
      <c r="MMD12" s="569"/>
      <c r="MME12" s="569"/>
      <c r="MMF12" s="569"/>
      <c r="MMG12" s="569"/>
      <c r="MMH12" s="569"/>
      <c r="MMI12" s="569"/>
      <c r="MMJ12" s="569"/>
      <c r="MMK12" s="569"/>
      <c r="MML12" s="569"/>
      <c r="MMM12" s="569"/>
      <c r="MMN12" s="569"/>
      <c r="MMO12" s="569"/>
      <c r="MMP12" s="569"/>
      <c r="MMQ12" s="569"/>
      <c r="MMR12" s="569"/>
      <c r="MMS12" s="569"/>
      <c r="MMT12" s="569"/>
      <c r="MMU12" s="569"/>
      <c r="MMV12" s="569"/>
      <c r="MMW12" s="569"/>
      <c r="MMX12" s="569"/>
      <c r="MMY12" s="569"/>
      <c r="MMZ12" s="569"/>
      <c r="MNA12" s="569"/>
      <c r="MNB12" s="569"/>
      <c r="MNC12" s="569"/>
      <c r="MND12" s="569"/>
      <c r="MNE12" s="569"/>
      <c r="MNF12" s="569"/>
      <c r="MNG12" s="569"/>
      <c r="MNH12" s="569"/>
      <c r="MNI12" s="569"/>
      <c r="MNJ12" s="569"/>
      <c r="MNK12" s="569"/>
      <c r="MNL12" s="569"/>
      <c r="MNM12" s="569"/>
      <c r="MNN12" s="569"/>
      <c r="MNO12" s="569"/>
      <c r="MNP12" s="569"/>
      <c r="MNQ12" s="569"/>
      <c r="MNR12" s="569"/>
      <c r="MNS12" s="569"/>
      <c r="MNT12" s="569"/>
      <c r="MNU12" s="569"/>
      <c r="MNV12" s="569"/>
      <c r="MNW12" s="569"/>
      <c r="MNX12" s="569"/>
      <c r="MNY12" s="569"/>
      <c r="MNZ12" s="569"/>
      <c r="MOA12" s="569"/>
      <c r="MOB12" s="569"/>
      <c r="MOC12" s="569"/>
      <c r="MOD12" s="569"/>
      <c r="MOE12" s="569"/>
      <c r="MOF12" s="569"/>
      <c r="MOG12" s="569"/>
      <c r="MOH12" s="569"/>
      <c r="MOI12" s="569"/>
      <c r="MOJ12" s="569"/>
      <c r="MOK12" s="569"/>
      <c r="MOL12" s="569"/>
      <c r="MOM12" s="569"/>
      <c r="MON12" s="569"/>
      <c r="MOO12" s="569"/>
      <c r="MOP12" s="569"/>
      <c r="MOQ12" s="569"/>
      <c r="MOR12" s="569"/>
      <c r="MOS12" s="569"/>
      <c r="MOT12" s="569"/>
      <c r="MOU12" s="569"/>
      <c r="MOV12" s="569"/>
      <c r="MOW12" s="569"/>
      <c r="MOX12" s="569"/>
      <c r="MOY12" s="569"/>
      <c r="MOZ12" s="569"/>
      <c r="MPA12" s="569"/>
      <c r="MPB12" s="569"/>
      <c r="MPC12" s="569"/>
      <c r="MPD12" s="569"/>
      <c r="MPE12" s="569"/>
      <c r="MPF12" s="569"/>
      <c r="MPG12" s="569"/>
      <c r="MPH12" s="569"/>
      <c r="MPI12" s="569"/>
      <c r="MPJ12" s="569"/>
      <c r="MPK12" s="569"/>
      <c r="MPL12" s="569"/>
      <c r="MPM12" s="569"/>
      <c r="MPN12" s="569"/>
      <c r="MPO12" s="569"/>
      <c r="MPP12" s="569"/>
      <c r="MPQ12" s="569"/>
      <c r="MPR12" s="569"/>
      <c r="MPS12" s="569"/>
      <c r="MPT12" s="569"/>
      <c r="MPU12" s="569"/>
      <c r="MPV12" s="569"/>
      <c r="MPW12" s="569"/>
      <c r="MPX12" s="569"/>
      <c r="MPY12" s="569"/>
      <c r="MPZ12" s="569"/>
      <c r="MQA12" s="569"/>
      <c r="MQB12" s="569"/>
      <c r="MQC12" s="569"/>
      <c r="MQD12" s="569"/>
      <c r="MQE12" s="569"/>
      <c r="MQF12" s="569"/>
      <c r="MQG12" s="569"/>
      <c r="MQH12" s="569"/>
      <c r="MQI12" s="569"/>
      <c r="MQJ12" s="569"/>
      <c r="MQK12" s="569"/>
      <c r="MQL12" s="569"/>
      <c r="MQM12" s="569"/>
      <c r="MQN12" s="569"/>
      <c r="MQO12" s="569"/>
      <c r="MQP12" s="569"/>
      <c r="MQQ12" s="569"/>
      <c r="MQR12" s="569"/>
      <c r="MQS12" s="569"/>
      <c r="MQT12" s="569"/>
      <c r="MQU12" s="569"/>
      <c r="MQV12" s="569"/>
      <c r="MQW12" s="569"/>
      <c r="MQX12" s="569"/>
      <c r="MQY12" s="569"/>
      <c r="MQZ12" s="569"/>
      <c r="MRA12" s="569"/>
      <c r="MRB12" s="569"/>
      <c r="MRC12" s="569"/>
      <c r="MRD12" s="569"/>
      <c r="MRE12" s="569"/>
      <c r="MRF12" s="569"/>
      <c r="MRG12" s="569"/>
      <c r="MRH12" s="569"/>
      <c r="MRI12" s="569"/>
      <c r="MRJ12" s="569"/>
      <c r="MRK12" s="569"/>
      <c r="MRL12" s="569"/>
      <c r="MRM12" s="569"/>
      <c r="MRN12" s="569"/>
      <c r="MRO12" s="569"/>
      <c r="MRP12" s="569"/>
      <c r="MRQ12" s="569"/>
      <c r="MRR12" s="569"/>
      <c r="MRS12" s="569"/>
      <c r="MRT12" s="569"/>
      <c r="MRU12" s="569"/>
      <c r="MRV12" s="569"/>
      <c r="MRW12" s="569"/>
      <c r="MRX12" s="569"/>
      <c r="MRY12" s="569"/>
      <c r="MRZ12" s="569"/>
      <c r="MSA12" s="569"/>
      <c r="MSB12" s="569"/>
      <c r="MSC12" s="569"/>
      <c r="MSD12" s="569"/>
      <c r="MSE12" s="569"/>
      <c r="MSF12" s="569"/>
      <c r="MSG12" s="569"/>
      <c r="MSH12" s="569"/>
      <c r="MSI12" s="569"/>
      <c r="MSJ12" s="569"/>
      <c r="MSK12" s="569"/>
      <c r="MSL12" s="569"/>
      <c r="MSM12" s="569"/>
      <c r="MSN12" s="569"/>
      <c r="MSO12" s="569"/>
      <c r="MSP12" s="569"/>
      <c r="MSQ12" s="569"/>
      <c r="MSR12" s="569"/>
      <c r="MSS12" s="569"/>
      <c r="MST12" s="569"/>
      <c r="MSU12" s="569"/>
      <c r="MSV12" s="569"/>
      <c r="MSW12" s="569"/>
      <c r="MSX12" s="569"/>
      <c r="MSY12" s="569"/>
      <c r="MSZ12" s="569"/>
      <c r="MTA12" s="569"/>
      <c r="MTB12" s="569"/>
      <c r="MTC12" s="569"/>
      <c r="MTD12" s="569"/>
      <c r="MTE12" s="569"/>
      <c r="MTF12" s="569"/>
      <c r="MTG12" s="569"/>
      <c r="MTH12" s="569"/>
      <c r="MTI12" s="569"/>
      <c r="MTJ12" s="569"/>
      <c r="MTK12" s="569"/>
      <c r="MTL12" s="569"/>
      <c r="MTM12" s="569"/>
      <c r="MTN12" s="569"/>
      <c r="MTO12" s="569"/>
      <c r="MTP12" s="569"/>
      <c r="MTQ12" s="569"/>
      <c r="MTR12" s="569"/>
      <c r="MTS12" s="569"/>
      <c r="MTT12" s="569"/>
      <c r="MTU12" s="569"/>
      <c r="MTV12" s="569"/>
      <c r="MTW12" s="569"/>
      <c r="MTX12" s="569"/>
      <c r="MTY12" s="569"/>
      <c r="MTZ12" s="569"/>
      <c r="MUA12" s="569"/>
      <c r="MUB12" s="569"/>
      <c r="MUC12" s="569"/>
      <c r="MUD12" s="569"/>
      <c r="MUE12" s="569"/>
      <c r="MUF12" s="569"/>
      <c r="MUG12" s="569"/>
      <c r="MUH12" s="569"/>
      <c r="MUI12" s="569"/>
      <c r="MUJ12" s="569"/>
      <c r="MUK12" s="569"/>
      <c r="MUL12" s="569"/>
      <c r="MUM12" s="569"/>
      <c r="MUN12" s="569"/>
      <c r="MUO12" s="569"/>
      <c r="MUP12" s="569"/>
      <c r="MUQ12" s="569"/>
      <c r="MUR12" s="569"/>
      <c r="MUS12" s="569"/>
      <c r="MUT12" s="569"/>
      <c r="MUU12" s="569"/>
      <c r="MUV12" s="569"/>
      <c r="MUW12" s="569"/>
      <c r="MUX12" s="569"/>
      <c r="MUY12" s="569"/>
      <c r="MUZ12" s="569"/>
      <c r="MVA12" s="569"/>
      <c r="MVB12" s="569"/>
      <c r="MVC12" s="569"/>
      <c r="MVD12" s="569"/>
      <c r="MVE12" s="569"/>
      <c r="MVF12" s="569"/>
      <c r="MVG12" s="569"/>
      <c r="MVH12" s="569"/>
      <c r="MVI12" s="569"/>
      <c r="MVJ12" s="569"/>
      <c r="MVK12" s="569"/>
      <c r="MVL12" s="569"/>
      <c r="MVM12" s="569"/>
      <c r="MVN12" s="569"/>
      <c r="MVO12" s="569"/>
      <c r="MVP12" s="569"/>
      <c r="MVQ12" s="569"/>
      <c r="MVR12" s="569"/>
      <c r="MVS12" s="569"/>
      <c r="MVT12" s="569"/>
      <c r="MVU12" s="569"/>
      <c r="MVV12" s="569"/>
      <c r="MVW12" s="569"/>
      <c r="MVX12" s="569"/>
      <c r="MVY12" s="569"/>
      <c r="MVZ12" s="569"/>
      <c r="MWA12" s="569"/>
      <c r="MWB12" s="569"/>
      <c r="MWC12" s="569"/>
      <c r="MWD12" s="569"/>
      <c r="MWE12" s="569"/>
      <c r="MWF12" s="569"/>
      <c r="MWG12" s="569"/>
      <c r="MWH12" s="569"/>
      <c r="MWI12" s="569"/>
      <c r="MWJ12" s="569"/>
      <c r="MWK12" s="569"/>
      <c r="MWL12" s="569"/>
      <c r="MWM12" s="569"/>
      <c r="MWN12" s="569"/>
      <c r="MWO12" s="569"/>
      <c r="MWP12" s="569"/>
      <c r="MWQ12" s="569"/>
      <c r="MWR12" s="569"/>
      <c r="MWS12" s="569"/>
      <c r="MWT12" s="569"/>
      <c r="MWU12" s="569"/>
      <c r="MWV12" s="569"/>
      <c r="MWW12" s="569"/>
      <c r="MWX12" s="569"/>
      <c r="MWY12" s="569"/>
      <c r="MWZ12" s="569"/>
      <c r="MXA12" s="569"/>
      <c r="MXB12" s="569"/>
      <c r="MXC12" s="569"/>
      <c r="MXD12" s="569"/>
      <c r="MXE12" s="569"/>
      <c r="MXF12" s="569"/>
      <c r="MXG12" s="569"/>
      <c r="MXH12" s="569"/>
      <c r="MXI12" s="569"/>
      <c r="MXJ12" s="569"/>
      <c r="MXK12" s="569"/>
      <c r="MXL12" s="569"/>
      <c r="MXM12" s="569"/>
      <c r="MXN12" s="569"/>
      <c r="MXO12" s="569"/>
      <c r="MXP12" s="569"/>
      <c r="MXQ12" s="569"/>
      <c r="MXR12" s="569"/>
      <c r="MXS12" s="569"/>
      <c r="MXT12" s="569"/>
      <c r="MXU12" s="569"/>
      <c r="MXV12" s="569"/>
      <c r="MXW12" s="569"/>
      <c r="MXX12" s="569"/>
      <c r="MXY12" s="569"/>
      <c r="MXZ12" s="569"/>
      <c r="MYA12" s="569"/>
      <c r="MYB12" s="569"/>
      <c r="MYC12" s="569"/>
      <c r="MYD12" s="569"/>
      <c r="MYE12" s="569"/>
      <c r="MYF12" s="569"/>
      <c r="MYG12" s="569"/>
      <c r="MYH12" s="569"/>
      <c r="MYI12" s="569"/>
      <c r="MYJ12" s="569"/>
      <c r="MYK12" s="569"/>
      <c r="MYL12" s="569"/>
      <c r="MYM12" s="569"/>
      <c r="MYN12" s="569"/>
      <c r="MYO12" s="569"/>
      <c r="MYP12" s="569"/>
      <c r="MYQ12" s="569"/>
      <c r="MYR12" s="569"/>
      <c r="MYS12" s="569"/>
      <c r="MYT12" s="569"/>
      <c r="MYU12" s="569"/>
      <c r="MYV12" s="569"/>
      <c r="MYW12" s="569"/>
      <c r="MYX12" s="569"/>
      <c r="MYY12" s="569"/>
      <c r="MYZ12" s="569"/>
      <c r="MZA12" s="569"/>
      <c r="MZB12" s="569"/>
      <c r="MZC12" s="569"/>
      <c r="MZD12" s="569"/>
      <c r="MZE12" s="569"/>
      <c r="MZF12" s="569"/>
      <c r="MZG12" s="569"/>
      <c r="MZH12" s="569"/>
      <c r="MZI12" s="569"/>
      <c r="MZJ12" s="569"/>
      <c r="MZK12" s="569"/>
      <c r="MZL12" s="569"/>
      <c r="MZM12" s="569"/>
      <c r="MZN12" s="569"/>
      <c r="MZO12" s="569"/>
      <c r="MZP12" s="569"/>
      <c r="MZQ12" s="569"/>
      <c r="MZR12" s="569"/>
      <c r="MZS12" s="569"/>
      <c r="MZT12" s="569"/>
      <c r="MZU12" s="569"/>
      <c r="MZV12" s="569"/>
      <c r="MZW12" s="569"/>
      <c r="MZX12" s="569"/>
      <c r="MZY12" s="569"/>
      <c r="MZZ12" s="569"/>
      <c r="NAA12" s="569"/>
      <c r="NAB12" s="569"/>
      <c r="NAC12" s="569"/>
      <c r="NAD12" s="569"/>
      <c r="NAE12" s="569"/>
      <c r="NAF12" s="569"/>
      <c r="NAG12" s="569"/>
      <c r="NAH12" s="569"/>
      <c r="NAI12" s="569"/>
      <c r="NAJ12" s="569"/>
      <c r="NAK12" s="569"/>
      <c r="NAL12" s="569"/>
      <c r="NAM12" s="569"/>
      <c r="NAN12" s="569"/>
      <c r="NAO12" s="569"/>
      <c r="NAP12" s="569"/>
      <c r="NAQ12" s="569"/>
      <c r="NAR12" s="569"/>
      <c r="NAS12" s="569"/>
      <c r="NAT12" s="569"/>
      <c r="NAU12" s="569"/>
      <c r="NAV12" s="569"/>
      <c r="NAW12" s="569"/>
      <c r="NAX12" s="569"/>
      <c r="NAY12" s="569"/>
      <c r="NAZ12" s="569"/>
      <c r="NBA12" s="569"/>
      <c r="NBB12" s="569"/>
      <c r="NBC12" s="569"/>
      <c r="NBD12" s="569"/>
      <c r="NBE12" s="569"/>
      <c r="NBF12" s="569"/>
      <c r="NBG12" s="569"/>
      <c r="NBH12" s="569"/>
      <c r="NBI12" s="569"/>
      <c r="NBJ12" s="569"/>
      <c r="NBK12" s="569"/>
      <c r="NBL12" s="569"/>
      <c r="NBM12" s="569"/>
      <c r="NBN12" s="569"/>
      <c r="NBO12" s="569"/>
      <c r="NBP12" s="569"/>
      <c r="NBQ12" s="569"/>
      <c r="NBR12" s="569"/>
      <c r="NBS12" s="569"/>
      <c r="NBT12" s="569"/>
      <c r="NBU12" s="569"/>
      <c r="NBV12" s="569"/>
      <c r="NBW12" s="569"/>
      <c r="NBX12" s="569"/>
      <c r="NBY12" s="569"/>
      <c r="NBZ12" s="569"/>
      <c r="NCA12" s="569"/>
      <c r="NCB12" s="569"/>
      <c r="NCC12" s="569"/>
      <c r="NCD12" s="569"/>
      <c r="NCE12" s="569"/>
      <c r="NCF12" s="569"/>
      <c r="NCG12" s="569"/>
      <c r="NCH12" s="569"/>
      <c r="NCI12" s="569"/>
      <c r="NCJ12" s="569"/>
      <c r="NCK12" s="569"/>
      <c r="NCL12" s="569"/>
      <c r="NCM12" s="569"/>
      <c r="NCN12" s="569"/>
      <c r="NCO12" s="569"/>
      <c r="NCP12" s="569"/>
      <c r="NCQ12" s="569"/>
      <c r="NCR12" s="569"/>
      <c r="NCS12" s="569"/>
      <c r="NCT12" s="569"/>
      <c r="NCU12" s="569"/>
      <c r="NCV12" s="569"/>
      <c r="NCW12" s="569"/>
      <c r="NCX12" s="569"/>
      <c r="NCY12" s="569"/>
      <c r="NCZ12" s="569"/>
      <c r="NDA12" s="569"/>
      <c r="NDB12" s="569"/>
      <c r="NDC12" s="569"/>
      <c r="NDD12" s="569"/>
      <c r="NDE12" s="569"/>
      <c r="NDF12" s="569"/>
      <c r="NDG12" s="569"/>
      <c r="NDH12" s="569"/>
      <c r="NDI12" s="569"/>
      <c r="NDJ12" s="569"/>
      <c r="NDK12" s="569"/>
      <c r="NDL12" s="569"/>
      <c r="NDM12" s="569"/>
      <c r="NDN12" s="569"/>
      <c r="NDO12" s="569"/>
      <c r="NDP12" s="569"/>
      <c r="NDQ12" s="569"/>
      <c r="NDR12" s="569"/>
      <c r="NDS12" s="569"/>
      <c r="NDT12" s="569"/>
      <c r="NDU12" s="569"/>
      <c r="NDV12" s="569"/>
      <c r="NDW12" s="569"/>
      <c r="NDX12" s="569"/>
      <c r="NDY12" s="569"/>
      <c r="NDZ12" s="569"/>
      <c r="NEA12" s="569"/>
      <c r="NEB12" s="569"/>
      <c r="NEC12" s="569"/>
      <c r="NED12" s="569"/>
      <c r="NEE12" s="569"/>
      <c r="NEF12" s="569"/>
      <c r="NEG12" s="569"/>
      <c r="NEH12" s="569"/>
      <c r="NEI12" s="569"/>
      <c r="NEJ12" s="569"/>
      <c r="NEK12" s="569"/>
      <c r="NEL12" s="569"/>
      <c r="NEM12" s="569"/>
      <c r="NEN12" s="569"/>
      <c r="NEO12" s="569"/>
      <c r="NEP12" s="569"/>
      <c r="NEQ12" s="569"/>
      <c r="NER12" s="569"/>
      <c r="NES12" s="569"/>
      <c r="NET12" s="569"/>
      <c r="NEU12" s="569"/>
      <c r="NEV12" s="569"/>
      <c r="NEW12" s="569"/>
      <c r="NEX12" s="569"/>
      <c r="NEY12" s="569"/>
      <c r="NEZ12" s="569"/>
      <c r="NFA12" s="569"/>
      <c r="NFB12" s="569"/>
      <c r="NFC12" s="569"/>
      <c r="NFD12" s="569"/>
      <c r="NFE12" s="569"/>
      <c r="NFF12" s="569"/>
      <c r="NFG12" s="569"/>
      <c r="NFH12" s="569"/>
      <c r="NFI12" s="569"/>
      <c r="NFJ12" s="569"/>
      <c r="NFK12" s="569"/>
      <c r="NFL12" s="569"/>
      <c r="NFM12" s="569"/>
      <c r="NFN12" s="569"/>
      <c r="NFO12" s="569"/>
      <c r="NFP12" s="569"/>
      <c r="NFQ12" s="569"/>
      <c r="NFR12" s="569"/>
      <c r="NFS12" s="569"/>
      <c r="NFT12" s="569"/>
      <c r="NFU12" s="569"/>
      <c r="NFV12" s="569"/>
      <c r="NFW12" s="569"/>
      <c r="NFX12" s="569"/>
      <c r="NFY12" s="569"/>
      <c r="NFZ12" s="569"/>
      <c r="NGA12" s="569"/>
      <c r="NGB12" s="569"/>
      <c r="NGC12" s="569"/>
      <c r="NGD12" s="569"/>
      <c r="NGE12" s="569"/>
      <c r="NGF12" s="569"/>
      <c r="NGG12" s="569"/>
      <c r="NGH12" s="569"/>
      <c r="NGI12" s="569"/>
      <c r="NGJ12" s="569"/>
      <c r="NGK12" s="569"/>
      <c r="NGL12" s="569"/>
      <c r="NGM12" s="569"/>
      <c r="NGN12" s="569"/>
      <c r="NGO12" s="569"/>
      <c r="NGP12" s="569"/>
      <c r="NGQ12" s="569"/>
      <c r="NGR12" s="569"/>
      <c r="NGS12" s="569"/>
      <c r="NGT12" s="569"/>
      <c r="NGU12" s="569"/>
      <c r="NGV12" s="569"/>
      <c r="NGW12" s="569"/>
      <c r="NGX12" s="569"/>
      <c r="NGY12" s="569"/>
      <c r="NGZ12" s="569"/>
      <c r="NHA12" s="569"/>
      <c r="NHB12" s="569"/>
      <c r="NHC12" s="569"/>
      <c r="NHD12" s="569"/>
      <c r="NHE12" s="569"/>
      <c r="NHF12" s="569"/>
      <c r="NHG12" s="569"/>
      <c r="NHH12" s="569"/>
      <c r="NHI12" s="569"/>
      <c r="NHJ12" s="569"/>
      <c r="NHK12" s="569"/>
      <c r="NHL12" s="569"/>
      <c r="NHM12" s="569"/>
      <c r="NHN12" s="569"/>
      <c r="NHO12" s="569"/>
      <c r="NHP12" s="569"/>
      <c r="NHQ12" s="569"/>
      <c r="NHR12" s="569"/>
      <c r="NHS12" s="569"/>
      <c r="NHT12" s="569"/>
      <c r="NHU12" s="569"/>
      <c r="NHV12" s="569"/>
      <c r="NHW12" s="569"/>
      <c r="NHX12" s="569"/>
      <c r="NHY12" s="569"/>
      <c r="NHZ12" s="569"/>
      <c r="NIA12" s="569"/>
      <c r="NIB12" s="569"/>
      <c r="NIC12" s="569"/>
      <c r="NID12" s="569"/>
      <c r="NIE12" s="569"/>
      <c r="NIF12" s="569"/>
      <c r="NIG12" s="569"/>
      <c r="NIH12" s="569"/>
      <c r="NII12" s="569"/>
      <c r="NIJ12" s="569"/>
      <c r="NIK12" s="569"/>
      <c r="NIL12" s="569"/>
      <c r="NIM12" s="569"/>
      <c r="NIN12" s="569"/>
      <c r="NIO12" s="569"/>
      <c r="NIP12" s="569"/>
      <c r="NIQ12" s="569"/>
      <c r="NIR12" s="569"/>
      <c r="NIS12" s="569"/>
      <c r="NIT12" s="569"/>
      <c r="NIU12" s="569"/>
      <c r="NIV12" s="569"/>
      <c r="NIW12" s="569"/>
      <c r="NIX12" s="569"/>
      <c r="NIY12" s="569"/>
      <c r="NIZ12" s="569"/>
      <c r="NJA12" s="569"/>
      <c r="NJB12" s="569"/>
      <c r="NJC12" s="569"/>
      <c r="NJD12" s="569"/>
      <c r="NJE12" s="569"/>
      <c r="NJF12" s="569"/>
      <c r="NJG12" s="569"/>
      <c r="NJH12" s="569"/>
      <c r="NJI12" s="569"/>
      <c r="NJJ12" s="569"/>
      <c r="NJK12" s="569"/>
      <c r="NJL12" s="569"/>
      <c r="NJM12" s="569"/>
      <c r="NJN12" s="569"/>
      <c r="NJO12" s="569"/>
      <c r="NJP12" s="569"/>
      <c r="NJQ12" s="569"/>
      <c r="NJR12" s="569"/>
      <c r="NJS12" s="569"/>
      <c r="NJT12" s="569"/>
      <c r="NJU12" s="569"/>
      <c r="NJV12" s="569"/>
      <c r="NJW12" s="569"/>
      <c r="NJX12" s="569"/>
      <c r="NJY12" s="569"/>
      <c r="NJZ12" s="569"/>
      <c r="NKA12" s="569"/>
      <c r="NKB12" s="569"/>
      <c r="NKC12" s="569"/>
      <c r="NKD12" s="569"/>
      <c r="NKE12" s="569"/>
      <c r="NKF12" s="569"/>
      <c r="NKG12" s="569"/>
      <c r="NKH12" s="569"/>
      <c r="NKI12" s="569"/>
      <c r="NKJ12" s="569"/>
      <c r="NKK12" s="569"/>
      <c r="NKL12" s="569"/>
      <c r="NKM12" s="569"/>
      <c r="NKN12" s="569"/>
      <c r="NKO12" s="569"/>
      <c r="NKP12" s="569"/>
      <c r="NKQ12" s="569"/>
      <c r="NKR12" s="569"/>
      <c r="NKS12" s="569"/>
      <c r="NKT12" s="569"/>
      <c r="NKU12" s="569"/>
      <c r="NKV12" s="569"/>
      <c r="NKW12" s="569"/>
      <c r="NKX12" s="569"/>
      <c r="NKY12" s="569"/>
      <c r="NKZ12" s="569"/>
      <c r="NLA12" s="569"/>
      <c r="NLB12" s="569"/>
      <c r="NLC12" s="569"/>
      <c r="NLD12" s="569"/>
      <c r="NLE12" s="569"/>
      <c r="NLF12" s="569"/>
      <c r="NLG12" s="569"/>
      <c r="NLH12" s="569"/>
      <c r="NLI12" s="569"/>
      <c r="NLJ12" s="569"/>
      <c r="NLK12" s="569"/>
      <c r="NLL12" s="569"/>
      <c r="NLM12" s="569"/>
      <c r="NLN12" s="569"/>
      <c r="NLO12" s="569"/>
      <c r="NLP12" s="569"/>
      <c r="NLQ12" s="569"/>
      <c r="NLR12" s="569"/>
      <c r="NLS12" s="569"/>
      <c r="NLT12" s="569"/>
      <c r="NLU12" s="569"/>
      <c r="NLV12" s="569"/>
      <c r="NLW12" s="569"/>
      <c r="NLX12" s="569"/>
      <c r="NLY12" s="569"/>
      <c r="NLZ12" s="569"/>
      <c r="NMA12" s="569"/>
      <c r="NMB12" s="569"/>
      <c r="NMC12" s="569"/>
      <c r="NMD12" s="569"/>
      <c r="NME12" s="569"/>
      <c r="NMF12" s="569"/>
      <c r="NMG12" s="569"/>
      <c r="NMH12" s="569"/>
      <c r="NMI12" s="569"/>
      <c r="NMJ12" s="569"/>
      <c r="NMK12" s="569"/>
      <c r="NML12" s="569"/>
      <c r="NMM12" s="569"/>
      <c r="NMN12" s="569"/>
      <c r="NMO12" s="569"/>
      <c r="NMP12" s="569"/>
      <c r="NMQ12" s="569"/>
      <c r="NMR12" s="569"/>
      <c r="NMS12" s="569"/>
      <c r="NMT12" s="569"/>
      <c r="NMU12" s="569"/>
      <c r="NMV12" s="569"/>
      <c r="NMW12" s="569"/>
      <c r="NMX12" s="569"/>
      <c r="NMY12" s="569"/>
      <c r="NMZ12" s="569"/>
      <c r="NNA12" s="569"/>
      <c r="NNB12" s="569"/>
      <c r="NNC12" s="569"/>
      <c r="NND12" s="569"/>
      <c r="NNE12" s="569"/>
      <c r="NNF12" s="569"/>
      <c r="NNG12" s="569"/>
      <c r="NNH12" s="569"/>
      <c r="NNI12" s="569"/>
      <c r="NNJ12" s="569"/>
      <c r="NNK12" s="569"/>
      <c r="NNL12" s="569"/>
      <c r="NNM12" s="569"/>
      <c r="NNN12" s="569"/>
      <c r="NNO12" s="569"/>
      <c r="NNP12" s="569"/>
      <c r="NNQ12" s="569"/>
      <c r="NNR12" s="569"/>
      <c r="NNS12" s="569"/>
      <c r="NNT12" s="569"/>
      <c r="NNU12" s="569"/>
      <c r="NNV12" s="569"/>
      <c r="NNW12" s="569"/>
      <c r="NNX12" s="569"/>
      <c r="NNY12" s="569"/>
      <c r="NNZ12" s="569"/>
      <c r="NOA12" s="569"/>
      <c r="NOB12" s="569"/>
      <c r="NOC12" s="569"/>
      <c r="NOD12" s="569"/>
      <c r="NOE12" s="569"/>
      <c r="NOF12" s="569"/>
      <c r="NOG12" s="569"/>
      <c r="NOH12" s="569"/>
      <c r="NOI12" s="569"/>
      <c r="NOJ12" s="569"/>
      <c r="NOK12" s="569"/>
      <c r="NOL12" s="569"/>
      <c r="NOM12" s="569"/>
      <c r="NON12" s="569"/>
      <c r="NOO12" s="569"/>
      <c r="NOP12" s="569"/>
      <c r="NOQ12" s="569"/>
      <c r="NOR12" s="569"/>
      <c r="NOS12" s="569"/>
      <c r="NOT12" s="569"/>
      <c r="NOU12" s="569"/>
      <c r="NOV12" s="569"/>
      <c r="NOW12" s="569"/>
      <c r="NOX12" s="569"/>
      <c r="NOY12" s="569"/>
      <c r="NOZ12" s="569"/>
      <c r="NPA12" s="569"/>
      <c r="NPB12" s="569"/>
      <c r="NPC12" s="569"/>
      <c r="NPD12" s="569"/>
      <c r="NPE12" s="569"/>
      <c r="NPF12" s="569"/>
      <c r="NPG12" s="569"/>
      <c r="NPH12" s="569"/>
      <c r="NPI12" s="569"/>
      <c r="NPJ12" s="569"/>
      <c r="NPK12" s="569"/>
      <c r="NPL12" s="569"/>
      <c r="NPM12" s="569"/>
      <c r="NPN12" s="569"/>
      <c r="NPO12" s="569"/>
      <c r="NPP12" s="569"/>
      <c r="NPQ12" s="569"/>
      <c r="NPR12" s="569"/>
      <c r="NPS12" s="569"/>
      <c r="NPT12" s="569"/>
      <c r="NPU12" s="569"/>
      <c r="NPV12" s="569"/>
      <c r="NPW12" s="569"/>
      <c r="NPX12" s="569"/>
      <c r="NPY12" s="569"/>
      <c r="NPZ12" s="569"/>
      <c r="NQA12" s="569"/>
      <c r="NQB12" s="569"/>
      <c r="NQC12" s="569"/>
      <c r="NQD12" s="569"/>
      <c r="NQE12" s="569"/>
      <c r="NQF12" s="569"/>
      <c r="NQG12" s="569"/>
      <c r="NQH12" s="569"/>
      <c r="NQI12" s="569"/>
      <c r="NQJ12" s="569"/>
      <c r="NQK12" s="569"/>
      <c r="NQL12" s="569"/>
      <c r="NQM12" s="569"/>
      <c r="NQN12" s="569"/>
      <c r="NQO12" s="569"/>
      <c r="NQP12" s="569"/>
      <c r="NQQ12" s="569"/>
      <c r="NQR12" s="569"/>
      <c r="NQS12" s="569"/>
      <c r="NQT12" s="569"/>
      <c r="NQU12" s="569"/>
      <c r="NQV12" s="569"/>
      <c r="NQW12" s="569"/>
      <c r="NQX12" s="569"/>
      <c r="NQY12" s="569"/>
      <c r="NQZ12" s="569"/>
      <c r="NRA12" s="569"/>
      <c r="NRB12" s="569"/>
      <c r="NRC12" s="569"/>
      <c r="NRD12" s="569"/>
      <c r="NRE12" s="569"/>
      <c r="NRF12" s="569"/>
      <c r="NRG12" s="569"/>
      <c r="NRH12" s="569"/>
      <c r="NRI12" s="569"/>
      <c r="NRJ12" s="569"/>
      <c r="NRK12" s="569"/>
      <c r="NRL12" s="569"/>
      <c r="NRM12" s="569"/>
      <c r="NRN12" s="569"/>
      <c r="NRO12" s="569"/>
      <c r="NRP12" s="569"/>
      <c r="NRQ12" s="569"/>
      <c r="NRR12" s="569"/>
      <c r="NRS12" s="569"/>
      <c r="NRT12" s="569"/>
      <c r="NRU12" s="569"/>
      <c r="NRV12" s="569"/>
      <c r="NRW12" s="569"/>
      <c r="NRX12" s="569"/>
      <c r="NRY12" s="569"/>
      <c r="NRZ12" s="569"/>
      <c r="NSA12" s="569"/>
      <c r="NSB12" s="569"/>
      <c r="NSC12" s="569"/>
      <c r="NSD12" s="569"/>
      <c r="NSE12" s="569"/>
      <c r="NSF12" s="569"/>
      <c r="NSG12" s="569"/>
      <c r="NSH12" s="569"/>
      <c r="NSI12" s="569"/>
      <c r="NSJ12" s="569"/>
      <c r="NSK12" s="569"/>
      <c r="NSL12" s="569"/>
      <c r="NSM12" s="569"/>
      <c r="NSN12" s="569"/>
      <c r="NSO12" s="569"/>
      <c r="NSP12" s="569"/>
      <c r="NSQ12" s="569"/>
      <c r="NSR12" s="569"/>
      <c r="NSS12" s="569"/>
      <c r="NST12" s="569"/>
      <c r="NSU12" s="569"/>
      <c r="NSV12" s="569"/>
      <c r="NSW12" s="569"/>
      <c r="NSX12" s="569"/>
      <c r="NSY12" s="569"/>
      <c r="NSZ12" s="569"/>
      <c r="NTA12" s="569"/>
      <c r="NTB12" s="569"/>
      <c r="NTC12" s="569"/>
      <c r="NTD12" s="569"/>
      <c r="NTE12" s="569"/>
      <c r="NTF12" s="569"/>
      <c r="NTG12" s="569"/>
      <c r="NTH12" s="569"/>
      <c r="NTI12" s="569"/>
      <c r="NTJ12" s="569"/>
      <c r="NTK12" s="569"/>
      <c r="NTL12" s="569"/>
      <c r="NTM12" s="569"/>
      <c r="NTN12" s="569"/>
      <c r="NTO12" s="569"/>
      <c r="NTP12" s="569"/>
      <c r="NTQ12" s="569"/>
      <c r="NTR12" s="569"/>
      <c r="NTS12" s="569"/>
      <c r="NTT12" s="569"/>
      <c r="NTU12" s="569"/>
      <c r="NTV12" s="569"/>
      <c r="NTW12" s="569"/>
      <c r="NTX12" s="569"/>
      <c r="NTY12" s="569"/>
      <c r="NTZ12" s="569"/>
      <c r="NUA12" s="569"/>
      <c r="NUB12" s="569"/>
      <c r="NUC12" s="569"/>
      <c r="NUD12" s="569"/>
      <c r="NUE12" s="569"/>
      <c r="NUF12" s="569"/>
      <c r="NUG12" s="569"/>
      <c r="NUH12" s="569"/>
      <c r="NUI12" s="569"/>
      <c r="NUJ12" s="569"/>
      <c r="NUK12" s="569"/>
      <c r="NUL12" s="569"/>
      <c r="NUM12" s="569"/>
      <c r="NUN12" s="569"/>
      <c r="NUO12" s="569"/>
      <c r="NUP12" s="569"/>
      <c r="NUQ12" s="569"/>
      <c r="NUR12" s="569"/>
      <c r="NUS12" s="569"/>
      <c r="NUT12" s="569"/>
      <c r="NUU12" s="569"/>
      <c r="NUV12" s="569"/>
      <c r="NUW12" s="569"/>
      <c r="NUX12" s="569"/>
      <c r="NUY12" s="569"/>
      <c r="NUZ12" s="569"/>
      <c r="NVA12" s="569"/>
      <c r="NVB12" s="569"/>
      <c r="NVC12" s="569"/>
      <c r="NVD12" s="569"/>
      <c r="NVE12" s="569"/>
      <c r="NVF12" s="569"/>
      <c r="NVG12" s="569"/>
      <c r="NVH12" s="569"/>
      <c r="NVI12" s="569"/>
      <c r="NVJ12" s="569"/>
      <c r="NVK12" s="569"/>
      <c r="NVL12" s="569"/>
      <c r="NVM12" s="569"/>
      <c r="NVN12" s="569"/>
      <c r="NVO12" s="569"/>
      <c r="NVP12" s="569"/>
      <c r="NVQ12" s="569"/>
      <c r="NVR12" s="569"/>
      <c r="NVS12" s="569"/>
      <c r="NVT12" s="569"/>
      <c r="NVU12" s="569"/>
      <c r="NVV12" s="569"/>
      <c r="NVW12" s="569"/>
      <c r="NVX12" s="569"/>
      <c r="NVY12" s="569"/>
      <c r="NVZ12" s="569"/>
      <c r="NWA12" s="569"/>
      <c r="NWB12" s="569"/>
      <c r="NWC12" s="569"/>
      <c r="NWD12" s="569"/>
      <c r="NWE12" s="569"/>
      <c r="NWF12" s="569"/>
      <c r="NWG12" s="569"/>
      <c r="NWH12" s="569"/>
      <c r="NWI12" s="569"/>
      <c r="NWJ12" s="569"/>
      <c r="NWK12" s="569"/>
      <c r="NWL12" s="569"/>
      <c r="NWM12" s="569"/>
      <c r="NWN12" s="569"/>
      <c r="NWO12" s="569"/>
      <c r="NWP12" s="569"/>
      <c r="NWQ12" s="569"/>
      <c r="NWR12" s="569"/>
      <c r="NWS12" s="569"/>
      <c r="NWT12" s="569"/>
      <c r="NWU12" s="569"/>
      <c r="NWV12" s="569"/>
      <c r="NWW12" s="569"/>
      <c r="NWX12" s="569"/>
      <c r="NWY12" s="569"/>
      <c r="NWZ12" s="569"/>
      <c r="NXA12" s="569"/>
      <c r="NXB12" s="569"/>
      <c r="NXC12" s="569"/>
      <c r="NXD12" s="569"/>
      <c r="NXE12" s="569"/>
      <c r="NXF12" s="569"/>
      <c r="NXG12" s="569"/>
      <c r="NXH12" s="569"/>
      <c r="NXI12" s="569"/>
      <c r="NXJ12" s="569"/>
      <c r="NXK12" s="569"/>
      <c r="NXL12" s="569"/>
      <c r="NXM12" s="569"/>
      <c r="NXN12" s="569"/>
      <c r="NXO12" s="569"/>
      <c r="NXP12" s="569"/>
      <c r="NXQ12" s="569"/>
      <c r="NXR12" s="569"/>
      <c r="NXS12" s="569"/>
      <c r="NXT12" s="569"/>
      <c r="NXU12" s="569"/>
      <c r="NXV12" s="569"/>
      <c r="NXW12" s="569"/>
      <c r="NXX12" s="569"/>
      <c r="NXY12" s="569"/>
      <c r="NXZ12" s="569"/>
      <c r="NYA12" s="569"/>
      <c r="NYB12" s="569"/>
      <c r="NYC12" s="569"/>
      <c r="NYD12" s="569"/>
      <c r="NYE12" s="569"/>
      <c r="NYF12" s="569"/>
      <c r="NYG12" s="569"/>
      <c r="NYH12" s="569"/>
      <c r="NYI12" s="569"/>
      <c r="NYJ12" s="569"/>
      <c r="NYK12" s="569"/>
      <c r="NYL12" s="569"/>
      <c r="NYM12" s="569"/>
      <c r="NYN12" s="569"/>
      <c r="NYO12" s="569"/>
      <c r="NYP12" s="569"/>
      <c r="NYQ12" s="569"/>
      <c r="NYR12" s="569"/>
      <c r="NYS12" s="569"/>
      <c r="NYT12" s="569"/>
      <c r="NYU12" s="569"/>
      <c r="NYV12" s="569"/>
      <c r="NYW12" s="569"/>
      <c r="NYX12" s="569"/>
      <c r="NYY12" s="569"/>
      <c r="NYZ12" s="569"/>
      <c r="NZA12" s="569"/>
      <c r="NZB12" s="569"/>
      <c r="NZC12" s="569"/>
      <c r="NZD12" s="569"/>
      <c r="NZE12" s="569"/>
      <c r="NZF12" s="569"/>
      <c r="NZG12" s="569"/>
      <c r="NZH12" s="569"/>
      <c r="NZI12" s="569"/>
      <c r="NZJ12" s="569"/>
      <c r="NZK12" s="569"/>
      <c r="NZL12" s="569"/>
      <c r="NZM12" s="569"/>
      <c r="NZN12" s="569"/>
      <c r="NZO12" s="569"/>
      <c r="NZP12" s="569"/>
      <c r="NZQ12" s="569"/>
      <c r="NZR12" s="569"/>
      <c r="NZS12" s="569"/>
      <c r="NZT12" s="569"/>
      <c r="NZU12" s="569"/>
      <c r="NZV12" s="569"/>
      <c r="NZW12" s="569"/>
      <c r="NZX12" s="569"/>
      <c r="NZY12" s="569"/>
      <c r="NZZ12" s="569"/>
      <c r="OAA12" s="569"/>
      <c r="OAB12" s="569"/>
      <c r="OAC12" s="569"/>
      <c r="OAD12" s="569"/>
      <c r="OAE12" s="569"/>
      <c r="OAF12" s="569"/>
      <c r="OAG12" s="569"/>
      <c r="OAH12" s="569"/>
      <c r="OAI12" s="569"/>
      <c r="OAJ12" s="569"/>
      <c r="OAK12" s="569"/>
      <c r="OAL12" s="569"/>
      <c r="OAM12" s="569"/>
      <c r="OAN12" s="569"/>
      <c r="OAO12" s="569"/>
      <c r="OAP12" s="569"/>
      <c r="OAQ12" s="569"/>
      <c r="OAR12" s="569"/>
      <c r="OAS12" s="569"/>
      <c r="OAT12" s="569"/>
      <c r="OAU12" s="569"/>
      <c r="OAV12" s="569"/>
      <c r="OAW12" s="569"/>
      <c r="OAX12" s="569"/>
      <c r="OAY12" s="569"/>
      <c r="OAZ12" s="569"/>
      <c r="OBA12" s="569"/>
      <c r="OBB12" s="569"/>
      <c r="OBC12" s="569"/>
      <c r="OBD12" s="569"/>
      <c r="OBE12" s="569"/>
      <c r="OBF12" s="569"/>
      <c r="OBG12" s="569"/>
      <c r="OBH12" s="569"/>
      <c r="OBI12" s="569"/>
      <c r="OBJ12" s="569"/>
      <c r="OBK12" s="569"/>
      <c r="OBL12" s="569"/>
      <c r="OBM12" s="569"/>
      <c r="OBN12" s="569"/>
      <c r="OBO12" s="569"/>
      <c r="OBP12" s="569"/>
      <c r="OBQ12" s="569"/>
      <c r="OBR12" s="569"/>
      <c r="OBS12" s="569"/>
      <c r="OBT12" s="569"/>
      <c r="OBU12" s="569"/>
      <c r="OBV12" s="569"/>
      <c r="OBW12" s="569"/>
      <c r="OBX12" s="569"/>
      <c r="OBY12" s="569"/>
      <c r="OBZ12" s="569"/>
      <c r="OCA12" s="569"/>
      <c r="OCB12" s="569"/>
      <c r="OCC12" s="569"/>
      <c r="OCD12" s="569"/>
      <c r="OCE12" s="569"/>
      <c r="OCF12" s="569"/>
      <c r="OCG12" s="569"/>
      <c r="OCH12" s="569"/>
      <c r="OCI12" s="569"/>
      <c r="OCJ12" s="569"/>
      <c r="OCK12" s="569"/>
      <c r="OCL12" s="569"/>
      <c r="OCM12" s="569"/>
      <c r="OCN12" s="569"/>
      <c r="OCO12" s="569"/>
      <c r="OCP12" s="569"/>
      <c r="OCQ12" s="569"/>
      <c r="OCR12" s="569"/>
      <c r="OCS12" s="569"/>
      <c r="OCT12" s="569"/>
      <c r="OCU12" s="569"/>
      <c r="OCV12" s="569"/>
      <c r="OCW12" s="569"/>
      <c r="OCX12" s="569"/>
      <c r="OCY12" s="569"/>
      <c r="OCZ12" s="569"/>
      <c r="ODA12" s="569"/>
      <c r="ODB12" s="569"/>
      <c r="ODC12" s="569"/>
      <c r="ODD12" s="569"/>
      <c r="ODE12" s="569"/>
      <c r="ODF12" s="569"/>
      <c r="ODG12" s="569"/>
      <c r="ODH12" s="569"/>
      <c r="ODI12" s="569"/>
      <c r="ODJ12" s="569"/>
      <c r="ODK12" s="569"/>
      <c r="ODL12" s="569"/>
      <c r="ODM12" s="569"/>
      <c r="ODN12" s="569"/>
      <c r="ODO12" s="569"/>
      <c r="ODP12" s="569"/>
      <c r="ODQ12" s="569"/>
      <c r="ODR12" s="569"/>
      <c r="ODS12" s="569"/>
      <c r="ODT12" s="569"/>
      <c r="ODU12" s="569"/>
      <c r="ODV12" s="569"/>
      <c r="ODW12" s="569"/>
      <c r="ODX12" s="569"/>
      <c r="ODY12" s="569"/>
      <c r="ODZ12" s="569"/>
      <c r="OEA12" s="569"/>
      <c r="OEB12" s="569"/>
      <c r="OEC12" s="569"/>
      <c r="OED12" s="569"/>
      <c r="OEE12" s="569"/>
      <c r="OEF12" s="569"/>
      <c r="OEG12" s="569"/>
      <c r="OEH12" s="569"/>
      <c r="OEI12" s="569"/>
      <c r="OEJ12" s="569"/>
      <c r="OEK12" s="569"/>
      <c r="OEL12" s="569"/>
      <c r="OEM12" s="569"/>
      <c r="OEN12" s="569"/>
      <c r="OEO12" s="569"/>
      <c r="OEP12" s="569"/>
      <c r="OEQ12" s="569"/>
      <c r="OER12" s="569"/>
      <c r="OES12" s="569"/>
      <c r="OET12" s="569"/>
      <c r="OEU12" s="569"/>
      <c r="OEV12" s="569"/>
      <c r="OEW12" s="569"/>
      <c r="OEX12" s="569"/>
      <c r="OEY12" s="569"/>
      <c r="OEZ12" s="569"/>
      <c r="OFA12" s="569"/>
      <c r="OFB12" s="569"/>
      <c r="OFC12" s="569"/>
      <c r="OFD12" s="569"/>
      <c r="OFE12" s="569"/>
      <c r="OFF12" s="569"/>
      <c r="OFG12" s="569"/>
      <c r="OFH12" s="569"/>
      <c r="OFI12" s="569"/>
      <c r="OFJ12" s="569"/>
      <c r="OFK12" s="569"/>
      <c r="OFL12" s="569"/>
      <c r="OFM12" s="569"/>
      <c r="OFN12" s="569"/>
      <c r="OFO12" s="569"/>
      <c r="OFP12" s="569"/>
      <c r="OFQ12" s="569"/>
      <c r="OFR12" s="569"/>
      <c r="OFS12" s="569"/>
      <c r="OFT12" s="569"/>
      <c r="OFU12" s="569"/>
      <c r="OFV12" s="569"/>
      <c r="OFW12" s="569"/>
      <c r="OFX12" s="569"/>
      <c r="OFY12" s="569"/>
      <c r="OFZ12" s="569"/>
      <c r="OGA12" s="569"/>
      <c r="OGB12" s="569"/>
      <c r="OGC12" s="569"/>
      <c r="OGD12" s="569"/>
      <c r="OGE12" s="569"/>
      <c r="OGF12" s="569"/>
      <c r="OGG12" s="569"/>
      <c r="OGH12" s="569"/>
      <c r="OGI12" s="569"/>
      <c r="OGJ12" s="569"/>
      <c r="OGK12" s="569"/>
      <c r="OGL12" s="569"/>
      <c r="OGM12" s="569"/>
      <c r="OGN12" s="569"/>
      <c r="OGO12" s="569"/>
      <c r="OGP12" s="569"/>
      <c r="OGQ12" s="569"/>
      <c r="OGR12" s="569"/>
      <c r="OGS12" s="569"/>
      <c r="OGT12" s="569"/>
      <c r="OGU12" s="569"/>
      <c r="OGV12" s="569"/>
      <c r="OGW12" s="569"/>
      <c r="OGX12" s="569"/>
      <c r="OGY12" s="569"/>
      <c r="OGZ12" s="569"/>
      <c r="OHA12" s="569"/>
      <c r="OHB12" s="569"/>
      <c r="OHC12" s="569"/>
      <c r="OHD12" s="569"/>
      <c r="OHE12" s="569"/>
      <c r="OHF12" s="569"/>
      <c r="OHG12" s="569"/>
      <c r="OHH12" s="569"/>
      <c r="OHI12" s="569"/>
      <c r="OHJ12" s="569"/>
      <c r="OHK12" s="569"/>
      <c r="OHL12" s="569"/>
      <c r="OHM12" s="569"/>
      <c r="OHN12" s="569"/>
      <c r="OHO12" s="569"/>
      <c r="OHP12" s="569"/>
      <c r="OHQ12" s="569"/>
      <c r="OHR12" s="569"/>
      <c r="OHS12" s="569"/>
      <c r="OHT12" s="569"/>
      <c r="OHU12" s="569"/>
      <c r="OHV12" s="569"/>
      <c r="OHW12" s="569"/>
      <c r="OHX12" s="569"/>
      <c r="OHY12" s="569"/>
      <c r="OHZ12" s="569"/>
      <c r="OIA12" s="569"/>
      <c r="OIB12" s="569"/>
      <c r="OIC12" s="569"/>
      <c r="OID12" s="569"/>
      <c r="OIE12" s="569"/>
      <c r="OIF12" s="569"/>
      <c r="OIG12" s="569"/>
      <c r="OIH12" s="569"/>
      <c r="OII12" s="569"/>
      <c r="OIJ12" s="569"/>
      <c r="OIK12" s="569"/>
      <c r="OIL12" s="569"/>
      <c r="OIM12" s="569"/>
      <c r="OIN12" s="569"/>
      <c r="OIO12" s="569"/>
      <c r="OIP12" s="569"/>
      <c r="OIQ12" s="569"/>
      <c r="OIR12" s="569"/>
      <c r="OIS12" s="569"/>
      <c r="OIT12" s="569"/>
      <c r="OIU12" s="569"/>
      <c r="OIV12" s="569"/>
      <c r="OIW12" s="569"/>
      <c r="OIX12" s="569"/>
      <c r="OIY12" s="569"/>
      <c r="OIZ12" s="569"/>
      <c r="OJA12" s="569"/>
      <c r="OJB12" s="569"/>
      <c r="OJC12" s="569"/>
      <c r="OJD12" s="569"/>
      <c r="OJE12" s="569"/>
      <c r="OJF12" s="569"/>
      <c r="OJG12" s="569"/>
      <c r="OJH12" s="569"/>
      <c r="OJI12" s="569"/>
      <c r="OJJ12" s="569"/>
      <c r="OJK12" s="569"/>
      <c r="OJL12" s="569"/>
      <c r="OJM12" s="569"/>
      <c r="OJN12" s="569"/>
      <c r="OJO12" s="569"/>
      <c r="OJP12" s="569"/>
      <c r="OJQ12" s="569"/>
      <c r="OJR12" s="569"/>
      <c r="OJS12" s="569"/>
      <c r="OJT12" s="569"/>
      <c r="OJU12" s="569"/>
      <c r="OJV12" s="569"/>
      <c r="OJW12" s="569"/>
      <c r="OJX12" s="569"/>
      <c r="OJY12" s="569"/>
      <c r="OJZ12" s="569"/>
      <c r="OKA12" s="569"/>
      <c r="OKB12" s="569"/>
      <c r="OKC12" s="569"/>
      <c r="OKD12" s="569"/>
      <c r="OKE12" s="569"/>
      <c r="OKF12" s="569"/>
      <c r="OKG12" s="569"/>
      <c r="OKH12" s="569"/>
      <c r="OKI12" s="569"/>
      <c r="OKJ12" s="569"/>
      <c r="OKK12" s="569"/>
      <c r="OKL12" s="569"/>
      <c r="OKM12" s="569"/>
      <c r="OKN12" s="569"/>
      <c r="OKO12" s="569"/>
      <c r="OKP12" s="569"/>
      <c r="OKQ12" s="569"/>
      <c r="OKR12" s="569"/>
      <c r="OKS12" s="569"/>
      <c r="OKT12" s="569"/>
      <c r="OKU12" s="569"/>
      <c r="OKV12" s="569"/>
      <c r="OKW12" s="569"/>
      <c r="OKX12" s="569"/>
      <c r="OKY12" s="569"/>
      <c r="OKZ12" s="569"/>
      <c r="OLA12" s="569"/>
      <c r="OLB12" s="569"/>
      <c r="OLC12" s="569"/>
      <c r="OLD12" s="569"/>
      <c r="OLE12" s="569"/>
      <c r="OLF12" s="569"/>
      <c r="OLG12" s="569"/>
      <c r="OLH12" s="569"/>
      <c r="OLI12" s="569"/>
      <c r="OLJ12" s="569"/>
      <c r="OLK12" s="569"/>
      <c r="OLL12" s="569"/>
      <c r="OLM12" s="569"/>
      <c r="OLN12" s="569"/>
      <c r="OLO12" s="569"/>
      <c r="OLP12" s="569"/>
      <c r="OLQ12" s="569"/>
      <c r="OLR12" s="569"/>
      <c r="OLS12" s="569"/>
      <c r="OLT12" s="569"/>
      <c r="OLU12" s="569"/>
      <c r="OLV12" s="569"/>
      <c r="OLW12" s="569"/>
      <c r="OLX12" s="569"/>
      <c r="OLY12" s="569"/>
      <c r="OLZ12" s="569"/>
      <c r="OMA12" s="569"/>
      <c r="OMB12" s="569"/>
      <c r="OMC12" s="569"/>
      <c r="OMD12" s="569"/>
      <c r="OME12" s="569"/>
      <c r="OMF12" s="569"/>
      <c r="OMG12" s="569"/>
      <c r="OMH12" s="569"/>
      <c r="OMI12" s="569"/>
      <c r="OMJ12" s="569"/>
      <c r="OMK12" s="569"/>
      <c r="OML12" s="569"/>
      <c r="OMM12" s="569"/>
      <c r="OMN12" s="569"/>
      <c r="OMO12" s="569"/>
      <c r="OMP12" s="569"/>
      <c r="OMQ12" s="569"/>
      <c r="OMR12" s="569"/>
      <c r="OMS12" s="569"/>
      <c r="OMT12" s="569"/>
      <c r="OMU12" s="569"/>
      <c r="OMV12" s="569"/>
      <c r="OMW12" s="569"/>
      <c r="OMX12" s="569"/>
      <c r="OMY12" s="569"/>
      <c r="OMZ12" s="569"/>
      <c r="ONA12" s="569"/>
      <c r="ONB12" s="569"/>
      <c r="ONC12" s="569"/>
      <c r="OND12" s="569"/>
      <c r="ONE12" s="569"/>
      <c r="ONF12" s="569"/>
      <c r="ONG12" s="569"/>
      <c r="ONH12" s="569"/>
      <c r="ONI12" s="569"/>
      <c r="ONJ12" s="569"/>
      <c r="ONK12" s="569"/>
      <c r="ONL12" s="569"/>
      <c r="ONM12" s="569"/>
      <c r="ONN12" s="569"/>
      <c r="ONO12" s="569"/>
      <c r="ONP12" s="569"/>
      <c r="ONQ12" s="569"/>
      <c r="ONR12" s="569"/>
      <c r="ONS12" s="569"/>
      <c r="ONT12" s="569"/>
      <c r="ONU12" s="569"/>
      <c r="ONV12" s="569"/>
      <c r="ONW12" s="569"/>
      <c r="ONX12" s="569"/>
      <c r="ONY12" s="569"/>
      <c r="ONZ12" s="569"/>
      <c r="OOA12" s="569"/>
      <c r="OOB12" s="569"/>
      <c r="OOC12" s="569"/>
      <c r="OOD12" s="569"/>
      <c r="OOE12" s="569"/>
      <c r="OOF12" s="569"/>
      <c r="OOG12" s="569"/>
      <c r="OOH12" s="569"/>
      <c r="OOI12" s="569"/>
      <c r="OOJ12" s="569"/>
      <c r="OOK12" s="569"/>
      <c r="OOL12" s="569"/>
      <c r="OOM12" s="569"/>
      <c r="OON12" s="569"/>
      <c r="OOO12" s="569"/>
      <c r="OOP12" s="569"/>
      <c r="OOQ12" s="569"/>
      <c r="OOR12" s="569"/>
      <c r="OOS12" s="569"/>
      <c r="OOT12" s="569"/>
      <c r="OOU12" s="569"/>
      <c r="OOV12" s="569"/>
      <c r="OOW12" s="569"/>
      <c r="OOX12" s="569"/>
      <c r="OOY12" s="569"/>
      <c r="OOZ12" s="569"/>
      <c r="OPA12" s="569"/>
      <c r="OPB12" s="569"/>
      <c r="OPC12" s="569"/>
      <c r="OPD12" s="569"/>
      <c r="OPE12" s="569"/>
      <c r="OPF12" s="569"/>
      <c r="OPG12" s="569"/>
      <c r="OPH12" s="569"/>
      <c r="OPI12" s="569"/>
      <c r="OPJ12" s="569"/>
      <c r="OPK12" s="569"/>
      <c r="OPL12" s="569"/>
      <c r="OPM12" s="569"/>
      <c r="OPN12" s="569"/>
      <c r="OPO12" s="569"/>
      <c r="OPP12" s="569"/>
      <c r="OPQ12" s="569"/>
      <c r="OPR12" s="569"/>
      <c r="OPS12" s="569"/>
      <c r="OPT12" s="569"/>
      <c r="OPU12" s="569"/>
      <c r="OPV12" s="569"/>
      <c r="OPW12" s="569"/>
      <c r="OPX12" s="569"/>
      <c r="OPY12" s="569"/>
      <c r="OPZ12" s="569"/>
      <c r="OQA12" s="569"/>
      <c r="OQB12" s="569"/>
      <c r="OQC12" s="569"/>
      <c r="OQD12" s="569"/>
      <c r="OQE12" s="569"/>
      <c r="OQF12" s="569"/>
      <c r="OQG12" s="569"/>
      <c r="OQH12" s="569"/>
      <c r="OQI12" s="569"/>
      <c r="OQJ12" s="569"/>
      <c r="OQK12" s="569"/>
      <c r="OQL12" s="569"/>
      <c r="OQM12" s="569"/>
      <c r="OQN12" s="569"/>
      <c r="OQO12" s="569"/>
      <c r="OQP12" s="569"/>
      <c r="OQQ12" s="569"/>
      <c r="OQR12" s="569"/>
      <c r="OQS12" s="569"/>
      <c r="OQT12" s="569"/>
      <c r="OQU12" s="569"/>
      <c r="OQV12" s="569"/>
      <c r="OQW12" s="569"/>
      <c r="OQX12" s="569"/>
      <c r="OQY12" s="569"/>
      <c r="OQZ12" s="569"/>
      <c r="ORA12" s="569"/>
      <c r="ORB12" s="569"/>
      <c r="ORC12" s="569"/>
      <c r="ORD12" s="569"/>
      <c r="ORE12" s="569"/>
      <c r="ORF12" s="569"/>
      <c r="ORG12" s="569"/>
      <c r="ORH12" s="569"/>
      <c r="ORI12" s="569"/>
      <c r="ORJ12" s="569"/>
      <c r="ORK12" s="569"/>
      <c r="ORL12" s="569"/>
      <c r="ORM12" s="569"/>
      <c r="ORN12" s="569"/>
      <c r="ORO12" s="569"/>
      <c r="ORP12" s="569"/>
      <c r="ORQ12" s="569"/>
      <c r="ORR12" s="569"/>
      <c r="ORS12" s="569"/>
      <c r="ORT12" s="569"/>
      <c r="ORU12" s="569"/>
      <c r="ORV12" s="569"/>
      <c r="ORW12" s="569"/>
      <c r="ORX12" s="569"/>
      <c r="ORY12" s="569"/>
      <c r="ORZ12" s="569"/>
      <c r="OSA12" s="569"/>
      <c r="OSB12" s="569"/>
      <c r="OSC12" s="569"/>
      <c r="OSD12" s="569"/>
      <c r="OSE12" s="569"/>
      <c r="OSF12" s="569"/>
      <c r="OSG12" s="569"/>
      <c r="OSH12" s="569"/>
      <c r="OSI12" s="569"/>
      <c r="OSJ12" s="569"/>
      <c r="OSK12" s="569"/>
      <c r="OSL12" s="569"/>
      <c r="OSM12" s="569"/>
      <c r="OSN12" s="569"/>
      <c r="OSO12" s="569"/>
      <c r="OSP12" s="569"/>
      <c r="OSQ12" s="569"/>
      <c r="OSR12" s="569"/>
      <c r="OSS12" s="569"/>
      <c r="OST12" s="569"/>
      <c r="OSU12" s="569"/>
      <c r="OSV12" s="569"/>
      <c r="OSW12" s="569"/>
      <c r="OSX12" s="569"/>
      <c r="OSY12" s="569"/>
      <c r="OSZ12" s="569"/>
      <c r="OTA12" s="569"/>
      <c r="OTB12" s="569"/>
      <c r="OTC12" s="569"/>
      <c r="OTD12" s="569"/>
      <c r="OTE12" s="569"/>
      <c r="OTF12" s="569"/>
      <c r="OTG12" s="569"/>
      <c r="OTH12" s="569"/>
      <c r="OTI12" s="569"/>
      <c r="OTJ12" s="569"/>
      <c r="OTK12" s="569"/>
      <c r="OTL12" s="569"/>
      <c r="OTM12" s="569"/>
      <c r="OTN12" s="569"/>
      <c r="OTO12" s="569"/>
      <c r="OTP12" s="569"/>
      <c r="OTQ12" s="569"/>
      <c r="OTR12" s="569"/>
      <c r="OTS12" s="569"/>
      <c r="OTT12" s="569"/>
      <c r="OTU12" s="569"/>
      <c r="OTV12" s="569"/>
      <c r="OTW12" s="569"/>
      <c r="OTX12" s="569"/>
      <c r="OTY12" s="569"/>
      <c r="OTZ12" s="569"/>
      <c r="OUA12" s="569"/>
      <c r="OUB12" s="569"/>
      <c r="OUC12" s="569"/>
      <c r="OUD12" s="569"/>
      <c r="OUE12" s="569"/>
      <c r="OUF12" s="569"/>
      <c r="OUG12" s="569"/>
      <c r="OUH12" s="569"/>
      <c r="OUI12" s="569"/>
      <c r="OUJ12" s="569"/>
      <c r="OUK12" s="569"/>
      <c r="OUL12" s="569"/>
      <c r="OUM12" s="569"/>
      <c r="OUN12" s="569"/>
      <c r="OUO12" s="569"/>
      <c r="OUP12" s="569"/>
      <c r="OUQ12" s="569"/>
      <c r="OUR12" s="569"/>
      <c r="OUS12" s="569"/>
      <c r="OUT12" s="569"/>
      <c r="OUU12" s="569"/>
      <c r="OUV12" s="569"/>
      <c r="OUW12" s="569"/>
      <c r="OUX12" s="569"/>
      <c r="OUY12" s="569"/>
      <c r="OUZ12" s="569"/>
      <c r="OVA12" s="569"/>
      <c r="OVB12" s="569"/>
      <c r="OVC12" s="569"/>
      <c r="OVD12" s="569"/>
      <c r="OVE12" s="569"/>
      <c r="OVF12" s="569"/>
      <c r="OVG12" s="569"/>
      <c r="OVH12" s="569"/>
      <c r="OVI12" s="569"/>
      <c r="OVJ12" s="569"/>
      <c r="OVK12" s="569"/>
      <c r="OVL12" s="569"/>
      <c r="OVM12" s="569"/>
      <c r="OVN12" s="569"/>
      <c r="OVO12" s="569"/>
      <c r="OVP12" s="569"/>
      <c r="OVQ12" s="569"/>
      <c r="OVR12" s="569"/>
      <c r="OVS12" s="569"/>
      <c r="OVT12" s="569"/>
      <c r="OVU12" s="569"/>
      <c r="OVV12" s="569"/>
      <c r="OVW12" s="569"/>
      <c r="OVX12" s="569"/>
      <c r="OVY12" s="569"/>
      <c r="OVZ12" s="569"/>
      <c r="OWA12" s="569"/>
      <c r="OWB12" s="569"/>
      <c r="OWC12" s="569"/>
      <c r="OWD12" s="569"/>
      <c r="OWE12" s="569"/>
      <c r="OWF12" s="569"/>
      <c r="OWG12" s="569"/>
      <c r="OWH12" s="569"/>
      <c r="OWI12" s="569"/>
      <c r="OWJ12" s="569"/>
      <c r="OWK12" s="569"/>
      <c r="OWL12" s="569"/>
      <c r="OWM12" s="569"/>
      <c r="OWN12" s="569"/>
      <c r="OWO12" s="569"/>
      <c r="OWP12" s="569"/>
      <c r="OWQ12" s="569"/>
      <c r="OWR12" s="569"/>
      <c r="OWS12" s="569"/>
      <c r="OWT12" s="569"/>
      <c r="OWU12" s="569"/>
      <c r="OWV12" s="569"/>
      <c r="OWW12" s="569"/>
      <c r="OWX12" s="569"/>
      <c r="OWY12" s="569"/>
      <c r="OWZ12" s="569"/>
      <c r="OXA12" s="569"/>
      <c r="OXB12" s="569"/>
      <c r="OXC12" s="569"/>
      <c r="OXD12" s="569"/>
      <c r="OXE12" s="569"/>
      <c r="OXF12" s="569"/>
      <c r="OXG12" s="569"/>
      <c r="OXH12" s="569"/>
      <c r="OXI12" s="569"/>
      <c r="OXJ12" s="569"/>
      <c r="OXK12" s="569"/>
      <c r="OXL12" s="569"/>
      <c r="OXM12" s="569"/>
      <c r="OXN12" s="569"/>
      <c r="OXO12" s="569"/>
      <c r="OXP12" s="569"/>
      <c r="OXQ12" s="569"/>
      <c r="OXR12" s="569"/>
      <c r="OXS12" s="569"/>
      <c r="OXT12" s="569"/>
      <c r="OXU12" s="569"/>
      <c r="OXV12" s="569"/>
      <c r="OXW12" s="569"/>
      <c r="OXX12" s="569"/>
      <c r="OXY12" s="569"/>
      <c r="OXZ12" s="569"/>
      <c r="OYA12" s="569"/>
      <c r="OYB12" s="569"/>
      <c r="OYC12" s="569"/>
      <c r="OYD12" s="569"/>
      <c r="OYE12" s="569"/>
      <c r="OYF12" s="569"/>
      <c r="OYG12" s="569"/>
      <c r="OYH12" s="569"/>
      <c r="OYI12" s="569"/>
      <c r="OYJ12" s="569"/>
      <c r="OYK12" s="569"/>
      <c r="OYL12" s="569"/>
      <c r="OYM12" s="569"/>
      <c r="OYN12" s="569"/>
      <c r="OYO12" s="569"/>
      <c r="OYP12" s="569"/>
      <c r="OYQ12" s="569"/>
      <c r="OYR12" s="569"/>
      <c r="OYS12" s="569"/>
      <c r="OYT12" s="569"/>
      <c r="OYU12" s="569"/>
      <c r="OYV12" s="569"/>
      <c r="OYW12" s="569"/>
      <c r="OYX12" s="569"/>
      <c r="OYY12" s="569"/>
      <c r="OYZ12" s="569"/>
      <c r="OZA12" s="569"/>
      <c r="OZB12" s="569"/>
      <c r="OZC12" s="569"/>
      <c r="OZD12" s="569"/>
      <c r="OZE12" s="569"/>
      <c r="OZF12" s="569"/>
      <c r="OZG12" s="569"/>
      <c r="OZH12" s="569"/>
      <c r="OZI12" s="569"/>
      <c r="OZJ12" s="569"/>
      <c r="OZK12" s="569"/>
      <c r="OZL12" s="569"/>
      <c r="OZM12" s="569"/>
      <c r="OZN12" s="569"/>
      <c r="OZO12" s="569"/>
      <c r="OZP12" s="569"/>
      <c r="OZQ12" s="569"/>
      <c r="OZR12" s="569"/>
      <c r="OZS12" s="569"/>
      <c r="OZT12" s="569"/>
      <c r="OZU12" s="569"/>
      <c r="OZV12" s="569"/>
      <c r="OZW12" s="569"/>
      <c r="OZX12" s="569"/>
      <c r="OZY12" s="569"/>
      <c r="OZZ12" s="569"/>
      <c r="PAA12" s="569"/>
      <c r="PAB12" s="569"/>
      <c r="PAC12" s="569"/>
      <c r="PAD12" s="569"/>
      <c r="PAE12" s="569"/>
      <c r="PAF12" s="569"/>
      <c r="PAG12" s="569"/>
      <c r="PAH12" s="569"/>
      <c r="PAI12" s="569"/>
      <c r="PAJ12" s="569"/>
      <c r="PAK12" s="569"/>
      <c r="PAL12" s="569"/>
      <c r="PAM12" s="569"/>
      <c r="PAN12" s="569"/>
      <c r="PAO12" s="569"/>
      <c r="PAP12" s="569"/>
      <c r="PAQ12" s="569"/>
      <c r="PAR12" s="569"/>
      <c r="PAS12" s="569"/>
      <c r="PAT12" s="569"/>
      <c r="PAU12" s="569"/>
      <c r="PAV12" s="569"/>
      <c r="PAW12" s="569"/>
      <c r="PAX12" s="569"/>
      <c r="PAY12" s="569"/>
      <c r="PAZ12" s="569"/>
      <c r="PBA12" s="569"/>
      <c r="PBB12" s="569"/>
      <c r="PBC12" s="569"/>
      <c r="PBD12" s="569"/>
      <c r="PBE12" s="569"/>
      <c r="PBF12" s="569"/>
      <c r="PBG12" s="569"/>
      <c r="PBH12" s="569"/>
      <c r="PBI12" s="569"/>
      <c r="PBJ12" s="569"/>
      <c r="PBK12" s="569"/>
      <c r="PBL12" s="569"/>
      <c r="PBM12" s="569"/>
      <c r="PBN12" s="569"/>
      <c r="PBO12" s="569"/>
      <c r="PBP12" s="569"/>
      <c r="PBQ12" s="569"/>
      <c r="PBR12" s="569"/>
      <c r="PBS12" s="569"/>
      <c r="PBT12" s="569"/>
      <c r="PBU12" s="569"/>
      <c r="PBV12" s="569"/>
      <c r="PBW12" s="569"/>
      <c r="PBX12" s="569"/>
      <c r="PBY12" s="569"/>
      <c r="PBZ12" s="569"/>
      <c r="PCA12" s="569"/>
      <c r="PCB12" s="569"/>
      <c r="PCC12" s="569"/>
      <c r="PCD12" s="569"/>
      <c r="PCE12" s="569"/>
      <c r="PCF12" s="569"/>
      <c r="PCG12" s="569"/>
      <c r="PCH12" s="569"/>
      <c r="PCI12" s="569"/>
      <c r="PCJ12" s="569"/>
      <c r="PCK12" s="569"/>
      <c r="PCL12" s="569"/>
      <c r="PCM12" s="569"/>
      <c r="PCN12" s="569"/>
      <c r="PCO12" s="569"/>
      <c r="PCP12" s="569"/>
      <c r="PCQ12" s="569"/>
      <c r="PCR12" s="569"/>
      <c r="PCS12" s="569"/>
      <c r="PCT12" s="569"/>
      <c r="PCU12" s="569"/>
      <c r="PCV12" s="569"/>
      <c r="PCW12" s="569"/>
      <c r="PCX12" s="569"/>
      <c r="PCY12" s="569"/>
      <c r="PCZ12" s="569"/>
      <c r="PDA12" s="569"/>
      <c r="PDB12" s="569"/>
      <c r="PDC12" s="569"/>
      <c r="PDD12" s="569"/>
      <c r="PDE12" s="569"/>
      <c r="PDF12" s="569"/>
      <c r="PDG12" s="569"/>
      <c r="PDH12" s="569"/>
      <c r="PDI12" s="569"/>
      <c r="PDJ12" s="569"/>
      <c r="PDK12" s="569"/>
      <c r="PDL12" s="569"/>
      <c r="PDM12" s="569"/>
      <c r="PDN12" s="569"/>
      <c r="PDO12" s="569"/>
      <c r="PDP12" s="569"/>
      <c r="PDQ12" s="569"/>
      <c r="PDR12" s="569"/>
      <c r="PDS12" s="569"/>
      <c r="PDT12" s="569"/>
      <c r="PDU12" s="569"/>
      <c r="PDV12" s="569"/>
      <c r="PDW12" s="569"/>
      <c r="PDX12" s="569"/>
      <c r="PDY12" s="569"/>
      <c r="PDZ12" s="569"/>
      <c r="PEA12" s="569"/>
      <c r="PEB12" s="569"/>
      <c r="PEC12" s="569"/>
      <c r="PED12" s="569"/>
      <c r="PEE12" s="569"/>
      <c r="PEF12" s="569"/>
      <c r="PEG12" s="569"/>
      <c r="PEH12" s="569"/>
      <c r="PEI12" s="569"/>
      <c r="PEJ12" s="569"/>
      <c r="PEK12" s="569"/>
      <c r="PEL12" s="569"/>
      <c r="PEM12" s="569"/>
      <c r="PEN12" s="569"/>
      <c r="PEO12" s="569"/>
      <c r="PEP12" s="569"/>
      <c r="PEQ12" s="569"/>
      <c r="PER12" s="569"/>
      <c r="PES12" s="569"/>
      <c r="PET12" s="569"/>
      <c r="PEU12" s="569"/>
      <c r="PEV12" s="569"/>
      <c r="PEW12" s="569"/>
      <c r="PEX12" s="569"/>
      <c r="PEY12" s="569"/>
      <c r="PEZ12" s="569"/>
      <c r="PFA12" s="569"/>
      <c r="PFB12" s="569"/>
      <c r="PFC12" s="569"/>
      <c r="PFD12" s="569"/>
      <c r="PFE12" s="569"/>
      <c r="PFF12" s="569"/>
      <c r="PFG12" s="569"/>
      <c r="PFH12" s="569"/>
      <c r="PFI12" s="569"/>
      <c r="PFJ12" s="569"/>
      <c r="PFK12" s="569"/>
      <c r="PFL12" s="569"/>
      <c r="PFM12" s="569"/>
      <c r="PFN12" s="569"/>
      <c r="PFO12" s="569"/>
      <c r="PFP12" s="569"/>
      <c r="PFQ12" s="569"/>
      <c r="PFR12" s="569"/>
      <c r="PFS12" s="569"/>
      <c r="PFT12" s="569"/>
      <c r="PFU12" s="569"/>
      <c r="PFV12" s="569"/>
      <c r="PFW12" s="569"/>
      <c r="PFX12" s="569"/>
      <c r="PFY12" s="569"/>
      <c r="PFZ12" s="569"/>
      <c r="PGA12" s="569"/>
      <c r="PGB12" s="569"/>
      <c r="PGC12" s="569"/>
      <c r="PGD12" s="569"/>
      <c r="PGE12" s="569"/>
      <c r="PGF12" s="569"/>
      <c r="PGG12" s="569"/>
      <c r="PGH12" s="569"/>
      <c r="PGI12" s="569"/>
      <c r="PGJ12" s="569"/>
      <c r="PGK12" s="569"/>
      <c r="PGL12" s="569"/>
      <c r="PGM12" s="569"/>
      <c r="PGN12" s="569"/>
      <c r="PGO12" s="569"/>
      <c r="PGP12" s="569"/>
      <c r="PGQ12" s="569"/>
      <c r="PGR12" s="569"/>
      <c r="PGS12" s="569"/>
      <c r="PGT12" s="569"/>
      <c r="PGU12" s="569"/>
      <c r="PGV12" s="569"/>
      <c r="PGW12" s="569"/>
      <c r="PGX12" s="569"/>
      <c r="PGY12" s="569"/>
      <c r="PGZ12" s="569"/>
      <c r="PHA12" s="569"/>
      <c r="PHB12" s="569"/>
      <c r="PHC12" s="569"/>
      <c r="PHD12" s="569"/>
      <c r="PHE12" s="569"/>
      <c r="PHF12" s="569"/>
      <c r="PHG12" s="569"/>
      <c r="PHH12" s="569"/>
      <c r="PHI12" s="569"/>
      <c r="PHJ12" s="569"/>
      <c r="PHK12" s="569"/>
      <c r="PHL12" s="569"/>
      <c r="PHM12" s="569"/>
      <c r="PHN12" s="569"/>
      <c r="PHO12" s="569"/>
      <c r="PHP12" s="569"/>
      <c r="PHQ12" s="569"/>
      <c r="PHR12" s="569"/>
      <c r="PHS12" s="569"/>
      <c r="PHT12" s="569"/>
      <c r="PHU12" s="569"/>
      <c r="PHV12" s="569"/>
      <c r="PHW12" s="569"/>
      <c r="PHX12" s="569"/>
      <c r="PHY12" s="569"/>
      <c r="PHZ12" s="569"/>
      <c r="PIA12" s="569"/>
      <c r="PIB12" s="569"/>
      <c r="PIC12" s="569"/>
      <c r="PID12" s="569"/>
      <c r="PIE12" s="569"/>
      <c r="PIF12" s="569"/>
      <c r="PIG12" s="569"/>
      <c r="PIH12" s="569"/>
      <c r="PII12" s="569"/>
      <c r="PIJ12" s="569"/>
      <c r="PIK12" s="569"/>
      <c r="PIL12" s="569"/>
      <c r="PIM12" s="569"/>
      <c r="PIN12" s="569"/>
      <c r="PIO12" s="569"/>
      <c r="PIP12" s="569"/>
      <c r="PIQ12" s="569"/>
      <c r="PIR12" s="569"/>
      <c r="PIS12" s="569"/>
      <c r="PIT12" s="569"/>
      <c r="PIU12" s="569"/>
      <c r="PIV12" s="569"/>
      <c r="PIW12" s="569"/>
      <c r="PIX12" s="569"/>
      <c r="PIY12" s="569"/>
      <c r="PIZ12" s="569"/>
      <c r="PJA12" s="569"/>
      <c r="PJB12" s="569"/>
      <c r="PJC12" s="569"/>
      <c r="PJD12" s="569"/>
      <c r="PJE12" s="569"/>
      <c r="PJF12" s="569"/>
      <c r="PJG12" s="569"/>
      <c r="PJH12" s="569"/>
      <c r="PJI12" s="569"/>
      <c r="PJJ12" s="569"/>
      <c r="PJK12" s="569"/>
      <c r="PJL12" s="569"/>
      <c r="PJM12" s="569"/>
      <c r="PJN12" s="569"/>
      <c r="PJO12" s="569"/>
      <c r="PJP12" s="569"/>
      <c r="PJQ12" s="569"/>
      <c r="PJR12" s="569"/>
      <c r="PJS12" s="569"/>
      <c r="PJT12" s="569"/>
      <c r="PJU12" s="569"/>
      <c r="PJV12" s="569"/>
      <c r="PJW12" s="569"/>
      <c r="PJX12" s="569"/>
      <c r="PJY12" s="569"/>
      <c r="PJZ12" s="569"/>
      <c r="PKA12" s="569"/>
      <c r="PKB12" s="569"/>
      <c r="PKC12" s="569"/>
      <c r="PKD12" s="569"/>
      <c r="PKE12" s="569"/>
      <c r="PKF12" s="569"/>
      <c r="PKG12" s="569"/>
      <c r="PKH12" s="569"/>
      <c r="PKI12" s="569"/>
      <c r="PKJ12" s="569"/>
      <c r="PKK12" s="569"/>
      <c r="PKL12" s="569"/>
      <c r="PKM12" s="569"/>
      <c r="PKN12" s="569"/>
      <c r="PKO12" s="569"/>
      <c r="PKP12" s="569"/>
      <c r="PKQ12" s="569"/>
      <c r="PKR12" s="569"/>
      <c r="PKS12" s="569"/>
      <c r="PKT12" s="569"/>
      <c r="PKU12" s="569"/>
      <c r="PKV12" s="569"/>
      <c r="PKW12" s="569"/>
      <c r="PKX12" s="569"/>
      <c r="PKY12" s="569"/>
      <c r="PKZ12" s="569"/>
      <c r="PLA12" s="569"/>
      <c r="PLB12" s="569"/>
      <c r="PLC12" s="569"/>
      <c r="PLD12" s="569"/>
      <c r="PLE12" s="569"/>
      <c r="PLF12" s="569"/>
      <c r="PLG12" s="569"/>
      <c r="PLH12" s="569"/>
      <c r="PLI12" s="569"/>
      <c r="PLJ12" s="569"/>
      <c r="PLK12" s="569"/>
      <c r="PLL12" s="569"/>
      <c r="PLM12" s="569"/>
      <c r="PLN12" s="569"/>
      <c r="PLO12" s="569"/>
      <c r="PLP12" s="569"/>
      <c r="PLQ12" s="569"/>
      <c r="PLR12" s="569"/>
      <c r="PLS12" s="569"/>
      <c r="PLT12" s="569"/>
      <c r="PLU12" s="569"/>
      <c r="PLV12" s="569"/>
      <c r="PLW12" s="569"/>
      <c r="PLX12" s="569"/>
      <c r="PLY12" s="569"/>
      <c r="PLZ12" s="569"/>
      <c r="PMA12" s="569"/>
      <c r="PMB12" s="569"/>
      <c r="PMC12" s="569"/>
      <c r="PMD12" s="569"/>
      <c r="PME12" s="569"/>
      <c r="PMF12" s="569"/>
      <c r="PMG12" s="569"/>
      <c r="PMH12" s="569"/>
      <c r="PMI12" s="569"/>
      <c r="PMJ12" s="569"/>
      <c r="PMK12" s="569"/>
      <c r="PML12" s="569"/>
      <c r="PMM12" s="569"/>
      <c r="PMN12" s="569"/>
      <c r="PMO12" s="569"/>
      <c r="PMP12" s="569"/>
      <c r="PMQ12" s="569"/>
      <c r="PMR12" s="569"/>
      <c r="PMS12" s="569"/>
      <c r="PMT12" s="569"/>
      <c r="PMU12" s="569"/>
      <c r="PMV12" s="569"/>
      <c r="PMW12" s="569"/>
      <c r="PMX12" s="569"/>
      <c r="PMY12" s="569"/>
      <c r="PMZ12" s="569"/>
      <c r="PNA12" s="569"/>
      <c r="PNB12" s="569"/>
      <c r="PNC12" s="569"/>
      <c r="PND12" s="569"/>
      <c r="PNE12" s="569"/>
      <c r="PNF12" s="569"/>
      <c r="PNG12" s="569"/>
      <c r="PNH12" s="569"/>
      <c r="PNI12" s="569"/>
      <c r="PNJ12" s="569"/>
      <c r="PNK12" s="569"/>
      <c r="PNL12" s="569"/>
      <c r="PNM12" s="569"/>
      <c r="PNN12" s="569"/>
      <c r="PNO12" s="569"/>
      <c r="PNP12" s="569"/>
      <c r="PNQ12" s="569"/>
      <c r="PNR12" s="569"/>
      <c r="PNS12" s="569"/>
      <c r="PNT12" s="569"/>
      <c r="PNU12" s="569"/>
      <c r="PNV12" s="569"/>
      <c r="PNW12" s="569"/>
      <c r="PNX12" s="569"/>
      <c r="PNY12" s="569"/>
      <c r="PNZ12" s="569"/>
      <c r="POA12" s="569"/>
      <c r="POB12" s="569"/>
      <c r="POC12" s="569"/>
      <c r="POD12" s="569"/>
      <c r="POE12" s="569"/>
      <c r="POF12" s="569"/>
      <c r="POG12" s="569"/>
      <c r="POH12" s="569"/>
      <c r="POI12" s="569"/>
      <c r="POJ12" s="569"/>
      <c r="POK12" s="569"/>
      <c r="POL12" s="569"/>
      <c r="POM12" s="569"/>
      <c r="PON12" s="569"/>
      <c r="POO12" s="569"/>
      <c r="POP12" s="569"/>
      <c r="POQ12" s="569"/>
      <c r="POR12" s="569"/>
      <c r="POS12" s="569"/>
      <c r="POT12" s="569"/>
      <c r="POU12" s="569"/>
      <c r="POV12" s="569"/>
      <c r="POW12" s="569"/>
      <c r="POX12" s="569"/>
      <c r="POY12" s="569"/>
      <c r="POZ12" s="569"/>
      <c r="PPA12" s="569"/>
      <c r="PPB12" s="569"/>
      <c r="PPC12" s="569"/>
      <c r="PPD12" s="569"/>
      <c r="PPE12" s="569"/>
      <c r="PPF12" s="569"/>
      <c r="PPG12" s="569"/>
      <c r="PPH12" s="569"/>
      <c r="PPI12" s="569"/>
      <c r="PPJ12" s="569"/>
      <c r="PPK12" s="569"/>
      <c r="PPL12" s="569"/>
      <c r="PPM12" s="569"/>
      <c r="PPN12" s="569"/>
      <c r="PPO12" s="569"/>
      <c r="PPP12" s="569"/>
      <c r="PPQ12" s="569"/>
      <c r="PPR12" s="569"/>
      <c r="PPS12" s="569"/>
      <c r="PPT12" s="569"/>
      <c r="PPU12" s="569"/>
      <c r="PPV12" s="569"/>
      <c r="PPW12" s="569"/>
      <c r="PPX12" s="569"/>
      <c r="PPY12" s="569"/>
      <c r="PPZ12" s="569"/>
      <c r="PQA12" s="569"/>
      <c r="PQB12" s="569"/>
      <c r="PQC12" s="569"/>
      <c r="PQD12" s="569"/>
      <c r="PQE12" s="569"/>
      <c r="PQF12" s="569"/>
      <c r="PQG12" s="569"/>
      <c r="PQH12" s="569"/>
      <c r="PQI12" s="569"/>
      <c r="PQJ12" s="569"/>
      <c r="PQK12" s="569"/>
      <c r="PQL12" s="569"/>
      <c r="PQM12" s="569"/>
      <c r="PQN12" s="569"/>
      <c r="PQO12" s="569"/>
      <c r="PQP12" s="569"/>
      <c r="PQQ12" s="569"/>
      <c r="PQR12" s="569"/>
      <c r="PQS12" s="569"/>
      <c r="PQT12" s="569"/>
      <c r="PQU12" s="569"/>
      <c r="PQV12" s="569"/>
      <c r="PQW12" s="569"/>
      <c r="PQX12" s="569"/>
      <c r="PQY12" s="569"/>
      <c r="PQZ12" s="569"/>
      <c r="PRA12" s="569"/>
      <c r="PRB12" s="569"/>
      <c r="PRC12" s="569"/>
      <c r="PRD12" s="569"/>
      <c r="PRE12" s="569"/>
      <c r="PRF12" s="569"/>
      <c r="PRG12" s="569"/>
      <c r="PRH12" s="569"/>
      <c r="PRI12" s="569"/>
      <c r="PRJ12" s="569"/>
      <c r="PRK12" s="569"/>
      <c r="PRL12" s="569"/>
      <c r="PRM12" s="569"/>
      <c r="PRN12" s="569"/>
      <c r="PRO12" s="569"/>
      <c r="PRP12" s="569"/>
      <c r="PRQ12" s="569"/>
      <c r="PRR12" s="569"/>
      <c r="PRS12" s="569"/>
      <c r="PRT12" s="569"/>
      <c r="PRU12" s="569"/>
      <c r="PRV12" s="569"/>
      <c r="PRW12" s="569"/>
      <c r="PRX12" s="569"/>
      <c r="PRY12" s="569"/>
      <c r="PRZ12" s="569"/>
      <c r="PSA12" s="569"/>
      <c r="PSB12" s="569"/>
      <c r="PSC12" s="569"/>
      <c r="PSD12" s="569"/>
      <c r="PSE12" s="569"/>
      <c r="PSF12" s="569"/>
      <c r="PSG12" s="569"/>
      <c r="PSH12" s="569"/>
      <c r="PSI12" s="569"/>
      <c r="PSJ12" s="569"/>
      <c r="PSK12" s="569"/>
      <c r="PSL12" s="569"/>
      <c r="PSM12" s="569"/>
      <c r="PSN12" s="569"/>
      <c r="PSO12" s="569"/>
      <c r="PSP12" s="569"/>
      <c r="PSQ12" s="569"/>
      <c r="PSR12" s="569"/>
      <c r="PSS12" s="569"/>
      <c r="PST12" s="569"/>
      <c r="PSU12" s="569"/>
      <c r="PSV12" s="569"/>
      <c r="PSW12" s="569"/>
      <c r="PSX12" s="569"/>
      <c r="PSY12" s="569"/>
      <c r="PSZ12" s="569"/>
      <c r="PTA12" s="569"/>
      <c r="PTB12" s="569"/>
      <c r="PTC12" s="569"/>
      <c r="PTD12" s="569"/>
      <c r="PTE12" s="569"/>
      <c r="PTF12" s="569"/>
      <c r="PTG12" s="569"/>
      <c r="PTH12" s="569"/>
      <c r="PTI12" s="569"/>
      <c r="PTJ12" s="569"/>
      <c r="PTK12" s="569"/>
      <c r="PTL12" s="569"/>
      <c r="PTM12" s="569"/>
      <c r="PTN12" s="569"/>
      <c r="PTO12" s="569"/>
      <c r="PTP12" s="569"/>
      <c r="PTQ12" s="569"/>
      <c r="PTR12" s="569"/>
      <c r="PTS12" s="569"/>
      <c r="PTT12" s="569"/>
      <c r="PTU12" s="569"/>
      <c r="PTV12" s="569"/>
      <c r="PTW12" s="569"/>
      <c r="PTX12" s="569"/>
      <c r="PTY12" s="569"/>
      <c r="PTZ12" s="569"/>
      <c r="PUA12" s="569"/>
      <c r="PUB12" s="569"/>
      <c r="PUC12" s="569"/>
      <c r="PUD12" s="569"/>
      <c r="PUE12" s="569"/>
      <c r="PUF12" s="569"/>
      <c r="PUG12" s="569"/>
      <c r="PUH12" s="569"/>
      <c r="PUI12" s="569"/>
      <c r="PUJ12" s="569"/>
      <c r="PUK12" s="569"/>
      <c r="PUL12" s="569"/>
      <c r="PUM12" s="569"/>
      <c r="PUN12" s="569"/>
      <c r="PUO12" s="569"/>
      <c r="PUP12" s="569"/>
      <c r="PUQ12" s="569"/>
      <c r="PUR12" s="569"/>
      <c r="PUS12" s="569"/>
      <c r="PUT12" s="569"/>
      <c r="PUU12" s="569"/>
      <c r="PUV12" s="569"/>
      <c r="PUW12" s="569"/>
      <c r="PUX12" s="569"/>
      <c r="PUY12" s="569"/>
      <c r="PUZ12" s="569"/>
      <c r="PVA12" s="569"/>
      <c r="PVB12" s="569"/>
      <c r="PVC12" s="569"/>
      <c r="PVD12" s="569"/>
      <c r="PVE12" s="569"/>
      <c r="PVF12" s="569"/>
      <c r="PVG12" s="569"/>
      <c r="PVH12" s="569"/>
      <c r="PVI12" s="569"/>
      <c r="PVJ12" s="569"/>
      <c r="PVK12" s="569"/>
      <c r="PVL12" s="569"/>
      <c r="PVM12" s="569"/>
      <c r="PVN12" s="569"/>
      <c r="PVO12" s="569"/>
      <c r="PVP12" s="569"/>
      <c r="PVQ12" s="569"/>
      <c r="PVR12" s="569"/>
      <c r="PVS12" s="569"/>
      <c r="PVT12" s="569"/>
      <c r="PVU12" s="569"/>
      <c r="PVV12" s="569"/>
      <c r="PVW12" s="569"/>
      <c r="PVX12" s="569"/>
      <c r="PVY12" s="569"/>
      <c r="PVZ12" s="569"/>
      <c r="PWA12" s="569"/>
      <c r="PWB12" s="569"/>
      <c r="PWC12" s="569"/>
      <c r="PWD12" s="569"/>
      <c r="PWE12" s="569"/>
      <c r="PWF12" s="569"/>
      <c r="PWG12" s="569"/>
      <c r="PWH12" s="569"/>
      <c r="PWI12" s="569"/>
      <c r="PWJ12" s="569"/>
      <c r="PWK12" s="569"/>
      <c r="PWL12" s="569"/>
      <c r="PWM12" s="569"/>
      <c r="PWN12" s="569"/>
      <c r="PWO12" s="569"/>
      <c r="PWP12" s="569"/>
      <c r="PWQ12" s="569"/>
      <c r="PWR12" s="569"/>
      <c r="PWS12" s="569"/>
      <c r="PWT12" s="569"/>
      <c r="PWU12" s="569"/>
      <c r="PWV12" s="569"/>
      <c r="PWW12" s="569"/>
      <c r="PWX12" s="569"/>
      <c r="PWY12" s="569"/>
      <c r="PWZ12" s="569"/>
      <c r="PXA12" s="569"/>
      <c r="PXB12" s="569"/>
      <c r="PXC12" s="569"/>
      <c r="PXD12" s="569"/>
      <c r="PXE12" s="569"/>
      <c r="PXF12" s="569"/>
      <c r="PXG12" s="569"/>
      <c r="PXH12" s="569"/>
      <c r="PXI12" s="569"/>
      <c r="PXJ12" s="569"/>
      <c r="PXK12" s="569"/>
      <c r="PXL12" s="569"/>
      <c r="PXM12" s="569"/>
      <c r="PXN12" s="569"/>
      <c r="PXO12" s="569"/>
      <c r="PXP12" s="569"/>
      <c r="PXQ12" s="569"/>
      <c r="PXR12" s="569"/>
      <c r="PXS12" s="569"/>
      <c r="PXT12" s="569"/>
      <c r="PXU12" s="569"/>
      <c r="PXV12" s="569"/>
      <c r="PXW12" s="569"/>
      <c r="PXX12" s="569"/>
      <c r="PXY12" s="569"/>
      <c r="PXZ12" s="569"/>
      <c r="PYA12" s="569"/>
      <c r="PYB12" s="569"/>
      <c r="PYC12" s="569"/>
      <c r="PYD12" s="569"/>
      <c r="PYE12" s="569"/>
      <c r="PYF12" s="569"/>
      <c r="PYG12" s="569"/>
      <c r="PYH12" s="569"/>
      <c r="PYI12" s="569"/>
      <c r="PYJ12" s="569"/>
      <c r="PYK12" s="569"/>
      <c r="PYL12" s="569"/>
      <c r="PYM12" s="569"/>
      <c r="PYN12" s="569"/>
      <c r="PYO12" s="569"/>
      <c r="PYP12" s="569"/>
      <c r="PYQ12" s="569"/>
      <c r="PYR12" s="569"/>
      <c r="PYS12" s="569"/>
      <c r="PYT12" s="569"/>
      <c r="PYU12" s="569"/>
      <c r="PYV12" s="569"/>
      <c r="PYW12" s="569"/>
      <c r="PYX12" s="569"/>
      <c r="PYY12" s="569"/>
      <c r="PYZ12" s="569"/>
      <c r="PZA12" s="569"/>
      <c r="PZB12" s="569"/>
      <c r="PZC12" s="569"/>
      <c r="PZD12" s="569"/>
      <c r="PZE12" s="569"/>
      <c r="PZF12" s="569"/>
      <c r="PZG12" s="569"/>
      <c r="PZH12" s="569"/>
      <c r="PZI12" s="569"/>
      <c r="PZJ12" s="569"/>
      <c r="PZK12" s="569"/>
      <c r="PZL12" s="569"/>
      <c r="PZM12" s="569"/>
      <c r="PZN12" s="569"/>
      <c r="PZO12" s="569"/>
      <c r="PZP12" s="569"/>
      <c r="PZQ12" s="569"/>
      <c r="PZR12" s="569"/>
      <c r="PZS12" s="569"/>
      <c r="PZT12" s="569"/>
      <c r="PZU12" s="569"/>
      <c r="PZV12" s="569"/>
      <c r="PZW12" s="569"/>
      <c r="PZX12" s="569"/>
      <c r="PZY12" s="569"/>
      <c r="PZZ12" s="569"/>
      <c r="QAA12" s="569"/>
      <c r="QAB12" s="569"/>
      <c r="QAC12" s="569"/>
      <c r="QAD12" s="569"/>
      <c r="QAE12" s="569"/>
      <c r="QAF12" s="569"/>
      <c r="QAG12" s="569"/>
      <c r="QAH12" s="569"/>
      <c r="QAI12" s="569"/>
      <c r="QAJ12" s="569"/>
      <c r="QAK12" s="569"/>
      <c r="QAL12" s="569"/>
      <c r="QAM12" s="569"/>
      <c r="QAN12" s="569"/>
      <c r="QAO12" s="569"/>
      <c r="QAP12" s="569"/>
      <c r="QAQ12" s="569"/>
      <c r="QAR12" s="569"/>
      <c r="QAS12" s="569"/>
      <c r="QAT12" s="569"/>
      <c r="QAU12" s="569"/>
      <c r="QAV12" s="569"/>
      <c r="QAW12" s="569"/>
      <c r="QAX12" s="569"/>
      <c r="QAY12" s="569"/>
      <c r="QAZ12" s="569"/>
      <c r="QBA12" s="569"/>
      <c r="QBB12" s="569"/>
      <c r="QBC12" s="569"/>
      <c r="QBD12" s="569"/>
      <c r="QBE12" s="569"/>
      <c r="QBF12" s="569"/>
      <c r="QBG12" s="569"/>
      <c r="QBH12" s="569"/>
      <c r="QBI12" s="569"/>
      <c r="QBJ12" s="569"/>
      <c r="QBK12" s="569"/>
      <c r="QBL12" s="569"/>
      <c r="QBM12" s="569"/>
      <c r="QBN12" s="569"/>
      <c r="QBO12" s="569"/>
      <c r="QBP12" s="569"/>
      <c r="QBQ12" s="569"/>
      <c r="QBR12" s="569"/>
      <c r="QBS12" s="569"/>
      <c r="QBT12" s="569"/>
      <c r="QBU12" s="569"/>
      <c r="QBV12" s="569"/>
      <c r="QBW12" s="569"/>
      <c r="QBX12" s="569"/>
      <c r="QBY12" s="569"/>
      <c r="QBZ12" s="569"/>
      <c r="QCA12" s="569"/>
      <c r="QCB12" s="569"/>
      <c r="QCC12" s="569"/>
      <c r="QCD12" s="569"/>
      <c r="QCE12" s="569"/>
      <c r="QCF12" s="569"/>
      <c r="QCG12" s="569"/>
      <c r="QCH12" s="569"/>
      <c r="QCI12" s="569"/>
      <c r="QCJ12" s="569"/>
      <c r="QCK12" s="569"/>
      <c r="QCL12" s="569"/>
      <c r="QCM12" s="569"/>
      <c r="QCN12" s="569"/>
      <c r="QCO12" s="569"/>
      <c r="QCP12" s="569"/>
      <c r="QCQ12" s="569"/>
      <c r="QCR12" s="569"/>
      <c r="QCS12" s="569"/>
      <c r="QCT12" s="569"/>
      <c r="QCU12" s="569"/>
      <c r="QCV12" s="569"/>
      <c r="QCW12" s="569"/>
      <c r="QCX12" s="569"/>
      <c r="QCY12" s="569"/>
      <c r="QCZ12" s="569"/>
      <c r="QDA12" s="569"/>
      <c r="QDB12" s="569"/>
      <c r="QDC12" s="569"/>
      <c r="QDD12" s="569"/>
      <c r="QDE12" s="569"/>
      <c r="QDF12" s="569"/>
      <c r="QDG12" s="569"/>
      <c r="QDH12" s="569"/>
      <c r="QDI12" s="569"/>
      <c r="QDJ12" s="569"/>
      <c r="QDK12" s="569"/>
      <c r="QDL12" s="569"/>
      <c r="QDM12" s="569"/>
      <c r="QDN12" s="569"/>
      <c r="QDO12" s="569"/>
      <c r="QDP12" s="569"/>
      <c r="QDQ12" s="569"/>
      <c r="QDR12" s="569"/>
      <c r="QDS12" s="569"/>
      <c r="QDT12" s="569"/>
      <c r="QDU12" s="569"/>
      <c r="QDV12" s="569"/>
      <c r="QDW12" s="569"/>
      <c r="QDX12" s="569"/>
      <c r="QDY12" s="569"/>
      <c r="QDZ12" s="569"/>
      <c r="QEA12" s="569"/>
      <c r="QEB12" s="569"/>
      <c r="QEC12" s="569"/>
      <c r="QED12" s="569"/>
      <c r="QEE12" s="569"/>
      <c r="QEF12" s="569"/>
      <c r="QEG12" s="569"/>
      <c r="QEH12" s="569"/>
      <c r="QEI12" s="569"/>
      <c r="QEJ12" s="569"/>
      <c r="QEK12" s="569"/>
      <c r="QEL12" s="569"/>
      <c r="QEM12" s="569"/>
      <c r="QEN12" s="569"/>
      <c r="QEO12" s="569"/>
      <c r="QEP12" s="569"/>
      <c r="QEQ12" s="569"/>
      <c r="QER12" s="569"/>
      <c r="QES12" s="569"/>
      <c r="QET12" s="569"/>
      <c r="QEU12" s="569"/>
      <c r="QEV12" s="569"/>
      <c r="QEW12" s="569"/>
      <c r="QEX12" s="569"/>
      <c r="QEY12" s="569"/>
      <c r="QEZ12" s="569"/>
      <c r="QFA12" s="569"/>
      <c r="QFB12" s="569"/>
      <c r="QFC12" s="569"/>
      <c r="QFD12" s="569"/>
      <c r="QFE12" s="569"/>
      <c r="QFF12" s="569"/>
      <c r="QFG12" s="569"/>
      <c r="QFH12" s="569"/>
      <c r="QFI12" s="569"/>
      <c r="QFJ12" s="569"/>
      <c r="QFK12" s="569"/>
      <c r="QFL12" s="569"/>
      <c r="QFM12" s="569"/>
      <c r="QFN12" s="569"/>
      <c r="QFO12" s="569"/>
      <c r="QFP12" s="569"/>
      <c r="QFQ12" s="569"/>
      <c r="QFR12" s="569"/>
      <c r="QFS12" s="569"/>
      <c r="QFT12" s="569"/>
      <c r="QFU12" s="569"/>
      <c r="QFV12" s="569"/>
      <c r="QFW12" s="569"/>
      <c r="QFX12" s="569"/>
      <c r="QFY12" s="569"/>
      <c r="QFZ12" s="569"/>
      <c r="QGA12" s="569"/>
      <c r="QGB12" s="569"/>
      <c r="QGC12" s="569"/>
      <c r="QGD12" s="569"/>
      <c r="QGE12" s="569"/>
      <c r="QGF12" s="569"/>
      <c r="QGG12" s="569"/>
      <c r="QGH12" s="569"/>
      <c r="QGI12" s="569"/>
      <c r="QGJ12" s="569"/>
      <c r="QGK12" s="569"/>
      <c r="QGL12" s="569"/>
      <c r="QGM12" s="569"/>
      <c r="QGN12" s="569"/>
      <c r="QGO12" s="569"/>
      <c r="QGP12" s="569"/>
      <c r="QGQ12" s="569"/>
      <c r="QGR12" s="569"/>
      <c r="QGS12" s="569"/>
      <c r="QGT12" s="569"/>
      <c r="QGU12" s="569"/>
      <c r="QGV12" s="569"/>
      <c r="QGW12" s="569"/>
      <c r="QGX12" s="569"/>
      <c r="QGY12" s="569"/>
      <c r="QGZ12" s="569"/>
      <c r="QHA12" s="569"/>
      <c r="QHB12" s="569"/>
      <c r="QHC12" s="569"/>
      <c r="QHD12" s="569"/>
      <c r="QHE12" s="569"/>
      <c r="QHF12" s="569"/>
      <c r="QHG12" s="569"/>
      <c r="QHH12" s="569"/>
      <c r="QHI12" s="569"/>
      <c r="QHJ12" s="569"/>
      <c r="QHK12" s="569"/>
      <c r="QHL12" s="569"/>
      <c r="QHM12" s="569"/>
      <c r="QHN12" s="569"/>
      <c r="QHO12" s="569"/>
      <c r="QHP12" s="569"/>
      <c r="QHQ12" s="569"/>
      <c r="QHR12" s="569"/>
      <c r="QHS12" s="569"/>
      <c r="QHT12" s="569"/>
      <c r="QHU12" s="569"/>
      <c r="QHV12" s="569"/>
      <c r="QHW12" s="569"/>
      <c r="QHX12" s="569"/>
      <c r="QHY12" s="569"/>
      <c r="QHZ12" s="569"/>
      <c r="QIA12" s="569"/>
      <c r="QIB12" s="569"/>
      <c r="QIC12" s="569"/>
      <c r="QID12" s="569"/>
      <c r="QIE12" s="569"/>
      <c r="QIF12" s="569"/>
      <c r="QIG12" s="569"/>
      <c r="QIH12" s="569"/>
      <c r="QII12" s="569"/>
      <c r="QIJ12" s="569"/>
      <c r="QIK12" s="569"/>
      <c r="QIL12" s="569"/>
      <c r="QIM12" s="569"/>
      <c r="QIN12" s="569"/>
      <c r="QIO12" s="569"/>
      <c r="QIP12" s="569"/>
      <c r="QIQ12" s="569"/>
      <c r="QIR12" s="569"/>
      <c r="QIS12" s="569"/>
      <c r="QIT12" s="569"/>
      <c r="QIU12" s="569"/>
      <c r="QIV12" s="569"/>
      <c r="QIW12" s="569"/>
      <c r="QIX12" s="569"/>
      <c r="QIY12" s="569"/>
      <c r="QIZ12" s="569"/>
      <c r="QJA12" s="569"/>
      <c r="QJB12" s="569"/>
      <c r="QJC12" s="569"/>
      <c r="QJD12" s="569"/>
      <c r="QJE12" s="569"/>
      <c r="QJF12" s="569"/>
      <c r="QJG12" s="569"/>
      <c r="QJH12" s="569"/>
      <c r="QJI12" s="569"/>
      <c r="QJJ12" s="569"/>
      <c r="QJK12" s="569"/>
      <c r="QJL12" s="569"/>
      <c r="QJM12" s="569"/>
      <c r="QJN12" s="569"/>
      <c r="QJO12" s="569"/>
      <c r="QJP12" s="569"/>
      <c r="QJQ12" s="569"/>
      <c r="QJR12" s="569"/>
      <c r="QJS12" s="569"/>
      <c r="QJT12" s="569"/>
      <c r="QJU12" s="569"/>
      <c r="QJV12" s="569"/>
      <c r="QJW12" s="569"/>
      <c r="QJX12" s="569"/>
      <c r="QJY12" s="569"/>
      <c r="QJZ12" s="569"/>
      <c r="QKA12" s="569"/>
      <c r="QKB12" s="569"/>
      <c r="QKC12" s="569"/>
      <c r="QKD12" s="569"/>
      <c r="QKE12" s="569"/>
      <c r="QKF12" s="569"/>
      <c r="QKG12" s="569"/>
      <c r="QKH12" s="569"/>
      <c r="QKI12" s="569"/>
      <c r="QKJ12" s="569"/>
      <c r="QKK12" s="569"/>
      <c r="QKL12" s="569"/>
      <c r="QKM12" s="569"/>
      <c r="QKN12" s="569"/>
      <c r="QKO12" s="569"/>
      <c r="QKP12" s="569"/>
      <c r="QKQ12" s="569"/>
      <c r="QKR12" s="569"/>
      <c r="QKS12" s="569"/>
      <c r="QKT12" s="569"/>
      <c r="QKU12" s="569"/>
      <c r="QKV12" s="569"/>
      <c r="QKW12" s="569"/>
      <c r="QKX12" s="569"/>
      <c r="QKY12" s="569"/>
      <c r="QKZ12" s="569"/>
      <c r="QLA12" s="569"/>
      <c r="QLB12" s="569"/>
      <c r="QLC12" s="569"/>
      <c r="QLD12" s="569"/>
      <c r="QLE12" s="569"/>
      <c r="QLF12" s="569"/>
      <c r="QLG12" s="569"/>
      <c r="QLH12" s="569"/>
      <c r="QLI12" s="569"/>
      <c r="QLJ12" s="569"/>
      <c r="QLK12" s="569"/>
      <c r="QLL12" s="569"/>
      <c r="QLM12" s="569"/>
      <c r="QLN12" s="569"/>
      <c r="QLO12" s="569"/>
      <c r="QLP12" s="569"/>
      <c r="QLQ12" s="569"/>
      <c r="QLR12" s="569"/>
      <c r="QLS12" s="569"/>
      <c r="QLT12" s="569"/>
      <c r="QLU12" s="569"/>
      <c r="QLV12" s="569"/>
      <c r="QLW12" s="569"/>
      <c r="QLX12" s="569"/>
      <c r="QLY12" s="569"/>
      <c r="QLZ12" s="569"/>
      <c r="QMA12" s="569"/>
      <c r="QMB12" s="569"/>
      <c r="QMC12" s="569"/>
      <c r="QMD12" s="569"/>
      <c r="QME12" s="569"/>
      <c r="QMF12" s="569"/>
      <c r="QMG12" s="569"/>
      <c r="QMH12" s="569"/>
      <c r="QMI12" s="569"/>
      <c r="QMJ12" s="569"/>
      <c r="QMK12" s="569"/>
      <c r="QML12" s="569"/>
      <c r="QMM12" s="569"/>
      <c r="QMN12" s="569"/>
      <c r="QMO12" s="569"/>
      <c r="QMP12" s="569"/>
      <c r="QMQ12" s="569"/>
      <c r="QMR12" s="569"/>
      <c r="QMS12" s="569"/>
      <c r="QMT12" s="569"/>
      <c r="QMU12" s="569"/>
      <c r="QMV12" s="569"/>
      <c r="QMW12" s="569"/>
      <c r="QMX12" s="569"/>
      <c r="QMY12" s="569"/>
      <c r="QMZ12" s="569"/>
      <c r="QNA12" s="569"/>
      <c r="QNB12" s="569"/>
      <c r="QNC12" s="569"/>
      <c r="QND12" s="569"/>
      <c r="QNE12" s="569"/>
      <c r="QNF12" s="569"/>
      <c r="QNG12" s="569"/>
      <c r="QNH12" s="569"/>
      <c r="QNI12" s="569"/>
      <c r="QNJ12" s="569"/>
      <c r="QNK12" s="569"/>
      <c r="QNL12" s="569"/>
      <c r="QNM12" s="569"/>
      <c r="QNN12" s="569"/>
      <c r="QNO12" s="569"/>
      <c r="QNP12" s="569"/>
      <c r="QNQ12" s="569"/>
      <c r="QNR12" s="569"/>
      <c r="QNS12" s="569"/>
      <c r="QNT12" s="569"/>
      <c r="QNU12" s="569"/>
      <c r="QNV12" s="569"/>
      <c r="QNW12" s="569"/>
      <c r="QNX12" s="569"/>
      <c r="QNY12" s="569"/>
      <c r="QNZ12" s="569"/>
      <c r="QOA12" s="569"/>
      <c r="QOB12" s="569"/>
      <c r="QOC12" s="569"/>
      <c r="QOD12" s="569"/>
      <c r="QOE12" s="569"/>
      <c r="QOF12" s="569"/>
      <c r="QOG12" s="569"/>
      <c r="QOH12" s="569"/>
      <c r="QOI12" s="569"/>
      <c r="QOJ12" s="569"/>
      <c r="QOK12" s="569"/>
      <c r="QOL12" s="569"/>
      <c r="QOM12" s="569"/>
      <c r="QON12" s="569"/>
      <c r="QOO12" s="569"/>
      <c r="QOP12" s="569"/>
      <c r="QOQ12" s="569"/>
      <c r="QOR12" s="569"/>
      <c r="QOS12" s="569"/>
      <c r="QOT12" s="569"/>
      <c r="QOU12" s="569"/>
      <c r="QOV12" s="569"/>
      <c r="QOW12" s="569"/>
      <c r="QOX12" s="569"/>
      <c r="QOY12" s="569"/>
      <c r="QOZ12" s="569"/>
      <c r="QPA12" s="569"/>
      <c r="QPB12" s="569"/>
      <c r="QPC12" s="569"/>
      <c r="QPD12" s="569"/>
      <c r="QPE12" s="569"/>
      <c r="QPF12" s="569"/>
      <c r="QPG12" s="569"/>
      <c r="QPH12" s="569"/>
      <c r="QPI12" s="569"/>
      <c r="QPJ12" s="569"/>
      <c r="QPK12" s="569"/>
      <c r="QPL12" s="569"/>
      <c r="QPM12" s="569"/>
      <c r="QPN12" s="569"/>
      <c r="QPO12" s="569"/>
      <c r="QPP12" s="569"/>
      <c r="QPQ12" s="569"/>
      <c r="QPR12" s="569"/>
      <c r="QPS12" s="569"/>
      <c r="QPT12" s="569"/>
      <c r="QPU12" s="569"/>
      <c r="QPV12" s="569"/>
      <c r="QPW12" s="569"/>
      <c r="QPX12" s="569"/>
      <c r="QPY12" s="569"/>
      <c r="QPZ12" s="569"/>
      <c r="QQA12" s="569"/>
      <c r="QQB12" s="569"/>
      <c r="QQC12" s="569"/>
      <c r="QQD12" s="569"/>
      <c r="QQE12" s="569"/>
      <c r="QQF12" s="569"/>
      <c r="QQG12" s="569"/>
      <c r="QQH12" s="569"/>
      <c r="QQI12" s="569"/>
      <c r="QQJ12" s="569"/>
      <c r="QQK12" s="569"/>
      <c r="QQL12" s="569"/>
      <c r="QQM12" s="569"/>
      <c r="QQN12" s="569"/>
      <c r="QQO12" s="569"/>
      <c r="QQP12" s="569"/>
      <c r="QQQ12" s="569"/>
      <c r="QQR12" s="569"/>
      <c r="QQS12" s="569"/>
      <c r="QQT12" s="569"/>
      <c r="QQU12" s="569"/>
      <c r="QQV12" s="569"/>
      <c r="QQW12" s="569"/>
      <c r="QQX12" s="569"/>
      <c r="QQY12" s="569"/>
      <c r="QQZ12" s="569"/>
      <c r="QRA12" s="569"/>
      <c r="QRB12" s="569"/>
      <c r="QRC12" s="569"/>
      <c r="QRD12" s="569"/>
      <c r="QRE12" s="569"/>
      <c r="QRF12" s="569"/>
      <c r="QRG12" s="569"/>
      <c r="QRH12" s="569"/>
      <c r="QRI12" s="569"/>
      <c r="QRJ12" s="569"/>
      <c r="QRK12" s="569"/>
      <c r="QRL12" s="569"/>
      <c r="QRM12" s="569"/>
      <c r="QRN12" s="569"/>
      <c r="QRO12" s="569"/>
      <c r="QRP12" s="569"/>
      <c r="QRQ12" s="569"/>
      <c r="QRR12" s="569"/>
      <c r="QRS12" s="569"/>
      <c r="QRT12" s="569"/>
      <c r="QRU12" s="569"/>
      <c r="QRV12" s="569"/>
      <c r="QRW12" s="569"/>
      <c r="QRX12" s="569"/>
      <c r="QRY12" s="569"/>
      <c r="QRZ12" s="569"/>
      <c r="QSA12" s="569"/>
      <c r="QSB12" s="569"/>
      <c r="QSC12" s="569"/>
      <c r="QSD12" s="569"/>
      <c r="QSE12" s="569"/>
      <c r="QSF12" s="569"/>
      <c r="QSG12" s="569"/>
      <c r="QSH12" s="569"/>
      <c r="QSI12" s="569"/>
      <c r="QSJ12" s="569"/>
      <c r="QSK12" s="569"/>
      <c r="QSL12" s="569"/>
      <c r="QSM12" s="569"/>
      <c r="QSN12" s="569"/>
      <c r="QSO12" s="569"/>
      <c r="QSP12" s="569"/>
      <c r="QSQ12" s="569"/>
      <c r="QSR12" s="569"/>
      <c r="QSS12" s="569"/>
      <c r="QST12" s="569"/>
      <c r="QSU12" s="569"/>
      <c r="QSV12" s="569"/>
      <c r="QSW12" s="569"/>
      <c r="QSX12" s="569"/>
      <c r="QSY12" s="569"/>
      <c r="QSZ12" s="569"/>
      <c r="QTA12" s="569"/>
      <c r="QTB12" s="569"/>
      <c r="QTC12" s="569"/>
      <c r="QTD12" s="569"/>
      <c r="QTE12" s="569"/>
      <c r="QTF12" s="569"/>
      <c r="QTG12" s="569"/>
      <c r="QTH12" s="569"/>
      <c r="QTI12" s="569"/>
      <c r="QTJ12" s="569"/>
      <c r="QTK12" s="569"/>
      <c r="QTL12" s="569"/>
      <c r="QTM12" s="569"/>
      <c r="QTN12" s="569"/>
      <c r="QTO12" s="569"/>
      <c r="QTP12" s="569"/>
      <c r="QTQ12" s="569"/>
      <c r="QTR12" s="569"/>
      <c r="QTS12" s="569"/>
      <c r="QTT12" s="569"/>
      <c r="QTU12" s="569"/>
      <c r="QTV12" s="569"/>
      <c r="QTW12" s="569"/>
      <c r="QTX12" s="569"/>
      <c r="QTY12" s="569"/>
      <c r="QTZ12" s="569"/>
      <c r="QUA12" s="569"/>
      <c r="QUB12" s="569"/>
      <c r="QUC12" s="569"/>
      <c r="QUD12" s="569"/>
      <c r="QUE12" s="569"/>
      <c r="QUF12" s="569"/>
      <c r="QUG12" s="569"/>
      <c r="QUH12" s="569"/>
      <c r="QUI12" s="569"/>
      <c r="QUJ12" s="569"/>
      <c r="QUK12" s="569"/>
      <c r="QUL12" s="569"/>
      <c r="QUM12" s="569"/>
      <c r="QUN12" s="569"/>
      <c r="QUO12" s="569"/>
      <c r="QUP12" s="569"/>
      <c r="QUQ12" s="569"/>
      <c r="QUR12" s="569"/>
      <c r="QUS12" s="569"/>
      <c r="QUT12" s="569"/>
      <c r="QUU12" s="569"/>
      <c r="QUV12" s="569"/>
      <c r="QUW12" s="569"/>
      <c r="QUX12" s="569"/>
      <c r="QUY12" s="569"/>
      <c r="QUZ12" s="569"/>
      <c r="QVA12" s="569"/>
      <c r="QVB12" s="569"/>
      <c r="QVC12" s="569"/>
      <c r="QVD12" s="569"/>
      <c r="QVE12" s="569"/>
      <c r="QVF12" s="569"/>
      <c r="QVG12" s="569"/>
      <c r="QVH12" s="569"/>
      <c r="QVI12" s="569"/>
      <c r="QVJ12" s="569"/>
      <c r="QVK12" s="569"/>
      <c r="QVL12" s="569"/>
      <c r="QVM12" s="569"/>
      <c r="QVN12" s="569"/>
      <c r="QVO12" s="569"/>
      <c r="QVP12" s="569"/>
      <c r="QVQ12" s="569"/>
      <c r="QVR12" s="569"/>
      <c r="QVS12" s="569"/>
      <c r="QVT12" s="569"/>
      <c r="QVU12" s="569"/>
      <c r="QVV12" s="569"/>
      <c r="QVW12" s="569"/>
      <c r="QVX12" s="569"/>
      <c r="QVY12" s="569"/>
      <c r="QVZ12" s="569"/>
      <c r="QWA12" s="569"/>
      <c r="QWB12" s="569"/>
      <c r="QWC12" s="569"/>
      <c r="QWD12" s="569"/>
      <c r="QWE12" s="569"/>
      <c r="QWF12" s="569"/>
      <c r="QWG12" s="569"/>
      <c r="QWH12" s="569"/>
      <c r="QWI12" s="569"/>
      <c r="QWJ12" s="569"/>
      <c r="QWK12" s="569"/>
      <c r="QWL12" s="569"/>
      <c r="QWM12" s="569"/>
      <c r="QWN12" s="569"/>
      <c r="QWO12" s="569"/>
      <c r="QWP12" s="569"/>
      <c r="QWQ12" s="569"/>
      <c r="QWR12" s="569"/>
      <c r="QWS12" s="569"/>
      <c r="QWT12" s="569"/>
      <c r="QWU12" s="569"/>
      <c r="QWV12" s="569"/>
      <c r="QWW12" s="569"/>
      <c r="QWX12" s="569"/>
      <c r="QWY12" s="569"/>
      <c r="QWZ12" s="569"/>
      <c r="QXA12" s="569"/>
      <c r="QXB12" s="569"/>
      <c r="QXC12" s="569"/>
      <c r="QXD12" s="569"/>
      <c r="QXE12" s="569"/>
      <c r="QXF12" s="569"/>
      <c r="QXG12" s="569"/>
      <c r="QXH12" s="569"/>
      <c r="QXI12" s="569"/>
      <c r="QXJ12" s="569"/>
      <c r="QXK12" s="569"/>
      <c r="QXL12" s="569"/>
      <c r="QXM12" s="569"/>
      <c r="QXN12" s="569"/>
      <c r="QXO12" s="569"/>
      <c r="QXP12" s="569"/>
      <c r="QXQ12" s="569"/>
      <c r="QXR12" s="569"/>
      <c r="QXS12" s="569"/>
      <c r="QXT12" s="569"/>
      <c r="QXU12" s="569"/>
      <c r="QXV12" s="569"/>
      <c r="QXW12" s="569"/>
      <c r="QXX12" s="569"/>
      <c r="QXY12" s="569"/>
      <c r="QXZ12" s="569"/>
      <c r="QYA12" s="569"/>
      <c r="QYB12" s="569"/>
      <c r="QYC12" s="569"/>
      <c r="QYD12" s="569"/>
      <c r="QYE12" s="569"/>
      <c r="QYF12" s="569"/>
      <c r="QYG12" s="569"/>
      <c r="QYH12" s="569"/>
      <c r="QYI12" s="569"/>
      <c r="QYJ12" s="569"/>
      <c r="QYK12" s="569"/>
      <c r="QYL12" s="569"/>
      <c r="QYM12" s="569"/>
      <c r="QYN12" s="569"/>
      <c r="QYO12" s="569"/>
      <c r="QYP12" s="569"/>
      <c r="QYQ12" s="569"/>
      <c r="QYR12" s="569"/>
      <c r="QYS12" s="569"/>
      <c r="QYT12" s="569"/>
      <c r="QYU12" s="569"/>
      <c r="QYV12" s="569"/>
      <c r="QYW12" s="569"/>
      <c r="QYX12" s="569"/>
      <c r="QYY12" s="569"/>
      <c r="QYZ12" s="569"/>
      <c r="QZA12" s="569"/>
      <c r="QZB12" s="569"/>
      <c r="QZC12" s="569"/>
      <c r="QZD12" s="569"/>
      <c r="QZE12" s="569"/>
      <c r="QZF12" s="569"/>
      <c r="QZG12" s="569"/>
      <c r="QZH12" s="569"/>
      <c r="QZI12" s="569"/>
      <c r="QZJ12" s="569"/>
      <c r="QZK12" s="569"/>
      <c r="QZL12" s="569"/>
      <c r="QZM12" s="569"/>
      <c r="QZN12" s="569"/>
      <c r="QZO12" s="569"/>
      <c r="QZP12" s="569"/>
      <c r="QZQ12" s="569"/>
      <c r="QZR12" s="569"/>
      <c r="QZS12" s="569"/>
      <c r="QZT12" s="569"/>
      <c r="QZU12" s="569"/>
      <c r="QZV12" s="569"/>
      <c r="QZW12" s="569"/>
      <c r="QZX12" s="569"/>
      <c r="QZY12" s="569"/>
      <c r="QZZ12" s="569"/>
      <c r="RAA12" s="569"/>
      <c r="RAB12" s="569"/>
      <c r="RAC12" s="569"/>
      <c r="RAD12" s="569"/>
      <c r="RAE12" s="569"/>
      <c r="RAF12" s="569"/>
      <c r="RAG12" s="569"/>
      <c r="RAH12" s="569"/>
      <c r="RAI12" s="569"/>
      <c r="RAJ12" s="569"/>
      <c r="RAK12" s="569"/>
      <c r="RAL12" s="569"/>
      <c r="RAM12" s="569"/>
      <c r="RAN12" s="569"/>
      <c r="RAO12" s="569"/>
      <c r="RAP12" s="569"/>
      <c r="RAQ12" s="569"/>
      <c r="RAR12" s="569"/>
      <c r="RAS12" s="569"/>
      <c r="RAT12" s="569"/>
      <c r="RAU12" s="569"/>
      <c r="RAV12" s="569"/>
      <c r="RAW12" s="569"/>
      <c r="RAX12" s="569"/>
      <c r="RAY12" s="569"/>
      <c r="RAZ12" s="569"/>
      <c r="RBA12" s="569"/>
      <c r="RBB12" s="569"/>
      <c r="RBC12" s="569"/>
      <c r="RBD12" s="569"/>
      <c r="RBE12" s="569"/>
      <c r="RBF12" s="569"/>
      <c r="RBG12" s="569"/>
      <c r="RBH12" s="569"/>
      <c r="RBI12" s="569"/>
      <c r="RBJ12" s="569"/>
      <c r="RBK12" s="569"/>
      <c r="RBL12" s="569"/>
      <c r="RBM12" s="569"/>
      <c r="RBN12" s="569"/>
      <c r="RBO12" s="569"/>
      <c r="RBP12" s="569"/>
      <c r="RBQ12" s="569"/>
      <c r="RBR12" s="569"/>
      <c r="RBS12" s="569"/>
      <c r="RBT12" s="569"/>
      <c r="RBU12" s="569"/>
      <c r="RBV12" s="569"/>
      <c r="RBW12" s="569"/>
      <c r="RBX12" s="569"/>
      <c r="RBY12" s="569"/>
      <c r="RBZ12" s="569"/>
      <c r="RCA12" s="569"/>
      <c r="RCB12" s="569"/>
      <c r="RCC12" s="569"/>
      <c r="RCD12" s="569"/>
      <c r="RCE12" s="569"/>
      <c r="RCF12" s="569"/>
      <c r="RCG12" s="569"/>
      <c r="RCH12" s="569"/>
      <c r="RCI12" s="569"/>
      <c r="RCJ12" s="569"/>
      <c r="RCK12" s="569"/>
      <c r="RCL12" s="569"/>
      <c r="RCM12" s="569"/>
      <c r="RCN12" s="569"/>
      <c r="RCO12" s="569"/>
      <c r="RCP12" s="569"/>
      <c r="RCQ12" s="569"/>
      <c r="RCR12" s="569"/>
      <c r="RCS12" s="569"/>
      <c r="RCT12" s="569"/>
      <c r="RCU12" s="569"/>
      <c r="RCV12" s="569"/>
      <c r="RCW12" s="569"/>
      <c r="RCX12" s="569"/>
      <c r="RCY12" s="569"/>
      <c r="RCZ12" s="569"/>
      <c r="RDA12" s="569"/>
      <c r="RDB12" s="569"/>
      <c r="RDC12" s="569"/>
      <c r="RDD12" s="569"/>
      <c r="RDE12" s="569"/>
      <c r="RDF12" s="569"/>
      <c r="RDG12" s="569"/>
      <c r="RDH12" s="569"/>
      <c r="RDI12" s="569"/>
      <c r="RDJ12" s="569"/>
      <c r="RDK12" s="569"/>
      <c r="RDL12" s="569"/>
      <c r="RDM12" s="569"/>
      <c r="RDN12" s="569"/>
      <c r="RDO12" s="569"/>
      <c r="RDP12" s="569"/>
      <c r="RDQ12" s="569"/>
      <c r="RDR12" s="569"/>
      <c r="RDS12" s="569"/>
      <c r="RDT12" s="569"/>
      <c r="RDU12" s="569"/>
      <c r="RDV12" s="569"/>
      <c r="RDW12" s="569"/>
      <c r="RDX12" s="569"/>
      <c r="RDY12" s="569"/>
      <c r="RDZ12" s="569"/>
      <c r="REA12" s="569"/>
      <c r="REB12" s="569"/>
      <c r="REC12" s="569"/>
      <c r="RED12" s="569"/>
      <c r="REE12" s="569"/>
      <c r="REF12" s="569"/>
      <c r="REG12" s="569"/>
      <c r="REH12" s="569"/>
      <c r="REI12" s="569"/>
      <c r="REJ12" s="569"/>
      <c r="REK12" s="569"/>
      <c r="REL12" s="569"/>
      <c r="REM12" s="569"/>
      <c r="REN12" s="569"/>
      <c r="REO12" s="569"/>
      <c r="REP12" s="569"/>
      <c r="REQ12" s="569"/>
      <c r="RER12" s="569"/>
      <c r="RES12" s="569"/>
      <c r="RET12" s="569"/>
      <c r="REU12" s="569"/>
      <c r="REV12" s="569"/>
      <c r="REW12" s="569"/>
      <c r="REX12" s="569"/>
      <c r="REY12" s="569"/>
      <c r="REZ12" s="569"/>
      <c r="RFA12" s="569"/>
      <c r="RFB12" s="569"/>
      <c r="RFC12" s="569"/>
      <c r="RFD12" s="569"/>
      <c r="RFE12" s="569"/>
      <c r="RFF12" s="569"/>
      <c r="RFG12" s="569"/>
      <c r="RFH12" s="569"/>
      <c r="RFI12" s="569"/>
      <c r="RFJ12" s="569"/>
      <c r="RFK12" s="569"/>
      <c r="RFL12" s="569"/>
      <c r="RFM12" s="569"/>
      <c r="RFN12" s="569"/>
      <c r="RFO12" s="569"/>
      <c r="RFP12" s="569"/>
      <c r="RFQ12" s="569"/>
      <c r="RFR12" s="569"/>
      <c r="RFS12" s="569"/>
      <c r="RFT12" s="569"/>
      <c r="RFU12" s="569"/>
      <c r="RFV12" s="569"/>
      <c r="RFW12" s="569"/>
      <c r="RFX12" s="569"/>
      <c r="RFY12" s="569"/>
      <c r="RFZ12" s="569"/>
      <c r="RGA12" s="569"/>
      <c r="RGB12" s="569"/>
      <c r="RGC12" s="569"/>
      <c r="RGD12" s="569"/>
      <c r="RGE12" s="569"/>
      <c r="RGF12" s="569"/>
      <c r="RGG12" s="569"/>
      <c r="RGH12" s="569"/>
      <c r="RGI12" s="569"/>
      <c r="RGJ12" s="569"/>
      <c r="RGK12" s="569"/>
      <c r="RGL12" s="569"/>
      <c r="RGM12" s="569"/>
      <c r="RGN12" s="569"/>
      <c r="RGO12" s="569"/>
      <c r="RGP12" s="569"/>
      <c r="RGQ12" s="569"/>
      <c r="RGR12" s="569"/>
      <c r="RGS12" s="569"/>
      <c r="RGT12" s="569"/>
      <c r="RGU12" s="569"/>
      <c r="RGV12" s="569"/>
      <c r="RGW12" s="569"/>
      <c r="RGX12" s="569"/>
      <c r="RGY12" s="569"/>
      <c r="RGZ12" s="569"/>
      <c r="RHA12" s="569"/>
      <c r="RHB12" s="569"/>
      <c r="RHC12" s="569"/>
      <c r="RHD12" s="569"/>
      <c r="RHE12" s="569"/>
      <c r="RHF12" s="569"/>
      <c r="RHG12" s="569"/>
      <c r="RHH12" s="569"/>
      <c r="RHI12" s="569"/>
      <c r="RHJ12" s="569"/>
      <c r="RHK12" s="569"/>
      <c r="RHL12" s="569"/>
      <c r="RHM12" s="569"/>
      <c r="RHN12" s="569"/>
      <c r="RHO12" s="569"/>
      <c r="RHP12" s="569"/>
      <c r="RHQ12" s="569"/>
      <c r="RHR12" s="569"/>
      <c r="RHS12" s="569"/>
      <c r="RHT12" s="569"/>
      <c r="RHU12" s="569"/>
      <c r="RHV12" s="569"/>
      <c r="RHW12" s="569"/>
      <c r="RHX12" s="569"/>
      <c r="RHY12" s="569"/>
      <c r="RHZ12" s="569"/>
      <c r="RIA12" s="569"/>
      <c r="RIB12" s="569"/>
      <c r="RIC12" s="569"/>
      <c r="RID12" s="569"/>
      <c r="RIE12" s="569"/>
      <c r="RIF12" s="569"/>
      <c r="RIG12" s="569"/>
      <c r="RIH12" s="569"/>
      <c r="RII12" s="569"/>
      <c r="RIJ12" s="569"/>
      <c r="RIK12" s="569"/>
      <c r="RIL12" s="569"/>
      <c r="RIM12" s="569"/>
      <c r="RIN12" s="569"/>
      <c r="RIO12" s="569"/>
      <c r="RIP12" s="569"/>
      <c r="RIQ12" s="569"/>
      <c r="RIR12" s="569"/>
      <c r="RIS12" s="569"/>
      <c r="RIT12" s="569"/>
      <c r="RIU12" s="569"/>
      <c r="RIV12" s="569"/>
      <c r="RIW12" s="569"/>
      <c r="RIX12" s="569"/>
      <c r="RIY12" s="569"/>
      <c r="RIZ12" s="569"/>
      <c r="RJA12" s="569"/>
      <c r="RJB12" s="569"/>
      <c r="RJC12" s="569"/>
      <c r="RJD12" s="569"/>
      <c r="RJE12" s="569"/>
      <c r="RJF12" s="569"/>
      <c r="RJG12" s="569"/>
      <c r="RJH12" s="569"/>
      <c r="RJI12" s="569"/>
      <c r="RJJ12" s="569"/>
      <c r="RJK12" s="569"/>
      <c r="RJL12" s="569"/>
      <c r="RJM12" s="569"/>
      <c r="RJN12" s="569"/>
      <c r="RJO12" s="569"/>
      <c r="RJP12" s="569"/>
      <c r="RJQ12" s="569"/>
      <c r="RJR12" s="569"/>
      <c r="RJS12" s="569"/>
      <c r="RJT12" s="569"/>
      <c r="RJU12" s="569"/>
      <c r="RJV12" s="569"/>
      <c r="RJW12" s="569"/>
      <c r="RJX12" s="569"/>
      <c r="RJY12" s="569"/>
      <c r="RJZ12" s="569"/>
      <c r="RKA12" s="569"/>
      <c r="RKB12" s="569"/>
      <c r="RKC12" s="569"/>
      <c r="RKD12" s="569"/>
      <c r="RKE12" s="569"/>
      <c r="RKF12" s="569"/>
      <c r="RKG12" s="569"/>
      <c r="RKH12" s="569"/>
      <c r="RKI12" s="569"/>
      <c r="RKJ12" s="569"/>
      <c r="RKK12" s="569"/>
      <c r="RKL12" s="569"/>
      <c r="RKM12" s="569"/>
      <c r="RKN12" s="569"/>
      <c r="RKO12" s="569"/>
      <c r="RKP12" s="569"/>
      <c r="RKQ12" s="569"/>
      <c r="RKR12" s="569"/>
      <c r="RKS12" s="569"/>
      <c r="RKT12" s="569"/>
      <c r="RKU12" s="569"/>
      <c r="RKV12" s="569"/>
      <c r="RKW12" s="569"/>
      <c r="RKX12" s="569"/>
      <c r="RKY12" s="569"/>
      <c r="RKZ12" s="569"/>
      <c r="RLA12" s="569"/>
      <c r="RLB12" s="569"/>
      <c r="RLC12" s="569"/>
      <c r="RLD12" s="569"/>
      <c r="RLE12" s="569"/>
      <c r="RLF12" s="569"/>
      <c r="RLG12" s="569"/>
      <c r="RLH12" s="569"/>
      <c r="RLI12" s="569"/>
      <c r="RLJ12" s="569"/>
      <c r="RLK12" s="569"/>
      <c r="RLL12" s="569"/>
      <c r="RLM12" s="569"/>
      <c r="RLN12" s="569"/>
      <c r="RLO12" s="569"/>
      <c r="RLP12" s="569"/>
      <c r="RLQ12" s="569"/>
      <c r="RLR12" s="569"/>
      <c r="RLS12" s="569"/>
      <c r="RLT12" s="569"/>
      <c r="RLU12" s="569"/>
      <c r="RLV12" s="569"/>
      <c r="RLW12" s="569"/>
      <c r="RLX12" s="569"/>
      <c r="RLY12" s="569"/>
      <c r="RLZ12" s="569"/>
      <c r="RMA12" s="569"/>
      <c r="RMB12" s="569"/>
      <c r="RMC12" s="569"/>
      <c r="RMD12" s="569"/>
      <c r="RME12" s="569"/>
      <c r="RMF12" s="569"/>
      <c r="RMG12" s="569"/>
      <c r="RMH12" s="569"/>
      <c r="RMI12" s="569"/>
      <c r="RMJ12" s="569"/>
      <c r="RMK12" s="569"/>
      <c r="RML12" s="569"/>
      <c r="RMM12" s="569"/>
      <c r="RMN12" s="569"/>
      <c r="RMO12" s="569"/>
      <c r="RMP12" s="569"/>
      <c r="RMQ12" s="569"/>
      <c r="RMR12" s="569"/>
      <c r="RMS12" s="569"/>
      <c r="RMT12" s="569"/>
      <c r="RMU12" s="569"/>
      <c r="RMV12" s="569"/>
      <c r="RMW12" s="569"/>
      <c r="RMX12" s="569"/>
      <c r="RMY12" s="569"/>
      <c r="RMZ12" s="569"/>
      <c r="RNA12" s="569"/>
      <c r="RNB12" s="569"/>
      <c r="RNC12" s="569"/>
      <c r="RND12" s="569"/>
      <c r="RNE12" s="569"/>
      <c r="RNF12" s="569"/>
      <c r="RNG12" s="569"/>
      <c r="RNH12" s="569"/>
      <c r="RNI12" s="569"/>
      <c r="RNJ12" s="569"/>
      <c r="RNK12" s="569"/>
      <c r="RNL12" s="569"/>
      <c r="RNM12" s="569"/>
      <c r="RNN12" s="569"/>
      <c r="RNO12" s="569"/>
      <c r="RNP12" s="569"/>
      <c r="RNQ12" s="569"/>
      <c r="RNR12" s="569"/>
      <c r="RNS12" s="569"/>
      <c r="RNT12" s="569"/>
      <c r="RNU12" s="569"/>
      <c r="RNV12" s="569"/>
      <c r="RNW12" s="569"/>
      <c r="RNX12" s="569"/>
      <c r="RNY12" s="569"/>
      <c r="RNZ12" s="569"/>
      <c r="ROA12" s="569"/>
      <c r="ROB12" s="569"/>
      <c r="ROC12" s="569"/>
      <c r="ROD12" s="569"/>
      <c r="ROE12" s="569"/>
      <c r="ROF12" s="569"/>
      <c r="ROG12" s="569"/>
      <c r="ROH12" s="569"/>
      <c r="ROI12" s="569"/>
      <c r="ROJ12" s="569"/>
      <c r="ROK12" s="569"/>
      <c r="ROL12" s="569"/>
      <c r="ROM12" s="569"/>
      <c r="RON12" s="569"/>
      <c r="ROO12" s="569"/>
      <c r="ROP12" s="569"/>
      <c r="ROQ12" s="569"/>
      <c r="ROR12" s="569"/>
      <c r="ROS12" s="569"/>
      <c r="ROT12" s="569"/>
      <c r="ROU12" s="569"/>
      <c r="ROV12" s="569"/>
      <c r="ROW12" s="569"/>
      <c r="ROX12" s="569"/>
      <c r="ROY12" s="569"/>
      <c r="ROZ12" s="569"/>
      <c r="RPA12" s="569"/>
      <c r="RPB12" s="569"/>
      <c r="RPC12" s="569"/>
      <c r="RPD12" s="569"/>
      <c r="RPE12" s="569"/>
      <c r="RPF12" s="569"/>
      <c r="RPG12" s="569"/>
      <c r="RPH12" s="569"/>
      <c r="RPI12" s="569"/>
      <c r="RPJ12" s="569"/>
      <c r="RPK12" s="569"/>
      <c r="RPL12" s="569"/>
      <c r="RPM12" s="569"/>
      <c r="RPN12" s="569"/>
      <c r="RPO12" s="569"/>
      <c r="RPP12" s="569"/>
      <c r="RPQ12" s="569"/>
      <c r="RPR12" s="569"/>
      <c r="RPS12" s="569"/>
      <c r="RPT12" s="569"/>
      <c r="RPU12" s="569"/>
      <c r="RPV12" s="569"/>
      <c r="RPW12" s="569"/>
      <c r="RPX12" s="569"/>
      <c r="RPY12" s="569"/>
      <c r="RPZ12" s="569"/>
      <c r="RQA12" s="569"/>
      <c r="RQB12" s="569"/>
      <c r="RQC12" s="569"/>
      <c r="RQD12" s="569"/>
      <c r="RQE12" s="569"/>
      <c r="RQF12" s="569"/>
      <c r="RQG12" s="569"/>
      <c r="RQH12" s="569"/>
      <c r="RQI12" s="569"/>
      <c r="RQJ12" s="569"/>
      <c r="RQK12" s="569"/>
      <c r="RQL12" s="569"/>
      <c r="RQM12" s="569"/>
      <c r="RQN12" s="569"/>
      <c r="RQO12" s="569"/>
      <c r="RQP12" s="569"/>
      <c r="RQQ12" s="569"/>
      <c r="RQR12" s="569"/>
      <c r="RQS12" s="569"/>
      <c r="RQT12" s="569"/>
      <c r="RQU12" s="569"/>
      <c r="RQV12" s="569"/>
      <c r="RQW12" s="569"/>
      <c r="RQX12" s="569"/>
      <c r="RQY12" s="569"/>
      <c r="RQZ12" s="569"/>
      <c r="RRA12" s="569"/>
      <c r="RRB12" s="569"/>
      <c r="RRC12" s="569"/>
      <c r="RRD12" s="569"/>
      <c r="RRE12" s="569"/>
      <c r="RRF12" s="569"/>
      <c r="RRG12" s="569"/>
      <c r="RRH12" s="569"/>
      <c r="RRI12" s="569"/>
      <c r="RRJ12" s="569"/>
      <c r="RRK12" s="569"/>
      <c r="RRL12" s="569"/>
      <c r="RRM12" s="569"/>
      <c r="RRN12" s="569"/>
      <c r="RRO12" s="569"/>
      <c r="RRP12" s="569"/>
      <c r="RRQ12" s="569"/>
      <c r="RRR12" s="569"/>
      <c r="RRS12" s="569"/>
      <c r="RRT12" s="569"/>
      <c r="RRU12" s="569"/>
      <c r="RRV12" s="569"/>
      <c r="RRW12" s="569"/>
      <c r="RRX12" s="569"/>
      <c r="RRY12" s="569"/>
      <c r="RRZ12" s="569"/>
      <c r="RSA12" s="569"/>
      <c r="RSB12" s="569"/>
      <c r="RSC12" s="569"/>
      <c r="RSD12" s="569"/>
      <c r="RSE12" s="569"/>
      <c r="RSF12" s="569"/>
      <c r="RSG12" s="569"/>
      <c r="RSH12" s="569"/>
      <c r="RSI12" s="569"/>
      <c r="RSJ12" s="569"/>
      <c r="RSK12" s="569"/>
      <c r="RSL12" s="569"/>
      <c r="RSM12" s="569"/>
      <c r="RSN12" s="569"/>
      <c r="RSO12" s="569"/>
      <c r="RSP12" s="569"/>
      <c r="RSQ12" s="569"/>
      <c r="RSR12" s="569"/>
      <c r="RSS12" s="569"/>
      <c r="RST12" s="569"/>
      <c r="RSU12" s="569"/>
      <c r="RSV12" s="569"/>
      <c r="RSW12" s="569"/>
      <c r="RSX12" s="569"/>
      <c r="RSY12" s="569"/>
      <c r="RSZ12" s="569"/>
      <c r="RTA12" s="569"/>
      <c r="RTB12" s="569"/>
      <c r="RTC12" s="569"/>
      <c r="RTD12" s="569"/>
      <c r="RTE12" s="569"/>
      <c r="RTF12" s="569"/>
      <c r="RTG12" s="569"/>
      <c r="RTH12" s="569"/>
      <c r="RTI12" s="569"/>
      <c r="RTJ12" s="569"/>
      <c r="RTK12" s="569"/>
      <c r="RTL12" s="569"/>
      <c r="RTM12" s="569"/>
      <c r="RTN12" s="569"/>
      <c r="RTO12" s="569"/>
      <c r="RTP12" s="569"/>
      <c r="RTQ12" s="569"/>
      <c r="RTR12" s="569"/>
      <c r="RTS12" s="569"/>
      <c r="RTT12" s="569"/>
      <c r="RTU12" s="569"/>
      <c r="RTV12" s="569"/>
      <c r="RTW12" s="569"/>
      <c r="RTX12" s="569"/>
      <c r="RTY12" s="569"/>
      <c r="RTZ12" s="569"/>
      <c r="RUA12" s="569"/>
      <c r="RUB12" s="569"/>
      <c r="RUC12" s="569"/>
      <c r="RUD12" s="569"/>
      <c r="RUE12" s="569"/>
      <c r="RUF12" s="569"/>
      <c r="RUG12" s="569"/>
      <c r="RUH12" s="569"/>
      <c r="RUI12" s="569"/>
      <c r="RUJ12" s="569"/>
      <c r="RUK12" s="569"/>
      <c r="RUL12" s="569"/>
      <c r="RUM12" s="569"/>
      <c r="RUN12" s="569"/>
      <c r="RUO12" s="569"/>
      <c r="RUP12" s="569"/>
      <c r="RUQ12" s="569"/>
      <c r="RUR12" s="569"/>
      <c r="RUS12" s="569"/>
      <c r="RUT12" s="569"/>
      <c r="RUU12" s="569"/>
      <c r="RUV12" s="569"/>
      <c r="RUW12" s="569"/>
      <c r="RUX12" s="569"/>
      <c r="RUY12" s="569"/>
      <c r="RUZ12" s="569"/>
      <c r="RVA12" s="569"/>
      <c r="RVB12" s="569"/>
      <c r="RVC12" s="569"/>
      <c r="RVD12" s="569"/>
      <c r="RVE12" s="569"/>
      <c r="RVF12" s="569"/>
      <c r="RVG12" s="569"/>
      <c r="RVH12" s="569"/>
      <c r="RVI12" s="569"/>
      <c r="RVJ12" s="569"/>
      <c r="RVK12" s="569"/>
      <c r="RVL12" s="569"/>
      <c r="RVM12" s="569"/>
      <c r="RVN12" s="569"/>
      <c r="RVO12" s="569"/>
      <c r="RVP12" s="569"/>
      <c r="RVQ12" s="569"/>
      <c r="RVR12" s="569"/>
      <c r="RVS12" s="569"/>
      <c r="RVT12" s="569"/>
      <c r="RVU12" s="569"/>
      <c r="RVV12" s="569"/>
      <c r="RVW12" s="569"/>
      <c r="RVX12" s="569"/>
      <c r="RVY12" s="569"/>
      <c r="RVZ12" s="569"/>
      <c r="RWA12" s="569"/>
      <c r="RWB12" s="569"/>
      <c r="RWC12" s="569"/>
      <c r="RWD12" s="569"/>
      <c r="RWE12" s="569"/>
      <c r="RWF12" s="569"/>
      <c r="RWG12" s="569"/>
      <c r="RWH12" s="569"/>
      <c r="RWI12" s="569"/>
      <c r="RWJ12" s="569"/>
      <c r="RWK12" s="569"/>
      <c r="RWL12" s="569"/>
      <c r="RWM12" s="569"/>
      <c r="RWN12" s="569"/>
      <c r="RWO12" s="569"/>
      <c r="RWP12" s="569"/>
      <c r="RWQ12" s="569"/>
      <c r="RWR12" s="569"/>
      <c r="RWS12" s="569"/>
      <c r="RWT12" s="569"/>
      <c r="RWU12" s="569"/>
      <c r="RWV12" s="569"/>
      <c r="RWW12" s="569"/>
      <c r="RWX12" s="569"/>
      <c r="RWY12" s="569"/>
      <c r="RWZ12" s="569"/>
      <c r="RXA12" s="569"/>
      <c r="RXB12" s="569"/>
      <c r="RXC12" s="569"/>
      <c r="RXD12" s="569"/>
      <c r="RXE12" s="569"/>
      <c r="RXF12" s="569"/>
      <c r="RXG12" s="569"/>
      <c r="RXH12" s="569"/>
      <c r="RXI12" s="569"/>
      <c r="RXJ12" s="569"/>
      <c r="RXK12" s="569"/>
      <c r="RXL12" s="569"/>
      <c r="RXM12" s="569"/>
      <c r="RXN12" s="569"/>
      <c r="RXO12" s="569"/>
      <c r="RXP12" s="569"/>
      <c r="RXQ12" s="569"/>
      <c r="RXR12" s="569"/>
      <c r="RXS12" s="569"/>
      <c r="RXT12" s="569"/>
      <c r="RXU12" s="569"/>
      <c r="RXV12" s="569"/>
      <c r="RXW12" s="569"/>
      <c r="RXX12" s="569"/>
      <c r="RXY12" s="569"/>
      <c r="RXZ12" s="569"/>
      <c r="RYA12" s="569"/>
      <c r="RYB12" s="569"/>
      <c r="RYC12" s="569"/>
      <c r="RYD12" s="569"/>
      <c r="RYE12" s="569"/>
      <c r="RYF12" s="569"/>
      <c r="RYG12" s="569"/>
      <c r="RYH12" s="569"/>
      <c r="RYI12" s="569"/>
      <c r="RYJ12" s="569"/>
      <c r="RYK12" s="569"/>
      <c r="RYL12" s="569"/>
      <c r="RYM12" s="569"/>
      <c r="RYN12" s="569"/>
      <c r="RYO12" s="569"/>
      <c r="RYP12" s="569"/>
      <c r="RYQ12" s="569"/>
      <c r="RYR12" s="569"/>
      <c r="RYS12" s="569"/>
      <c r="RYT12" s="569"/>
      <c r="RYU12" s="569"/>
      <c r="RYV12" s="569"/>
      <c r="RYW12" s="569"/>
      <c r="RYX12" s="569"/>
      <c r="RYY12" s="569"/>
      <c r="RYZ12" s="569"/>
      <c r="RZA12" s="569"/>
      <c r="RZB12" s="569"/>
      <c r="RZC12" s="569"/>
      <c r="RZD12" s="569"/>
      <c r="RZE12" s="569"/>
      <c r="RZF12" s="569"/>
      <c r="RZG12" s="569"/>
      <c r="RZH12" s="569"/>
      <c r="RZI12" s="569"/>
      <c r="RZJ12" s="569"/>
      <c r="RZK12" s="569"/>
      <c r="RZL12" s="569"/>
      <c r="RZM12" s="569"/>
      <c r="RZN12" s="569"/>
      <c r="RZO12" s="569"/>
      <c r="RZP12" s="569"/>
      <c r="RZQ12" s="569"/>
      <c r="RZR12" s="569"/>
      <c r="RZS12" s="569"/>
      <c r="RZT12" s="569"/>
      <c r="RZU12" s="569"/>
      <c r="RZV12" s="569"/>
      <c r="RZW12" s="569"/>
      <c r="RZX12" s="569"/>
      <c r="RZY12" s="569"/>
      <c r="RZZ12" s="569"/>
      <c r="SAA12" s="569"/>
      <c r="SAB12" s="569"/>
      <c r="SAC12" s="569"/>
      <c r="SAD12" s="569"/>
      <c r="SAE12" s="569"/>
      <c r="SAF12" s="569"/>
      <c r="SAG12" s="569"/>
      <c r="SAH12" s="569"/>
      <c r="SAI12" s="569"/>
      <c r="SAJ12" s="569"/>
      <c r="SAK12" s="569"/>
      <c r="SAL12" s="569"/>
      <c r="SAM12" s="569"/>
      <c r="SAN12" s="569"/>
      <c r="SAO12" s="569"/>
      <c r="SAP12" s="569"/>
      <c r="SAQ12" s="569"/>
      <c r="SAR12" s="569"/>
      <c r="SAS12" s="569"/>
      <c r="SAT12" s="569"/>
      <c r="SAU12" s="569"/>
      <c r="SAV12" s="569"/>
      <c r="SAW12" s="569"/>
      <c r="SAX12" s="569"/>
      <c r="SAY12" s="569"/>
      <c r="SAZ12" s="569"/>
      <c r="SBA12" s="569"/>
      <c r="SBB12" s="569"/>
      <c r="SBC12" s="569"/>
      <c r="SBD12" s="569"/>
      <c r="SBE12" s="569"/>
      <c r="SBF12" s="569"/>
      <c r="SBG12" s="569"/>
      <c r="SBH12" s="569"/>
      <c r="SBI12" s="569"/>
      <c r="SBJ12" s="569"/>
      <c r="SBK12" s="569"/>
      <c r="SBL12" s="569"/>
      <c r="SBM12" s="569"/>
      <c r="SBN12" s="569"/>
      <c r="SBO12" s="569"/>
      <c r="SBP12" s="569"/>
      <c r="SBQ12" s="569"/>
      <c r="SBR12" s="569"/>
      <c r="SBS12" s="569"/>
      <c r="SBT12" s="569"/>
      <c r="SBU12" s="569"/>
      <c r="SBV12" s="569"/>
      <c r="SBW12" s="569"/>
      <c r="SBX12" s="569"/>
      <c r="SBY12" s="569"/>
      <c r="SBZ12" s="569"/>
      <c r="SCA12" s="569"/>
      <c r="SCB12" s="569"/>
      <c r="SCC12" s="569"/>
      <c r="SCD12" s="569"/>
      <c r="SCE12" s="569"/>
      <c r="SCF12" s="569"/>
      <c r="SCG12" s="569"/>
      <c r="SCH12" s="569"/>
      <c r="SCI12" s="569"/>
      <c r="SCJ12" s="569"/>
      <c r="SCK12" s="569"/>
      <c r="SCL12" s="569"/>
      <c r="SCM12" s="569"/>
      <c r="SCN12" s="569"/>
      <c r="SCO12" s="569"/>
      <c r="SCP12" s="569"/>
      <c r="SCQ12" s="569"/>
      <c r="SCR12" s="569"/>
      <c r="SCS12" s="569"/>
      <c r="SCT12" s="569"/>
      <c r="SCU12" s="569"/>
      <c r="SCV12" s="569"/>
      <c r="SCW12" s="569"/>
      <c r="SCX12" s="569"/>
      <c r="SCY12" s="569"/>
      <c r="SCZ12" s="569"/>
      <c r="SDA12" s="569"/>
      <c r="SDB12" s="569"/>
      <c r="SDC12" s="569"/>
      <c r="SDD12" s="569"/>
      <c r="SDE12" s="569"/>
      <c r="SDF12" s="569"/>
      <c r="SDG12" s="569"/>
      <c r="SDH12" s="569"/>
      <c r="SDI12" s="569"/>
      <c r="SDJ12" s="569"/>
      <c r="SDK12" s="569"/>
      <c r="SDL12" s="569"/>
      <c r="SDM12" s="569"/>
      <c r="SDN12" s="569"/>
      <c r="SDO12" s="569"/>
      <c r="SDP12" s="569"/>
      <c r="SDQ12" s="569"/>
      <c r="SDR12" s="569"/>
      <c r="SDS12" s="569"/>
      <c r="SDT12" s="569"/>
      <c r="SDU12" s="569"/>
      <c r="SDV12" s="569"/>
      <c r="SDW12" s="569"/>
      <c r="SDX12" s="569"/>
      <c r="SDY12" s="569"/>
      <c r="SDZ12" s="569"/>
      <c r="SEA12" s="569"/>
      <c r="SEB12" s="569"/>
      <c r="SEC12" s="569"/>
      <c r="SED12" s="569"/>
      <c r="SEE12" s="569"/>
      <c r="SEF12" s="569"/>
      <c r="SEG12" s="569"/>
      <c r="SEH12" s="569"/>
      <c r="SEI12" s="569"/>
      <c r="SEJ12" s="569"/>
      <c r="SEK12" s="569"/>
      <c r="SEL12" s="569"/>
      <c r="SEM12" s="569"/>
      <c r="SEN12" s="569"/>
      <c r="SEO12" s="569"/>
      <c r="SEP12" s="569"/>
      <c r="SEQ12" s="569"/>
      <c r="SER12" s="569"/>
      <c r="SES12" s="569"/>
      <c r="SET12" s="569"/>
      <c r="SEU12" s="569"/>
      <c r="SEV12" s="569"/>
      <c r="SEW12" s="569"/>
      <c r="SEX12" s="569"/>
      <c r="SEY12" s="569"/>
      <c r="SEZ12" s="569"/>
      <c r="SFA12" s="569"/>
      <c r="SFB12" s="569"/>
      <c r="SFC12" s="569"/>
      <c r="SFD12" s="569"/>
      <c r="SFE12" s="569"/>
      <c r="SFF12" s="569"/>
      <c r="SFG12" s="569"/>
      <c r="SFH12" s="569"/>
      <c r="SFI12" s="569"/>
      <c r="SFJ12" s="569"/>
      <c r="SFK12" s="569"/>
      <c r="SFL12" s="569"/>
      <c r="SFM12" s="569"/>
      <c r="SFN12" s="569"/>
      <c r="SFO12" s="569"/>
      <c r="SFP12" s="569"/>
      <c r="SFQ12" s="569"/>
      <c r="SFR12" s="569"/>
      <c r="SFS12" s="569"/>
      <c r="SFT12" s="569"/>
      <c r="SFU12" s="569"/>
      <c r="SFV12" s="569"/>
      <c r="SFW12" s="569"/>
      <c r="SFX12" s="569"/>
      <c r="SFY12" s="569"/>
      <c r="SFZ12" s="569"/>
      <c r="SGA12" s="569"/>
      <c r="SGB12" s="569"/>
      <c r="SGC12" s="569"/>
      <c r="SGD12" s="569"/>
      <c r="SGE12" s="569"/>
      <c r="SGF12" s="569"/>
      <c r="SGG12" s="569"/>
      <c r="SGH12" s="569"/>
      <c r="SGI12" s="569"/>
      <c r="SGJ12" s="569"/>
      <c r="SGK12" s="569"/>
      <c r="SGL12" s="569"/>
      <c r="SGM12" s="569"/>
      <c r="SGN12" s="569"/>
      <c r="SGO12" s="569"/>
      <c r="SGP12" s="569"/>
      <c r="SGQ12" s="569"/>
      <c r="SGR12" s="569"/>
      <c r="SGS12" s="569"/>
      <c r="SGT12" s="569"/>
      <c r="SGU12" s="569"/>
      <c r="SGV12" s="569"/>
      <c r="SGW12" s="569"/>
      <c r="SGX12" s="569"/>
      <c r="SGY12" s="569"/>
      <c r="SGZ12" s="569"/>
      <c r="SHA12" s="569"/>
      <c r="SHB12" s="569"/>
      <c r="SHC12" s="569"/>
      <c r="SHD12" s="569"/>
      <c r="SHE12" s="569"/>
      <c r="SHF12" s="569"/>
      <c r="SHG12" s="569"/>
      <c r="SHH12" s="569"/>
      <c r="SHI12" s="569"/>
      <c r="SHJ12" s="569"/>
      <c r="SHK12" s="569"/>
      <c r="SHL12" s="569"/>
      <c r="SHM12" s="569"/>
      <c r="SHN12" s="569"/>
      <c r="SHO12" s="569"/>
      <c r="SHP12" s="569"/>
      <c r="SHQ12" s="569"/>
      <c r="SHR12" s="569"/>
      <c r="SHS12" s="569"/>
      <c r="SHT12" s="569"/>
      <c r="SHU12" s="569"/>
      <c r="SHV12" s="569"/>
      <c r="SHW12" s="569"/>
      <c r="SHX12" s="569"/>
      <c r="SHY12" s="569"/>
      <c r="SHZ12" s="569"/>
      <c r="SIA12" s="569"/>
      <c r="SIB12" s="569"/>
      <c r="SIC12" s="569"/>
      <c r="SID12" s="569"/>
      <c r="SIE12" s="569"/>
      <c r="SIF12" s="569"/>
      <c r="SIG12" s="569"/>
      <c r="SIH12" s="569"/>
      <c r="SII12" s="569"/>
      <c r="SIJ12" s="569"/>
      <c r="SIK12" s="569"/>
      <c r="SIL12" s="569"/>
      <c r="SIM12" s="569"/>
      <c r="SIN12" s="569"/>
      <c r="SIO12" s="569"/>
      <c r="SIP12" s="569"/>
      <c r="SIQ12" s="569"/>
      <c r="SIR12" s="569"/>
      <c r="SIS12" s="569"/>
      <c r="SIT12" s="569"/>
      <c r="SIU12" s="569"/>
      <c r="SIV12" s="569"/>
      <c r="SIW12" s="569"/>
      <c r="SIX12" s="569"/>
      <c r="SIY12" s="569"/>
      <c r="SIZ12" s="569"/>
      <c r="SJA12" s="569"/>
      <c r="SJB12" s="569"/>
      <c r="SJC12" s="569"/>
      <c r="SJD12" s="569"/>
      <c r="SJE12" s="569"/>
      <c r="SJF12" s="569"/>
      <c r="SJG12" s="569"/>
      <c r="SJH12" s="569"/>
      <c r="SJI12" s="569"/>
      <c r="SJJ12" s="569"/>
      <c r="SJK12" s="569"/>
      <c r="SJL12" s="569"/>
      <c r="SJM12" s="569"/>
      <c r="SJN12" s="569"/>
      <c r="SJO12" s="569"/>
      <c r="SJP12" s="569"/>
      <c r="SJQ12" s="569"/>
      <c r="SJR12" s="569"/>
      <c r="SJS12" s="569"/>
      <c r="SJT12" s="569"/>
      <c r="SJU12" s="569"/>
      <c r="SJV12" s="569"/>
      <c r="SJW12" s="569"/>
      <c r="SJX12" s="569"/>
      <c r="SJY12" s="569"/>
      <c r="SJZ12" s="569"/>
      <c r="SKA12" s="569"/>
      <c r="SKB12" s="569"/>
      <c r="SKC12" s="569"/>
      <c r="SKD12" s="569"/>
      <c r="SKE12" s="569"/>
      <c r="SKF12" s="569"/>
      <c r="SKG12" s="569"/>
      <c r="SKH12" s="569"/>
      <c r="SKI12" s="569"/>
      <c r="SKJ12" s="569"/>
      <c r="SKK12" s="569"/>
      <c r="SKL12" s="569"/>
      <c r="SKM12" s="569"/>
      <c r="SKN12" s="569"/>
      <c r="SKO12" s="569"/>
      <c r="SKP12" s="569"/>
      <c r="SKQ12" s="569"/>
      <c r="SKR12" s="569"/>
      <c r="SKS12" s="569"/>
      <c r="SKT12" s="569"/>
      <c r="SKU12" s="569"/>
      <c r="SKV12" s="569"/>
      <c r="SKW12" s="569"/>
      <c r="SKX12" s="569"/>
      <c r="SKY12" s="569"/>
      <c r="SKZ12" s="569"/>
      <c r="SLA12" s="569"/>
      <c r="SLB12" s="569"/>
      <c r="SLC12" s="569"/>
      <c r="SLD12" s="569"/>
      <c r="SLE12" s="569"/>
      <c r="SLF12" s="569"/>
      <c r="SLG12" s="569"/>
      <c r="SLH12" s="569"/>
      <c r="SLI12" s="569"/>
      <c r="SLJ12" s="569"/>
      <c r="SLK12" s="569"/>
      <c r="SLL12" s="569"/>
      <c r="SLM12" s="569"/>
      <c r="SLN12" s="569"/>
      <c r="SLO12" s="569"/>
      <c r="SLP12" s="569"/>
      <c r="SLQ12" s="569"/>
      <c r="SLR12" s="569"/>
      <c r="SLS12" s="569"/>
      <c r="SLT12" s="569"/>
      <c r="SLU12" s="569"/>
      <c r="SLV12" s="569"/>
      <c r="SLW12" s="569"/>
      <c r="SLX12" s="569"/>
      <c r="SLY12" s="569"/>
      <c r="SLZ12" s="569"/>
      <c r="SMA12" s="569"/>
      <c r="SMB12" s="569"/>
      <c r="SMC12" s="569"/>
      <c r="SMD12" s="569"/>
      <c r="SME12" s="569"/>
      <c r="SMF12" s="569"/>
      <c r="SMG12" s="569"/>
      <c r="SMH12" s="569"/>
      <c r="SMI12" s="569"/>
      <c r="SMJ12" s="569"/>
      <c r="SMK12" s="569"/>
      <c r="SML12" s="569"/>
      <c r="SMM12" s="569"/>
      <c r="SMN12" s="569"/>
      <c r="SMO12" s="569"/>
      <c r="SMP12" s="569"/>
      <c r="SMQ12" s="569"/>
      <c r="SMR12" s="569"/>
      <c r="SMS12" s="569"/>
      <c r="SMT12" s="569"/>
      <c r="SMU12" s="569"/>
      <c r="SMV12" s="569"/>
      <c r="SMW12" s="569"/>
      <c r="SMX12" s="569"/>
      <c r="SMY12" s="569"/>
      <c r="SMZ12" s="569"/>
      <c r="SNA12" s="569"/>
      <c r="SNB12" s="569"/>
      <c r="SNC12" s="569"/>
      <c r="SND12" s="569"/>
      <c r="SNE12" s="569"/>
      <c r="SNF12" s="569"/>
      <c r="SNG12" s="569"/>
      <c r="SNH12" s="569"/>
      <c r="SNI12" s="569"/>
      <c r="SNJ12" s="569"/>
      <c r="SNK12" s="569"/>
      <c r="SNL12" s="569"/>
      <c r="SNM12" s="569"/>
      <c r="SNN12" s="569"/>
      <c r="SNO12" s="569"/>
      <c r="SNP12" s="569"/>
      <c r="SNQ12" s="569"/>
      <c r="SNR12" s="569"/>
      <c r="SNS12" s="569"/>
      <c r="SNT12" s="569"/>
      <c r="SNU12" s="569"/>
      <c r="SNV12" s="569"/>
      <c r="SNW12" s="569"/>
      <c r="SNX12" s="569"/>
      <c r="SNY12" s="569"/>
      <c r="SNZ12" s="569"/>
      <c r="SOA12" s="569"/>
      <c r="SOB12" s="569"/>
      <c r="SOC12" s="569"/>
      <c r="SOD12" s="569"/>
      <c r="SOE12" s="569"/>
      <c r="SOF12" s="569"/>
      <c r="SOG12" s="569"/>
      <c r="SOH12" s="569"/>
      <c r="SOI12" s="569"/>
      <c r="SOJ12" s="569"/>
      <c r="SOK12" s="569"/>
      <c r="SOL12" s="569"/>
      <c r="SOM12" s="569"/>
      <c r="SON12" s="569"/>
      <c r="SOO12" s="569"/>
      <c r="SOP12" s="569"/>
      <c r="SOQ12" s="569"/>
      <c r="SOR12" s="569"/>
      <c r="SOS12" s="569"/>
      <c r="SOT12" s="569"/>
      <c r="SOU12" s="569"/>
      <c r="SOV12" s="569"/>
      <c r="SOW12" s="569"/>
      <c r="SOX12" s="569"/>
      <c r="SOY12" s="569"/>
      <c r="SOZ12" s="569"/>
      <c r="SPA12" s="569"/>
      <c r="SPB12" s="569"/>
      <c r="SPC12" s="569"/>
      <c r="SPD12" s="569"/>
      <c r="SPE12" s="569"/>
      <c r="SPF12" s="569"/>
      <c r="SPG12" s="569"/>
      <c r="SPH12" s="569"/>
      <c r="SPI12" s="569"/>
      <c r="SPJ12" s="569"/>
      <c r="SPK12" s="569"/>
      <c r="SPL12" s="569"/>
      <c r="SPM12" s="569"/>
      <c r="SPN12" s="569"/>
      <c r="SPO12" s="569"/>
      <c r="SPP12" s="569"/>
      <c r="SPQ12" s="569"/>
      <c r="SPR12" s="569"/>
      <c r="SPS12" s="569"/>
      <c r="SPT12" s="569"/>
      <c r="SPU12" s="569"/>
      <c r="SPV12" s="569"/>
      <c r="SPW12" s="569"/>
      <c r="SPX12" s="569"/>
      <c r="SPY12" s="569"/>
      <c r="SPZ12" s="569"/>
      <c r="SQA12" s="569"/>
      <c r="SQB12" s="569"/>
      <c r="SQC12" s="569"/>
      <c r="SQD12" s="569"/>
      <c r="SQE12" s="569"/>
      <c r="SQF12" s="569"/>
      <c r="SQG12" s="569"/>
      <c r="SQH12" s="569"/>
      <c r="SQI12" s="569"/>
      <c r="SQJ12" s="569"/>
      <c r="SQK12" s="569"/>
      <c r="SQL12" s="569"/>
      <c r="SQM12" s="569"/>
      <c r="SQN12" s="569"/>
      <c r="SQO12" s="569"/>
      <c r="SQP12" s="569"/>
      <c r="SQQ12" s="569"/>
      <c r="SQR12" s="569"/>
      <c r="SQS12" s="569"/>
      <c r="SQT12" s="569"/>
      <c r="SQU12" s="569"/>
      <c r="SQV12" s="569"/>
      <c r="SQW12" s="569"/>
      <c r="SQX12" s="569"/>
      <c r="SQY12" s="569"/>
      <c r="SQZ12" s="569"/>
      <c r="SRA12" s="569"/>
      <c r="SRB12" s="569"/>
      <c r="SRC12" s="569"/>
      <c r="SRD12" s="569"/>
      <c r="SRE12" s="569"/>
      <c r="SRF12" s="569"/>
      <c r="SRG12" s="569"/>
      <c r="SRH12" s="569"/>
      <c r="SRI12" s="569"/>
      <c r="SRJ12" s="569"/>
      <c r="SRK12" s="569"/>
      <c r="SRL12" s="569"/>
      <c r="SRM12" s="569"/>
      <c r="SRN12" s="569"/>
      <c r="SRO12" s="569"/>
      <c r="SRP12" s="569"/>
      <c r="SRQ12" s="569"/>
      <c r="SRR12" s="569"/>
      <c r="SRS12" s="569"/>
      <c r="SRT12" s="569"/>
      <c r="SRU12" s="569"/>
      <c r="SRV12" s="569"/>
      <c r="SRW12" s="569"/>
      <c r="SRX12" s="569"/>
      <c r="SRY12" s="569"/>
      <c r="SRZ12" s="569"/>
      <c r="SSA12" s="569"/>
      <c r="SSB12" s="569"/>
      <c r="SSC12" s="569"/>
      <c r="SSD12" s="569"/>
      <c r="SSE12" s="569"/>
      <c r="SSF12" s="569"/>
      <c r="SSG12" s="569"/>
      <c r="SSH12" s="569"/>
      <c r="SSI12" s="569"/>
      <c r="SSJ12" s="569"/>
      <c r="SSK12" s="569"/>
      <c r="SSL12" s="569"/>
      <c r="SSM12" s="569"/>
      <c r="SSN12" s="569"/>
      <c r="SSO12" s="569"/>
      <c r="SSP12" s="569"/>
      <c r="SSQ12" s="569"/>
      <c r="SSR12" s="569"/>
      <c r="SSS12" s="569"/>
      <c r="SST12" s="569"/>
      <c r="SSU12" s="569"/>
      <c r="SSV12" s="569"/>
      <c r="SSW12" s="569"/>
      <c r="SSX12" s="569"/>
      <c r="SSY12" s="569"/>
      <c r="SSZ12" s="569"/>
      <c r="STA12" s="569"/>
      <c r="STB12" s="569"/>
      <c r="STC12" s="569"/>
      <c r="STD12" s="569"/>
      <c r="STE12" s="569"/>
      <c r="STF12" s="569"/>
      <c r="STG12" s="569"/>
      <c r="STH12" s="569"/>
      <c r="STI12" s="569"/>
      <c r="STJ12" s="569"/>
      <c r="STK12" s="569"/>
      <c r="STL12" s="569"/>
      <c r="STM12" s="569"/>
      <c r="STN12" s="569"/>
      <c r="STO12" s="569"/>
      <c r="STP12" s="569"/>
      <c r="STQ12" s="569"/>
      <c r="STR12" s="569"/>
      <c r="STS12" s="569"/>
      <c r="STT12" s="569"/>
      <c r="STU12" s="569"/>
      <c r="STV12" s="569"/>
      <c r="STW12" s="569"/>
      <c r="STX12" s="569"/>
      <c r="STY12" s="569"/>
      <c r="STZ12" s="569"/>
      <c r="SUA12" s="569"/>
      <c r="SUB12" s="569"/>
      <c r="SUC12" s="569"/>
      <c r="SUD12" s="569"/>
      <c r="SUE12" s="569"/>
      <c r="SUF12" s="569"/>
      <c r="SUG12" s="569"/>
      <c r="SUH12" s="569"/>
      <c r="SUI12" s="569"/>
      <c r="SUJ12" s="569"/>
      <c r="SUK12" s="569"/>
      <c r="SUL12" s="569"/>
      <c r="SUM12" s="569"/>
      <c r="SUN12" s="569"/>
      <c r="SUO12" s="569"/>
      <c r="SUP12" s="569"/>
      <c r="SUQ12" s="569"/>
      <c r="SUR12" s="569"/>
      <c r="SUS12" s="569"/>
      <c r="SUT12" s="569"/>
      <c r="SUU12" s="569"/>
      <c r="SUV12" s="569"/>
      <c r="SUW12" s="569"/>
      <c r="SUX12" s="569"/>
      <c r="SUY12" s="569"/>
      <c r="SUZ12" s="569"/>
      <c r="SVA12" s="569"/>
      <c r="SVB12" s="569"/>
      <c r="SVC12" s="569"/>
      <c r="SVD12" s="569"/>
      <c r="SVE12" s="569"/>
      <c r="SVF12" s="569"/>
      <c r="SVG12" s="569"/>
      <c r="SVH12" s="569"/>
      <c r="SVI12" s="569"/>
      <c r="SVJ12" s="569"/>
      <c r="SVK12" s="569"/>
      <c r="SVL12" s="569"/>
      <c r="SVM12" s="569"/>
      <c r="SVN12" s="569"/>
      <c r="SVO12" s="569"/>
      <c r="SVP12" s="569"/>
      <c r="SVQ12" s="569"/>
      <c r="SVR12" s="569"/>
      <c r="SVS12" s="569"/>
      <c r="SVT12" s="569"/>
      <c r="SVU12" s="569"/>
      <c r="SVV12" s="569"/>
      <c r="SVW12" s="569"/>
      <c r="SVX12" s="569"/>
      <c r="SVY12" s="569"/>
      <c r="SVZ12" s="569"/>
      <c r="SWA12" s="569"/>
      <c r="SWB12" s="569"/>
      <c r="SWC12" s="569"/>
      <c r="SWD12" s="569"/>
      <c r="SWE12" s="569"/>
      <c r="SWF12" s="569"/>
      <c r="SWG12" s="569"/>
      <c r="SWH12" s="569"/>
      <c r="SWI12" s="569"/>
      <c r="SWJ12" s="569"/>
      <c r="SWK12" s="569"/>
      <c r="SWL12" s="569"/>
      <c r="SWM12" s="569"/>
      <c r="SWN12" s="569"/>
      <c r="SWO12" s="569"/>
      <c r="SWP12" s="569"/>
      <c r="SWQ12" s="569"/>
      <c r="SWR12" s="569"/>
      <c r="SWS12" s="569"/>
      <c r="SWT12" s="569"/>
      <c r="SWU12" s="569"/>
      <c r="SWV12" s="569"/>
      <c r="SWW12" s="569"/>
      <c r="SWX12" s="569"/>
      <c r="SWY12" s="569"/>
      <c r="SWZ12" s="569"/>
      <c r="SXA12" s="569"/>
      <c r="SXB12" s="569"/>
      <c r="SXC12" s="569"/>
      <c r="SXD12" s="569"/>
      <c r="SXE12" s="569"/>
      <c r="SXF12" s="569"/>
      <c r="SXG12" s="569"/>
      <c r="SXH12" s="569"/>
      <c r="SXI12" s="569"/>
      <c r="SXJ12" s="569"/>
      <c r="SXK12" s="569"/>
      <c r="SXL12" s="569"/>
      <c r="SXM12" s="569"/>
      <c r="SXN12" s="569"/>
      <c r="SXO12" s="569"/>
      <c r="SXP12" s="569"/>
      <c r="SXQ12" s="569"/>
      <c r="SXR12" s="569"/>
      <c r="SXS12" s="569"/>
      <c r="SXT12" s="569"/>
      <c r="SXU12" s="569"/>
      <c r="SXV12" s="569"/>
      <c r="SXW12" s="569"/>
      <c r="SXX12" s="569"/>
      <c r="SXY12" s="569"/>
      <c r="SXZ12" s="569"/>
      <c r="SYA12" s="569"/>
      <c r="SYB12" s="569"/>
      <c r="SYC12" s="569"/>
      <c r="SYD12" s="569"/>
      <c r="SYE12" s="569"/>
      <c r="SYF12" s="569"/>
      <c r="SYG12" s="569"/>
      <c r="SYH12" s="569"/>
      <c r="SYI12" s="569"/>
      <c r="SYJ12" s="569"/>
      <c r="SYK12" s="569"/>
      <c r="SYL12" s="569"/>
      <c r="SYM12" s="569"/>
      <c r="SYN12" s="569"/>
      <c r="SYO12" s="569"/>
      <c r="SYP12" s="569"/>
      <c r="SYQ12" s="569"/>
      <c r="SYR12" s="569"/>
      <c r="SYS12" s="569"/>
      <c r="SYT12" s="569"/>
      <c r="SYU12" s="569"/>
      <c r="SYV12" s="569"/>
      <c r="SYW12" s="569"/>
      <c r="SYX12" s="569"/>
      <c r="SYY12" s="569"/>
      <c r="SYZ12" s="569"/>
      <c r="SZA12" s="569"/>
      <c r="SZB12" s="569"/>
      <c r="SZC12" s="569"/>
      <c r="SZD12" s="569"/>
      <c r="SZE12" s="569"/>
      <c r="SZF12" s="569"/>
      <c r="SZG12" s="569"/>
      <c r="SZH12" s="569"/>
      <c r="SZI12" s="569"/>
      <c r="SZJ12" s="569"/>
      <c r="SZK12" s="569"/>
      <c r="SZL12" s="569"/>
      <c r="SZM12" s="569"/>
      <c r="SZN12" s="569"/>
      <c r="SZO12" s="569"/>
      <c r="SZP12" s="569"/>
      <c r="SZQ12" s="569"/>
      <c r="SZR12" s="569"/>
      <c r="SZS12" s="569"/>
      <c r="SZT12" s="569"/>
      <c r="SZU12" s="569"/>
      <c r="SZV12" s="569"/>
      <c r="SZW12" s="569"/>
      <c r="SZX12" s="569"/>
      <c r="SZY12" s="569"/>
      <c r="SZZ12" s="569"/>
      <c r="TAA12" s="569"/>
      <c r="TAB12" s="569"/>
      <c r="TAC12" s="569"/>
      <c r="TAD12" s="569"/>
      <c r="TAE12" s="569"/>
      <c r="TAF12" s="569"/>
      <c r="TAG12" s="569"/>
      <c r="TAH12" s="569"/>
      <c r="TAI12" s="569"/>
      <c r="TAJ12" s="569"/>
      <c r="TAK12" s="569"/>
      <c r="TAL12" s="569"/>
      <c r="TAM12" s="569"/>
      <c r="TAN12" s="569"/>
      <c r="TAO12" s="569"/>
      <c r="TAP12" s="569"/>
      <c r="TAQ12" s="569"/>
      <c r="TAR12" s="569"/>
      <c r="TAS12" s="569"/>
      <c r="TAT12" s="569"/>
      <c r="TAU12" s="569"/>
      <c r="TAV12" s="569"/>
      <c r="TAW12" s="569"/>
      <c r="TAX12" s="569"/>
      <c r="TAY12" s="569"/>
      <c r="TAZ12" s="569"/>
      <c r="TBA12" s="569"/>
      <c r="TBB12" s="569"/>
      <c r="TBC12" s="569"/>
      <c r="TBD12" s="569"/>
      <c r="TBE12" s="569"/>
      <c r="TBF12" s="569"/>
      <c r="TBG12" s="569"/>
      <c r="TBH12" s="569"/>
      <c r="TBI12" s="569"/>
      <c r="TBJ12" s="569"/>
      <c r="TBK12" s="569"/>
      <c r="TBL12" s="569"/>
      <c r="TBM12" s="569"/>
      <c r="TBN12" s="569"/>
      <c r="TBO12" s="569"/>
      <c r="TBP12" s="569"/>
      <c r="TBQ12" s="569"/>
      <c r="TBR12" s="569"/>
      <c r="TBS12" s="569"/>
      <c r="TBT12" s="569"/>
      <c r="TBU12" s="569"/>
      <c r="TBV12" s="569"/>
      <c r="TBW12" s="569"/>
      <c r="TBX12" s="569"/>
      <c r="TBY12" s="569"/>
      <c r="TBZ12" s="569"/>
      <c r="TCA12" s="569"/>
      <c r="TCB12" s="569"/>
      <c r="TCC12" s="569"/>
      <c r="TCD12" s="569"/>
      <c r="TCE12" s="569"/>
      <c r="TCF12" s="569"/>
      <c r="TCG12" s="569"/>
      <c r="TCH12" s="569"/>
      <c r="TCI12" s="569"/>
      <c r="TCJ12" s="569"/>
      <c r="TCK12" s="569"/>
      <c r="TCL12" s="569"/>
      <c r="TCM12" s="569"/>
      <c r="TCN12" s="569"/>
      <c r="TCO12" s="569"/>
      <c r="TCP12" s="569"/>
      <c r="TCQ12" s="569"/>
      <c r="TCR12" s="569"/>
      <c r="TCS12" s="569"/>
      <c r="TCT12" s="569"/>
      <c r="TCU12" s="569"/>
      <c r="TCV12" s="569"/>
      <c r="TCW12" s="569"/>
      <c r="TCX12" s="569"/>
      <c r="TCY12" s="569"/>
      <c r="TCZ12" s="569"/>
      <c r="TDA12" s="569"/>
      <c r="TDB12" s="569"/>
      <c r="TDC12" s="569"/>
      <c r="TDD12" s="569"/>
      <c r="TDE12" s="569"/>
      <c r="TDF12" s="569"/>
      <c r="TDG12" s="569"/>
      <c r="TDH12" s="569"/>
      <c r="TDI12" s="569"/>
      <c r="TDJ12" s="569"/>
      <c r="TDK12" s="569"/>
      <c r="TDL12" s="569"/>
      <c r="TDM12" s="569"/>
      <c r="TDN12" s="569"/>
      <c r="TDO12" s="569"/>
      <c r="TDP12" s="569"/>
      <c r="TDQ12" s="569"/>
      <c r="TDR12" s="569"/>
      <c r="TDS12" s="569"/>
      <c r="TDT12" s="569"/>
      <c r="TDU12" s="569"/>
      <c r="TDV12" s="569"/>
      <c r="TDW12" s="569"/>
      <c r="TDX12" s="569"/>
      <c r="TDY12" s="569"/>
      <c r="TDZ12" s="569"/>
      <c r="TEA12" s="569"/>
      <c r="TEB12" s="569"/>
      <c r="TEC12" s="569"/>
      <c r="TED12" s="569"/>
      <c r="TEE12" s="569"/>
      <c r="TEF12" s="569"/>
      <c r="TEG12" s="569"/>
      <c r="TEH12" s="569"/>
      <c r="TEI12" s="569"/>
      <c r="TEJ12" s="569"/>
      <c r="TEK12" s="569"/>
      <c r="TEL12" s="569"/>
      <c r="TEM12" s="569"/>
      <c r="TEN12" s="569"/>
      <c r="TEO12" s="569"/>
      <c r="TEP12" s="569"/>
      <c r="TEQ12" s="569"/>
      <c r="TER12" s="569"/>
      <c r="TES12" s="569"/>
      <c r="TET12" s="569"/>
      <c r="TEU12" s="569"/>
      <c r="TEV12" s="569"/>
      <c r="TEW12" s="569"/>
      <c r="TEX12" s="569"/>
      <c r="TEY12" s="569"/>
      <c r="TEZ12" s="569"/>
      <c r="TFA12" s="569"/>
      <c r="TFB12" s="569"/>
      <c r="TFC12" s="569"/>
      <c r="TFD12" s="569"/>
      <c r="TFE12" s="569"/>
      <c r="TFF12" s="569"/>
      <c r="TFG12" s="569"/>
      <c r="TFH12" s="569"/>
      <c r="TFI12" s="569"/>
      <c r="TFJ12" s="569"/>
      <c r="TFK12" s="569"/>
      <c r="TFL12" s="569"/>
      <c r="TFM12" s="569"/>
      <c r="TFN12" s="569"/>
      <c r="TFO12" s="569"/>
      <c r="TFP12" s="569"/>
      <c r="TFQ12" s="569"/>
      <c r="TFR12" s="569"/>
      <c r="TFS12" s="569"/>
      <c r="TFT12" s="569"/>
      <c r="TFU12" s="569"/>
      <c r="TFV12" s="569"/>
      <c r="TFW12" s="569"/>
      <c r="TFX12" s="569"/>
      <c r="TFY12" s="569"/>
      <c r="TFZ12" s="569"/>
      <c r="TGA12" s="569"/>
      <c r="TGB12" s="569"/>
      <c r="TGC12" s="569"/>
      <c r="TGD12" s="569"/>
      <c r="TGE12" s="569"/>
      <c r="TGF12" s="569"/>
      <c r="TGG12" s="569"/>
      <c r="TGH12" s="569"/>
      <c r="TGI12" s="569"/>
      <c r="TGJ12" s="569"/>
      <c r="TGK12" s="569"/>
      <c r="TGL12" s="569"/>
      <c r="TGM12" s="569"/>
      <c r="TGN12" s="569"/>
      <c r="TGO12" s="569"/>
      <c r="TGP12" s="569"/>
      <c r="TGQ12" s="569"/>
      <c r="TGR12" s="569"/>
      <c r="TGS12" s="569"/>
      <c r="TGT12" s="569"/>
      <c r="TGU12" s="569"/>
      <c r="TGV12" s="569"/>
      <c r="TGW12" s="569"/>
      <c r="TGX12" s="569"/>
      <c r="TGY12" s="569"/>
      <c r="TGZ12" s="569"/>
      <c r="THA12" s="569"/>
      <c r="THB12" s="569"/>
      <c r="THC12" s="569"/>
      <c r="THD12" s="569"/>
      <c r="THE12" s="569"/>
      <c r="THF12" s="569"/>
      <c r="THG12" s="569"/>
      <c r="THH12" s="569"/>
      <c r="THI12" s="569"/>
      <c r="THJ12" s="569"/>
      <c r="THK12" s="569"/>
      <c r="THL12" s="569"/>
      <c r="THM12" s="569"/>
      <c r="THN12" s="569"/>
      <c r="THO12" s="569"/>
      <c r="THP12" s="569"/>
      <c r="THQ12" s="569"/>
      <c r="THR12" s="569"/>
      <c r="THS12" s="569"/>
      <c r="THT12" s="569"/>
      <c r="THU12" s="569"/>
      <c r="THV12" s="569"/>
      <c r="THW12" s="569"/>
      <c r="THX12" s="569"/>
      <c r="THY12" s="569"/>
      <c r="THZ12" s="569"/>
      <c r="TIA12" s="569"/>
      <c r="TIB12" s="569"/>
      <c r="TIC12" s="569"/>
      <c r="TID12" s="569"/>
      <c r="TIE12" s="569"/>
      <c r="TIF12" s="569"/>
      <c r="TIG12" s="569"/>
      <c r="TIH12" s="569"/>
      <c r="TII12" s="569"/>
      <c r="TIJ12" s="569"/>
      <c r="TIK12" s="569"/>
      <c r="TIL12" s="569"/>
      <c r="TIM12" s="569"/>
      <c r="TIN12" s="569"/>
      <c r="TIO12" s="569"/>
      <c r="TIP12" s="569"/>
      <c r="TIQ12" s="569"/>
      <c r="TIR12" s="569"/>
      <c r="TIS12" s="569"/>
      <c r="TIT12" s="569"/>
      <c r="TIU12" s="569"/>
      <c r="TIV12" s="569"/>
      <c r="TIW12" s="569"/>
      <c r="TIX12" s="569"/>
      <c r="TIY12" s="569"/>
      <c r="TIZ12" s="569"/>
      <c r="TJA12" s="569"/>
      <c r="TJB12" s="569"/>
      <c r="TJC12" s="569"/>
      <c r="TJD12" s="569"/>
      <c r="TJE12" s="569"/>
      <c r="TJF12" s="569"/>
      <c r="TJG12" s="569"/>
      <c r="TJH12" s="569"/>
      <c r="TJI12" s="569"/>
      <c r="TJJ12" s="569"/>
      <c r="TJK12" s="569"/>
      <c r="TJL12" s="569"/>
      <c r="TJM12" s="569"/>
      <c r="TJN12" s="569"/>
      <c r="TJO12" s="569"/>
      <c r="TJP12" s="569"/>
      <c r="TJQ12" s="569"/>
      <c r="TJR12" s="569"/>
      <c r="TJS12" s="569"/>
      <c r="TJT12" s="569"/>
      <c r="TJU12" s="569"/>
      <c r="TJV12" s="569"/>
      <c r="TJW12" s="569"/>
      <c r="TJX12" s="569"/>
      <c r="TJY12" s="569"/>
      <c r="TJZ12" s="569"/>
      <c r="TKA12" s="569"/>
      <c r="TKB12" s="569"/>
      <c r="TKC12" s="569"/>
      <c r="TKD12" s="569"/>
      <c r="TKE12" s="569"/>
      <c r="TKF12" s="569"/>
      <c r="TKG12" s="569"/>
      <c r="TKH12" s="569"/>
      <c r="TKI12" s="569"/>
      <c r="TKJ12" s="569"/>
      <c r="TKK12" s="569"/>
      <c r="TKL12" s="569"/>
      <c r="TKM12" s="569"/>
      <c r="TKN12" s="569"/>
      <c r="TKO12" s="569"/>
      <c r="TKP12" s="569"/>
      <c r="TKQ12" s="569"/>
      <c r="TKR12" s="569"/>
      <c r="TKS12" s="569"/>
      <c r="TKT12" s="569"/>
      <c r="TKU12" s="569"/>
      <c r="TKV12" s="569"/>
      <c r="TKW12" s="569"/>
      <c r="TKX12" s="569"/>
      <c r="TKY12" s="569"/>
      <c r="TKZ12" s="569"/>
      <c r="TLA12" s="569"/>
      <c r="TLB12" s="569"/>
      <c r="TLC12" s="569"/>
      <c r="TLD12" s="569"/>
      <c r="TLE12" s="569"/>
      <c r="TLF12" s="569"/>
      <c r="TLG12" s="569"/>
      <c r="TLH12" s="569"/>
      <c r="TLI12" s="569"/>
      <c r="TLJ12" s="569"/>
      <c r="TLK12" s="569"/>
      <c r="TLL12" s="569"/>
      <c r="TLM12" s="569"/>
      <c r="TLN12" s="569"/>
      <c r="TLO12" s="569"/>
      <c r="TLP12" s="569"/>
      <c r="TLQ12" s="569"/>
      <c r="TLR12" s="569"/>
      <c r="TLS12" s="569"/>
      <c r="TLT12" s="569"/>
      <c r="TLU12" s="569"/>
      <c r="TLV12" s="569"/>
      <c r="TLW12" s="569"/>
      <c r="TLX12" s="569"/>
      <c r="TLY12" s="569"/>
      <c r="TLZ12" s="569"/>
      <c r="TMA12" s="569"/>
      <c r="TMB12" s="569"/>
      <c r="TMC12" s="569"/>
      <c r="TMD12" s="569"/>
      <c r="TME12" s="569"/>
      <c r="TMF12" s="569"/>
      <c r="TMG12" s="569"/>
      <c r="TMH12" s="569"/>
      <c r="TMI12" s="569"/>
      <c r="TMJ12" s="569"/>
      <c r="TMK12" s="569"/>
      <c r="TML12" s="569"/>
      <c r="TMM12" s="569"/>
      <c r="TMN12" s="569"/>
      <c r="TMO12" s="569"/>
      <c r="TMP12" s="569"/>
      <c r="TMQ12" s="569"/>
      <c r="TMR12" s="569"/>
      <c r="TMS12" s="569"/>
      <c r="TMT12" s="569"/>
      <c r="TMU12" s="569"/>
      <c r="TMV12" s="569"/>
      <c r="TMW12" s="569"/>
      <c r="TMX12" s="569"/>
      <c r="TMY12" s="569"/>
      <c r="TMZ12" s="569"/>
      <c r="TNA12" s="569"/>
      <c r="TNB12" s="569"/>
      <c r="TNC12" s="569"/>
      <c r="TND12" s="569"/>
      <c r="TNE12" s="569"/>
      <c r="TNF12" s="569"/>
      <c r="TNG12" s="569"/>
      <c r="TNH12" s="569"/>
      <c r="TNI12" s="569"/>
      <c r="TNJ12" s="569"/>
      <c r="TNK12" s="569"/>
      <c r="TNL12" s="569"/>
      <c r="TNM12" s="569"/>
      <c r="TNN12" s="569"/>
      <c r="TNO12" s="569"/>
      <c r="TNP12" s="569"/>
      <c r="TNQ12" s="569"/>
      <c r="TNR12" s="569"/>
      <c r="TNS12" s="569"/>
      <c r="TNT12" s="569"/>
      <c r="TNU12" s="569"/>
      <c r="TNV12" s="569"/>
      <c r="TNW12" s="569"/>
      <c r="TNX12" s="569"/>
      <c r="TNY12" s="569"/>
      <c r="TNZ12" s="569"/>
      <c r="TOA12" s="569"/>
      <c r="TOB12" s="569"/>
      <c r="TOC12" s="569"/>
      <c r="TOD12" s="569"/>
      <c r="TOE12" s="569"/>
      <c r="TOF12" s="569"/>
      <c r="TOG12" s="569"/>
      <c r="TOH12" s="569"/>
      <c r="TOI12" s="569"/>
      <c r="TOJ12" s="569"/>
      <c r="TOK12" s="569"/>
      <c r="TOL12" s="569"/>
      <c r="TOM12" s="569"/>
      <c r="TON12" s="569"/>
      <c r="TOO12" s="569"/>
      <c r="TOP12" s="569"/>
      <c r="TOQ12" s="569"/>
      <c r="TOR12" s="569"/>
      <c r="TOS12" s="569"/>
      <c r="TOT12" s="569"/>
      <c r="TOU12" s="569"/>
      <c r="TOV12" s="569"/>
      <c r="TOW12" s="569"/>
      <c r="TOX12" s="569"/>
      <c r="TOY12" s="569"/>
      <c r="TOZ12" s="569"/>
      <c r="TPA12" s="569"/>
      <c r="TPB12" s="569"/>
      <c r="TPC12" s="569"/>
      <c r="TPD12" s="569"/>
      <c r="TPE12" s="569"/>
      <c r="TPF12" s="569"/>
      <c r="TPG12" s="569"/>
      <c r="TPH12" s="569"/>
      <c r="TPI12" s="569"/>
      <c r="TPJ12" s="569"/>
      <c r="TPK12" s="569"/>
      <c r="TPL12" s="569"/>
      <c r="TPM12" s="569"/>
      <c r="TPN12" s="569"/>
      <c r="TPO12" s="569"/>
      <c r="TPP12" s="569"/>
      <c r="TPQ12" s="569"/>
      <c r="TPR12" s="569"/>
      <c r="TPS12" s="569"/>
      <c r="TPT12" s="569"/>
      <c r="TPU12" s="569"/>
      <c r="TPV12" s="569"/>
      <c r="TPW12" s="569"/>
      <c r="TPX12" s="569"/>
      <c r="TPY12" s="569"/>
      <c r="TPZ12" s="569"/>
      <c r="TQA12" s="569"/>
      <c r="TQB12" s="569"/>
      <c r="TQC12" s="569"/>
      <c r="TQD12" s="569"/>
      <c r="TQE12" s="569"/>
      <c r="TQF12" s="569"/>
      <c r="TQG12" s="569"/>
      <c r="TQH12" s="569"/>
      <c r="TQI12" s="569"/>
      <c r="TQJ12" s="569"/>
      <c r="TQK12" s="569"/>
      <c r="TQL12" s="569"/>
      <c r="TQM12" s="569"/>
      <c r="TQN12" s="569"/>
      <c r="TQO12" s="569"/>
      <c r="TQP12" s="569"/>
      <c r="TQQ12" s="569"/>
      <c r="TQR12" s="569"/>
      <c r="TQS12" s="569"/>
      <c r="TQT12" s="569"/>
      <c r="TQU12" s="569"/>
      <c r="TQV12" s="569"/>
      <c r="TQW12" s="569"/>
      <c r="TQX12" s="569"/>
      <c r="TQY12" s="569"/>
      <c r="TQZ12" s="569"/>
      <c r="TRA12" s="569"/>
      <c r="TRB12" s="569"/>
      <c r="TRC12" s="569"/>
      <c r="TRD12" s="569"/>
      <c r="TRE12" s="569"/>
      <c r="TRF12" s="569"/>
      <c r="TRG12" s="569"/>
      <c r="TRH12" s="569"/>
      <c r="TRI12" s="569"/>
      <c r="TRJ12" s="569"/>
      <c r="TRK12" s="569"/>
      <c r="TRL12" s="569"/>
      <c r="TRM12" s="569"/>
      <c r="TRN12" s="569"/>
      <c r="TRO12" s="569"/>
      <c r="TRP12" s="569"/>
      <c r="TRQ12" s="569"/>
      <c r="TRR12" s="569"/>
      <c r="TRS12" s="569"/>
      <c r="TRT12" s="569"/>
      <c r="TRU12" s="569"/>
      <c r="TRV12" s="569"/>
      <c r="TRW12" s="569"/>
      <c r="TRX12" s="569"/>
      <c r="TRY12" s="569"/>
      <c r="TRZ12" s="569"/>
      <c r="TSA12" s="569"/>
      <c r="TSB12" s="569"/>
      <c r="TSC12" s="569"/>
      <c r="TSD12" s="569"/>
      <c r="TSE12" s="569"/>
      <c r="TSF12" s="569"/>
      <c r="TSG12" s="569"/>
      <c r="TSH12" s="569"/>
      <c r="TSI12" s="569"/>
      <c r="TSJ12" s="569"/>
      <c r="TSK12" s="569"/>
      <c r="TSL12" s="569"/>
      <c r="TSM12" s="569"/>
      <c r="TSN12" s="569"/>
      <c r="TSO12" s="569"/>
      <c r="TSP12" s="569"/>
      <c r="TSQ12" s="569"/>
      <c r="TSR12" s="569"/>
      <c r="TSS12" s="569"/>
      <c r="TST12" s="569"/>
      <c r="TSU12" s="569"/>
      <c r="TSV12" s="569"/>
      <c r="TSW12" s="569"/>
      <c r="TSX12" s="569"/>
      <c r="TSY12" s="569"/>
      <c r="TSZ12" s="569"/>
      <c r="TTA12" s="569"/>
      <c r="TTB12" s="569"/>
      <c r="TTC12" s="569"/>
      <c r="TTD12" s="569"/>
      <c r="TTE12" s="569"/>
      <c r="TTF12" s="569"/>
      <c r="TTG12" s="569"/>
      <c r="TTH12" s="569"/>
      <c r="TTI12" s="569"/>
      <c r="TTJ12" s="569"/>
      <c r="TTK12" s="569"/>
      <c r="TTL12" s="569"/>
      <c r="TTM12" s="569"/>
      <c r="TTN12" s="569"/>
      <c r="TTO12" s="569"/>
      <c r="TTP12" s="569"/>
      <c r="TTQ12" s="569"/>
      <c r="TTR12" s="569"/>
      <c r="TTS12" s="569"/>
      <c r="TTT12" s="569"/>
      <c r="TTU12" s="569"/>
      <c r="TTV12" s="569"/>
      <c r="TTW12" s="569"/>
      <c r="TTX12" s="569"/>
      <c r="TTY12" s="569"/>
      <c r="TTZ12" s="569"/>
      <c r="TUA12" s="569"/>
      <c r="TUB12" s="569"/>
      <c r="TUC12" s="569"/>
      <c r="TUD12" s="569"/>
      <c r="TUE12" s="569"/>
      <c r="TUF12" s="569"/>
      <c r="TUG12" s="569"/>
      <c r="TUH12" s="569"/>
      <c r="TUI12" s="569"/>
      <c r="TUJ12" s="569"/>
      <c r="TUK12" s="569"/>
      <c r="TUL12" s="569"/>
      <c r="TUM12" s="569"/>
      <c r="TUN12" s="569"/>
      <c r="TUO12" s="569"/>
      <c r="TUP12" s="569"/>
      <c r="TUQ12" s="569"/>
      <c r="TUR12" s="569"/>
      <c r="TUS12" s="569"/>
      <c r="TUT12" s="569"/>
      <c r="TUU12" s="569"/>
      <c r="TUV12" s="569"/>
      <c r="TUW12" s="569"/>
      <c r="TUX12" s="569"/>
      <c r="TUY12" s="569"/>
      <c r="TUZ12" s="569"/>
      <c r="TVA12" s="569"/>
      <c r="TVB12" s="569"/>
      <c r="TVC12" s="569"/>
      <c r="TVD12" s="569"/>
      <c r="TVE12" s="569"/>
      <c r="TVF12" s="569"/>
      <c r="TVG12" s="569"/>
      <c r="TVH12" s="569"/>
      <c r="TVI12" s="569"/>
      <c r="TVJ12" s="569"/>
      <c r="TVK12" s="569"/>
      <c r="TVL12" s="569"/>
      <c r="TVM12" s="569"/>
      <c r="TVN12" s="569"/>
      <c r="TVO12" s="569"/>
      <c r="TVP12" s="569"/>
      <c r="TVQ12" s="569"/>
      <c r="TVR12" s="569"/>
      <c r="TVS12" s="569"/>
      <c r="TVT12" s="569"/>
      <c r="TVU12" s="569"/>
      <c r="TVV12" s="569"/>
      <c r="TVW12" s="569"/>
      <c r="TVX12" s="569"/>
      <c r="TVY12" s="569"/>
      <c r="TVZ12" s="569"/>
      <c r="TWA12" s="569"/>
      <c r="TWB12" s="569"/>
      <c r="TWC12" s="569"/>
      <c r="TWD12" s="569"/>
      <c r="TWE12" s="569"/>
      <c r="TWF12" s="569"/>
      <c r="TWG12" s="569"/>
      <c r="TWH12" s="569"/>
      <c r="TWI12" s="569"/>
      <c r="TWJ12" s="569"/>
      <c r="TWK12" s="569"/>
      <c r="TWL12" s="569"/>
      <c r="TWM12" s="569"/>
      <c r="TWN12" s="569"/>
      <c r="TWO12" s="569"/>
      <c r="TWP12" s="569"/>
      <c r="TWQ12" s="569"/>
      <c r="TWR12" s="569"/>
      <c r="TWS12" s="569"/>
      <c r="TWT12" s="569"/>
      <c r="TWU12" s="569"/>
      <c r="TWV12" s="569"/>
      <c r="TWW12" s="569"/>
      <c r="TWX12" s="569"/>
      <c r="TWY12" s="569"/>
      <c r="TWZ12" s="569"/>
      <c r="TXA12" s="569"/>
      <c r="TXB12" s="569"/>
      <c r="TXC12" s="569"/>
      <c r="TXD12" s="569"/>
      <c r="TXE12" s="569"/>
      <c r="TXF12" s="569"/>
      <c r="TXG12" s="569"/>
      <c r="TXH12" s="569"/>
      <c r="TXI12" s="569"/>
      <c r="TXJ12" s="569"/>
      <c r="TXK12" s="569"/>
      <c r="TXL12" s="569"/>
      <c r="TXM12" s="569"/>
      <c r="TXN12" s="569"/>
      <c r="TXO12" s="569"/>
      <c r="TXP12" s="569"/>
      <c r="TXQ12" s="569"/>
      <c r="TXR12" s="569"/>
      <c r="TXS12" s="569"/>
      <c r="TXT12" s="569"/>
      <c r="TXU12" s="569"/>
      <c r="TXV12" s="569"/>
      <c r="TXW12" s="569"/>
      <c r="TXX12" s="569"/>
      <c r="TXY12" s="569"/>
      <c r="TXZ12" s="569"/>
      <c r="TYA12" s="569"/>
      <c r="TYB12" s="569"/>
      <c r="TYC12" s="569"/>
      <c r="TYD12" s="569"/>
      <c r="TYE12" s="569"/>
      <c r="TYF12" s="569"/>
      <c r="TYG12" s="569"/>
      <c r="TYH12" s="569"/>
      <c r="TYI12" s="569"/>
      <c r="TYJ12" s="569"/>
      <c r="TYK12" s="569"/>
      <c r="TYL12" s="569"/>
      <c r="TYM12" s="569"/>
      <c r="TYN12" s="569"/>
      <c r="TYO12" s="569"/>
      <c r="TYP12" s="569"/>
      <c r="TYQ12" s="569"/>
      <c r="TYR12" s="569"/>
      <c r="TYS12" s="569"/>
      <c r="TYT12" s="569"/>
      <c r="TYU12" s="569"/>
      <c r="TYV12" s="569"/>
      <c r="TYW12" s="569"/>
      <c r="TYX12" s="569"/>
      <c r="TYY12" s="569"/>
      <c r="TYZ12" s="569"/>
      <c r="TZA12" s="569"/>
      <c r="TZB12" s="569"/>
      <c r="TZC12" s="569"/>
      <c r="TZD12" s="569"/>
      <c r="TZE12" s="569"/>
      <c r="TZF12" s="569"/>
      <c r="TZG12" s="569"/>
      <c r="TZH12" s="569"/>
      <c r="TZI12" s="569"/>
      <c r="TZJ12" s="569"/>
      <c r="TZK12" s="569"/>
      <c r="TZL12" s="569"/>
      <c r="TZM12" s="569"/>
      <c r="TZN12" s="569"/>
      <c r="TZO12" s="569"/>
      <c r="TZP12" s="569"/>
      <c r="TZQ12" s="569"/>
      <c r="TZR12" s="569"/>
      <c r="TZS12" s="569"/>
      <c r="TZT12" s="569"/>
      <c r="TZU12" s="569"/>
      <c r="TZV12" s="569"/>
      <c r="TZW12" s="569"/>
      <c r="TZX12" s="569"/>
      <c r="TZY12" s="569"/>
      <c r="TZZ12" s="569"/>
      <c r="UAA12" s="569"/>
      <c r="UAB12" s="569"/>
      <c r="UAC12" s="569"/>
      <c r="UAD12" s="569"/>
      <c r="UAE12" s="569"/>
      <c r="UAF12" s="569"/>
      <c r="UAG12" s="569"/>
      <c r="UAH12" s="569"/>
      <c r="UAI12" s="569"/>
      <c r="UAJ12" s="569"/>
      <c r="UAK12" s="569"/>
      <c r="UAL12" s="569"/>
      <c r="UAM12" s="569"/>
      <c r="UAN12" s="569"/>
      <c r="UAO12" s="569"/>
      <c r="UAP12" s="569"/>
      <c r="UAQ12" s="569"/>
      <c r="UAR12" s="569"/>
      <c r="UAS12" s="569"/>
      <c r="UAT12" s="569"/>
      <c r="UAU12" s="569"/>
      <c r="UAV12" s="569"/>
      <c r="UAW12" s="569"/>
      <c r="UAX12" s="569"/>
      <c r="UAY12" s="569"/>
      <c r="UAZ12" s="569"/>
      <c r="UBA12" s="569"/>
      <c r="UBB12" s="569"/>
      <c r="UBC12" s="569"/>
      <c r="UBD12" s="569"/>
      <c r="UBE12" s="569"/>
      <c r="UBF12" s="569"/>
      <c r="UBG12" s="569"/>
      <c r="UBH12" s="569"/>
      <c r="UBI12" s="569"/>
      <c r="UBJ12" s="569"/>
      <c r="UBK12" s="569"/>
      <c r="UBL12" s="569"/>
      <c r="UBM12" s="569"/>
      <c r="UBN12" s="569"/>
      <c r="UBO12" s="569"/>
      <c r="UBP12" s="569"/>
      <c r="UBQ12" s="569"/>
      <c r="UBR12" s="569"/>
      <c r="UBS12" s="569"/>
      <c r="UBT12" s="569"/>
      <c r="UBU12" s="569"/>
      <c r="UBV12" s="569"/>
      <c r="UBW12" s="569"/>
      <c r="UBX12" s="569"/>
      <c r="UBY12" s="569"/>
      <c r="UBZ12" s="569"/>
      <c r="UCA12" s="569"/>
      <c r="UCB12" s="569"/>
      <c r="UCC12" s="569"/>
      <c r="UCD12" s="569"/>
      <c r="UCE12" s="569"/>
      <c r="UCF12" s="569"/>
      <c r="UCG12" s="569"/>
      <c r="UCH12" s="569"/>
      <c r="UCI12" s="569"/>
      <c r="UCJ12" s="569"/>
      <c r="UCK12" s="569"/>
      <c r="UCL12" s="569"/>
      <c r="UCM12" s="569"/>
      <c r="UCN12" s="569"/>
      <c r="UCO12" s="569"/>
      <c r="UCP12" s="569"/>
      <c r="UCQ12" s="569"/>
      <c r="UCR12" s="569"/>
      <c r="UCS12" s="569"/>
      <c r="UCT12" s="569"/>
      <c r="UCU12" s="569"/>
      <c r="UCV12" s="569"/>
      <c r="UCW12" s="569"/>
      <c r="UCX12" s="569"/>
      <c r="UCY12" s="569"/>
      <c r="UCZ12" s="569"/>
      <c r="UDA12" s="569"/>
      <c r="UDB12" s="569"/>
      <c r="UDC12" s="569"/>
      <c r="UDD12" s="569"/>
      <c r="UDE12" s="569"/>
      <c r="UDF12" s="569"/>
      <c r="UDG12" s="569"/>
      <c r="UDH12" s="569"/>
      <c r="UDI12" s="569"/>
      <c r="UDJ12" s="569"/>
      <c r="UDK12" s="569"/>
      <c r="UDL12" s="569"/>
      <c r="UDM12" s="569"/>
      <c r="UDN12" s="569"/>
      <c r="UDO12" s="569"/>
      <c r="UDP12" s="569"/>
      <c r="UDQ12" s="569"/>
      <c r="UDR12" s="569"/>
      <c r="UDS12" s="569"/>
      <c r="UDT12" s="569"/>
      <c r="UDU12" s="569"/>
      <c r="UDV12" s="569"/>
      <c r="UDW12" s="569"/>
      <c r="UDX12" s="569"/>
      <c r="UDY12" s="569"/>
      <c r="UDZ12" s="569"/>
      <c r="UEA12" s="569"/>
      <c r="UEB12" s="569"/>
      <c r="UEC12" s="569"/>
      <c r="UED12" s="569"/>
      <c r="UEE12" s="569"/>
      <c r="UEF12" s="569"/>
      <c r="UEG12" s="569"/>
      <c r="UEH12" s="569"/>
      <c r="UEI12" s="569"/>
      <c r="UEJ12" s="569"/>
      <c r="UEK12" s="569"/>
      <c r="UEL12" s="569"/>
      <c r="UEM12" s="569"/>
      <c r="UEN12" s="569"/>
      <c r="UEO12" s="569"/>
      <c r="UEP12" s="569"/>
      <c r="UEQ12" s="569"/>
      <c r="UER12" s="569"/>
      <c r="UES12" s="569"/>
      <c r="UET12" s="569"/>
      <c r="UEU12" s="569"/>
      <c r="UEV12" s="569"/>
      <c r="UEW12" s="569"/>
      <c r="UEX12" s="569"/>
      <c r="UEY12" s="569"/>
      <c r="UEZ12" s="569"/>
      <c r="UFA12" s="569"/>
      <c r="UFB12" s="569"/>
      <c r="UFC12" s="569"/>
      <c r="UFD12" s="569"/>
      <c r="UFE12" s="569"/>
      <c r="UFF12" s="569"/>
      <c r="UFG12" s="569"/>
      <c r="UFH12" s="569"/>
      <c r="UFI12" s="569"/>
      <c r="UFJ12" s="569"/>
      <c r="UFK12" s="569"/>
      <c r="UFL12" s="569"/>
      <c r="UFM12" s="569"/>
      <c r="UFN12" s="569"/>
      <c r="UFO12" s="569"/>
      <c r="UFP12" s="569"/>
      <c r="UFQ12" s="569"/>
      <c r="UFR12" s="569"/>
      <c r="UFS12" s="569"/>
      <c r="UFT12" s="569"/>
      <c r="UFU12" s="569"/>
      <c r="UFV12" s="569"/>
      <c r="UFW12" s="569"/>
      <c r="UFX12" s="569"/>
      <c r="UFY12" s="569"/>
      <c r="UFZ12" s="569"/>
      <c r="UGA12" s="569"/>
      <c r="UGB12" s="569"/>
      <c r="UGC12" s="569"/>
      <c r="UGD12" s="569"/>
      <c r="UGE12" s="569"/>
      <c r="UGF12" s="569"/>
      <c r="UGG12" s="569"/>
      <c r="UGH12" s="569"/>
      <c r="UGI12" s="569"/>
      <c r="UGJ12" s="569"/>
      <c r="UGK12" s="569"/>
      <c r="UGL12" s="569"/>
      <c r="UGM12" s="569"/>
      <c r="UGN12" s="569"/>
      <c r="UGO12" s="569"/>
      <c r="UGP12" s="569"/>
      <c r="UGQ12" s="569"/>
      <c r="UGR12" s="569"/>
      <c r="UGS12" s="569"/>
      <c r="UGT12" s="569"/>
      <c r="UGU12" s="569"/>
      <c r="UGV12" s="569"/>
      <c r="UGW12" s="569"/>
      <c r="UGX12" s="569"/>
      <c r="UGY12" s="569"/>
      <c r="UGZ12" s="569"/>
      <c r="UHA12" s="569"/>
      <c r="UHB12" s="569"/>
      <c r="UHC12" s="569"/>
      <c r="UHD12" s="569"/>
      <c r="UHE12" s="569"/>
      <c r="UHF12" s="569"/>
      <c r="UHG12" s="569"/>
      <c r="UHH12" s="569"/>
      <c r="UHI12" s="569"/>
      <c r="UHJ12" s="569"/>
      <c r="UHK12" s="569"/>
      <c r="UHL12" s="569"/>
      <c r="UHM12" s="569"/>
      <c r="UHN12" s="569"/>
      <c r="UHO12" s="569"/>
      <c r="UHP12" s="569"/>
      <c r="UHQ12" s="569"/>
      <c r="UHR12" s="569"/>
      <c r="UHS12" s="569"/>
      <c r="UHT12" s="569"/>
      <c r="UHU12" s="569"/>
      <c r="UHV12" s="569"/>
      <c r="UHW12" s="569"/>
      <c r="UHX12" s="569"/>
      <c r="UHY12" s="569"/>
      <c r="UHZ12" s="569"/>
      <c r="UIA12" s="569"/>
      <c r="UIB12" s="569"/>
      <c r="UIC12" s="569"/>
      <c r="UID12" s="569"/>
      <c r="UIE12" s="569"/>
      <c r="UIF12" s="569"/>
      <c r="UIG12" s="569"/>
      <c r="UIH12" s="569"/>
      <c r="UII12" s="569"/>
      <c r="UIJ12" s="569"/>
      <c r="UIK12" s="569"/>
      <c r="UIL12" s="569"/>
      <c r="UIM12" s="569"/>
      <c r="UIN12" s="569"/>
      <c r="UIO12" s="569"/>
      <c r="UIP12" s="569"/>
      <c r="UIQ12" s="569"/>
      <c r="UIR12" s="569"/>
      <c r="UIS12" s="569"/>
      <c r="UIT12" s="569"/>
      <c r="UIU12" s="569"/>
      <c r="UIV12" s="569"/>
      <c r="UIW12" s="569"/>
      <c r="UIX12" s="569"/>
      <c r="UIY12" s="569"/>
      <c r="UIZ12" s="569"/>
      <c r="UJA12" s="569"/>
      <c r="UJB12" s="569"/>
      <c r="UJC12" s="569"/>
      <c r="UJD12" s="569"/>
      <c r="UJE12" s="569"/>
      <c r="UJF12" s="569"/>
      <c r="UJG12" s="569"/>
      <c r="UJH12" s="569"/>
      <c r="UJI12" s="569"/>
      <c r="UJJ12" s="569"/>
      <c r="UJK12" s="569"/>
      <c r="UJL12" s="569"/>
      <c r="UJM12" s="569"/>
      <c r="UJN12" s="569"/>
      <c r="UJO12" s="569"/>
      <c r="UJP12" s="569"/>
      <c r="UJQ12" s="569"/>
      <c r="UJR12" s="569"/>
      <c r="UJS12" s="569"/>
      <c r="UJT12" s="569"/>
      <c r="UJU12" s="569"/>
      <c r="UJV12" s="569"/>
      <c r="UJW12" s="569"/>
      <c r="UJX12" s="569"/>
      <c r="UJY12" s="569"/>
      <c r="UJZ12" s="569"/>
      <c r="UKA12" s="569"/>
      <c r="UKB12" s="569"/>
      <c r="UKC12" s="569"/>
      <c r="UKD12" s="569"/>
      <c r="UKE12" s="569"/>
      <c r="UKF12" s="569"/>
      <c r="UKG12" s="569"/>
      <c r="UKH12" s="569"/>
      <c r="UKI12" s="569"/>
      <c r="UKJ12" s="569"/>
      <c r="UKK12" s="569"/>
      <c r="UKL12" s="569"/>
      <c r="UKM12" s="569"/>
      <c r="UKN12" s="569"/>
      <c r="UKO12" s="569"/>
      <c r="UKP12" s="569"/>
      <c r="UKQ12" s="569"/>
      <c r="UKR12" s="569"/>
      <c r="UKS12" s="569"/>
      <c r="UKT12" s="569"/>
      <c r="UKU12" s="569"/>
      <c r="UKV12" s="569"/>
      <c r="UKW12" s="569"/>
      <c r="UKX12" s="569"/>
      <c r="UKY12" s="569"/>
      <c r="UKZ12" s="569"/>
      <c r="ULA12" s="569"/>
      <c r="ULB12" s="569"/>
      <c r="ULC12" s="569"/>
      <c r="ULD12" s="569"/>
      <c r="ULE12" s="569"/>
      <c r="ULF12" s="569"/>
      <c r="ULG12" s="569"/>
      <c r="ULH12" s="569"/>
      <c r="ULI12" s="569"/>
      <c r="ULJ12" s="569"/>
      <c r="ULK12" s="569"/>
      <c r="ULL12" s="569"/>
      <c r="ULM12" s="569"/>
      <c r="ULN12" s="569"/>
      <c r="ULO12" s="569"/>
      <c r="ULP12" s="569"/>
      <c r="ULQ12" s="569"/>
      <c r="ULR12" s="569"/>
      <c r="ULS12" s="569"/>
      <c r="ULT12" s="569"/>
      <c r="ULU12" s="569"/>
      <c r="ULV12" s="569"/>
      <c r="ULW12" s="569"/>
      <c r="ULX12" s="569"/>
      <c r="ULY12" s="569"/>
      <c r="ULZ12" s="569"/>
      <c r="UMA12" s="569"/>
      <c r="UMB12" s="569"/>
      <c r="UMC12" s="569"/>
      <c r="UMD12" s="569"/>
      <c r="UME12" s="569"/>
      <c r="UMF12" s="569"/>
      <c r="UMG12" s="569"/>
      <c r="UMH12" s="569"/>
      <c r="UMI12" s="569"/>
      <c r="UMJ12" s="569"/>
      <c r="UMK12" s="569"/>
      <c r="UML12" s="569"/>
      <c r="UMM12" s="569"/>
      <c r="UMN12" s="569"/>
      <c r="UMO12" s="569"/>
      <c r="UMP12" s="569"/>
      <c r="UMQ12" s="569"/>
      <c r="UMR12" s="569"/>
      <c r="UMS12" s="569"/>
      <c r="UMT12" s="569"/>
      <c r="UMU12" s="569"/>
      <c r="UMV12" s="569"/>
      <c r="UMW12" s="569"/>
      <c r="UMX12" s="569"/>
      <c r="UMY12" s="569"/>
      <c r="UMZ12" s="569"/>
      <c r="UNA12" s="569"/>
      <c r="UNB12" s="569"/>
      <c r="UNC12" s="569"/>
      <c r="UND12" s="569"/>
      <c r="UNE12" s="569"/>
      <c r="UNF12" s="569"/>
      <c r="UNG12" s="569"/>
      <c r="UNH12" s="569"/>
      <c r="UNI12" s="569"/>
      <c r="UNJ12" s="569"/>
      <c r="UNK12" s="569"/>
      <c r="UNL12" s="569"/>
      <c r="UNM12" s="569"/>
      <c r="UNN12" s="569"/>
      <c r="UNO12" s="569"/>
      <c r="UNP12" s="569"/>
      <c r="UNQ12" s="569"/>
      <c r="UNR12" s="569"/>
      <c r="UNS12" s="569"/>
      <c r="UNT12" s="569"/>
      <c r="UNU12" s="569"/>
      <c r="UNV12" s="569"/>
      <c r="UNW12" s="569"/>
      <c r="UNX12" s="569"/>
      <c r="UNY12" s="569"/>
      <c r="UNZ12" s="569"/>
      <c r="UOA12" s="569"/>
      <c r="UOB12" s="569"/>
      <c r="UOC12" s="569"/>
      <c r="UOD12" s="569"/>
      <c r="UOE12" s="569"/>
      <c r="UOF12" s="569"/>
      <c r="UOG12" s="569"/>
      <c r="UOH12" s="569"/>
      <c r="UOI12" s="569"/>
      <c r="UOJ12" s="569"/>
      <c r="UOK12" s="569"/>
      <c r="UOL12" s="569"/>
      <c r="UOM12" s="569"/>
      <c r="UON12" s="569"/>
      <c r="UOO12" s="569"/>
      <c r="UOP12" s="569"/>
      <c r="UOQ12" s="569"/>
      <c r="UOR12" s="569"/>
      <c r="UOS12" s="569"/>
      <c r="UOT12" s="569"/>
      <c r="UOU12" s="569"/>
      <c r="UOV12" s="569"/>
      <c r="UOW12" s="569"/>
      <c r="UOX12" s="569"/>
      <c r="UOY12" s="569"/>
      <c r="UOZ12" s="569"/>
      <c r="UPA12" s="569"/>
      <c r="UPB12" s="569"/>
      <c r="UPC12" s="569"/>
      <c r="UPD12" s="569"/>
      <c r="UPE12" s="569"/>
      <c r="UPF12" s="569"/>
      <c r="UPG12" s="569"/>
      <c r="UPH12" s="569"/>
      <c r="UPI12" s="569"/>
      <c r="UPJ12" s="569"/>
      <c r="UPK12" s="569"/>
      <c r="UPL12" s="569"/>
      <c r="UPM12" s="569"/>
      <c r="UPN12" s="569"/>
      <c r="UPO12" s="569"/>
      <c r="UPP12" s="569"/>
      <c r="UPQ12" s="569"/>
      <c r="UPR12" s="569"/>
      <c r="UPS12" s="569"/>
      <c r="UPT12" s="569"/>
      <c r="UPU12" s="569"/>
      <c r="UPV12" s="569"/>
      <c r="UPW12" s="569"/>
      <c r="UPX12" s="569"/>
      <c r="UPY12" s="569"/>
      <c r="UPZ12" s="569"/>
      <c r="UQA12" s="569"/>
      <c r="UQB12" s="569"/>
      <c r="UQC12" s="569"/>
      <c r="UQD12" s="569"/>
      <c r="UQE12" s="569"/>
      <c r="UQF12" s="569"/>
      <c r="UQG12" s="569"/>
      <c r="UQH12" s="569"/>
      <c r="UQI12" s="569"/>
      <c r="UQJ12" s="569"/>
      <c r="UQK12" s="569"/>
      <c r="UQL12" s="569"/>
      <c r="UQM12" s="569"/>
      <c r="UQN12" s="569"/>
      <c r="UQO12" s="569"/>
      <c r="UQP12" s="569"/>
      <c r="UQQ12" s="569"/>
      <c r="UQR12" s="569"/>
      <c r="UQS12" s="569"/>
      <c r="UQT12" s="569"/>
      <c r="UQU12" s="569"/>
      <c r="UQV12" s="569"/>
      <c r="UQW12" s="569"/>
      <c r="UQX12" s="569"/>
      <c r="UQY12" s="569"/>
      <c r="UQZ12" s="569"/>
      <c r="URA12" s="569"/>
      <c r="URB12" s="569"/>
      <c r="URC12" s="569"/>
      <c r="URD12" s="569"/>
      <c r="URE12" s="569"/>
      <c r="URF12" s="569"/>
      <c r="URG12" s="569"/>
      <c r="URH12" s="569"/>
      <c r="URI12" s="569"/>
      <c r="URJ12" s="569"/>
      <c r="URK12" s="569"/>
      <c r="URL12" s="569"/>
      <c r="URM12" s="569"/>
      <c r="URN12" s="569"/>
      <c r="URO12" s="569"/>
      <c r="URP12" s="569"/>
      <c r="URQ12" s="569"/>
      <c r="URR12" s="569"/>
      <c r="URS12" s="569"/>
      <c r="URT12" s="569"/>
      <c r="URU12" s="569"/>
      <c r="URV12" s="569"/>
      <c r="URW12" s="569"/>
      <c r="URX12" s="569"/>
      <c r="URY12" s="569"/>
      <c r="URZ12" s="569"/>
      <c r="USA12" s="569"/>
      <c r="USB12" s="569"/>
      <c r="USC12" s="569"/>
      <c r="USD12" s="569"/>
      <c r="USE12" s="569"/>
      <c r="USF12" s="569"/>
      <c r="USG12" s="569"/>
      <c r="USH12" s="569"/>
      <c r="USI12" s="569"/>
      <c r="USJ12" s="569"/>
      <c r="USK12" s="569"/>
      <c r="USL12" s="569"/>
      <c r="USM12" s="569"/>
      <c r="USN12" s="569"/>
      <c r="USO12" s="569"/>
      <c r="USP12" s="569"/>
      <c r="USQ12" s="569"/>
      <c r="USR12" s="569"/>
      <c r="USS12" s="569"/>
      <c r="UST12" s="569"/>
      <c r="USU12" s="569"/>
      <c r="USV12" s="569"/>
      <c r="USW12" s="569"/>
      <c r="USX12" s="569"/>
      <c r="USY12" s="569"/>
      <c r="USZ12" s="569"/>
      <c r="UTA12" s="569"/>
      <c r="UTB12" s="569"/>
      <c r="UTC12" s="569"/>
      <c r="UTD12" s="569"/>
      <c r="UTE12" s="569"/>
      <c r="UTF12" s="569"/>
      <c r="UTG12" s="569"/>
      <c r="UTH12" s="569"/>
      <c r="UTI12" s="569"/>
      <c r="UTJ12" s="569"/>
      <c r="UTK12" s="569"/>
      <c r="UTL12" s="569"/>
      <c r="UTM12" s="569"/>
      <c r="UTN12" s="569"/>
      <c r="UTO12" s="569"/>
      <c r="UTP12" s="569"/>
      <c r="UTQ12" s="569"/>
      <c r="UTR12" s="569"/>
      <c r="UTS12" s="569"/>
      <c r="UTT12" s="569"/>
      <c r="UTU12" s="569"/>
      <c r="UTV12" s="569"/>
      <c r="UTW12" s="569"/>
      <c r="UTX12" s="569"/>
      <c r="UTY12" s="569"/>
      <c r="UTZ12" s="569"/>
      <c r="UUA12" s="569"/>
      <c r="UUB12" s="569"/>
      <c r="UUC12" s="569"/>
      <c r="UUD12" s="569"/>
      <c r="UUE12" s="569"/>
      <c r="UUF12" s="569"/>
      <c r="UUG12" s="569"/>
      <c r="UUH12" s="569"/>
      <c r="UUI12" s="569"/>
      <c r="UUJ12" s="569"/>
      <c r="UUK12" s="569"/>
      <c r="UUL12" s="569"/>
      <c r="UUM12" s="569"/>
      <c r="UUN12" s="569"/>
      <c r="UUO12" s="569"/>
      <c r="UUP12" s="569"/>
      <c r="UUQ12" s="569"/>
      <c r="UUR12" s="569"/>
      <c r="UUS12" s="569"/>
      <c r="UUT12" s="569"/>
      <c r="UUU12" s="569"/>
      <c r="UUV12" s="569"/>
      <c r="UUW12" s="569"/>
      <c r="UUX12" s="569"/>
      <c r="UUY12" s="569"/>
      <c r="UUZ12" s="569"/>
      <c r="UVA12" s="569"/>
      <c r="UVB12" s="569"/>
      <c r="UVC12" s="569"/>
      <c r="UVD12" s="569"/>
      <c r="UVE12" s="569"/>
      <c r="UVF12" s="569"/>
      <c r="UVG12" s="569"/>
      <c r="UVH12" s="569"/>
      <c r="UVI12" s="569"/>
      <c r="UVJ12" s="569"/>
      <c r="UVK12" s="569"/>
      <c r="UVL12" s="569"/>
      <c r="UVM12" s="569"/>
      <c r="UVN12" s="569"/>
      <c r="UVO12" s="569"/>
      <c r="UVP12" s="569"/>
      <c r="UVQ12" s="569"/>
      <c r="UVR12" s="569"/>
      <c r="UVS12" s="569"/>
      <c r="UVT12" s="569"/>
      <c r="UVU12" s="569"/>
      <c r="UVV12" s="569"/>
      <c r="UVW12" s="569"/>
      <c r="UVX12" s="569"/>
      <c r="UVY12" s="569"/>
      <c r="UVZ12" s="569"/>
      <c r="UWA12" s="569"/>
      <c r="UWB12" s="569"/>
      <c r="UWC12" s="569"/>
      <c r="UWD12" s="569"/>
      <c r="UWE12" s="569"/>
      <c r="UWF12" s="569"/>
      <c r="UWG12" s="569"/>
      <c r="UWH12" s="569"/>
      <c r="UWI12" s="569"/>
      <c r="UWJ12" s="569"/>
      <c r="UWK12" s="569"/>
      <c r="UWL12" s="569"/>
      <c r="UWM12" s="569"/>
      <c r="UWN12" s="569"/>
      <c r="UWO12" s="569"/>
      <c r="UWP12" s="569"/>
      <c r="UWQ12" s="569"/>
      <c r="UWR12" s="569"/>
      <c r="UWS12" s="569"/>
      <c r="UWT12" s="569"/>
      <c r="UWU12" s="569"/>
      <c r="UWV12" s="569"/>
      <c r="UWW12" s="569"/>
      <c r="UWX12" s="569"/>
      <c r="UWY12" s="569"/>
      <c r="UWZ12" s="569"/>
      <c r="UXA12" s="569"/>
      <c r="UXB12" s="569"/>
      <c r="UXC12" s="569"/>
      <c r="UXD12" s="569"/>
      <c r="UXE12" s="569"/>
      <c r="UXF12" s="569"/>
      <c r="UXG12" s="569"/>
      <c r="UXH12" s="569"/>
      <c r="UXI12" s="569"/>
      <c r="UXJ12" s="569"/>
      <c r="UXK12" s="569"/>
      <c r="UXL12" s="569"/>
      <c r="UXM12" s="569"/>
      <c r="UXN12" s="569"/>
      <c r="UXO12" s="569"/>
      <c r="UXP12" s="569"/>
      <c r="UXQ12" s="569"/>
      <c r="UXR12" s="569"/>
      <c r="UXS12" s="569"/>
      <c r="UXT12" s="569"/>
      <c r="UXU12" s="569"/>
      <c r="UXV12" s="569"/>
      <c r="UXW12" s="569"/>
      <c r="UXX12" s="569"/>
      <c r="UXY12" s="569"/>
      <c r="UXZ12" s="569"/>
      <c r="UYA12" s="569"/>
      <c r="UYB12" s="569"/>
      <c r="UYC12" s="569"/>
      <c r="UYD12" s="569"/>
      <c r="UYE12" s="569"/>
      <c r="UYF12" s="569"/>
      <c r="UYG12" s="569"/>
      <c r="UYH12" s="569"/>
      <c r="UYI12" s="569"/>
      <c r="UYJ12" s="569"/>
      <c r="UYK12" s="569"/>
      <c r="UYL12" s="569"/>
      <c r="UYM12" s="569"/>
      <c r="UYN12" s="569"/>
      <c r="UYO12" s="569"/>
      <c r="UYP12" s="569"/>
      <c r="UYQ12" s="569"/>
      <c r="UYR12" s="569"/>
      <c r="UYS12" s="569"/>
      <c r="UYT12" s="569"/>
      <c r="UYU12" s="569"/>
      <c r="UYV12" s="569"/>
      <c r="UYW12" s="569"/>
      <c r="UYX12" s="569"/>
      <c r="UYY12" s="569"/>
      <c r="UYZ12" s="569"/>
      <c r="UZA12" s="569"/>
      <c r="UZB12" s="569"/>
      <c r="UZC12" s="569"/>
      <c r="UZD12" s="569"/>
      <c r="UZE12" s="569"/>
      <c r="UZF12" s="569"/>
      <c r="UZG12" s="569"/>
      <c r="UZH12" s="569"/>
      <c r="UZI12" s="569"/>
      <c r="UZJ12" s="569"/>
      <c r="UZK12" s="569"/>
      <c r="UZL12" s="569"/>
      <c r="UZM12" s="569"/>
      <c r="UZN12" s="569"/>
      <c r="UZO12" s="569"/>
      <c r="UZP12" s="569"/>
      <c r="UZQ12" s="569"/>
      <c r="UZR12" s="569"/>
      <c r="UZS12" s="569"/>
      <c r="UZT12" s="569"/>
      <c r="UZU12" s="569"/>
      <c r="UZV12" s="569"/>
      <c r="UZW12" s="569"/>
      <c r="UZX12" s="569"/>
      <c r="UZY12" s="569"/>
      <c r="UZZ12" s="569"/>
      <c r="VAA12" s="569"/>
      <c r="VAB12" s="569"/>
      <c r="VAC12" s="569"/>
      <c r="VAD12" s="569"/>
      <c r="VAE12" s="569"/>
      <c r="VAF12" s="569"/>
      <c r="VAG12" s="569"/>
      <c r="VAH12" s="569"/>
      <c r="VAI12" s="569"/>
      <c r="VAJ12" s="569"/>
      <c r="VAK12" s="569"/>
      <c r="VAL12" s="569"/>
      <c r="VAM12" s="569"/>
      <c r="VAN12" s="569"/>
      <c r="VAO12" s="569"/>
      <c r="VAP12" s="569"/>
      <c r="VAQ12" s="569"/>
      <c r="VAR12" s="569"/>
      <c r="VAS12" s="569"/>
      <c r="VAT12" s="569"/>
      <c r="VAU12" s="569"/>
      <c r="VAV12" s="569"/>
      <c r="VAW12" s="569"/>
      <c r="VAX12" s="569"/>
      <c r="VAY12" s="569"/>
      <c r="VAZ12" s="569"/>
      <c r="VBA12" s="569"/>
      <c r="VBB12" s="569"/>
      <c r="VBC12" s="569"/>
      <c r="VBD12" s="569"/>
      <c r="VBE12" s="569"/>
      <c r="VBF12" s="569"/>
      <c r="VBG12" s="569"/>
      <c r="VBH12" s="569"/>
      <c r="VBI12" s="569"/>
      <c r="VBJ12" s="569"/>
      <c r="VBK12" s="569"/>
      <c r="VBL12" s="569"/>
      <c r="VBM12" s="569"/>
      <c r="VBN12" s="569"/>
      <c r="VBO12" s="569"/>
      <c r="VBP12" s="569"/>
      <c r="VBQ12" s="569"/>
      <c r="VBR12" s="569"/>
      <c r="VBS12" s="569"/>
      <c r="VBT12" s="569"/>
      <c r="VBU12" s="569"/>
      <c r="VBV12" s="569"/>
      <c r="VBW12" s="569"/>
      <c r="VBX12" s="569"/>
      <c r="VBY12" s="569"/>
      <c r="VBZ12" s="569"/>
      <c r="VCA12" s="569"/>
      <c r="VCB12" s="569"/>
      <c r="VCC12" s="569"/>
      <c r="VCD12" s="569"/>
      <c r="VCE12" s="569"/>
      <c r="VCF12" s="569"/>
      <c r="VCG12" s="569"/>
      <c r="VCH12" s="569"/>
      <c r="VCI12" s="569"/>
      <c r="VCJ12" s="569"/>
      <c r="VCK12" s="569"/>
      <c r="VCL12" s="569"/>
      <c r="VCM12" s="569"/>
      <c r="VCN12" s="569"/>
      <c r="VCO12" s="569"/>
      <c r="VCP12" s="569"/>
      <c r="VCQ12" s="569"/>
      <c r="VCR12" s="569"/>
      <c r="VCS12" s="569"/>
      <c r="VCT12" s="569"/>
      <c r="VCU12" s="569"/>
      <c r="VCV12" s="569"/>
      <c r="VCW12" s="569"/>
      <c r="VCX12" s="569"/>
      <c r="VCY12" s="569"/>
      <c r="VCZ12" s="569"/>
      <c r="VDA12" s="569"/>
      <c r="VDB12" s="569"/>
      <c r="VDC12" s="569"/>
      <c r="VDD12" s="569"/>
      <c r="VDE12" s="569"/>
      <c r="VDF12" s="569"/>
      <c r="VDG12" s="569"/>
      <c r="VDH12" s="569"/>
      <c r="VDI12" s="569"/>
      <c r="VDJ12" s="569"/>
      <c r="VDK12" s="569"/>
      <c r="VDL12" s="569"/>
      <c r="VDM12" s="569"/>
      <c r="VDN12" s="569"/>
      <c r="VDO12" s="569"/>
      <c r="VDP12" s="569"/>
      <c r="VDQ12" s="569"/>
      <c r="VDR12" s="569"/>
      <c r="VDS12" s="569"/>
      <c r="VDT12" s="569"/>
      <c r="VDU12" s="569"/>
      <c r="VDV12" s="569"/>
      <c r="VDW12" s="569"/>
      <c r="VDX12" s="569"/>
      <c r="VDY12" s="569"/>
      <c r="VDZ12" s="569"/>
      <c r="VEA12" s="569"/>
      <c r="VEB12" s="569"/>
      <c r="VEC12" s="569"/>
      <c r="VED12" s="569"/>
      <c r="VEE12" s="569"/>
      <c r="VEF12" s="569"/>
      <c r="VEG12" s="569"/>
      <c r="VEH12" s="569"/>
      <c r="VEI12" s="569"/>
      <c r="VEJ12" s="569"/>
      <c r="VEK12" s="569"/>
      <c r="VEL12" s="569"/>
      <c r="VEM12" s="569"/>
      <c r="VEN12" s="569"/>
      <c r="VEO12" s="569"/>
      <c r="VEP12" s="569"/>
      <c r="VEQ12" s="569"/>
      <c r="VER12" s="569"/>
      <c r="VES12" s="569"/>
      <c r="VET12" s="569"/>
      <c r="VEU12" s="569"/>
      <c r="VEV12" s="569"/>
      <c r="VEW12" s="569"/>
      <c r="VEX12" s="569"/>
      <c r="VEY12" s="569"/>
      <c r="VEZ12" s="569"/>
      <c r="VFA12" s="569"/>
      <c r="VFB12" s="569"/>
      <c r="VFC12" s="569"/>
      <c r="VFD12" s="569"/>
      <c r="VFE12" s="569"/>
      <c r="VFF12" s="569"/>
      <c r="VFG12" s="569"/>
      <c r="VFH12" s="569"/>
      <c r="VFI12" s="569"/>
      <c r="VFJ12" s="569"/>
      <c r="VFK12" s="569"/>
      <c r="VFL12" s="569"/>
      <c r="VFM12" s="569"/>
      <c r="VFN12" s="569"/>
      <c r="VFO12" s="569"/>
      <c r="VFP12" s="569"/>
      <c r="VFQ12" s="569"/>
      <c r="VFR12" s="569"/>
      <c r="VFS12" s="569"/>
      <c r="VFT12" s="569"/>
      <c r="VFU12" s="569"/>
      <c r="VFV12" s="569"/>
      <c r="VFW12" s="569"/>
      <c r="VFX12" s="569"/>
      <c r="VFY12" s="569"/>
      <c r="VFZ12" s="569"/>
      <c r="VGA12" s="569"/>
      <c r="VGB12" s="569"/>
      <c r="VGC12" s="569"/>
      <c r="VGD12" s="569"/>
      <c r="VGE12" s="569"/>
      <c r="VGF12" s="569"/>
      <c r="VGG12" s="569"/>
      <c r="VGH12" s="569"/>
      <c r="VGI12" s="569"/>
      <c r="VGJ12" s="569"/>
      <c r="VGK12" s="569"/>
      <c r="VGL12" s="569"/>
      <c r="VGM12" s="569"/>
      <c r="VGN12" s="569"/>
      <c r="VGO12" s="569"/>
      <c r="VGP12" s="569"/>
      <c r="VGQ12" s="569"/>
      <c r="VGR12" s="569"/>
      <c r="VGS12" s="569"/>
      <c r="VGT12" s="569"/>
      <c r="VGU12" s="569"/>
      <c r="VGV12" s="569"/>
      <c r="VGW12" s="569"/>
      <c r="VGX12" s="569"/>
      <c r="VGY12" s="569"/>
      <c r="VGZ12" s="569"/>
      <c r="VHA12" s="569"/>
      <c r="VHB12" s="569"/>
      <c r="VHC12" s="569"/>
      <c r="VHD12" s="569"/>
      <c r="VHE12" s="569"/>
      <c r="VHF12" s="569"/>
      <c r="VHG12" s="569"/>
      <c r="VHH12" s="569"/>
      <c r="VHI12" s="569"/>
      <c r="VHJ12" s="569"/>
      <c r="VHK12" s="569"/>
      <c r="VHL12" s="569"/>
      <c r="VHM12" s="569"/>
      <c r="VHN12" s="569"/>
      <c r="VHO12" s="569"/>
      <c r="VHP12" s="569"/>
      <c r="VHQ12" s="569"/>
      <c r="VHR12" s="569"/>
      <c r="VHS12" s="569"/>
      <c r="VHT12" s="569"/>
      <c r="VHU12" s="569"/>
      <c r="VHV12" s="569"/>
      <c r="VHW12" s="569"/>
      <c r="VHX12" s="569"/>
      <c r="VHY12" s="569"/>
      <c r="VHZ12" s="569"/>
      <c r="VIA12" s="569"/>
      <c r="VIB12" s="569"/>
      <c r="VIC12" s="569"/>
      <c r="VID12" s="569"/>
      <c r="VIE12" s="569"/>
      <c r="VIF12" s="569"/>
      <c r="VIG12" s="569"/>
      <c r="VIH12" s="569"/>
      <c r="VII12" s="569"/>
      <c r="VIJ12" s="569"/>
      <c r="VIK12" s="569"/>
      <c r="VIL12" s="569"/>
      <c r="VIM12" s="569"/>
      <c r="VIN12" s="569"/>
      <c r="VIO12" s="569"/>
      <c r="VIP12" s="569"/>
      <c r="VIQ12" s="569"/>
      <c r="VIR12" s="569"/>
      <c r="VIS12" s="569"/>
      <c r="VIT12" s="569"/>
      <c r="VIU12" s="569"/>
      <c r="VIV12" s="569"/>
      <c r="VIW12" s="569"/>
      <c r="VIX12" s="569"/>
      <c r="VIY12" s="569"/>
      <c r="VIZ12" s="569"/>
      <c r="VJA12" s="569"/>
      <c r="VJB12" s="569"/>
      <c r="VJC12" s="569"/>
      <c r="VJD12" s="569"/>
      <c r="VJE12" s="569"/>
      <c r="VJF12" s="569"/>
      <c r="VJG12" s="569"/>
      <c r="VJH12" s="569"/>
      <c r="VJI12" s="569"/>
      <c r="VJJ12" s="569"/>
      <c r="VJK12" s="569"/>
      <c r="VJL12" s="569"/>
      <c r="VJM12" s="569"/>
      <c r="VJN12" s="569"/>
      <c r="VJO12" s="569"/>
      <c r="VJP12" s="569"/>
      <c r="VJQ12" s="569"/>
      <c r="VJR12" s="569"/>
      <c r="VJS12" s="569"/>
      <c r="VJT12" s="569"/>
      <c r="VJU12" s="569"/>
      <c r="VJV12" s="569"/>
      <c r="VJW12" s="569"/>
      <c r="VJX12" s="569"/>
      <c r="VJY12" s="569"/>
      <c r="VJZ12" s="569"/>
      <c r="VKA12" s="569"/>
      <c r="VKB12" s="569"/>
      <c r="VKC12" s="569"/>
      <c r="VKD12" s="569"/>
      <c r="VKE12" s="569"/>
      <c r="VKF12" s="569"/>
      <c r="VKG12" s="569"/>
      <c r="VKH12" s="569"/>
      <c r="VKI12" s="569"/>
      <c r="VKJ12" s="569"/>
      <c r="VKK12" s="569"/>
      <c r="VKL12" s="569"/>
      <c r="VKM12" s="569"/>
      <c r="VKN12" s="569"/>
      <c r="VKO12" s="569"/>
      <c r="VKP12" s="569"/>
      <c r="VKQ12" s="569"/>
      <c r="VKR12" s="569"/>
      <c r="VKS12" s="569"/>
      <c r="VKT12" s="569"/>
      <c r="VKU12" s="569"/>
      <c r="VKV12" s="569"/>
      <c r="VKW12" s="569"/>
      <c r="VKX12" s="569"/>
      <c r="VKY12" s="569"/>
      <c r="VKZ12" s="569"/>
      <c r="VLA12" s="569"/>
      <c r="VLB12" s="569"/>
      <c r="VLC12" s="569"/>
      <c r="VLD12" s="569"/>
      <c r="VLE12" s="569"/>
      <c r="VLF12" s="569"/>
      <c r="VLG12" s="569"/>
      <c r="VLH12" s="569"/>
      <c r="VLI12" s="569"/>
      <c r="VLJ12" s="569"/>
      <c r="VLK12" s="569"/>
      <c r="VLL12" s="569"/>
      <c r="VLM12" s="569"/>
      <c r="VLN12" s="569"/>
      <c r="VLO12" s="569"/>
      <c r="VLP12" s="569"/>
      <c r="VLQ12" s="569"/>
      <c r="VLR12" s="569"/>
      <c r="VLS12" s="569"/>
      <c r="VLT12" s="569"/>
      <c r="VLU12" s="569"/>
      <c r="VLV12" s="569"/>
      <c r="VLW12" s="569"/>
      <c r="VLX12" s="569"/>
      <c r="VLY12" s="569"/>
      <c r="VLZ12" s="569"/>
      <c r="VMA12" s="569"/>
      <c r="VMB12" s="569"/>
      <c r="VMC12" s="569"/>
      <c r="VMD12" s="569"/>
      <c r="VME12" s="569"/>
      <c r="VMF12" s="569"/>
      <c r="VMG12" s="569"/>
      <c r="VMH12" s="569"/>
      <c r="VMI12" s="569"/>
      <c r="VMJ12" s="569"/>
      <c r="VMK12" s="569"/>
      <c r="VML12" s="569"/>
      <c r="VMM12" s="569"/>
      <c r="VMN12" s="569"/>
      <c r="VMO12" s="569"/>
      <c r="VMP12" s="569"/>
      <c r="VMQ12" s="569"/>
      <c r="VMR12" s="569"/>
      <c r="VMS12" s="569"/>
      <c r="VMT12" s="569"/>
      <c r="VMU12" s="569"/>
      <c r="VMV12" s="569"/>
      <c r="VMW12" s="569"/>
      <c r="VMX12" s="569"/>
      <c r="VMY12" s="569"/>
      <c r="VMZ12" s="569"/>
      <c r="VNA12" s="569"/>
      <c r="VNB12" s="569"/>
      <c r="VNC12" s="569"/>
      <c r="VND12" s="569"/>
      <c r="VNE12" s="569"/>
      <c r="VNF12" s="569"/>
      <c r="VNG12" s="569"/>
      <c r="VNH12" s="569"/>
      <c r="VNI12" s="569"/>
      <c r="VNJ12" s="569"/>
      <c r="VNK12" s="569"/>
      <c r="VNL12" s="569"/>
      <c r="VNM12" s="569"/>
      <c r="VNN12" s="569"/>
      <c r="VNO12" s="569"/>
      <c r="VNP12" s="569"/>
      <c r="VNQ12" s="569"/>
      <c r="VNR12" s="569"/>
      <c r="VNS12" s="569"/>
      <c r="VNT12" s="569"/>
      <c r="VNU12" s="569"/>
      <c r="VNV12" s="569"/>
      <c r="VNW12" s="569"/>
      <c r="VNX12" s="569"/>
      <c r="VNY12" s="569"/>
      <c r="VNZ12" s="569"/>
      <c r="VOA12" s="569"/>
      <c r="VOB12" s="569"/>
      <c r="VOC12" s="569"/>
      <c r="VOD12" s="569"/>
      <c r="VOE12" s="569"/>
      <c r="VOF12" s="569"/>
      <c r="VOG12" s="569"/>
      <c r="VOH12" s="569"/>
      <c r="VOI12" s="569"/>
      <c r="VOJ12" s="569"/>
      <c r="VOK12" s="569"/>
      <c r="VOL12" s="569"/>
      <c r="VOM12" s="569"/>
      <c r="VON12" s="569"/>
      <c r="VOO12" s="569"/>
      <c r="VOP12" s="569"/>
      <c r="VOQ12" s="569"/>
      <c r="VOR12" s="569"/>
      <c r="VOS12" s="569"/>
      <c r="VOT12" s="569"/>
      <c r="VOU12" s="569"/>
      <c r="VOV12" s="569"/>
      <c r="VOW12" s="569"/>
      <c r="VOX12" s="569"/>
      <c r="VOY12" s="569"/>
      <c r="VOZ12" s="569"/>
      <c r="VPA12" s="569"/>
      <c r="VPB12" s="569"/>
      <c r="VPC12" s="569"/>
      <c r="VPD12" s="569"/>
      <c r="VPE12" s="569"/>
      <c r="VPF12" s="569"/>
      <c r="VPG12" s="569"/>
      <c r="VPH12" s="569"/>
      <c r="VPI12" s="569"/>
      <c r="VPJ12" s="569"/>
      <c r="VPK12" s="569"/>
      <c r="VPL12" s="569"/>
      <c r="VPM12" s="569"/>
      <c r="VPN12" s="569"/>
      <c r="VPO12" s="569"/>
      <c r="VPP12" s="569"/>
      <c r="VPQ12" s="569"/>
      <c r="VPR12" s="569"/>
      <c r="VPS12" s="569"/>
      <c r="VPT12" s="569"/>
      <c r="VPU12" s="569"/>
      <c r="VPV12" s="569"/>
      <c r="VPW12" s="569"/>
      <c r="VPX12" s="569"/>
      <c r="VPY12" s="569"/>
      <c r="VPZ12" s="569"/>
      <c r="VQA12" s="569"/>
      <c r="VQB12" s="569"/>
      <c r="VQC12" s="569"/>
      <c r="VQD12" s="569"/>
      <c r="VQE12" s="569"/>
      <c r="VQF12" s="569"/>
      <c r="VQG12" s="569"/>
      <c r="VQH12" s="569"/>
      <c r="VQI12" s="569"/>
      <c r="VQJ12" s="569"/>
      <c r="VQK12" s="569"/>
      <c r="VQL12" s="569"/>
      <c r="VQM12" s="569"/>
      <c r="VQN12" s="569"/>
      <c r="VQO12" s="569"/>
      <c r="VQP12" s="569"/>
      <c r="VQQ12" s="569"/>
      <c r="VQR12" s="569"/>
      <c r="VQS12" s="569"/>
      <c r="VQT12" s="569"/>
      <c r="VQU12" s="569"/>
      <c r="VQV12" s="569"/>
      <c r="VQW12" s="569"/>
      <c r="VQX12" s="569"/>
      <c r="VQY12" s="569"/>
      <c r="VQZ12" s="569"/>
      <c r="VRA12" s="569"/>
      <c r="VRB12" s="569"/>
      <c r="VRC12" s="569"/>
      <c r="VRD12" s="569"/>
      <c r="VRE12" s="569"/>
      <c r="VRF12" s="569"/>
      <c r="VRG12" s="569"/>
      <c r="VRH12" s="569"/>
      <c r="VRI12" s="569"/>
      <c r="VRJ12" s="569"/>
      <c r="VRK12" s="569"/>
      <c r="VRL12" s="569"/>
      <c r="VRM12" s="569"/>
      <c r="VRN12" s="569"/>
      <c r="VRO12" s="569"/>
      <c r="VRP12" s="569"/>
      <c r="VRQ12" s="569"/>
      <c r="VRR12" s="569"/>
      <c r="VRS12" s="569"/>
      <c r="VRT12" s="569"/>
      <c r="VRU12" s="569"/>
      <c r="VRV12" s="569"/>
      <c r="VRW12" s="569"/>
      <c r="VRX12" s="569"/>
      <c r="VRY12" s="569"/>
      <c r="VRZ12" s="569"/>
      <c r="VSA12" s="569"/>
      <c r="VSB12" s="569"/>
      <c r="VSC12" s="569"/>
      <c r="VSD12" s="569"/>
      <c r="VSE12" s="569"/>
      <c r="VSF12" s="569"/>
      <c r="VSG12" s="569"/>
      <c r="VSH12" s="569"/>
      <c r="VSI12" s="569"/>
      <c r="VSJ12" s="569"/>
      <c r="VSK12" s="569"/>
      <c r="VSL12" s="569"/>
      <c r="VSM12" s="569"/>
      <c r="VSN12" s="569"/>
      <c r="VSO12" s="569"/>
      <c r="VSP12" s="569"/>
      <c r="VSQ12" s="569"/>
      <c r="VSR12" s="569"/>
      <c r="VSS12" s="569"/>
      <c r="VST12" s="569"/>
      <c r="VSU12" s="569"/>
      <c r="VSV12" s="569"/>
      <c r="VSW12" s="569"/>
      <c r="VSX12" s="569"/>
      <c r="VSY12" s="569"/>
      <c r="VSZ12" s="569"/>
      <c r="VTA12" s="569"/>
      <c r="VTB12" s="569"/>
      <c r="VTC12" s="569"/>
      <c r="VTD12" s="569"/>
      <c r="VTE12" s="569"/>
      <c r="VTF12" s="569"/>
      <c r="VTG12" s="569"/>
      <c r="VTH12" s="569"/>
      <c r="VTI12" s="569"/>
      <c r="VTJ12" s="569"/>
      <c r="VTK12" s="569"/>
      <c r="VTL12" s="569"/>
      <c r="VTM12" s="569"/>
      <c r="VTN12" s="569"/>
      <c r="VTO12" s="569"/>
      <c r="VTP12" s="569"/>
      <c r="VTQ12" s="569"/>
      <c r="VTR12" s="569"/>
      <c r="VTS12" s="569"/>
      <c r="VTT12" s="569"/>
      <c r="VTU12" s="569"/>
      <c r="VTV12" s="569"/>
      <c r="VTW12" s="569"/>
      <c r="VTX12" s="569"/>
      <c r="VTY12" s="569"/>
      <c r="VTZ12" s="569"/>
      <c r="VUA12" s="569"/>
      <c r="VUB12" s="569"/>
      <c r="VUC12" s="569"/>
      <c r="VUD12" s="569"/>
      <c r="VUE12" s="569"/>
      <c r="VUF12" s="569"/>
      <c r="VUG12" s="569"/>
      <c r="VUH12" s="569"/>
      <c r="VUI12" s="569"/>
      <c r="VUJ12" s="569"/>
      <c r="VUK12" s="569"/>
      <c r="VUL12" s="569"/>
      <c r="VUM12" s="569"/>
      <c r="VUN12" s="569"/>
      <c r="VUO12" s="569"/>
      <c r="VUP12" s="569"/>
      <c r="VUQ12" s="569"/>
      <c r="VUR12" s="569"/>
      <c r="VUS12" s="569"/>
      <c r="VUT12" s="569"/>
      <c r="VUU12" s="569"/>
      <c r="VUV12" s="569"/>
      <c r="VUW12" s="569"/>
      <c r="VUX12" s="569"/>
      <c r="VUY12" s="569"/>
      <c r="VUZ12" s="569"/>
      <c r="VVA12" s="569"/>
      <c r="VVB12" s="569"/>
      <c r="VVC12" s="569"/>
      <c r="VVD12" s="569"/>
      <c r="VVE12" s="569"/>
      <c r="VVF12" s="569"/>
      <c r="VVG12" s="569"/>
      <c r="VVH12" s="569"/>
      <c r="VVI12" s="569"/>
      <c r="VVJ12" s="569"/>
      <c r="VVK12" s="569"/>
      <c r="VVL12" s="569"/>
      <c r="VVM12" s="569"/>
      <c r="VVN12" s="569"/>
      <c r="VVO12" s="569"/>
      <c r="VVP12" s="569"/>
      <c r="VVQ12" s="569"/>
      <c r="VVR12" s="569"/>
      <c r="VVS12" s="569"/>
      <c r="VVT12" s="569"/>
      <c r="VVU12" s="569"/>
      <c r="VVV12" s="569"/>
      <c r="VVW12" s="569"/>
      <c r="VVX12" s="569"/>
      <c r="VVY12" s="569"/>
      <c r="VVZ12" s="569"/>
      <c r="VWA12" s="569"/>
      <c r="VWB12" s="569"/>
      <c r="VWC12" s="569"/>
      <c r="VWD12" s="569"/>
      <c r="VWE12" s="569"/>
      <c r="VWF12" s="569"/>
      <c r="VWG12" s="569"/>
      <c r="VWH12" s="569"/>
      <c r="VWI12" s="569"/>
      <c r="VWJ12" s="569"/>
      <c r="VWK12" s="569"/>
      <c r="VWL12" s="569"/>
      <c r="VWM12" s="569"/>
      <c r="VWN12" s="569"/>
      <c r="VWO12" s="569"/>
      <c r="VWP12" s="569"/>
      <c r="VWQ12" s="569"/>
      <c r="VWR12" s="569"/>
      <c r="VWS12" s="569"/>
      <c r="VWT12" s="569"/>
      <c r="VWU12" s="569"/>
      <c r="VWV12" s="569"/>
      <c r="VWW12" s="569"/>
      <c r="VWX12" s="569"/>
      <c r="VWY12" s="569"/>
      <c r="VWZ12" s="569"/>
      <c r="VXA12" s="569"/>
      <c r="VXB12" s="569"/>
      <c r="VXC12" s="569"/>
      <c r="VXD12" s="569"/>
      <c r="VXE12" s="569"/>
      <c r="VXF12" s="569"/>
      <c r="VXG12" s="569"/>
      <c r="VXH12" s="569"/>
      <c r="VXI12" s="569"/>
      <c r="VXJ12" s="569"/>
      <c r="VXK12" s="569"/>
      <c r="VXL12" s="569"/>
      <c r="VXM12" s="569"/>
      <c r="VXN12" s="569"/>
      <c r="VXO12" s="569"/>
      <c r="VXP12" s="569"/>
      <c r="VXQ12" s="569"/>
      <c r="VXR12" s="569"/>
      <c r="VXS12" s="569"/>
      <c r="VXT12" s="569"/>
      <c r="VXU12" s="569"/>
      <c r="VXV12" s="569"/>
      <c r="VXW12" s="569"/>
      <c r="VXX12" s="569"/>
      <c r="VXY12" s="569"/>
      <c r="VXZ12" s="569"/>
      <c r="VYA12" s="569"/>
      <c r="VYB12" s="569"/>
      <c r="VYC12" s="569"/>
      <c r="VYD12" s="569"/>
      <c r="VYE12" s="569"/>
      <c r="VYF12" s="569"/>
      <c r="VYG12" s="569"/>
      <c r="VYH12" s="569"/>
      <c r="VYI12" s="569"/>
      <c r="VYJ12" s="569"/>
      <c r="VYK12" s="569"/>
      <c r="VYL12" s="569"/>
      <c r="VYM12" s="569"/>
      <c r="VYN12" s="569"/>
      <c r="VYO12" s="569"/>
      <c r="VYP12" s="569"/>
      <c r="VYQ12" s="569"/>
      <c r="VYR12" s="569"/>
      <c r="VYS12" s="569"/>
      <c r="VYT12" s="569"/>
      <c r="VYU12" s="569"/>
      <c r="VYV12" s="569"/>
      <c r="VYW12" s="569"/>
      <c r="VYX12" s="569"/>
      <c r="VYY12" s="569"/>
      <c r="VYZ12" s="569"/>
      <c r="VZA12" s="569"/>
      <c r="VZB12" s="569"/>
      <c r="VZC12" s="569"/>
      <c r="VZD12" s="569"/>
      <c r="VZE12" s="569"/>
      <c r="VZF12" s="569"/>
      <c r="VZG12" s="569"/>
      <c r="VZH12" s="569"/>
      <c r="VZI12" s="569"/>
      <c r="VZJ12" s="569"/>
      <c r="VZK12" s="569"/>
      <c r="VZL12" s="569"/>
      <c r="VZM12" s="569"/>
      <c r="VZN12" s="569"/>
      <c r="VZO12" s="569"/>
      <c r="VZP12" s="569"/>
      <c r="VZQ12" s="569"/>
      <c r="VZR12" s="569"/>
      <c r="VZS12" s="569"/>
      <c r="VZT12" s="569"/>
      <c r="VZU12" s="569"/>
      <c r="VZV12" s="569"/>
      <c r="VZW12" s="569"/>
      <c r="VZX12" s="569"/>
      <c r="VZY12" s="569"/>
      <c r="VZZ12" s="569"/>
      <c r="WAA12" s="569"/>
      <c r="WAB12" s="569"/>
      <c r="WAC12" s="569"/>
      <c r="WAD12" s="569"/>
      <c r="WAE12" s="569"/>
      <c r="WAF12" s="569"/>
      <c r="WAG12" s="569"/>
      <c r="WAH12" s="569"/>
      <c r="WAI12" s="569"/>
      <c r="WAJ12" s="569"/>
      <c r="WAK12" s="569"/>
      <c r="WAL12" s="569"/>
      <c r="WAM12" s="569"/>
      <c r="WAN12" s="569"/>
      <c r="WAO12" s="569"/>
      <c r="WAP12" s="569"/>
      <c r="WAQ12" s="569"/>
      <c r="WAR12" s="569"/>
      <c r="WAS12" s="569"/>
      <c r="WAT12" s="569"/>
      <c r="WAU12" s="569"/>
      <c r="WAV12" s="569"/>
      <c r="WAW12" s="569"/>
      <c r="WAX12" s="569"/>
      <c r="WAY12" s="569"/>
      <c r="WAZ12" s="569"/>
      <c r="WBA12" s="569"/>
      <c r="WBB12" s="569"/>
      <c r="WBC12" s="569"/>
      <c r="WBD12" s="569"/>
      <c r="WBE12" s="569"/>
      <c r="WBF12" s="569"/>
      <c r="WBG12" s="569"/>
      <c r="WBH12" s="569"/>
      <c r="WBI12" s="569"/>
      <c r="WBJ12" s="569"/>
      <c r="WBK12" s="569"/>
      <c r="WBL12" s="569"/>
      <c r="WBM12" s="569"/>
      <c r="WBN12" s="569"/>
      <c r="WBO12" s="569"/>
      <c r="WBP12" s="569"/>
      <c r="WBQ12" s="569"/>
      <c r="WBR12" s="569"/>
      <c r="WBS12" s="569"/>
      <c r="WBT12" s="569"/>
      <c r="WBU12" s="569"/>
      <c r="WBV12" s="569"/>
      <c r="WBW12" s="569"/>
      <c r="WBX12" s="569"/>
      <c r="WBY12" s="569"/>
      <c r="WBZ12" s="569"/>
      <c r="WCA12" s="569"/>
      <c r="WCB12" s="569"/>
      <c r="WCC12" s="569"/>
      <c r="WCD12" s="569"/>
      <c r="WCE12" s="569"/>
      <c r="WCF12" s="569"/>
      <c r="WCG12" s="569"/>
      <c r="WCH12" s="569"/>
      <c r="WCI12" s="569"/>
      <c r="WCJ12" s="569"/>
      <c r="WCK12" s="569"/>
      <c r="WCL12" s="569"/>
      <c r="WCM12" s="569"/>
      <c r="WCN12" s="569"/>
      <c r="WCO12" s="569"/>
      <c r="WCP12" s="569"/>
      <c r="WCQ12" s="569"/>
      <c r="WCR12" s="569"/>
      <c r="WCS12" s="569"/>
      <c r="WCT12" s="569"/>
      <c r="WCU12" s="569"/>
      <c r="WCV12" s="569"/>
      <c r="WCW12" s="569"/>
      <c r="WCX12" s="569"/>
      <c r="WCY12" s="569"/>
      <c r="WCZ12" s="569"/>
      <c r="WDA12" s="569"/>
      <c r="WDB12" s="569"/>
      <c r="WDC12" s="569"/>
      <c r="WDD12" s="569"/>
      <c r="WDE12" s="569"/>
      <c r="WDF12" s="569"/>
      <c r="WDG12" s="569"/>
      <c r="WDH12" s="569"/>
      <c r="WDI12" s="569"/>
      <c r="WDJ12" s="569"/>
      <c r="WDK12" s="569"/>
      <c r="WDL12" s="569"/>
      <c r="WDM12" s="569"/>
      <c r="WDN12" s="569"/>
      <c r="WDO12" s="569"/>
      <c r="WDP12" s="569"/>
      <c r="WDQ12" s="569"/>
      <c r="WDR12" s="569"/>
      <c r="WDS12" s="569"/>
      <c r="WDT12" s="569"/>
      <c r="WDU12" s="569"/>
      <c r="WDV12" s="569"/>
      <c r="WDW12" s="569"/>
      <c r="WDX12" s="569"/>
      <c r="WDY12" s="569"/>
      <c r="WDZ12" s="569"/>
      <c r="WEA12" s="569"/>
      <c r="WEB12" s="569"/>
      <c r="WEC12" s="569"/>
      <c r="WED12" s="569"/>
      <c r="WEE12" s="569"/>
      <c r="WEF12" s="569"/>
      <c r="WEG12" s="569"/>
      <c r="WEH12" s="569"/>
      <c r="WEI12" s="569"/>
      <c r="WEJ12" s="569"/>
      <c r="WEK12" s="569"/>
      <c r="WEL12" s="569"/>
      <c r="WEM12" s="569"/>
      <c r="WEN12" s="569"/>
      <c r="WEO12" s="569"/>
      <c r="WEP12" s="569"/>
      <c r="WEQ12" s="569"/>
      <c r="WER12" s="569"/>
      <c r="WES12" s="569"/>
      <c r="WET12" s="569"/>
      <c r="WEU12" s="569"/>
      <c r="WEV12" s="569"/>
      <c r="WEW12" s="569"/>
      <c r="WEX12" s="569"/>
      <c r="WEY12" s="569"/>
      <c r="WEZ12" s="569"/>
      <c r="WFA12" s="569"/>
      <c r="WFB12" s="569"/>
      <c r="WFC12" s="569"/>
      <c r="WFD12" s="569"/>
      <c r="WFE12" s="569"/>
      <c r="WFF12" s="569"/>
      <c r="WFG12" s="569"/>
      <c r="WFH12" s="569"/>
      <c r="WFI12" s="569"/>
      <c r="WFJ12" s="569"/>
      <c r="WFK12" s="569"/>
      <c r="WFL12" s="569"/>
      <c r="WFM12" s="569"/>
      <c r="WFN12" s="569"/>
      <c r="WFO12" s="569"/>
      <c r="WFP12" s="569"/>
      <c r="WFQ12" s="569"/>
      <c r="WFR12" s="569"/>
      <c r="WFS12" s="569"/>
      <c r="WFT12" s="569"/>
      <c r="WFU12" s="569"/>
      <c r="WFV12" s="569"/>
      <c r="WFW12" s="569"/>
      <c r="WFX12" s="569"/>
      <c r="WFY12" s="569"/>
      <c r="WFZ12" s="569"/>
      <c r="WGA12" s="569"/>
      <c r="WGB12" s="569"/>
      <c r="WGC12" s="569"/>
      <c r="WGD12" s="569"/>
      <c r="WGE12" s="569"/>
      <c r="WGF12" s="569"/>
      <c r="WGG12" s="569"/>
      <c r="WGH12" s="569"/>
      <c r="WGI12" s="569"/>
      <c r="WGJ12" s="569"/>
      <c r="WGK12" s="569"/>
      <c r="WGL12" s="569"/>
      <c r="WGM12" s="569"/>
      <c r="WGN12" s="569"/>
      <c r="WGO12" s="569"/>
      <c r="WGP12" s="569"/>
      <c r="WGQ12" s="569"/>
      <c r="WGR12" s="569"/>
      <c r="WGS12" s="569"/>
      <c r="WGT12" s="569"/>
      <c r="WGU12" s="569"/>
      <c r="WGV12" s="569"/>
      <c r="WGW12" s="569"/>
      <c r="WGX12" s="569"/>
      <c r="WGY12" s="569"/>
      <c r="WGZ12" s="569"/>
      <c r="WHA12" s="569"/>
      <c r="WHB12" s="569"/>
      <c r="WHC12" s="569"/>
      <c r="WHD12" s="569"/>
      <c r="WHE12" s="569"/>
      <c r="WHF12" s="569"/>
      <c r="WHG12" s="569"/>
      <c r="WHH12" s="569"/>
      <c r="WHI12" s="569"/>
      <c r="WHJ12" s="569"/>
      <c r="WHK12" s="569"/>
      <c r="WHL12" s="569"/>
      <c r="WHM12" s="569"/>
      <c r="WHN12" s="569"/>
      <c r="WHO12" s="569"/>
      <c r="WHP12" s="569"/>
      <c r="WHQ12" s="569"/>
      <c r="WHR12" s="569"/>
      <c r="WHS12" s="569"/>
      <c r="WHT12" s="569"/>
      <c r="WHU12" s="569"/>
      <c r="WHV12" s="569"/>
      <c r="WHW12" s="569"/>
      <c r="WHX12" s="569"/>
      <c r="WHY12" s="569"/>
      <c r="WHZ12" s="569"/>
      <c r="WIA12" s="569"/>
      <c r="WIB12" s="569"/>
      <c r="WIC12" s="569"/>
      <c r="WID12" s="569"/>
      <c r="WIE12" s="569"/>
      <c r="WIF12" s="569"/>
      <c r="WIG12" s="569"/>
      <c r="WIH12" s="569"/>
      <c r="WII12" s="569"/>
      <c r="WIJ12" s="569"/>
      <c r="WIK12" s="569"/>
      <c r="WIL12" s="569"/>
      <c r="WIM12" s="569"/>
      <c r="WIN12" s="569"/>
      <c r="WIO12" s="569"/>
      <c r="WIP12" s="569"/>
      <c r="WIQ12" s="569"/>
      <c r="WIR12" s="569"/>
      <c r="WIS12" s="569"/>
      <c r="WIT12" s="569"/>
      <c r="WIU12" s="569"/>
      <c r="WIV12" s="569"/>
      <c r="WIW12" s="569"/>
      <c r="WIX12" s="569"/>
      <c r="WIY12" s="569"/>
      <c r="WIZ12" s="569"/>
      <c r="WJA12" s="569"/>
      <c r="WJB12" s="569"/>
      <c r="WJC12" s="569"/>
      <c r="WJD12" s="569"/>
      <c r="WJE12" s="569"/>
      <c r="WJF12" s="569"/>
      <c r="WJG12" s="569"/>
      <c r="WJH12" s="569"/>
      <c r="WJI12" s="569"/>
      <c r="WJJ12" s="569"/>
      <c r="WJK12" s="569"/>
      <c r="WJL12" s="569"/>
      <c r="WJM12" s="569"/>
      <c r="WJN12" s="569"/>
      <c r="WJO12" s="569"/>
      <c r="WJP12" s="569"/>
      <c r="WJQ12" s="569"/>
      <c r="WJR12" s="569"/>
      <c r="WJS12" s="569"/>
      <c r="WJT12" s="569"/>
      <c r="WJU12" s="569"/>
      <c r="WJV12" s="569"/>
      <c r="WJW12" s="569"/>
      <c r="WJX12" s="569"/>
      <c r="WJY12" s="569"/>
      <c r="WJZ12" s="569"/>
      <c r="WKA12" s="569"/>
      <c r="WKB12" s="569"/>
      <c r="WKC12" s="569"/>
      <c r="WKD12" s="569"/>
      <c r="WKE12" s="569"/>
      <c r="WKF12" s="569"/>
      <c r="WKG12" s="569"/>
      <c r="WKH12" s="569"/>
      <c r="WKI12" s="569"/>
      <c r="WKJ12" s="569"/>
      <c r="WKK12" s="569"/>
      <c r="WKL12" s="569"/>
      <c r="WKM12" s="569"/>
      <c r="WKN12" s="569"/>
      <c r="WKO12" s="569"/>
      <c r="WKP12" s="569"/>
      <c r="WKQ12" s="569"/>
      <c r="WKR12" s="569"/>
      <c r="WKS12" s="569"/>
      <c r="WKT12" s="569"/>
      <c r="WKU12" s="569"/>
      <c r="WKV12" s="569"/>
      <c r="WKW12" s="569"/>
      <c r="WKX12" s="569"/>
      <c r="WKY12" s="569"/>
      <c r="WKZ12" s="569"/>
      <c r="WLA12" s="569"/>
      <c r="WLB12" s="569"/>
      <c r="WLC12" s="569"/>
      <c r="WLD12" s="569"/>
      <c r="WLE12" s="569"/>
      <c r="WLF12" s="569"/>
      <c r="WLG12" s="569"/>
      <c r="WLH12" s="569"/>
      <c r="WLI12" s="569"/>
      <c r="WLJ12" s="569"/>
      <c r="WLK12" s="569"/>
      <c r="WLL12" s="569"/>
      <c r="WLM12" s="569"/>
      <c r="WLN12" s="569"/>
      <c r="WLO12" s="569"/>
      <c r="WLP12" s="569"/>
      <c r="WLQ12" s="569"/>
      <c r="WLR12" s="569"/>
      <c r="WLS12" s="569"/>
      <c r="WLT12" s="569"/>
      <c r="WLU12" s="569"/>
      <c r="WLV12" s="569"/>
      <c r="WLW12" s="569"/>
      <c r="WLX12" s="569"/>
      <c r="WLY12" s="569"/>
      <c r="WLZ12" s="569"/>
      <c r="WMA12" s="569"/>
      <c r="WMB12" s="569"/>
      <c r="WMC12" s="569"/>
      <c r="WMD12" s="569"/>
      <c r="WME12" s="569"/>
      <c r="WMF12" s="569"/>
      <c r="WMG12" s="569"/>
      <c r="WMH12" s="569"/>
      <c r="WMI12" s="569"/>
      <c r="WMJ12" s="569"/>
      <c r="WMK12" s="569"/>
      <c r="WML12" s="569"/>
      <c r="WMM12" s="569"/>
      <c r="WMN12" s="569"/>
      <c r="WMO12" s="569"/>
      <c r="WMP12" s="569"/>
      <c r="WMQ12" s="569"/>
      <c r="WMR12" s="569"/>
      <c r="WMS12" s="569"/>
      <c r="WMT12" s="569"/>
      <c r="WMU12" s="569"/>
      <c r="WMV12" s="569"/>
      <c r="WMW12" s="569"/>
      <c r="WMX12" s="569"/>
      <c r="WMY12" s="569"/>
      <c r="WMZ12" s="569"/>
      <c r="WNA12" s="569"/>
      <c r="WNB12" s="569"/>
      <c r="WNC12" s="569"/>
      <c r="WND12" s="569"/>
      <c r="WNE12" s="569"/>
      <c r="WNF12" s="569"/>
      <c r="WNG12" s="569"/>
      <c r="WNH12" s="569"/>
      <c r="WNI12" s="569"/>
      <c r="WNJ12" s="569"/>
      <c r="WNK12" s="569"/>
      <c r="WNL12" s="569"/>
      <c r="WNM12" s="569"/>
      <c r="WNN12" s="569"/>
      <c r="WNO12" s="569"/>
      <c r="WNP12" s="569"/>
      <c r="WNQ12" s="569"/>
      <c r="WNR12" s="569"/>
      <c r="WNS12" s="569"/>
      <c r="WNT12" s="569"/>
      <c r="WNU12" s="569"/>
      <c r="WNV12" s="569"/>
      <c r="WNW12" s="569"/>
      <c r="WNX12" s="569"/>
      <c r="WNY12" s="569"/>
      <c r="WNZ12" s="569"/>
      <c r="WOA12" s="569"/>
      <c r="WOB12" s="569"/>
      <c r="WOC12" s="569"/>
      <c r="WOD12" s="569"/>
      <c r="WOE12" s="569"/>
      <c r="WOF12" s="569"/>
      <c r="WOG12" s="569"/>
      <c r="WOH12" s="569"/>
      <c r="WOI12" s="569"/>
      <c r="WOJ12" s="569"/>
      <c r="WOK12" s="569"/>
      <c r="WOL12" s="569"/>
      <c r="WOM12" s="569"/>
      <c r="WON12" s="569"/>
      <c r="WOO12" s="569"/>
      <c r="WOP12" s="569"/>
      <c r="WOQ12" s="569"/>
      <c r="WOR12" s="569"/>
      <c r="WOS12" s="569"/>
      <c r="WOT12" s="569"/>
      <c r="WOU12" s="569"/>
      <c r="WOV12" s="569"/>
      <c r="WOW12" s="569"/>
      <c r="WOX12" s="569"/>
      <c r="WOY12" s="569"/>
      <c r="WOZ12" s="569"/>
      <c r="WPA12" s="569"/>
      <c r="WPB12" s="569"/>
      <c r="WPC12" s="569"/>
      <c r="WPD12" s="569"/>
      <c r="WPE12" s="569"/>
      <c r="WPF12" s="569"/>
      <c r="WPG12" s="569"/>
      <c r="WPH12" s="569"/>
      <c r="WPI12" s="569"/>
      <c r="WPJ12" s="569"/>
      <c r="WPK12" s="569"/>
      <c r="WPL12" s="569"/>
      <c r="WPM12" s="569"/>
      <c r="WPN12" s="569"/>
      <c r="WPO12" s="569"/>
      <c r="WPP12" s="569"/>
      <c r="WPQ12" s="569"/>
      <c r="WPR12" s="569"/>
      <c r="WPS12" s="569"/>
      <c r="WPT12" s="569"/>
      <c r="WPU12" s="569"/>
      <c r="WPV12" s="569"/>
      <c r="WPW12" s="569"/>
      <c r="WPX12" s="569"/>
      <c r="WPY12" s="569"/>
      <c r="WPZ12" s="569"/>
      <c r="WQA12" s="569"/>
      <c r="WQB12" s="569"/>
      <c r="WQC12" s="569"/>
      <c r="WQD12" s="569"/>
      <c r="WQE12" s="569"/>
      <c r="WQF12" s="569"/>
      <c r="WQG12" s="569"/>
      <c r="WQH12" s="569"/>
      <c r="WQI12" s="569"/>
      <c r="WQJ12" s="569"/>
      <c r="WQK12" s="569"/>
      <c r="WQL12" s="569"/>
      <c r="WQM12" s="569"/>
      <c r="WQN12" s="569"/>
      <c r="WQO12" s="569"/>
      <c r="WQP12" s="569"/>
      <c r="WQQ12" s="569"/>
      <c r="WQR12" s="569"/>
      <c r="WQS12" s="569"/>
      <c r="WQT12" s="569"/>
      <c r="WQU12" s="569"/>
      <c r="WQV12" s="569"/>
      <c r="WQW12" s="569"/>
      <c r="WQX12" s="569"/>
      <c r="WQY12" s="569"/>
      <c r="WQZ12" s="569"/>
      <c r="WRA12" s="569"/>
      <c r="WRB12" s="569"/>
      <c r="WRC12" s="569"/>
      <c r="WRD12" s="569"/>
      <c r="WRE12" s="569"/>
      <c r="WRF12" s="569"/>
      <c r="WRG12" s="569"/>
      <c r="WRH12" s="569"/>
      <c r="WRI12" s="569"/>
      <c r="WRJ12" s="569"/>
      <c r="WRK12" s="569"/>
      <c r="WRL12" s="569"/>
      <c r="WRM12" s="569"/>
      <c r="WRN12" s="569"/>
      <c r="WRO12" s="569"/>
      <c r="WRP12" s="569"/>
      <c r="WRQ12" s="569"/>
      <c r="WRR12" s="569"/>
      <c r="WRS12" s="569"/>
      <c r="WRT12" s="569"/>
      <c r="WRU12" s="569"/>
      <c r="WRV12" s="569"/>
      <c r="WRW12" s="569"/>
      <c r="WRX12" s="569"/>
      <c r="WRY12" s="569"/>
      <c r="WRZ12" s="569"/>
      <c r="WSA12" s="569"/>
      <c r="WSB12" s="569"/>
      <c r="WSC12" s="569"/>
      <c r="WSD12" s="569"/>
      <c r="WSE12" s="569"/>
      <c r="WSF12" s="569"/>
      <c r="WSG12" s="569"/>
      <c r="WSH12" s="569"/>
      <c r="WSI12" s="569"/>
      <c r="WSJ12" s="569"/>
      <c r="WSK12" s="569"/>
      <c r="WSL12" s="569"/>
      <c r="WSM12" s="569"/>
      <c r="WSN12" s="569"/>
      <c r="WSO12" s="569"/>
      <c r="WSP12" s="569"/>
      <c r="WSQ12" s="569"/>
      <c r="WSR12" s="569"/>
      <c r="WSS12" s="569"/>
      <c r="WST12" s="569"/>
      <c r="WSU12" s="569"/>
      <c r="WSV12" s="569"/>
      <c r="WSW12" s="569"/>
      <c r="WSX12" s="569"/>
      <c r="WSY12" s="569"/>
      <c r="WSZ12" s="569"/>
      <c r="WTA12" s="569"/>
      <c r="WTB12" s="569"/>
      <c r="WTC12" s="569"/>
      <c r="WTD12" s="569"/>
      <c r="WTE12" s="569"/>
      <c r="WTF12" s="569"/>
      <c r="WTG12" s="569"/>
      <c r="WTH12" s="569"/>
      <c r="WTI12" s="569"/>
      <c r="WTJ12" s="569"/>
      <c r="WTK12" s="569"/>
      <c r="WTL12" s="569"/>
      <c r="WTM12" s="569"/>
      <c r="WTN12" s="569"/>
      <c r="WTO12" s="569"/>
      <c r="WTP12" s="569"/>
      <c r="WTQ12" s="569"/>
      <c r="WTR12" s="569"/>
      <c r="WTS12" s="569"/>
      <c r="WTT12" s="569"/>
      <c r="WTU12" s="569"/>
      <c r="WTV12" s="569"/>
      <c r="WTW12" s="569"/>
      <c r="WTX12" s="569"/>
      <c r="WTY12" s="569"/>
      <c r="WTZ12" s="569"/>
      <c r="WUA12" s="569"/>
      <c r="WUB12" s="569"/>
      <c r="WUC12" s="569"/>
      <c r="WUD12" s="569"/>
      <c r="WUE12" s="569"/>
      <c r="WUF12" s="569"/>
      <c r="WUG12" s="569"/>
      <c r="WUH12" s="569"/>
      <c r="WUI12" s="569"/>
      <c r="WUJ12" s="569"/>
      <c r="WUK12" s="569"/>
      <c r="WUL12" s="569"/>
      <c r="WUM12" s="569"/>
      <c r="WUN12" s="569"/>
      <c r="WUO12" s="569"/>
      <c r="WUP12" s="569"/>
      <c r="WUQ12" s="569"/>
      <c r="WUR12" s="569"/>
      <c r="WUS12" s="569"/>
      <c r="WUT12" s="569"/>
      <c r="WUU12" s="569"/>
      <c r="WUV12" s="569"/>
      <c r="WUW12" s="569"/>
      <c r="WUX12" s="569"/>
      <c r="WUY12" s="569"/>
      <c r="WUZ12" s="569"/>
      <c r="WVA12" s="569"/>
      <c r="WVB12" s="569"/>
      <c r="WVC12" s="569"/>
      <c r="WVD12" s="569"/>
      <c r="WVE12" s="569"/>
      <c r="WVF12" s="569"/>
      <c r="WVG12" s="569"/>
      <c r="WVH12" s="569"/>
      <c r="WVI12" s="569"/>
      <c r="WVJ12" s="569"/>
      <c r="WVK12" s="569"/>
      <c r="WVL12" s="569"/>
      <c r="WVM12" s="569"/>
      <c r="WVN12" s="569"/>
      <c r="WVO12" s="569"/>
      <c r="WVP12" s="569"/>
      <c r="WVQ12" s="569"/>
      <c r="WVR12" s="569"/>
      <c r="WVS12" s="569"/>
      <c r="WVT12" s="569"/>
      <c r="WVU12" s="569"/>
      <c r="WVV12" s="569"/>
      <c r="WVW12" s="569"/>
      <c r="WVX12" s="569"/>
      <c r="WVY12" s="569"/>
      <c r="WVZ12" s="569"/>
      <c r="WWA12" s="569"/>
      <c r="WWB12" s="569"/>
      <c r="WWC12" s="569"/>
      <c r="WWD12" s="569"/>
      <c r="WWE12" s="569"/>
      <c r="WWF12" s="569"/>
      <c r="WWG12" s="569"/>
      <c r="WWH12" s="569"/>
      <c r="WWI12" s="569"/>
      <c r="WWJ12" s="569"/>
      <c r="WWK12" s="569"/>
      <c r="WWL12" s="569"/>
      <c r="WWM12" s="569"/>
      <c r="WWN12" s="569"/>
      <c r="WWO12" s="569"/>
      <c r="WWP12" s="569"/>
      <c r="WWQ12" s="569"/>
      <c r="WWR12" s="569"/>
      <c r="WWS12" s="569"/>
      <c r="WWT12" s="569"/>
      <c r="WWU12" s="569"/>
      <c r="WWV12" s="569"/>
      <c r="WWW12" s="569"/>
      <c r="WWX12" s="569"/>
      <c r="WWY12" s="569"/>
      <c r="WWZ12" s="569"/>
      <c r="WXA12" s="569"/>
      <c r="WXB12" s="569"/>
      <c r="WXC12" s="569"/>
      <c r="WXD12" s="569"/>
      <c r="WXE12" s="569"/>
      <c r="WXF12" s="569"/>
      <c r="WXG12" s="569"/>
      <c r="WXH12" s="569"/>
      <c r="WXI12" s="569"/>
      <c r="WXJ12" s="569"/>
      <c r="WXK12" s="569"/>
      <c r="WXL12" s="569"/>
      <c r="WXM12" s="569"/>
      <c r="WXN12" s="569"/>
      <c r="WXO12" s="569"/>
      <c r="WXP12" s="569"/>
      <c r="WXQ12" s="569"/>
      <c r="WXR12" s="569"/>
      <c r="WXS12" s="569"/>
      <c r="WXT12" s="569"/>
      <c r="WXU12" s="569"/>
      <c r="WXV12" s="569"/>
      <c r="WXW12" s="569"/>
      <c r="WXX12" s="569"/>
      <c r="WXY12" s="569"/>
      <c r="WXZ12" s="569"/>
      <c r="WYA12" s="569"/>
      <c r="WYB12" s="569"/>
      <c r="WYC12" s="569"/>
      <c r="WYD12" s="569"/>
      <c r="WYE12" s="569"/>
      <c r="WYF12" s="569"/>
      <c r="WYG12" s="569"/>
      <c r="WYH12" s="569"/>
      <c r="WYI12" s="569"/>
      <c r="WYJ12" s="569"/>
      <c r="WYK12" s="569"/>
      <c r="WYL12" s="569"/>
      <c r="WYM12" s="569"/>
      <c r="WYN12" s="569"/>
      <c r="WYO12" s="569"/>
      <c r="WYP12" s="569"/>
      <c r="WYQ12" s="569"/>
      <c r="WYR12" s="569"/>
      <c r="WYS12" s="569"/>
      <c r="WYT12" s="569"/>
      <c r="WYU12" s="569"/>
      <c r="WYV12" s="569"/>
      <c r="WYW12" s="569"/>
      <c r="WYX12" s="569"/>
      <c r="WYY12" s="569"/>
      <c r="WYZ12" s="569"/>
      <c r="WZA12" s="569"/>
      <c r="WZB12" s="569"/>
      <c r="WZC12" s="569"/>
      <c r="WZD12" s="569"/>
      <c r="WZE12" s="569"/>
      <c r="WZF12" s="569"/>
      <c r="WZG12" s="569"/>
      <c r="WZH12" s="569"/>
      <c r="WZI12" s="569"/>
      <c r="WZJ12" s="569"/>
      <c r="WZK12" s="569"/>
      <c r="WZL12" s="569"/>
      <c r="WZM12" s="569"/>
      <c r="WZN12" s="569"/>
      <c r="WZO12" s="569"/>
      <c r="WZP12" s="569"/>
      <c r="WZQ12" s="569"/>
      <c r="WZR12" s="569"/>
      <c r="WZS12" s="569"/>
      <c r="WZT12" s="569"/>
      <c r="WZU12" s="569"/>
      <c r="WZV12" s="569"/>
      <c r="WZW12" s="569"/>
      <c r="WZX12" s="569"/>
      <c r="WZY12" s="569"/>
      <c r="WZZ12" s="569"/>
      <c r="XAA12" s="569"/>
      <c r="XAB12" s="569"/>
      <c r="XAC12" s="569"/>
      <c r="XAD12" s="569"/>
      <c r="XAE12" s="569"/>
      <c r="XAF12" s="569"/>
      <c r="XAG12" s="569"/>
      <c r="XAH12" s="569"/>
      <c r="XAI12" s="569"/>
      <c r="XAJ12" s="569"/>
      <c r="XAK12" s="569"/>
      <c r="XAL12" s="569"/>
      <c r="XAM12" s="569"/>
      <c r="XAN12" s="569"/>
      <c r="XAO12" s="569"/>
      <c r="XAP12" s="569"/>
      <c r="XAQ12" s="569"/>
      <c r="XAR12" s="569"/>
      <c r="XAS12" s="569"/>
      <c r="XAT12" s="569"/>
      <c r="XAU12" s="569"/>
      <c r="XAV12" s="569"/>
      <c r="XAW12" s="569"/>
      <c r="XAX12" s="569"/>
      <c r="XAY12" s="569"/>
      <c r="XAZ12" s="569"/>
      <c r="XBA12" s="569"/>
      <c r="XBB12" s="569"/>
      <c r="XBC12" s="569"/>
      <c r="XBD12" s="569"/>
      <c r="XBE12" s="569"/>
      <c r="XBF12" s="569"/>
      <c r="XBG12" s="569"/>
      <c r="XBH12" s="569"/>
      <c r="XBI12" s="569"/>
      <c r="XBJ12" s="569"/>
      <c r="XBK12" s="569"/>
      <c r="XBL12" s="569"/>
      <c r="XBM12" s="569"/>
      <c r="XBN12" s="569"/>
      <c r="XBO12" s="569"/>
      <c r="XBP12" s="569"/>
      <c r="XBQ12" s="569"/>
      <c r="XBR12" s="569"/>
      <c r="XBS12" s="569"/>
      <c r="XBT12" s="569"/>
      <c r="XBU12" s="569"/>
      <c r="XBV12" s="569"/>
      <c r="XBW12" s="569"/>
      <c r="XBX12" s="569"/>
      <c r="XBY12" s="569"/>
      <c r="XBZ12" s="569"/>
      <c r="XCA12" s="569"/>
      <c r="XCB12" s="569"/>
      <c r="XCC12" s="569"/>
      <c r="XCD12" s="569"/>
      <c r="XCE12" s="569"/>
      <c r="XCF12" s="569"/>
      <c r="XCG12" s="569"/>
      <c r="XCH12" s="569"/>
      <c r="XCI12" s="569"/>
      <c r="XCJ12" s="569"/>
      <c r="XCK12" s="569"/>
      <c r="XCL12" s="569"/>
      <c r="XCM12" s="569"/>
      <c r="XCN12" s="569"/>
      <c r="XCO12" s="569"/>
      <c r="XCP12" s="569"/>
      <c r="XCQ12" s="569"/>
      <c r="XCR12" s="569"/>
      <c r="XCS12" s="569"/>
      <c r="XCT12" s="569"/>
      <c r="XCU12" s="569"/>
      <c r="XCV12" s="569"/>
      <c r="XCW12" s="569"/>
      <c r="XCX12" s="569"/>
      <c r="XCY12" s="569"/>
      <c r="XCZ12" s="569"/>
      <c r="XDA12" s="569"/>
      <c r="XDB12" s="569"/>
      <c r="XDC12" s="569"/>
      <c r="XDD12" s="569"/>
      <c r="XDE12" s="569"/>
      <c r="XDF12" s="569"/>
      <c r="XDG12" s="569"/>
      <c r="XDH12" s="569"/>
      <c r="XDI12" s="569"/>
      <c r="XDJ12" s="569"/>
      <c r="XDK12" s="569"/>
      <c r="XDL12" s="569"/>
      <c r="XDM12" s="569"/>
      <c r="XDN12" s="569"/>
      <c r="XDO12" s="569"/>
      <c r="XDP12" s="569"/>
      <c r="XDQ12" s="569"/>
      <c r="XDR12" s="569"/>
      <c r="XDS12" s="569"/>
      <c r="XDT12" s="569"/>
      <c r="XDU12" s="569"/>
      <c r="XDV12" s="569"/>
      <c r="XDW12" s="569"/>
      <c r="XDX12" s="569"/>
      <c r="XDY12" s="569"/>
      <c r="XDZ12" s="569"/>
      <c r="XEA12" s="569"/>
      <c r="XEB12" s="569"/>
      <c r="XEC12" s="569"/>
      <c r="XED12" s="569"/>
      <c r="XEE12" s="569"/>
      <c r="XEF12" s="569"/>
      <c r="XEG12" s="569"/>
      <c r="XEH12" s="569"/>
      <c r="XEI12" s="569"/>
      <c r="XEJ12" s="569"/>
      <c r="XEK12" s="569"/>
      <c r="XEL12" s="569"/>
      <c r="XEM12" s="569"/>
      <c r="XEN12" s="569"/>
      <c r="XEO12" s="569"/>
      <c r="XEP12" s="569"/>
      <c r="XEQ12" s="569"/>
      <c r="XER12" s="569"/>
      <c r="XES12" s="569"/>
      <c r="XET12" s="569"/>
      <c r="XEU12" s="569"/>
      <c r="XEV12" s="569"/>
      <c r="XEW12" s="569"/>
      <c r="XEX12" s="569"/>
      <c r="XEY12" s="569"/>
      <c r="XEZ12" s="569"/>
      <c r="XFA12" s="569"/>
      <c r="XFB12" s="569"/>
      <c r="XFC12" s="569"/>
      <c r="XFD12" s="569"/>
    </row>
    <row r="13" spans="1:16384" ht="15.75" thickBot="1" x14ac:dyDescent="0.3">
      <c r="A13" s="644"/>
      <c r="B13" s="645"/>
      <c r="C13" s="645"/>
      <c r="D13" s="645"/>
      <c r="E13" s="645"/>
      <c r="F13" s="645"/>
      <c r="G13" s="645"/>
      <c r="H13" s="645"/>
      <c r="I13" s="645"/>
      <c r="J13" s="645"/>
      <c r="K13" s="645"/>
      <c r="L13" s="645"/>
      <c r="M13" s="645"/>
      <c r="N13" s="645"/>
      <c r="O13" s="645"/>
      <c r="P13" s="645"/>
      <c r="Q13" s="645"/>
      <c r="R13" s="645"/>
      <c r="S13" s="645"/>
      <c r="T13" s="645"/>
      <c r="U13" s="645"/>
      <c r="V13" s="645"/>
      <c r="W13" s="645"/>
      <c r="X13" s="646"/>
      <c r="Y13" s="554"/>
      <c r="Z13" s="554"/>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4"/>
      <c r="CX13" s="554"/>
      <c r="CY13" s="554"/>
      <c r="CZ13" s="554"/>
      <c r="DA13" s="554"/>
      <c r="DB13" s="554"/>
      <c r="DC13" s="554"/>
      <c r="DD13" s="554"/>
      <c r="DE13" s="554"/>
      <c r="DF13" s="554"/>
      <c r="DG13" s="554"/>
      <c r="DH13" s="554"/>
      <c r="DI13" s="554"/>
      <c r="DJ13" s="554"/>
      <c r="DK13" s="554"/>
      <c r="DL13" s="554"/>
      <c r="DM13" s="554"/>
      <c r="DN13" s="554"/>
      <c r="DO13" s="554"/>
      <c r="DP13" s="554"/>
      <c r="DQ13" s="554"/>
      <c r="DR13" s="554"/>
      <c r="DS13" s="554"/>
      <c r="DT13" s="554"/>
      <c r="DU13" s="554"/>
      <c r="DV13" s="554"/>
      <c r="DW13" s="554"/>
      <c r="DX13" s="554"/>
      <c r="DY13" s="554"/>
      <c r="DZ13" s="554"/>
      <c r="EA13" s="554"/>
      <c r="EB13" s="554"/>
      <c r="EC13" s="554"/>
      <c r="ED13" s="554"/>
      <c r="EE13" s="554"/>
      <c r="EF13" s="554"/>
      <c r="EG13" s="554"/>
      <c r="EH13" s="554"/>
      <c r="EI13" s="554"/>
      <c r="EJ13" s="554"/>
      <c r="EK13" s="554"/>
      <c r="EL13" s="554"/>
      <c r="EM13" s="554"/>
      <c r="EN13" s="554"/>
      <c r="EO13" s="554"/>
      <c r="EP13" s="554"/>
      <c r="EQ13" s="554"/>
      <c r="ER13" s="554"/>
      <c r="ES13" s="554"/>
      <c r="ET13" s="554"/>
      <c r="EU13" s="554"/>
      <c r="EV13" s="554"/>
      <c r="EW13" s="554"/>
      <c r="EX13" s="554"/>
      <c r="EY13" s="554"/>
      <c r="EZ13" s="554"/>
      <c r="FA13" s="554"/>
      <c r="FB13" s="554"/>
      <c r="FC13" s="554"/>
      <c r="FD13" s="554"/>
      <c r="FE13" s="554"/>
      <c r="FF13" s="554"/>
      <c r="FG13" s="554"/>
      <c r="FH13" s="554"/>
      <c r="FI13" s="554"/>
      <c r="FJ13" s="554"/>
      <c r="FK13" s="554"/>
      <c r="FL13" s="554"/>
      <c r="FM13" s="554"/>
      <c r="FN13" s="554"/>
      <c r="FO13" s="554"/>
      <c r="FP13" s="554"/>
      <c r="FQ13" s="554"/>
      <c r="FR13" s="554"/>
      <c r="FS13" s="554"/>
      <c r="FT13" s="554"/>
      <c r="FU13" s="554"/>
      <c r="FV13" s="554"/>
      <c r="FW13" s="554"/>
      <c r="FX13" s="554"/>
      <c r="FY13" s="554"/>
      <c r="FZ13" s="554"/>
      <c r="GA13" s="554"/>
      <c r="GB13" s="554"/>
      <c r="GC13" s="554"/>
      <c r="GD13" s="554"/>
      <c r="GE13" s="554"/>
      <c r="GF13" s="554"/>
      <c r="GG13" s="554"/>
      <c r="GH13" s="554"/>
      <c r="GI13" s="554"/>
      <c r="GJ13" s="554"/>
      <c r="GK13" s="554"/>
      <c r="GL13" s="554"/>
      <c r="GM13" s="554"/>
      <c r="GN13" s="554"/>
      <c r="GO13" s="554"/>
      <c r="GP13" s="554"/>
      <c r="GQ13" s="554"/>
      <c r="GR13" s="554"/>
      <c r="GS13" s="554"/>
      <c r="GT13" s="554"/>
      <c r="GU13" s="554"/>
      <c r="GV13" s="554"/>
      <c r="GW13" s="554"/>
      <c r="GX13" s="554"/>
      <c r="GY13" s="554"/>
      <c r="GZ13" s="554"/>
      <c r="HA13" s="554"/>
      <c r="HB13" s="554"/>
      <c r="HC13" s="554"/>
      <c r="HD13" s="554"/>
      <c r="HE13" s="554"/>
      <c r="HF13" s="554"/>
      <c r="HG13" s="554"/>
      <c r="HH13" s="554"/>
      <c r="HI13" s="554"/>
      <c r="HJ13" s="554"/>
      <c r="HK13" s="554"/>
      <c r="HL13" s="554"/>
      <c r="HM13" s="554"/>
      <c r="HN13" s="554"/>
      <c r="HO13" s="554"/>
      <c r="HP13" s="554"/>
      <c r="HQ13" s="554"/>
      <c r="HR13" s="554"/>
      <c r="HS13" s="554"/>
      <c r="HT13" s="554"/>
      <c r="HU13" s="554"/>
      <c r="HV13" s="554"/>
      <c r="HW13" s="554"/>
      <c r="HX13" s="554"/>
      <c r="HY13" s="554"/>
      <c r="HZ13" s="554"/>
      <c r="IA13" s="554"/>
      <c r="IB13" s="554"/>
      <c r="IC13" s="554"/>
      <c r="ID13" s="554"/>
      <c r="IE13" s="554"/>
      <c r="IF13" s="554"/>
      <c r="IG13" s="554"/>
      <c r="IH13" s="554"/>
      <c r="II13" s="554"/>
      <c r="IJ13" s="554"/>
      <c r="IK13" s="554"/>
      <c r="IL13" s="554"/>
      <c r="IM13" s="554"/>
      <c r="IN13" s="554"/>
      <c r="IO13" s="554"/>
      <c r="IP13" s="554"/>
      <c r="IQ13" s="554"/>
      <c r="IR13" s="554"/>
      <c r="IS13" s="554"/>
      <c r="IT13" s="554"/>
      <c r="IU13" s="554"/>
      <c r="IV13" s="554"/>
      <c r="IW13" s="554"/>
      <c r="IX13" s="554"/>
      <c r="IY13" s="554"/>
      <c r="IZ13" s="554"/>
      <c r="JA13" s="554"/>
      <c r="JB13" s="554"/>
      <c r="JC13" s="554"/>
      <c r="JD13" s="554"/>
      <c r="JE13" s="554"/>
      <c r="JF13" s="554"/>
      <c r="JG13" s="554"/>
      <c r="JH13" s="554"/>
      <c r="JI13" s="554"/>
      <c r="JJ13" s="554"/>
      <c r="JK13" s="554"/>
      <c r="JL13" s="554"/>
      <c r="JM13" s="554"/>
      <c r="JN13" s="554"/>
      <c r="JO13" s="554"/>
      <c r="JP13" s="554"/>
      <c r="JQ13" s="554"/>
      <c r="JR13" s="554"/>
      <c r="JS13" s="554"/>
      <c r="JT13" s="554"/>
      <c r="JU13" s="554"/>
      <c r="JV13" s="554"/>
      <c r="JW13" s="554"/>
      <c r="JX13" s="554"/>
      <c r="JY13" s="554"/>
      <c r="JZ13" s="554"/>
      <c r="KA13" s="554"/>
      <c r="KB13" s="554"/>
      <c r="KC13" s="554"/>
      <c r="KD13" s="554"/>
      <c r="KE13" s="554"/>
      <c r="KF13" s="554"/>
      <c r="KG13" s="554"/>
      <c r="KH13" s="554"/>
      <c r="KI13" s="554"/>
      <c r="KJ13" s="554"/>
      <c r="KK13" s="554"/>
      <c r="KL13" s="554"/>
      <c r="KM13" s="554"/>
      <c r="KN13" s="554"/>
      <c r="KO13" s="554"/>
      <c r="KP13" s="554"/>
      <c r="KQ13" s="554"/>
      <c r="KR13" s="554"/>
      <c r="KS13" s="554"/>
      <c r="KT13" s="554"/>
      <c r="KU13" s="554"/>
      <c r="KV13" s="554"/>
      <c r="KW13" s="554"/>
      <c r="KX13" s="554"/>
      <c r="KY13" s="554"/>
      <c r="KZ13" s="554"/>
      <c r="LA13" s="554"/>
      <c r="LB13" s="554"/>
      <c r="LC13" s="554"/>
      <c r="LD13" s="554"/>
      <c r="LE13" s="554"/>
      <c r="LF13" s="554"/>
      <c r="LG13" s="554"/>
      <c r="LH13" s="554"/>
      <c r="LI13" s="554"/>
      <c r="LJ13" s="554"/>
      <c r="LK13" s="554"/>
      <c r="LL13" s="554"/>
      <c r="LM13" s="554"/>
      <c r="LN13" s="554"/>
      <c r="LO13" s="554"/>
      <c r="LP13" s="554"/>
      <c r="LQ13" s="554"/>
      <c r="LR13" s="554"/>
      <c r="LS13" s="554"/>
      <c r="LT13" s="554"/>
      <c r="LU13" s="554"/>
      <c r="LV13" s="554"/>
      <c r="LW13" s="554"/>
      <c r="LX13" s="554"/>
      <c r="LY13" s="554"/>
      <c r="LZ13" s="554"/>
      <c r="MA13" s="554"/>
      <c r="MB13" s="554"/>
      <c r="MC13" s="554"/>
      <c r="MD13" s="554"/>
      <c r="ME13" s="554"/>
      <c r="MF13" s="554"/>
      <c r="MG13" s="554"/>
      <c r="MH13" s="554"/>
      <c r="MI13" s="554"/>
      <c r="MJ13" s="554"/>
      <c r="MK13" s="554"/>
      <c r="ML13" s="554"/>
      <c r="MM13" s="554"/>
      <c r="MN13" s="554"/>
      <c r="MO13" s="554"/>
      <c r="MP13" s="554"/>
      <c r="MQ13" s="554"/>
      <c r="MR13" s="554"/>
      <c r="MS13" s="554"/>
      <c r="MT13" s="554"/>
      <c r="MU13" s="554"/>
      <c r="MV13" s="554"/>
      <c r="MW13" s="554"/>
      <c r="MX13" s="554"/>
      <c r="MY13" s="554"/>
      <c r="MZ13" s="554"/>
      <c r="NA13" s="554"/>
      <c r="NB13" s="554"/>
      <c r="NC13" s="554"/>
      <c r="ND13" s="554"/>
      <c r="NE13" s="554"/>
      <c r="NF13" s="554"/>
      <c r="NG13" s="554"/>
      <c r="NH13" s="554"/>
      <c r="NI13" s="554"/>
      <c r="NJ13" s="554"/>
      <c r="NK13" s="554"/>
      <c r="NL13" s="554"/>
      <c r="NM13" s="554"/>
      <c r="NN13" s="554"/>
      <c r="NO13" s="554"/>
      <c r="NP13" s="554"/>
      <c r="NQ13" s="554"/>
      <c r="NR13" s="554"/>
      <c r="NS13" s="554"/>
      <c r="NT13" s="554"/>
      <c r="NU13" s="554"/>
      <c r="NV13" s="554"/>
      <c r="NW13" s="554"/>
      <c r="NX13" s="554"/>
      <c r="NY13" s="554"/>
      <c r="NZ13" s="554"/>
      <c r="OA13" s="554"/>
      <c r="OB13" s="554"/>
      <c r="OC13" s="554"/>
      <c r="OD13" s="554"/>
      <c r="OE13" s="554"/>
      <c r="OF13" s="554"/>
      <c r="OG13" s="554"/>
      <c r="OH13" s="554"/>
      <c r="OI13" s="554"/>
      <c r="OJ13" s="554"/>
      <c r="OK13" s="554"/>
      <c r="OL13" s="554"/>
      <c r="OM13" s="554"/>
      <c r="ON13" s="554"/>
      <c r="OO13" s="554"/>
      <c r="OP13" s="554"/>
      <c r="OQ13" s="554"/>
      <c r="OR13" s="554"/>
      <c r="OS13" s="554"/>
      <c r="OT13" s="554"/>
      <c r="OU13" s="554"/>
      <c r="OV13" s="554"/>
      <c r="OW13" s="554"/>
      <c r="OX13" s="554"/>
      <c r="OY13" s="554"/>
      <c r="OZ13" s="554"/>
      <c r="PA13" s="554"/>
      <c r="PB13" s="554"/>
      <c r="PC13" s="554"/>
      <c r="PD13" s="554"/>
      <c r="PE13" s="554"/>
      <c r="PF13" s="554"/>
      <c r="PG13" s="554"/>
      <c r="PH13" s="554"/>
      <c r="PI13" s="554"/>
      <c r="PJ13" s="554"/>
      <c r="PK13" s="554"/>
      <c r="PL13" s="554"/>
      <c r="PM13" s="554"/>
      <c r="PN13" s="554"/>
      <c r="PO13" s="554"/>
      <c r="PP13" s="554"/>
      <c r="PQ13" s="554"/>
      <c r="PR13" s="554"/>
      <c r="PS13" s="554"/>
      <c r="PT13" s="554"/>
      <c r="PU13" s="554"/>
      <c r="PV13" s="554"/>
      <c r="PW13" s="554"/>
      <c r="PX13" s="554"/>
      <c r="PY13" s="554"/>
      <c r="PZ13" s="554"/>
      <c r="QA13" s="554"/>
      <c r="QB13" s="554"/>
      <c r="QC13" s="554"/>
      <c r="QD13" s="554"/>
      <c r="QE13" s="554"/>
      <c r="QF13" s="554"/>
      <c r="QG13" s="554"/>
      <c r="QH13" s="554"/>
      <c r="QI13" s="554"/>
      <c r="QJ13" s="554"/>
      <c r="QK13" s="554"/>
      <c r="QL13" s="554"/>
      <c r="QM13" s="554"/>
      <c r="QN13" s="554"/>
      <c r="QO13" s="554"/>
      <c r="QP13" s="554"/>
      <c r="QQ13" s="554"/>
      <c r="QR13" s="554"/>
      <c r="QS13" s="554"/>
      <c r="QT13" s="554"/>
      <c r="QU13" s="554"/>
      <c r="QV13" s="554"/>
      <c r="QW13" s="554"/>
      <c r="QX13" s="554"/>
      <c r="QY13" s="554"/>
      <c r="QZ13" s="554"/>
      <c r="RA13" s="554"/>
      <c r="RB13" s="554"/>
      <c r="RC13" s="554"/>
      <c r="RD13" s="554"/>
      <c r="RE13" s="554"/>
      <c r="RF13" s="554"/>
      <c r="RG13" s="554"/>
      <c r="RH13" s="554"/>
      <c r="RI13" s="554"/>
      <c r="RJ13" s="554"/>
      <c r="RK13" s="554"/>
      <c r="RL13" s="554"/>
      <c r="RM13" s="554"/>
      <c r="RN13" s="554"/>
      <c r="RO13" s="554"/>
      <c r="RP13" s="554"/>
      <c r="RQ13" s="554"/>
      <c r="RR13" s="554"/>
      <c r="RS13" s="554"/>
      <c r="RT13" s="554"/>
      <c r="RU13" s="554"/>
      <c r="RV13" s="554"/>
      <c r="RW13" s="554"/>
      <c r="RX13" s="554"/>
      <c r="RY13" s="554"/>
      <c r="RZ13" s="554"/>
      <c r="SA13" s="554"/>
      <c r="SB13" s="554"/>
      <c r="SC13" s="554"/>
      <c r="SD13" s="554"/>
      <c r="SE13" s="554"/>
      <c r="SF13" s="554"/>
      <c r="SG13" s="554"/>
      <c r="SH13" s="554"/>
      <c r="SI13" s="554"/>
      <c r="SJ13" s="554"/>
      <c r="SK13" s="554"/>
      <c r="SL13" s="554"/>
      <c r="SM13" s="554"/>
      <c r="SN13" s="554"/>
      <c r="SO13" s="554"/>
      <c r="SP13" s="554"/>
      <c r="SQ13" s="554"/>
      <c r="SR13" s="554"/>
      <c r="SS13" s="554"/>
      <c r="ST13" s="554"/>
      <c r="SU13" s="554"/>
      <c r="SV13" s="554"/>
      <c r="SW13" s="554"/>
      <c r="SX13" s="554"/>
      <c r="SY13" s="554"/>
      <c r="SZ13" s="554"/>
      <c r="TA13" s="554"/>
      <c r="TB13" s="554"/>
      <c r="TC13" s="554"/>
      <c r="TD13" s="554"/>
      <c r="TE13" s="554"/>
      <c r="TF13" s="554"/>
      <c r="TG13" s="554"/>
      <c r="TH13" s="554"/>
      <c r="TI13" s="554"/>
      <c r="TJ13" s="554"/>
      <c r="TK13" s="554"/>
      <c r="TL13" s="554"/>
      <c r="TM13" s="554"/>
      <c r="TN13" s="554"/>
      <c r="TO13" s="554"/>
      <c r="TP13" s="554"/>
      <c r="TQ13" s="554"/>
      <c r="TR13" s="554"/>
      <c r="TS13" s="554"/>
      <c r="TT13" s="554"/>
      <c r="TU13" s="554"/>
      <c r="TV13" s="554"/>
      <c r="TW13" s="554"/>
      <c r="TX13" s="554"/>
      <c r="TY13" s="554"/>
      <c r="TZ13" s="554"/>
      <c r="UA13" s="554"/>
      <c r="UB13" s="554"/>
      <c r="UC13" s="554"/>
      <c r="UD13" s="554"/>
      <c r="UE13" s="554"/>
      <c r="UF13" s="554"/>
      <c r="UG13" s="554"/>
      <c r="UH13" s="554"/>
      <c r="UI13" s="554"/>
      <c r="UJ13" s="554"/>
      <c r="UK13" s="554"/>
      <c r="UL13" s="554"/>
      <c r="UM13" s="554"/>
      <c r="UN13" s="554"/>
      <c r="UO13" s="554"/>
      <c r="UP13" s="554"/>
      <c r="UQ13" s="554"/>
      <c r="UR13" s="554"/>
      <c r="US13" s="554"/>
      <c r="UT13" s="554"/>
      <c r="UU13" s="554"/>
      <c r="UV13" s="554"/>
      <c r="UW13" s="554"/>
      <c r="UX13" s="554"/>
      <c r="UY13" s="554"/>
      <c r="UZ13" s="554"/>
      <c r="VA13" s="554"/>
      <c r="VB13" s="554"/>
      <c r="VC13" s="554"/>
      <c r="VD13" s="554"/>
      <c r="VE13" s="554"/>
      <c r="VF13" s="554"/>
      <c r="VG13" s="554"/>
      <c r="VH13" s="554"/>
      <c r="VI13" s="554"/>
      <c r="VJ13" s="554"/>
      <c r="VK13" s="554"/>
      <c r="VL13" s="554"/>
      <c r="VM13" s="554"/>
      <c r="VN13" s="554"/>
      <c r="VO13" s="554"/>
      <c r="VP13" s="554"/>
      <c r="VQ13" s="554"/>
      <c r="VR13" s="554"/>
      <c r="VS13" s="554"/>
      <c r="VT13" s="554"/>
      <c r="VU13" s="554"/>
      <c r="VV13" s="554"/>
      <c r="VW13" s="554"/>
      <c r="VX13" s="554"/>
      <c r="VY13" s="554"/>
      <c r="VZ13" s="554"/>
      <c r="WA13" s="554"/>
      <c r="WB13" s="554"/>
      <c r="WC13" s="554"/>
      <c r="WD13" s="554"/>
      <c r="WE13" s="554"/>
      <c r="WF13" s="554"/>
      <c r="WG13" s="554"/>
      <c r="WH13" s="554"/>
      <c r="WI13" s="554"/>
      <c r="WJ13" s="554"/>
      <c r="WK13" s="554"/>
      <c r="WL13" s="554"/>
      <c r="WM13" s="554"/>
      <c r="WN13" s="554"/>
      <c r="WO13" s="554"/>
      <c r="WP13" s="554"/>
      <c r="WQ13" s="554"/>
      <c r="WR13" s="554"/>
      <c r="WS13" s="554"/>
      <c r="WT13" s="554"/>
      <c r="WU13" s="554"/>
      <c r="WV13" s="554"/>
      <c r="WW13" s="554"/>
      <c r="WX13" s="554"/>
      <c r="WY13" s="554"/>
      <c r="WZ13" s="554"/>
      <c r="XA13" s="554"/>
      <c r="XB13" s="554"/>
      <c r="XC13" s="554"/>
      <c r="XD13" s="554"/>
      <c r="XE13" s="554"/>
      <c r="XF13" s="554"/>
      <c r="XG13" s="554"/>
      <c r="XH13" s="554"/>
      <c r="XI13" s="554"/>
      <c r="XJ13" s="554"/>
      <c r="XK13" s="554"/>
      <c r="XL13" s="554"/>
      <c r="XM13" s="554"/>
      <c r="XN13" s="554"/>
      <c r="XO13" s="554"/>
      <c r="XP13" s="554"/>
      <c r="XQ13" s="554"/>
      <c r="XR13" s="554"/>
      <c r="XS13" s="554"/>
      <c r="XT13" s="554"/>
      <c r="XU13" s="554"/>
      <c r="XV13" s="554"/>
      <c r="XW13" s="554"/>
      <c r="XX13" s="554"/>
      <c r="XY13" s="554"/>
      <c r="XZ13" s="554"/>
      <c r="YA13" s="554"/>
      <c r="YB13" s="554"/>
      <c r="YC13" s="554"/>
      <c r="YD13" s="554"/>
      <c r="YE13" s="554"/>
      <c r="YF13" s="554"/>
      <c r="YG13" s="554"/>
      <c r="YH13" s="554"/>
      <c r="YI13" s="554"/>
      <c r="YJ13" s="554"/>
      <c r="YK13" s="554"/>
      <c r="YL13" s="554"/>
      <c r="YM13" s="554"/>
      <c r="YN13" s="554"/>
      <c r="YO13" s="554"/>
      <c r="YP13" s="554"/>
      <c r="YQ13" s="554"/>
      <c r="YR13" s="554"/>
      <c r="YS13" s="554"/>
      <c r="YT13" s="554"/>
      <c r="YU13" s="554"/>
      <c r="YV13" s="554"/>
      <c r="YW13" s="554"/>
      <c r="YX13" s="554"/>
      <c r="YY13" s="554"/>
      <c r="YZ13" s="554"/>
      <c r="ZA13" s="554"/>
      <c r="ZB13" s="554"/>
      <c r="ZC13" s="554"/>
      <c r="ZD13" s="554"/>
      <c r="ZE13" s="554"/>
      <c r="ZF13" s="554"/>
      <c r="ZG13" s="554"/>
      <c r="ZH13" s="554"/>
      <c r="ZI13" s="554"/>
      <c r="ZJ13" s="554"/>
      <c r="ZK13" s="554"/>
      <c r="ZL13" s="554"/>
      <c r="ZM13" s="554"/>
      <c r="ZN13" s="554"/>
      <c r="ZO13" s="554"/>
      <c r="ZP13" s="554"/>
      <c r="ZQ13" s="554"/>
      <c r="ZR13" s="554"/>
      <c r="ZS13" s="554"/>
      <c r="ZT13" s="554"/>
      <c r="ZU13" s="554"/>
      <c r="ZV13" s="554"/>
      <c r="ZW13" s="554"/>
      <c r="ZX13" s="554"/>
      <c r="ZY13" s="554"/>
      <c r="ZZ13" s="554"/>
      <c r="AAA13" s="554"/>
      <c r="AAB13" s="554"/>
      <c r="AAC13" s="554"/>
      <c r="AAD13" s="554"/>
      <c r="AAE13" s="554"/>
      <c r="AAF13" s="554"/>
      <c r="AAG13" s="554"/>
      <c r="AAH13" s="554"/>
      <c r="AAI13" s="554"/>
      <c r="AAJ13" s="554"/>
      <c r="AAK13" s="554"/>
      <c r="AAL13" s="554"/>
      <c r="AAM13" s="554"/>
      <c r="AAN13" s="554"/>
      <c r="AAO13" s="554"/>
      <c r="AAP13" s="554"/>
      <c r="AAQ13" s="554"/>
      <c r="AAR13" s="554"/>
      <c r="AAS13" s="554"/>
      <c r="AAT13" s="554"/>
      <c r="AAU13" s="554"/>
      <c r="AAV13" s="554"/>
      <c r="AAW13" s="554"/>
      <c r="AAX13" s="554"/>
      <c r="AAY13" s="554"/>
      <c r="AAZ13" s="554"/>
      <c r="ABA13" s="554"/>
      <c r="ABB13" s="554"/>
      <c r="ABC13" s="554"/>
      <c r="ABD13" s="554"/>
      <c r="ABE13" s="554"/>
      <c r="ABF13" s="554"/>
      <c r="ABG13" s="554"/>
      <c r="ABH13" s="554"/>
      <c r="ABI13" s="554"/>
      <c r="ABJ13" s="554"/>
      <c r="ABK13" s="554"/>
      <c r="ABL13" s="554"/>
      <c r="ABM13" s="554"/>
      <c r="ABN13" s="554"/>
      <c r="ABO13" s="554"/>
      <c r="ABP13" s="554"/>
      <c r="ABQ13" s="554"/>
      <c r="ABR13" s="554"/>
      <c r="ABS13" s="554"/>
      <c r="ABT13" s="554"/>
      <c r="ABU13" s="554"/>
      <c r="ABV13" s="554"/>
      <c r="ABW13" s="554"/>
      <c r="ABX13" s="554"/>
      <c r="ABY13" s="554"/>
      <c r="ABZ13" s="554"/>
      <c r="ACA13" s="554"/>
      <c r="ACB13" s="554"/>
      <c r="ACC13" s="554"/>
      <c r="ACD13" s="554"/>
      <c r="ACE13" s="554"/>
      <c r="ACF13" s="554"/>
      <c r="ACG13" s="554"/>
      <c r="ACH13" s="554"/>
      <c r="ACI13" s="554"/>
      <c r="ACJ13" s="554"/>
      <c r="ACK13" s="554"/>
      <c r="ACL13" s="554"/>
      <c r="ACM13" s="554"/>
      <c r="ACN13" s="554"/>
      <c r="ACO13" s="554"/>
      <c r="ACP13" s="554"/>
      <c r="ACQ13" s="554"/>
      <c r="ACR13" s="554"/>
      <c r="ACS13" s="554"/>
      <c r="ACT13" s="554"/>
      <c r="ACU13" s="554"/>
      <c r="ACV13" s="554"/>
      <c r="ACW13" s="554"/>
      <c r="ACX13" s="554"/>
      <c r="ACY13" s="554"/>
      <c r="ACZ13" s="554"/>
      <c r="ADA13" s="554"/>
      <c r="ADB13" s="554"/>
      <c r="ADC13" s="554"/>
      <c r="ADD13" s="554"/>
      <c r="ADE13" s="554"/>
      <c r="ADF13" s="554"/>
      <c r="ADG13" s="554"/>
      <c r="ADH13" s="554"/>
      <c r="ADI13" s="554"/>
      <c r="ADJ13" s="554"/>
      <c r="ADK13" s="554"/>
      <c r="ADL13" s="554"/>
      <c r="ADM13" s="554"/>
      <c r="ADN13" s="554"/>
      <c r="ADO13" s="554"/>
      <c r="ADP13" s="554"/>
      <c r="ADQ13" s="554"/>
      <c r="ADR13" s="554"/>
      <c r="ADS13" s="554"/>
      <c r="ADT13" s="554"/>
      <c r="ADU13" s="554"/>
      <c r="ADV13" s="554"/>
      <c r="ADW13" s="554"/>
      <c r="ADX13" s="554"/>
      <c r="ADY13" s="554"/>
      <c r="ADZ13" s="554"/>
      <c r="AEA13" s="554"/>
      <c r="AEB13" s="554"/>
      <c r="AEC13" s="554"/>
      <c r="AED13" s="554"/>
      <c r="AEE13" s="554"/>
      <c r="AEF13" s="554"/>
      <c r="AEG13" s="554"/>
      <c r="AEH13" s="554"/>
      <c r="AEI13" s="554"/>
      <c r="AEJ13" s="554"/>
      <c r="AEK13" s="554"/>
      <c r="AEL13" s="554"/>
      <c r="AEM13" s="554"/>
      <c r="AEN13" s="554"/>
      <c r="AEO13" s="554"/>
      <c r="AEP13" s="554"/>
      <c r="AEQ13" s="554"/>
      <c r="AER13" s="554"/>
      <c r="AES13" s="554"/>
      <c r="AET13" s="554"/>
      <c r="AEU13" s="554"/>
      <c r="AEV13" s="554"/>
      <c r="AEW13" s="554"/>
      <c r="AEX13" s="554"/>
      <c r="AEY13" s="554"/>
      <c r="AEZ13" s="554"/>
      <c r="AFA13" s="554"/>
      <c r="AFB13" s="554"/>
      <c r="AFC13" s="554"/>
      <c r="AFD13" s="554"/>
      <c r="AFE13" s="554"/>
      <c r="AFF13" s="554"/>
      <c r="AFG13" s="554"/>
      <c r="AFH13" s="554"/>
      <c r="AFI13" s="554"/>
      <c r="AFJ13" s="554"/>
      <c r="AFK13" s="554"/>
      <c r="AFL13" s="554"/>
      <c r="AFM13" s="554"/>
      <c r="AFN13" s="554"/>
      <c r="AFO13" s="554"/>
      <c r="AFP13" s="554"/>
      <c r="AFQ13" s="554"/>
      <c r="AFR13" s="554"/>
      <c r="AFS13" s="554"/>
      <c r="AFT13" s="554"/>
      <c r="AFU13" s="554"/>
      <c r="AFV13" s="554"/>
      <c r="AFW13" s="554"/>
      <c r="AFX13" s="554"/>
      <c r="AFY13" s="554"/>
      <c r="AFZ13" s="554"/>
      <c r="AGA13" s="554"/>
      <c r="AGB13" s="554"/>
      <c r="AGC13" s="554"/>
      <c r="AGD13" s="554"/>
      <c r="AGE13" s="554"/>
      <c r="AGF13" s="554"/>
      <c r="AGG13" s="554"/>
      <c r="AGH13" s="554"/>
      <c r="AGI13" s="554"/>
      <c r="AGJ13" s="554"/>
      <c r="AGK13" s="554"/>
      <c r="AGL13" s="554"/>
      <c r="AGM13" s="554"/>
      <c r="AGN13" s="554"/>
      <c r="AGO13" s="554"/>
      <c r="AGP13" s="554"/>
      <c r="AGQ13" s="554"/>
      <c r="AGR13" s="554"/>
      <c r="AGS13" s="554"/>
      <c r="AGT13" s="554"/>
      <c r="AGU13" s="554"/>
      <c r="AGV13" s="554"/>
      <c r="AGW13" s="554"/>
      <c r="AGX13" s="554"/>
      <c r="AGY13" s="554"/>
      <c r="AGZ13" s="554"/>
      <c r="AHA13" s="554"/>
      <c r="AHB13" s="554"/>
      <c r="AHC13" s="554"/>
      <c r="AHD13" s="554"/>
      <c r="AHE13" s="554"/>
      <c r="AHF13" s="554"/>
      <c r="AHG13" s="554"/>
      <c r="AHH13" s="554"/>
      <c r="AHI13" s="554"/>
      <c r="AHJ13" s="554"/>
      <c r="AHK13" s="554"/>
      <c r="AHL13" s="554"/>
      <c r="AHM13" s="554"/>
      <c r="AHN13" s="554"/>
      <c r="AHO13" s="554"/>
      <c r="AHP13" s="554"/>
      <c r="AHQ13" s="554"/>
      <c r="AHR13" s="554"/>
      <c r="AHS13" s="554"/>
      <c r="AHT13" s="554"/>
      <c r="AHU13" s="554"/>
      <c r="AHV13" s="554"/>
      <c r="AHW13" s="554"/>
      <c r="AHX13" s="554"/>
      <c r="AHY13" s="554"/>
      <c r="AHZ13" s="554"/>
      <c r="AIA13" s="554"/>
      <c r="AIB13" s="554"/>
      <c r="AIC13" s="554"/>
      <c r="AID13" s="554"/>
      <c r="AIE13" s="554"/>
      <c r="AIF13" s="554"/>
      <c r="AIG13" s="554"/>
      <c r="AIH13" s="554"/>
      <c r="AII13" s="554"/>
      <c r="AIJ13" s="554"/>
      <c r="AIK13" s="554"/>
      <c r="AIL13" s="554"/>
      <c r="AIM13" s="554"/>
      <c r="AIN13" s="554"/>
      <c r="AIO13" s="554"/>
      <c r="AIP13" s="554"/>
      <c r="AIQ13" s="554"/>
      <c r="AIR13" s="554"/>
      <c r="AIS13" s="554"/>
      <c r="AIT13" s="554"/>
      <c r="AIU13" s="554"/>
      <c r="AIV13" s="554"/>
      <c r="AIW13" s="554"/>
      <c r="AIX13" s="554"/>
      <c r="AIY13" s="554"/>
      <c r="AIZ13" s="554"/>
      <c r="AJA13" s="554"/>
      <c r="AJB13" s="554"/>
      <c r="AJC13" s="554"/>
      <c r="AJD13" s="554"/>
      <c r="AJE13" s="554"/>
      <c r="AJF13" s="554"/>
      <c r="AJG13" s="554"/>
      <c r="AJH13" s="554"/>
      <c r="AJI13" s="554"/>
      <c r="AJJ13" s="554"/>
      <c r="AJK13" s="554"/>
      <c r="AJL13" s="554"/>
      <c r="AJM13" s="554"/>
      <c r="AJN13" s="554"/>
      <c r="AJO13" s="554"/>
      <c r="AJP13" s="554"/>
      <c r="AJQ13" s="554"/>
      <c r="AJR13" s="554"/>
      <c r="AJS13" s="554"/>
      <c r="AJT13" s="554"/>
      <c r="AJU13" s="554"/>
      <c r="AJV13" s="554"/>
      <c r="AJW13" s="554"/>
      <c r="AJX13" s="554"/>
      <c r="AJY13" s="554"/>
      <c r="AJZ13" s="554"/>
      <c r="AKA13" s="554"/>
      <c r="AKB13" s="554"/>
      <c r="AKC13" s="554"/>
      <c r="AKD13" s="554"/>
      <c r="AKE13" s="554"/>
      <c r="AKF13" s="554"/>
      <c r="AKG13" s="554"/>
      <c r="AKH13" s="554"/>
      <c r="AKI13" s="554"/>
      <c r="AKJ13" s="554"/>
      <c r="AKK13" s="554"/>
      <c r="AKL13" s="554"/>
      <c r="AKM13" s="554"/>
      <c r="AKN13" s="554"/>
      <c r="AKO13" s="554"/>
      <c r="AKP13" s="554"/>
      <c r="AKQ13" s="554"/>
      <c r="AKR13" s="554"/>
      <c r="AKS13" s="554"/>
      <c r="AKT13" s="554"/>
      <c r="AKU13" s="554"/>
      <c r="AKV13" s="554"/>
      <c r="AKW13" s="554"/>
      <c r="AKX13" s="554"/>
      <c r="AKY13" s="554"/>
      <c r="AKZ13" s="554"/>
      <c r="ALA13" s="554"/>
      <c r="ALB13" s="554"/>
      <c r="ALC13" s="554"/>
      <c r="ALD13" s="554"/>
      <c r="ALE13" s="554"/>
      <c r="ALF13" s="554"/>
      <c r="ALG13" s="554"/>
      <c r="ALH13" s="554"/>
      <c r="ALI13" s="554"/>
      <c r="ALJ13" s="554"/>
      <c r="ALK13" s="554"/>
      <c r="ALL13" s="554"/>
      <c r="ALM13" s="554"/>
      <c r="ALN13" s="554"/>
      <c r="ALO13" s="554"/>
      <c r="ALP13" s="554"/>
      <c r="ALQ13" s="554"/>
      <c r="ALR13" s="554"/>
      <c r="ALS13" s="554"/>
      <c r="ALT13" s="554"/>
      <c r="ALU13" s="554"/>
      <c r="ALV13" s="554"/>
      <c r="ALW13" s="554"/>
      <c r="ALX13" s="554"/>
      <c r="ALY13" s="554"/>
      <c r="ALZ13" s="554"/>
      <c r="AMA13" s="554"/>
      <c r="AMB13" s="554"/>
      <c r="AMC13" s="554"/>
      <c r="AMD13" s="554"/>
      <c r="AME13" s="554"/>
      <c r="AMF13" s="554"/>
      <c r="AMG13" s="554"/>
      <c r="AMH13" s="554"/>
      <c r="AMI13" s="554"/>
      <c r="AMJ13" s="554"/>
      <c r="AMK13" s="554"/>
      <c r="AML13" s="554"/>
      <c r="AMM13" s="554"/>
      <c r="AMN13" s="554"/>
      <c r="AMO13" s="554"/>
      <c r="AMP13" s="554"/>
      <c r="AMQ13" s="554"/>
      <c r="AMR13" s="554"/>
      <c r="AMS13" s="554"/>
      <c r="AMT13" s="554"/>
      <c r="AMU13" s="554"/>
      <c r="AMV13" s="554"/>
      <c r="AMW13" s="554"/>
      <c r="AMX13" s="554"/>
      <c r="AMY13" s="554"/>
      <c r="AMZ13" s="554"/>
      <c r="ANA13" s="554"/>
      <c r="ANB13" s="554"/>
      <c r="ANC13" s="554"/>
      <c r="AND13" s="554"/>
      <c r="ANE13" s="554"/>
      <c r="ANF13" s="554"/>
      <c r="ANG13" s="554"/>
      <c r="ANH13" s="554"/>
      <c r="ANI13" s="554"/>
      <c r="ANJ13" s="554"/>
      <c r="ANK13" s="554"/>
      <c r="ANL13" s="554"/>
      <c r="ANM13" s="554"/>
      <c r="ANN13" s="554"/>
      <c r="ANO13" s="554"/>
      <c r="ANP13" s="554"/>
      <c r="ANQ13" s="554"/>
      <c r="ANR13" s="554"/>
      <c r="ANS13" s="554"/>
      <c r="ANT13" s="554"/>
      <c r="ANU13" s="554"/>
      <c r="ANV13" s="554"/>
      <c r="ANW13" s="554"/>
      <c r="ANX13" s="554"/>
      <c r="ANY13" s="554"/>
      <c r="ANZ13" s="554"/>
      <c r="AOA13" s="554"/>
      <c r="AOB13" s="554"/>
      <c r="AOC13" s="554"/>
      <c r="AOD13" s="554"/>
      <c r="AOE13" s="554"/>
      <c r="AOF13" s="554"/>
      <c r="AOG13" s="554"/>
      <c r="AOH13" s="554"/>
      <c r="AOI13" s="554"/>
      <c r="AOJ13" s="554"/>
      <c r="AOK13" s="554"/>
      <c r="AOL13" s="554"/>
      <c r="AOM13" s="554"/>
      <c r="AON13" s="554"/>
      <c r="AOO13" s="554"/>
      <c r="AOP13" s="554"/>
      <c r="AOQ13" s="554"/>
      <c r="AOR13" s="554"/>
      <c r="AOS13" s="554"/>
      <c r="AOT13" s="554"/>
      <c r="AOU13" s="554"/>
      <c r="AOV13" s="554"/>
      <c r="AOW13" s="554"/>
      <c r="AOX13" s="554"/>
      <c r="AOY13" s="554"/>
      <c r="AOZ13" s="554"/>
      <c r="APA13" s="554"/>
      <c r="APB13" s="554"/>
      <c r="APC13" s="554"/>
      <c r="APD13" s="554"/>
      <c r="APE13" s="554"/>
      <c r="APF13" s="554"/>
      <c r="APG13" s="554"/>
      <c r="APH13" s="554"/>
      <c r="API13" s="554"/>
      <c r="APJ13" s="554"/>
      <c r="APK13" s="554"/>
      <c r="APL13" s="554"/>
      <c r="APM13" s="554"/>
      <c r="APN13" s="554"/>
      <c r="APO13" s="554"/>
      <c r="APP13" s="554"/>
      <c r="APQ13" s="554"/>
      <c r="APR13" s="554"/>
      <c r="APS13" s="554"/>
      <c r="APT13" s="554"/>
      <c r="APU13" s="554"/>
      <c r="APV13" s="554"/>
      <c r="APW13" s="554"/>
      <c r="APX13" s="554"/>
      <c r="APY13" s="554"/>
      <c r="APZ13" s="554"/>
      <c r="AQA13" s="554"/>
      <c r="AQB13" s="554"/>
      <c r="AQC13" s="554"/>
      <c r="AQD13" s="554"/>
      <c r="AQE13" s="554"/>
      <c r="AQF13" s="554"/>
      <c r="AQG13" s="554"/>
      <c r="AQH13" s="554"/>
      <c r="AQI13" s="554"/>
      <c r="AQJ13" s="554"/>
      <c r="AQK13" s="554"/>
      <c r="AQL13" s="554"/>
      <c r="AQM13" s="554"/>
      <c r="AQN13" s="554"/>
      <c r="AQO13" s="554"/>
      <c r="AQP13" s="554"/>
      <c r="AQQ13" s="554"/>
      <c r="AQR13" s="554"/>
      <c r="AQS13" s="554"/>
      <c r="AQT13" s="554"/>
      <c r="AQU13" s="554"/>
      <c r="AQV13" s="554"/>
      <c r="AQW13" s="554"/>
      <c r="AQX13" s="554"/>
      <c r="AQY13" s="554"/>
      <c r="AQZ13" s="554"/>
      <c r="ARA13" s="554"/>
      <c r="ARB13" s="554"/>
      <c r="ARC13" s="554"/>
      <c r="ARD13" s="554"/>
      <c r="ARE13" s="554"/>
      <c r="ARF13" s="554"/>
      <c r="ARG13" s="554"/>
      <c r="ARH13" s="554"/>
      <c r="ARI13" s="554"/>
      <c r="ARJ13" s="554"/>
      <c r="ARK13" s="554"/>
      <c r="ARL13" s="554"/>
      <c r="ARM13" s="554"/>
      <c r="ARN13" s="554"/>
      <c r="ARO13" s="554"/>
      <c r="ARP13" s="554"/>
      <c r="ARQ13" s="554"/>
      <c r="ARR13" s="554"/>
      <c r="ARS13" s="554"/>
      <c r="ART13" s="554"/>
      <c r="ARU13" s="554"/>
      <c r="ARV13" s="554"/>
      <c r="ARW13" s="554"/>
      <c r="ARX13" s="554"/>
      <c r="ARY13" s="554"/>
      <c r="ARZ13" s="554"/>
      <c r="ASA13" s="554"/>
      <c r="ASB13" s="554"/>
      <c r="ASC13" s="554"/>
      <c r="ASD13" s="554"/>
      <c r="ASE13" s="554"/>
      <c r="ASF13" s="554"/>
      <c r="ASG13" s="554"/>
      <c r="ASH13" s="554"/>
      <c r="ASI13" s="554"/>
      <c r="ASJ13" s="554"/>
      <c r="ASK13" s="554"/>
      <c r="ASL13" s="554"/>
      <c r="ASM13" s="554"/>
      <c r="ASN13" s="554"/>
      <c r="ASO13" s="554"/>
      <c r="ASP13" s="554"/>
      <c r="ASQ13" s="554"/>
      <c r="ASR13" s="554"/>
      <c r="ASS13" s="554"/>
      <c r="AST13" s="554"/>
      <c r="ASU13" s="554"/>
      <c r="ASV13" s="554"/>
      <c r="ASW13" s="554"/>
      <c r="ASX13" s="554"/>
      <c r="ASY13" s="554"/>
      <c r="ASZ13" s="554"/>
      <c r="ATA13" s="554"/>
      <c r="ATB13" s="554"/>
      <c r="ATC13" s="554"/>
      <c r="ATD13" s="554"/>
      <c r="ATE13" s="554"/>
      <c r="ATF13" s="554"/>
      <c r="ATG13" s="554"/>
      <c r="ATH13" s="554"/>
      <c r="ATI13" s="554"/>
      <c r="ATJ13" s="554"/>
      <c r="ATK13" s="554"/>
      <c r="ATL13" s="554"/>
      <c r="ATM13" s="554"/>
      <c r="ATN13" s="554"/>
      <c r="ATO13" s="554"/>
      <c r="ATP13" s="554"/>
      <c r="ATQ13" s="554"/>
      <c r="ATR13" s="554"/>
      <c r="ATS13" s="554"/>
      <c r="ATT13" s="554"/>
      <c r="ATU13" s="554"/>
      <c r="ATV13" s="554"/>
      <c r="ATW13" s="554"/>
      <c r="ATX13" s="554"/>
      <c r="ATY13" s="554"/>
      <c r="ATZ13" s="554"/>
      <c r="AUA13" s="554"/>
      <c r="AUB13" s="554"/>
      <c r="AUC13" s="554"/>
      <c r="AUD13" s="554"/>
      <c r="AUE13" s="554"/>
      <c r="AUF13" s="554"/>
      <c r="AUG13" s="554"/>
      <c r="AUH13" s="554"/>
      <c r="AUI13" s="554"/>
      <c r="AUJ13" s="554"/>
      <c r="AUK13" s="554"/>
      <c r="AUL13" s="554"/>
      <c r="AUM13" s="554"/>
      <c r="AUN13" s="554"/>
      <c r="AUO13" s="554"/>
      <c r="AUP13" s="554"/>
      <c r="AUQ13" s="554"/>
      <c r="AUR13" s="554"/>
      <c r="AUS13" s="554"/>
      <c r="AUT13" s="554"/>
      <c r="AUU13" s="554"/>
      <c r="AUV13" s="554"/>
      <c r="AUW13" s="554"/>
      <c r="AUX13" s="554"/>
      <c r="AUY13" s="554"/>
      <c r="AUZ13" s="554"/>
      <c r="AVA13" s="554"/>
      <c r="AVB13" s="554"/>
      <c r="AVC13" s="554"/>
      <c r="AVD13" s="554"/>
      <c r="AVE13" s="554"/>
      <c r="AVF13" s="554"/>
      <c r="AVG13" s="554"/>
      <c r="AVH13" s="554"/>
      <c r="AVI13" s="554"/>
      <c r="AVJ13" s="554"/>
      <c r="AVK13" s="554"/>
      <c r="AVL13" s="554"/>
      <c r="AVM13" s="554"/>
      <c r="AVN13" s="554"/>
      <c r="AVO13" s="554"/>
      <c r="AVP13" s="554"/>
      <c r="AVQ13" s="554"/>
      <c r="AVR13" s="554"/>
      <c r="AVS13" s="554"/>
      <c r="AVT13" s="554"/>
      <c r="AVU13" s="554"/>
      <c r="AVV13" s="554"/>
      <c r="AVW13" s="554"/>
      <c r="AVX13" s="554"/>
      <c r="AVY13" s="554"/>
      <c r="AVZ13" s="554"/>
      <c r="AWA13" s="554"/>
      <c r="AWB13" s="554"/>
      <c r="AWC13" s="554"/>
      <c r="AWD13" s="554"/>
      <c r="AWE13" s="554"/>
      <c r="AWF13" s="554"/>
      <c r="AWG13" s="554"/>
      <c r="AWH13" s="554"/>
      <c r="AWI13" s="554"/>
      <c r="AWJ13" s="554"/>
      <c r="AWK13" s="554"/>
      <c r="AWL13" s="554"/>
      <c r="AWM13" s="554"/>
      <c r="AWN13" s="554"/>
      <c r="AWO13" s="554"/>
      <c r="AWP13" s="554"/>
      <c r="AWQ13" s="554"/>
      <c r="AWR13" s="554"/>
      <c r="AWS13" s="554"/>
      <c r="AWT13" s="554"/>
      <c r="AWU13" s="554"/>
      <c r="AWV13" s="554"/>
      <c r="AWW13" s="554"/>
      <c r="AWX13" s="554"/>
      <c r="AWY13" s="554"/>
      <c r="AWZ13" s="554"/>
      <c r="AXA13" s="554"/>
      <c r="AXB13" s="554"/>
      <c r="AXC13" s="554"/>
      <c r="AXD13" s="554"/>
      <c r="AXE13" s="554"/>
      <c r="AXF13" s="554"/>
      <c r="AXG13" s="554"/>
      <c r="AXH13" s="554"/>
      <c r="AXI13" s="554"/>
      <c r="AXJ13" s="554"/>
      <c r="AXK13" s="554"/>
      <c r="AXL13" s="554"/>
      <c r="AXM13" s="554"/>
      <c r="AXN13" s="554"/>
      <c r="AXO13" s="554"/>
      <c r="AXP13" s="554"/>
      <c r="AXQ13" s="554"/>
      <c r="AXR13" s="554"/>
      <c r="AXS13" s="554"/>
      <c r="AXT13" s="554"/>
      <c r="AXU13" s="554"/>
      <c r="AXV13" s="554"/>
      <c r="AXW13" s="554"/>
      <c r="AXX13" s="554"/>
      <c r="AXY13" s="554"/>
      <c r="AXZ13" s="554"/>
      <c r="AYA13" s="554"/>
      <c r="AYB13" s="554"/>
      <c r="AYC13" s="554"/>
      <c r="AYD13" s="554"/>
      <c r="AYE13" s="554"/>
      <c r="AYF13" s="554"/>
      <c r="AYG13" s="554"/>
      <c r="AYH13" s="554"/>
      <c r="AYI13" s="554"/>
      <c r="AYJ13" s="554"/>
      <c r="AYK13" s="554"/>
      <c r="AYL13" s="554"/>
      <c r="AYM13" s="554"/>
      <c r="AYN13" s="554"/>
      <c r="AYO13" s="554"/>
      <c r="AYP13" s="554"/>
      <c r="AYQ13" s="554"/>
      <c r="AYR13" s="554"/>
      <c r="AYS13" s="554"/>
      <c r="AYT13" s="554"/>
      <c r="AYU13" s="554"/>
      <c r="AYV13" s="554"/>
      <c r="AYW13" s="554"/>
      <c r="AYX13" s="554"/>
      <c r="AYY13" s="554"/>
      <c r="AYZ13" s="554"/>
      <c r="AZA13" s="554"/>
      <c r="AZB13" s="554"/>
      <c r="AZC13" s="554"/>
      <c r="AZD13" s="554"/>
      <c r="AZE13" s="554"/>
      <c r="AZF13" s="554"/>
      <c r="AZG13" s="554"/>
      <c r="AZH13" s="554"/>
      <c r="AZI13" s="554"/>
      <c r="AZJ13" s="554"/>
      <c r="AZK13" s="554"/>
      <c r="AZL13" s="554"/>
      <c r="AZM13" s="554"/>
      <c r="AZN13" s="554"/>
      <c r="AZO13" s="554"/>
      <c r="AZP13" s="554"/>
      <c r="AZQ13" s="554"/>
      <c r="AZR13" s="554"/>
      <c r="AZS13" s="554"/>
      <c r="AZT13" s="554"/>
      <c r="AZU13" s="554"/>
      <c r="AZV13" s="554"/>
      <c r="AZW13" s="554"/>
      <c r="AZX13" s="554"/>
      <c r="AZY13" s="554"/>
      <c r="AZZ13" s="554"/>
      <c r="BAA13" s="554"/>
      <c r="BAB13" s="554"/>
      <c r="BAC13" s="554"/>
      <c r="BAD13" s="554"/>
      <c r="BAE13" s="554"/>
      <c r="BAF13" s="554"/>
      <c r="BAG13" s="554"/>
      <c r="BAH13" s="554"/>
      <c r="BAI13" s="554"/>
      <c r="BAJ13" s="554"/>
      <c r="BAK13" s="554"/>
      <c r="BAL13" s="554"/>
      <c r="BAM13" s="554"/>
      <c r="BAN13" s="554"/>
      <c r="BAO13" s="554"/>
      <c r="BAP13" s="554"/>
      <c r="BAQ13" s="554"/>
      <c r="BAR13" s="554"/>
      <c r="BAS13" s="554"/>
      <c r="BAT13" s="554"/>
      <c r="BAU13" s="554"/>
      <c r="BAV13" s="554"/>
      <c r="BAW13" s="554"/>
      <c r="BAX13" s="554"/>
      <c r="BAY13" s="554"/>
      <c r="BAZ13" s="554"/>
      <c r="BBA13" s="554"/>
      <c r="BBB13" s="554"/>
      <c r="BBC13" s="554"/>
      <c r="BBD13" s="554"/>
      <c r="BBE13" s="554"/>
      <c r="BBF13" s="554"/>
      <c r="BBG13" s="554"/>
      <c r="BBH13" s="554"/>
      <c r="BBI13" s="554"/>
      <c r="BBJ13" s="554"/>
      <c r="BBK13" s="554"/>
      <c r="BBL13" s="554"/>
      <c r="BBM13" s="554"/>
      <c r="BBN13" s="554"/>
      <c r="BBO13" s="554"/>
      <c r="BBP13" s="554"/>
      <c r="BBQ13" s="554"/>
      <c r="BBR13" s="554"/>
      <c r="BBS13" s="554"/>
      <c r="BBT13" s="554"/>
      <c r="BBU13" s="554"/>
      <c r="BBV13" s="554"/>
      <c r="BBW13" s="554"/>
      <c r="BBX13" s="554"/>
      <c r="BBY13" s="554"/>
      <c r="BBZ13" s="554"/>
      <c r="BCA13" s="554"/>
      <c r="BCB13" s="554"/>
      <c r="BCC13" s="554"/>
      <c r="BCD13" s="554"/>
      <c r="BCE13" s="554"/>
      <c r="BCF13" s="554"/>
      <c r="BCG13" s="554"/>
      <c r="BCH13" s="554"/>
      <c r="BCI13" s="554"/>
      <c r="BCJ13" s="554"/>
      <c r="BCK13" s="554"/>
      <c r="BCL13" s="554"/>
      <c r="BCM13" s="554"/>
      <c r="BCN13" s="554"/>
      <c r="BCO13" s="554"/>
      <c r="BCP13" s="554"/>
      <c r="BCQ13" s="554"/>
      <c r="BCR13" s="554"/>
      <c r="BCS13" s="554"/>
      <c r="BCT13" s="554"/>
      <c r="BCU13" s="554"/>
      <c r="BCV13" s="554"/>
      <c r="BCW13" s="554"/>
      <c r="BCX13" s="554"/>
      <c r="BCY13" s="554"/>
      <c r="BCZ13" s="554"/>
      <c r="BDA13" s="554"/>
      <c r="BDB13" s="554"/>
      <c r="BDC13" s="554"/>
      <c r="BDD13" s="554"/>
      <c r="BDE13" s="554"/>
      <c r="BDF13" s="554"/>
      <c r="BDG13" s="554"/>
      <c r="BDH13" s="554"/>
      <c r="BDI13" s="554"/>
      <c r="BDJ13" s="554"/>
      <c r="BDK13" s="554"/>
      <c r="BDL13" s="554"/>
      <c r="BDM13" s="554"/>
      <c r="BDN13" s="554"/>
      <c r="BDO13" s="554"/>
      <c r="BDP13" s="554"/>
      <c r="BDQ13" s="554"/>
      <c r="BDR13" s="554"/>
      <c r="BDS13" s="554"/>
      <c r="BDT13" s="554"/>
      <c r="BDU13" s="554"/>
      <c r="BDV13" s="554"/>
      <c r="BDW13" s="554"/>
      <c r="BDX13" s="554"/>
      <c r="BDY13" s="554"/>
      <c r="BDZ13" s="554"/>
      <c r="BEA13" s="554"/>
      <c r="BEB13" s="554"/>
      <c r="BEC13" s="554"/>
      <c r="BED13" s="554"/>
      <c r="BEE13" s="554"/>
      <c r="BEF13" s="554"/>
      <c r="BEG13" s="554"/>
      <c r="BEH13" s="554"/>
      <c r="BEI13" s="554"/>
      <c r="BEJ13" s="554"/>
      <c r="BEK13" s="554"/>
      <c r="BEL13" s="554"/>
      <c r="BEM13" s="554"/>
      <c r="BEN13" s="554"/>
      <c r="BEO13" s="554"/>
      <c r="BEP13" s="554"/>
      <c r="BEQ13" s="554"/>
      <c r="BER13" s="554"/>
      <c r="BES13" s="554"/>
      <c r="BET13" s="554"/>
      <c r="BEU13" s="554"/>
      <c r="BEV13" s="554"/>
      <c r="BEW13" s="554"/>
      <c r="BEX13" s="554"/>
      <c r="BEY13" s="554"/>
      <c r="BEZ13" s="554"/>
      <c r="BFA13" s="554"/>
      <c r="BFB13" s="554"/>
      <c r="BFC13" s="554"/>
      <c r="BFD13" s="554"/>
      <c r="BFE13" s="554"/>
      <c r="BFF13" s="554"/>
      <c r="BFG13" s="554"/>
      <c r="BFH13" s="554"/>
      <c r="BFI13" s="554"/>
      <c r="BFJ13" s="554"/>
      <c r="BFK13" s="554"/>
      <c r="BFL13" s="554"/>
      <c r="BFM13" s="554"/>
      <c r="BFN13" s="554"/>
      <c r="BFO13" s="554"/>
      <c r="BFP13" s="554"/>
      <c r="BFQ13" s="554"/>
      <c r="BFR13" s="554"/>
      <c r="BFS13" s="554"/>
      <c r="BFT13" s="554"/>
      <c r="BFU13" s="554"/>
      <c r="BFV13" s="554"/>
      <c r="BFW13" s="554"/>
      <c r="BFX13" s="554"/>
      <c r="BFY13" s="554"/>
      <c r="BFZ13" s="554"/>
      <c r="BGA13" s="554"/>
      <c r="BGB13" s="554"/>
      <c r="BGC13" s="554"/>
      <c r="BGD13" s="554"/>
      <c r="BGE13" s="554"/>
      <c r="BGF13" s="554"/>
      <c r="BGG13" s="554"/>
      <c r="BGH13" s="554"/>
      <c r="BGI13" s="554"/>
      <c r="BGJ13" s="554"/>
      <c r="BGK13" s="554"/>
      <c r="BGL13" s="554"/>
      <c r="BGM13" s="554"/>
      <c r="BGN13" s="554"/>
      <c r="BGO13" s="554"/>
      <c r="BGP13" s="554"/>
      <c r="BGQ13" s="554"/>
      <c r="BGR13" s="554"/>
      <c r="BGS13" s="554"/>
      <c r="BGT13" s="554"/>
      <c r="BGU13" s="554"/>
      <c r="BGV13" s="554"/>
      <c r="BGW13" s="554"/>
      <c r="BGX13" s="554"/>
      <c r="BGY13" s="554"/>
      <c r="BGZ13" s="554"/>
      <c r="BHA13" s="554"/>
      <c r="BHB13" s="554"/>
      <c r="BHC13" s="554"/>
      <c r="BHD13" s="554"/>
      <c r="BHE13" s="554"/>
      <c r="BHF13" s="554"/>
      <c r="BHG13" s="554"/>
      <c r="BHH13" s="554"/>
      <c r="BHI13" s="554"/>
      <c r="BHJ13" s="554"/>
      <c r="BHK13" s="554"/>
      <c r="BHL13" s="554"/>
      <c r="BHM13" s="554"/>
      <c r="BHN13" s="554"/>
      <c r="BHO13" s="554"/>
      <c r="BHP13" s="554"/>
      <c r="BHQ13" s="554"/>
      <c r="BHR13" s="554"/>
      <c r="BHS13" s="554"/>
      <c r="BHT13" s="554"/>
      <c r="BHU13" s="554"/>
      <c r="BHV13" s="554"/>
      <c r="BHW13" s="554"/>
      <c r="BHX13" s="554"/>
      <c r="BHY13" s="554"/>
      <c r="BHZ13" s="554"/>
      <c r="BIA13" s="554"/>
      <c r="BIB13" s="554"/>
      <c r="BIC13" s="554"/>
      <c r="BID13" s="554"/>
      <c r="BIE13" s="554"/>
      <c r="BIF13" s="554"/>
      <c r="BIG13" s="554"/>
      <c r="BIH13" s="554"/>
      <c r="BII13" s="554"/>
      <c r="BIJ13" s="554"/>
      <c r="BIK13" s="554"/>
      <c r="BIL13" s="554"/>
      <c r="BIM13" s="554"/>
      <c r="BIN13" s="554"/>
      <c r="BIO13" s="554"/>
      <c r="BIP13" s="554"/>
      <c r="BIQ13" s="554"/>
      <c r="BIR13" s="554"/>
      <c r="BIS13" s="554"/>
      <c r="BIT13" s="554"/>
      <c r="BIU13" s="554"/>
      <c r="BIV13" s="554"/>
      <c r="BIW13" s="554"/>
      <c r="BIX13" s="554"/>
      <c r="BIY13" s="554"/>
      <c r="BIZ13" s="554"/>
      <c r="BJA13" s="554"/>
      <c r="BJB13" s="554"/>
      <c r="BJC13" s="554"/>
      <c r="BJD13" s="554"/>
      <c r="BJE13" s="554"/>
      <c r="BJF13" s="554"/>
      <c r="BJG13" s="554"/>
      <c r="BJH13" s="554"/>
      <c r="BJI13" s="554"/>
      <c r="BJJ13" s="554"/>
      <c r="BJK13" s="554"/>
      <c r="BJL13" s="554"/>
      <c r="BJM13" s="554"/>
      <c r="BJN13" s="554"/>
      <c r="BJO13" s="554"/>
      <c r="BJP13" s="554"/>
      <c r="BJQ13" s="554"/>
      <c r="BJR13" s="554"/>
      <c r="BJS13" s="554"/>
      <c r="BJT13" s="554"/>
      <c r="BJU13" s="554"/>
      <c r="BJV13" s="554"/>
      <c r="BJW13" s="554"/>
      <c r="BJX13" s="554"/>
      <c r="BJY13" s="554"/>
      <c r="BJZ13" s="554"/>
      <c r="BKA13" s="554"/>
      <c r="BKB13" s="554"/>
      <c r="BKC13" s="554"/>
      <c r="BKD13" s="554"/>
      <c r="BKE13" s="554"/>
      <c r="BKF13" s="554"/>
      <c r="BKG13" s="554"/>
      <c r="BKH13" s="554"/>
      <c r="BKI13" s="554"/>
      <c r="BKJ13" s="554"/>
      <c r="BKK13" s="554"/>
      <c r="BKL13" s="554"/>
      <c r="BKM13" s="554"/>
      <c r="BKN13" s="554"/>
      <c r="BKO13" s="554"/>
      <c r="BKP13" s="554"/>
      <c r="BKQ13" s="554"/>
      <c r="BKR13" s="554"/>
      <c r="BKS13" s="554"/>
      <c r="BKT13" s="554"/>
      <c r="BKU13" s="554"/>
      <c r="BKV13" s="554"/>
      <c r="BKW13" s="554"/>
      <c r="BKX13" s="554"/>
      <c r="BKY13" s="554"/>
      <c r="BKZ13" s="554"/>
      <c r="BLA13" s="554"/>
      <c r="BLB13" s="554"/>
      <c r="BLC13" s="554"/>
      <c r="BLD13" s="554"/>
      <c r="BLE13" s="554"/>
      <c r="BLF13" s="554"/>
      <c r="BLG13" s="554"/>
      <c r="BLH13" s="554"/>
      <c r="BLI13" s="554"/>
      <c r="BLJ13" s="554"/>
      <c r="BLK13" s="554"/>
      <c r="BLL13" s="554"/>
      <c r="BLM13" s="554"/>
      <c r="BLN13" s="554"/>
      <c r="BLO13" s="554"/>
      <c r="BLP13" s="554"/>
      <c r="BLQ13" s="554"/>
      <c r="BLR13" s="554"/>
      <c r="BLS13" s="554"/>
      <c r="BLT13" s="554"/>
      <c r="BLU13" s="554"/>
      <c r="BLV13" s="554"/>
      <c r="BLW13" s="554"/>
      <c r="BLX13" s="554"/>
      <c r="BLY13" s="554"/>
      <c r="BLZ13" s="554"/>
      <c r="BMA13" s="554"/>
      <c r="BMB13" s="554"/>
      <c r="BMC13" s="554"/>
      <c r="BMD13" s="554"/>
      <c r="BME13" s="554"/>
      <c r="BMF13" s="554"/>
      <c r="BMG13" s="554"/>
      <c r="BMH13" s="554"/>
      <c r="BMI13" s="554"/>
      <c r="BMJ13" s="554"/>
      <c r="BMK13" s="554"/>
      <c r="BML13" s="554"/>
      <c r="BMM13" s="554"/>
      <c r="BMN13" s="554"/>
      <c r="BMO13" s="554"/>
      <c r="BMP13" s="554"/>
      <c r="BMQ13" s="554"/>
      <c r="BMR13" s="554"/>
      <c r="BMS13" s="554"/>
      <c r="BMT13" s="554"/>
      <c r="BMU13" s="554"/>
      <c r="BMV13" s="554"/>
      <c r="BMW13" s="554"/>
      <c r="BMX13" s="554"/>
      <c r="BMY13" s="554"/>
      <c r="BMZ13" s="554"/>
      <c r="BNA13" s="554"/>
      <c r="BNB13" s="554"/>
      <c r="BNC13" s="554"/>
      <c r="BND13" s="554"/>
      <c r="BNE13" s="554"/>
      <c r="BNF13" s="554"/>
      <c r="BNG13" s="554"/>
      <c r="BNH13" s="554"/>
      <c r="BNI13" s="554"/>
      <c r="BNJ13" s="554"/>
      <c r="BNK13" s="554"/>
      <c r="BNL13" s="554"/>
      <c r="BNM13" s="554"/>
      <c r="BNN13" s="554"/>
      <c r="BNO13" s="554"/>
      <c r="BNP13" s="554"/>
      <c r="BNQ13" s="554"/>
      <c r="BNR13" s="554"/>
      <c r="BNS13" s="554"/>
      <c r="BNT13" s="554"/>
      <c r="BNU13" s="554"/>
      <c r="BNV13" s="554"/>
      <c r="BNW13" s="554"/>
      <c r="BNX13" s="554"/>
      <c r="BNY13" s="554"/>
      <c r="BNZ13" s="554"/>
      <c r="BOA13" s="554"/>
      <c r="BOB13" s="554"/>
      <c r="BOC13" s="554"/>
      <c r="BOD13" s="554"/>
      <c r="BOE13" s="554"/>
      <c r="BOF13" s="554"/>
      <c r="BOG13" s="554"/>
      <c r="BOH13" s="554"/>
      <c r="BOI13" s="554"/>
      <c r="BOJ13" s="554"/>
      <c r="BOK13" s="554"/>
      <c r="BOL13" s="554"/>
      <c r="BOM13" s="554"/>
      <c r="BON13" s="554"/>
      <c r="BOO13" s="554"/>
      <c r="BOP13" s="554"/>
      <c r="BOQ13" s="554"/>
      <c r="BOR13" s="554"/>
      <c r="BOS13" s="554"/>
      <c r="BOT13" s="554"/>
      <c r="BOU13" s="554"/>
      <c r="BOV13" s="554"/>
      <c r="BOW13" s="554"/>
      <c r="BOX13" s="554"/>
      <c r="BOY13" s="554"/>
      <c r="BOZ13" s="554"/>
      <c r="BPA13" s="554"/>
      <c r="BPB13" s="554"/>
      <c r="BPC13" s="554"/>
      <c r="BPD13" s="554"/>
      <c r="BPE13" s="554"/>
      <c r="BPF13" s="554"/>
      <c r="BPG13" s="554"/>
      <c r="BPH13" s="554"/>
      <c r="BPI13" s="554"/>
      <c r="BPJ13" s="554"/>
      <c r="BPK13" s="554"/>
      <c r="BPL13" s="554"/>
      <c r="BPM13" s="554"/>
      <c r="BPN13" s="554"/>
      <c r="BPO13" s="554"/>
      <c r="BPP13" s="554"/>
      <c r="BPQ13" s="554"/>
      <c r="BPR13" s="554"/>
      <c r="BPS13" s="554"/>
      <c r="BPT13" s="554"/>
      <c r="BPU13" s="554"/>
      <c r="BPV13" s="554"/>
      <c r="BPW13" s="554"/>
      <c r="BPX13" s="554"/>
      <c r="BPY13" s="554"/>
      <c r="BPZ13" s="554"/>
      <c r="BQA13" s="554"/>
      <c r="BQB13" s="554"/>
      <c r="BQC13" s="554"/>
      <c r="BQD13" s="554"/>
      <c r="BQE13" s="554"/>
      <c r="BQF13" s="554"/>
      <c r="BQG13" s="554"/>
      <c r="BQH13" s="554"/>
      <c r="BQI13" s="554"/>
      <c r="BQJ13" s="554"/>
      <c r="BQK13" s="554"/>
      <c r="BQL13" s="554"/>
      <c r="BQM13" s="554"/>
      <c r="BQN13" s="554"/>
      <c r="BQO13" s="554"/>
      <c r="BQP13" s="554"/>
      <c r="BQQ13" s="554"/>
      <c r="BQR13" s="554"/>
      <c r="BQS13" s="554"/>
      <c r="BQT13" s="554"/>
      <c r="BQU13" s="554"/>
      <c r="BQV13" s="554"/>
      <c r="BQW13" s="554"/>
      <c r="BQX13" s="554"/>
      <c r="BQY13" s="554"/>
      <c r="BQZ13" s="554"/>
      <c r="BRA13" s="554"/>
      <c r="BRB13" s="554"/>
      <c r="BRC13" s="554"/>
      <c r="BRD13" s="554"/>
      <c r="BRE13" s="554"/>
      <c r="BRF13" s="554"/>
      <c r="BRG13" s="554"/>
      <c r="BRH13" s="554"/>
      <c r="BRI13" s="554"/>
      <c r="BRJ13" s="554"/>
      <c r="BRK13" s="554"/>
      <c r="BRL13" s="554"/>
      <c r="BRM13" s="554"/>
      <c r="BRN13" s="554"/>
      <c r="BRO13" s="554"/>
      <c r="BRP13" s="554"/>
      <c r="BRQ13" s="554"/>
      <c r="BRR13" s="554"/>
      <c r="BRS13" s="554"/>
      <c r="BRT13" s="554"/>
      <c r="BRU13" s="554"/>
      <c r="BRV13" s="554"/>
      <c r="BRW13" s="554"/>
      <c r="BRX13" s="554"/>
      <c r="BRY13" s="554"/>
      <c r="BRZ13" s="554"/>
      <c r="BSA13" s="554"/>
      <c r="BSB13" s="554"/>
      <c r="BSC13" s="554"/>
      <c r="BSD13" s="554"/>
      <c r="BSE13" s="554"/>
      <c r="BSF13" s="554"/>
      <c r="BSG13" s="554"/>
      <c r="BSH13" s="554"/>
      <c r="BSI13" s="554"/>
      <c r="BSJ13" s="554"/>
      <c r="BSK13" s="554"/>
      <c r="BSL13" s="554"/>
      <c r="BSM13" s="554"/>
      <c r="BSN13" s="554"/>
      <c r="BSO13" s="554"/>
      <c r="BSP13" s="554"/>
      <c r="BSQ13" s="554"/>
      <c r="BSR13" s="554"/>
      <c r="BSS13" s="554"/>
      <c r="BST13" s="554"/>
      <c r="BSU13" s="554"/>
      <c r="BSV13" s="554"/>
      <c r="BSW13" s="554"/>
      <c r="BSX13" s="554"/>
      <c r="BSY13" s="554"/>
      <c r="BSZ13" s="554"/>
      <c r="BTA13" s="554"/>
      <c r="BTB13" s="554"/>
      <c r="BTC13" s="554"/>
      <c r="BTD13" s="554"/>
      <c r="BTE13" s="554"/>
      <c r="BTF13" s="554"/>
      <c r="BTG13" s="554"/>
      <c r="BTH13" s="554"/>
      <c r="BTI13" s="554"/>
      <c r="BTJ13" s="554"/>
      <c r="BTK13" s="554"/>
      <c r="BTL13" s="554"/>
      <c r="BTM13" s="554"/>
      <c r="BTN13" s="554"/>
      <c r="BTO13" s="554"/>
      <c r="BTP13" s="554"/>
      <c r="BTQ13" s="554"/>
      <c r="BTR13" s="554"/>
      <c r="BTS13" s="554"/>
      <c r="BTT13" s="554"/>
      <c r="BTU13" s="554"/>
      <c r="BTV13" s="554"/>
      <c r="BTW13" s="554"/>
      <c r="BTX13" s="554"/>
      <c r="BTY13" s="554"/>
      <c r="BTZ13" s="554"/>
      <c r="BUA13" s="554"/>
      <c r="BUB13" s="554"/>
      <c r="BUC13" s="554"/>
      <c r="BUD13" s="554"/>
      <c r="BUE13" s="554"/>
      <c r="BUF13" s="554"/>
      <c r="BUG13" s="554"/>
      <c r="BUH13" s="554"/>
      <c r="BUI13" s="554"/>
      <c r="BUJ13" s="554"/>
      <c r="BUK13" s="554"/>
      <c r="BUL13" s="554"/>
      <c r="BUM13" s="554"/>
      <c r="BUN13" s="554"/>
      <c r="BUO13" s="554"/>
      <c r="BUP13" s="554"/>
      <c r="BUQ13" s="554"/>
      <c r="BUR13" s="554"/>
      <c r="BUS13" s="554"/>
      <c r="BUT13" s="554"/>
      <c r="BUU13" s="554"/>
      <c r="BUV13" s="554"/>
      <c r="BUW13" s="554"/>
      <c r="BUX13" s="554"/>
      <c r="BUY13" s="554"/>
      <c r="BUZ13" s="554"/>
      <c r="BVA13" s="554"/>
      <c r="BVB13" s="554"/>
      <c r="BVC13" s="554"/>
      <c r="BVD13" s="554"/>
      <c r="BVE13" s="554"/>
      <c r="BVF13" s="554"/>
      <c r="BVG13" s="554"/>
      <c r="BVH13" s="554"/>
      <c r="BVI13" s="554"/>
      <c r="BVJ13" s="554"/>
      <c r="BVK13" s="554"/>
      <c r="BVL13" s="554"/>
      <c r="BVM13" s="554"/>
      <c r="BVN13" s="554"/>
      <c r="BVO13" s="554"/>
      <c r="BVP13" s="554"/>
      <c r="BVQ13" s="554"/>
      <c r="BVR13" s="554"/>
      <c r="BVS13" s="554"/>
      <c r="BVT13" s="554"/>
      <c r="BVU13" s="554"/>
      <c r="BVV13" s="554"/>
      <c r="BVW13" s="554"/>
      <c r="BVX13" s="554"/>
      <c r="BVY13" s="554"/>
      <c r="BVZ13" s="554"/>
      <c r="BWA13" s="554"/>
      <c r="BWB13" s="554"/>
      <c r="BWC13" s="554"/>
      <c r="BWD13" s="554"/>
      <c r="BWE13" s="554"/>
      <c r="BWF13" s="554"/>
      <c r="BWG13" s="554"/>
      <c r="BWH13" s="554"/>
      <c r="BWI13" s="554"/>
      <c r="BWJ13" s="554"/>
      <c r="BWK13" s="554"/>
      <c r="BWL13" s="554"/>
      <c r="BWM13" s="554"/>
      <c r="BWN13" s="554"/>
      <c r="BWO13" s="554"/>
      <c r="BWP13" s="554"/>
      <c r="BWQ13" s="554"/>
      <c r="BWR13" s="554"/>
      <c r="BWS13" s="554"/>
      <c r="BWT13" s="554"/>
      <c r="BWU13" s="554"/>
      <c r="BWV13" s="554"/>
      <c r="BWW13" s="554"/>
      <c r="BWX13" s="554"/>
      <c r="BWY13" s="554"/>
      <c r="BWZ13" s="554"/>
      <c r="BXA13" s="554"/>
      <c r="BXB13" s="554"/>
      <c r="BXC13" s="554"/>
      <c r="BXD13" s="554"/>
      <c r="BXE13" s="554"/>
      <c r="BXF13" s="554"/>
      <c r="BXG13" s="554"/>
      <c r="BXH13" s="554"/>
      <c r="BXI13" s="554"/>
      <c r="BXJ13" s="554"/>
      <c r="BXK13" s="554"/>
      <c r="BXL13" s="554"/>
      <c r="BXM13" s="554"/>
      <c r="BXN13" s="554"/>
      <c r="BXO13" s="554"/>
      <c r="BXP13" s="554"/>
      <c r="BXQ13" s="554"/>
      <c r="BXR13" s="554"/>
      <c r="BXS13" s="554"/>
      <c r="BXT13" s="554"/>
      <c r="BXU13" s="554"/>
      <c r="BXV13" s="554"/>
      <c r="BXW13" s="554"/>
      <c r="BXX13" s="554"/>
      <c r="BXY13" s="554"/>
      <c r="BXZ13" s="554"/>
      <c r="BYA13" s="554"/>
      <c r="BYB13" s="554"/>
      <c r="BYC13" s="554"/>
      <c r="BYD13" s="554"/>
      <c r="BYE13" s="554"/>
      <c r="BYF13" s="554"/>
      <c r="BYG13" s="554"/>
      <c r="BYH13" s="554"/>
      <c r="BYI13" s="554"/>
      <c r="BYJ13" s="554"/>
      <c r="BYK13" s="554"/>
      <c r="BYL13" s="554"/>
      <c r="BYM13" s="554"/>
      <c r="BYN13" s="554"/>
      <c r="BYO13" s="554"/>
      <c r="BYP13" s="554"/>
      <c r="BYQ13" s="554"/>
      <c r="BYR13" s="554"/>
      <c r="BYS13" s="554"/>
      <c r="BYT13" s="554"/>
      <c r="BYU13" s="554"/>
      <c r="BYV13" s="554"/>
      <c r="BYW13" s="554"/>
      <c r="BYX13" s="554"/>
      <c r="BYY13" s="554"/>
      <c r="BYZ13" s="554"/>
      <c r="BZA13" s="554"/>
      <c r="BZB13" s="554"/>
      <c r="BZC13" s="554"/>
      <c r="BZD13" s="554"/>
      <c r="BZE13" s="554"/>
      <c r="BZF13" s="554"/>
      <c r="BZG13" s="554"/>
      <c r="BZH13" s="554"/>
      <c r="BZI13" s="554"/>
      <c r="BZJ13" s="554"/>
      <c r="BZK13" s="554"/>
      <c r="BZL13" s="554"/>
      <c r="BZM13" s="554"/>
      <c r="BZN13" s="554"/>
      <c r="BZO13" s="554"/>
      <c r="BZP13" s="554"/>
      <c r="BZQ13" s="554"/>
      <c r="BZR13" s="554"/>
      <c r="BZS13" s="554"/>
      <c r="BZT13" s="554"/>
      <c r="BZU13" s="554"/>
      <c r="BZV13" s="554"/>
      <c r="BZW13" s="554"/>
      <c r="BZX13" s="554"/>
      <c r="BZY13" s="554"/>
      <c r="BZZ13" s="554"/>
      <c r="CAA13" s="554"/>
      <c r="CAB13" s="554"/>
      <c r="CAC13" s="554"/>
      <c r="CAD13" s="554"/>
      <c r="CAE13" s="554"/>
      <c r="CAF13" s="554"/>
      <c r="CAG13" s="554"/>
      <c r="CAH13" s="554"/>
      <c r="CAI13" s="554"/>
      <c r="CAJ13" s="554"/>
      <c r="CAK13" s="554"/>
      <c r="CAL13" s="554"/>
      <c r="CAM13" s="554"/>
      <c r="CAN13" s="554"/>
      <c r="CAO13" s="554"/>
      <c r="CAP13" s="554"/>
      <c r="CAQ13" s="554"/>
      <c r="CAR13" s="554"/>
      <c r="CAS13" s="554"/>
      <c r="CAT13" s="554"/>
      <c r="CAU13" s="554"/>
      <c r="CAV13" s="554"/>
      <c r="CAW13" s="554"/>
      <c r="CAX13" s="554"/>
      <c r="CAY13" s="554"/>
      <c r="CAZ13" s="554"/>
      <c r="CBA13" s="554"/>
      <c r="CBB13" s="554"/>
      <c r="CBC13" s="554"/>
      <c r="CBD13" s="554"/>
      <c r="CBE13" s="554"/>
      <c r="CBF13" s="554"/>
      <c r="CBG13" s="554"/>
      <c r="CBH13" s="554"/>
      <c r="CBI13" s="554"/>
      <c r="CBJ13" s="554"/>
      <c r="CBK13" s="554"/>
      <c r="CBL13" s="554"/>
      <c r="CBM13" s="554"/>
      <c r="CBN13" s="554"/>
      <c r="CBO13" s="554"/>
      <c r="CBP13" s="554"/>
      <c r="CBQ13" s="554"/>
      <c r="CBR13" s="554"/>
      <c r="CBS13" s="554"/>
      <c r="CBT13" s="554"/>
      <c r="CBU13" s="554"/>
      <c r="CBV13" s="554"/>
      <c r="CBW13" s="554"/>
      <c r="CBX13" s="554"/>
      <c r="CBY13" s="554"/>
      <c r="CBZ13" s="554"/>
      <c r="CCA13" s="554"/>
      <c r="CCB13" s="554"/>
      <c r="CCC13" s="554"/>
      <c r="CCD13" s="554"/>
      <c r="CCE13" s="554"/>
      <c r="CCF13" s="554"/>
      <c r="CCG13" s="554"/>
      <c r="CCH13" s="554"/>
      <c r="CCI13" s="554"/>
      <c r="CCJ13" s="554"/>
      <c r="CCK13" s="554"/>
      <c r="CCL13" s="554"/>
      <c r="CCM13" s="554"/>
      <c r="CCN13" s="554"/>
      <c r="CCO13" s="554"/>
      <c r="CCP13" s="554"/>
      <c r="CCQ13" s="554"/>
      <c r="CCR13" s="554"/>
      <c r="CCS13" s="554"/>
      <c r="CCT13" s="554"/>
      <c r="CCU13" s="554"/>
      <c r="CCV13" s="554"/>
      <c r="CCW13" s="554"/>
      <c r="CCX13" s="554"/>
      <c r="CCY13" s="554"/>
      <c r="CCZ13" s="554"/>
      <c r="CDA13" s="554"/>
      <c r="CDB13" s="554"/>
      <c r="CDC13" s="554"/>
      <c r="CDD13" s="554"/>
      <c r="CDE13" s="554"/>
      <c r="CDF13" s="554"/>
      <c r="CDG13" s="554"/>
      <c r="CDH13" s="554"/>
      <c r="CDI13" s="554"/>
      <c r="CDJ13" s="554"/>
      <c r="CDK13" s="554"/>
      <c r="CDL13" s="554"/>
      <c r="CDM13" s="554"/>
      <c r="CDN13" s="554"/>
      <c r="CDO13" s="554"/>
      <c r="CDP13" s="554"/>
      <c r="CDQ13" s="554"/>
      <c r="CDR13" s="554"/>
      <c r="CDS13" s="554"/>
      <c r="CDT13" s="554"/>
      <c r="CDU13" s="554"/>
      <c r="CDV13" s="554"/>
      <c r="CDW13" s="554"/>
      <c r="CDX13" s="554"/>
      <c r="CDY13" s="554"/>
      <c r="CDZ13" s="554"/>
      <c r="CEA13" s="554"/>
      <c r="CEB13" s="554"/>
      <c r="CEC13" s="554"/>
      <c r="CED13" s="554"/>
      <c r="CEE13" s="554"/>
      <c r="CEF13" s="554"/>
      <c r="CEG13" s="554"/>
      <c r="CEH13" s="554"/>
      <c r="CEI13" s="554"/>
      <c r="CEJ13" s="554"/>
      <c r="CEK13" s="554"/>
      <c r="CEL13" s="554"/>
      <c r="CEM13" s="554"/>
      <c r="CEN13" s="554"/>
      <c r="CEO13" s="554"/>
      <c r="CEP13" s="554"/>
      <c r="CEQ13" s="554"/>
      <c r="CER13" s="554"/>
      <c r="CES13" s="554"/>
      <c r="CET13" s="554"/>
      <c r="CEU13" s="554"/>
      <c r="CEV13" s="554"/>
      <c r="CEW13" s="554"/>
      <c r="CEX13" s="554"/>
      <c r="CEY13" s="554"/>
      <c r="CEZ13" s="554"/>
      <c r="CFA13" s="554"/>
      <c r="CFB13" s="554"/>
      <c r="CFC13" s="554"/>
      <c r="CFD13" s="554"/>
      <c r="CFE13" s="554"/>
      <c r="CFF13" s="554"/>
      <c r="CFG13" s="554"/>
      <c r="CFH13" s="554"/>
      <c r="CFI13" s="554"/>
      <c r="CFJ13" s="554"/>
      <c r="CFK13" s="554"/>
      <c r="CFL13" s="554"/>
      <c r="CFM13" s="554"/>
      <c r="CFN13" s="554"/>
      <c r="CFO13" s="554"/>
      <c r="CFP13" s="554"/>
      <c r="CFQ13" s="554"/>
      <c r="CFR13" s="554"/>
      <c r="CFS13" s="554"/>
      <c r="CFT13" s="554"/>
      <c r="CFU13" s="554"/>
      <c r="CFV13" s="554"/>
      <c r="CFW13" s="554"/>
      <c r="CFX13" s="554"/>
      <c r="CFY13" s="554"/>
      <c r="CFZ13" s="554"/>
      <c r="CGA13" s="554"/>
      <c r="CGB13" s="554"/>
      <c r="CGC13" s="554"/>
      <c r="CGD13" s="554"/>
      <c r="CGE13" s="554"/>
      <c r="CGF13" s="554"/>
      <c r="CGG13" s="554"/>
      <c r="CGH13" s="554"/>
      <c r="CGI13" s="554"/>
      <c r="CGJ13" s="554"/>
      <c r="CGK13" s="554"/>
      <c r="CGL13" s="554"/>
      <c r="CGM13" s="554"/>
      <c r="CGN13" s="554"/>
      <c r="CGO13" s="554"/>
      <c r="CGP13" s="554"/>
      <c r="CGQ13" s="554"/>
      <c r="CGR13" s="554"/>
      <c r="CGS13" s="554"/>
      <c r="CGT13" s="554"/>
      <c r="CGU13" s="554"/>
      <c r="CGV13" s="554"/>
      <c r="CGW13" s="554"/>
      <c r="CGX13" s="554"/>
      <c r="CGY13" s="554"/>
      <c r="CGZ13" s="554"/>
      <c r="CHA13" s="554"/>
      <c r="CHB13" s="554"/>
      <c r="CHC13" s="554"/>
      <c r="CHD13" s="554"/>
      <c r="CHE13" s="554"/>
      <c r="CHF13" s="554"/>
      <c r="CHG13" s="554"/>
      <c r="CHH13" s="554"/>
      <c r="CHI13" s="554"/>
      <c r="CHJ13" s="554"/>
      <c r="CHK13" s="554"/>
      <c r="CHL13" s="554"/>
      <c r="CHM13" s="554"/>
      <c r="CHN13" s="554"/>
      <c r="CHO13" s="554"/>
      <c r="CHP13" s="554"/>
      <c r="CHQ13" s="554"/>
      <c r="CHR13" s="554"/>
      <c r="CHS13" s="554"/>
      <c r="CHT13" s="554"/>
      <c r="CHU13" s="554"/>
      <c r="CHV13" s="554"/>
      <c r="CHW13" s="554"/>
      <c r="CHX13" s="554"/>
      <c r="CHY13" s="554"/>
      <c r="CHZ13" s="554"/>
      <c r="CIA13" s="554"/>
      <c r="CIB13" s="554"/>
      <c r="CIC13" s="554"/>
      <c r="CID13" s="554"/>
      <c r="CIE13" s="554"/>
      <c r="CIF13" s="554"/>
      <c r="CIG13" s="554"/>
      <c r="CIH13" s="554"/>
      <c r="CII13" s="554"/>
      <c r="CIJ13" s="554"/>
      <c r="CIK13" s="554"/>
      <c r="CIL13" s="554"/>
      <c r="CIM13" s="554"/>
      <c r="CIN13" s="554"/>
      <c r="CIO13" s="554"/>
      <c r="CIP13" s="554"/>
      <c r="CIQ13" s="554"/>
      <c r="CIR13" s="554"/>
      <c r="CIS13" s="554"/>
      <c r="CIT13" s="554"/>
      <c r="CIU13" s="554"/>
      <c r="CIV13" s="554"/>
      <c r="CIW13" s="554"/>
      <c r="CIX13" s="554"/>
      <c r="CIY13" s="554"/>
      <c r="CIZ13" s="554"/>
      <c r="CJA13" s="554"/>
      <c r="CJB13" s="554"/>
      <c r="CJC13" s="554"/>
      <c r="CJD13" s="554"/>
      <c r="CJE13" s="554"/>
      <c r="CJF13" s="554"/>
      <c r="CJG13" s="554"/>
      <c r="CJH13" s="554"/>
      <c r="CJI13" s="554"/>
      <c r="CJJ13" s="554"/>
      <c r="CJK13" s="554"/>
      <c r="CJL13" s="554"/>
      <c r="CJM13" s="554"/>
      <c r="CJN13" s="554"/>
      <c r="CJO13" s="554"/>
      <c r="CJP13" s="554"/>
      <c r="CJQ13" s="554"/>
      <c r="CJR13" s="554"/>
      <c r="CJS13" s="554"/>
      <c r="CJT13" s="554"/>
      <c r="CJU13" s="554"/>
      <c r="CJV13" s="554"/>
      <c r="CJW13" s="554"/>
      <c r="CJX13" s="554"/>
      <c r="CJY13" s="554"/>
      <c r="CJZ13" s="554"/>
      <c r="CKA13" s="554"/>
      <c r="CKB13" s="554"/>
      <c r="CKC13" s="554"/>
      <c r="CKD13" s="554"/>
      <c r="CKE13" s="554"/>
      <c r="CKF13" s="554"/>
      <c r="CKG13" s="554"/>
      <c r="CKH13" s="554"/>
      <c r="CKI13" s="554"/>
      <c r="CKJ13" s="554"/>
      <c r="CKK13" s="554"/>
      <c r="CKL13" s="554"/>
      <c r="CKM13" s="554"/>
      <c r="CKN13" s="554"/>
      <c r="CKO13" s="554"/>
      <c r="CKP13" s="554"/>
      <c r="CKQ13" s="554"/>
      <c r="CKR13" s="554"/>
      <c r="CKS13" s="554"/>
      <c r="CKT13" s="554"/>
      <c r="CKU13" s="554"/>
      <c r="CKV13" s="554"/>
      <c r="CKW13" s="554"/>
      <c r="CKX13" s="554"/>
      <c r="CKY13" s="554"/>
      <c r="CKZ13" s="554"/>
      <c r="CLA13" s="554"/>
      <c r="CLB13" s="554"/>
      <c r="CLC13" s="554"/>
      <c r="CLD13" s="554"/>
      <c r="CLE13" s="554"/>
      <c r="CLF13" s="554"/>
      <c r="CLG13" s="554"/>
      <c r="CLH13" s="554"/>
      <c r="CLI13" s="554"/>
      <c r="CLJ13" s="554"/>
      <c r="CLK13" s="554"/>
      <c r="CLL13" s="554"/>
      <c r="CLM13" s="554"/>
      <c r="CLN13" s="554"/>
      <c r="CLO13" s="554"/>
      <c r="CLP13" s="554"/>
      <c r="CLQ13" s="554"/>
      <c r="CLR13" s="554"/>
      <c r="CLS13" s="554"/>
      <c r="CLT13" s="554"/>
      <c r="CLU13" s="554"/>
      <c r="CLV13" s="554"/>
      <c r="CLW13" s="554"/>
      <c r="CLX13" s="554"/>
      <c r="CLY13" s="554"/>
      <c r="CLZ13" s="554"/>
      <c r="CMA13" s="554"/>
      <c r="CMB13" s="554"/>
      <c r="CMC13" s="554"/>
      <c r="CMD13" s="554"/>
      <c r="CME13" s="554"/>
      <c r="CMF13" s="554"/>
      <c r="CMG13" s="554"/>
      <c r="CMH13" s="554"/>
      <c r="CMI13" s="554"/>
      <c r="CMJ13" s="554"/>
      <c r="CMK13" s="554"/>
      <c r="CML13" s="554"/>
      <c r="CMM13" s="554"/>
      <c r="CMN13" s="554"/>
      <c r="CMO13" s="554"/>
      <c r="CMP13" s="554"/>
      <c r="CMQ13" s="554"/>
      <c r="CMR13" s="554"/>
      <c r="CMS13" s="554"/>
      <c r="CMT13" s="554"/>
      <c r="CMU13" s="554"/>
      <c r="CMV13" s="554"/>
      <c r="CMW13" s="554"/>
      <c r="CMX13" s="554"/>
      <c r="CMY13" s="554"/>
      <c r="CMZ13" s="554"/>
      <c r="CNA13" s="554"/>
      <c r="CNB13" s="554"/>
      <c r="CNC13" s="554"/>
      <c r="CND13" s="554"/>
      <c r="CNE13" s="554"/>
      <c r="CNF13" s="554"/>
      <c r="CNG13" s="554"/>
      <c r="CNH13" s="554"/>
      <c r="CNI13" s="554"/>
      <c r="CNJ13" s="554"/>
      <c r="CNK13" s="554"/>
      <c r="CNL13" s="554"/>
      <c r="CNM13" s="554"/>
      <c r="CNN13" s="554"/>
      <c r="CNO13" s="554"/>
      <c r="CNP13" s="554"/>
      <c r="CNQ13" s="554"/>
      <c r="CNR13" s="554"/>
      <c r="CNS13" s="554"/>
      <c r="CNT13" s="554"/>
      <c r="CNU13" s="554"/>
      <c r="CNV13" s="554"/>
      <c r="CNW13" s="554"/>
      <c r="CNX13" s="554"/>
      <c r="CNY13" s="554"/>
      <c r="CNZ13" s="554"/>
      <c r="COA13" s="554"/>
      <c r="COB13" s="554"/>
      <c r="COC13" s="554"/>
      <c r="COD13" s="554"/>
      <c r="COE13" s="554"/>
      <c r="COF13" s="554"/>
      <c r="COG13" s="554"/>
      <c r="COH13" s="554"/>
      <c r="COI13" s="554"/>
      <c r="COJ13" s="554"/>
      <c r="COK13" s="554"/>
      <c r="COL13" s="554"/>
      <c r="COM13" s="554"/>
      <c r="CON13" s="554"/>
      <c r="COO13" s="554"/>
      <c r="COP13" s="554"/>
      <c r="COQ13" s="554"/>
      <c r="COR13" s="554"/>
      <c r="COS13" s="554"/>
      <c r="COT13" s="554"/>
      <c r="COU13" s="554"/>
      <c r="COV13" s="554"/>
      <c r="COW13" s="554"/>
      <c r="COX13" s="554"/>
      <c r="COY13" s="554"/>
      <c r="COZ13" s="554"/>
      <c r="CPA13" s="554"/>
      <c r="CPB13" s="554"/>
      <c r="CPC13" s="554"/>
      <c r="CPD13" s="554"/>
      <c r="CPE13" s="554"/>
      <c r="CPF13" s="554"/>
      <c r="CPG13" s="554"/>
      <c r="CPH13" s="554"/>
      <c r="CPI13" s="554"/>
      <c r="CPJ13" s="554"/>
      <c r="CPK13" s="554"/>
      <c r="CPL13" s="554"/>
      <c r="CPM13" s="554"/>
      <c r="CPN13" s="554"/>
      <c r="CPO13" s="554"/>
      <c r="CPP13" s="554"/>
      <c r="CPQ13" s="554"/>
      <c r="CPR13" s="554"/>
      <c r="CPS13" s="554"/>
      <c r="CPT13" s="554"/>
      <c r="CPU13" s="554"/>
      <c r="CPV13" s="554"/>
      <c r="CPW13" s="554"/>
      <c r="CPX13" s="554"/>
      <c r="CPY13" s="554"/>
      <c r="CPZ13" s="554"/>
      <c r="CQA13" s="554"/>
      <c r="CQB13" s="554"/>
      <c r="CQC13" s="554"/>
      <c r="CQD13" s="554"/>
      <c r="CQE13" s="554"/>
      <c r="CQF13" s="554"/>
      <c r="CQG13" s="554"/>
      <c r="CQH13" s="554"/>
      <c r="CQI13" s="554"/>
      <c r="CQJ13" s="554"/>
      <c r="CQK13" s="554"/>
      <c r="CQL13" s="554"/>
      <c r="CQM13" s="554"/>
      <c r="CQN13" s="554"/>
      <c r="CQO13" s="554"/>
      <c r="CQP13" s="554"/>
      <c r="CQQ13" s="554"/>
      <c r="CQR13" s="554"/>
      <c r="CQS13" s="554"/>
      <c r="CQT13" s="554"/>
      <c r="CQU13" s="554"/>
      <c r="CQV13" s="554"/>
      <c r="CQW13" s="554"/>
      <c r="CQX13" s="554"/>
      <c r="CQY13" s="554"/>
      <c r="CQZ13" s="554"/>
      <c r="CRA13" s="554"/>
      <c r="CRB13" s="554"/>
      <c r="CRC13" s="554"/>
      <c r="CRD13" s="554"/>
      <c r="CRE13" s="554"/>
      <c r="CRF13" s="554"/>
      <c r="CRG13" s="554"/>
      <c r="CRH13" s="554"/>
      <c r="CRI13" s="554"/>
      <c r="CRJ13" s="554"/>
      <c r="CRK13" s="554"/>
      <c r="CRL13" s="554"/>
      <c r="CRM13" s="554"/>
      <c r="CRN13" s="554"/>
      <c r="CRO13" s="554"/>
      <c r="CRP13" s="554"/>
      <c r="CRQ13" s="554"/>
      <c r="CRR13" s="554"/>
      <c r="CRS13" s="554"/>
      <c r="CRT13" s="554"/>
      <c r="CRU13" s="554"/>
      <c r="CRV13" s="554"/>
      <c r="CRW13" s="554"/>
      <c r="CRX13" s="554"/>
      <c r="CRY13" s="554"/>
      <c r="CRZ13" s="554"/>
      <c r="CSA13" s="554"/>
      <c r="CSB13" s="554"/>
      <c r="CSC13" s="554"/>
      <c r="CSD13" s="554"/>
      <c r="CSE13" s="554"/>
      <c r="CSF13" s="554"/>
      <c r="CSG13" s="554"/>
      <c r="CSH13" s="554"/>
      <c r="CSI13" s="554"/>
      <c r="CSJ13" s="554"/>
      <c r="CSK13" s="554"/>
      <c r="CSL13" s="554"/>
      <c r="CSM13" s="554"/>
      <c r="CSN13" s="554"/>
      <c r="CSO13" s="554"/>
      <c r="CSP13" s="554"/>
      <c r="CSQ13" s="554"/>
      <c r="CSR13" s="554"/>
      <c r="CSS13" s="554"/>
      <c r="CST13" s="554"/>
      <c r="CSU13" s="554"/>
      <c r="CSV13" s="554"/>
      <c r="CSW13" s="554"/>
      <c r="CSX13" s="554"/>
      <c r="CSY13" s="554"/>
      <c r="CSZ13" s="554"/>
      <c r="CTA13" s="554"/>
      <c r="CTB13" s="554"/>
      <c r="CTC13" s="554"/>
      <c r="CTD13" s="554"/>
      <c r="CTE13" s="554"/>
      <c r="CTF13" s="554"/>
      <c r="CTG13" s="554"/>
      <c r="CTH13" s="554"/>
      <c r="CTI13" s="554"/>
      <c r="CTJ13" s="554"/>
      <c r="CTK13" s="554"/>
      <c r="CTL13" s="554"/>
      <c r="CTM13" s="554"/>
      <c r="CTN13" s="554"/>
      <c r="CTO13" s="554"/>
      <c r="CTP13" s="554"/>
      <c r="CTQ13" s="554"/>
      <c r="CTR13" s="554"/>
      <c r="CTS13" s="554"/>
      <c r="CTT13" s="554"/>
      <c r="CTU13" s="554"/>
      <c r="CTV13" s="554"/>
      <c r="CTW13" s="554"/>
      <c r="CTX13" s="554"/>
      <c r="CTY13" s="554"/>
      <c r="CTZ13" s="554"/>
      <c r="CUA13" s="554"/>
      <c r="CUB13" s="554"/>
      <c r="CUC13" s="554"/>
      <c r="CUD13" s="554"/>
      <c r="CUE13" s="554"/>
      <c r="CUF13" s="554"/>
      <c r="CUG13" s="554"/>
      <c r="CUH13" s="554"/>
      <c r="CUI13" s="554"/>
      <c r="CUJ13" s="554"/>
      <c r="CUK13" s="554"/>
      <c r="CUL13" s="554"/>
      <c r="CUM13" s="554"/>
      <c r="CUN13" s="554"/>
      <c r="CUO13" s="554"/>
      <c r="CUP13" s="554"/>
      <c r="CUQ13" s="554"/>
      <c r="CUR13" s="554"/>
      <c r="CUS13" s="554"/>
      <c r="CUT13" s="554"/>
      <c r="CUU13" s="554"/>
      <c r="CUV13" s="554"/>
      <c r="CUW13" s="554"/>
      <c r="CUX13" s="554"/>
      <c r="CUY13" s="554"/>
      <c r="CUZ13" s="554"/>
      <c r="CVA13" s="554"/>
      <c r="CVB13" s="554"/>
      <c r="CVC13" s="554"/>
      <c r="CVD13" s="554"/>
      <c r="CVE13" s="554"/>
      <c r="CVF13" s="554"/>
      <c r="CVG13" s="554"/>
      <c r="CVH13" s="554"/>
      <c r="CVI13" s="554"/>
      <c r="CVJ13" s="554"/>
      <c r="CVK13" s="554"/>
      <c r="CVL13" s="554"/>
      <c r="CVM13" s="554"/>
      <c r="CVN13" s="554"/>
      <c r="CVO13" s="554"/>
      <c r="CVP13" s="554"/>
      <c r="CVQ13" s="554"/>
      <c r="CVR13" s="554"/>
      <c r="CVS13" s="554"/>
      <c r="CVT13" s="554"/>
      <c r="CVU13" s="554"/>
      <c r="CVV13" s="554"/>
      <c r="CVW13" s="554"/>
      <c r="CVX13" s="554"/>
      <c r="CVY13" s="554"/>
      <c r="CVZ13" s="554"/>
      <c r="CWA13" s="554"/>
      <c r="CWB13" s="554"/>
      <c r="CWC13" s="554"/>
      <c r="CWD13" s="554"/>
      <c r="CWE13" s="554"/>
      <c r="CWF13" s="554"/>
      <c r="CWG13" s="554"/>
      <c r="CWH13" s="554"/>
      <c r="CWI13" s="554"/>
      <c r="CWJ13" s="554"/>
      <c r="CWK13" s="554"/>
      <c r="CWL13" s="554"/>
      <c r="CWM13" s="554"/>
      <c r="CWN13" s="554"/>
      <c r="CWO13" s="554"/>
      <c r="CWP13" s="554"/>
      <c r="CWQ13" s="554"/>
      <c r="CWR13" s="554"/>
      <c r="CWS13" s="554"/>
      <c r="CWT13" s="554"/>
      <c r="CWU13" s="554"/>
      <c r="CWV13" s="554"/>
      <c r="CWW13" s="554"/>
      <c r="CWX13" s="554"/>
      <c r="CWY13" s="554"/>
      <c r="CWZ13" s="554"/>
      <c r="CXA13" s="554"/>
      <c r="CXB13" s="554"/>
      <c r="CXC13" s="554"/>
      <c r="CXD13" s="554"/>
      <c r="CXE13" s="554"/>
      <c r="CXF13" s="554"/>
      <c r="CXG13" s="554"/>
      <c r="CXH13" s="554"/>
      <c r="CXI13" s="554"/>
      <c r="CXJ13" s="554"/>
      <c r="CXK13" s="554"/>
      <c r="CXL13" s="554"/>
      <c r="CXM13" s="554"/>
      <c r="CXN13" s="554"/>
      <c r="CXO13" s="554"/>
      <c r="CXP13" s="554"/>
      <c r="CXQ13" s="554"/>
      <c r="CXR13" s="554"/>
      <c r="CXS13" s="554"/>
      <c r="CXT13" s="554"/>
      <c r="CXU13" s="554"/>
      <c r="CXV13" s="554"/>
      <c r="CXW13" s="554"/>
      <c r="CXX13" s="554"/>
      <c r="CXY13" s="554"/>
      <c r="CXZ13" s="554"/>
      <c r="CYA13" s="554"/>
      <c r="CYB13" s="554"/>
      <c r="CYC13" s="554"/>
      <c r="CYD13" s="554"/>
      <c r="CYE13" s="554"/>
      <c r="CYF13" s="554"/>
      <c r="CYG13" s="554"/>
      <c r="CYH13" s="554"/>
      <c r="CYI13" s="554"/>
      <c r="CYJ13" s="554"/>
      <c r="CYK13" s="554"/>
      <c r="CYL13" s="554"/>
      <c r="CYM13" s="554"/>
      <c r="CYN13" s="554"/>
      <c r="CYO13" s="554"/>
      <c r="CYP13" s="554"/>
      <c r="CYQ13" s="554"/>
      <c r="CYR13" s="554"/>
      <c r="CYS13" s="554"/>
      <c r="CYT13" s="554"/>
      <c r="CYU13" s="554"/>
      <c r="CYV13" s="554"/>
      <c r="CYW13" s="554"/>
      <c r="CYX13" s="554"/>
      <c r="CYY13" s="554"/>
      <c r="CYZ13" s="554"/>
      <c r="CZA13" s="554"/>
      <c r="CZB13" s="554"/>
      <c r="CZC13" s="554"/>
      <c r="CZD13" s="554"/>
      <c r="CZE13" s="554"/>
      <c r="CZF13" s="554"/>
      <c r="CZG13" s="554"/>
      <c r="CZH13" s="554"/>
      <c r="CZI13" s="554"/>
      <c r="CZJ13" s="554"/>
      <c r="CZK13" s="554"/>
      <c r="CZL13" s="554"/>
      <c r="CZM13" s="554"/>
      <c r="CZN13" s="554"/>
      <c r="CZO13" s="554"/>
      <c r="CZP13" s="554"/>
      <c r="CZQ13" s="554"/>
      <c r="CZR13" s="554"/>
      <c r="CZS13" s="554"/>
      <c r="CZT13" s="554"/>
      <c r="CZU13" s="554"/>
      <c r="CZV13" s="554"/>
      <c r="CZW13" s="554"/>
      <c r="CZX13" s="554"/>
      <c r="CZY13" s="554"/>
      <c r="CZZ13" s="554"/>
      <c r="DAA13" s="554"/>
      <c r="DAB13" s="554"/>
      <c r="DAC13" s="554"/>
      <c r="DAD13" s="554"/>
      <c r="DAE13" s="554"/>
      <c r="DAF13" s="554"/>
      <c r="DAG13" s="554"/>
      <c r="DAH13" s="554"/>
      <c r="DAI13" s="554"/>
      <c r="DAJ13" s="554"/>
      <c r="DAK13" s="554"/>
      <c r="DAL13" s="554"/>
      <c r="DAM13" s="554"/>
      <c r="DAN13" s="554"/>
      <c r="DAO13" s="554"/>
      <c r="DAP13" s="554"/>
      <c r="DAQ13" s="554"/>
      <c r="DAR13" s="554"/>
      <c r="DAS13" s="554"/>
      <c r="DAT13" s="554"/>
      <c r="DAU13" s="554"/>
      <c r="DAV13" s="554"/>
      <c r="DAW13" s="554"/>
      <c r="DAX13" s="554"/>
      <c r="DAY13" s="554"/>
      <c r="DAZ13" s="554"/>
      <c r="DBA13" s="554"/>
      <c r="DBB13" s="554"/>
      <c r="DBC13" s="554"/>
      <c r="DBD13" s="554"/>
      <c r="DBE13" s="554"/>
      <c r="DBF13" s="554"/>
      <c r="DBG13" s="554"/>
      <c r="DBH13" s="554"/>
      <c r="DBI13" s="554"/>
      <c r="DBJ13" s="554"/>
      <c r="DBK13" s="554"/>
      <c r="DBL13" s="554"/>
      <c r="DBM13" s="554"/>
      <c r="DBN13" s="554"/>
      <c r="DBO13" s="554"/>
      <c r="DBP13" s="554"/>
      <c r="DBQ13" s="554"/>
      <c r="DBR13" s="554"/>
      <c r="DBS13" s="554"/>
      <c r="DBT13" s="554"/>
      <c r="DBU13" s="554"/>
      <c r="DBV13" s="554"/>
      <c r="DBW13" s="554"/>
      <c r="DBX13" s="554"/>
      <c r="DBY13" s="554"/>
      <c r="DBZ13" s="554"/>
      <c r="DCA13" s="554"/>
      <c r="DCB13" s="554"/>
      <c r="DCC13" s="554"/>
      <c r="DCD13" s="554"/>
      <c r="DCE13" s="554"/>
      <c r="DCF13" s="554"/>
      <c r="DCG13" s="554"/>
      <c r="DCH13" s="554"/>
      <c r="DCI13" s="554"/>
      <c r="DCJ13" s="554"/>
      <c r="DCK13" s="554"/>
      <c r="DCL13" s="554"/>
      <c r="DCM13" s="554"/>
      <c r="DCN13" s="554"/>
      <c r="DCO13" s="554"/>
      <c r="DCP13" s="554"/>
      <c r="DCQ13" s="554"/>
      <c r="DCR13" s="554"/>
      <c r="DCS13" s="554"/>
      <c r="DCT13" s="554"/>
      <c r="DCU13" s="554"/>
      <c r="DCV13" s="554"/>
      <c r="DCW13" s="554"/>
      <c r="DCX13" s="554"/>
      <c r="DCY13" s="554"/>
      <c r="DCZ13" s="554"/>
      <c r="DDA13" s="554"/>
      <c r="DDB13" s="554"/>
      <c r="DDC13" s="554"/>
      <c r="DDD13" s="554"/>
      <c r="DDE13" s="554"/>
      <c r="DDF13" s="554"/>
      <c r="DDG13" s="554"/>
      <c r="DDH13" s="554"/>
      <c r="DDI13" s="554"/>
      <c r="DDJ13" s="554"/>
      <c r="DDK13" s="554"/>
      <c r="DDL13" s="554"/>
      <c r="DDM13" s="554"/>
      <c r="DDN13" s="554"/>
      <c r="DDO13" s="554"/>
      <c r="DDP13" s="554"/>
      <c r="DDQ13" s="554"/>
      <c r="DDR13" s="554"/>
      <c r="DDS13" s="554"/>
      <c r="DDT13" s="554"/>
      <c r="DDU13" s="554"/>
      <c r="DDV13" s="554"/>
      <c r="DDW13" s="554"/>
      <c r="DDX13" s="554"/>
      <c r="DDY13" s="554"/>
      <c r="DDZ13" s="554"/>
      <c r="DEA13" s="554"/>
      <c r="DEB13" s="554"/>
      <c r="DEC13" s="554"/>
      <c r="DED13" s="554"/>
      <c r="DEE13" s="554"/>
      <c r="DEF13" s="554"/>
      <c r="DEG13" s="554"/>
      <c r="DEH13" s="554"/>
      <c r="DEI13" s="554"/>
      <c r="DEJ13" s="554"/>
      <c r="DEK13" s="554"/>
      <c r="DEL13" s="554"/>
      <c r="DEM13" s="554"/>
      <c r="DEN13" s="554"/>
      <c r="DEO13" s="554"/>
      <c r="DEP13" s="554"/>
      <c r="DEQ13" s="554"/>
      <c r="DER13" s="554"/>
      <c r="DES13" s="554"/>
      <c r="DET13" s="554"/>
      <c r="DEU13" s="554"/>
      <c r="DEV13" s="554"/>
      <c r="DEW13" s="554"/>
      <c r="DEX13" s="554"/>
      <c r="DEY13" s="554"/>
      <c r="DEZ13" s="554"/>
      <c r="DFA13" s="554"/>
      <c r="DFB13" s="554"/>
      <c r="DFC13" s="554"/>
      <c r="DFD13" s="554"/>
      <c r="DFE13" s="554"/>
      <c r="DFF13" s="554"/>
      <c r="DFG13" s="554"/>
      <c r="DFH13" s="554"/>
      <c r="DFI13" s="554"/>
      <c r="DFJ13" s="554"/>
      <c r="DFK13" s="554"/>
      <c r="DFL13" s="554"/>
      <c r="DFM13" s="554"/>
      <c r="DFN13" s="554"/>
      <c r="DFO13" s="554"/>
      <c r="DFP13" s="554"/>
      <c r="DFQ13" s="554"/>
      <c r="DFR13" s="554"/>
      <c r="DFS13" s="554"/>
      <c r="DFT13" s="554"/>
      <c r="DFU13" s="554"/>
      <c r="DFV13" s="554"/>
      <c r="DFW13" s="554"/>
      <c r="DFX13" s="554"/>
      <c r="DFY13" s="554"/>
      <c r="DFZ13" s="554"/>
      <c r="DGA13" s="554"/>
      <c r="DGB13" s="554"/>
      <c r="DGC13" s="554"/>
      <c r="DGD13" s="554"/>
      <c r="DGE13" s="554"/>
      <c r="DGF13" s="554"/>
      <c r="DGG13" s="554"/>
      <c r="DGH13" s="554"/>
      <c r="DGI13" s="554"/>
      <c r="DGJ13" s="554"/>
      <c r="DGK13" s="554"/>
      <c r="DGL13" s="554"/>
      <c r="DGM13" s="554"/>
      <c r="DGN13" s="554"/>
      <c r="DGO13" s="554"/>
      <c r="DGP13" s="554"/>
      <c r="DGQ13" s="554"/>
      <c r="DGR13" s="554"/>
      <c r="DGS13" s="554"/>
      <c r="DGT13" s="554"/>
      <c r="DGU13" s="554"/>
      <c r="DGV13" s="554"/>
      <c r="DGW13" s="554"/>
      <c r="DGX13" s="554"/>
      <c r="DGY13" s="554"/>
      <c r="DGZ13" s="554"/>
      <c r="DHA13" s="554"/>
      <c r="DHB13" s="554"/>
      <c r="DHC13" s="554"/>
      <c r="DHD13" s="554"/>
      <c r="DHE13" s="554"/>
      <c r="DHF13" s="554"/>
      <c r="DHG13" s="554"/>
      <c r="DHH13" s="554"/>
      <c r="DHI13" s="554"/>
      <c r="DHJ13" s="554"/>
      <c r="DHK13" s="554"/>
      <c r="DHL13" s="554"/>
      <c r="DHM13" s="554"/>
      <c r="DHN13" s="554"/>
      <c r="DHO13" s="554"/>
      <c r="DHP13" s="554"/>
      <c r="DHQ13" s="554"/>
      <c r="DHR13" s="554"/>
      <c r="DHS13" s="554"/>
      <c r="DHT13" s="554"/>
      <c r="DHU13" s="554"/>
      <c r="DHV13" s="554"/>
      <c r="DHW13" s="554"/>
      <c r="DHX13" s="554"/>
      <c r="DHY13" s="554"/>
      <c r="DHZ13" s="554"/>
      <c r="DIA13" s="554"/>
      <c r="DIB13" s="554"/>
      <c r="DIC13" s="554"/>
      <c r="DID13" s="554"/>
      <c r="DIE13" s="554"/>
      <c r="DIF13" s="554"/>
      <c r="DIG13" s="554"/>
      <c r="DIH13" s="554"/>
      <c r="DII13" s="554"/>
      <c r="DIJ13" s="554"/>
      <c r="DIK13" s="554"/>
      <c r="DIL13" s="554"/>
      <c r="DIM13" s="554"/>
      <c r="DIN13" s="554"/>
      <c r="DIO13" s="554"/>
      <c r="DIP13" s="554"/>
      <c r="DIQ13" s="554"/>
      <c r="DIR13" s="554"/>
      <c r="DIS13" s="554"/>
      <c r="DIT13" s="554"/>
      <c r="DIU13" s="554"/>
      <c r="DIV13" s="554"/>
      <c r="DIW13" s="554"/>
      <c r="DIX13" s="554"/>
      <c r="DIY13" s="554"/>
      <c r="DIZ13" s="554"/>
      <c r="DJA13" s="554"/>
      <c r="DJB13" s="554"/>
      <c r="DJC13" s="554"/>
      <c r="DJD13" s="554"/>
      <c r="DJE13" s="554"/>
      <c r="DJF13" s="554"/>
      <c r="DJG13" s="554"/>
      <c r="DJH13" s="554"/>
      <c r="DJI13" s="554"/>
      <c r="DJJ13" s="554"/>
      <c r="DJK13" s="554"/>
      <c r="DJL13" s="554"/>
      <c r="DJM13" s="554"/>
      <c r="DJN13" s="554"/>
      <c r="DJO13" s="554"/>
      <c r="DJP13" s="554"/>
      <c r="DJQ13" s="554"/>
      <c r="DJR13" s="554"/>
      <c r="DJS13" s="554"/>
      <c r="DJT13" s="554"/>
      <c r="DJU13" s="554"/>
      <c r="DJV13" s="554"/>
      <c r="DJW13" s="554"/>
      <c r="DJX13" s="554"/>
      <c r="DJY13" s="554"/>
      <c r="DJZ13" s="554"/>
      <c r="DKA13" s="554"/>
      <c r="DKB13" s="554"/>
      <c r="DKC13" s="554"/>
      <c r="DKD13" s="554"/>
      <c r="DKE13" s="554"/>
      <c r="DKF13" s="554"/>
      <c r="DKG13" s="554"/>
      <c r="DKH13" s="554"/>
      <c r="DKI13" s="554"/>
      <c r="DKJ13" s="554"/>
      <c r="DKK13" s="554"/>
      <c r="DKL13" s="554"/>
      <c r="DKM13" s="554"/>
      <c r="DKN13" s="554"/>
      <c r="DKO13" s="554"/>
      <c r="DKP13" s="554"/>
      <c r="DKQ13" s="554"/>
      <c r="DKR13" s="554"/>
      <c r="DKS13" s="554"/>
      <c r="DKT13" s="554"/>
      <c r="DKU13" s="554"/>
      <c r="DKV13" s="554"/>
      <c r="DKW13" s="554"/>
      <c r="DKX13" s="554"/>
      <c r="DKY13" s="554"/>
      <c r="DKZ13" s="554"/>
      <c r="DLA13" s="554"/>
      <c r="DLB13" s="554"/>
      <c r="DLC13" s="554"/>
      <c r="DLD13" s="554"/>
      <c r="DLE13" s="554"/>
      <c r="DLF13" s="554"/>
      <c r="DLG13" s="554"/>
      <c r="DLH13" s="554"/>
      <c r="DLI13" s="554"/>
      <c r="DLJ13" s="554"/>
      <c r="DLK13" s="554"/>
      <c r="DLL13" s="554"/>
      <c r="DLM13" s="554"/>
      <c r="DLN13" s="554"/>
      <c r="DLO13" s="554"/>
      <c r="DLP13" s="554"/>
      <c r="DLQ13" s="554"/>
      <c r="DLR13" s="554"/>
      <c r="DLS13" s="554"/>
      <c r="DLT13" s="554"/>
      <c r="DLU13" s="554"/>
      <c r="DLV13" s="554"/>
      <c r="DLW13" s="554"/>
      <c r="DLX13" s="554"/>
      <c r="DLY13" s="554"/>
      <c r="DLZ13" s="554"/>
      <c r="DMA13" s="554"/>
      <c r="DMB13" s="554"/>
      <c r="DMC13" s="554"/>
      <c r="DMD13" s="554"/>
      <c r="DME13" s="554"/>
      <c r="DMF13" s="554"/>
      <c r="DMG13" s="554"/>
      <c r="DMH13" s="554"/>
      <c r="DMI13" s="554"/>
      <c r="DMJ13" s="554"/>
      <c r="DMK13" s="554"/>
      <c r="DML13" s="554"/>
      <c r="DMM13" s="554"/>
      <c r="DMN13" s="554"/>
      <c r="DMO13" s="554"/>
      <c r="DMP13" s="554"/>
      <c r="DMQ13" s="554"/>
      <c r="DMR13" s="554"/>
      <c r="DMS13" s="554"/>
      <c r="DMT13" s="554"/>
      <c r="DMU13" s="554"/>
      <c r="DMV13" s="554"/>
      <c r="DMW13" s="554"/>
      <c r="DMX13" s="554"/>
      <c r="DMY13" s="554"/>
      <c r="DMZ13" s="554"/>
      <c r="DNA13" s="554"/>
      <c r="DNB13" s="554"/>
      <c r="DNC13" s="554"/>
      <c r="DND13" s="554"/>
      <c r="DNE13" s="554"/>
      <c r="DNF13" s="554"/>
      <c r="DNG13" s="554"/>
      <c r="DNH13" s="554"/>
      <c r="DNI13" s="554"/>
      <c r="DNJ13" s="554"/>
      <c r="DNK13" s="554"/>
      <c r="DNL13" s="554"/>
      <c r="DNM13" s="554"/>
      <c r="DNN13" s="554"/>
      <c r="DNO13" s="554"/>
      <c r="DNP13" s="554"/>
      <c r="DNQ13" s="554"/>
      <c r="DNR13" s="554"/>
      <c r="DNS13" s="554"/>
      <c r="DNT13" s="554"/>
      <c r="DNU13" s="554"/>
      <c r="DNV13" s="554"/>
      <c r="DNW13" s="554"/>
      <c r="DNX13" s="554"/>
      <c r="DNY13" s="554"/>
      <c r="DNZ13" s="554"/>
      <c r="DOA13" s="554"/>
      <c r="DOB13" s="554"/>
      <c r="DOC13" s="554"/>
      <c r="DOD13" s="554"/>
      <c r="DOE13" s="554"/>
      <c r="DOF13" s="554"/>
      <c r="DOG13" s="554"/>
      <c r="DOH13" s="554"/>
      <c r="DOI13" s="554"/>
      <c r="DOJ13" s="554"/>
      <c r="DOK13" s="554"/>
      <c r="DOL13" s="554"/>
      <c r="DOM13" s="554"/>
      <c r="DON13" s="554"/>
      <c r="DOO13" s="554"/>
      <c r="DOP13" s="554"/>
      <c r="DOQ13" s="554"/>
      <c r="DOR13" s="554"/>
      <c r="DOS13" s="554"/>
      <c r="DOT13" s="554"/>
      <c r="DOU13" s="554"/>
      <c r="DOV13" s="554"/>
      <c r="DOW13" s="554"/>
      <c r="DOX13" s="554"/>
      <c r="DOY13" s="554"/>
      <c r="DOZ13" s="554"/>
      <c r="DPA13" s="554"/>
      <c r="DPB13" s="554"/>
      <c r="DPC13" s="554"/>
      <c r="DPD13" s="554"/>
      <c r="DPE13" s="554"/>
      <c r="DPF13" s="554"/>
      <c r="DPG13" s="554"/>
      <c r="DPH13" s="554"/>
      <c r="DPI13" s="554"/>
      <c r="DPJ13" s="554"/>
      <c r="DPK13" s="554"/>
      <c r="DPL13" s="554"/>
      <c r="DPM13" s="554"/>
      <c r="DPN13" s="554"/>
      <c r="DPO13" s="554"/>
      <c r="DPP13" s="554"/>
      <c r="DPQ13" s="554"/>
      <c r="DPR13" s="554"/>
      <c r="DPS13" s="554"/>
      <c r="DPT13" s="554"/>
      <c r="DPU13" s="554"/>
      <c r="DPV13" s="554"/>
      <c r="DPW13" s="554"/>
      <c r="DPX13" s="554"/>
      <c r="DPY13" s="554"/>
      <c r="DPZ13" s="554"/>
      <c r="DQA13" s="554"/>
      <c r="DQB13" s="554"/>
      <c r="DQC13" s="554"/>
      <c r="DQD13" s="554"/>
      <c r="DQE13" s="554"/>
      <c r="DQF13" s="554"/>
      <c r="DQG13" s="554"/>
      <c r="DQH13" s="554"/>
      <c r="DQI13" s="554"/>
      <c r="DQJ13" s="554"/>
      <c r="DQK13" s="554"/>
      <c r="DQL13" s="554"/>
      <c r="DQM13" s="554"/>
      <c r="DQN13" s="554"/>
      <c r="DQO13" s="554"/>
      <c r="DQP13" s="554"/>
      <c r="DQQ13" s="554"/>
      <c r="DQR13" s="554"/>
      <c r="DQS13" s="554"/>
      <c r="DQT13" s="554"/>
      <c r="DQU13" s="554"/>
      <c r="DQV13" s="554"/>
      <c r="DQW13" s="554"/>
      <c r="DQX13" s="554"/>
      <c r="DQY13" s="554"/>
      <c r="DQZ13" s="554"/>
      <c r="DRA13" s="554"/>
      <c r="DRB13" s="554"/>
      <c r="DRC13" s="554"/>
      <c r="DRD13" s="554"/>
      <c r="DRE13" s="554"/>
      <c r="DRF13" s="554"/>
      <c r="DRG13" s="554"/>
      <c r="DRH13" s="554"/>
      <c r="DRI13" s="554"/>
      <c r="DRJ13" s="554"/>
      <c r="DRK13" s="554"/>
      <c r="DRL13" s="554"/>
      <c r="DRM13" s="554"/>
      <c r="DRN13" s="554"/>
      <c r="DRO13" s="554"/>
      <c r="DRP13" s="554"/>
      <c r="DRQ13" s="554"/>
      <c r="DRR13" s="554"/>
      <c r="DRS13" s="554"/>
      <c r="DRT13" s="554"/>
      <c r="DRU13" s="554"/>
      <c r="DRV13" s="554"/>
      <c r="DRW13" s="554"/>
      <c r="DRX13" s="554"/>
      <c r="DRY13" s="554"/>
      <c r="DRZ13" s="554"/>
      <c r="DSA13" s="554"/>
      <c r="DSB13" s="554"/>
      <c r="DSC13" s="554"/>
      <c r="DSD13" s="554"/>
      <c r="DSE13" s="554"/>
      <c r="DSF13" s="554"/>
      <c r="DSG13" s="554"/>
      <c r="DSH13" s="554"/>
      <c r="DSI13" s="554"/>
      <c r="DSJ13" s="554"/>
      <c r="DSK13" s="554"/>
      <c r="DSL13" s="554"/>
      <c r="DSM13" s="554"/>
      <c r="DSN13" s="554"/>
      <c r="DSO13" s="554"/>
      <c r="DSP13" s="554"/>
      <c r="DSQ13" s="554"/>
      <c r="DSR13" s="554"/>
      <c r="DSS13" s="554"/>
      <c r="DST13" s="554"/>
      <c r="DSU13" s="554"/>
      <c r="DSV13" s="554"/>
      <c r="DSW13" s="554"/>
      <c r="DSX13" s="554"/>
      <c r="DSY13" s="554"/>
      <c r="DSZ13" s="554"/>
      <c r="DTA13" s="554"/>
      <c r="DTB13" s="554"/>
      <c r="DTC13" s="554"/>
      <c r="DTD13" s="554"/>
      <c r="DTE13" s="554"/>
      <c r="DTF13" s="554"/>
      <c r="DTG13" s="554"/>
      <c r="DTH13" s="554"/>
      <c r="DTI13" s="554"/>
      <c r="DTJ13" s="554"/>
      <c r="DTK13" s="554"/>
      <c r="DTL13" s="554"/>
      <c r="DTM13" s="554"/>
      <c r="DTN13" s="554"/>
      <c r="DTO13" s="554"/>
      <c r="DTP13" s="554"/>
      <c r="DTQ13" s="554"/>
      <c r="DTR13" s="554"/>
      <c r="DTS13" s="554"/>
      <c r="DTT13" s="554"/>
      <c r="DTU13" s="554"/>
      <c r="DTV13" s="554"/>
      <c r="DTW13" s="554"/>
      <c r="DTX13" s="554"/>
      <c r="DTY13" s="554"/>
      <c r="DTZ13" s="554"/>
      <c r="DUA13" s="554"/>
      <c r="DUB13" s="554"/>
      <c r="DUC13" s="554"/>
      <c r="DUD13" s="554"/>
      <c r="DUE13" s="554"/>
      <c r="DUF13" s="554"/>
      <c r="DUG13" s="554"/>
      <c r="DUH13" s="554"/>
      <c r="DUI13" s="554"/>
      <c r="DUJ13" s="554"/>
      <c r="DUK13" s="554"/>
      <c r="DUL13" s="554"/>
      <c r="DUM13" s="554"/>
      <c r="DUN13" s="554"/>
      <c r="DUO13" s="554"/>
      <c r="DUP13" s="554"/>
      <c r="DUQ13" s="554"/>
      <c r="DUR13" s="554"/>
      <c r="DUS13" s="554"/>
      <c r="DUT13" s="554"/>
      <c r="DUU13" s="554"/>
      <c r="DUV13" s="554"/>
      <c r="DUW13" s="554"/>
      <c r="DUX13" s="554"/>
      <c r="DUY13" s="554"/>
      <c r="DUZ13" s="554"/>
      <c r="DVA13" s="554"/>
      <c r="DVB13" s="554"/>
      <c r="DVC13" s="554"/>
      <c r="DVD13" s="554"/>
      <c r="DVE13" s="554"/>
      <c r="DVF13" s="554"/>
      <c r="DVG13" s="554"/>
      <c r="DVH13" s="554"/>
      <c r="DVI13" s="554"/>
      <c r="DVJ13" s="554"/>
      <c r="DVK13" s="554"/>
      <c r="DVL13" s="554"/>
      <c r="DVM13" s="554"/>
      <c r="DVN13" s="554"/>
      <c r="DVO13" s="554"/>
      <c r="DVP13" s="554"/>
      <c r="DVQ13" s="554"/>
      <c r="DVR13" s="554"/>
      <c r="DVS13" s="554"/>
      <c r="DVT13" s="554"/>
      <c r="DVU13" s="554"/>
      <c r="DVV13" s="554"/>
      <c r="DVW13" s="554"/>
      <c r="DVX13" s="554"/>
      <c r="DVY13" s="554"/>
      <c r="DVZ13" s="554"/>
      <c r="DWA13" s="554"/>
      <c r="DWB13" s="554"/>
      <c r="DWC13" s="554"/>
      <c r="DWD13" s="554"/>
      <c r="DWE13" s="554"/>
      <c r="DWF13" s="554"/>
      <c r="DWG13" s="554"/>
      <c r="DWH13" s="554"/>
      <c r="DWI13" s="554"/>
      <c r="DWJ13" s="554"/>
      <c r="DWK13" s="554"/>
      <c r="DWL13" s="554"/>
      <c r="DWM13" s="554"/>
      <c r="DWN13" s="554"/>
      <c r="DWO13" s="554"/>
      <c r="DWP13" s="554"/>
      <c r="DWQ13" s="554"/>
      <c r="DWR13" s="554"/>
      <c r="DWS13" s="554"/>
      <c r="DWT13" s="554"/>
      <c r="DWU13" s="554"/>
      <c r="DWV13" s="554"/>
      <c r="DWW13" s="554"/>
      <c r="DWX13" s="554"/>
      <c r="DWY13" s="554"/>
      <c r="DWZ13" s="554"/>
      <c r="DXA13" s="554"/>
      <c r="DXB13" s="554"/>
      <c r="DXC13" s="554"/>
      <c r="DXD13" s="554"/>
      <c r="DXE13" s="554"/>
      <c r="DXF13" s="554"/>
      <c r="DXG13" s="554"/>
      <c r="DXH13" s="554"/>
      <c r="DXI13" s="554"/>
      <c r="DXJ13" s="554"/>
      <c r="DXK13" s="554"/>
      <c r="DXL13" s="554"/>
      <c r="DXM13" s="554"/>
      <c r="DXN13" s="554"/>
      <c r="DXO13" s="554"/>
      <c r="DXP13" s="554"/>
      <c r="DXQ13" s="554"/>
      <c r="DXR13" s="554"/>
      <c r="DXS13" s="554"/>
      <c r="DXT13" s="554"/>
      <c r="DXU13" s="554"/>
      <c r="DXV13" s="554"/>
      <c r="DXW13" s="554"/>
      <c r="DXX13" s="554"/>
      <c r="DXY13" s="554"/>
      <c r="DXZ13" s="554"/>
      <c r="DYA13" s="554"/>
      <c r="DYB13" s="554"/>
      <c r="DYC13" s="554"/>
      <c r="DYD13" s="554"/>
      <c r="DYE13" s="554"/>
      <c r="DYF13" s="554"/>
      <c r="DYG13" s="554"/>
      <c r="DYH13" s="554"/>
      <c r="DYI13" s="554"/>
      <c r="DYJ13" s="554"/>
      <c r="DYK13" s="554"/>
      <c r="DYL13" s="554"/>
      <c r="DYM13" s="554"/>
      <c r="DYN13" s="554"/>
      <c r="DYO13" s="554"/>
      <c r="DYP13" s="554"/>
      <c r="DYQ13" s="554"/>
      <c r="DYR13" s="554"/>
      <c r="DYS13" s="554"/>
      <c r="DYT13" s="554"/>
      <c r="DYU13" s="554"/>
      <c r="DYV13" s="554"/>
      <c r="DYW13" s="554"/>
      <c r="DYX13" s="554"/>
      <c r="DYY13" s="554"/>
      <c r="DYZ13" s="554"/>
      <c r="DZA13" s="554"/>
      <c r="DZB13" s="554"/>
      <c r="DZC13" s="554"/>
      <c r="DZD13" s="554"/>
      <c r="DZE13" s="554"/>
      <c r="DZF13" s="554"/>
      <c r="DZG13" s="554"/>
      <c r="DZH13" s="554"/>
      <c r="DZI13" s="554"/>
      <c r="DZJ13" s="554"/>
      <c r="DZK13" s="554"/>
      <c r="DZL13" s="554"/>
      <c r="DZM13" s="554"/>
      <c r="DZN13" s="554"/>
      <c r="DZO13" s="554"/>
      <c r="DZP13" s="554"/>
      <c r="DZQ13" s="554"/>
      <c r="DZR13" s="554"/>
      <c r="DZS13" s="554"/>
      <c r="DZT13" s="554"/>
      <c r="DZU13" s="554"/>
      <c r="DZV13" s="554"/>
      <c r="DZW13" s="554"/>
      <c r="DZX13" s="554"/>
      <c r="DZY13" s="554"/>
      <c r="DZZ13" s="554"/>
      <c r="EAA13" s="554"/>
      <c r="EAB13" s="554"/>
      <c r="EAC13" s="554"/>
      <c r="EAD13" s="554"/>
      <c r="EAE13" s="554"/>
      <c r="EAF13" s="554"/>
      <c r="EAG13" s="554"/>
      <c r="EAH13" s="554"/>
      <c r="EAI13" s="554"/>
      <c r="EAJ13" s="554"/>
      <c r="EAK13" s="554"/>
      <c r="EAL13" s="554"/>
      <c r="EAM13" s="554"/>
      <c r="EAN13" s="554"/>
      <c r="EAO13" s="554"/>
      <c r="EAP13" s="554"/>
      <c r="EAQ13" s="554"/>
      <c r="EAR13" s="554"/>
      <c r="EAS13" s="554"/>
      <c r="EAT13" s="554"/>
      <c r="EAU13" s="554"/>
      <c r="EAV13" s="554"/>
      <c r="EAW13" s="554"/>
      <c r="EAX13" s="554"/>
      <c r="EAY13" s="554"/>
      <c r="EAZ13" s="554"/>
      <c r="EBA13" s="554"/>
      <c r="EBB13" s="554"/>
      <c r="EBC13" s="554"/>
      <c r="EBD13" s="554"/>
      <c r="EBE13" s="554"/>
      <c r="EBF13" s="554"/>
      <c r="EBG13" s="554"/>
      <c r="EBH13" s="554"/>
      <c r="EBI13" s="554"/>
      <c r="EBJ13" s="554"/>
      <c r="EBK13" s="554"/>
      <c r="EBL13" s="554"/>
      <c r="EBM13" s="554"/>
      <c r="EBN13" s="554"/>
      <c r="EBO13" s="554"/>
      <c r="EBP13" s="554"/>
      <c r="EBQ13" s="554"/>
      <c r="EBR13" s="554"/>
      <c r="EBS13" s="554"/>
      <c r="EBT13" s="554"/>
      <c r="EBU13" s="554"/>
      <c r="EBV13" s="554"/>
      <c r="EBW13" s="554"/>
      <c r="EBX13" s="554"/>
      <c r="EBY13" s="554"/>
      <c r="EBZ13" s="554"/>
      <c r="ECA13" s="554"/>
      <c r="ECB13" s="554"/>
      <c r="ECC13" s="554"/>
      <c r="ECD13" s="554"/>
      <c r="ECE13" s="554"/>
      <c r="ECF13" s="554"/>
      <c r="ECG13" s="554"/>
      <c r="ECH13" s="554"/>
      <c r="ECI13" s="554"/>
      <c r="ECJ13" s="554"/>
      <c r="ECK13" s="554"/>
      <c r="ECL13" s="554"/>
      <c r="ECM13" s="554"/>
      <c r="ECN13" s="554"/>
      <c r="ECO13" s="554"/>
      <c r="ECP13" s="554"/>
      <c r="ECQ13" s="554"/>
      <c r="ECR13" s="554"/>
      <c r="ECS13" s="554"/>
      <c r="ECT13" s="554"/>
      <c r="ECU13" s="554"/>
      <c r="ECV13" s="554"/>
      <c r="ECW13" s="554"/>
      <c r="ECX13" s="554"/>
      <c r="ECY13" s="554"/>
      <c r="ECZ13" s="554"/>
      <c r="EDA13" s="554"/>
      <c r="EDB13" s="554"/>
      <c r="EDC13" s="554"/>
      <c r="EDD13" s="554"/>
      <c r="EDE13" s="554"/>
      <c r="EDF13" s="554"/>
      <c r="EDG13" s="554"/>
      <c r="EDH13" s="554"/>
      <c r="EDI13" s="554"/>
      <c r="EDJ13" s="554"/>
      <c r="EDK13" s="554"/>
      <c r="EDL13" s="554"/>
      <c r="EDM13" s="554"/>
      <c r="EDN13" s="554"/>
      <c r="EDO13" s="554"/>
      <c r="EDP13" s="554"/>
      <c r="EDQ13" s="554"/>
      <c r="EDR13" s="554"/>
      <c r="EDS13" s="554"/>
      <c r="EDT13" s="554"/>
      <c r="EDU13" s="554"/>
      <c r="EDV13" s="554"/>
      <c r="EDW13" s="554"/>
      <c r="EDX13" s="554"/>
      <c r="EDY13" s="554"/>
      <c r="EDZ13" s="554"/>
      <c r="EEA13" s="554"/>
      <c r="EEB13" s="554"/>
      <c r="EEC13" s="554"/>
      <c r="EED13" s="554"/>
      <c r="EEE13" s="554"/>
      <c r="EEF13" s="554"/>
      <c r="EEG13" s="554"/>
      <c r="EEH13" s="554"/>
      <c r="EEI13" s="554"/>
      <c r="EEJ13" s="554"/>
      <c r="EEK13" s="554"/>
      <c r="EEL13" s="554"/>
      <c r="EEM13" s="554"/>
      <c r="EEN13" s="554"/>
      <c r="EEO13" s="554"/>
      <c r="EEP13" s="554"/>
      <c r="EEQ13" s="554"/>
      <c r="EER13" s="554"/>
      <c r="EES13" s="554"/>
      <c r="EET13" s="554"/>
      <c r="EEU13" s="554"/>
      <c r="EEV13" s="554"/>
      <c r="EEW13" s="554"/>
      <c r="EEX13" s="554"/>
      <c r="EEY13" s="554"/>
      <c r="EEZ13" s="554"/>
      <c r="EFA13" s="554"/>
      <c r="EFB13" s="554"/>
      <c r="EFC13" s="554"/>
      <c r="EFD13" s="554"/>
      <c r="EFE13" s="554"/>
      <c r="EFF13" s="554"/>
      <c r="EFG13" s="554"/>
      <c r="EFH13" s="554"/>
      <c r="EFI13" s="554"/>
      <c r="EFJ13" s="554"/>
      <c r="EFK13" s="554"/>
      <c r="EFL13" s="554"/>
      <c r="EFM13" s="554"/>
      <c r="EFN13" s="554"/>
      <c r="EFO13" s="554"/>
      <c r="EFP13" s="554"/>
      <c r="EFQ13" s="554"/>
      <c r="EFR13" s="554"/>
      <c r="EFS13" s="554"/>
      <c r="EFT13" s="554"/>
      <c r="EFU13" s="554"/>
      <c r="EFV13" s="554"/>
      <c r="EFW13" s="554"/>
      <c r="EFX13" s="554"/>
      <c r="EFY13" s="554"/>
      <c r="EFZ13" s="554"/>
      <c r="EGA13" s="554"/>
      <c r="EGB13" s="554"/>
      <c r="EGC13" s="554"/>
      <c r="EGD13" s="554"/>
      <c r="EGE13" s="554"/>
      <c r="EGF13" s="554"/>
      <c r="EGG13" s="554"/>
      <c r="EGH13" s="554"/>
      <c r="EGI13" s="554"/>
      <c r="EGJ13" s="554"/>
      <c r="EGK13" s="554"/>
      <c r="EGL13" s="554"/>
      <c r="EGM13" s="554"/>
      <c r="EGN13" s="554"/>
      <c r="EGO13" s="554"/>
      <c r="EGP13" s="554"/>
      <c r="EGQ13" s="554"/>
      <c r="EGR13" s="554"/>
      <c r="EGS13" s="554"/>
      <c r="EGT13" s="554"/>
      <c r="EGU13" s="554"/>
      <c r="EGV13" s="554"/>
      <c r="EGW13" s="554"/>
      <c r="EGX13" s="554"/>
      <c r="EGY13" s="554"/>
      <c r="EGZ13" s="554"/>
      <c r="EHA13" s="554"/>
      <c r="EHB13" s="554"/>
      <c r="EHC13" s="554"/>
      <c r="EHD13" s="554"/>
      <c r="EHE13" s="554"/>
      <c r="EHF13" s="554"/>
      <c r="EHG13" s="554"/>
      <c r="EHH13" s="554"/>
      <c r="EHI13" s="554"/>
      <c r="EHJ13" s="554"/>
      <c r="EHK13" s="554"/>
      <c r="EHL13" s="554"/>
      <c r="EHM13" s="554"/>
      <c r="EHN13" s="554"/>
      <c r="EHO13" s="554"/>
      <c r="EHP13" s="554"/>
      <c r="EHQ13" s="554"/>
      <c r="EHR13" s="554"/>
      <c r="EHS13" s="554"/>
      <c r="EHT13" s="554"/>
      <c r="EHU13" s="554"/>
      <c r="EHV13" s="554"/>
      <c r="EHW13" s="554"/>
      <c r="EHX13" s="554"/>
      <c r="EHY13" s="554"/>
      <c r="EHZ13" s="554"/>
      <c r="EIA13" s="554"/>
      <c r="EIB13" s="554"/>
      <c r="EIC13" s="554"/>
      <c r="EID13" s="554"/>
      <c r="EIE13" s="554"/>
      <c r="EIF13" s="554"/>
      <c r="EIG13" s="554"/>
      <c r="EIH13" s="554"/>
      <c r="EII13" s="554"/>
      <c r="EIJ13" s="554"/>
      <c r="EIK13" s="554"/>
      <c r="EIL13" s="554"/>
      <c r="EIM13" s="554"/>
      <c r="EIN13" s="554"/>
      <c r="EIO13" s="554"/>
      <c r="EIP13" s="554"/>
      <c r="EIQ13" s="554"/>
      <c r="EIR13" s="554"/>
      <c r="EIS13" s="554"/>
      <c r="EIT13" s="554"/>
      <c r="EIU13" s="554"/>
      <c r="EIV13" s="554"/>
      <c r="EIW13" s="554"/>
      <c r="EIX13" s="554"/>
      <c r="EIY13" s="554"/>
      <c r="EIZ13" s="554"/>
      <c r="EJA13" s="554"/>
      <c r="EJB13" s="554"/>
      <c r="EJC13" s="554"/>
      <c r="EJD13" s="554"/>
      <c r="EJE13" s="554"/>
      <c r="EJF13" s="554"/>
      <c r="EJG13" s="554"/>
      <c r="EJH13" s="554"/>
      <c r="EJI13" s="554"/>
      <c r="EJJ13" s="554"/>
      <c r="EJK13" s="554"/>
      <c r="EJL13" s="554"/>
      <c r="EJM13" s="554"/>
      <c r="EJN13" s="554"/>
      <c r="EJO13" s="554"/>
      <c r="EJP13" s="554"/>
      <c r="EJQ13" s="554"/>
      <c r="EJR13" s="554"/>
      <c r="EJS13" s="554"/>
      <c r="EJT13" s="554"/>
      <c r="EJU13" s="554"/>
      <c r="EJV13" s="554"/>
      <c r="EJW13" s="554"/>
      <c r="EJX13" s="554"/>
      <c r="EJY13" s="554"/>
      <c r="EJZ13" s="554"/>
      <c r="EKA13" s="554"/>
      <c r="EKB13" s="554"/>
      <c r="EKC13" s="554"/>
      <c r="EKD13" s="554"/>
      <c r="EKE13" s="554"/>
      <c r="EKF13" s="554"/>
      <c r="EKG13" s="554"/>
      <c r="EKH13" s="554"/>
      <c r="EKI13" s="554"/>
      <c r="EKJ13" s="554"/>
      <c r="EKK13" s="554"/>
      <c r="EKL13" s="554"/>
      <c r="EKM13" s="554"/>
      <c r="EKN13" s="554"/>
      <c r="EKO13" s="554"/>
      <c r="EKP13" s="554"/>
      <c r="EKQ13" s="554"/>
      <c r="EKR13" s="554"/>
      <c r="EKS13" s="554"/>
      <c r="EKT13" s="554"/>
      <c r="EKU13" s="554"/>
      <c r="EKV13" s="554"/>
      <c r="EKW13" s="554"/>
      <c r="EKX13" s="554"/>
      <c r="EKY13" s="554"/>
      <c r="EKZ13" s="554"/>
      <c r="ELA13" s="554"/>
      <c r="ELB13" s="554"/>
      <c r="ELC13" s="554"/>
      <c r="ELD13" s="554"/>
      <c r="ELE13" s="554"/>
      <c r="ELF13" s="554"/>
      <c r="ELG13" s="554"/>
      <c r="ELH13" s="554"/>
      <c r="ELI13" s="554"/>
      <c r="ELJ13" s="554"/>
      <c r="ELK13" s="554"/>
      <c r="ELL13" s="554"/>
      <c r="ELM13" s="554"/>
      <c r="ELN13" s="554"/>
      <c r="ELO13" s="554"/>
      <c r="ELP13" s="554"/>
      <c r="ELQ13" s="554"/>
      <c r="ELR13" s="554"/>
      <c r="ELS13" s="554"/>
      <c r="ELT13" s="554"/>
      <c r="ELU13" s="554"/>
      <c r="ELV13" s="554"/>
      <c r="ELW13" s="554"/>
      <c r="ELX13" s="554"/>
      <c r="ELY13" s="554"/>
      <c r="ELZ13" s="554"/>
      <c r="EMA13" s="554"/>
      <c r="EMB13" s="554"/>
      <c r="EMC13" s="554"/>
      <c r="EMD13" s="554"/>
      <c r="EME13" s="554"/>
      <c r="EMF13" s="554"/>
      <c r="EMG13" s="554"/>
      <c r="EMH13" s="554"/>
      <c r="EMI13" s="554"/>
      <c r="EMJ13" s="554"/>
      <c r="EMK13" s="554"/>
      <c r="EML13" s="554"/>
      <c r="EMM13" s="554"/>
      <c r="EMN13" s="554"/>
      <c r="EMO13" s="554"/>
      <c r="EMP13" s="554"/>
      <c r="EMQ13" s="554"/>
      <c r="EMR13" s="554"/>
      <c r="EMS13" s="554"/>
      <c r="EMT13" s="554"/>
      <c r="EMU13" s="554"/>
      <c r="EMV13" s="554"/>
      <c r="EMW13" s="554"/>
      <c r="EMX13" s="554"/>
      <c r="EMY13" s="554"/>
      <c r="EMZ13" s="554"/>
      <c r="ENA13" s="554"/>
      <c r="ENB13" s="554"/>
      <c r="ENC13" s="554"/>
      <c r="END13" s="554"/>
      <c r="ENE13" s="554"/>
      <c r="ENF13" s="554"/>
      <c r="ENG13" s="554"/>
      <c r="ENH13" s="554"/>
      <c r="ENI13" s="554"/>
      <c r="ENJ13" s="554"/>
      <c r="ENK13" s="554"/>
      <c r="ENL13" s="554"/>
      <c r="ENM13" s="554"/>
      <c r="ENN13" s="554"/>
      <c r="ENO13" s="554"/>
      <c r="ENP13" s="554"/>
      <c r="ENQ13" s="554"/>
      <c r="ENR13" s="554"/>
      <c r="ENS13" s="554"/>
      <c r="ENT13" s="554"/>
      <c r="ENU13" s="554"/>
      <c r="ENV13" s="554"/>
      <c r="ENW13" s="554"/>
      <c r="ENX13" s="554"/>
      <c r="ENY13" s="554"/>
      <c r="ENZ13" s="554"/>
      <c r="EOA13" s="554"/>
      <c r="EOB13" s="554"/>
      <c r="EOC13" s="554"/>
      <c r="EOD13" s="554"/>
      <c r="EOE13" s="554"/>
      <c r="EOF13" s="554"/>
      <c r="EOG13" s="554"/>
      <c r="EOH13" s="554"/>
      <c r="EOI13" s="554"/>
      <c r="EOJ13" s="554"/>
      <c r="EOK13" s="554"/>
      <c r="EOL13" s="554"/>
      <c r="EOM13" s="554"/>
      <c r="EON13" s="554"/>
      <c r="EOO13" s="554"/>
      <c r="EOP13" s="554"/>
      <c r="EOQ13" s="554"/>
      <c r="EOR13" s="554"/>
      <c r="EOS13" s="554"/>
      <c r="EOT13" s="554"/>
      <c r="EOU13" s="554"/>
      <c r="EOV13" s="554"/>
      <c r="EOW13" s="554"/>
      <c r="EOX13" s="554"/>
      <c r="EOY13" s="554"/>
      <c r="EOZ13" s="554"/>
      <c r="EPA13" s="554"/>
      <c r="EPB13" s="554"/>
      <c r="EPC13" s="554"/>
      <c r="EPD13" s="554"/>
      <c r="EPE13" s="554"/>
      <c r="EPF13" s="554"/>
      <c r="EPG13" s="554"/>
      <c r="EPH13" s="554"/>
      <c r="EPI13" s="554"/>
      <c r="EPJ13" s="554"/>
      <c r="EPK13" s="554"/>
      <c r="EPL13" s="554"/>
      <c r="EPM13" s="554"/>
      <c r="EPN13" s="554"/>
      <c r="EPO13" s="554"/>
      <c r="EPP13" s="554"/>
      <c r="EPQ13" s="554"/>
      <c r="EPR13" s="554"/>
      <c r="EPS13" s="554"/>
      <c r="EPT13" s="554"/>
      <c r="EPU13" s="554"/>
      <c r="EPV13" s="554"/>
      <c r="EPW13" s="554"/>
      <c r="EPX13" s="554"/>
      <c r="EPY13" s="554"/>
      <c r="EPZ13" s="554"/>
      <c r="EQA13" s="554"/>
      <c r="EQB13" s="554"/>
      <c r="EQC13" s="554"/>
      <c r="EQD13" s="554"/>
      <c r="EQE13" s="554"/>
      <c r="EQF13" s="554"/>
      <c r="EQG13" s="554"/>
      <c r="EQH13" s="554"/>
      <c r="EQI13" s="554"/>
      <c r="EQJ13" s="554"/>
      <c r="EQK13" s="554"/>
      <c r="EQL13" s="554"/>
      <c r="EQM13" s="554"/>
      <c r="EQN13" s="554"/>
      <c r="EQO13" s="554"/>
      <c r="EQP13" s="554"/>
      <c r="EQQ13" s="554"/>
      <c r="EQR13" s="554"/>
      <c r="EQS13" s="554"/>
      <c r="EQT13" s="554"/>
      <c r="EQU13" s="554"/>
      <c r="EQV13" s="554"/>
      <c r="EQW13" s="554"/>
      <c r="EQX13" s="554"/>
      <c r="EQY13" s="554"/>
      <c r="EQZ13" s="554"/>
      <c r="ERA13" s="554"/>
      <c r="ERB13" s="554"/>
      <c r="ERC13" s="554"/>
      <c r="ERD13" s="554"/>
      <c r="ERE13" s="554"/>
      <c r="ERF13" s="554"/>
      <c r="ERG13" s="554"/>
      <c r="ERH13" s="554"/>
      <c r="ERI13" s="554"/>
      <c r="ERJ13" s="554"/>
      <c r="ERK13" s="554"/>
      <c r="ERL13" s="554"/>
      <c r="ERM13" s="554"/>
      <c r="ERN13" s="554"/>
      <c r="ERO13" s="554"/>
      <c r="ERP13" s="554"/>
      <c r="ERQ13" s="554"/>
      <c r="ERR13" s="554"/>
      <c r="ERS13" s="554"/>
      <c r="ERT13" s="554"/>
      <c r="ERU13" s="554"/>
      <c r="ERV13" s="554"/>
      <c r="ERW13" s="554"/>
      <c r="ERX13" s="554"/>
      <c r="ERY13" s="554"/>
      <c r="ERZ13" s="554"/>
      <c r="ESA13" s="554"/>
      <c r="ESB13" s="554"/>
      <c r="ESC13" s="554"/>
      <c r="ESD13" s="554"/>
      <c r="ESE13" s="554"/>
      <c r="ESF13" s="554"/>
      <c r="ESG13" s="554"/>
      <c r="ESH13" s="554"/>
      <c r="ESI13" s="554"/>
      <c r="ESJ13" s="554"/>
      <c r="ESK13" s="554"/>
      <c r="ESL13" s="554"/>
      <c r="ESM13" s="554"/>
      <c r="ESN13" s="554"/>
      <c r="ESO13" s="554"/>
      <c r="ESP13" s="554"/>
      <c r="ESQ13" s="554"/>
      <c r="ESR13" s="554"/>
      <c r="ESS13" s="554"/>
      <c r="EST13" s="554"/>
      <c r="ESU13" s="554"/>
      <c r="ESV13" s="554"/>
      <c r="ESW13" s="554"/>
      <c r="ESX13" s="554"/>
      <c r="ESY13" s="554"/>
      <c r="ESZ13" s="554"/>
      <c r="ETA13" s="554"/>
      <c r="ETB13" s="554"/>
      <c r="ETC13" s="554"/>
      <c r="ETD13" s="554"/>
      <c r="ETE13" s="554"/>
      <c r="ETF13" s="554"/>
      <c r="ETG13" s="554"/>
      <c r="ETH13" s="554"/>
      <c r="ETI13" s="554"/>
      <c r="ETJ13" s="554"/>
      <c r="ETK13" s="554"/>
      <c r="ETL13" s="554"/>
      <c r="ETM13" s="554"/>
      <c r="ETN13" s="554"/>
      <c r="ETO13" s="554"/>
      <c r="ETP13" s="554"/>
      <c r="ETQ13" s="554"/>
      <c r="ETR13" s="554"/>
      <c r="ETS13" s="554"/>
      <c r="ETT13" s="554"/>
      <c r="ETU13" s="554"/>
      <c r="ETV13" s="554"/>
      <c r="ETW13" s="554"/>
      <c r="ETX13" s="554"/>
      <c r="ETY13" s="554"/>
      <c r="ETZ13" s="554"/>
      <c r="EUA13" s="554"/>
      <c r="EUB13" s="554"/>
      <c r="EUC13" s="554"/>
      <c r="EUD13" s="554"/>
      <c r="EUE13" s="554"/>
      <c r="EUF13" s="554"/>
      <c r="EUG13" s="554"/>
      <c r="EUH13" s="554"/>
      <c r="EUI13" s="554"/>
      <c r="EUJ13" s="554"/>
      <c r="EUK13" s="554"/>
      <c r="EUL13" s="554"/>
      <c r="EUM13" s="554"/>
      <c r="EUN13" s="554"/>
      <c r="EUO13" s="554"/>
      <c r="EUP13" s="554"/>
      <c r="EUQ13" s="554"/>
      <c r="EUR13" s="554"/>
      <c r="EUS13" s="554"/>
      <c r="EUT13" s="554"/>
      <c r="EUU13" s="554"/>
      <c r="EUV13" s="554"/>
      <c r="EUW13" s="554"/>
      <c r="EUX13" s="554"/>
      <c r="EUY13" s="554"/>
      <c r="EUZ13" s="554"/>
      <c r="EVA13" s="554"/>
      <c r="EVB13" s="554"/>
      <c r="EVC13" s="554"/>
      <c r="EVD13" s="554"/>
      <c r="EVE13" s="554"/>
      <c r="EVF13" s="554"/>
      <c r="EVG13" s="554"/>
      <c r="EVH13" s="554"/>
      <c r="EVI13" s="554"/>
      <c r="EVJ13" s="554"/>
      <c r="EVK13" s="554"/>
      <c r="EVL13" s="554"/>
      <c r="EVM13" s="554"/>
      <c r="EVN13" s="554"/>
      <c r="EVO13" s="554"/>
      <c r="EVP13" s="554"/>
      <c r="EVQ13" s="554"/>
      <c r="EVR13" s="554"/>
      <c r="EVS13" s="554"/>
      <c r="EVT13" s="554"/>
      <c r="EVU13" s="554"/>
      <c r="EVV13" s="554"/>
      <c r="EVW13" s="554"/>
      <c r="EVX13" s="554"/>
      <c r="EVY13" s="554"/>
      <c r="EVZ13" s="554"/>
      <c r="EWA13" s="554"/>
      <c r="EWB13" s="554"/>
      <c r="EWC13" s="554"/>
      <c r="EWD13" s="554"/>
      <c r="EWE13" s="554"/>
      <c r="EWF13" s="554"/>
      <c r="EWG13" s="554"/>
      <c r="EWH13" s="554"/>
      <c r="EWI13" s="554"/>
      <c r="EWJ13" s="554"/>
      <c r="EWK13" s="554"/>
      <c r="EWL13" s="554"/>
      <c r="EWM13" s="554"/>
      <c r="EWN13" s="554"/>
      <c r="EWO13" s="554"/>
      <c r="EWP13" s="554"/>
      <c r="EWQ13" s="554"/>
      <c r="EWR13" s="554"/>
      <c r="EWS13" s="554"/>
      <c r="EWT13" s="554"/>
      <c r="EWU13" s="554"/>
      <c r="EWV13" s="554"/>
      <c r="EWW13" s="554"/>
      <c r="EWX13" s="554"/>
      <c r="EWY13" s="554"/>
      <c r="EWZ13" s="554"/>
      <c r="EXA13" s="554"/>
      <c r="EXB13" s="554"/>
      <c r="EXC13" s="554"/>
      <c r="EXD13" s="554"/>
      <c r="EXE13" s="554"/>
      <c r="EXF13" s="554"/>
      <c r="EXG13" s="554"/>
      <c r="EXH13" s="554"/>
      <c r="EXI13" s="554"/>
      <c r="EXJ13" s="554"/>
      <c r="EXK13" s="554"/>
      <c r="EXL13" s="554"/>
      <c r="EXM13" s="554"/>
      <c r="EXN13" s="554"/>
      <c r="EXO13" s="554"/>
      <c r="EXP13" s="554"/>
      <c r="EXQ13" s="554"/>
      <c r="EXR13" s="554"/>
      <c r="EXS13" s="554"/>
      <c r="EXT13" s="554"/>
      <c r="EXU13" s="554"/>
      <c r="EXV13" s="554"/>
      <c r="EXW13" s="554"/>
      <c r="EXX13" s="554"/>
      <c r="EXY13" s="554"/>
      <c r="EXZ13" s="554"/>
      <c r="EYA13" s="554"/>
      <c r="EYB13" s="554"/>
      <c r="EYC13" s="554"/>
      <c r="EYD13" s="554"/>
      <c r="EYE13" s="554"/>
      <c r="EYF13" s="554"/>
      <c r="EYG13" s="554"/>
      <c r="EYH13" s="554"/>
      <c r="EYI13" s="554"/>
      <c r="EYJ13" s="554"/>
      <c r="EYK13" s="554"/>
      <c r="EYL13" s="554"/>
      <c r="EYM13" s="554"/>
      <c r="EYN13" s="554"/>
      <c r="EYO13" s="554"/>
      <c r="EYP13" s="554"/>
      <c r="EYQ13" s="554"/>
      <c r="EYR13" s="554"/>
      <c r="EYS13" s="554"/>
      <c r="EYT13" s="554"/>
      <c r="EYU13" s="554"/>
      <c r="EYV13" s="554"/>
      <c r="EYW13" s="554"/>
      <c r="EYX13" s="554"/>
      <c r="EYY13" s="554"/>
      <c r="EYZ13" s="554"/>
      <c r="EZA13" s="554"/>
      <c r="EZB13" s="554"/>
      <c r="EZC13" s="554"/>
      <c r="EZD13" s="554"/>
      <c r="EZE13" s="554"/>
      <c r="EZF13" s="554"/>
      <c r="EZG13" s="554"/>
      <c r="EZH13" s="554"/>
      <c r="EZI13" s="554"/>
      <c r="EZJ13" s="554"/>
      <c r="EZK13" s="554"/>
      <c r="EZL13" s="554"/>
      <c r="EZM13" s="554"/>
      <c r="EZN13" s="554"/>
      <c r="EZO13" s="554"/>
      <c r="EZP13" s="554"/>
      <c r="EZQ13" s="554"/>
      <c r="EZR13" s="554"/>
      <c r="EZS13" s="554"/>
      <c r="EZT13" s="554"/>
      <c r="EZU13" s="554"/>
      <c r="EZV13" s="554"/>
      <c r="EZW13" s="554"/>
      <c r="EZX13" s="554"/>
      <c r="EZY13" s="554"/>
      <c r="EZZ13" s="554"/>
      <c r="FAA13" s="554"/>
      <c r="FAB13" s="554"/>
      <c r="FAC13" s="554"/>
      <c r="FAD13" s="554"/>
      <c r="FAE13" s="554"/>
      <c r="FAF13" s="554"/>
      <c r="FAG13" s="554"/>
      <c r="FAH13" s="554"/>
      <c r="FAI13" s="554"/>
      <c r="FAJ13" s="554"/>
      <c r="FAK13" s="554"/>
      <c r="FAL13" s="554"/>
      <c r="FAM13" s="554"/>
      <c r="FAN13" s="554"/>
      <c r="FAO13" s="554"/>
      <c r="FAP13" s="554"/>
      <c r="FAQ13" s="554"/>
      <c r="FAR13" s="554"/>
      <c r="FAS13" s="554"/>
      <c r="FAT13" s="554"/>
      <c r="FAU13" s="554"/>
      <c r="FAV13" s="554"/>
      <c r="FAW13" s="554"/>
      <c r="FAX13" s="554"/>
      <c r="FAY13" s="554"/>
      <c r="FAZ13" s="554"/>
      <c r="FBA13" s="554"/>
      <c r="FBB13" s="554"/>
      <c r="FBC13" s="554"/>
      <c r="FBD13" s="554"/>
      <c r="FBE13" s="554"/>
      <c r="FBF13" s="554"/>
      <c r="FBG13" s="554"/>
      <c r="FBH13" s="554"/>
      <c r="FBI13" s="554"/>
      <c r="FBJ13" s="554"/>
      <c r="FBK13" s="554"/>
      <c r="FBL13" s="554"/>
      <c r="FBM13" s="554"/>
      <c r="FBN13" s="554"/>
      <c r="FBO13" s="554"/>
      <c r="FBP13" s="554"/>
      <c r="FBQ13" s="554"/>
      <c r="FBR13" s="554"/>
      <c r="FBS13" s="554"/>
      <c r="FBT13" s="554"/>
      <c r="FBU13" s="554"/>
      <c r="FBV13" s="554"/>
      <c r="FBW13" s="554"/>
      <c r="FBX13" s="554"/>
      <c r="FBY13" s="554"/>
      <c r="FBZ13" s="554"/>
      <c r="FCA13" s="554"/>
      <c r="FCB13" s="554"/>
      <c r="FCC13" s="554"/>
      <c r="FCD13" s="554"/>
      <c r="FCE13" s="554"/>
      <c r="FCF13" s="554"/>
      <c r="FCG13" s="554"/>
      <c r="FCH13" s="554"/>
      <c r="FCI13" s="554"/>
      <c r="FCJ13" s="554"/>
      <c r="FCK13" s="554"/>
      <c r="FCL13" s="554"/>
      <c r="FCM13" s="554"/>
      <c r="FCN13" s="554"/>
      <c r="FCO13" s="554"/>
      <c r="FCP13" s="554"/>
      <c r="FCQ13" s="554"/>
      <c r="FCR13" s="554"/>
      <c r="FCS13" s="554"/>
      <c r="FCT13" s="554"/>
      <c r="FCU13" s="554"/>
      <c r="FCV13" s="554"/>
      <c r="FCW13" s="554"/>
      <c r="FCX13" s="554"/>
      <c r="FCY13" s="554"/>
      <c r="FCZ13" s="554"/>
      <c r="FDA13" s="554"/>
      <c r="FDB13" s="554"/>
      <c r="FDC13" s="554"/>
      <c r="FDD13" s="554"/>
      <c r="FDE13" s="554"/>
      <c r="FDF13" s="554"/>
      <c r="FDG13" s="554"/>
      <c r="FDH13" s="554"/>
      <c r="FDI13" s="554"/>
      <c r="FDJ13" s="554"/>
      <c r="FDK13" s="554"/>
      <c r="FDL13" s="554"/>
      <c r="FDM13" s="554"/>
      <c r="FDN13" s="554"/>
      <c r="FDO13" s="554"/>
      <c r="FDP13" s="554"/>
      <c r="FDQ13" s="554"/>
      <c r="FDR13" s="554"/>
      <c r="FDS13" s="554"/>
      <c r="FDT13" s="554"/>
      <c r="FDU13" s="554"/>
      <c r="FDV13" s="554"/>
      <c r="FDW13" s="554"/>
      <c r="FDX13" s="554"/>
      <c r="FDY13" s="554"/>
      <c r="FDZ13" s="554"/>
      <c r="FEA13" s="554"/>
      <c r="FEB13" s="554"/>
      <c r="FEC13" s="554"/>
      <c r="FED13" s="554"/>
      <c r="FEE13" s="554"/>
      <c r="FEF13" s="554"/>
      <c r="FEG13" s="554"/>
      <c r="FEH13" s="554"/>
      <c r="FEI13" s="554"/>
      <c r="FEJ13" s="554"/>
      <c r="FEK13" s="554"/>
      <c r="FEL13" s="554"/>
      <c r="FEM13" s="554"/>
      <c r="FEN13" s="554"/>
      <c r="FEO13" s="554"/>
      <c r="FEP13" s="554"/>
      <c r="FEQ13" s="554"/>
      <c r="FER13" s="554"/>
      <c r="FES13" s="554"/>
      <c r="FET13" s="554"/>
      <c r="FEU13" s="554"/>
      <c r="FEV13" s="554"/>
      <c r="FEW13" s="554"/>
      <c r="FEX13" s="554"/>
      <c r="FEY13" s="554"/>
      <c r="FEZ13" s="554"/>
      <c r="FFA13" s="554"/>
      <c r="FFB13" s="554"/>
      <c r="FFC13" s="554"/>
      <c r="FFD13" s="554"/>
      <c r="FFE13" s="554"/>
      <c r="FFF13" s="554"/>
      <c r="FFG13" s="554"/>
      <c r="FFH13" s="554"/>
      <c r="FFI13" s="554"/>
      <c r="FFJ13" s="554"/>
      <c r="FFK13" s="554"/>
      <c r="FFL13" s="554"/>
      <c r="FFM13" s="554"/>
      <c r="FFN13" s="554"/>
      <c r="FFO13" s="554"/>
      <c r="FFP13" s="554"/>
      <c r="FFQ13" s="554"/>
      <c r="FFR13" s="554"/>
      <c r="FFS13" s="554"/>
      <c r="FFT13" s="554"/>
      <c r="FFU13" s="554"/>
      <c r="FFV13" s="554"/>
      <c r="FFW13" s="554"/>
      <c r="FFX13" s="554"/>
      <c r="FFY13" s="554"/>
      <c r="FFZ13" s="554"/>
      <c r="FGA13" s="554"/>
      <c r="FGB13" s="554"/>
      <c r="FGC13" s="554"/>
      <c r="FGD13" s="554"/>
      <c r="FGE13" s="554"/>
      <c r="FGF13" s="554"/>
      <c r="FGG13" s="554"/>
      <c r="FGH13" s="554"/>
      <c r="FGI13" s="554"/>
      <c r="FGJ13" s="554"/>
      <c r="FGK13" s="554"/>
      <c r="FGL13" s="554"/>
      <c r="FGM13" s="554"/>
      <c r="FGN13" s="554"/>
      <c r="FGO13" s="554"/>
      <c r="FGP13" s="554"/>
      <c r="FGQ13" s="554"/>
      <c r="FGR13" s="554"/>
      <c r="FGS13" s="554"/>
      <c r="FGT13" s="554"/>
      <c r="FGU13" s="554"/>
      <c r="FGV13" s="554"/>
      <c r="FGW13" s="554"/>
      <c r="FGX13" s="554"/>
      <c r="FGY13" s="554"/>
      <c r="FGZ13" s="554"/>
      <c r="FHA13" s="554"/>
      <c r="FHB13" s="554"/>
      <c r="FHC13" s="554"/>
      <c r="FHD13" s="554"/>
      <c r="FHE13" s="554"/>
      <c r="FHF13" s="554"/>
      <c r="FHG13" s="554"/>
      <c r="FHH13" s="554"/>
      <c r="FHI13" s="554"/>
      <c r="FHJ13" s="554"/>
      <c r="FHK13" s="554"/>
      <c r="FHL13" s="554"/>
      <c r="FHM13" s="554"/>
      <c r="FHN13" s="554"/>
      <c r="FHO13" s="554"/>
      <c r="FHP13" s="554"/>
      <c r="FHQ13" s="554"/>
      <c r="FHR13" s="554"/>
      <c r="FHS13" s="554"/>
      <c r="FHT13" s="554"/>
      <c r="FHU13" s="554"/>
      <c r="FHV13" s="554"/>
      <c r="FHW13" s="554"/>
      <c r="FHX13" s="554"/>
      <c r="FHY13" s="554"/>
      <c r="FHZ13" s="554"/>
      <c r="FIA13" s="554"/>
      <c r="FIB13" s="554"/>
      <c r="FIC13" s="554"/>
      <c r="FID13" s="554"/>
      <c r="FIE13" s="554"/>
      <c r="FIF13" s="554"/>
      <c r="FIG13" s="554"/>
      <c r="FIH13" s="554"/>
      <c r="FII13" s="554"/>
      <c r="FIJ13" s="554"/>
      <c r="FIK13" s="554"/>
      <c r="FIL13" s="554"/>
      <c r="FIM13" s="554"/>
      <c r="FIN13" s="554"/>
      <c r="FIO13" s="554"/>
      <c r="FIP13" s="554"/>
      <c r="FIQ13" s="554"/>
      <c r="FIR13" s="554"/>
      <c r="FIS13" s="554"/>
      <c r="FIT13" s="554"/>
      <c r="FIU13" s="554"/>
      <c r="FIV13" s="554"/>
      <c r="FIW13" s="554"/>
      <c r="FIX13" s="554"/>
      <c r="FIY13" s="554"/>
      <c r="FIZ13" s="554"/>
      <c r="FJA13" s="554"/>
      <c r="FJB13" s="554"/>
      <c r="FJC13" s="554"/>
      <c r="FJD13" s="554"/>
      <c r="FJE13" s="554"/>
      <c r="FJF13" s="554"/>
      <c r="FJG13" s="554"/>
      <c r="FJH13" s="554"/>
      <c r="FJI13" s="554"/>
      <c r="FJJ13" s="554"/>
      <c r="FJK13" s="554"/>
      <c r="FJL13" s="554"/>
      <c r="FJM13" s="554"/>
      <c r="FJN13" s="554"/>
      <c r="FJO13" s="554"/>
      <c r="FJP13" s="554"/>
      <c r="FJQ13" s="554"/>
      <c r="FJR13" s="554"/>
      <c r="FJS13" s="554"/>
      <c r="FJT13" s="554"/>
      <c r="FJU13" s="554"/>
      <c r="FJV13" s="554"/>
      <c r="FJW13" s="554"/>
      <c r="FJX13" s="554"/>
      <c r="FJY13" s="554"/>
      <c r="FJZ13" s="554"/>
      <c r="FKA13" s="554"/>
      <c r="FKB13" s="554"/>
      <c r="FKC13" s="554"/>
      <c r="FKD13" s="554"/>
      <c r="FKE13" s="554"/>
      <c r="FKF13" s="554"/>
      <c r="FKG13" s="554"/>
      <c r="FKH13" s="554"/>
      <c r="FKI13" s="554"/>
      <c r="FKJ13" s="554"/>
      <c r="FKK13" s="554"/>
      <c r="FKL13" s="554"/>
      <c r="FKM13" s="554"/>
      <c r="FKN13" s="554"/>
      <c r="FKO13" s="554"/>
      <c r="FKP13" s="554"/>
      <c r="FKQ13" s="554"/>
      <c r="FKR13" s="554"/>
      <c r="FKS13" s="554"/>
      <c r="FKT13" s="554"/>
      <c r="FKU13" s="554"/>
      <c r="FKV13" s="554"/>
      <c r="FKW13" s="554"/>
      <c r="FKX13" s="554"/>
      <c r="FKY13" s="554"/>
      <c r="FKZ13" s="554"/>
      <c r="FLA13" s="554"/>
      <c r="FLB13" s="554"/>
      <c r="FLC13" s="554"/>
      <c r="FLD13" s="554"/>
      <c r="FLE13" s="554"/>
      <c r="FLF13" s="554"/>
      <c r="FLG13" s="554"/>
      <c r="FLH13" s="554"/>
      <c r="FLI13" s="554"/>
      <c r="FLJ13" s="554"/>
      <c r="FLK13" s="554"/>
      <c r="FLL13" s="554"/>
      <c r="FLM13" s="554"/>
      <c r="FLN13" s="554"/>
      <c r="FLO13" s="554"/>
      <c r="FLP13" s="554"/>
      <c r="FLQ13" s="554"/>
      <c r="FLR13" s="554"/>
      <c r="FLS13" s="554"/>
      <c r="FLT13" s="554"/>
      <c r="FLU13" s="554"/>
      <c r="FLV13" s="554"/>
      <c r="FLW13" s="554"/>
      <c r="FLX13" s="554"/>
      <c r="FLY13" s="554"/>
      <c r="FLZ13" s="554"/>
      <c r="FMA13" s="554"/>
      <c r="FMB13" s="554"/>
      <c r="FMC13" s="554"/>
      <c r="FMD13" s="554"/>
      <c r="FME13" s="554"/>
      <c r="FMF13" s="554"/>
      <c r="FMG13" s="554"/>
      <c r="FMH13" s="554"/>
      <c r="FMI13" s="554"/>
      <c r="FMJ13" s="554"/>
      <c r="FMK13" s="554"/>
      <c r="FML13" s="554"/>
      <c r="FMM13" s="554"/>
      <c r="FMN13" s="554"/>
      <c r="FMO13" s="554"/>
      <c r="FMP13" s="554"/>
      <c r="FMQ13" s="554"/>
      <c r="FMR13" s="554"/>
      <c r="FMS13" s="554"/>
      <c r="FMT13" s="554"/>
      <c r="FMU13" s="554"/>
      <c r="FMV13" s="554"/>
      <c r="FMW13" s="554"/>
      <c r="FMX13" s="554"/>
      <c r="FMY13" s="554"/>
      <c r="FMZ13" s="554"/>
      <c r="FNA13" s="554"/>
      <c r="FNB13" s="554"/>
      <c r="FNC13" s="554"/>
      <c r="FND13" s="554"/>
      <c r="FNE13" s="554"/>
      <c r="FNF13" s="554"/>
      <c r="FNG13" s="554"/>
      <c r="FNH13" s="554"/>
      <c r="FNI13" s="554"/>
      <c r="FNJ13" s="554"/>
      <c r="FNK13" s="554"/>
      <c r="FNL13" s="554"/>
      <c r="FNM13" s="554"/>
      <c r="FNN13" s="554"/>
      <c r="FNO13" s="554"/>
      <c r="FNP13" s="554"/>
      <c r="FNQ13" s="554"/>
      <c r="FNR13" s="554"/>
      <c r="FNS13" s="554"/>
      <c r="FNT13" s="554"/>
      <c r="FNU13" s="554"/>
      <c r="FNV13" s="554"/>
      <c r="FNW13" s="554"/>
      <c r="FNX13" s="554"/>
      <c r="FNY13" s="554"/>
      <c r="FNZ13" s="554"/>
      <c r="FOA13" s="554"/>
      <c r="FOB13" s="554"/>
      <c r="FOC13" s="554"/>
      <c r="FOD13" s="554"/>
      <c r="FOE13" s="554"/>
      <c r="FOF13" s="554"/>
      <c r="FOG13" s="554"/>
      <c r="FOH13" s="554"/>
      <c r="FOI13" s="554"/>
      <c r="FOJ13" s="554"/>
      <c r="FOK13" s="554"/>
      <c r="FOL13" s="554"/>
      <c r="FOM13" s="554"/>
      <c r="FON13" s="554"/>
      <c r="FOO13" s="554"/>
      <c r="FOP13" s="554"/>
      <c r="FOQ13" s="554"/>
      <c r="FOR13" s="554"/>
      <c r="FOS13" s="554"/>
      <c r="FOT13" s="554"/>
      <c r="FOU13" s="554"/>
      <c r="FOV13" s="554"/>
      <c r="FOW13" s="554"/>
      <c r="FOX13" s="554"/>
      <c r="FOY13" s="554"/>
      <c r="FOZ13" s="554"/>
      <c r="FPA13" s="554"/>
      <c r="FPB13" s="554"/>
      <c r="FPC13" s="554"/>
      <c r="FPD13" s="554"/>
      <c r="FPE13" s="554"/>
      <c r="FPF13" s="554"/>
      <c r="FPG13" s="554"/>
      <c r="FPH13" s="554"/>
      <c r="FPI13" s="554"/>
      <c r="FPJ13" s="554"/>
      <c r="FPK13" s="554"/>
      <c r="FPL13" s="554"/>
      <c r="FPM13" s="554"/>
      <c r="FPN13" s="554"/>
      <c r="FPO13" s="554"/>
      <c r="FPP13" s="554"/>
      <c r="FPQ13" s="554"/>
      <c r="FPR13" s="554"/>
      <c r="FPS13" s="554"/>
      <c r="FPT13" s="554"/>
      <c r="FPU13" s="554"/>
      <c r="FPV13" s="554"/>
      <c r="FPW13" s="554"/>
      <c r="FPX13" s="554"/>
      <c r="FPY13" s="554"/>
      <c r="FPZ13" s="554"/>
      <c r="FQA13" s="554"/>
      <c r="FQB13" s="554"/>
      <c r="FQC13" s="554"/>
      <c r="FQD13" s="554"/>
      <c r="FQE13" s="554"/>
      <c r="FQF13" s="554"/>
      <c r="FQG13" s="554"/>
      <c r="FQH13" s="554"/>
      <c r="FQI13" s="554"/>
      <c r="FQJ13" s="554"/>
      <c r="FQK13" s="554"/>
      <c r="FQL13" s="554"/>
      <c r="FQM13" s="554"/>
      <c r="FQN13" s="554"/>
      <c r="FQO13" s="554"/>
      <c r="FQP13" s="554"/>
      <c r="FQQ13" s="554"/>
      <c r="FQR13" s="554"/>
      <c r="FQS13" s="554"/>
      <c r="FQT13" s="554"/>
      <c r="FQU13" s="554"/>
      <c r="FQV13" s="554"/>
      <c r="FQW13" s="554"/>
      <c r="FQX13" s="554"/>
      <c r="FQY13" s="554"/>
      <c r="FQZ13" s="554"/>
      <c r="FRA13" s="554"/>
      <c r="FRB13" s="554"/>
      <c r="FRC13" s="554"/>
      <c r="FRD13" s="554"/>
      <c r="FRE13" s="554"/>
      <c r="FRF13" s="554"/>
      <c r="FRG13" s="554"/>
      <c r="FRH13" s="554"/>
      <c r="FRI13" s="554"/>
      <c r="FRJ13" s="554"/>
      <c r="FRK13" s="554"/>
      <c r="FRL13" s="554"/>
      <c r="FRM13" s="554"/>
      <c r="FRN13" s="554"/>
      <c r="FRO13" s="554"/>
      <c r="FRP13" s="554"/>
      <c r="FRQ13" s="554"/>
      <c r="FRR13" s="554"/>
      <c r="FRS13" s="554"/>
      <c r="FRT13" s="554"/>
      <c r="FRU13" s="554"/>
      <c r="FRV13" s="554"/>
      <c r="FRW13" s="554"/>
      <c r="FRX13" s="554"/>
      <c r="FRY13" s="554"/>
      <c r="FRZ13" s="554"/>
      <c r="FSA13" s="554"/>
      <c r="FSB13" s="554"/>
      <c r="FSC13" s="554"/>
      <c r="FSD13" s="554"/>
      <c r="FSE13" s="554"/>
      <c r="FSF13" s="554"/>
      <c r="FSG13" s="554"/>
      <c r="FSH13" s="554"/>
      <c r="FSI13" s="554"/>
      <c r="FSJ13" s="554"/>
      <c r="FSK13" s="554"/>
      <c r="FSL13" s="554"/>
      <c r="FSM13" s="554"/>
      <c r="FSN13" s="554"/>
      <c r="FSO13" s="554"/>
      <c r="FSP13" s="554"/>
      <c r="FSQ13" s="554"/>
      <c r="FSR13" s="554"/>
      <c r="FSS13" s="554"/>
      <c r="FST13" s="554"/>
      <c r="FSU13" s="554"/>
      <c r="FSV13" s="554"/>
      <c r="FSW13" s="554"/>
      <c r="FSX13" s="554"/>
      <c r="FSY13" s="554"/>
      <c r="FSZ13" s="554"/>
      <c r="FTA13" s="554"/>
      <c r="FTB13" s="554"/>
      <c r="FTC13" s="554"/>
      <c r="FTD13" s="554"/>
      <c r="FTE13" s="554"/>
      <c r="FTF13" s="554"/>
      <c r="FTG13" s="554"/>
      <c r="FTH13" s="554"/>
      <c r="FTI13" s="554"/>
      <c r="FTJ13" s="554"/>
      <c r="FTK13" s="554"/>
      <c r="FTL13" s="554"/>
      <c r="FTM13" s="554"/>
      <c r="FTN13" s="554"/>
      <c r="FTO13" s="554"/>
      <c r="FTP13" s="554"/>
      <c r="FTQ13" s="554"/>
      <c r="FTR13" s="554"/>
      <c r="FTS13" s="554"/>
      <c r="FTT13" s="554"/>
      <c r="FTU13" s="554"/>
      <c r="FTV13" s="554"/>
      <c r="FTW13" s="554"/>
      <c r="FTX13" s="554"/>
      <c r="FTY13" s="554"/>
      <c r="FTZ13" s="554"/>
      <c r="FUA13" s="554"/>
      <c r="FUB13" s="554"/>
      <c r="FUC13" s="554"/>
      <c r="FUD13" s="554"/>
      <c r="FUE13" s="554"/>
      <c r="FUF13" s="554"/>
      <c r="FUG13" s="554"/>
      <c r="FUH13" s="554"/>
      <c r="FUI13" s="554"/>
      <c r="FUJ13" s="554"/>
      <c r="FUK13" s="554"/>
      <c r="FUL13" s="554"/>
      <c r="FUM13" s="554"/>
      <c r="FUN13" s="554"/>
      <c r="FUO13" s="554"/>
      <c r="FUP13" s="554"/>
      <c r="FUQ13" s="554"/>
      <c r="FUR13" s="554"/>
      <c r="FUS13" s="554"/>
      <c r="FUT13" s="554"/>
      <c r="FUU13" s="554"/>
      <c r="FUV13" s="554"/>
      <c r="FUW13" s="554"/>
      <c r="FUX13" s="554"/>
      <c r="FUY13" s="554"/>
      <c r="FUZ13" s="554"/>
      <c r="FVA13" s="554"/>
      <c r="FVB13" s="554"/>
      <c r="FVC13" s="554"/>
      <c r="FVD13" s="554"/>
      <c r="FVE13" s="554"/>
      <c r="FVF13" s="554"/>
      <c r="FVG13" s="554"/>
      <c r="FVH13" s="554"/>
      <c r="FVI13" s="554"/>
      <c r="FVJ13" s="554"/>
      <c r="FVK13" s="554"/>
      <c r="FVL13" s="554"/>
      <c r="FVM13" s="554"/>
      <c r="FVN13" s="554"/>
      <c r="FVO13" s="554"/>
      <c r="FVP13" s="554"/>
      <c r="FVQ13" s="554"/>
      <c r="FVR13" s="554"/>
      <c r="FVS13" s="554"/>
      <c r="FVT13" s="554"/>
      <c r="FVU13" s="554"/>
      <c r="FVV13" s="554"/>
      <c r="FVW13" s="554"/>
      <c r="FVX13" s="554"/>
      <c r="FVY13" s="554"/>
      <c r="FVZ13" s="554"/>
      <c r="FWA13" s="554"/>
      <c r="FWB13" s="554"/>
      <c r="FWC13" s="554"/>
      <c r="FWD13" s="554"/>
      <c r="FWE13" s="554"/>
      <c r="FWF13" s="554"/>
      <c r="FWG13" s="554"/>
      <c r="FWH13" s="554"/>
      <c r="FWI13" s="554"/>
      <c r="FWJ13" s="554"/>
      <c r="FWK13" s="554"/>
      <c r="FWL13" s="554"/>
      <c r="FWM13" s="554"/>
      <c r="FWN13" s="554"/>
      <c r="FWO13" s="554"/>
      <c r="FWP13" s="554"/>
      <c r="FWQ13" s="554"/>
      <c r="FWR13" s="554"/>
      <c r="FWS13" s="554"/>
      <c r="FWT13" s="554"/>
      <c r="FWU13" s="554"/>
      <c r="FWV13" s="554"/>
      <c r="FWW13" s="554"/>
      <c r="FWX13" s="554"/>
      <c r="FWY13" s="554"/>
      <c r="FWZ13" s="554"/>
      <c r="FXA13" s="554"/>
      <c r="FXB13" s="554"/>
      <c r="FXC13" s="554"/>
      <c r="FXD13" s="554"/>
      <c r="FXE13" s="554"/>
      <c r="FXF13" s="554"/>
      <c r="FXG13" s="554"/>
      <c r="FXH13" s="554"/>
      <c r="FXI13" s="554"/>
      <c r="FXJ13" s="554"/>
      <c r="FXK13" s="554"/>
      <c r="FXL13" s="554"/>
      <c r="FXM13" s="554"/>
      <c r="FXN13" s="554"/>
      <c r="FXO13" s="554"/>
      <c r="FXP13" s="554"/>
      <c r="FXQ13" s="554"/>
      <c r="FXR13" s="554"/>
      <c r="FXS13" s="554"/>
      <c r="FXT13" s="554"/>
      <c r="FXU13" s="554"/>
      <c r="FXV13" s="554"/>
      <c r="FXW13" s="554"/>
      <c r="FXX13" s="554"/>
      <c r="FXY13" s="554"/>
      <c r="FXZ13" s="554"/>
      <c r="FYA13" s="554"/>
      <c r="FYB13" s="554"/>
      <c r="FYC13" s="554"/>
      <c r="FYD13" s="554"/>
      <c r="FYE13" s="554"/>
      <c r="FYF13" s="554"/>
      <c r="FYG13" s="554"/>
      <c r="FYH13" s="554"/>
      <c r="FYI13" s="554"/>
      <c r="FYJ13" s="554"/>
      <c r="FYK13" s="554"/>
      <c r="FYL13" s="554"/>
      <c r="FYM13" s="554"/>
      <c r="FYN13" s="554"/>
      <c r="FYO13" s="554"/>
      <c r="FYP13" s="554"/>
      <c r="FYQ13" s="554"/>
      <c r="FYR13" s="554"/>
      <c r="FYS13" s="554"/>
      <c r="FYT13" s="554"/>
      <c r="FYU13" s="554"/>
      <c r="FYV13" s="554"/>
      <c r="FYW13" s="554"/>
      <c r="FYX13" s="554"/>
      <c r="FYY13" s="554"/>
      <c r="FYZ13" s="554"/>
      <c r="FZA13" s="554"/>
      <c r="FZB13" s="554"/>
      <c r="FZC13" s="554"/>
      <c r="FZD13" s="554"/>
      <c r="FZE13" s="554"/>
      <c r="FZF13" s="554"/>
      <c r="FZG13" s="554"/>
      <c r="FZH13" s="554"/>
      <c r="FZI13" s="554"/>
      <c r="FZJ13" s="554"/>
      <c r="FZK13" s="554"/>
      <c r="FZL13" s="554"/>
      <c r="FZM13" s="554"/>
      <c r="FZN13" s="554"/>
      <c r="FZO13" s="554"/>
      <c r="FZP13" s="554"/>
      <c r="FZQ13" s="554"/>
      <c r="FZR13" s="554"/>
      <c r="FZS13" s="554"/>
      <c r="FZT13" s="554"/>
      <c r="FZU13" s="554"/>
      <c r="FZV13" s="554"/>
      <c r="FZW13" s="554"/>
      <c r="FZX13" s="554"/>
      <c r="FZY13" s="554"/>
      <c r="FZZ13" s="554"/>
      <c r="GAA13" s="554"/>
      <c r="GAB13" s="554"/>
      <c r="GAC13" s="554"/>
      <c r="GAD13" s="554"/>
      <c r="GAE13" s="554"/>
      <c r="GAF13" s="554"/>
      <c r="GAG13" s="554"/>
      <c r="GAH13" s="554"/>
      <c r="GAI13" s="554"/>
      <c r="GAJ13" s="554"/>
      <c r="GAK13" s="554"/>
      <c r="GAL13" s="554"/>
      <c r="GAM13" s="554"/>
      <c r="GAN13" s="554"/>
      <c r="GAO13" s="554"/>
      <c r="GAP13" s="554"/>
      <c r="GAQ13" s="554"/>
      <c r="GAR13" s="554"/>
      <c r="GAS13" s="554"/>
      <c r="GAT13" s="554"/>
      <c r="GAU13" s="554"/>
      <c r="GAV13" s="554"/>
      <c r="GAW13" s="554"/>
      <c r="GAX13" s="554"/>
      <c r="GAY13" s="554"/>
      <c r="GAZ13" s="554"/>
      <c r="GBA13" s="554"/>
      <c r="GBB13" s="554"/>
      <c r="GBC13" s="554"/>
      <c r="GBD13" s="554"/>
      <c r="GBE13" s="554"/>
      <c r="GBF13" s="554"/>
      <c r="GBG13" s="554"/>
      <c r="GBH13" s="554"/>
      <c r="GBI13" s="554"/>
      <c r="GBJ13" s="554"/>
      <c r="GBK13" s="554"/>
      <c r="GBL13" s="554"/>
      <c r="GBM13" s="554"/>
      <c r="GBN13" s="554"/>
      <c r="GBO13" s="554"/>
      <c r="GBP13" s="554"/>
      <c r="GBQ13" s="554"/>
      <c r="GBR13" s="554"/>
      <c r="GBS13" s="554"/>
      <c r="GBT13" s="554"/>
      <c r="GBU13" s="554"/>
      <c r="GBV13" s="554"/>
      <c r="GBW13" s="554"/>
      <c r="GBX13" s="554"/>
      <c r="GBY13" s="554"/>
      <c r="GBZ13" s="554"/>
      <c r="GCA13" s="554"/>
      <c r="GCB13" s="554"/>
      <c r="GCC13" s="554"/>
      <c r="GCD13" s="554"/>
      <c r="GCE13" s="554"/>
      <c r="GCF13" s="554"/>
      <c r="GCG13" s="554"/>
      <c r="GCH13" s="554"/>
      <c r="GCI13" s="554"/>
      <c r="GCJ13" s="554"/>
      <c r="GCK13" s="554"/>
      <c r="GCL13" s="554"/>
      <c r="GCM13" s="554"/>
      <c r="GCN13" s="554"/>
      <c r="GCO13" s="554"/>
      <c r="GCP13" s="554"/>
      <c r="GCQ13" s="554"/>
      <c r="GCR13" s="554"/>
      <c r="GCS13" s="554"/>
      <c r="GCT13" s="554"/>
      <c r="GCU13" s="554"/>
      <c r="GCV13" s="554"/>
      <c r="GCW13" s="554"/>
      <c r="GCX13" s="554"/>
      <c r="GCY13" s="554"/>
      <c r="GCZ13" s="554"/>
      <c r="GDA13" s="554"/>
      <c r="GDB13" s="554"/>
      <c r="GDC13" s="554"/>
      <c r="GDD13" s="554"/>
      <c r="GDE13" s="554"/>
      <c r="GDF13" s="554"/>
      <c r="GDG13" s="554"/>
      <c r="GDH13" s="554"/>
      <c r="GDI13" s="554"/>
      <c r="GDJ13" s="554"/>
      <c r="GDK13" s="554"/>
      <c r="GDL13" s="554"/>
      <c r="GDM13" s="554"/>
      <c r="GDN13" s="554"/>
      <c r="GDO13" s="554"/>
      <c r="GDP13" s="554"/>
      <c r="GDQ13" s="554"/>
      <c r="GDR13" s="554"/>
      <c r="GDS13" s="554"/>
      <c r="GDT13" s="554"/>
      <c r="GDU13" s="554"/>
      <c r="GDV13" s="554"/>
      <c r="GDW13" s="554"/>
      <c r="GDX13" s="554"/>
      <c r="GDY13" s="554"/>
      <c r="GDZ13" s="554"/>
      <c r="GEA13" s="554"/>
      <c r="GEB13" s="554"/>
      <c r="GEC13" s="554"/>
      <c r="GED13" s="554"/>
      <c r="GEE13" s="554"/>
      <c r="GEF13" s="554"/>
      <c r="GEG13" s="554"/>
      <c r="GEH13" s="554"/>
      <c r="GEI13" s="554"/>
      <c r="GEJ13" s="554"/>
      <c r="GEK13" s="554"/>
      <c r="GEL13" s="554"/>
      <c r="GEM13" s="554"/>
      <c r="GEN13" s="554"/>
      <c r="GEO13" s="554"/>
      <c r="GEP13" s="554"/>
      <c r="GEQ13" s="554"/>
      <c r="GER13" s="554"/>
      <c r="GES13" s="554"/>
      <c r="GET13" s="554"/>
      <c r="GEU13" s="554"/>
      <c r="GEV13" s="554"/>
      <c r="GEW13" s="554"/>
      <c r="GEX13" s="554"/>
      <c r="GEY13" s="554"/>
      <c r="GEZ13" s="554"/>
      <c r="GFA13" s="554"/>
      <c r="GFB13" s="554"/>
      <c r="GFC13" s="554"/>
      <c r="GFD13" s="554"/>
      <c r="GFE13" s="554"/>
      <c r="GFF13" s="554"/>
      <c r="GFG13" s="554"/>
      <c r="GFH13" s="554"/>
      <c r="GFI13" s="554"/>
      <c r="GFJ13" s="554"/>
      <c r="GFK13" s="554"/>
      <c r="GFL13" s="554"/>
      <c r="GFM13" s="554"/>
      <c r="GFN13" s="554"/>
      <c r="GFO13" s="554"/>
      <c r="GFP13" s="554"/>
      <c r="GFQ13" s="554"/>
      <c r="GFR13" s="554"/>
      <c r="GFS13" s="554"/>
      <c r="GFT13" s="554"/>
      <c r="GFU13" s="554"/>
      <c r="GFV13" s="554"/>
      <c r="GFW13" s="554"/>
      <c r="GFX13" s="554"/>
      <c r="GFY13" s="554"/>
      <c r="GFZ13" s="554"/>
      <c r="GGA13" s="554"/>
      <c r="GGB13" s="554"/>
      <c r="GGC13" s="554"/>
      <c r="GGD13" s="554"/>
      <c r="GGE13" s="554"/>
      <c r="GGF13" s="554"/>
      <c r="GGG13" s="554"/>
      <c r="GGH13" s="554"/>
      <c r="GGI13" s="554"/>
      <c r="GGJ13" s="554"/>
      <c r="GGK13" s="554"/>
      <c r="GGL13" s="554"/>
      <c r="GGM13" s="554"/>
      <c r="GGN13" s="554"/>
      <c r="GGO13" s="554"/>
      <c r="GGP13" s="554"/>
      <c r="GGQ13" s="554"/>
      <c r="GGR13" s="554"/>
      <c r="GGS13" s="554"/>
      <c r="GGT13" s="554"/>
      <c r="GGU13" s="554"/>
      <c r="GGV13" s="554"/>
      <c r="GGW13" s="554"/>
      <c r="GGX13" s="554"/>
      <c r="GGY13" s="554"/>
      <c r="GGZ13" s="554"/>
      <c r="GHA13" s="554"/>
      <c r="GHB13" s="554"/>
      <c r="GHC13" s="554"/>
      <c r="GHD13" s="554"/>
      <c r="GHE13" s="554"/>
      <c r="GHF13" s="554"/>
      <c r="GHG13" s="554"/>
      <c r="GHH13" s="554"/>
      <c r="GHI13" s="554"/>
      <c r="GHJ13" s="554"/>
      <c r="GHK13" s="554"/>
      <c r="GHL13" s="554"/>
      <c r="GHM13" s="554"/>
      <c r="GHN13" s="554"/>
      <c r="GHO13" s="554"/>
      <c r="GHP13" s="554"/>
      <c r="GHQ13" s="554"/>
      <c r="GHR13" s="554"/>
      <c r="GHS13" s="554"/>
      <c r="GHT13" s="554"/>
      <c r="GHU13" s="554"/>
      <c r="GHV13" s="554"/>
      <c r="GHW13" s="554"/>
      <c r="GHX13" s="554"/>
      <c r="GHY13" s="554"/>
      <c r="GHZ13" s="554"/>
      <c r="GIA13" s="554"/>
      <c r="GIB13" s="554"/>
      <c r="GIC13" s="554"/>
      <c r="GID13" s="554"/>
      <c r="GIE13" s="554"/>
      <c r="GIF13" s="554"/>
      <c r="GIG13" s="554"/>
      <c r="GIH13" s="554"/>
      <c r="GII13" s="554"/>
      <c r="GIJ13" s="554"/>
      <c r="GIK13" s="554"/>
      <c r="GIL13" s="554"/>
      <c r="GIM13" s="554"/>
      <c r="GIN13" s="554"/>
      <c r="GIO13" s="554"/>
      <c r="GIP13" s="554"/>
      <c r="GIQ13" s="554"/>
      <c r="GIR13" s="554"/>
      <c r="GIS13" s="554"/>
      <c r="GIT13" s="554"/>
      <c r="GIU13" s="554"/>
      <c r="GIV13" s="554"/>
      <c r="GIW13" s="554"/>
      <c r="GIX13" s="554"/>
      <c r="GIY13" s="554"/>
      <c r="GIZ13" s="554"/>
      <c r="GJA13" s="554"/>
      <c r="GJB13" s="554"/>
      <c r="GJC13" s="554"/>
      <c r="GJD13" s="554"/>
      <c r="GJE13" s="554"/>
      <c r="GJF13" s="554"/>
      <c r="GJG13" s="554"/>
      <c r="GJH13" s="554"/>
      <c r="GJI13" s="554"/>
      <c r="GJJ13" s="554"/>
      <c r="GJK13" s="554"/>
      <c r="GJL13" s="554"/>
      <c r="GJM13" s="554"/>
      <c r="GJN13" s="554"/>
      <c r="GJO13" s="554"/>
      <c r="GJP13" s="554"/>
      <c r="GJQ13" s="554"/>
      <c r="GJR13" s="554"/>
      <c r="GJS13" s="554"/>
      <c r="GJT13" s="554"/>
      <c r="GJU13" s="554"/>
      <c r="GJV13" s="554"/>
      <c r="GJW13" s="554"/>
      <c r="GJX13" s="554"/>
      <c r="GJY13" s="554"/>
      <c r="GJZ13" s="554"/>
      <c r="GKA13" s="554"/>
      <c r="GKB13" s="554"/>
      <c r="GKC13" s="554"/>
      <c r="GKD13" s="554"/>
      <c r="GKE13" s="554"/>
      <c r="GKF13" s="554"/>
      <c r="GKG13" s="554"/>
      <c r="GKH13" s="554"/>
      <c r="GKI13" s="554"/>
      <c r="GKJ13" s="554"/>
      <c r="GKK13" s="554"/>
      <c r="GKL13" s="554"/>
      <c r="GKM13" s="554"/>
      <c r="GKN13" s="554"/>
      <c r="GKO13" s="554"/>
      <c r="GKP13" s="554"/>
      <c r="GKQ13" s="554"/>
      <c r="GKR13" s="554"/>
      <c r="GKS13" s="554"/>
      <c r="GKT13" s="554"/>
      <c r="GKU13" s="554"/>
      <c r="GKV13" s="554"/>
      <c r="GKW13" s="554"/>
      <c r="GKX13" s="554"/>
      <c r="GKY13" s="554"/>
      <c r="GKZ13" s="554"/>
      <c r="GLA13" s="554"/>
      <c r="GLB13" s="554"/>
      <c r="GLC13" s="554"/>
      <c r="GLD13" s="554"/>
      <c r="GLE13" s="554"/>
      <c r="GLF13" s="554"/>
      <c r="GLG13" s="554"/>
      <c r="GLH13" s="554"/>
      <c r="GLI13" s="554"/>
      <c r="GLJ13" s="554"/>
      <c r="GLK13" s="554"/>
      <c r="GLL13" s="554"/>
      <c r="GLM13" s="554"/>
      <c r="GLN13" s="554"/>
      <c r="GLO13" s="554"/>
      <c r="GLP13" s="554"/>
      <c r="GLQ13" s="554"/>
      <c r="GLR13" s="554"/>
      <c r="GLS13" s="554"/>
      <c r="GLT13" s="554"/>
      <c r="GLU13" s="554"/>
      <c r="GLV13" s="554"/>
      <c r="GLW13" s="554"/>
      <c r="GLX13" s="554"/>
      <c r="GLY13" s="554"/>
      <c r="GLZ13" s="554"/>
      <c r="GMA13" s="554"/>
      <c r="GMB13" s="554"/>
      <c r="GMC13" s="554"/>
      <c r="GMD13" s="554"/>
      <c r="GME13" s="554"/>
      <c r="GMF13" s="554"/>
      <c r="GMG13" s="554"/>
      <c r="GMH13" s="554"/>
      <c r="GMI13" s="554"/>
      <c r="GMJ13" s="554"/>
      <c r="GMK13" s="554"/>
      <c r="GML13" s="554"/>
      <c r="GMM13" s="554"/>
      <c r="GMN13" s="554"/>
      <c r="GMO13" s="554"/>
      <c r="GMP13" s="554"/>
      <c r="GMQ13" s="554"/>
      <c r="GMR13" s="554"/>
      <c r="GMS13" s="554"/>
      <c r="GMT13" s="554"/>
      <c r="GMU13" s="554"/>
      <c r="GMV13" s="554"/>
      <c r="GMW13" s="554"/>
      <c r="GMX13" s="554"/>
      <c r="GMY13" s="554"/>
      <c r="GMZ13" s="554"/>
      <c r="GNA13" s="554"/>
      <c r="GNB13" s="554"/>
      <c r="GNC13" s="554"/>
      <c r="GND13" s="554"/>
      <c r="GNE13" s="554"/>
      <c r="GNF13" s="554"/>
      <c r="GNG13" s="554"/>
      <c r="GNH13" s="554"/>
      <c r="GNI13" s="554"/>
      <c r="GNJ13" s="554"/>
      <c r="GNK13" s="554"/>
      <c r="GNL13" s="554"/>
      <c r="GNM13" s="554"/>
      <c r="GNN13" s="554"/>
      <c r="GNO13" s="554"/>
      <c r="GNP13" s="554"/>
      <c r="GNQ13" s="554"/>
      <c r="GNR13" s="554"/>
      <c r="GNS13" s="554"/>
      <c r="GNT13" s="554"/>
      <c r="GNU13" s="554"/>
      <c r="GNV13" s="554"/>
      <c r="GNW13" s="554"/>
      <c r="GNX13" s="554"/>
      <c r="GNY13" s="554"/>
      <c r="GNZ13" s="554"/>
      <c r="GOA13" s="554"/>
      <c r="GOB13" s="554"/>
      <c r="GOC13" s="554"/>
      <c r="GOD13" s="554"/>
      <c r="GOE13" s="554"/>
      <c r="GOF13" s="554"/>
      <c r="GOG13" s="554"/>
      <c r="GOH13" s="554"/>
      <c r="GOI13" s="554"/>
      <c r="GOJ13" s="554"/>
      <c r="GOK13" s="554"/>
      <c r="GOL13" s="554"/>
      <c r="GOM13" s="554"/>
      <c r="GON13" s="554"/>
      <c r="GOO13" s="554"/>
      <c r="GOP13" s="554"/>
      <c r="GOQ13" s="554"/>
      <c r="GOR13" s="554"/>
      <c r="GOS13" s="554"/>
      <c r="GOT13" s="554"/>
      <c r="GOU13" s="554"/>
      <c r="GOV13" s="554"/>
      <c r="GOW13" s="554"/>
      <c r="GOX13" s="554"/>
      <c r="GOY13" s="554"/>
      <c r="GOZ13" s="554"/>
      <c r="GPA13" s="554"/>
      <c r="GPB13" s="554"/>
      <c r="GPC13" s="554"/>
      <c r="GPD13" s="554"/>
      <c r="GPE13" s="554"/>
      <c r="GPF13" s="554"/>
      <c r="GPG13" s="554"/>
      <c r="GPH13" s="554"/>
      <c r="GPI13" s="554"/>
      <c r="GPJ13" s="554"/>
      <c r="GPK13" s="554"/>
      <c r="GPL13" s="554"/>
      <c r="GPM13" s="554"/>
      <c r="GPN13" s="554"/>
      <c r="GPO13" s="554"/>
      <c r="GPP13" s="554"/>
      <c r="GPQ13" s="554"/>
      <c r="GPR13" s="554"/>
      <c r="GPS13" s="554"/>
      <c r="GPT13" s="554"/>
      <c r="GPU13" s="554"/>
      <c r="GPV13" s="554"/>
      <c r="GPW13" s="554"/>
      <c r="GPX13" s="554"/>
      <c r="GPY13" s="554"/>
      <c r="GPZ13" s="554"/>
      <c r="GQA13" s="554"/>
      <c r="GQB13" s="554"/>
      <c r="GQC13" s="554"/>
      <c r="GQD13" s="554"/>
      <c r="GQE13" s="554"/>
      <c r="GQF13" s="554"/>
      <c r="GQG13" s="554"/>
      <c r="GQH13" s="554"/>
      <c r="GQI13" s="554"/>
      <c r="GQJ13" s="554"/>
      <c r="GQK13" s="554"/>
      <c r="GQL13" s="554"/>
      <c r="GQM13" s="554"/>
      <c r="GQN13" s="554"/>
      <c r="GQO13" s="554"/>
      <c r="GQP13" s="554"/>
      <c r="GQQ13" s="554"/>
      <c r="GQR13" s="554"/>
      <c r="GQS13" s="554"/>
      <c r="GQT13" s="554"/>
      <c r="GQU13" s="554"/>
      <c r="GQV13" s="554"/>
      <c r="GQW13" s="554"/>
      <c r="GQX13" s="554"/>
      <c r="GQY13" s="554"/>
      <c r="GQZ13" s="554"/>
      <c r="GRA13" s="554"/>
      <c r="GRB13" s="554"/>
      <c r="GRC13" s="554"/>
      <c r="GRD13" s="554"/>
      <c r="GRE13" s="554"/>
      <c r="GRF13" s="554"/>
      <c r="GRG13" s="554"/>
      <c r="GRH13" s="554"/>
      <c r="GRI13" s="554"/>
      <c r="GRJ13" s="554"/>
      <c r="GRK13" s="554"/>
      <c r="GRL13" s="554"/>
      <c r="GRM13" s="554"/>
      <c r="GRN13" s="554"/>
      <c r="GRO13" s="554"/>
      <c r="GRP13" s="554"/>
      <c r="GRQ13" s="554"/>
      <c r="GRR13" s="554"/>
      <c r="GRS13" s="554"/>
      <c r="GRT13" s="554"/>
      <c r="GRU13" s="554"/>
      <c r="GRV13" s="554"/>
      <c r="GRW13" s="554"/>
      <c r="GRX13" s="554"/>
      <c r="GRY13" s="554"/>
      <c r="GRZ13" s="554"/>
      <c r="GSA13" s="554"/>
      <c r="GSB13" s="554"/>
      <c r="GSC13" s="554"/>
      <c r="GSD13" s="554"/>
      <c r="GSE13" s="554"/>
      <c r="GSF13" s="554"/>
      <c r="GSG13" s="554"/>
      <c r="GSH13" s="554"/>
      <c r="GSI13" s="554"/>
      <c r="GSJ13" s="554"/>
      <c r="GSK13" s="554"/>
      <c r="GSL13" s="554"/>
      <c r="GSM13" s="554"/>
      <c r="GSN13" s="554"/>
      <c r="GSO13" s="554"/>
      <c r="GSP13" s="554"/>
      <c r="GSQ13" s="554"/>
      <c r="GSR13" s="554"/>
      <c r="GSS13" s="554"/>
      <c r="GST13" s="554"/>
      <c r="GSU13" s="554"/>
      <c r="GSV13" s="554"/>
      <c r="GSW13" s="554"/>
      <c r="GSX13" s="554"/>
      <c r="GSY13" s="554"/>
      <c r="GSZ13" s="554"/>
      <c r="GTA13" s="554"/>
      <c r="GTB13" s="554"/>
      <c r="GTC13" s="554"/>
      <c r="GTD13" s="554"/>
      <c r="GTE13" s="554"/>
      <c r="GTF13" s="554"/>
      <c r="GTG13" s="554"/>
      <c r="GTH13" s="554"/>
      <c r="GTI13" s="554"/>
      <c r="GTJ13" s="554"/>
      <c r="GTK13" s="554"/>
      <c r="GTL13" s="554"/>
      <c r="GTM13" s="554"/>
      <c r="GTN13" s="554"/>
      <c r="GTO13" s="554"/>
      <c r="GTP13" s="554"/>
      <c r="GTQ13" s="554"/>
      <c r="GTR13" s="554"/>
      <c r="GTS13" s="554"/>
      <c r="GTT13" s="554"/>
      <c r="GTU13" s="554"/>
      <c r="GTV13" s="554"/>
      <c r="GTW13" s="554"/>
      <c r="GTX13" s="554"/>
      <c r="GTY13" s="554"/>
      <c r="GTZ13" s="554"/>
      <c r="GUA13" s="554"/>
      <c r="GUB13" s="554"/>
      <c r="GUC13" s="554"/>
      <c r="GUD13" s="554"/>
      <c r="GUE13" s="554"/>
      <c r="GUF13" s="554"/>
      <c r="GUG13" s="554"/>
      <c r="GUH13" s="554"/>
      <c r="GUI13" s="554"/>
      <c r="GUJ13" s="554"/>
      <c r="GUK13" s="554"/>
      <c r="GUL13" s="554"/>
      <c r="GUM13" s="554"/>
      <c r="GUN13" s="554"/>
      <c r="GUO13" s="554"/>
      <c r="GUP13" s="554"/>
      <c r="GUQ13" s="554"/>
      <c r="GUR13" s="554"/>
      <c r="GUS13" s="554"/>
      <c r="GUT13" s="554"/>
      <c r="GUU13" s="554"/>
      <c r="GUV13" s="554"/>
      <c r="GUW13" s="554"/>
      <c r="GUX13" s="554"/>
      <c r="GUY13" s="554"/>
      <c r="GUZ13" s="554"/>
      <c r="GVA13" s="554"/>
      <c r="GVB13" s="554"/>
      <c r="GVC13" s="554"/>
      <c r="GVD13" s="554"/>
      <c r="GVE13" s="554"/>
      <c r="GVF13" s="554"/>
      <c r="GVG13" s="554"/>
      <c r="GVH13" s="554"/>
      <c r="GVI13" s="554"/>
      <c r="GVJ13" s="554"/>
      <c r="GVK13" s="554"/>
      <c r="GVL13" s="554"/>
      <c r="GVM13" s="554"/>
      <c r="GVN13" s="554"/>
      <c r="GVO13" s="554"/>
      <c r="GVP13" s="554"/>
      <c r="GVQ13" s="554"/>
      <c r="GVR13" s="554"/>
      <c r="GVS13" s="554"/>
      <c r="GVT13" s="554"/>
      <c r="GVU13" s="554"/>
      <c r="GVV13" s="554"/>
      <c r="GVW13" s="554"/>
      <c r="GVX13" s="554"/>
      <c r="GVY13" s="554"/>
      <c r="GVZ13" s="554"/>
      <c r="GWA13" s="554"/>
      <c r="GWB13" s="554"/>
      <c r="GWC13" s="554"/>
      <c r="GWD13" s="554"/>
      <c r="GWE13" s="554"/>
      <c r="GWF13" s="554"/>
      <c r="GWG13" s="554"/>
      <c r="GWH13" s="554"/>
      <c r="GWI13" s="554"/>
      <c r="GWJ13" s="554"/>
      <c r="GWK13" s="554"/>
      <c r="GWL13" s="554"/>
      <c r="GWM13" s="554"/>
      <c r="GWN13" s="554"/>
      <c r="GWO13" s="554"/>
      <c r="GWP13" s="554"/>
      <c r="GWQ13" s="554"/>
      <c r="GWR13" s="554"/>
      <c r="GWS13" s="554"/>
      <c r="GWT13" s="554"/>
      <c r="GWU13" s="554"/>
      <c r="GWV13" s="554"/>
      <c r="GWW13" s="554"/>
      <c r="GWX13" s="554"/>
      <c r="GWY13" s="554"/>
      <c r="GWZ13" s="554"/>
      <c r="GXA13" s="554"/>
      <c r="GXB13" s="554"/>
      <c r="GXC13" s="554"/>
      <c r="GXD13" s="554"/>
      <c r="GXE13" s="554"/>
      <c r="GXF13" s="554"/>
      <c r="GXG13" s="554"/>
      <c r="GXH13" s="554"/>
      <c r="GXI13" s="554"/>
      <c r="GXJ13" s="554"/>
      <c r="GXK13" s="554"/>
      <c r="GXL13" s="554"/>
      <c r="GXM13" s="554"/>
      <c r="GXN13" s="554"/>
      <c r="GXO13" s="554"/>
      <c r="GXP13" s="554"/>
      <c r="GXQ13" s="554"/>
      <c r="GXR13" s="554"/>
      <c r="GXS13" s="554"/>
      <c r="GXT13" s="554"/>
      <c r="GXU13" s="554"/>
      <c r="GXV13" s="554"/>
      <c r="GXW13" s="554"/>
      <c r="GXX13" s="554"/>
      <c r="GXY13" s="554"/>
      <c r="GXZ13" s="554"/>
      <c r="GYA13" s="554"/>
      <c r="GYB13" s="554"/>
      <c r="GYC13" s="554"/>
      <c r="GYD13" s="554"/>
      <c r="GYE13" s="554"/>
      <c r="GYF13" s="554"/>
      <c r="GYG13" s="554"/>
      <c r="GYH13" s="554"/>
      <c r="GYI13" s="554"/>
      <c r="GYJ13" s="554"/>
      <c r="GYK13" s="554"/>
      <c r="GYL13" s="554"/>
      <c r="GYM13" s="554"/>
      <c r="GYN13" s="554"/>
      <c r="GYO13" s="554"/>
      <c r="GYP13" s="554"/>
      <c r="GYQ13" s="554"/>
      <c r="GYR13" s="554"/>
      <c r="GYS13" s="554"/>
      <c r="GYT13" s="554"/>
      <c r="GYU13" s="554"/>
      <c r="GYV13" s="554"/>
      <c r="GYW13" s="554"/>
      <c r="GYX13" s="554"/>
      <c r="GYY13" s="554"/>
      <c r="GYZ13" s="554"/>
      <c r="GZA13" s="554"/>
      <c r="GZB13" s="554"/>
      <c r="GZC13" s="554"/>
      <c r="GZD13" s="554"/>
      <c r="GZE13" s="554"/>
      <c r="GZF13" s="554"/>
      <c r="GZG13" s="554"/>
      <c r="GZH13" s="554"/>
      <c r="GZI13" s="554"/>
      <c r="GZJ13" s="554"/>
      <c r="GZK13" s="554"/>
      <c r="GZL13" s="554"/>
      <c r="GZM13" s="554"/>
      <c r="GZN13" s="554"/>
      <c r="GZO13" s="554"/>
      <c r="GZP13" s="554"/>
      <c r="GZQ13" s="554"/>
      <c r="GZR13" s="554"/>
      <c r="GZS13" s="554"/>
      <c r="GZT13" s="554"/>
      <c r="GZU13" s="554"/>
      <c r="GZV13" s="554"/>
      <c r="GZW13" s="554"/>
      <c r="GZX13" s="554"/>
      <c r="GZY13" s="554"/>
      <c r="GZZ13" s="554"/>
      <c r="HAA13" s="554"/>
      <c r="HAB13" s="554"/>
      <c r="HAC13" s="554"/>
      <c r="HAD13" s="554"/>
      <c r="HAE13" s="554"/>
      <c r="HAF13" s="554"/>
      <c r="HAG13" s="554"/>
      <c r="HAH13" s="554"/>
      <c r="HAI13" s="554"/>
      <c r="HAJ13" s="554"/>
      <c r="HAK13" s="554"/>
      <c r="HAL13" s="554"/>
      <c r="HAM13" s="554"/>
      <c r="HAN13" s="554"/>
      <c r="HAO13" s="554"/>
      <c r="HAP13" s="554"/>
      <c r="HAQ13" s="554"/>
      <c r="HAR13" s="554"/>
      <c r="HAS13" s="554"/>
      <c r="HAT13" s="554"/>
      <c r="HAU13" s="554"/>
      <c r="HAV13" s="554"/>
      <c r="HAW13" s="554"/>
      <c r="HAX13" s="554"/>
      <c r="HAY13" s="554"/>
      <c r="HAZ13" s="554"/>
      <c r="HBA13" s="554"/>
      <c r="HBB13" s="554"/>
      <c r="HBC13" s="554"/>
      <c r="HBD13" s="554"/>
      <c r="HBE13" s="554"/>
      <c r="HBF13" s="554"/>
      <c r="HBG13" s="554"/>
      <c r="HBH13" s="554"/>
      <c r="HBI13" s="554"/>
      <c r="HBJ13" s="554"/>
      <c r="HBK13" s="554"/>
      <c r="HBL13" s="554"/>
      <c r="HBM13" s="554"/>
      <c r="HBN13" s="554"/>
      <c r="HBO13" s="554"/>
      <c r="HBP13" s="554"/>
      <c r="HBQ13" s="554"/>
      <c r="HBR13" s="554"/>
      <c r="HBS13" s="554"/>
      <c r="HBT13" s="554"/>
      <c r="HBU13" s="554"/>
      <c r="HBV13" s="554"/>
      <c r="HBW13" s="554"/>
      <c r="HBX13" s="554"/>
      <c r="HBY13" s="554"/>
      <c r="HBZ13" s="554"/>
      <c r="HCA13" s="554"/>
      <c r="HCB13" s="554"/>
      <c r="HCC13" s="554"/>
      <c r="HCD13" s="554"/>
      <c r="HCE13" s="554"/>
      <c r="HCF13" s="554"/>
      <c r="HCG13" s="554"/>
      <c r="HCH13" s="554"/>
      <c r="HCI13" s="554"/>
      <c r="HCJ13" s="554"/>
      <c r="HCK13" s="554"/>
      <c r="HCL13" s="554"/>
      <c r="HCM13" s="554"/>
      <c r="HCN13" s="554"/>
      <c r="HCO13" s="554"/>
      <c r="HCP13" s="554"/>
      <c r="HCQ13" s="554"/>
      <c r="HCR13" s="554"/>
      <c r="HCS13" s="554"/>
      <c r="HCT13" s="554"/>
      <c r="HCU13" s="554"/>
      <c r="HCV13" s="554"/>
      <c r="HCW13" s="554"/>
      <c r="HCX13" s="554"/>
      <c r="HCY13" s="554"/>
      <c r="HCZ13" s="554"/>
      <c r="HDA13" s="554"/>
      <c r="HDB13" s="554"/>
      <c r="HDC13" s="554"/>
      <c r="HDD13" s="554"/>
      <c r="HDE13" s="554"/>
      <c r="HDF13" s="554"/>
      <c r="HDG13" s="554"/>
      <c r="HDH13" s="554"/>
      <c r="HDI13" s="554"/>
      <c r="HDJ13" s="554"/>
      <c r="HDK13" s="554"/>
      <c r="HDL13" s="554"/>
      <c r="HDM13" s="554"/>
      <c r="HDN13" s="554"/>
      <c r="HDO13" s="554"/>
      <c r="HDP13" s="554"/>
      <c r="HDQ13" s="554"/>
      <c r="HDR13" s="554"/>
      <c r="HDS13" s="554"/>
      <c r="HDT13" s="554"/>
      <c r="HDU13" s="554"/>
      <c r="HDV13" s="554"/>
      <c r="HDW13" s="554"/>
      <c r="HDX13" s="554"/>
      <c r="HDY13" s="554"/>
      <c r="HDZ13" s="554"/>
      <c r="HEA13" s="554"/>
      <c r="HEB13" s="554"/>
      <c r="HEC13" s="554"/>
      <c r="HED13" s="554"/>
      <c r="HEE13" s="554"/>
      <c r="HEF13" s="554"/>
      <c r="HEG13" s="554"/>
      <c r="HEH13" s="554"/>
      <c r="HEI13" s="554"/>
      <c r="HEJ13" s="554"/>
      <c r="HEK13" s="554"/>
      <c r="HEL13" s="554"/>
      <c r="HEM13" s="554"/>
      <c r="HEN13" s="554"/>
      <c r="HEO13" s="554"/>
      <c r="HEP13" s="554"/>
      <c r="HEQ13" s="554"/>
      <c r="HER13" s="554"/>
      <c r="HES13" s="554"/>
      <c r="HET13" s="554"/>
      <c r="HEU13" s="554"/>
      <c r="HEV13" s="554"/>
      <c r="HEW13" s="554"/>
      <c r="HEX13" s="554"/>
      <c r="HEY13" s="554"/>
      <c r="HEZ13" s="554"/>
      <c r="HFA13" s="554"/>
      <c r="HFB13" s="554"/>
      <c r="HFC13" s="554"/>
      <c r="HFD13" s="554"/>
      <c r="HFE13" s="554"/>
      <c r="HFF13" s="554"/>
      <c r="HFG13" s="554"/>
      <c r="HFH13" s="554"/>
      <c r="HFI13" s="554"/>
      <c r="HFJ13" s="554"/>
      <c r="HFK13" s="554"/>
      <c r="HFL13" s="554"/>
      <c r="HFM13" s="554"/>
      <c r="HFN13" s="554"/>
      <c r="HFO13" s="554"/>
      <c r="HFP13" s="554"/>
      <c r="HFQ13" s="554"/>
      <c r="HFR13" s="554"/>
      <c r="HFS13" s="554"/>
      <c r="HFT13" s="554"/>
      <c r="HFU13" s="554"/>
      <c r="HFV13" s="554"/>
      <c r="HFW13" s="554"/>
      <c r="HFX13" s="554"/>
      <c r="HFY13" s="554"/>
      <c r="HFZ13" s="554"/>
      <c r="HGA13" s="554"/>
      <c r="HGB13" s="554"/>
      <c r="HGC13" s="554"/>
      <c r="HGD13" s="554"/>
      <c r="HGE13" s="554"/>
      <c r="HGF13" s="554"/>
      <c r="HGG13" s="554"/>
      <c r="HGH13" s="554"/>
      <c r="HGI13" s="554"/>
      <c r="HGJ13" s="554"/>
      <c r="HGK13" s="554"/>
      <c r="HGL13" s="554"/>
      <c r="HGM13" s="554"/>
      <c r="HGN13" s="554"/>
      <c r="HGO13" s="554"/>
      <c r="HGP13" s="554"/>
      <c r="HGQ13" s="554"/>
      <c r="HGR13" s="554"/>
      <c r="HGS13" s="554"/>
      <c r="HGT13" s="554"/>
      <c r="HGU13" s="554"/>
      <c r="HGV13" s="554"/>
      <c r="HGW13" s="554"/>
      <c r="HGX13" s="554"/>
      <c r="HGY13" s="554"/>
      <c r="HGZ13" s="554"/>
      <c r="HHA13" s="554"/>
      <c r="HHB13" s="554"/>
      <c r="HHC13" s="554"/>
      <c r="HHD13" s="554"/>
      <c r="HHE13" s="554"/>
      <c r="HHF13" s="554"/>
      <c r="HHG13" s="554"/>
      <c r="HHH13" s="554"/>
      <c r="HHI13" s="554"/>
      <c r="HHJ13" s="554"/>
      <c r="HHK13" s="554"/>
      <c r="HHL13" s="554"/>
      <c r="HHM13" s="554"/>
      <c r="HHN13" s="554"/>
      <c r="HHO13" s="554"/>
      <c r="HHP13" s="554"/>
      <c r="HHQ13" s="554"/>
      <c r="HHR13" s="554"/>
      <c r="HHS13" s="554"/>
      <c r="HHT13" s="554"/>
      <c r="HHU13" s="554"/>
      <c r="HHV13" s="554"/>
      <c r="HHW13" s="554"/>
      <c r="HHX13" s="554"/>
      <c r="HHY13" s="554"/>
      <c r="HHZ13" s="554"/>
      <c r="HIA13" s="554"/>
      <c r="HIB13" s="554"/>
      <c r="HIC13" s="554"/>
      <c r="HID13" s="554"/>
      <c r="HIE13" s="554"/>
      <c r="HIF13" s="554"/>
      <c r="HIG13" s="554"/>
      <c r="HIH13" s="554"/>
      <c r="HII13" s="554"/>
      <c r="HIJ13" s="554"/>
      <c r="HIK13" s="554"/>
      <c r="HIL13" s="554"/>
      <c r="HIM13" s="554"/>
      <c r="HIN13" s="554"/>
      <c r="HIO13" s="554"/>
      <c r="HIP13" s="554"/>
      <c r="HIQ13" s="554"/>
      <c r="HIR13" s="554"/>
      <c r="HIS13" s="554"/>
      <c r="HIT13" s="554"/>
      <c r="HIU13" s="554"/>
      <c r="HIV13" s="554"/>
      <c r="HIW13" s="554"/>
      <c r="HIX13" s="554"/>
      <c r="HIY13" s="554"/>
      <c r="HIZ13" s="554"/>
      <c r="HJA13" s="554"/>
      <c r="HJB13" s="554"/>
      <c r="HJC13" s="554"/>
      <c r="HJD13" s="554"/>
      <c r="HJE13" s="554"/>
      <c r="HJF13" s="554"/>
      <c r="HJG13" s="554"/>
      <c r="HJH13" s="554"/>
      <c r="HJI13" s="554"/>
      <c r="HJJ13" s="554"/>
      <c r="HJK13" s="554"/>
      <c r="HJL13" s="554"/>
      <c r="HJM13" s="554"/>
      <c r="HJN13" s="554"/>
      <c r="HJO13" s="554"/>
      <c r="HJP13" s="554"/>
      <c r="HJQ13" s="554"/>
      <c r="HJR13" s="554"/>
      <c r="HJS13" s="554"/>
      <c r="HJT13" s="554"/>
      <c r="HJU13" s="554"/>
      <c r="HJV13" s="554"/>
      <c r="HJW13" s="554"/>
      <c r="HJX13" s="554"/>
      <c r="HJY13" s="554"/>
      <c r="HJZ13" s="554"/>
      <c r="HKA13" s="554"/>
      <c r="HKB13" s="554"/>
      <c r="HKC13" s="554"/>
      <c r="HKD13" s="554"/>
      <c r="HKE13" s="554"/>
      <c r="HKF13" s="554"/>
      <c r="HKG13" s="554"/>
      <c r="HKH13" s="554"/>
      <c r="HKI13" s="554"/>
      <c r="HKJ13" s="554"/>
      <c r="HKK13" s="554"/>
      <c r="HKL13" s="554"/>
      <c r="HKM13" s="554"/>
      <c r="HKN13" s="554"/>
      <c r="HKO13" s="554"/>
      <c r="HKP13" s="554"/>
      <c r="HKQ13" s="554"/>
      <c r="HKR13" s="554"/>
      <c r="HKS13" s="554"/>
      <c r="HKT13" s="554"/>
      <c r="HKU13" s="554"/>
      <c r="HKV13" s="554"/>
      <c r="HKW13" s="554"/>
      <c r="HKX13" s="554"/>
      <c r="HKY13" s="554"/>
      <c r="HKZ13" s="554"/>
      <c r="HLA13" s="554"/>
      <c r="HLB13" s="554"/>
      <c r="HLC13" s="554"/>
      <c r="HLD13" s="554"/>
      <c r="HLE13" s="554"/>
      <c r="HLF13" s="554"/>
      <c r="HLG13" s="554"/>
      <c r="HLH13" s="554"/>
      <c r="HLI13" s="554"/>
      <c r="HLJ13" s="554"/>
      <c r="HLK13" s="554"/>
      <c r="HLL13" s="554"/>
      <c r="HLM13" s="554"/>
      <c r="HLN13" s="554"/>
      <c r="HLO13" s="554"/>
      <c r="HLP13" s="554"/>
      <c r="HLQ13" s="554"/>
      <c r="HLR13" s="554"/>
      <c r="HLS13" s="554"/>
      <c r="HLT13" s="554"/>
      <c r="HLU13" s="554"/>
      <c r="HLV13" s="554"/>
      <c r="HLW13" s="554"/>
      <c r="HLX13" s="554"/>
      <c r="HLY13" s="554"/>
      <c r="HLZ13" s="554"/>
      <c r="HMA13" s="554"/>
      <c r="HMB13" s="554"/>
      <c r="HMC13" s="554"/>
      <c r="HMD13" s="554"/>
      <c r="HME13" s="554"/>
      <c r="HMF13" s="554"/>
      <c r="HMG13" s="554"/>
      <c r="HMH13" s="554"/>
      <c r="HMI13" s="554"/>
      <c r="HMJ13" s="554"/>
      <c r="HMK13" s="554"/>
      <c r="HML13" s="554"/>
      <c r="HMM13" s="554"/>
      <c r="HMN13" s="554"/>
      <c r="HMO13" s="554"/>
      <c r="HMP13" s="554"/>
      <c r="HMQ13" s="554"/>
      <c r="HMR13" s="554"/>
      <c r="HMS13" s="554"/>
      <c r="HMT13" s="554"/>
      <c r="HMU13" s="554"/>
      <c r="HMV13" s="554"/>
      <c r="HMW13" s="554"/>
      <c r="HMX13" s="554"/>
      <c r="HMY13" s="554"/>
      <c r="HMZ13" s="554"/>
      <c r="HNA13" s="554"/>
      <c r="HNB13" s="554"/>
      <c r="HNC13" s="554"/>
      <c r="HND13" s="554"/>
      <c r="HNE13" s="554"/>
      <c r="HNF13" s="554"/>
      <c r="HNG13" s="554"/>
      <c r="HNH13" s="554"/>
      <c r="HNI13" s="554"/>
      <c r="HNJ13" s="554"/>
      <c r="HNK13" s="554"/>
      <c r="HNL13" s="554"/>
      <c r="HNM13" s="554"/>
      <c r="HNN13" s="554"/>
      <c r="HNO13" s="554"/>
      <c r="HNP13" s="554"/>
      <c r="HNQ13" s="554"/>
      <c r="HNR13" s="554"/>
      <c r="HNS13" s="554"/>
      <c r="HNT13" s="554"/>
      <c r="HNU13" s="554"/>
      <c r="HNV13" s="554"/>
      <c r="HNW13" s="554"/>
      <c r="HNX13" s="554"/>
      <c r="HNY13" s="554"/>
      <c r="HNZ13" s="554"/>
      <c r="HOA13" s="554"/>
      <c r="HOB13" s="554"/>
      <c r="HOC13" s="554"/>
      <c r="HOD13" s="554"/>
      <c r="HOE13" s="554"/>
      <c r="HOF13" s="554"/>
      <c r="HOG13" s="554"/>
      <c r="HOH13" s="554"/>
      <c r="HOI13" s="554"/>
      <c r="HOJ13" s="554"/>
      <c r="HOK13" s="554"/>
      <c r="HOL13" s="554"/>
      <c r="HOM13" s="554"/>
      <c r="HON13" s="554"/>
      <c r="HOO13" s="554"/>
      <c r="HOP13" s="554"/>
      <c r="HOQ13" s="554"/>
      <c r="HOR13" s="554"/>
      <c r="HOS13" s="554"/>
      <c r="HOT13" s="554"/>
      <c r="HOU13" s="554"/>
      <c r="HOV13" s="554"/>
      <c r="HOW13" s="554"/>
      <c r="HOX13" s="554"/>
      <c r="HOY13" s="554"/>
      <c r="HOZ13" s="554"/>
      <c r="HPA13" s="554"/>
      <c r="HPB13" s="554"/>
      <c r="HPC13" s="554"/>
      <c r="HPD13" s="554"/>
      <c r="HPE13" s="554"/>
      <c r="HPF13" s="554"/>
      <c r="HPG13" s="554"/>
      <c r="HPH13" s="554"/>
      <c r="HPI13" s="554"/>
      <c r="HPJ13" s="554"/>
      <c r="HPK13" s="554"/>
      <c r="HPL13" s="554"/>
      <c r="HPM13" s="554"/>
      <c r="HPN13" s="554"/>
      <c r="HPO13" s="554"/>
      <c r="HPP13" s="554"/>
      <c r="HPQ13" s="554"/>
      <c r="HPR13" s="554"/>
      <c r="HPS13" s="554"/>
      <c r="HPT13" s="554"/>
      <c r="HPU13" s="554"/>
      <c r="HPV13" s="554"/>
      <c r="HPW13" s="554"/>
      <c r="HPX13" s="554"/>
      <c r="HPY13" s="554"/>
      <c r="HPZ13" s="554"/>
      <c r="HQA13" s="554"/>
      <c r="HQB13" s="554"/>
      <c r="HQC13" s="554"/>
      <c r="HQD13" s="554"/>
      <c r="HQE13" s="554"/>
      <c r="HQF13" s="554"/>
      <c r="HQG13" s="554"/>
      <c r="HQH13" s="554"/>
      <c r="HQI13" s="554"/>
      <c r="HQJ13" s="554"/>
      <c r="HQK13" s="554"/>
      <c r="HQL13" s="554"/>
      <c r="HQM13" s="554"/>
      <c r="HQN13" s="554"/>
      <c r="HQO13" s="554"/>
      <c r="HQP13" s="554"/>
      <c r="HQQ13" s="554"/>
      <c r="HQR13" s="554"/>
      <c r="HQS13" s="554"/>
      <c r="HQT13" s="554"/>
      <c r="HQU13" s="554"/>
      <c r="HQV13" s="554"/>
      <c r="HQW13" s="554"/>
      <c r="HQX13" s="554"/>
      <c r="HQY13" s="554"/>
      <c r="HQZ13" s="554"/>
      <c r="HRA13" s="554"/>
      <c r="HRB13" s="554"/>
      <c r="HRC13" s="554"/>
      <c r="HRD13" s="554"/>
      <c r="HRE13" s="554"/>
      <c r="HRF13" s="554"/>
      <c r="HRG13" s="554"/>
      <c r="HRH13" s="554"/>
      <c r="HRI13" s="554"/>
      <c r="HRJ13" s="554"/>
      <c r="HRK13" s="554"/>
      <c r="HRL13" s="554"/>
      <c r="HRM13" s="554"/>
      <c r="HRN13" s="554"/>
      <c r="HRO13" s="554"/>
      <c r="HRP13" s="554"/>
      <c r="HRQ13" s="554"/>
      <c r="HRR13" s="554"/>
      <c r="HRS13" s="554"/>
      <c r="HRT13" s="554"/>
      <c r="HRU13" s="554"/>
      <c r="HRV13" s="554"/>
      <c r="HRW13" s="554"/>
      <c r="HRX13" s="554"/>
      <c r="HRY13" s="554"/>
      <c r="HRZ13" s="554"/>
      <c r="HSA13" s="554"/>
      <c r="HSB13" s="554"/>
      <c r="HSC13" s="554"/>
      <c r="HSD13" s="554"/>
      <c r="HSE13" s="554"/>
      <c r="HSF13" s="554"/>
      <c r="HSG13" s="554"/>
      <c r="HSH13" s="554"/>
      <c r="HSI13" s="554"/>
      <c r="HSJ13" s="554"/>
      <c r="HSK13" s="554"/>
      <c r="HSL13" s="554"/>
      <c r="HSM13" s="554"/>
      <c r="HSN13" s="554"/>
      <c r="HSO13" s="554"/>
      <c r="HSP13" s="554"/>
      <c r="HSQ13" s="554"/>
      <c r="HSR13" s="554"/>
      <c r="HSS13" s="554"/>
      <c r="HST13" s="554"/>
      <c r="HSU13" s="554"/>
      <c r="HSV13" s="554"/>
      <c r="HSW13" s="554"/>
      <c r="HSX13" s="554"/>
      <c r="HSY13" s="554"/>
      <c r="HSZ13" s="554"/>
      <c r="HTA13" s="554"/>
      <c r="HTB13" s="554"/>
      <c r="HTC13" s="554"/>
      <c r="HTD13" s="554"/>
      <c r="HTE13" s="554"/>
      <c r="HTF13" s="554"/>
      <c r="HTG13" s="554"/>
      <c r="HTH13" s="554"/>
      <c r="HTI13" s="554"/>
      <c r="HTJ13" s="554"/>
      <c r="HTK13" s="554"/>
      <c r="HTL13" s="554"/>
      <c r="HTM13" s="554"/>
      <c r="HTN13" s="554"/>
      <c r="HTO13" s="554"/>
      <c r="HTP13" s="554"/>
      <c r="HTQ13" s="554"/>
      <c r="HTR13" s="554"/>
      <c r="HTS13" s="554"/>
      <c r="HTT13" s="554"/>
      <c r="HTU13" s="554"/>
      <c r="HTV13" s="554"/>
      <c r="HTW13" s="554"/>
      <c r="HTX13" s="554"/>
      <c r="HTY13" s="554"/>
      <c r="HTZ13" s="554"/>
      <c r="HUA13" s="554"/>
      <c r="HUB13" s="554"/>
      <c r="HUC13" s="554"/>
      <c r="HUD13" s="554"/>
      <c r="HUE13" s="554"/>
      <c r="HUF13" s="554"/>
      <c r="HUG13" s="554"/>
      <c r="HUH13" s="554"/>
      <c r="HUI13" s="554"/>
      <c r="HUJ13" s="554"/>
      <c r="HUK13" s="554"/>
      <c r="HUL13" s="554"/>
      <c r="HUM13" s="554"/>
      <c r="HUN13" s="554"/>
      <c r="HUO13" s="554"/>
      <c r="HUP13" s="554"/>
      <c r="HUQ13" s="554"/>
      <c r="HUR13" s="554"/>
      <c r="HUS13" s="554"/>
      <c r="HUT13" s="554"/>
      <c r="HUU13" s="554"/>
      <c r="HUV13" s="554"/>
      <c r="HUW13" s="554"/>
      <c r="HUX13" s="554"/>
      <c r="HUY13" s="554"/>
      <c r="HUZ13" s="554"/>
      <c r="HVA13" s="554"/>
      <c r="HVB13" s="554"/>
      <c r="HVC13" s="554"/>
      <c r="HVD13" s="554"/>
      <c r="HVE13" s="554"/>
      <c r="HVF13" s="554"/>
      <c r="HVG13" s="554"/>
      <c r="HVH13" s="554"/>
      <c r="HVI13" s="554"/>
      <c r="HVJ13" s="554"/>
      <c r="HVK13" s="554"/>
      <c r="HVL13" s="554"/>
      <c r="HVM13" s="554"/>
      <c r="HVN13" s="554"/>
      <c r="HVO13" s="554"/>
      <c r="HVP13" s="554"/>
      <c r="HVQ13" s="554"/>
      <c r="HVR13" s="554"/>
      <c r="HVS13" s="554"/>
      <c r="HVT13" s="554"/>
      <c r="HVU13" s="554"/>
      <c r="HVV13" s="554"/>
      <c r="HVW13" s="554"/>
      <c r="HVX13" s="554"/>
      <c r="HVY13" s="554"/>
      <c r="HVZ13" s="554"/>
      <c r="HWA13" s="554"/>
      <c r="HWB13" s="554"/>
      <c r="HWC13" s="554"/>
      <c r="HWD13" s="554"/>
      <c r="HWE13" s="554"/>
      <c r="HWF13" s="554"/>
      <c r="HWG13" s="554"/>
      <c r="HWH13" s="554"/>
      <c r="HWI13" s="554"/>
      <c r="HWJ13" s="554"/>
      <c r="HWK13" s="554"/>
      <c r="HWL13" s="554"/>
      <c r="HWM13" s="554"/>
      <c r="HWN13" s="554"/>
      <c r="HWO13" s="554"/>
      <c r="HWP13" s="554"/>
      <c r="HWQ13" s="554"/>
      <c r="HWR13" s="554"/>
      <c r="HWS13" s="554"/>
      <c r="HWT13" s="554"/>
      <c r="HWU13" s="554"/>
      <c r="HWV13" s="554"/>
      <c r="HWW13" s="554"/>
      <c r="HWX13" s="554"/>
      <c r="HWY13" s="554"/>
      <c r="HWZ13" s="554"/>
      <c r="HXA13" s="554"/>
      <c r="HXB13" s="554"/>
      <c r="HXC13" s="554"/>
      <c r="HXD13" s="554"/>
      <c r="HXE13" s="554"/>
      <c r="HXF13" s="554"/>
      <c r="HXG13" s="554"/>
      <c r="HXH13" s="554"/>
      <c r="HXI13" s="554"/>
      <c r="HXJ13" s="554"/>
      <c r="HXK13" s="554"/>
      <c r="HXL13" s="554"/>
      <c r="HXM13" s="554"/>
      <c r="HXN13" s="554"/>
      <c r="HXO13" s="554"/>
      <c r="HXP13" s="554"/>
      <c r="HXQ13" s="554"/>
      <c r="HXR13" s="554"/>
      <c r="HXS13" s="554"/>
      <c r="HXT13" s="554"/>
      <c r="HXU13" s="554"/>
      <c r="HXV13" s="554"/>
      <c r="HXW13" s="554"/>
      <c r="HXX13" s="554"/>
      <c r="HXY13" s="554"/>
      <c r="HXZ13" s="554"/>
      <c r="HYA13" s="554"/>
      <c r="HYB13" s="554"/>
      <c r="HYC13" s="554"/>
      <c r="HYD13" s="554"/>
      <c r="HYE13" s="554"/>
      <c r="HYF13" s="554"/>
      <c r="HYG13" s="554"/>
      <c r="HYH13" s="554"/>
      <c r="HYI13" s="554"/>
      <c r="HYJ13" s="554"/>
      <c r="HYK13" s="554"/>
      <c r="HYL13" s="554"/>
      <c r="HYM13" s="554"/>
      <c r="HYN13" s="554"/>
      <c r="HYO13" s="554"/>
      <c r="HYP13" s="554"/>
      <c r="HYQ13" s="554"/>
      <c r="HYR13" s="554"/>
      <c r="HYS13" s="554"/>
      <c r="HYT13" s="554"/>
      <c r="HYU13" s="554"/>
      <c r="HYV13" s="554"/>
      <c r="HYW13" s="554"/>
      <c r="HYX13" s="554"/>
      <c r="HYY13" s="554"/>
      <c r="HYZ13" s="554"/>
      <c r="HZA13" s="554"/>
      <c r="HZB13" s="554"/>
      <c r="HZC13" s="554"/>
      <c r="HZD13" s="554"/>
      <c r="HZE13" s="554"/>
      <c r="HZF13" s="554"/>
      <c r="HZG13" s="554"/>
      <c r="HZH13" s="554"/>
      <c r="HZI13" s="554"/>
      <c r="HZJ13" s="554"/>
      <c r="HZK13" s="554"/>
      <c r="HZL13" s="554"/>
      <c r="HZM13" s="554"/>
      <c r="HZN13" s="554"/>
      <c r="HZO13" s="554"/>
      <c r="HZP13" s="554"/>
      <c r="HZQ13" s="554"/>
      <c r="HZR13" s="554"/>
      <c r="HZS13" s="554"/>
      <c r="HZT13" s="554"/>
      <c r="HZU13" s="554"/>
      <c r="HZV13" s="554"/>
      <c r="HZW13" s="554"/>
      <c r="HZX13" s="554"/>
      <c r="HZY13" s="554"/>
      <c r="HZZ13" s="554"/>
      <c r="IAA13" s="554"/>
      <c r="IAB13" s="554"/>
      <c r="IAC13" s="554"/>
      <c r="IAD13" s="554"/>
      <c r="IAE13" s="554"/>
      <c r="IAF13" s="554"/>
      <c r="IAG13" s="554"/>
      <c r="IAH13" s="554"/>
      <c r="IAI13" s="554"/>
      <c r="IAJ13" s="554"/>
      <c r="IAK13" s="554"/>
      <c r="IAL13" s="554"/>
      <c r="IAM13" s="554"/>
      <c r="IAN13" s="554"/>
      <c r="IAO13" s="554"/>
      <c r="IAP13" s="554"/>
      <c r="IAQ13" s="554"/>
      <c r="IAR13" s="554"/>
      <c r="IAS13" s="554"/>
      <c r="IAT13" s="554"/>
      <c r="IAU13" s="554"/>
      <c r="IAV13" s="554"/>
      <c r="IAW13" s="554"/>
      <c r="IAX13" s="554"/>
      <c r="IAY13" s="554"/>
      <c r="IAZ13" s="554"/>
      <c r="IBA13" s="554"/>
      <c r="IBB13" s="554"/>
      <c r="IBC13" s="554"/>
      <c r="IBD13" s="554"/>
      <c r="IBE13" s="554"/>
      <c r="IBF13" s="554"/>
      <c r="IBG13" s="554"/>
      <c r="IBH13" s="554"/>
      <c r="IBI13" s="554"/>
      <c r="IBJ13" s="554"/>
      <c r="IBK13" s="554"/>
      <c r="IBL13" s="554"/>
      <c r="IBM13" s="554"/>
      <c r="IBN13" s="554"/>
      <c r="IBO13" s="554"/>
      <c r="IBP13" s="554"/>
      <c r="IBQ13" s="554"/>
      <c r="IBR13" s="554"/>
      <c r="IBS13" s="554"/>
      <c r="IBT13" s="554"/>
      <c r="IBU13" s="554"/>
      <c r="IBV13" s="554"/>
      <c r="IBW13" s="554"/>
      <c r="IBX13" s="554"/>
      <c r="IBY13" s="554"/>
      <c r="IBZ13" s="554"/>
      <c r="ICA13" s="554"/>
      <c r="ICB13" s="554"/>
      <c r="ICC13" s="554"/>
      <c r="ICD13" s="554"/>
      <c r="ICE13" s="554"/>
      <c r="ICF13" s="554"/>
      <c r="ICG13" s="554"/>
      <c r="ICH13" s="554"/>
      <c r="ICI13" s="554"/>
      <c r="ICJ13" s="554"/>
      <c r="ICK13" s="554"/>
      <c r="ICL13" s="554"/>
      <c r="ICM13" s="554"/>
      <c r="ICN13" s="554"/>
      <c r="ICO13" s="554"/>
      <c r="ICP13" s="554"/>
      <c r="ICQ13" s="554"/>
      <c r="ICR13" s="554"/>
      <c r="ICS13" s="554"/>
      <c r="ICT13" s="554"/>
      <c r="ICU13" s="554"/>
      <c r="ICV13" s="554"/>
      <c r="ICW13" s="554"/>
      <c r="ICX13" s="554"/>
      <c r="ICY13" s="554"/>
      <c r="ICZ13" s="554"/>
      <c r="IDA13" s="554"/>
      <c r="IDB13" s="554"/>
      <c r="IDC13" s="554"/>
      <c r="IDD13" s="554"/>
      <c r="IDE13" s="554"/>
      <c r="IDF13" s="554"/>
      <c r="IDG13" s="554"/>
      <c r="IDH13" s="554"/>
      <c r="IDI13" s="554"/>
      <c r="IDJ13" s="554"/>
      <c r="IDK13" s="554"/>
      <c r="IDL13" s="554"/>
      <c r="IDM13" s="554"/>
      <c r="IDN13" s="554"/>
      <c r="IDO13" s="554"/>
      <c r="IDP13" s="554"/>
      <c r="IDQ13" s="554"/>
      <c r="IDR13" s="554"/>
      <c r="IDS13" s="554"/>
      <c r="IDT13" s="554"/>
      <c r="IDU13" s="554"/>
      <c r="IDV13" s="554"/>
      <c r="IDW13" s="554"/>
      <c r="IDX13" s="554"/>
      <c r="IDY13" s="554"/>
      <c r="IDZ13" s="554"/>
      <c r="IEA13" s="554"/>
      <c r="IEB13" s="554"/>
      <c r="IEC13" s="554"/>
      <c r="IED13" s="554"/>
      <c r="IEE13" s="554"/>
      <c r="IEF13" s="554"/>
      <c r="IEG13" s="554"/>
      <c r="IEH13" s="554"/>
      <c r="IEI13" s="554"/>
      <c r="IEJ13" s="554"/>
      <c r="IEK13" s="554"/>
      <c r="IEL13" s="554"/>
      <c r="IEM13" s="554"/>
      <c r="IEN13" s="554"/>
      <c r="IEO13" s="554"/>
      <c r="IEP13" s="554"/>
      <c r="IEQ13" s="554"/>
      <c r="IER13" s="554"/>
      <c r="IES13" s="554"/>
      <c r="IET13" s="554"/>
      <c r="IEU13" s="554"/>
      <c r="IEV13" s="554"/>
      <c r="IEW13" s="554"/>
      <c r="IEX13" s="554"/>
      <c r="IEY13" s="554"/>
      <c r="IEZ13" s="554"/>
      <c r="IFA13" s="554"/>
      <c r="IFB13" s="554"/>
      <c r="IFC13" s="554"/>
      <c r="IFD13" s="554"/>
      <c r="IFE13" s="554"/>
      <c r="IFF13" s="554"/>
      <c r="IFG13" s="554"/>
      <c r="IFH13" s="554"/>
      <c r="IFI13" s="554"/>
      <c r="IFJ13" s="554"/>
      <c r="IFK13" s="554"/>
      <c r="IFL13" s="554"/>
      <c r="IFM13" s="554"/>
      <c r="IFN13" s="554"/>
      <c r="IFO13" s="554"/>
      <c r="IFP13" s="554"/>
      <c r="IFQ13" s="554"/>
      <c r="IFR13" s="554"/>
      <c r="IFS13" s="554"/>
      <c r="IFT13" s="554"/>
      <c r="IFU13" s="554"/>
      <c r="IFV13" s="554"/>
      <c r="IFW13" s="554"/>
      <c r="IFX13" s="554"/>
      <c r="IFY13" s="554"/>
      <c r="IFZ13" s="554"/>
      <c r="IGA13" s="554"/>
      <c r="IGB13" s="554"/>
      <c r="IGC13" s="554"/>
      <c r="IGD13" s="554"/>
      <c r="IGE13" s="554"/>
      <c r="IGF13" s="554"/>
      <c r="IGG13" s="554"/>
      <c r="IGH13" s="554"/>
      <c r="IGI13" s="554"/>
      <c r="IGJ13" s="554"/>
      <c r="IGK13" s="554"/>
      <c r="IGL13" s="554"/>
      <c r="IGM13" s="554"/>
      <c r="IGN13" s="554"/>
      <c r="IGO13" s="554"/>
      <c r="IGP13" s="554"/>
      <c r="IGQ13" s="554"/>
      <c r="IGR13" s="554"/>
      <c r="IGS13" s="554"/>
      <c r="IGT13" s="554"/>
      <c r="IGU13" s="554"/>
      <c r="IGV13" s="554"/>
      <c r="IGW13" s="554"/>
      <c r="IGX13" s="554"/>
      <c r="IGY13" s="554"/>
      <c r="IGZ13" s="554"/>
      <c r="IHA13" s="554"/>
      <c r="IHB13" s="554"/>
      <c r="IHC13" s="554"/>
      <c r="IHD13" s="554"/>
      <c r="IHE13" s="554"/>
      <c r="IHF13" s="554"/>
      <c r="IHG13" s="554"/>
      <c r="IHH13" s="554"/>
      <c r="IHI13" s="554"/>
      <c r="IHJ13" s="554"/>
      <c r="IHK13" s="554"/>
      <c r="IHL13" s="554"/>
      <c r="IHM13" s="554"/>
      <c r="IHN13" s="554"/>
      <c r="IHO13" s="554"/>
      <c r="IHP13" s="554"/>
      <c r="IHQ13" s="554"/>
      <c r="IHR13" s="554"/>
      <c r="IHS13" s="554"/>
      <c r="IHT13" s="554"/>
      <c r="IHU13" s="554"/>
      <c r="IHV13" s="554"/>
      <c r="IHW13" s="554"/>
      <c r="IHX13" s="554"/>
      <c r="IHY13" s="554"/>
      <c r="IHZ13" s="554"/>
      <c r="IIA13" s="554"/>
      <c r="IIB13" s="554"/>
      <c r="IIC13" s="554"/>
      <c r="IID13" s="554"/>
      <c r="IIE13" s="554"/>
      <c r="IIF13" s="554"/>
      <c r="IIG13" s="554"/>
      <c r="IIH13" s="554"/>
      <c r="III13" s="554"/>
      <c r="IIJ13" s="554"/>
      <c r="IIK13" s="554"/>
      <c r="IIL13" s="554"/>
      <c r="IIM13" s="554"/>
      <c r="IIN13" s="554"/>
      <c r="IIO13" s="554"/>
      <c r="IIP13" s="554"/>
      <c r="IIQ13" s="554"/>
      <c r="IIR13" s="554"/>
      <c r="IIS13" s="554"/>
      <c r="IIT13" s="554"/>
      <c r="IIU13" s="554"/>
      <c r="IIV13" s="554"/>
      <c r="IIW13" s="554"/>
      <c r="IIX13" s="554"/>
      <c r="IIY13" s="554"/>
      <c r="IIZ13" s="554"/>
      <c r="IJA13" s="554"/>
      <c r="IJB13" s="554"/>
      <c r="IJC13" s="554"/>
      <c r="IJD13" s="554"/>
      <c r="IJE13" s="554"/>
      <c r="IJF13" s="554"/>
      <c r="IJG13" s="554"/>
      <c r="IJH13" s="554"/>
      <c r="IJI13" s="554"/>
      <c r="IJJ13" s="554"/>
      <c r="IJK13" s="554"/>
      <c r="IJL13" s="554"/>
      <c r="IJM13" s="554"/>
      <c r="IJN13" s="554"/>
      <c r="IJO13" s="554"/>
      <c r="IJP13" s="554"/>
      <c r="IJQ13" s="554"/>
      <c r="IJR13" s="554"/>
      <c r="IJS13" s="554"/>
      <c r="IJT13" s="554"/>
      <c r="IJU13" s="554"/>
      <c r="IJV13" s="554"/>
      <c r="IJW13" s="554"/>
      <c r="IJX13" s="554"/>
      <c r="IJY13" s="554"/>
      <c r="IJZ13" s="554"/>
      <c r="IKA13" s="554"/>
      <c r="IKB13" s="554"/>
      <c r="IKC13" s="554"/>
      <c r="IKD13" s="554"/>
      <c r="IKE13" s="554"/>
      <c r="IKF13" s="554"/>
      <c r="IKG13" s="554"/>
      <c r="IKH13" s="554"/>
      <c r="IKI13" s="554"/>
      <c r="IKJ13" s="554"/>
      <c r="IKK13" s="554"/>
      <c r="IKL13" s="554"/>
      <c r="IKM13" s="554"/>
      <c r="IKN13" s="554"/>
      <c r="IKO13" s="554"/>
      <c r="IKP13" s="554"/>
      <c r="IKQ13" s="554"/>
      <c r="IKR13" s="554"/>
      <c r="IKS13" s="554"/>
      <c r="IKT13" s="554"/>
      <c r="IKU13" s="554"/>
      <c r="IKV13" s="554"/>
      <c r="IKW13" s="554"/>
      <c r="IKX13" s="554"/>
      <c r="IKY13" s="554"/>
      <c r="IKZ13" s="554"/>
      <c r="ILA13" s="554"/>
      <c r="ILB13" s="554"/>
      <c r="ILC13" s="554"/>
      <c r="ILD13" s="554"/>
      <c r="ILE13" s="554"/>
      <c r="ILF13" s="554"/>
      <c r="ILG13" s="554"/>
      <c r="ILH13" s="554"/>
      <c r="ILI13" s="554"/>
      <c r="ILJ13" s="554"/>
      <c r="ILK13" s="554"/>
      <c r="ILL13" s="554"/>
      <c r="ILM13" s="554"/>
      <c r="ILN13" s="554"/>
      <c r="ILO13" s="554"/>
      <c r="ILP13" s="554"/>
      <c r="ILQ13" s="554"/>
      <c r="ILR13" s="554"/>
      <c r="ILS13" s="554"/>
      <c r="ILT13" s="554"/>
      <c r="ILU13" s="554"/>
      <c r="ILV13" s="554"/>
      <c r="ILW13" s="554"/>
      <c r="ILX13" s="554"/>
      <c r="ILY13" s="554"/>
      <c r="ILZ13" s="554"/>
      <c r="IMA13" s="554"/>
      <c r="IMB13" s="554"/>
      <c r="IMC13" s="554"/>
      <c r="IMD13" s="554"/>
      <c r="IME13" s="554"/>
      <c r="IMF13" s="554"/>
      <c r="IMG13" s="554"/>
      <c r="IMH13" s="554"/>
      <c r="IMI13" s="554"/>
      <c r="IMJ13" s="554"/>
      <c r="IMK13" s="554"/>
      <c r="IML13" s="554"/>
      <c r="IMM13" s="554"/>
      <c r="IMN13" s="554"/>
      <c r="IMO13" s="554"/>
      <c r="IMP13" s="554"/>
      <c r="IMQ13" s="554"/>
      <c r="IMR13" s="554"/>
      <c r="IMS13" s="554"/>
      <c r="IMT13" s="554"/>
      <c r="IMU13" s="554"/>
      <c r="IMV13" s="554"/>
      <c r="IMW13" s="554"/>
      <c r="IMX13" s="554"/>
      <c r="IMY13" s="554"/>
      <c r="IMZ13" s="554"/>
      <c r="INA13" s="554"/>
      <c r="INB13" s="554"/>
      <c r="INC13" s="554"/>
      <c r="IND13" s="554"/>
      <c r="INE13" s="554"/>
      <c r="INF13" s="554"/>
      <c r="ING13" s="554"/>
      <c r="INH13" s="554"/>
      <c r="INI13" s="554"/>
      <c r="INJ13" s="554"/>
      <c r="INK13" s="554"/>
      <c r="INL13" s="554"/>
      <c r="INM13" s="554"/>
      <c r="INN13" s="554"/>
      <c r="INO13" s="554"/>
      <c r="INP13" s="554"/>
      <c r="INQ13" s="554"/>
      <c r="INR13" s="554"/>
      <c r="INS13" s="554"/>
      <c r="INT13" s="554"/>
      <c r="INU13" s="554"/>
      <c r="INV13" s="554"/>
      <c r="INW13" s="554"/>
      <c r="INX13" s="554"/>
      <c r="INY13" s="554"/>
      <c r="INZ13" s="554"/>
      <c r="IOA13" s="554"/>
      <c r="IOB13" s="554"/>
      <c r="IOC13" s="554"/>
      <c r="IOD13" s="554"/>
      <c r="IOE13" s="554"/>
      <c r="IOF13" s="554"/>
      <c r="IOG13" s="554"/>
      <c r="IOH13" s="554"/>
      <c r="IOI13" s="554"/>
      <c r="IOJ13" s="554"/>
      <c r="IOK13" s="554"/>
      <c r="IOL13" s="554"/>
      <c r="IOM13" s="554"/>
      <c r="ION13" s="554"/>
      <c r="IOO13" s="554"/>
      <c r="IOP13" s="554"/>
      <c r="IOQ13" s="554"/>
      <c r="IOR13" s="554"/>
      <c r="IOS13" s="554"/>
      <c r="IOT13" s="554"/>
      <c r="IOU13" s="554"/>
      <c r="IOV13" s="554"/>
      <c r="IOW13" s="554"/>
      <c r="IOX13" s="554"/>
      <c r="IOY13" s="554"/>
      <c r="IOZ13" s="554"/>
      <c r="IPA13" s="554"/>
      <c r="IPB13" s="554"/>
      <c r="IPC13" s="554"/>
      <c r="IPD13" s="554"/>
      <c r="IPE13" s="554"/>
      <c r="IPF13" s="554"/>
      <c r="IPG13" s="554"/>
      <c r="IPH13" s="554"/>
      <c r="IPI13" s="554"/>
      <c r="IPJ13" s="554"/>
      <c r="IPK13" s="554"/>
      <c r="IPL13" s="554"/>
      <c r="IPM13" s="554"/>
      <c r="IPN13" s="554"/>
      <c r="IPO13" s="554"/>
      <c r="IPP13" s="554"/>
      <c r="IPQ13" s="554"/>
      <c r="IPR13" s="554"/>
      <c r="IPS13" s="554"/>
      <c r="IPT13" s="554"/>
      <c r="IPU13" s="554"/>
      <c r="IPV13" s="554"/>
      <c r="IPW13" s="554"/>
      <c r="IPX13" s="554"/>
      <c r="IPY13" s="554"/>
      <c r="IPZ13" s="554"/>
      <c r="IQA13" s="554"/>
      <c r="IQB13" s="554"/>
      <c r="IQC13" s="554"/>
      <c r="IQD13" s="554"/>
      <c r="IQE13" s="554"/>
      <c r="IQF13" s="554"/>
      <c r="IQG13" s="554"/>
      <c r="IQH13" s="554"/>
      <c r="IQI13" s="554"/>
      <c r="IQJ13" s="554"/>
      <c r="IQK13" s="554"/>
      <c r="IQL13" s="554"/>
      <c r="IQM13" s="554"/>
      <c r="IQN13" s="554"/>
      <c r="IQO13" s="554"/>
      <c r="IQP13" s="554"/>
      <c r="IQQ13" s="554"/>
      <c r="IQR13" s="554"/>
      <c r="IQS13" s="554"/>
      <c r="IQT13" s="554"/>
      <c r="IQU13" s="554"/>
      <c r="IQV13" s="554"/>
      <c r="IQW13" s="554"/>
      <c r="IQX13" s="554"/>
      <c r="IQY13" s="554"/>
      <c r="IQZ13" s="554"/>
      <c r="IRA13" s="554"/>
      <c r="IRB13" s="554"/>
      <c r="IRC13" s="554"/>
      <c r="IRD13" s="554"/>
      <c r="IRE13" s="554"/>
      <c r="IRF13" s="554"/>
      <c r="IRG13" s="554"/>
      <c r="IRH13" s="554"/>
      <c r="IRI13" s="554"/>
      <c r="IRJ13" s="554"/>
      <c r="IRK13" s="554"/>
      <c r="IRL13" s="554"/>
      <c r="IRM13" s="554"/>
      <c r="IRN13" s="554"/>
      <c r="IRO13" s="554"/>
      <c r="IRP13" s="554"/>
      <c r="IRQ13" s="554"/>
      <c r="IRR13" s="554"/>
      <c r="IRS13" s="554"/>
      <c r="IRT13" s="554"/>
      <c r="IRU13" s="554"/>
      <c r="IRV13" s="554"/>
      <c r="IRW13" s="554"/>
      <c r="IRX13" s="554"/>
      <c r="IRY13" s="554"/>
      <c r="IRZ13" s="554"/>
      <c r="ISA13" s="554"/>
      <c r="ISB13" s="554"/>
      <c r="ISC13" s="554"/>
      <c r="ISD13" s="554"/>
      <c r="ISE13" s="554"/>
      <c r="ISF13" s="554"/>
      <c r="ISG13" s="554"/>
      <c r="ISH13" s="554"/>
      <c r="ISI13" s="554"/>
      <c r="ISJ13" s="554"/>
      <c r="ISK13" s="554"/>
      <c r="ISL13" s="554"/>
      <c r="ISM13" s="554"/>
      <c r="ISN13" s="554"/>
      <c r="ISO13" s="554"/>
      <c r="ISP13" s="554"/>
      <c r="ISQ13" s="554"/>
      <c r="ISR13" s="554"/>
      <c r="ISS13" s="554"/>
      <c r="IST13" s="554"/>
      <c r="ISU13" s="554"/>
      <c r="ISV13" s="554"/>
      <c r="ISW13" s="554"/>
      <c r="ISX13" s="554"/>
      <c r="ISY13" s="554"/>
      <c r="ISZ13" s="554"/>
      <c r="ITA13" s="554"/>
      <c r="ITB13" s="554"/>
      <c r="ITC13" s="554"/>
      <c r="ITD13" s="554"/>
      <c r="ITE13" s="554"/>
      <c r="ITF13" s="554"/>
      <c r="ITG13" s="554"/>
      <c r="ITH13" s="554"/>
      <c r="ITI13" s="554"/>
      <c r="ITJ13" s="554"/>
      <c r="ITK13" s="554"/>
      <c r="ITL13" s="554"/>
      <c r="ITM13" s="554"/>
      <c r="ITN13" s="554"/>
      <c r="ITO13" s="554"/>
      <c r="ITP13" s="554"/>
      <c r="ITQ13" s="554"/>
      <c r="ITR13" s="554"/>
      <c r="ITS13" s="554"/>
      <c r="ITT13" s="554"/>
      <c r="ITU13" s="554"/>
      <c r="ITV13" s="554"/>
      <c r="ITW13" s="554"/>
      <c r="ITX13" s="554"/>
      <c r="ITY13" s="554"/>
      <c r="ITZ13" s="554"/>
      <c r="IUA13" s="554"/>
      <c r="IUB13" s="554"/>
      <c r="IUC13" s="554"/>
      <c r="IUD13" s="554"/>
      <c r="IUE13" s="554"/>
      <c r="IUF13" s="554"/>
      <c r="IUG13" s="554"/>
      <c r="IUH13" s="554"/>
      <c r="IUI13" s="554"/>
      <c r="IUJ13" s="554"/>
      <c r="IUK13" s="554"/>
      <c r="IUL13" s="554"/>
      <c r="IUM13" s="554"/>
      <c r="IUN13" s="554"/>
      <c r="IUO13" s="554"/>
      <c r="IUP13" s="554"/>
      <c r="IUQ13" s="554"/>
      <c r="IUR13" s="554"/>
      <c r="IUS13" s="554"/>
      <c r="IUT13" s="554"/>
      <c r="IUU13" s="554"/>
      <c r="IUV13" s="554"/>
      <c r="IUW13" s="554"/>
      <c r="IUX13" s="554"/>
      <c r="IUY13" s="554"/>
      <c r="IUZ13" s="554"/>
      <c r="IVA13" s="554"/>
      <c r="IVB13" s="554"/>
      <c r="IVC13" s="554"/>
      <c r="IVD13" s="554"/>
      <c r="IVE13" s="554"/>
      <c r="IVF13" s="554"/>
      <c r="IVG13" s="554"/>
      <c r="IVH13" s="554"/>
      <c r="IVI13" s="554"/>
      <c r="IVJ13" s="554"/>
      <c r="IVK13" s="554"/>
      <c r="IVL13" s="554"/>
      <c r="IVM13" s="554"/>
      <c r="IVN13" s="554"/>
      <c r="IVO13" s="554"/>
      <c r="IVP13" s="554"/>
      <c r="IVQ13" s="554"/>
      <c r="IVR13" s="554"/>
      <c r="IVS13" s="554"/>
      <c r="IVT13" s="554"/>
      <c r="IVU13" s="554"/>
      <c r="IVV13" s="554"/>
      <c r="IVW13" s="554"/>
      <c r="IVX13" s="554"/>
      <c r="IVY13" s="554"/>
      <c r="IVZ13" s="554"/>
      <c r="IWA13" s="554"/>
      <c r="IWB13" s="554"/>
      <c r="IWC13" s="554"/>
      <c r="IWD13" s="554"/>
      <c r="IWE13" s="554"/>
      <c r="IWF13" s="554"/>
      <c r="IWG13" s="554"/>
      <c r="IWH13" s="554"/>
      <c r="IWI13" s="554"/>
      <c r="IWJ13" s="554"/>
      <c r="IWK13" s="554"/>
      <c r="IWL13" s="554"/>
      <c r="IWM13" s="554"/>
      <c r="IWN13" s="554"/>
      <c r="IWO13" s="554"/>
      <c r="IWP13" s="554"/>
      <c r="IWQ13" s="554"/>
      <c r="IWR13" s="554"/>
      <c r="IWS13" s="554"/>
      <c r="IWT13" s="554"/>
      <c r="IWU13" s="554"/>
      <c r="IWV13" s="554"/>
      <c r="IWW13" s="554"/>
      <c r="IWX13" s="554"/>
      <c r="IWY13" s="554"/>
      <c r="IWZ13" s="554"/>
      <c r="IXA13" s="554"/>
      <c r="IXB13" s="554"/>
      <c r="IXC13" s="554"/>
      <c r="IXD13" s="554"/>
      <c r="IXE13" s="554"/>
      <c r="IXF13" s="554"/>
      <c r="IXG13" s="554"/>
      <c r="IXH13" s="554"/>
      <c r="IXI13" s="554"/>
      <c r="IXJ13" s="554"/>
      <c r="IXK13" s="554"/>
      <c r="IXL13" s="554"/>
      <c r="IXM13" s="554"/>
      <c r="IXN13" s="554"/>
      <c r="IXO13" s="554"/>
      <c r="IXP13" s="554"/>
      <c r="IXQ13" s="554"/>
      <c r="IXR13" s="554"/>
      <c r="IXS13" s="554"/>
      <c r="IXT13" s="554"/>
      <c r="IXU13" s="554"/>
      <c r="IXV13" s="554"/>
      <c r="IXW13" s="554"/>
      <c r="IXX13" s="554"/>
      <c r="IXY13" s="554"/>
      <c r="IXZ13" s="554"/>
      <c r="IYA13" s="554"/>
      <c r="IYB13" s="554"/>
      <c r="IYC13" s="554"/>
      <c r="IYD13" s="554"/>
      <c r="IYE13" s="554"/>
      <c r="IYF13" s="554"/>
      <c r="IYG13" s="554"/>
      <c r="IYH13" s="554"/>
      <c r="IYI13" s="554"/>
      <c r="IYJ13" s="554"/>
      <c r="IYK13" s="554"/>
      <c r="IYL13" s="554"/>
      <c r="IYM13" s="554"/>
      <c r="IYN13" s="554"/>
      <c r="IYO13" s="554"/>
      <c r="IYP13" s="554"/>
      <c r="IYQ13" s="554"/>
      <c r="IYR13" s="554"/>
      <c r="IYS13" s="554"/>
      <c r="IYT13" s="554"/>
      <c r="IYU13" s="554"/>
      <c r="IYV13" s="554"/>
      <c r="IYW13" s="554"/>
      <c r="IYX13" s="554"/>
      <c r="IYY13" s="554"/>
      <c r="IYZ13" s="554"/>
      <c r="IZA13" s="554"/>
      <c r="IZB13" s="554"/>
      <c r="IZC13" s="554"/>
      <c r="IZD13" s="554"/>
      <c r="IZE13" s="554"/>
      <c r="IZF13" s="554"/>
      <c r="IZG13" s="554"/>
      <c r="IZH13" s="554"/>
      <c r="IZI13" s="554"/>
      <c r="IZJ13" s="554"/>
      <c r="IZK13" s="554"/>
      <c r="IZL13" s="554"/>
      <c r="IZM13" s="554"/>
      <c r="IZN13" s="554"/>
      <c r="IZO13" s="554"/>
      <c r="IZP13" s="554"/>
      <c r="IZQ13" s="554"/>
      <c r="IZR13" s="554"/>
      <c r="IZS13" s="554"/>
      <c r="IZT13" s="554"/>
      <c r="IZU13" s="554"/>
      <c r="IZV13" s="554"/>
      <c r="IZW13" s="554"/>
      <c r="IZX13" s="554"/>
      <c r="IZY13" s="554"/>
      <c r="IZZ13" s="554"/>
      <c r="JAA13" s="554"/>
      <c r="JAB13" s="554"/>
      <c r="JAC13" s="554"/>
      <c r="JAD13" s="554"/>
      <c r="JAE13" s="554"/>
      <c r="JAF13" s="554"/>
      <c r="JAG13" s="554"/>
      <c r="JAH13" s="554"/>
      <c r="JAI13" s="554"/>
      <c r="JAJ13" s="554"/>
      <c r="JAK13" s="554"/>
      <c r="JAL13" s="554"/>
      <c r="JAM13" s="554"/>
      <c r="JAN13" s="554"/>
      <c r="JAO13" s="554"/>
      <c r="JAP13" s="554"/>
      <c r="JAQ13" s="554"/>
      <c r="JAR13" s="554"/>
      <c r="JAS13" s="554"/>
      <c r="JAT13" s="554"/>
      <c r="JAU13" s="554"/>
      <c r="JAV13" s="554"/>
      <c r="JAW13" s="554"/>
      <c r="JAX13" s="554"/>
      <c r="JAY13" s="554"/>
      <c r="JAZ13" s="554"/>
      <c r="JBA13" s="554"/>
      <c r="JBB13" s="554"/>
      <c r="JBC13" s="554"/>
      <c r="JBD13" s="554"/>
      <c r="JBE13" s="554"/>
      <c r="JBF13" s="554"/>
      <c r="JBG13" s="554"/>
      <c r="JBH13" s="554"/>
      <c r="JBI13" s="554"/>
      <c r="JBJ13" s="554"/>
      <c r="JBK13" s="554"/>
      <c r="JBL13" s="554"/>
      <c r="JBM13" s="554"/>
      <c r="JBN13" s="554"/>
      <c r="JBO13" s="554"/>
      <c r="JBP13" s="554"/>
      <c r="JBQ13" s="554"/>
      <c r="JBR13" s="554"/>
      <c r="JBS13" s="554"/>
      <c r="JBT13" s="554"/>
      <c r="JBU13" s="554"/>
      <c r="JBV13" s="554"/>
      <c r="JBW13" s="554"/>
      <c r="JBX13" s="554"/>
      <c r="JBY13" s="554"/>
      <c r="JBZ13" s="554"/>
      <c r="JCA13" s="554"/>
      <c r="JCB13" s="554"/>
      <c r="JCC13" s="554"/>
      <c r="JCD13" s="554"/>
      <c r="JCE13" s="554"/>
      <c r="JCF13" s="554"/>
      <c r="JCG13" s="554"/>
      <c r="JCH13" s="554"/>
      <c r="JCI13" s="554"/>
      <c r="JCJ13" s="554"/>
      <c r="JCK13" s="554"/>
      <c r="JCL13" s="554"/>
      <c r="JCM13" s="554"/>
      <c r="JCN13" s="554"/>
      <c r="JCO13" s="554"/>
      <c r="JCP13" s="554"/>
      <c r="JCQ13" s="554"/>
      <c r="JCR13" s="554"/>
      <c r="JCS13" s="554"/>
      <c r="JCT13" s="554"/>
      <c r="JCU13" s="554"/>
      <c r="JCV13" s="554"/>
      <c r="JCW13" s="554"/>
      <c r="JCX13" s="554"/>
      <c r="JCY13" s="554"/>
      <c r="JCZ13" s="554"/>
      <c r="JDA13" s="554"/>
      <c r="JDB13" s="554"/>
      <c r="JDC13" s="554"/>
      <c r="JDD13" s="554"/>
      <c r="JDE13" s="554"/>
      <c r="JDF13" s="554"/>
      <c r="JDG13" s="554"/>
      <c r="JDH13" s="554"/>
      <c r="JDI13" s="554"/>
      <c r="JDJ13" s="554"/>
      <c r="JDK13" s="554"/>
      <c r="JDL13" s="554"/>
      <c r="JDM13" s="554"/>
      <c r="JDN13" s="554"/>
      <c r="JDO13" s="554"/>
      <c r="JDP13" s="554"/>
      <c r="JDQ13" s="554"/>
      <c r="JDR13" s="554"/>
      <c r="JDS13" s="554"/>
      <c r="JDT13" s="554"/>
      <c r="JDU13" s="554"/>
      <c r="JDV13" s="554"/>
      <c r="JDW13" s="554"/>
      <c r="JDX13" s="554"/>
      <c r="JDY13" s="554"/>
      <c r="JDZ13" s="554"/>
      <c r="JEA13" s="554"/>
      <c r="JEB13" s="554"/>
      <c r="JEC13" s="554"/>
      <c r="JED13" s="554"/>
      <c r="JEE13" s="554"/>
      <c r="JEF13" s="554"/>
      <c r="JEG13" s="554"/>
      <c r="JEH13" s="554"/>
      <c r="JEI13" s="554"/>
      <c r="JEJ13" s="554"/>
      <c r="JEK13" s="554"/>
      <c r="JEL13" s="554"/>
      <c r="JEM13" s="554"/>
      <c r="JEN13" s="554"/>
      <c r="JEO13" s="554"/>
      <c r="JEP13" s="554"/>
      <c r="JEQ13" s="554"/>
      <c r="JER13" s="554"/>
      <c r="JES13" s="554"/>
      <c r="JET13" s="554"/>
      <c r="JEU13" s="554"/>
      <c r="JEV13" s="554"/>
      <c r="JEW13" s="554"/>
      <c r="JEX13" s="554"/>
      <c r="JEY13" s="554"/>
      <c r="JEZ13" s="554"/>
      <c r="JFA13" s="554"/>
      <c r="JFB13" s="554"/>
      <c r="JFC13" s="554"/>
      <c r="JFD13" s="554"/>
      <c r="JFE13" s="554"/>
      <c r="JFF13" s="554"/>
      <c r="JFG13" s="554"/>
      <c r="JFH13" s="554"/>
      <c r="JFI13" s="554"/>
      <c r="JFJ13" s="554"/>
      <c r="JFK13" s="554"/>
      <c r="JFL13" s="554"/>
      <c r="JFM13" s="554"/>
      <c r="JFN13" s="554"/>
      <c r="JFO13" s="554"/>
      <c r="JFP13" s="554"/>
      <c r="JFQ13" s="554"/>
      <c r="JFR13" s="554"/>
      <c r="JFS13" s="554"/>
      <c r="JFT13" s="554"/>
      <c r="JFU13" s="554"/>
      <c r="JFV13" s="554"/>
      <c r="JFW13" s="554"/>
      <c r="JFX13" s="554"/>
      <c r="JFY13" s="554"/>
      <c r="JFZ13" s="554"/>
      <c r="JGA13" s="554"/>
      <c r="JGB13" s="554"/>
      <c r="JGC13" s="554"/>
      <c r="JGD13" s="554"/>
      <c r="JGE13" s="554"/>
      <c r="JGF13" s="554"/>
      <c r="JGG13" s="554"/>
      <c r="JGH13" s="554"/>
      <c r="JGI13" s="554"/>
      <c r="JGJ13" s="554"/>
      <c r="JGK13" s="554"/>
      <c r="JGL13" s="554"/>
      <c r="JGM13" s="554"/>
      <c r="JGN13" s="554"/>
      <c r="JGO13" s="554"/>
      <c r="JGP13" s="554"/>
      <c r="JGQ13" s="554"/>
      <c r="JGR13" s="554"/>
      <c r="JGS13" s="554"/>
      <c r="JGT13" s="554"/>
      <c r="JGU13" s="554"/>
      <c r="JGV13" s="554"/>
      <c r="JGW13" s="554"/>
      <c r="JGX13" s="554"/>
      <c r="JGY13" s="554"/>
      <c r="JGZ13" s="554"/>
      <c r="JHA13" s="554"/>
      <c r="JHB13" s="554"/>
      <c r="JHC13" s="554"/>
      <c r="JHD13" s="554"/>
      <c r="JHE13" s="554"/>
      <c r="JHF13" s="554"/>
      <c r="JHG13" s="554"/>
      <c r="JHH13" s="554"/>
      <c r="JHI13" s="554"/>
      <c r="JHJ13" s="554"/>
      <c r="JHK13" s="554"/>
      <c r="JHL13" s="554"/>
      <c r="JHM13" s="554"/>
      <c r="JHN13" s="554"/>
      <c r="JHO13" s="554"/>
      <c r="JHP13" s="554"/>
      <c r="JHQ13" s="554"/>
      <c r="JHR13" s="554"/>
      <c r="JHS13" s="554"/>
      <c r="JHT13" s="554"/>
      <c r="JHU13" s="554"/>
      <c r="JHV13" s="554"/>
      <c r="JHW13" s="554"/>
      <c r="JHX13" s="554"/>
      <c r="JHY13" s="554"/>
      <c r="JHZ13" s="554"/>
      <c r="JIA13" s="554"/>
      <c r="JIB13" s="554"/>
      <c r="JIC13" s="554"/>
      <c r="JID13" s="554"/>
      <c r="JIE13" s="554"/>
      <c r="JIF13" s="554"/>
      <c r="JIG13" s="554"/>
      <c r="JIH13" s="554"/>
      <c r="JII13" s="554"/>
      <c r="JIJ13" s="554"/>
      <c r="JIK13" s="554"/>
      <c r="JIL13" s="554"/>
      <c r="JIM13" s="554"/>
      <c r="JIN13" s="554"/>
      <c r="JIO13" s="554"/>
      <c r="JIP13" s="554"/>
      <c r="JIQ13" s="554"/>
      <c r="JIR13" s="554"/>
      <c r="JIS13" s="554"/>
      <c r="JIT13" s="554"/>
      <c r="JIU13" s="554"/>
      <c r="JIV13" s="554"/>
      <c r="JIW13" s="554"/>
      <c r="JIX13" s="554"/>
      <c r="JIY13" s="554"/>
      <c r="JIZ13" s="554"/>
      <c r="JJA13" s="554"/>
      <c r="JJB13" s="554"/>
      <c r="JJC13" s="554"/>
      <c r="JJD13" s="554"/>
      <c r="JJE13" s="554"/>
      <c r="JJF13" s="554"/>
      <c r="JJG13" s="554"/>
      <c r="JJH13" s="554"/>
      <c r="JJI13" s="554"/>
      <c r="JJJ13" s="554"/>
      <c r="JJK13" s="554"/>
      <c r="JJL13" s="554"/>
      <c r="JJM13" s="554"/>
      <c r="JJN13" s="554"/>
      <c r="JJO13" s="554"/>
      <c r="JJP13" s="554"/>
      <c r="JJQ13" s="554"/>
      <c r="JJR13" s="554"/>
      <c r="JJS13" s="554"/>
      <c r="JJT13" s="554"/>
      <c r="JJU13" s="554"/>
      <c r="JJV13" s="554"/>
      <c r="JJW13" s="554"/>
      <c r="JJX13" s="554"/>
      <c r="JJY13" s="554"/>
      <c r="JJZ13" s="554"/>
      <c r="JKA13" s="554"/>
      <c r="JKB13" s="554"/>
      <c r="JKC13" s="554"/>
      <c r="JKD13" s="554"/>
      <c r="JKE13" s="554"/>
      <c r="JKF13" s="554"/>
      <c r="JKG13" s="554"/>
      <c r="JKH13" s="554"/>
      <c r="JKI13" s="554"/>
      <c r="JKJ13" s="554"/>
      <c r="JKK13" s="554"/>
      <c r="JKL13" s="554"/>
      <c r="JKM13" s="554"/>
      <c r="JKN13" s="554"/>
      <c r="JKO13" s="554"/>
      <c r="JKP13" s="554"/>
      <c r="JKQ13" s="554"/>
      <c r="JKR13" s="554"/>
      <c r="JKS13" s="554"/>
      <c r="JKT13" s="554"/>
      <c r="JKU13" s="554"/>
      <c r="JKV13" s="554"/>
      <c r="JKW13" s="554"/>
      <c r="JKX13" s="554"/>
      <c r="JKY13" s="554"/>
      <c r="JKZ13" s="554"/>
      <c r="JLA13" s="554"/>
      <c r="JLB13" s="554"/>
      <c r="JLC13" s="554"/>
      <c r="JLD13" s="554"/>
      <c r="JLE13" s="554"/>
      <c r="JLF13" s="554"/>
      <c r="JLG13" s="554"/>
      <c r="JLH13" s="554"/>
      <c r="JLI13" s="554"/>
      <c r="JLJ13" s="554"/>
      <c r="JLK13" s="554"/>
      <c r="JLL13" s="554"/>
      <c r="JLM13" s="554"/>
      <c r="JLN13" s="554"/>
      <c r="JLO13" s="554"/>
      <c r="JLP13" s="554"/>
      <c r="JLQ13" s="554"/>
      <c r="JLR13" s="554"/>
      <c r="JLS13" s="554"/>
      <c r="JLT13" s="554"/>
      <c r="JLU13" s="554"/>
      <c r="JLV13" s="554"/>
      <c r="JLW13" s="554"/>
      <c r="JLX13" s="554"/>
      <c r="JLY13" s="554"/>
      <c r="JLZ13" s="554"/>
      <c r="JMA13" s="554"/>
      <c r="JMB13" s="554"/>
      <c r="JMC13" s="554"/>
      <c r="JMD13" s="554"/>
      <c r="JME13" s="554"/>
      <c r="JMF13" s="554"/>
      <c r="JMG13" s="554"/>
      <c r="JMH13" s="554"/>
      <c r="JMI13" s="554"/>
      <c r="JMJ13" s="554"/>
      <c r="JMK13" s="554"/>
      <c r="JML13" s="554"/>
      <c r="JMM13" s="554"/>
      <c r="JMN13" s="554"/>
      <c r="JMO13" s="554"/>
      <c r="JMP13" s="554"/>
      <c r="JMQ13" s="554"/>
      <c r="JMR13" s="554"/>
      <c r="JMS13" s="554"/>
      <c r="JMT13" s="554"/>
      <c r="JMU13" s="554"/>
      <c r="JMV13" s="554"/>
      <c r="JMW13" s="554"/>
      <c r="JMX13" s="554"/>
      <c r="JMY13" s="554"/>
      <c r="JMZ13" s="554"/>
      <c r="JNA13" s="554"/>
      <c r="JNB13" s="554"/>
      <c r="JNC13" s="554"/>
      <c r="JND13" s="554"/>
      <c r="JNE13" s="554"/>
      <c r="JNF13" s="554"/>
      <c r="JNG13" s="554"/>
      <c r="JNH13" s="554"/>
      <c r="JNI13" s="554"/>
      <c r="JNJ13" s="554"/>
      <c r="JNK13" s="554"/>
      <c r="JNL13" s="554"/>
      <c r="JNM13" s="554"/>
      <c r="JNN13" s="554"/>
      <c r="JNO13" s="554"/>
      <c r="JNP13" s="554"/>
      <c r="JNQ13" s="554"/>
      <c r="JNR13" s="554"/>
      <c r="JNS13" s="554"/>
      <c r="JNT13" s="554"/>
      <c r="JNU13" s="554"/>
      <c r="JNV13" s="554"/>
      <c r="JNW13" s="554"/>
      <c r="JNX13" s="554"/>
      <c r="JNY13" s="554"/>
      <c r="JNZ13" s="554"/>
      <c r="JOA13" s="554"/>
      <c r="JOB13" s="554"/>
      <c r="JOC13" s="554"/>
      <c r="JOD13" s="554"/>
      <c r="JOE13" s="554"/>
      <c r="JOF13" s="554"/>
      <c r="JOG13" s="554"/>
      <c r="JOH13" s="554"/>
      <c r="JOI13" s="554"/>
      <c r="JOJ13" s="554"/>
      <c r="JOK13" s="554"/>
      <c r="JOL13" s="554"/>
      <c r="JOM13" s="554"/>
      <c r="JON13" s="554"/>
      <c r="JOO13" s="554"/>
      <c r="JOP13" s="554"/>
      <c r="JOQ13" s="554"/>
      <c r="JOR13" s="554"/>
      <c r="JOS13" s="554"/>
      <c r="JOT13" s="554"/>
      <c r="JOU13" s="554"/>
      <c r="JOV13" s="554"/>
      <c r="JOW13" s="554"/>
      <c r="JOX13" s="554"/>
      <c r="JOY13" s="554"/>
      <c r="JOZ13" s="554"/>
      <c r="JPA13" s="554"/>
      <c r="JPB13" s="554"/>
      <c r="JPC13" s="554"/>
      <c r="JPD13" s="554"/>
      <c r="JPE13" s="554"/>
      <c r="JPF13" s="554"/>
      <c r="JPG13" s="554"/>
      <c r="JPH13" s="554"/>
      <c r="JPI13" s="554"/>
      <c r="JPJ13" s="554"/>
      <c r="JPK13" s="554"/>
      <c r="JPL13" s="554"/>
      <c r="JPM13" s="554"/>
      <c r="JPN13" s="554"/>
      <c r="JPO13" s="554"/>
      <c r="JPP13" s="554"/>
      <c r="JPQ13" s="554"/>
      <c r="JPR13" s="554"/>
      <c r="JPS13" s="554"/>
      <c r="JPT13" s="554"/>
      <c r="JPU13" s="554"/>
      <c r="JPV13" s="554"/>
      <c r="JPW13" s="554"/>
      <c r="JPX13" s="554"/>
      <c r="JPY13" s="554"/>
      <c r="JPZ13" s="554"/>
      <c r="JQA13" s="554"/>
      <c r="JQB13" s="554"/>
      <c r="JQC13" s="554"/>
      <c r="JQD13" s="554"/>
      <c r="JQE13" s="554"/>
      <c r="JQF13" s="554"/>
      <c r="JQG13" s="554"/>
      <c r="JQH13" s="554"/>
      <c r="JQI13" s="554"/>
      <c r="JQJ13" s="554"/>
      <c r="JQK13" s="554"/>
      <c r="JQL13" s="554"/>
      <c r="JQM13" s="554"/>
      <c r="JQN13" s="554"/>
      <c r="JQO13" s="554"/>
      <c r="JQP13" s="554"/>
      <c r="JQQ13" s="554"/>
      <c r="JQR13" s="554"/>
      <c r="JQS13" s="554"/>
      <c r="JQT13" s="554"/>
      <c r="JQU13" s="554"/>
      <c r="JQV13" s="554"/>
      <c r="JQW13" s="554"/>
      <c r="JQX13" s="554"/>
      <c r="JQY13" s="554"/>
      <c r="JQZ13" s="554"/>
      <c r="JRA13" s="554"/>
      <c r="JRB13" s="554"/>
      <c r="JRC13" s="554"/>
      <c r="JRD13" s="554"/>
      <c r="JRE13" s="554"/>
      <c r="JRF13" s="554"/>
      <c r="JRG13" s="554"/>
      <c r="JRH13" s="554"/>
      <c r="JRI13" s="554"/>
      <c r="JRJ13" s="554"/>
      <c r="JRK13" s="554"/>
      <c r="JRL13" s="554"/>
      <c r="JRM13" s="554"/>
      <c r="JRN13" s="554"/>
      <c r="JRO13" s="554"/>
      <c r="JRP13" s="554"/>
      <c r="JRQ13" s="554"/>
      <c r="JRR13" s="554"/>
      <c r="JRS13" s="554"/>
      <c r="JRT13" s="554"/>
      <c r="JRU13" s="554"/>
      <c r="JRV13" s="554"/>
      <c r="JRW13" s="554"/>
      <c r="JRX13" s="554"/>
      <c r="JRY13" s="554"/>
      <c r="JRZ13" s="554"/>
      <c r="JSA13" s="554"/>
      <c r="JSB13" s="554"/>
      <c r="JSC13" s="554"/>
      <c r="JSD13" s="554"/>
      <c r="JSE13" s="554"/>
      <c r="JSF13" s="554"/>
      <c r="JSG13" s="554"/>
      <c r="JSH13" s="554"/>
      <c r="JSI13" s="554"/>
      <c r="JSJ13" s="554"/>
      <c r="JSK13" s="554"/>
      <c r="JSL13" s="554"/>
      <c r="JSM13" s="554"/>
      <c r="JSN13" s="554"/>
      <c r="JSO13" s="554"/>
      <c r="JSP13" s="554"/>
      <c r="JSQ13" s="554"/>
      <c r="JSR13" s="554"/>
      <c r="JSS13" s="554"/>
      <c r="JST13" s="554"/>
      <c r="JSU13" s="554"/>
      <c r="JSV13" s="554"/>
      <c r="JSW13" s="554"/>
      <c r="JSX13" s="554"/>
      <c r="JSY13" s="554"/>
      <c r="JSZ13" s="554"/>
      <c r="JTA13" s="554"/>
      <c r="JTB13" s="554"/>
      <c r="JTC13" s="554"/>
      <c r="JTD13" s="554"/>
      <c r="JTE13" s="554"/>
      <c r="JTF13" s="554"/>
      <c r="JTG13" s="554"/>
      <c r="JTH13" s="554"/>
      <c r="JTI13" s="554"/>
      <c r="JTJ13" s="554"/>
      <c r="JTK13" s="554"/>
      <c r="JTL13" s="554"/>
      <c r="JTM13" s="554"/>
      <c r="JTN13" s="554"/>
      <c r="JTO13" s="554"/>
      <c r="JTP13" s="554"/>
      <c r="JTQ13" s="554"/>
      <c r="JTR13" s="554"/>
      <c r="JTS13" s="554"/>
      <c r="JTT13" s="554"/>
      <c r="JTU13" s="554"/>
      <c r="JTV13" s="554"/>
      <c r="JTW13" s="554"/>
      <c r="JTX13" s="554"/>
      <c r="JTY13" s="554"/>
      <c r="JTZ13" s="554"/>
      <c r="JUA13" s="554"/>
      <c r="JUB13" s="554"/>
      <c r="JUC13" s="554"/>
      <c r="JUD13" s="554"/>
      <c r="JUE13" s="554"/>
      <c r="JUF13" s="554"/>
      <c r="JUG13" s="554"/>
      <c r="JUH13" s="554"/>
      <c r="JUI13" s="554"/>
      <c r="JUJ13" s="554"/>
      <c r="JUK13" s="554"/>
      <c r="JUL13" s="554"/>
      <c r="JUM13" s="554"/>
      <c r="JUN13" s="554"/>
      <c r="JUO13" s="554"/>
      <c r="JUP13" s="554"/>
      <c r="JUQ13" s="554"/>
      <c r="JUR13" s="554"/>
      <c r="JUS13" s="554"/>
      <c r="JUT13" s="554"/>
      <c r="JUU13" s="554"/>
      <c r="JUV13" s="554"/>
      <c r="JUW13" s="554"/>
      <c r="JUX13" s="554"/>
      <c r="JUY13" s="554"/>
      <c r="JUZ13" s="554"/>
      <c r="JVA13" s="554"/>
      <c r="JVB13" s="554"/>
      <c r="JVC13" s="554"/>
      <c r="JVD13" s="554"/>
      <c r="JVE13" s="554"/>
      <c r="JVF13" s="554"/>
      <c r="JVG13" s="554"/>
      <c r="JVH13" s="554"/>
      <c r="JVI13" s="554"/>
      <c r="JVJ13" s="554"/>
      <c r="JVK13" s="554"/>
      <c r="JVL13" s="554"/>
      <c r="JVM13" s="554"/>
      <c r="JVN13" s="554"/>
      <c r="JVO13" s="554"/>
      <c r="JVP13" s="554"/>
      <c r="JVQ13" s="554"/>
      <c r="JVR13" s="554"/>
      <c r="JVS13" s="554"/>
      <c r="JVT13" s="554"/>
      <c r="JVU13" s="554"/>
      <c r="JVV13" s="554"/>
      <c r="JVW13" s="554"/>
      <c r="JVX13" s="554"/>
      <c r="JVY13" s="554"/>
      <c r="JVZ13" s="554"/>
      <c r="JWA13" s="554"/>
      <c r="JWB13" s="554"/>
      <c r="JWC13" s="554"/>
      <c r="JWD13" s="554"/>
      <c r="JWE13" s="554"/>
      <c r="JWF13" s="554"/>
      <c r="JWG13" s="554"/>
      <c r="JWH13" s="554"/>
      <c r="JWI13" s="554"/>
      <c r="JWJ13" s="554"/>
      <c r="JWK13" s="554"/>
      <c r="JWL13" s="554"/>
      <c r="JWM13" s="554"/>
      <c r="JWN13" s="554"/>
      <c r="JWO13" s="554"/>
      <c r="JWP13" s="554"/>
      <c r="JWQ13" s="554"/>
      <c r="JWR13" s="554"/>
      <c r="JWS13" s="554"/>
      <c r="JWT13" s="554"/>
      <c r="JWU13" s="554"/>
      <c r="JWV13" s="554"/>
      <c r="JWW13" s="554"/>
      <c r="JWX13" s="554"/>
      <c r="JWY13" s="554"/>
      <c r="JWZ13" s="554"/>
      <c r="JXA13" s="554"/>
      <c r="JXB13" s="554"/>
      <c r="JXC13" s="554"/>
      <c r="JXD13" s="554"/>
      <c r="JXE13" s="554"/>
      <c r="JXF13" s="554"/>
      <c r="JXG13" s="554"/>
      <c r="JXH13" s="554"/>
      <c r="JXI13" s="554"/>
      <c r="JXJ13" s="554"/>
      <c r="JXK13" s="554"/>
      <c r="JXL13" s="554"/>
      <c r="JXM13" s="554"/>
      <c r="JXN13" s="554"/>
      <c r="JXO13" s="554"/>
      <c r="JXP13" s="554"/>
      <c r="JXQ13" s="554"/>
      <c r="JXR13" s="554"/>
      <c r="JXS13" s="554"/>
      <c r="JXT13" s="554"/>
      <c r="JXU13" s="554"/>
      <c r="JXV13" s="554"/>
      <c r="JXW13" s="554"/>
      <c r="JXX13" s="554"/>
      <c r="JXY13" s="554"/>
      <c r="JXZ13" s="554"/>
      <c r="JYA13" s="554"/>
      <c r="JYB13" s="554"/>
      <c r="JYC13" s="554"/>
      <c r="JYD13" s="554"/>
      <c r="JYE13" s="554"/>
      <c r="JYF13" s="554"/>
      <c r="JYG13" s="554"/>
      <c r="JYH13" s="554"/>
      <c r="JYI13" s="554"/>
      <c r="JYJ13" s="554"/>
      <c r="JYK13" s="554"/>
      <c r="JYL13" s="554"/>
      <c r="JYM13" s="554"/>
      <c r="JYN13" s="554"/>
      <c r="JYO13" s="554"/>
      <c r="JYP13" s="554"/>
      <c r="JYQ13" s="554"/>
      <c r="JYR13" s="554"/>
      <c r="JYS13" s="554"/>
      <c r="JYT13" s="554"/>
      <c r="JYU13" s="554"/>
      <c r="JYV13" s="554"/>
      <c r="JYW13" s="554"/>
      <c r="JYX13" s="554"/>
      <c r="JYY13" s="554"/>
      <c r="JYZ13" s="554"/>
      <c r="JZA13" s="554"/>
      <c r="JZB13" s="554"/>
      <c r="JZC13" s="554"/>
      <c r="JZD13" s="554"/>
      <c r="JZE13" s="554"/>
      <c r="JZF13" s="554"/>
      <c r="JZG13" s="554"/>
      <c r="JZH13" s="554"/>
      <c r="JZI13" s="554"/>
      <c r="JZJ13" s="554"/>
      <c r="JZK13" s="554"/>
      <c r="JZL13" s="554"/>
      <c r="JZM13" s="554"/>
      <c r="JZN13" s="554"/>
      <c r="JZO13" s="554"/>
      <c r="JZP13" s="554"/>
      <c r="JZQ13" s="554"/>
      <c r="JZR13" s="554"/>
      <c r="JZS13" s="554"/>
      <c r="JZT13" s="554"/>
      <c r="JZU13" s="554"/>
      <c r="JZV13" s="554"/>
      <c r="JZW13" s="554"/>
      <c r="JZX13" s="554"/>
      <c r="JZY13" s="554"/>
      <c r="JZZ13" s="554"/>
      <c r="KAA13" s="554"/>
      <c r="KAB13" s="554"/>
      <c r="KAC13" s="554"/>
      <c r="KAD13" s="554"/>
      <c r="KAE13" s="554"/>
      <c r="KAF13" s="554"/>
      <c r="KAG13" s="554"/>
      <c r="KAH13" s="554"/>
      <c r="KAI13" s="554"/>
      <c r="KAJ13" s="554"/>
      <c r="KAK13" s="554"/>
      <c r="KAL13" s="554"/>
      <c r="KAM13" s="554"/>
      <c r="KAN13" s="554"/>
      <c r="KAO13" s="554"/>
      <c r="KAP13" s="554"/>
      <c r="KAQ13" s="554"/>
      <c r="KAR13" s="554"/>
      <c r="KAS13" s="554"/>
      <c r="KAT13" s="554"/>
      <c r="KAU13" s="554"/>
      <c r="KAV13" s="554"/>
      <c r="KAW13" s="554"/>
      <c r="KAX13" s="554"/>
      <c r="KAY13" s="554"/>
      <c r="KAZ13" s="554"/>
      <c r="KBA13" s="554"/>
      <c r="KBB13" s="554"/>
      <c r="KBC13" s="554"/>
      <c r="KBD13" s="554"/>
      <c r="KBE13" s="554"/>
      <c r="KBF13" s="554"/>
      <c r="KBG13" s="554"/>
      <c r="KBH13" s="554"/>
      <c r="KBI13" s="554"/>
      <c r="KBJ13" s="554"/>
      <c r="KBK13" s="554"/>
      <c r="KBL13" s="554"/>
      <c r="KBM13" s="554"/>
      <c r="KBN13" s="554"/>
      <c r="KBO13" s="554"/>
      <c r="KBP13" s="554"/>
      <c r="KBQ13" s="554"/>
      <c r="KBR13" s="554"/>
      <c r="KBS13" s="554"/>
      <c r="KBT13" s="554"/>
      <c r="KBU13" s="554"/>
      <c r="KBV13" s="554"/>
      <c r="KBW13" s="554"/>
      <c r="KBX13" s="554"/>
      <c r="KBY13" s="554"/>
      <c r="KBZ13" s="554"/>
      <c r="KCA13" s="554"/>
      <c r="KCB13" s="554"/>
      <c r="KCC13" s="554"/>
      <c r="KCD13" s="554"/>
      <c r="KCE13" s="554"/>
      <c r="KCF13" s="554"/>
      <c r="KCG13" s="554"/>
      <c r="KCH13" s="554"/>
      <c r="KCI13" s="554"/>
      <c r="KCJ13" s="554"/>
      <c r="KCK13" s="554"/>
      <c r="KCL13" s="554"/>
      <c r="KCM13" s="554"/>
      <c r="KCN13" s="554"/>
      <c r="KCO13" s="554"/>
      <c r="KCP13" s="554"/>
      <c r="KCQ13" s="554"/>
      <c r="KCR13" s="554"/>
      <c r="KCS13" s="554"/>
      <c r="KCT13" s="554"/>
      <c r="KCU13" s="554"/>
      <c r="KCV13" s="554"/>
      <c r="KCW13" s="554"/>
      <c r="KCX13" s="554"/>
      <c r="KCY13" s="554"/>
      <c r="KCZ13" s="554"/>
      <c r="KDA13" s="554"/>
      <c r="KDB13" s="554"/>
      <c r="KDC13" s="554"/>
      <c r="KDD13" s="554"/>
      <c r="KDE13" s="554"/>
      <c r="KDF13" s="554"/>
      <c r="KDG13" s="554"/>
      <c r="KDH13" s="554"/>
      <c r="KDI13" s="554"/>
      <c r="KDJ13" s="554"/>
      <c r="KDK13" s="554"/>
      <c r="KDL13" s="554"/>
      <c r="KDM13" s="554"/>
      <c r="KDN13" s="554"/>
      <c r="KDO13" s="554"/>
      <c r="KDP13" s="554"/>
      <c r="KDQ13" s="554"/>
      <c r="KDR13" s="554"/>
      <c r="KDS13" s="554"/>
      <c r="KDT13" s="554"/>
      <c r="KDU13" s="554"/>
      <c r="KDV13" s="554"/>
      <c r="KDW13" s="554"/>
      <c r="KDX13" s="554"/>
      <c r="KDY13" s="554"/>
      <c r="KDZ13" s="554"/>
      <c r="KEA13" s="554"/>
      <c r="KEB13" s="554"/>
      <c r="KEC13" s="554"/>
      <c r="KED13" s="554"/>
      <c r="KEE13" s="554"/>
      <c r="KEF13" s="554"/>
      <c r="KEG13" s="554"/>
      <c r="KEH13" s="554"/>
      <c r="KEI13" s="554"/>
      <c r="KEJ13" s="554"/>
      <c r="KEK13" s="554"/>
      <c r="KEL13" s="554"/>
      <c r="KEM13" s="554"/>
      <c r="KEN13" s="554"/>
      <c r="KEO13" s="554"/>
      <c r="KEP13" s="554"/>
      <c r="KEQ13" s="554"/>
      <c r="KER13" s="554"/>
      <c r="KES13" s="554"/>
      <c r="KET13" s="554"/>
      <c r="KEU13" s="554"/>
      <c r="KEV13" s="554"/>
      <c r="KEW13" s="554"/>
      <c r="KEX13" s="554"/>
      <c r="KEY13" s="554"/>
      <c r="KEZ13" s="554"/>
      <c r="KFA13" s="554"/>
      <c r="KFB13" s="554"/>
      <c r="KFC13" s="554"/>
      <c r="KFD13" s="554"/>
      <c r="KFE13" s="554"/>
      <c r="KFF13" s="554"/>
      <c r="KFG13" s="554"/>
      <c r="KFH13" s="554"/>
      <c r="KFI13" s="554"/>
      <c r="KFJ13" s="554"/>
      <c r="KFK13" s="554"/>
      <c r="KFL13" s="554"/>
      <c r="KFM13" s="554"/>
      <c r="KFN13" s="554"/>
      <c r="KFO13" s="554"/>
      <c r="KFP13" s="554"/>
      <c r="KFQ13" s="554"/>
      <c r="KFR13" s="554"/>
      <c r="KFS13" s="554"/>
      <c r="KFT13" s="554"/>
      <c r="KFU13" s="554"/>
      <c r="KFV13" s="554"/>
      <c r="KFW13" s="554"/>
      <c r="KFX13" s="554"/>
      <c r="KFY13" s="554"/>
      <c r="KFZ13" s="554"/>
      <c r="KGA13" s="554"/>
      <c r="KGB13" s="554"/>
      <c r="KGC13" s="554"/>
      <c r="KGD13" s="554"/>
      <c r="KGE13" s="554"/>
      <c r="KGF13" s="554"/>
      <c r="KGG13" s="554"/>
      <c r="KGH13" s="554"/>
      <c r="KGI13" s="554"/>
      <c r="KGJ13" s="554"/>
      <c r="KGK13" s="554"/>
      <c r="KGL13" s="554"/>
      <c r="KGM13" s="554"/>
      <c r="KGN13" s="554"/>
      <c r="KGO13" s="554"/>
      <c r="KGP13" s="554"/>
      <c r="KGQ13" s="554"/>
      <c r="KGR13" s="554"/>
      <c r="KGS13" s="554"/>
      <c r="KGT13" s="554"/>
      <c r="KGU13" s="554"/>
      <c r="KGV13" s="554"/>
      <c r="KGW13" s="554"/>
      <c r="KGX13" s="554"/>
      <c r="KGY13" s="554"/>
      <c r="KGZ13" s="554"/>
      <c r="KHA13" s="554"/>
      <c r="KHB13" s="554"/>
      <c r="KHC13" s="554"/>
      <c r="KHD13" s="554"/>
      <c r="KHE13" s="554"/>
      <c r="KHF13" s="554"/>
      <c r="KHG13" s="554"/>
      <c r="KHH13" s="554"/>
      <c r="KHI13" s="554"/>
      <c r="KHJ13" s="554"/>
      <c r="KHK13" s="554"/>
      <c r="KHL13" s="554"/>
      <c r="KHM13" s="554"/>
      <c r="KHN13" s="554"/>
      <c r="KHO13" s="554"/>
      <c r="KHP13" s="554"/>
      <c r="KHQ13" s="554"/>
      <c r="KHR13" s="554"/>
      <c r="KHS13" s="554"/>
      <c r="KHT13" s="554"/>
      <c r="KHU13" s="554"/>
      <c r="KHV13" s="554"/>
      <c r="KHW13" s="554"/>
      <c r="KHX13" s="554"/>
      <c r="KHY13" s="554"/>
      <c r="KHZ13" s="554"/>
      <c r="KIA13" s="554"/>
      <c r="KIB13" s="554"/>
      <c r="KIC13" s="554"/>
      <c r="KID13" s="554"/>
      <c r="KIE13" s="554"/>
      <c r="KIF13" s="554"/>
      <c r="KIG13" s="554"/>
      <c r="KIH13" s="554"/>
      <c r="KII13" s="554"/>
      <c r="KIJ13" s="554"/>
      <c r="KIK13" s="554"/>
      <c r="KIL13" s="554"/>
      <c r="KIM13" s="554"/>
      <c r="KIN13" s="554"/>
      <c r="KIO13" s="554"/>
      <c r="KIP13" s="554"/>
      <c r="KIQ13" s="554"/>
      <c r="KIR13" s="554"/>
      <c r="KIS13" s="554"/>
      <c r="KIT13" s="554"/>
      <c r="KIU13" s="554"/>
      <c r="KIV13" s="554"/>
      <c r="KIW13" s="554"/>
      <c r="KIX13" s="554"/>
      <c r="KIY13" s="554"/>
      <c r="KIZ13" s="554"/>
      <c r="KJA13" s="554"/>
      <c r="KJB13" s="554"/>
      <c r="KJC13" s="554"/>
      <c r="KJD13" s="554"/>
      <c r="KJE13" s="554"/>
      <c r="KJF13" s="554"/>
      <c r="KJG13" s="554"/>
      <c r="KJH13" s="554"/>
      <c r="KJI13" s="554"/>
      <c r="KJJ13" s="554"/>
      <c r="KJK13" s="554"/>
      <c r="KJL13" s="554"/>
      <c r="KJM13" s="554"/>
      <c r="KJN13" s="554"/>
      <c r="KJO13" s="554"/>
      <c r="KJP13" s="554"/>
      <c r="KJQ13" s="554"/>
      <c r="KJR13" s="554"/>
      <c r="KJS13" s="554"/>
      <c r="KJT13" s="554"/>
      <c r="KJU13" s="554"/>
      <c r="KJV13" s="554"/>
      <c r="KJW13" s="554"/>
      <c r="KJX13" s="554"/>
      <c r="KJY13" s="554"/>
      <c r="KJZ13" s="554"/>
      <c r="KKA13" s="554"/>
      <c r="KKB13" s="554"/>
      <c r="KKC13" s="554"/>
      <c r="KKD13" s="554"/>
      <c r="KKE13" s="554"/>
      <c r="KKF13" s="554"/>
      <c r="KKG13" s="554"/>
      <c r="KKH13" s="554"/>
      <c r="KKI13" s="554"/>
      <c r="KKJ13" s="554"/>
      <c r="KKK13" s="554"/>
      <c r="KKL13" s="554"/>
      <c r="KKM13" s="554"/>
      <c r="KKN13" s="554"/>
      <c r="KKO13" s="554"/>
      <c r="KKP13" s="554"/>
      <c r="KKQ13" s="554"/>
      <c r="KKR13" s="554"/>
      <c r="KKS13" s="554"/>
      <c r="KKT13" s="554"/>
      <c r="KKU13" s="554"/>
      <c r="KKV13" s="554"/>
      <c r="KKW13" s="554"/>
      <c r="KKX13" s="554"/>
      <c r="KKY13" s="554"/>
      <c r="KKZ13" s="554"/>
      <c r="KLA13" s="554"/>
      <c r="KLB13" s="554"/>
      <c r="KLC13" s="554"/>
      <c r="KLD13" s="554"/>
      <c r="KLE13" s="554"/>
      <c r="KLF13" s="554"/>
      <c r="KLG13" s="554"/>
      <c r="KLH13" s="554"/>
      <c r="KLI13" s="554"/>
      <c r="KLJ13" s="554"/>
      <c r="KLK13" s="554"/>
      <c r="KLL13" s="554"/>
      <c r="KLM13" s="554"/>
      <c r="KLN13" s="554"/>
      <c r="KLO13" s="554"/>
      <c r="KLP13" s="554"/>
      <c r="KLQ13" s="554"/>
      <c r="KLR13" s="554"/>
      <c r="KLS13" s="554"/>
      <c r="KLT13" s="554"/>
      <c r="KLU13" s="554"/>
      <c r="KLV13" s="554"/>
      <c r="KLW13" s="554"/>
      <c r="KLX13" s="554"/>
      <c r="KLY13" s="554"/>
      <c r="KLZ13" s="554"/>
      <c r="KMA13" s="554"/>
      <c r="KMB13" s="554"/>
      <c r="KMC13" s="554"/>
      <c r="KMD13" s="554"/>
      <c r="KME13" s="554"/>
      <c r="KMF13" s="554"/>
      <c r="KMG13" s="554"/>
      <c r="KMH13" s="554"/>
      <c r="KMI13" s="554"/>
      <c r="KMJ13" s="554"/>
      <c r="KMK13" s="554"/>
      <c r="KML13" s="554"/>
      <c r="KMM13" s="554"/>
      <c r="KMN13" s="554"/>
      <c r="KMO13" s="554"/>
      <c r="KMP13" s="554"/>
      <c r="KMQ13" s="554"/>
      <c r="KMR13" s="554"/>
      <c r="KMS13" s="554"/>
      <c r="KMT13" s="554"/>
      <c r="KMU13" s="554"/>
      <c r="KMV13" s="554"/>
      <c r="KMW13" s="554"/>
      <c r="KMX13" s="554"/>
      <c r="KMY13" s="554"/>
      <c r="KMZ13" s="554"/>
      <c r="KNA13" s="554"/>
      <c r="KNB13" s="554"/>
      <c r="KNC13" s="554"/>
      <c r="KND13" s="554"/>
      <c r="KNE13" s="554"/>
      <c r="KNF13" s="554"/>
      <c r="KNG13" s="554"/>
      <c r="KNH13" s="554"/>
      <c r="KNI13" s="554"/>
      <c r="KNJ13" s="554"/>
      <c r="KNK13" s="554"/>
      <c r="KNL13" s="554"/>
      <c r="KNM13" s="554"/>
      <c r="KNN13" s="554"/>
      <c r="KNO13" s="554"/>
      <c r="KNP13" s="554"/>
      <c r="KNQ13" s="554"/>
      <c r="KNR13" s="554"/>
      <c r="KNS13" s="554"/>
      <c r="KNT13" s="554"/>
      <c r="KNU13" s="554"/>
      <c r="KNV13" s="554"/>
      <c r="KNW13" s="554"/>
      <c r="KNX13" s="554"/>
      <c r="KNY13" s="554"/>
      <c r="KNZ13" s="554"/>
      <c r="KOA13" s="554"/>
      <c r="KOB13" s="554"/>
      <c r="KOC13" s="554"/>
      <c r="KOD13" s="554"/>
      <c r="KOE13" s="554"/>
      <c r="KOF13" s="554"/>
      <c r="KOG13" s="554"/>
      <c r="KOH13" s="554"/>
      <c r="KOI13" s="554"/>
      <c r="KOJ13" s="554"/>
      <c r="KOK13" s="554"/>
      <c r="KOL13" s="554"/>
      <c r="KOM13" s="554"/>
      <c r="KON13" s="554"/>
      <c r="KOO13" s="554"/>
      <c r="KOP13" s="554"/>
      <c r="KOQ13" s="554"/>
      <c r="KOR13" s="554"/>
      <c r="KOS13" s="554"/>
      <c r="KOT13" s="554"/>
      <c r="KOU13" s="554"/>
      <c r="KOV13" s="554"/>
      <c r="KOW13" s="554"/>
      <c r="KOX13" s="554"/>
      <c r="KOY13" s="554"/>
      <c r="KOZ13" s="554"/>
      <c r="KPA13" s="554"/>
      <c r="KPB13" s="554"/>
      <c r="KPC13" s="554"/>
      <c r="KPD13" s="554"/>
      <c r="KPE13" s="554"/>
      <c r="KPF13" s="554"/>
      <c r="KPG13" s="554"/>
      <c r="KPH13" s="554"/>
      <c r="KPI13" s="554"/>
      <c r="KPJ13" s="554"/>
      <c r="KPK13" s="554"/>
      <c r="KPL13" s="554"/>
      <c r="KPM13" s="554"/>
      <c r="KPN13" s="554"/>
      <c r="KPO13" s="554"/>
      <c r="KPP13" s="554"/>
      <c r="KPQ13" s="554"/>
      <c r="KPR13" s="554"/>
      <c r="KPS13" s="554"/>
      <c r="KPT13" s="554"/>
      <c r="KPU13" s="554"/>
      <c r="KPV13" s="554"/>
      <c r="KPW13" s="554"/>
      <c r="KPX13" s="554"/>
      <c r="KPY13" s="554"/>
      <c r="KPZ13" s="554"/>
      <c r="KQA13" s="554"/>
      <c r="KQB13" s="554"/>
      <c r="KQC13" s="554"/>
      <c r="KQD13" s="554"/>
      <c r="KQE13" s="554"/>
      <c r="KQF13" s="554"/>
      <c r="KQG13" s="554"/>
      <c r="KQH13" s="554"/>
      <c r="KQI13" s="554"/>
      <c r="KQJ13" s="554"/>
      <c r="KQK13" s="554"/>
      <c r="KQL13" s="554"/>
      <c r="KQM13" s="554"/>
      <c r="KQN13" s="554"/>
      <c r="KQO13" s="554"/>
      <c r="KQP13" s="554"/>
      <c r="KQQ13" s="554"/>
      <c r="KQR13" s="554"/>
      <c r="KQS13" s="554"/>
      <c r="KQT13" s="554"/>
      <c r="KQU13" s="554"/>
      <c r="KQV13" s="554"/>
      <c r="KQW13" s="554"/>
      <c r="KQX13" s="554"/>
      <c r="KQY13" s="554"/>
      <c r="KQZ13" s="554"/>
      <c r="KRA13" s="554"/>
      <c r="KRB13" s="554"/>
      <c r="KRC13" s="554"/>
      <c r="KRD13" s="554"/>
      <c r="KRE13" s="554"/>
      <c r="KRF13" s="554"/>
      <c r="KRG13" s="554"/>
      <c r="KRH13" s="554"/>
      <c r="KRI13" s="554"/>
      <c r="KRJ13" s="554"/>
      <c r="KRK13" s="554"/>
      <c r="KRL13" s="554"/>
      <c r="KRM13" s="554"/>
      <c r="KRN13" s="554"/>
      <c r="KRO13" s="554"/>
      <c r="KRP13" s="554"/>
      <c r="KRQ13" s="554"/>
      <c r="KRR13" s="554"/>
      <c r="KRS13" s="554"/>
      <c r="KRT13" s="554"/>
      <c r="KRU13" s="554"/>
      <c r="KRV13" s="554"/>
      <c r="KRW13" s="554"/>
      <c r="KRX13" s="554"/>
      <c r="KRY13" s="554"/>
      <c r="KRZ13" s="554"/>
      <c r="KSA13" s="554"/>
      <c r="KSB13" s="554"/>
      <c r="KSC13" s="554"/>
      <c r="KSD13" s="554"/>
      <c r="KSE13" s="554"/>
      <c r="KSF13" s="554"/>
      <c r="KSG13" s="554"/>
      <c r="KSH13" s="554"/>
      <c r="KSI13" s="554"/>
      <c r="KSJ13" s="554"/>
      <c r="KSK13" s="554"/>
      <c r="KSL13" s="554"/>
      <c r="KSM13" s="554"/>
      <c r="KSN13" s="554"/>
      <c r="KSO13" s="554"/>
      <c r="KSP13" s="554"/>
      <c r="KSQ13" s="554"/>
      <c r="KSR13" s="554"/>
      <c r="KSS13" s="554"/>
      <c r="KST13" s="554"/>
      <c r="KSU13" s="554"/>
      <c r="KSV13" s="554"/>
      <c r="KSW13" s="554"/>
      <c r="KSX13" s="554"/>
      <c r="KSY13" s="554"/>
      <c r="KSZ13" s="554"/>
      <c r="KTA13" s="554"/>
      <c r="KTB13" s="554"/>
      <c r="KTC13" s="554"/>
      <c r="KTD13" s="554"/>
      <c r="KTE13" s="554"/>
      <c r="KTF13" s="554"/>
      <c r="KTG13" s="554"/>
      <c r="KTH13" s="554"/>
      <c r="KTI13" s="554"/>
      <c r="KTJ13" s="554"/>
      <c r="KTK13" s="554"/>
      <c r="KTL13" s="554"/>
      <c r="KTM13" s="554"/>
      <c r="KTN13" s="554"/>
      <c r="KTO13" s="554"/>
      <c r="KTP13" s="554"/>
      <c r="KTQ13" s="554"/>
      <c r="KTR13" s="554"/>
      <c r="KTS13" s="554"/>
      <c r="KTT13" s="554"/>
      <c r="KTU13" s="554"/>
      <c r="KTV13" s="554"/>
      <c r="KTW13" s="554"/>
      <c r="KTX13" s="554"/>
      <c r="KTY13" s="554"/>
      <c r="KTZ13" s="554"/>
      <c r="KUA13" s="554"/>
      <c r="KUB13" s="554"/>
      <c r="KUC13" s="554"/>
      <c r="KUD13" s="554"/>
      <c r="KUE13" s="554"/>
      <c r="KUF13" s="554"/>
      <c r="KUG13" s="554"/>
      <c r="KUH13" s="554"/>
      <c r="KUI13" s="554"/>
      <c r="KUJ13" s="554"/>
      <c r="KUK13" s="554"/>
      <c r="KUL13" s="554"/>
      <c r="KUM13" s="554"/>
      <c r="KUN13" s="554"/>
      <c r="KUO13" s="554"/>
      <c r="KUP13" s="554"/>
      <c r="KUQ13" s="554"/>
      <c r="KUR13" s="554"/>
      <c r="KUS13" s="554"/>
      <c r="KUT13" s="554"/>
      <c r="KUU13" s="554"/>
      <c r="KUV13" s="554"/>
      <c r="KUW13" s="554"/>
      <c r="KUX13" s="554"/>
      <c r="KUY13" s="554"/>
      <c r="KUZ13" s="554"/>
      <c r="KVA13" s="554"/>
      <c r="KVB13" s="554"/>
      <c r="KVC13" s="554"/>
      <c r="KVD13" s="554"/>
      <c r="KVE13" s="554"/>
      <c r="KVF13" s="554"/>
      <c r="KVG13" s="554"/>
      <c r="KVH13" s="554"/>
      <c r="KVI13" s="554"/>
      <c r="KVJ13" s="554"/>
      <c r="KVK13" s="554"/>
      <c r="KVL13" s="554"/>
      <c r="KVM13" s="554"/>
      <c r="KVN13" s="554"/>
      <c r="KVO13" s="554"/>
      <c r="KVP13" s="554"/>
      <c r="KVQ13" s="554"/>
      <c r="KVR13" s="554"/>
      <c r="KVS13" s="554"/>
      <c r="KVT13" s="554"/>
      <c r="KVU13" s="554"/>
      <c r="KVV13" s="554"/>
      <c r="KVW13" s="554"/>
      <c r="KVX13" s="554"/>
      <c r="KVY13" s="554"/>
      <c r="KVZ13" s="554"/>
      <c r="KWA13" s="554"/>
      <c r="KWB13" s="554"/>
      <c r="KWC13" s="554"/>
      <c r="KWD13" s="554"/>
      <c r="KWE13" s="554"/>
      <c r="KWF13" s="554"/>
      <c r="KWG13" s="554"/>
      <c r="KWH13" s="554"/>
      <c r="KWI13" s="554"/>
      <c r="KWJ13" s="554"/>
      <c r="KWK13" s="554"/>
      <c r="KWL13" s="554"/>
      <c r="KWM13" s="554"/>
      <c r="KWN13" s="554"/>
      <c r="KWO13" s="554"/>
      <c r="KWP13" s="554"/>
      <c r="KWQ13" s="554"/>
      <c r="KWR13" s="554"/>
      <c r="KWS13" s="554"/>
      <c r="KWT13" s="554"/>
      <c r="KWU13" s="554"/>
      <c r="KWV13" s="554"/>
      <c r="KWW13" s="554"/>
      <c r="KWX13" s="554"/>
      <c r="KWY13" s="554"/>
      <c r="KWZ13" s="554"/>
      <c r="KXA13" s="554"/>
      <c r="KXB13" s="554"/>
      <c r="KXC13" s="554"/>
      <c r="KXD13" s="554"/>
      <c r="KXE13" s="554"/>
      <c r="KXF13" s="554"/>
      <c r="KXG13" s="554"/>
      <c r="KXH13" s="554"/>
      <c r="KXI13" s="554"/>
      <c r="KXJ13" s="554"/>
      <c r="KXK13" s="554"/>
      <c r="KXL13" s="554"/>
      <c r="KXM13" s="554"/>
      <c r="KXN13" s="554"/>
      <c r="KXO13" s="554"/>
      <c r="KXP13" s="554"/>
      <c r="KXQ13" s="554"/>
      <c r="KXR13" s="554"/>
      <c r="KXS13" s="554"/>
      <c r="KXT13" s="554"/>
      <c r="KXU13" s="554"/>
      <c r="KXV13" s="554"/>
      <c r="KXW13" s="554"/>
      <c r="KXX13" s="554"/>
      <c r="KXY13" s="554"/>
      <c r="KXZ13" s="554"/>
      <c r="KYA13" s="554"/>
      <c r="KYB13" s="554"/>
      <c r="KYC13" s="554"/>
      <c r="KYD13" s="554"/>
      <c r="KYE13" s="554"/>
      <c r="KYF13" s="554"/>
      <c r="KYG13" s="554"/>
      <c r="KYH13" s="554"/>
      <c r="KYI13" s="554"/>
      <c r="KYJ13" s="554"/>
      <c r="KYK13" s="554"/>
      <c r="KYL13" s="554"/>
      <c r="KYM13" s="554"/>
      <c r="KYN13" s="554"/>
      <c r="KYO13" s="554"/>
      <c r="KYP13" s="554"/>
      <c r="KYQ13" s="554"/>
      <c r="KYR13" s="554"/>
      <c r="KYS13" s="554"/>
      <c r="KYT13" s="554"/>
      <c r="KYU13" s="554"/>
      <c r="KYV13" s="554"/>
      <c r="KYW13" s="554"/>
      <c r="KYX13" s="554"/>
      <c r="KYY13" s="554"/>
      <c r="KYZ13" s="554"/>
      <c r="KZA13" s="554"/>
      <c r="KZB13" s="554"/>
      <c r="KZC13" s="554"/>
      <c r="KZD13" s="554"/>
      <c r="KZE13" s="554"/>
      <c r="KZF13" s="554"/>
      <c r="KZG13" s="554"/>
      <c r="KZH13" s="554"/>
      <c r="KZI13" s="554"/>
      <c r="KZJ13" s="554"/>
      <c r="KZK13" s="554"/>
      <c r="KZL13" s="554"/>
      <c r="KZM13" s="554"/>
      <c r="KZN13" s="554"/>
      <c r="KZO13" s="554"/>
      <c r="KZP13" s="554"/>
      <c r="KZQ13" s="554"/>
      <c r="KZR13" s="554"/>
      <c r="KZS13" s="554"/>
      <c r="KZT13" s="554"/>
      <c r="KZU13" s="554"/>
      <c r="KZV13" s="554"/>
      <c r="KZW13" s="554"/>
      <c r="KZX13" s="554"/>
      <c r="KZY13" s="554"/>
      <c r="KZZ13" s="554"/>
      <c r="LAA13" s="554"/>
      <c r="LAB13" s="554"/>
      <c r="LAC13" s="554"/>
      <c r="LAD13" s="554"/>
      <c r="LAE13" s="554"/>
      <c r="LAF13" s="554"/>
      <c r="LAG13" s="554"/>
      <c r="LAH13" s="554"/>
      <c r="LAI13" s="554"/>
      <c r="LAJ13" s="554"/>
      <c r="LAK13" s="554"/>
      <c r="LAL13" s="554"/>
      <c r="LAM13" s="554"/>
      <c r="LAN13" s="554"/>
      <c r="LAO13" s="554"/>
      <c r="LAP13" s="554"/>
      <c r="LAQ13" s="554"/>
      <c r="LAR13" s="554"/>
      <c r="LAS13" s="554"/>
      <c r="LAT13" s="554"/>
      <c r="LAU13" s="554"/>
      <c r="LAV13" s="554"/>
      <c r="LAW13" s="554"/>
      <c r="LAX13" s="554"/>
      <c r="LAY13" s="554"/>
      <c r="LAZ13" s="554"/>
      <c r="LBA13" s="554"/>
      <c r="LBB13" s="554"/>
      <c r="LBC13" s="554"/>
      <c r="LBD13" s="554"/>
      <c r="LBE13" s="554"/>
      <c r="LBF13" s="554"/>
      <c r="LBG13" s="554"/>
      <c r="LBH13" s="554"/>
      <c r="LBI13" s="554"/>
      <c r="LBJ13" s="554"/>
      <c r="LBK13" s="554"/>
      <c r="LBL13" s="554"/>
      <c r="LBM13" s="554"/>
      <c r="LBN13" s="554"/>
      <c r="LBO13" s="554"/>
      <c r="LBP13" s="554"/>
      <c r="LBQ13" s="554"/>
      <c r="LBR13" s="554"/>
      <c r="LBS13" s="554"/>
      <c r="LBT13" s="554"/>
      <c r="LBU13" s="554"/>
      <c r="LBV13" s="554"/>
      <c r="LBW13" s="554"/>
      <c r="LBX13" s="554"/>
      <c r="LBY13" s="554"/>
      <c r="LBZ13" s="554"/>
      <c r="LCA13" s="554"/>
      <c r="LCB13" s="554"/>
      <c r="LCC13" s="554"/>
      <c r="LCD13" s="554"/>
      <c r="LCE13" s="554"/>
      <c r="LCF13" s="554"/>
      <c r="LCG13" s="554"/>
      <c r="LCH13" s="554"/>
      <c r="LCI13" s="554"/>
      <c r="LCJ13" s="554"/>
      <c r="LCK13" s="554"/>
      <c r="LCL13" s="554"/>
      <c r="LCM13" s="554"/>
      <c r="LCN13" s="554"/>
      <c r="LCO13" s="554"/>
      <c r="LCP13" s="554"/>
      <c r="LCQ13" s="554"/>
      <c r="LCR13" s="554"/>
      <c r="LCS13" s="554"/>
      <c r="LCT13" s="554"/>
      <c r="LCU13" s="554"/>
      <c r="LCV13" s="554"/>
      <c r="LCW13" s="554"/>
      <c r="LCX13" s="554"/>
      <c r="LCY13" s="554"/>
      <c r="LCZ13" s="554"/>
      <c r="LDA13" s="554"/>
      <c r="LDB13" s="554"/>
      <c r="LDC13" s="554"/>
      <c r="LDD13" s="554"/>
      <c r="LDE13" s="554"/>
      <c r="LDF13" s="554"/>
      <c r="LDG13" s="554"/>
      <c r="LDH13" s="554"/>
      <c r="LDI13" s="554"/>
      <c r="LDJ13" s="554"/>
      <c r="LDK13" s="554"/>
      <c r="LDL13" s="554"/>
      <c r="LDM13" s="554"/>
      <c r="LDN13" s="554"/>
      <c r="LDO13" s="554"/>
      <c r="LDP13" s="554"/>
      <c r="LDQ13" s="554"/>
      <c r="LDR13" s="554"/>
      <c r="LDS13" s="554"/>
      <c r="LDT13" s="554"/>
      <c r="LDU13" s="554"/>
      <c r="LDV13" s="554"/>
      <c r="LDW13" s="554"/>
      <c r="LDX13" s="554"/>
      <c r="LDY13" s="554"/>
      <c r="LDZ13" s="554"/>
      <c r="LEA13" s="554"/>
      <c r="LEB13" s="554"/>
      <c r="LEC13" s="554"/>
      <c r="LED13" s="554"/>
      <c r="LEE13" s="554"/>
      <c r="LEF13" s="554"/>
      <c r="LEG13" s="554"/>
      <c r="LEH13" s="554"/>
      <c r="LEI13" s="554"/>
      <c r="LEJ13" s="554"/>
      <c r="LEK13" s="554"/>
      <c r="LEL13" s="554"/>
      <c r="LEM13" s="554"/>
      <c r="LEN13" s="554"/>
      <c r="LEO13" s="554"/>
      <c r="LEP13" s="554"/>
      <c r="LEQ13" s="554"/>
      <c r="LER13" s="554"/>
      <c r="LES13" s="554"/>
      <c r="LET13" s="554"/>
      <c r="LEU13" s="554"/>
      <c r="LEV13" s="554"/>
      <c r="LEW13" s="554"/>
      <c r="LEX13" s="554"/>
      <c r="LEY13" s="554"/>
      <c r="LEZ13" s="554"/>
      <c r="LFA13" s="554"/>
      <c r="LFB13" s="554"/>
      <c r="LFC13" s="554"/>
      <c r="LFD13" s="554"/>
      <c r="LFE13" s="554"/>
      <c r="LFF13" s="554"/>
      <c r="LFG13" s="554"/>
      <c r="LFH13" s="554"/>
      <c r="LFI13" s="554"/>
      <c r="LFJ13" s="554"/>
      <c r="LFK13" s="554"/>
      <c r="LFL13" s="554"/>
      <c r="LFM13" s="554"/>
      <c r="LFN13" s="554"/>
      <c r="LFO13" s="554"/>
      <c r="LFP13" s="554"/>
      <c r="LFQ13" s="554"/>
      <c r="LFR13" s="554"/>
      <c r="LFS13" s="554"/>
      <c r="LFT13" s="554"/>
      <c r="LFU13" s="554"/>
      <c r="LFV13" s="554"/>
      <c r="LFW13" s="554"/>
      <c r="LFX13" s="554"/>
      <c r="LFY13" s="554"/>
      <c r="LFZ13" s="554"/>
      <c r="LGA13" s="554"/>
      <c r="LGB13" s="554"/>
      <c r="LGC13" s="554"/>
      <c r="LGD13" s="554"/>
      <c r="LGE13" s="554"/>
      <c r="LGF13" s="554"/>
      <c r="LGG13" s="554"/>
      <c r="LGH13" s="554"/>
      <c r="LGI13" s="554"/>
      <c r="LGJ13" s="554"/>
      <c r="LGK13" s="554"/>
      <c r="LGL13" s="554"/>
      <c r="LGM13" s="554"/>
      <c r="LGN13" s="554"/>
      <c r="LGO13" s="554"/>
      <c r="LGP13" s="554"/>
      <c r="LGQ13" s="554"/>
      <c r="LGR13" s="554"/>
      <c r="LGS13" s="554"/>
      <c r="LGT13" s="554"/>
      <c r="LGU13" s="554"/>
      <c r="LGV13" s="554"/>
      <c r="LGW13" s="554"/>
      <c r="LGX13" s="554"/>
      <c r="LGY13" s="554"/>
      <c r="LGZ13" s="554"/>
      <c r="LHA13" s="554"/>
      <c r="LHB13" s="554"/>
      <c r="LHC13" s="554"/>
      <c r="LHD13" s="554"/>
      <c r="LHE13" s="554"/>
      <c r="LHF13" s="554"/>
      <c r="LHG13" s="554"/>
      <c r="LHH13" s="554"/>
      <c r="LHI13" s="554"/>
      <c r="LHJ13" s="554"/>
      <c r="LHK13" s="554"/>
      <c r="LHL13" s="554"/>
      <c r="LHM13" s="554"/>
      <c r="LHN13" s="554"/>
      <c r="LHO13" s="554"/>
      <c r="LHP13" s="554"/>
      <c r="LHQ13" s="554"/>
      <c r="LHR13" s="554"/>
      <c r="LHS13" s="554"/>
      <c r="LHT13" s="554"/>
      <c r="LHU13" s="554"/>
      <c r="LHV13" s="554"/>
      <c r="LHW13" s="554"/>
      <c r="LHX13" s="554"/>
      <c r="LHY13" s="554"/>
      <c r="LHZ13" s="554"/>
      <c r="LIA13" s="554"/>
      <c r="LIB13" s="554"/>
      <c r="LIC13" s="554"/>
      <c r="LID13" s="554"/>
      <c r="LIE13" s="554"/>
      <c r="LIF13" s="554"/>
      <c r="LIG13" s="554"/>
      <c r="LIH13" s="554"/>
      <c r="LII13" s="554"/>
      <c r="LIJ13" s="554"/>
      <c r="LIK13" s="554"/>
      <c r="LIL13" s="554"/>
      <c r="LIM13" s="554"/>
      <c r="LIN13" s="554"/>
      <c r="LIO13" s="554"/>
      <c r="LIP13" s="554"/>
      <c r="LIQ13" s="554"/>
      <c r="LIR13" s="554"/>
      <c r="LIS13" s="554"/>
      <c r="LIT13" s="554"/>
      <c r="LIU13" s="554"/>
      <c r="LIV13" s="554"/>
      <c r="LIW13" s="554"/>
      <c r="LIX13" s="554"/>
      <c r="LIY13" s="554"/>
      <c r="LIZ13" s="554"/>
      <c r="LJA13" s="554"/>
      <c r="LJB13" s="554"/>
      <c r="LJC13" s="554"/>
      <c r="LJD13" s="554"/>
      <c r="LJE13" s="554"/>
      <c r="LJF13" s="554"/>
      <c r="LJG13" s="554"/>
      <c r="LJH13" s="554"/>
      <c r="LJI13" s="554"/>
      <c r="LJJ13" s="554"/>
      <c r="LJK13" s="554"/>
      <c r="LJL13" s="554"/>
      <c r="LJM13" s="554"/>
      <c r="LJN13" s="554"/>
      <c r="LJO13" s="554"/>
      <c r="LJP13" s="554"/>
      <c r="LJQ13" s="554"/>
      <c r="LJR13" s="554"/>
      <c r="LJS13" s="554"/>
      <c r="LJT13" s="554"/>
      <c r="LJU13" s="554"/>
      <c r="LJV13" s="554"/>
      <c r="LJW13" s="554"/>
      <c r="LJX13" s="554"/>
      <c r="LJY13" s="554"/>
      <c r="LJZ13" s="554"/>
      <c r="LKA13" s="554"/>
      <c r="LKB13" s="554"/>
      <c r="LKC13" s="554"/>
      <c r="LKD13" s="554"/>
      <c r="LKE13" s="554"/>
      <c r="LKF13" s="554"/>
      <c r="LKG13" s="554"/>
      <c r="LKH13" s="554"/>
      <c r="LKI13" s="554"/>
      <c r="LKJ13" s="554"/>
      <c r="LKK13" s="554"/>
      <c r="LKL13" s="554"/>
      <c r="LKM13" s="554"/>
      <c r="LKN13" s="554"/>
      <c r="LKO13" s="554"/>
      <c r="LKP13" s="554"/>
      <c r="LKQ13" s="554"/>
      <c r="LKR13" s="554"/>
      <c r="LKS13" s="554"/>
      <c r="LKT13" s="554"/>
      <c r="LKU13" s="554"/>
      <c r="LKV13" s="554"/>
      <c r="LKW13" s="554"/>
      <c r="LKX13" s="554"/>
      <c r="LKY13" s="554"/>
      <c r="LKZ13" s="554"/>
      <c r="LLA13" s="554"/>
      <c r="LLB13" s="554"/>
      <c r="LLC13" s="554"/>
      <c r="LLD13" s="554"/>
      <c r="LLE13" s="554"/>
      <c r="LLF13" s="554"/>
      <c r="LLG13" s="554"/>
      <c r="LLH13" s="554"/>
      <c r="LLI13" s="554"/>
      <c r="LLJ13" s="554"/>
      <c r="LLK13" s="554"/>
      <c r="LLL13" s="554"/>
      <c r="LLM13" s="554"/>
      <c r="LLN13" s="554"/>
      <c r="LLO13" s="554"/>
      <c r="LLP13" s="554"/>
      <c r="LLQ13" s="554"/>
      <c r="LLR13" s="554"/>
      <c r="LLS13" s="554"/>
      <c r="LLT13" s="554"/>
      <c r="LLU13" s="554"/>
      <c r="LLV13" s="554"/>
      <c r="LLW13" s="554"/>
      <c r="LLX13" s="554"/>
      <c r="LLY13" s="554"/>
      <c r="LLZ13" s="554"/>
      <c r="LMA13" s="554"/>
      <c r="LMB13" s="554"/>
      <c r="LMC13" s="554"/>
      <c r="LMD13" s="554"/>
      <c r="LME13" s="554"/>
      <c r="LMF13" s="554"/>
      <c r="LMG13" s="554"/>
      <c r="LMH13" s="554"/>
      <c r="LMI13" s="554"/>
      <c r="LMJ13" s="554"/>
      <c r="LMK13" s="554"/>
      <c r="LML13" s="554"/>
      <c r="LMM13" s="554"/>
      <c r="LMN13" s="554"/>
      <c r="LMO13" s="554"/>
      <c r="LMP13" s="554"/>
      <c r="LMQ13" s="554"/>
      <c r="LMR13" s="554"/>
      <c r="LMS13" s="554"/>
      <c r="LMT13" s="554"/>
      <c r="LMU13" s="554"/>
      <c r="LMV13" s="554"/>
      <c r="LMW13" s="554"/>
      <c r="LMX13" s="554"/>
      <c r="LMY13" s="554"/>
      <c r="LMZ13" s="554"/>
      <c r="LNA13" s="554"/>
      <c r="LNB13" s="554"/>
      <c r="LNC13" s="554"/>
      <c r="LND13" s="554"/>
      <c r="LNE13" s="554"/>
      <c r="LNF13" s="554"/>
      <c r="LNG13" s="554"/>
      <c r="LNH13" s="554"/>
      <c r="LNI13" s="554"/>
      <c r="LNJ13" s="554"/>
      <c r="LNK13" s="554"/>
      <c r="LNL13" s="554"/>
      <c r="LNM13" s="554"/>
      <c r="LNN13" s="554"/>
      <c r="LNO13" s="554"/>
      <c r="LNP13" s="554"/>
      <c r="LNQ13" s="554"/>
      <c r="LNR13" s="554"/>
      <c r="LNS13" s="554"/>
      <c r="LNT13" s="554"/>
      <c r="LNU13" s="554"/>
      <c r="LNV13" s="554"/>
      <c r="LNW13" s="554"/>
      <c r="LNX13" s="554"/>
      <c r="LNY13" s="554"/>
      <c r="LNZ13" s="554"/>
      <c r="LOA13" s="554"/>
      <c r="LOB13" s="554"/>
      <c r="LOC13" s="554"/>
      <c r="LOD13" s="554"/>
      <c r="LOE13" s="554"/>
      <c r="LOF13" s="554"/>
      <c r="LOG13" s="554"/>
      <c r="LOH13" s="554"/>
      <c r="LOI13" s="554"/>
      <c r="LOJ13" s="554"/>
      <c r="LOK13" s="554"/>
      <c r="LOL13" s="554"/>
      <c r="LOM13" s="554"/>
      <c r="LON13" s="554"/>
      <c r="LOO13" s="554"/>
      <c r="LOP13" s="554"/>
      <c r="LOQ13" s="554"/>
      <c r="LOR13" s="554"/>
      <c r="LOS13" s="554"/>
      <c r="LOT13" s="554"/>
      <c r="LOU13" s="554"/>
      <c r="LOV13" s="554"/>
      <c r="LOW13" s="554"/>
      <c r="LOX13" s="554"/>
      <c r="LOY13" s="554"/>
      <c r="LOZ13" s="554"/>
      <c r="LPA13" s="554"/>
      <c r="LPB13" s="554"/>
      <c r="LPC13" s="554"/>
      <c r="LPD13" s="554"/>
      <c r="LPE13" s="554"/>
      <c r="LPF13" s="554"/>
      <c r="LPG13" s="554"/>
      <c r="LPH13" s="554"/>
      <c r="LPI13" s="554"/>
      <c r="LPJ13" s="554"/>
      <c r="LPK13" s="554"/>
      <c r="LPL13" s="554"/>
      <c r="LPM13" s="554"/>
      <c r="LPN13" s="554"/>
      <c r="LPO13" s="554"/>
      <c r="LPP13" s="554"/>
      <c r="LPQ13" s="554"/>
      <c r="LPR13" s="554"/>
      <c r="LPS13" s="554"/>
      <c r="LPT13" s="554"/>
      <c r="LPU13" s="554"/>
      <c r="LPV13" s="554"/>
      <c r="LPW13" s="554"/>
      <c r="LPX13" s="554"/>
      <c r="LPY13" s="554"/>
      <c r="LPZ13" s="554"/>
      <c r="LQA13" s="554"/>
      <c r="LQB13" s="554"/>
      <c r="LQC13" s="554"/>
      <c r="LQD13" s="554"/>
      <c r="LQE13" s="554"/>
      <c r="LQF13" s="554"/>
      <c r="LQG13" s="554"/>
      <c r="LQH13" s="554"/>
      <c r="LQI13" s="554"/>
      <c r="LQJ13" s="554"/>
      <c r="LQK13" s="554"/>
      <c r="LQL13" s="554"/>
      <c r="LQM13" s="554"/>
      <c r="LQN13" s="554"/>
      <c r="LQO13" s="554"/>
      <c r="LQP13" s="554"/>
      <c r="LQQ13" s="554"/>
      <c r="LQR13" s="554"/>
      <c r="LQS13" s="554"/>
      <c r="LQT13" s="554"/>
      <c r="LQU13" s="554"/>
      <c r="LQV13" s="554"/>
      <c r="LQW13" s="554"/>
      <c r="LQX13" s="554"/>
      <c r="LQY13" s="554"/>
      <c r="LQZ13" s="554"/>
      <c r="LRA13" s="554"/>
      <c r="LRB13" s="554"/>
      <c r="LRC13" s="554"/>
      <c r="LRD13" s="554"/>
      <c r="LRE13" s="554"/>
      <c r="LRF13" s="554"/>
      <c r="LRG13" s="554"/>
      <c r="LRH13" s="554"/>
      <c r="LRI13" s="554"/>
      <c r="LRJ13" s="554"/>
      <c r="LRK13" s="554"/>
      <c r="LRL13" s="554"/>
      <c r="LRM13" s="554"/>
      <c r="LRN13" s="554"/>
      <c r="LRO13" s="554"/>
      <c r="LRP13" s="554"/>
      <c r="LRQ13" s="554"/>
      <c r="LRR13" s="554"/>
      <c r="LRS13" s="554"/>
      <c r="LRT13" s="554"/>
      <c r="LRU13" s="554"/>
      <c r="LRV13" s="554"/>
      <c r="LRW13" s="554"/>
      <c r="LRX13" s="554"/>
      <c r="LRY13" s="554"/>
      <c r="LRZ13" s="554"/>
      <c r="LSA13" s="554"/>
      <c r="LSB13" s="554"/>
      <c r="LSC13" s="554"/>
      <c r="LSD13" s="554"/>
      <c r="LSE13" s="554"/>
      <c r="LSF13" s="554"/>
      <c r="LSG13" s="554"/>
      <c r="LSH13" s="554"/>
      <c r="LSI13" s="554"/>
      <c r="LSJ13" s="554"/>
      <c r="LSK13" s="554"/>
      <c r="LSL13" s="554"/>
      <c r="LSM13" s="554"/>
      <c r="LSN13" s="554"/>
      <c r="LSO13" s="554"/>
      <c r="LSP13" s="554"/>
      <c r="LSQ13" s="554"/>
      <c r="LSR13" s="554"/>
      <c r="LSS13" s="554"/>
      <c r="LST13" s="554"/>
      <c r="LSU13" s="554"/>
      <c r="LSV13" s="554"/>
      <c r="LSW13" s="554"/>
      <c r="LSX13" s="554"/>
      <c r="LSY13" s="554"/>
      <c r="LSZ13" s="554"/>
      <c r="LTA13" s="554"/>
      <c r="LTB13" s="554"/>
      <c r="LTC13" s="554"/>
      <c r="LTD13" s="554"/>
      <c r="LTE13" s="554"/>
      <c r="LTF13" s="554"/>
      <c r="LTG13" s="554"/>
      <c r="LTH13" s="554"/>
      <c r="LTI13" s="554"/>
      <c r="LTJ13" s="554"/>
      <c r="LTK13" s="554"/>
      <c r="LTL13" s="554"/>
      <c r="LTM13" s="554"/>
      <c r="LTN13" s="554"/>
      <c r="LTO13" s="554"/>
      <c r="LTP13" s="554"/>
      <c r="LTQ13" s="554"/>
      <c r="LTR13" s="554"/>
      <c r="LTS13" s="554"/>
      <c r="LTT13" s="554"/>
      <c r="LTU13" s="554"/>
      <c r="LTV13" s="554"/>
      <c r="LTW13" s="554"/>
      <c r="LTX13" s="554"/>
      <c r="LTY13" s="554"/>
      <c r="LTZ13" s="554"/>
      <c r="LUA13" s="554"/>
      <c r="LUB13" s="554"/>
      <c r="LUC13" s="554"/>
      <c r="LUD13" s="554"/>
      <c r="LUE13" s="554"/>
      <c r="LUF13" s="554"/>
      <c r="LUG13" s="554"/>
      <c r="LUH13" s="554"/>
      <c r="LUI13" s="554"/>
      <c r="LUJ13" s="554"/>
      <c r="LUK13" s="554"/>
      <c r="LUL13" s="554"/>
      <c r="LUM13" s="554"/>
      <c r="LUN13" s="554"/>
      <c r="LUO13" s="554"/>
      <c r="LUP13" s="554"/>
      <c r="LUQ13" s="554"/>
      <c r="LUR13" s="554"/>
      <c r="LUS13" s="554"/>
      <c r="LUT13" s="554"/>
      <c r="LUU13" s="554"/>
      <c r="LUV13" s="554"/>
      <c r="LUW13" s="554"/>
      <c r="LUX13" s="554"/>
      <c r="LUY13" s="554"/>
      <c r="LUZ13" s="554"/>
      <c r="LVA13" s="554"/>
      <c r="LVB13" s="554"/>
      <c r="LVC13" s="554"/>
      <c r="LVD13" s="554"/>
      <c r="LVE13" s="554"/>
      <c r="LVF13" s="554"/>
      <c r="LVG13" s="554"/>
      <c r="LVH13" s="554"/>
      <c r="LVI13" s="554"/>
      <c r="LVJ13" s="554"/>
      <c r="LVK13" s="554"/>
      <c r="LVL13" s="554"/>
      <c r="LVM13" s="554"/>
      <c r="LVN13" s="554"/>
      <c r="LVO13" s="554"/>
      <c r="LVP13" s="554"/>
      <c r="LVQ13" s="554"/>
      <c r="LVR13" s="554"/>
      <c r="LVS13" s="554"/>
      <c r="LVT13" s="554"/>
      <c r="LVU13" s="554"/>
      <c r="LVV13" s="554"/>
      <c r="LVW13" s="554"/>
      <c r="LVX13" s="554"/>
      <c r="LVY13" s="554"/>
      <c r="LVZ13" s="554"/>
      <c r="LWA13" s="554"/>
      <c r="LWB13" s="554"/>
      <c r="LWC13" s="554"/>
      <c r="LWD13" s="554"/>
      <c r="LWE13" s="554"/>
      <c r="LWF13" s="554"/>
      <c r="LWG13" s="554"/>
      <c r="LWH13" s="554"/>
      <c r="LWI13" s="554"/>
      <c r="LWJ13" s="554"/>
      <c r="LWK13" s="554"/>
      <c r="LWL13" s="554"/>
      <c r="LWM13" s="554"/>
      <c r="LWN13" s="554"/>
      <c r="LWO13" s="554"/>
      <c r="LWP13" s="554"/>
      <c r="LWQ13" s="554"/>
      <c r="LWR13" s="554"/>
      <c r="LWS13" s="554"/>
      <c r="LWT13" s="554"/>
      <c r="LWU13" s="554"/>
      <c r="LWV13" s="554"/>
      <c r="LWW13" s="554"/>
      <c r="LWX13" s="554"/>
      <c r="LWY13" s="554"/>
      <c r="LWZ13" s="554"/>
      <c r="LXA13" s="554"/>
      <c r="LXB13" s="554"/>
      <c r="LXC13" s="554"/>
      <c r="LXD13" s="554"/>
      <c r="LXE13" s="554"/>
      <c r="LXF13" s="554"/>
      <c r="LXG13" s="554"/>
      <c r="LXH13" s="554"/>
      <c r="LXI13" s="554"/>
      <c r="LXJ13" s="554"/>
      <c r="LXK13" s="554"/>
      <c r="LXL13" s="554"/>
      <c r="LXM13" s="554"/>
      <c r="LXN13" s="554"/>
      <c r="LXO13" s="554"/>
      <c r="LXP13" s="554"/>
      <c r="LXQ13" s="554"/>
      <c r="LXR13" s="554"/>
      <c r="LXS13" s="554"/>
      <c r="LXT13" s="554"/>
      <c r="LXU13" s="554"/>
      <c r="LXV13" s="554"/>
      <c r="LXW13" s="554"/>
      <c r="LXX13" s="554"/>
      <c r="LXY13" s="554"/>
      <c r="LXZ13" s="554"/>
      <c r="LYA13" s="554"/>
      <c r="LYB13" s="554"/>
      <c r="LYC13" s="554"/>
      <c r="LYD13" s="554"/>
      <c r="LYE13" s="554"/>
      <c r="LYF13" s="554"/>
      <c r="LYG13" s="554"/>
      <c r="LYH13" s="554"/>
      <c r="LYI13" s="554"/>
      <c r="LYJ13" s="554"/>
      <c r="LYK13" s="554"/>
      <c r="LYL13" s="554"/>
      <c r="LYM13" s="554"/>
      <c r="LYN13" s="554"/>
      <c r="LYO13" s="554"/>
      <c r="LYP13" s="554"/>
      <c r="LYQ13" s="554"/>
      <c r="LYR13" s="554"/>
      <c r="LYS13" s="554"/>
      <c r="LYT13" s="554"/>
      <c r="LYU13" s="554"/>
      <c r="LYV13" s="554"/>
      <c r="LYW13" s="554"/>
      <c r="LYX13" s="554"/>
      <c r="LYY13" s="554"/>
      <c r="LYZ13" s="554"/>
      <c r="LZA13" s="554"/>
      <c r="LZB13" s="554"/>
      <c r="LZC13" s="554"/>
      <c r="LZD13" s="554"/>
      <c r="LZE13" s="554"/>
      <c r="LZF13" s="554"/>
      <c r="LZG13" s="554"/>
      <c r="LZH13" s="554"/>
      <c r="LZI13" s="554"/>
      <c r="LZJ13" s="554"/>
      <c r="LZK13" s="554"/>
      <c r="LZL13" s="554"/>
      <c r="LZM13" s="554"/>
      <c r="LZN13" s="554"/>
      <c r="LZO13" s="554"/>
      <c r="LZP13" s="554"/>
      <c r="LZQ13" s="554"/>
      <c r="LZR13" s="554"/>
      <c r="LZS13" s="554"/>
      <c r="LZT13" s="554"/>
      <c r="LZU13" s="554"/>
      <c r="LZV13" s="554"/>
      <c r="LZW13" s="554"/>
      <c r="LZX13" s="554"/>
      <c r="LZY13" s="554"/>
      <c r="LZZ13" s="554"/>
      <c r="MAA13" s="554"/>
      <c r="MAB13" s="554"/>
      <c r="MAC13" s="554"/>
      <c r="MAD13" s="554"/>
      <c r="MAE13" s="554"/>
      <c r="MAF13" s="554"/>
      <c r="MAG13" s="554"/>
      <c r="MAH13" s="554"/>
      <c r="MAI13" s="554"/>
      <c r="MAJ13" s="554"/>
      <c r="MAK13" s="554"/>
      <c r="MAL13" s="554"/>
      <c r="MAM13" s="554"/>
      <c r="MAN13" s="554"/>
      <c r="MAO13" s="554"/>
      <c r="MAP13" s="554"/>
      <c r="MAQ13" s="554"/>
      <c r="MAR13" s="554"/>
      <c r="MAS13" s="554"/>
      <c r="MAT13" s="554"/>
      <c r="MAU13" s="554"/>
      <c r="MAV13" s="554"/>
      <c r="MAW13" s="554"/>
      <c r="MAX13" s="554"/>
      <c r="MAY13" s="554"/>
      <c r="MAZ13" s="554"/>
      <c r="MBA13" s="554"/>
      <c r="MBB13" s="554"/>
      <c r="MBC13" s="554"/>
      <c r="MBD13" s="554"/>
      <c r="MBE13" s="554"/>
      <c r="MBF13" s="554"/>
      <c r="MBG13" s="554"/>
      <c r="MBH13" s="554"/>
      <c r="MBI13" s="554"/>
      <c r="MBJ13" s="554"/>
      <c r="MBK13" s="554"/>
      <c r="MBL13" s="554"/>
      <c r="MBM13" s="554"/>
      <c r="MBN13" s="554"/>
      <c r="MBO13" s="554"/>
      <c r="MBP13" s="554"/>
      <c r="MBQ13" s="554"/>
      <c r="MBR13" s="554"/>
      <c r="MBS13" s="554"/>
      <c r="MBT13" s="554"/>
      <c r="MBU13" s="554"/>
      <c r="MBV13" s="554"/>
      <c r="MBW13" s="554"/>
      <c r="MBX13" s="554"/>
      <c r="MBY13" s="554"/>
      <c r="MBZ13" s="554"/>
      <c r="MCA13" s="554"/>
      <c r="MCB13" s="554"/>
      <c r="MCC13" s="554"/>
      <c r="MCD13" s="554"/>
      <c r="MCE13" s="554"/>
      <c r="MCF13" s="554"/>
      <c r="MCG13" s="554"/>
      <c r="MCH13" s="554"/>
      <c r="MCI13" s="554"/>
      <c r="MCJ13" s="554"/>
      <c r="MCK13" s="554"/>
      <c r="MCL13" s="554"/>
      <c r="MCM13" s="554"/>
      <c r="MCN13" s="554"/>
      <c r="MCO13" s="554"/>
      <c r="MCP13" s="554"/>
      <c r="MCQ13" s="554"/>
      <c r="MCR13" s="554"/>
      <c r="MCS13" s="554"/>
      <c r="MCT13" s="554"/>
      <c r="MCU13" s="554"/>
      <c r="MCV13" s="554"/>
      <c r="MCW13" s="554"/>
      <c r="MCX13" s="554"/>
      <c r="MCY13" s="554"/>
      <c r="MCZ13" s="554"/>
      <c r="MDA13" s="554"/>
      <c r="MDB13" s="554"/>
      <c r="MDC13" s="554"/>
      <c r="MDD13" s="554"/>
      <c r="MDE13" s="554"/>
      <c r="MDF13" s="554"/>
      <c r="MDG13" s="554"/>
      <c r="MDH13" s="554"/>
      <c r="MDI13" s="554"/>
      <c r="MDJ13" s="554"/>
      <c r="MDK13" s="554"/>
      <c r="MDL13" s="554"/>
      <c r="MDM13" s="554"/>
      <c r="MDN13" s="554"/>
      <c r="MDO13" s="554"/>
      <c r="MDP13" s="554"/>
      <c r="MDQ13" s="554"/>
      <c r="MDR13" s="554"/>
      <c r="MDS13" s="554"/>
      <c r="MDT13" s="554"/>
      <c r="MDU13" s="554"/>
      <c r="MDV13" s="554"/>
      <c r="MDW13" s="554"/>
      <c r="MDX13" s="554"/>
      <c r="MDY13" s="554"/>
      <c r="MDZ13" s="554"/>
      <c r="MEA13" s="554"/>
      <c r="MEB13" s="554"/>
      <c r="MEC13" s="554"/>
      <c r="MED13" s="554"/>
      <c r="MEE13" s="554"/>
      <c r="MEF13" s="554"/>
      <c r="MEG13" s="554"/>
      <c r="MEH13" s="554"/>
      <c r="MEI13" s="554"/>
      <c r="MEJ13" s="554"/>
      <c r="MEK13" s="554"/>
      <c r="MEL13" s="554"/>
      <c r="MEM13" s="554"/>
      <c r="MEN13" s="554"/>
      <c r="MEO13" s="554"/>
      <c r="MEP13" s="554"/>
      <c r="MEQ13" s="554"/>
      <c r="MER13" s="554"/>
      <c r="MES13" s="554"/>
      <c r="MET13" s="554"/>
      <c r="MEU13" s="554"/>
      <c r="MEV13" s="554"/>
      <c r="MEW13" s="554"/>
      <c r="MEX13" s="554"/>
      <c r="MEY13" s="554"/>
      <c r="MEZ13" s="554"/>
      <c r="MFA13" s="554"/>
      <c r="MFB13" s="554"/>
      <c r="MFC13" s="554"/>
      <c r="MFD13" s="554"/>
      <c r="MFE13" s="554"/>
      <c r="MFF13" s="554"/>
      <c r="MFG13" s="554"/>
      <c r="MFH13" s="554"/>
      <c r="MFI13" s="554"/>
      <c r="MFJ13" s="554"/>
      <c r="MFK13" s="554"/>
      <c r="MFL13" s="554"/>
      <c r="MFM13" s="554"/>
      <c r="MFN13" s="554"/>
      <c r="MFO13" s="554"/>
      <c r="MFP13" s="554"/>
      <c r="MFQ13" s="554"/>
      <c r="MFR13" s="554"/>
      <c r="MFS13" s="554"/>
      <c r="MFT13" s="554"/>
      <c r="MFU13" s="554"/>
      <c r="MFV13" s="554"/>
      <c r="MFW13" s="554"/>
      <c r="MFX13" s="554"/>
      <c r="MFY13" s="554"/>
      <c r="MFZ13" s="554"/>
      <c r="MGA13" s="554"/>
      <c r="MGB13" s="554"/>
      <c r="MGC13" s="554"/>
      <c r="MGD13" s="554"/>
      <c r="MGE13" s="554"/>
      <c r="MGF13" s="554"/>
      <c r="MGG13" s="554"/>
      <c r="MGH13" s="554"/>
      <c r="MGI13" s="554"/>
      <c r="MGJ13" s="554"/>
      <c r="MGK13" s="554"/>
      <c r="MGL13" s="554"/>
      <c r="MGM13" s="554"/>
      <c r="MGN13" s="554"/>
      <c r="MGO13" s="554"/>
      <c r="MGP13" s="554"/>
      <c r="MGQ13" s="554"/>
      <c r="MGR13" s="554"/>
      <c r="MGS13" s="554"/>
      <c r="MGT13" s="554"/>
      <c r="MGU13" s="554"/>
      <c r="MGV13" s="554"/>
      <c r="MGW13" s="554"/>
      <c r="MGX13" s="554"/>
      <c r="MGY13" s="554"/>
      <c r="MGZ13" s="554"/>
      <c r="MHA13" s="554"/>
      <c r="MHB13" s="554"/>
      <c r="MHC13" s="554"/>
      <c r="MHD13" s="554"/>
      <c r="MHE13" s="554"/>
      <c r="MHF13" s="554"/>
      <c r="MHG13" s="554"/>
      <c r="MHH13" s="554"/>
      <c r="MHI13" s="554"/>
      <c r="MHJ13" s="554"/>
      <c r="MHK13" s="554"/>
      <c r="MHL13" s="554"/>
      <c r="MHM13" s="554"/>
      <c r="MHN13" s="554"/>
      <c r="MHO13" s="554"/>
      <c r="MHP13" s="554"/>
      <c r="MHQ13" s="554"/>
      <c r="MHR13" s="554"/>
      <c r="MHS13" s="554"/>
      <c r="MHT13" s="554"/>
      <c r="MHU13" s="554"/>
      <c r="MHV13" s="554"/>
      <c r="MHW13" s="554"/>
      <c r="MHX13" s="554"/>
      <c r="MHY13" s="554"/>
      <c r="MHZ13" s="554"/>
      <c r="MIA13" s="554"/>
      <c r="MIB13" s="554"/>
      <c r="MIC13" s="554"/>
      <c r="MID13" s="554"/>
      <c r="MIE13" s="554"/>
      <c r="MIF13" s="554"/>
      <c r="MIG13" s="554"/>
      <c r="MIH13" s="554"/>
      <c r="MII13" s="554"/>
      <c r="MIJ13" s="554"/>
      <c r="MIK13" s="554"/>
      <c r="MIL13" s="554"/>
      <c r="MIM13" s="554"/>
      <c r="MIN13" s="554"/>
      <c r="MIO13" s="554"/>
      <c r="MIP13" s="554"/>
      <c r="MIQ13" s="554"/>
      <c r="MIR13" s="554"/>
      <c r="MIS13" s="554"/>
      <c r="MIT13" s="554"/>
      <c r="MIU13" s="554"/>
      <c r="MIV13" s="554"/>
      <c r="MIW13" s="554"/>
      <c r="MIX13" s="554"/>
      <c r="MIY13" s="554"/>
      <c r="MIZ13" s="554"/>
      <c r="MJA13" s="554"/>
      <c r="MJB13" s="554"/>
      <c r="MJC13" s="554"/>
      <c r="MJD13" s="554"/>
      <c r="MJE13" s="554"/>
      <c r="MJF13" s="554"/>
      <c r="MJG13" s="554"/>
      <c r="MJH13" s="554"/>
      <c r="MJI13" s="554"/>
      <c r="MJJ13" s="554"/>
      <c r="MJK13" s="554"/>
      <c r="MJL13" s="554"/>
      <c r="MJM13" s="554"/>
      <c r="MJN13" s="554"/>
      <c r="MJO13" s="554"/>
      <c r="MJP13" s="554"/>
      <c r="MJQ13" s="554"/>
      <c r="MJR13" s="554"/>
      <c r="MJS13" s="554"/>
      <c r="MJT13" s="554"/>
      <c r="MJU13" s="554"/>
      <c r="MJV13" s="554"/>
      <c r="MJW13" s="554"/>
      <c r="MJX13" s="554"/>
      <c r="MJY13" s="554"/>
      <c r="MJZ13" s="554"/>
      <c r="MKA13" s="554"/>
      <c r="MKB13" s="554"/>
      <c r="MKC13" s="554"/>
      <c r="MKD13" s="554"/>
      <c r="MKE13" s="554"/>
      <c r="MKF13" s="554"/>
      <c r="MKG13" s="554"/>
      <c r="MKH13" s="554"/>
      <c r="MKI13" s="554"/>
      <c r="MKJ13" s="554"/>
      <c r="MKK13" s="554"/>
      <c r="MKL13" s="554"/>
      <c r="MKM13" s="554"/>
      <c r="MKN13" s="554"/>
      <c r="MKO13" s="554"/>
      <c r="MKP13" s="554"/>
      <c r="MKQ13" s="554"/>
      <c r="MKR13" s="554"/>
      <c r="MKS13" s="554"/>
      <c r="MKT13" s="554"/>
      <c r="MKU13" s="554"/>
      <c r="MKV13" s="554"/>
      <c r="MKW13" s="554"/>
      <c r="MKX13" s="554"/>
      <c r="MKY13" s="554"/>
      <c r="MKZ13" s="554"/>
      <c r="MLA13" s="554"/>
      <c r="MLB13" s="554"/>
      <c r="MLC13" s="554"/>
      <c r="MLD13" s="554"/>
      <c r="MLE13" s="554"/>
      <c r="MLF13" s="554"/>
      <c r="MLG13" s="554"/>
      <c r="MLH13" s="554"/>
      <c r="MLI13" s="554"/>
      <c r="MLJ13" s="554"/>
      <c r="MLK13" s="554"/>
      <c r="MLL13" s="554"/>
      <c r="MLM13" s="554"/>
      <c r="MLN13" s="554"/>
      <c r="MLO13" s="554"/>
      <c r="MLP13" s="554"/>
      <c r="MLQ13" s="554"/>
      <c r="MLR13" s="554"/>
      <c r="MLS13" s="554"/>
      <c r="MLT13" s="554"/>
      <c r="MLU13" s="554"/>
      <c r="MLV13" s="554"/>
      <c r="MLW13" s="554"/>
      <c r="MLX13" s="554"/>
      <c r="MLY13" s="554"/>
      <c r="MLZ13" s="554"/>
      <c r="MMA13" s="554"/>
      <c r="MMB13" s="554"/>
      <c r="MMC13" s="554"/>
      <c r="MMD13" s="554"/>
      <c r="MME13" s="554"/>
      <c r="MMF13" s="554"/>
      <c r="MMG13" s="554"/>
      <c r="MMH13" s="554"/>
      <c r="MMI13" s="554"/>
      <c r="MMJ13" s="554"/>
      <c r="MMK13" s="554"/>
      <c r="MML13" s="554"/>
      <c r="MMM13" s="554"/>
      <c r="MMN13" s="554"/>
      <c r="MMO13" s="554"/>
      <c r="MMP13" s="554"/>
      <c r="MMQ13" s="554"/>
      <c r="MMR13" s="554"/>
      <c r="MMS13" s="554"/>
      <c r="MMT13" s="554"/>
      <c r="MMU13" s="554"/>
      <c r="MMV13" s="554"/>
      <c r="MMW13" s="554"/>
      <c r="MMX13" s="554"/>
      <c r="MMY13" s="554"/>
      <c r="MMZ13" s="554"/>
      <c r="MNA13" s="554"/>
      <c r="MNB13" s="554"/>
      <c r="MNC13" s="554"/>
      <c r="MND13" s="554"/>
      <c r="MNE13" s="554"/>
      <c r="MNF13" s="554"/>
      <c r="MNG13" s="554"/>
      <c r="MNH13" s="554"/>
      <c r="MNI13" s="554"/>
      <c r="MNJ13" s="554"/>
      <c r="MNK13" s="554"/>
      <c r="MNL13" s="554"/>
      <c r="MNM13" s="554"/>
      <c r="MNN13" s="554"/>
      <c r="MNO13" s="554"/>
      <c r="MNP13" s="554"/>
      <c r="MNQ13" s="554"/>
      <c r="MNR13" s="554"/>
      <c r="MNS13" s="554"/>
      <c r="MNT13" s="554"/>
      <c r="MNU13" s="554"/>
      <c r="MNV13" s="554"/>
      <c r="MNW13" s="554"/>
      <c r="MNX13" s="554"/>
      <c r="MNY13" s="554"/>
      <c r="MNZ13" s="554"/>
      <c r="MOA13" s="554"/>
      <c r="MOB13" s="554"/>
      <c r="MOC13" s="554"/>
      <c r="MOD13" s="554"/>
      <c r="MOE13" s="554"/>
      <c r="MOF13" s="554"/>
      <c r="MOG13" s="554"/>
      <c r="MOH13" s="554"/>
      <c r="MOI13" s="554"/>
      <c r="MOJ13" s="554"/>
      <c r="MOK13" s="554"/>
      <c r="MOL13" s="554"/>
      <c r="MOM13" s="554"/>
      <c r="MON13" s="554"/>
      <c r="MOO13" s="554"/>
      <c r="MOP13" s="554"/>
      <c r="MOQ13" s="554"/>
      <c r="MOR13" s="554"/>
      <c r="MOS13" s="554"/>
      <c r="MOT13" s="554"/>
      <c r="MOU13" s="554"/>
      <c r="MOV13" s="554"/>
      <c r="MOW13" s="554"/>
      <c r="MOX13" s="554"/>
      <c r="MOY13" s="554"/>
      <c r="MOZ13" s="554"/>
      <c r="MPA13" s="554"/>
      <c r="MPB13" s="554"/>
      <c r="MPC13" s="554"/>
      <c r="MPD13" s="554"/>
      <c r="MPE13" s="554"/>
      <c r="MPF13" s="554"/>
      <c r="MPG13" s="554"/>
      <c r="MPH13" s="554"/>
      <c r="MPI13" s="554"/>
      <c r="MPJ13" s="554"/>
      <c r="MPK13" s="554"/>
      <c r="MPL13" s="554"/>
      <c r="MPM13" s="554"/>
      <c r="MPN13" s="554"/>
      <c r="MPO13" s="554"/>
      <c r="MPP13" s="554"/>
      <c r="MPQ13" s="554"/>
      <c r="MPR13" s="554"/>
      <c r="MPS13" s="554"/>
      <c r="MPT13" s="554"/>
      <c r="MPU13" s="554"/>
      <c r="MPV13" s="554"/>
      <c r="MPW13" s="554"/>
      <c r="MPX13" s="554"/>
      <c r="MPY13" s="554"/>
      <c r="MPZ13" s="554"/>
      <c r="MQA13" s="554"/>
      <c r="MQB13" s="554"/>
      <c r="MQC13" s="554"/>
      <c r="MQD13" s="554"/>
      <c r="MQE13" s="554"/>
      <c r="MQF13" s="554"/>
      <c r="MQG13" s="554"/>
      <c r="MQH13" s="554"/>
      <c r="MQI13" s="554"/>
      <c r="MQJ13" s="554"/>
      <c r="MQK13" s="554"/>
      <c r="MQL13" s="554"/>
      <c r="MQM13" s="554"/>
      <c r="MQN13" s="554"/>
      <c r="MQO13" s="554"/>
      <c r="MQP13" s="554"/>
      <c r="MQQ13" s="554"/>
      <c r="MQR13" s="554"/>
      <c r="MQS13" s="554"/>
      <c r="MQT13" s="554"/>
      <c r="MQU13" s="554"/>
      <c r="MQV13" s="554"/>
      <c r="MQW13" s="554"/>
      <c r="MQX13" s="554"/>
      <c r="MQY13" s="554"/>
      <c r="MQZ13" s="554"/>
      <c r="MRA13" s="554"/>
      <c r="MRB13" s="554"/>
      <c r="MRC13" s="554"/>
      <c r="MRD13" s="554"/>
      <c r="MRE13" s="554"/>
      <c r="MRF13" s="554"/>
      <c r="MRG13" s="554"/>
      <c r="MRH13" s="554"/>
      <c r="MRI13" s="554"/>
      <c r="MRJ13" s="554"/>
      <c r="MRK13" s="554"/>
      <c r="MRL13" s="554"/>
      <c r="MRM13" s="554"/>
      <c r="MRN13" s="554"/>
      <c r="MRO13" s="554"/>
      <c r="MRP13" s="554"/>
      <c r="MRQ13" s="554"/>
      <c r="MRR13" s="554"/>
      <c r="MRS13" s="554"/>
      <c r="MRT13" s="554"/>
      <c r="MRU13" s="554"/>
      <c r="MRV13" s="554"/>
      <c r="MRW13" s="554"/>
      <c r="MRX13" s="554"/>
      <c r="MRY13" s="554"/>
      <c r="MRZ13" s="554"/>
      <c r="MSA13" s="554"/>
      <c r="MSB13" s="554"/>
      <c r="MSC13" s="554"/>
      <c r="MSD13" s="554"/>
      <c r="MSE13" s="554"/>
      <c r="MSF13" s="554"/>
      <c r="MSG13" s="554"/>
      <c r="MSH13" s="554"/>
      <c r="MSI13" s="554"/>
      <c r="MSJ13" s="554"/>
      <c r="MSK13" s="554"/>
      <c r="MSL13" s="554"/>
      <c r="MSM13" s="554"/>
      <c r="MSN13" s="554"/>
      <c r="MSO13" s="554"/>
      <c r="MSP13" s="554"/>
      <c r="MSQ13" s="554"/>
      <c r="MSR13" s="554"/>
      <c r="MSS13" s="554"/>
      <c r="MST13" s="554"/>
      <c r="MSU13" s="554"/>
      <c r="MSV13" s="554"/>
      <c r="MSW13" s="554"/>
      <c r="MSX13" s="554"/>
      <c r="MSY13" s="554"/>
      <c r="MSZ13" s="554"/>
      <c r="MTA13" s="554"/>
      <c r="MTB13" s="554"/>
      <c r="MTC13" s="554"/>
      <c r="MTD13" s="554"/>
      <c r="MTE13" s="554"/>
      <c r="MTF13" s="554"/>
      <c r="MTG13" s="554"/>
      <c r="MTH13" s="554"/>
      <c r="MTI13" s="554"/>
      <c r="MTJ13" s="554"/>
      <c r="MTK13" s="554"/>
      <c r="MTL13" s="554"/>
      <c r="MTM13" s="554"/>
      <c r="MTN13" s="554"/>
      <c r="MTO13" s="554"/>
      <c r="MTP13" s="554"/>
      <c r="MTQ13" s="554"/>
      <c r="MTR13" s="554"/>
      <c r="MTS13" s="554"/>
      <c r="MTT13" s="554"/>
      <c r="MTU13" s="554"/>
      <c r="MTV13" s="554"/>
      <c r="MTW13" s="554"/>
      <c r="MTX13" s="554"/>
      <c r="MTY13" s="554"/>
      <c r="MTZ13" s="554"/>
      <c r="MUA13" s="554"/>
      <c r="MUB13" s="554"/>
      <c r="MUC13" s="554"/>
      <c r="MUD13" s="554"/>
      <c r="MUE13" s="554"/>
      <c r="MUF13" s="554"/>
      <c r="MUG13" s="554"/>
      <c r="MUH13" s="554"/>
      <c r="MUI13" s="554"/>
      <c r="MUJ13" s="554"/>
      <c r="MUK13" s="554"/>
      <c r="MUL13" s="554"/>
      <c r="MUM13" s="554"/>
      <c r="MUN13" s="554"/>
      <c r="MUO13" s="554"/>
      <c r="MUP13" s="554"/>
      <c r="MUQ13" s="554"/>
      <c r="MUR13" s="554"/>
      <c r="MUS13" s="554"/>
      <c r="MUT13" s="554"/>
      <c r="MUU13" s="554"/>
      <c r="MUV13" s="554"/>
      <c r="MUW13" s="554"/>
      <c r="MUX13" s="554"/>
      <c r="MUY13" s="554"/>
      <c r="MUZ13" s="554"/>
      <c r="MVA13" s="554"/>
      <c r="MVB13" s="554"/>
      <c r="MVC13" s="554"/>
      <c r="MVD13" s="554"/>
      <c r="MVE13" s="554"/>
      <c r="MVF13" s="554"/>
      <c r="MVG13" s="554"/>
      <c r="MVH13" s="554"/>
      <c r="MVI13" s="554"/>
      <c r="MVJ13" s="554"/>
      <c r="MVK13" s="554"/>
      <c r="MVL13" s="554"/>
      <c r="MVM13" s="554"/>
      <c r="MVN13" s="554"/>
      <c r="MVO13" s="554"/>
      <c r="MVP13" s="554"/>
      <c r="MVQ13" s="554"/>
      <c r="MVR13" s="554"/>
      <c r="MVS13" s="554"/>
      <c r="MVT13" s="554"/>
      <c r="MVU13" s="554"/>
      <c r="MVV13" s="554"/>
      <c r="MVW13" s="554"/>
      <c r="MVX13" s="554"/>
      <c r="MVY13" s="554"/>
      <c r="MVZ13" s="554"/>
      <c r="MWA13" s="554"/>
      <c r="MWB13" s="554"/>
      <c r="MWC13" s="554"/>
      <c r="MWD13" s="554"/>
      <c r="MWE13" s="554"/>
      <c r="MWF13" s="554"/>
      <c r="MWG13" s="554"/>
      <c r="MWH13" s="554"/>
      <c r="MWI13" s="554"/>
      <c r="MWJ13" s="554"/>
      <c r="MWK13" s="554"/>
      <c r="MWL13" s="554"/>
      <c r="MWM13" s="554"/>
      <c r="MWN13" s="554"/>
      <c r="MWO13" s="554"/>
      <c r="MWP13" s="554"/>
      <c r="MWQ13" s="554"/>
      <c r="MWR13" s="554"/>
      <c r="MWS13" s="554"/>
      <c r="MWT13" s="554"/>
      <c r="MWU13" s="554"/>
      <c r="MWV13" s="554"/>
      <c r="MWW13" s="554"/>
      <c r="MWX13" s="554"/>
      <c r="MWY13" s="554"/>
      <c r="MWZ13" s="554"/>
      <c r="MXA13" s="554"/>
      <c r="MXB13" s="554"/>
      <c r="MXC13" s="554"/>
      <c r="MXD13" s="554"/>
      <c r="MXE13" s="554"/>
      <c r="MXF13" s="554"/>
      <c r="MXG13" s="554"/>
      <c r="MXH13" s="554"/>
      <c r="MXI13" s="554"/>
      <c r="MXJ13" s="554"/>
      <c r="MXK13" s="554"/>
      <c r="MXL13" s="554"/>
      <c r="MXM13" s="554"/>
      <c r="MXN13" s="554"/>
      <c r="MXO13" s="554"/>
      <c r="MXP13" s="554"/>
      <c r="MXQ13" s="554"/>
      <c r="MXR13" s="554"/>
      <c r="MXS13" s="554"/>
      <c r="MXT13" s="554"/>
      <c r="MXU13" s="554"/>
      <c r="MXV13" s="554"/>
      <c r="MXW13" s="554"/>
      <c r="MXX13" s="554"/>
      <c r="MXY13" s="554"/>
      <c r="MXZ13" s="554"/>
      <c r="MYA13" s="554"/>
      <c r="MYB13" s="554"/>
      <c r="MYC13" s="554"/>
      <c r="MYD13" s="554"/>
      <c r="MYE13" s="554"/>
      <c r="MYF13" s="554"/>
      <c r="MYG13" s="554"/>
      <c r="MYH13" s="554"/>
      <c r="MYI13" s="554"/>
      <c r="MYJ13" s="554"/>
      <c r="MYK13" s="554"/>
      <c r="MYL13" s="554"/>
      <c r="MYM13" s="554"/>
      <c r="MYN13" s="554"/>
      <c r="MYO13" s="554"/>
      <c r="MYP13" s="554"/>
      <c r="MYQ13" s="554"/>
      <c r="MYR13" s="554"/>
      <c r="MYS13" s="554"/>
      <c r="MYT13" s="554"/>
      <c r="MYU13" s="554"/>
      <c r="MYV13" s="554"/>
      <c r="MYW13" s="554"/>
      <c r="MYX13" s="554"/>
      <c r="MYY13" s="554"/>
      <c r="MYZ13" s="554"/>
      <c r="MZA13" s="554"/>
      <c r="MZB13" s="554"/>
      <c r="MZC13" s="554"/>
      <c r="MZD13" s="554"/>
      <c r="MZE13" s="554"/>
      <c r="MZF13" s="554"/>
      <c r="MZG13" s="554"/>
      <c r="MZH13" s="554"/>
      <c r="MZI13" s="554"/>
      <c r="MZJ13" s="554"/>
      <c r="MZK13" s="554"/>
      <c r="MZL13" s="554"/>
      <c r="MZM13" s="554"/>
      <c r="MZN13" s="554"/>
      <c r="MZO13" s="554"/>
      <c r="MZP13" s="554"/>
      <c r="MZQ13" s="554"/>
      <c r="MZR13" s="554"/>
      <c r="MZS13" s="554"/>
      <c r="MZT13" s="554"/>
      <c r="MZU13" s="554"/>
      <c r="MZV13" s="554"/>
      <c r="MZW13" s="554"/>
      <c r="MZX13" s="554"/>
      <c r="MZY13" s="554"/>
      <c r="MZZ13" s="554"/>
      <c r="NAA13" s="554"/>
      <c r="NAB13" s="554"/>
      <c r="NAC13" s="554"/>
      <c r="NAD13" s="554"/>
      <c r="NAE13" s="554"/>
      <c r="NAF13" s="554"/>
      <c r="NAG13" s="554"/>
      <c r="NAH13" s="554"/>
      <c r="NAI13" s="554"/>
      <c r="NAJ13" s="554"/>
      <c r="NAK13" s="554"/>
      <c r="NAL13" s="554"/>
      <c r="NAM13" s="554"/>
      <c r="NAN13" s="554"/>
      <c r="NAO13" s="554"/>
      <c r="NAP13" s="554"/>
      <c r="NAQ13" s="554"/>
      <c r="NAR13" s="554"/>
      <c r="NAS13" s="554"/>
      <c r="NAT13" s="554"/>
      <c r="NAU13" s="554"/>
      <c r="NAV13" s="554"/>
      <c r="NAW13" s="554"/>
      <c r="NAX13" s="554"/>
      <c r="NAY13" s="554"/>
      <c r="NAZ13" s="554"/>
      <c r="NBA13" s="554"/>
      <c r="NBB13" s="554"/>
      <c r="NBC13" s="554"/>
      <c r="NBD13" s="554"/>
      <c r="NBE13" s="554"/>
      <c r="NBF13" s="554"/>
      <c r="NBG13" s="554"/>
      <c r="NBH13" s="554"/>
      <c r="NBI13" s="554"/>
      <c r="NBJ13" s="554"/>
      <c r="NBK13" s="554"/>
      <c r="NBL13" s="554"/>
      <c r="NBM13" s="554"/>
      <c r="NBN13" s="554"/>
      <c r="NBO13" s="554"/>
      <c r="NBP13" s="554"/>
      <c r="NBQ13" s="554"/>
      <c r="NBR13" s="554"/>
      <c r="NBS13" s="554"/>
      <c r="NBT13" s="554"/>
      <c r="NBU13" s="554"/>
      <c r="NBV13" s="554"/>
      <c r="NBW13" s="554"/>
      <c r="NBX13" s="554"/>
      <c r="NBY13" s="554"/>
      <c r="NBZ13" s="554"/>
      <c r="NCA13" s="554"/>
      <c r="NCB13" s="554"/>
      <c r="NCC13" s="554"/>
      <c r="NCD13" s="554"/>
      <c r="NCE13" s="554"/>
      <c r="NCF13" s="554"/>
      <c r="NCG13" s="554"/>
      <c r="NCH13" s="554"/>
      <c r="NCI13" s="554"/>
      <c r="NCJ13" s="554"/>
      <c r="NCK13" s="554"/>
      <c r="NCL13" s="554"/>
      <c r="NCM13" s="554"/>
      <c r="NCN13" s="554"/>
      <c r="NCO13" s="554"/>
      <c r="NCP13" s="554"/>
      <c r="NCQ13" s="554"/>
      <c r="NCR13" s="554"/>
      <c r="NCS13" s="554"/>
      <c r="NCT13" s="554"/>
      <c r="NCU13" s="554"/>
      <c r="NCV13" s="554"/>
      <c r="NCW13" s="554"/>
      <c r="NCX13" s="554"/>
      <c r="NCY13" s="554"/>
      <c r="NCZ13" s="554"/>
      <c r="NDA13" s="554"/>
      <c r="NDB13" s="554"/>
      <c r="NDC13" s="554"/>
      <c r="NDD13" s="554"/>
      <c r="NDE13" s="554"/>
      <c r="NDF13" s="554"/>
      <c r="NDG13" s="554"/>
      <c r="NDH13" s="554"/>
      <c r="NDI13" s="554"/>
      <c r="NDJ13" s="554"/>
      <c r="NDK13" s="554"/>
      <c r="NDL13" s="554"/>
      <c r="NDM13" s="554"/>
      <c r="NDN13" s="554"/>
      <c r="NDO13" s="554"/>
      <c r="NDP13" s="554"/>
      <c r="NDQ13" s="554"/>
      <c r="NDR13" s="554"/>
      <c r="NDS13" s="554"/>
      <c r="NDT13" s="554"/>
      <c r="NDU13" s="554"/>
      <c r="NDV13" s="554"/>
      <c r="NDW13" s="554"/>
      <c r="NDX13" s="554"/>
      <c r="NDY13" s="554"/>
      <c r="NDZ13" s="554"/>
      <c r="NEA13" s="554"/>
      <c r="NEB13" s="554"/>
      <c r="NEC13" s="554"/>
      <c r="NED13" s="554"/>
      <c r="NEE13" s="554"/>
      <c r="NEF13" s="554"/>
      <c r="NEG13" s="554"/>
      <c r="NEH13" s="554"/>
      <c r="NEI13" s="554"/>
      <c r="NEJ13" s="554"/>
      <c r="NEK13" s="554"/>
      <c r="NEL13" s="554"/>
      <c r="NEM13" s="554"/>
      <c r="NEN13" s="554"/>
      <c r="NEO13" s="554"/>
      <c r="NEP13" s="554"/>
      <c r="NEQ13" s="554"/>
      <c r="NER13" s="554"/>
      <c r="NES13" s="554"/>
      <c r="NET13" s="554"/>
      <c r="NEU13" s="554"/>
      <c r="NEV13" s="554"/>
      <c r="NEW13" s="554"/>
      <c r="NEX13" s="554"/>
      <c r="NEY13" s="554"/>
      <c r="NEZ13" s="554"/>
      <c r="NFA13" s="554"/>
      <c r="NFB13" s="554"/>
      <c r="NFC13" s="554"/>
      <c r="NFD13" s="554"/>
      <c r="NFE13" s="554"/>
      <c r="NFF13" s="554"/>
      <c r="NFG13" s="554"/>
      <c r="NFH13" s="554"/>
      <c r="NFI13" s="554"/>
      <c r="NFJ13" s="554"/>
      <c r="NFK13" s="554"/>
      <c r="NFL13" s="554"/>
      <c r="NFM13" s="554"/>
      <c r="NFN13" s="554"/>
      <c r="NFO13" s="554"/>
      <c r="NFP13" s="554"/>
      <c r="NFQ13" s="554"/>
      <c r="NFR13" s="554"/>
      <c r="NFS13" s="554"/>
      <c r="NFT13" s="554"/>
      <c r="NFU13" s="554"/>
      <c r="NFV13" s="554"/>
      <c r="NFW13" s="554"/>
      <c r="NFX13" s="554"/>
      <c r="NFY13" s="554"/>
      <c r="NFZ13" s="554"/>
      <c r="NGA13" s="554"/>
      <c r="NGB13" s="554"/>
      <c r="NGC13" s="554"/>
      <c r="NGD13" s="554"/>
      <c r="NGE13" s="554"/>
      <c r="NGF13" s="554"/>
      <c r="NGG13" s="554"/>
      <c r="NGH13" s="554"/>
      <c r="NGI13" s="554"/>
      <c r="NGJ13" s="554"/>
      <c r="NGK13" s="554"/>
      <c r="NGL13" s="554"/>
      <c r="NGM13" s="554"/>
      <c r="NGN13" s="554"/>
      <c r="NGO13" s="554"/>
      <c r="NGP13" s="554"/>
      <c r="NGQ13" s="554"/>
      <c r="NGR13" s="554"/>
      <c r="NGS13" s="554"/>
      <c r="NGT13" s="554"/>
      <c r="NGU13" s="554"/>
      <c r="NGV13" s="554"/>
      <c r="NGW13" s="554"/>
      <c r="NGX13" s="554"/>
      <c r="NGY13" s="554"/>
      <c r="NGZ13" s="554"/>
      <c r="NHA13" s="554"/>
      <c r="NHB13" s="554"/>
      <c r="NHC13" s="554"/>
      <c r="NHD13" s="554"/>
      <c r="NHE13" s="554"/>
      <c r="NHF13" s="554"/>
      <c r="NHG13" s="554"/>
      <c r="NHH13" s="554"/>
      <c r="NHI13" s="554"/>
      <c r="NHJ13" s="554"/>
      <c r="NHK13" s="554"/>
      <c r="NHL13" s="554"/>
      <c r="NHM13" s="554"/>
      <c r="NHN13" s="554"/>
      <c r="NHO13" s="554"/>
      <c r="NHP13" s="554"/>
      <c r="NHQ13" s="554"/>
      <c r="NHR13" s="554"/>
      <c r="NHS13" s="554"/>
      <c r="NHT13" s="554"/>
      <c r="NHU13" s="554"/>
      <c r="NHV13" s="554"/>
      <c r="NHW13" s="554"/>
      <c r="NHX13" s="554"/>
      <c r="NHY13" s="554"/>
      <c r="NHZ13" s="554"/>
      <c r="NIA13" s="554"/>
      <c r="NIB13" s="554"/>
      <c r="NIC13" s="554"/>
      <c r="NID13" s="554"/>
      <c r="NIE13" s="554"/>
      <c r="NIF13" s="554"/>
      <c r="NIG13" s="554"/>
      <c r="NIH13" s="554"/>
      <c r="NII13" s="554"/>
      <c r="NIJ13" s="554"/>
      <c r="NIK13" s="554"/>
      <c r="NIL13" s="554"/>
      <c r="NIM13" s="554"/>
      <c r="NIN13" s="554"/>
      <c r="NIO13" s="554"/>
      <c r="NIP13" s="554"/>
      <c r="NIQ13" s="554"/>
      <c r="NIR13" s="554"/>
      <c r="NIS13" s="554"/>
      <c r="NIT13" s="554"/>
      <c r="NIU13" s="554"/>
      <c r="NIV13" s="554"/>
      <c r="NIW13" s="554"/>
      <c r="NIX13" s="554"/>
      <c r="NIY13" s="554"/>
      <c r="NIZ13" s="554"/>
      <c r="NJA13" s="554"/>
      <c r="NJB13" s="554"/>
      <c r="NJC13" s="554"/>
      <c r="NJD13" s="554"/>
      <c r="NJE13" s="554"/>
      <c r="NJF13" s="554"/>
      <c r="NJG13" s="554"/>
      <c r="NJH13" s="554"/>
      <c r="NJI13" s="554"/>
      <c r="NJJ13" s="554"/>
      <c r="NJK13" s="554"/>
      <c r="NJL13" s="554"/>
      <c r="NJM13" s="554"/>
      <c r="NJN13" s="554"/>
      <c r="NJO13" s="554"/>
      <c r="NJP13" s="554"/>
      <c r="NJQ13" s="554"/>
      <c r="NJR13" s="554"/>
      <c r="NJS13" s="554"/>
      <c r="NJT13" s="554"/>
      <c r="NJU13" s="554"/>
      <c r="NJV13" s="554"/>
      <c r="NJW13" s="554"/>
      <c r="NJX13" s="554"/>
      <c r="NJY13" s="554"/>
      <c r="NJZ13" s="554"/>
      <c r="NKA13" s="554"/>
      <c r="NKB13" s="554"/>
      <c r="NKC13" s="554"/>
      <c r="NKD13" s="554"/>
      <c r="NKE13" s="554"/>
      <c r="NKF13" s="554"/>
      <c r="NKG13" s="554"/>
      <c r="NKH13" s="554"/>
      <c r="NKI13" s="554"/>
      <c r="NKJ13" s="554"/>
      <c r="NKK13" s="554"/>
      <c r="NKL13" s="554"/>
      <c r="NKM13" s="554"/>
      <c r="NKN13" s="554"/>
      <c r="NKO13" s="554"/>
      <c r="NKP13" s="554"/>
      <c r="NKQ13" s="554"/>
      <c r="NKR13" s="554"/>
      <c r="NKS13" s="554"/>
      <c r="NKT13" s="554"/>
      <c r="NKU13" s="554"/>
      <c r="NKV13" s="554"/>
      <c r="NKW13" s="554"/>
      <c r="NKX13" s="554"/>
      <c r="NKY13" s="554"/>
      <c r="NKZ13" s="554"/>
      <c r="NLA13" s="554"/>
      <c r="NLB13" s="554"/>
      <c r="NLC13" s="554"/>
      <c r="NLD13" s="554"/>
      <c r="NLE13" s="554"/>
      <c r="NLF13" s="554"/>
      <c r="NLG13" s="554"/>
      <c r="NLH13" s="554"/>
      <c r="NLI13" s="554"/>
      <c r="NLJ13" s="554"/>
      <c r="NLK13" s="554"/>
      <c r="NLL13" s="554"/>
      <c r="NLM13" s="554"/>
      <c r="NLN13" s="554"/>
      <c r="NLO13" s="554"/>
      <c r="NLP13" s="554"/>
      <c r="NLQ13" s="554"/>
      <c r="NLR13" s="554"/>
      <c r="NLS13" s="554"/>
      <c r="NLT13" s="554"/>
      <c r="NLU13" s="554"/>
      <c r="NLV13" s="554"/>
      <c r="NLW13" s="554"/>
      <c r="NLX13" s="554"/>
      <c r="NLY13" s="554"/>
      <c r="NLZ13" s="554"/>
      <c r="NMA13" s="554"/>
      <c r="NMB13" s="554"/>
      <c r="NMC13" s="554"/>
      <c r="NMD13" s="554"/>
      <c r="NME13" s="554"/>
      <c r="NMF13" s="554"/>
      <c r="NMG13" s="554"/>
      <c r="NMH13" s="554"/>
      <c r="NMI13" s="554"/>
      <c r="NMJ13" s="554"/>
      <c r="NMK13" s="554"/>
      <c r="NML13" s="554"/>
      <c r="NMM13" s="554"/>
      <c r="NMN13" s="554"/>
      <c r="NMO13" s="554"/>
      <c r="NMP13" s="554"/>
      <c r="NMQ13" s="554"/>
      <c r="NMR13" s="554"/>
      <c r="NMS13" s="554"/>
      <c r="NMT13" s="554"/>
      <c r="NMU13" s="554"/>
      <c r="NMV13" s="554"/>
      <c r="NMW13" s="554"/>
      <c r="NMX13" s="554"/>
      <c r="NMY13" s="554"/>
      <c r="NMZ13" s="554"/>
      <c r="NNA13" s="554"/>
      <c r="NNB13" s="554"/>
      <c r="NNC13" s="554"/>
      <c r="NND13" s="554"/>
      <c r="NNE13" s="554"/>
      <c r="NNF13" s="554"/>
      <c r="NNG13" s="554"/>
      <c r="NNH13" s="554"/>
      <c r="NNI13" s="554"/>
      <c r="NNJ13" s="554"/>
      <c r="NNK13" s="554"/>
      <c r="NNL13" s="554"/>
      <c r="NNM13" s="554"/>
      <c r="NNN13" s="554"/>
      <c r="NNO13" s="554"/>
      <c r="NNP13" s="554"/>
      <c r="NNQ13" s="554"/>
      <c r="NNR13" s="554"/>
      <c r="NNS13" s="554"/>
      <c r="NNT13" s="554"/>
      <c r="NNU13" s="554"/>
      <c r="NNV13" s="554"/>
      <c r="NNW13" s="554"/>
      <c r="NNX13" s="554"/>
      <c r="NNY13" s="554"/>
      <c r="NNZ13" s="554"/>
      <c r="NOA13" s="554"/>
      <c r="NOB13" s="554"/>
      <c r="NOC13" s="554"/>
      <c r="NOD13" s="554"/>
      <c r="NOE13" s="554"/>
      <c r="NOF13" s="554"/>
      <c r="NOG13" s="554"/>
      <c r="NOH13" s="554"/>
      <c r="NOI13" s="554"/>
      <c r="NOJ13" s="554"/>
      <c r="NOK13" s="554"/>
      <c r="NOL13" s="554"/>
      <c r="NOM13" s="554"/>
      <c r="NON13" s="554"/>
      <c r="NOO13" s="554"/>
      <c r="NOP13" s="554"/>
      <c r="NOQ13" s="554"/>
      <c r="NOR13" s="554"/>
      <c r="NOS13" s="554"/>
      <c r="NOT13" s="554"/>
      <c r="NOU13" s="554"/>
      <c r="NOV13" s="554"/>
      <c r="NOW13" s="554"/>
      <c r="NOX13" s="554"/>
      <c r="NOY13" s="554"/>
      <c r="NOZ13" s="554"/>
      <c r="NPA13" s="554"/>
      <c r="NPB13" s="554"/>
      <c r="NPC13" s="554"/>
      <c r="NPD13" s="554"/>
      <c r="NPE13" s="554"/>
      <c r="NPF13" s="554"/>
      <c r="NPG13" s="554"/>
      <c r="NPH13" s="554"/>
      <c r="NPI13" s="554"/>
      <c r="NPJ13" s="554"/>
      <c r="NPK13" s="554"/>
      <c r="NPL13" s="554"/>
      <c r="NPM13" s="554"/>
      <c r="NPN13" s="554"/>
      <c r="NPO13" s="554"/>
      <c r="NPP13" s="554"/>
      <c r="NPQ13" s="554"/>
      <c r="NPR13" s="554"/>
      <c r="NPS13" s="554"/>
      <c r="NPT13" s="554"/>
      <c r="NPU13" s="554"/>
      <c r="NPV13" s="554"/>
      <c r="NPW13" s="554"/>
      <c r="NPX13" s="554"/>
      <c r="NPY13" s="554"/>
      <c r="NPZ13" s="554"/>
      <c r="NQA13" s="554"/>
      <c r="NQB13" s="554"/>
      <c r="NQC13" s="554"/>
      <c r="NQD13" s="554"/>
      <c r="NQE13" s="554"/>
      <c r="NQF13" s="554"/>
      <c r="NQG13" s="554"/>
      <c r="NQH13" s="554"/>
      <c r="NQI13" s="554"/>
      <c r="NQJ13" s="554"/>
      <c r="NQK13" s="554"/>
      <c r="NQL13" s="554"/>
      <c r="NQM13" s="554"/>
      <c r="NQN13" s="554"/>
      <c r="NQO13" s="554"/>
      <c r="NQP13" s="554"/>
      <c r="NQQ13" s="554"/>
      <c r="NQR13" s="554"/>
      <c r="NQS13" s="554"/>
      <c r="NQT13" s="554"/>
      <c r="NQU13" s="554"/>
      <c r="NQV13" s="554"/>
      <c r="NQW13" s="554"/>
      <c r="NQX13" s="554"/>
      <c r="NQY13" s="554"/>
      <c r="NQZ13" s="554"/>
      <c r="NRA13" s="554"/>
      <c r="NRB13" s="554"/>
      <c r="NRC13" s="554"/>
      <c r="NRD13" s="554"/>
      <c r="NRE13" s="554"/>
      <c r="NRF13" s="554"/>
      <c r="NRG13" s="554"/>
      <c r="NRH13" s="554"/>
      <c r="NRI13" s="554"/>
      <c r="NRJ13" s="554"/>
      <c r="NRK13" s="554"/>
      <c r="NRL13" s="554"/>
      <c r="NRM13" s="554"/>
      <c r="NRN13" s="554"/>
      <c r="NRO13" s="554"/>
      <c r="NRP13" s="554"/>
      <c r="NRQ13" s="554"/>
      <c r="NRR13" s="554"/>
      <c r="NRS13" s="554"/>
      <c r="NRT13" s="554"/>
      <c r="NRU13" s="554"/>
      <c r="NRV13" s="554"/>
      <c r="NRW13" s="554"/>
      <c r="NRX13" s="554"/>
      <c r="NRY13" s="554"/>
      <c r="NRZ13" s="554"/>
      <c r="NSA13" s="554"/>
      <c r="NSB13" s="554"/>
      <c r="NSC13" s="554"/>
      <c r="NSD13" s="554"/>
      <c r="NSE13" s="554"/>
      <c r="NSF13" s="554"/>
      <c r="NSG13" s="554"/>
      <c r="NSH13" s="554"/>
      <c r="NSI13" s="554"/>
      <c r="NSJ13" s="554"/>
      <c r="NSK13" s="554"/>
      <c r="NSL13" s="554"/>
      <c r="NSM13" s="554"/>
      <c r="NSN13" s="554"/>
      <c r="NSO13" s="554"/>
      <c r="NSP13" s="554"/>
      <c r="NSQ13" s="554"/>
      <c r="NSR13" s="554"/>
      <c r="NSS13" s="554"/>
      <c r="NST13" s="554"/>
      <c r="NSU13" s="554"/>
      <c r="NSV13" s="554"/>
      <c r="NSW13" s="554"/>
      <c r="NSX13" s="554"/>
      <c r="NSY13" s="554"/>
      <c r="NSZ13" s="554"/>
      <c r="NTA13" s="554"/>
      <c r="NTB13" s="554"/>
      <c r="NTC13" s="554"/>
      <c r="NTD13" s="554"/>
      <c r="NTE13" s="554"/>
      <c r="NTF13" s="554"/>
      <c r="NTG13" s="554"/>
      <c r="NTH13" s="554"/>
      <c r="NTI13" s="554"/>
      <c r="NTJ13" s="554"/>
      <c r="NTK13" s="554"/>
      <c r="NTL13" s="554"/>
      <c r="NTM13" s="554"/>
      <c r="NTN13" s="554"/>
      <c r="NTO13" s="554"/>
      <c r="NTP13" s="554"/>
      <c r="NTQ13" s="554"/>
      <c r="NTR13" s="554"/>
      <c r="NTS13" s="554"/>
      <c r="NTT13" s="554"/>
      <c r="NTU13" s="554"/>
      <c r="NTV13" s="554"/>
      <c r="NTW13" s="554"/>
      <c r="NTX13" s="554"/>
      <c r="NTY13" s="554"/>
      <c r="NTZ13" s="554"/>
      <c r="NUA13" s="554"/>
      <c r="NUB13" s="554"/>
      <c r="NUC13" s="554"/>
      <c r="NUD13" s="554"/>
      <c r="NUE13" s="554"/>
      <c r="NUF13" s="554"/>
      <c r="NUG13" s="554"/>
      <c r="NUH13" s="554"/>
      <c r="NUI13" s="554"/>
      <c r="NUJ13" s="554"/>
      <c r="NUK13" s="554"/>
      <c r="NUL13" s="554"/>
      <c r="NUM13" s="554"/>
      <c r="NUN13" s="554"/>
      <c r="NUO13" s="554"/>
      <c r="NUP13" s="554"/>
      <c r="NUQ13" s="554"/>
      <c r="NUR13" s="554"/>
      <c r="NUS13" s="554"/>
      <c r="NUT13" s="554"/>
      <c r="NUU13" s="554"/>
      <c r="NUV13" s="554"/>
      <c r="NUW13" s="554"/>
      <c r="NUX13" s="554"/>
      <c r="NUY13" s="554"/>
      <c r="NUZ13" s="554"/>
      <c r="NVA13" s="554"/>
      <c r="NVB13" s="554"/>
      <c r="NVC13" s="554"/>
      <c r="NVD13" s="554"/>
      <c r="NVE13" s="554"/>
      <c r="NVF13" s="554"/>
      <c r="NVG13" s="554"/>
      <c r="NVH13" s="554"/>
      <c r="NVI13" s="554"/>
      <c r="NVJ13" s="554"/>
      <c r="NVK13" s="554"/>
      <c r="NVL13" s="554"/>
      <c r="NVM13" s="554"/>
      <c r="NVN13" s="554"/>
      <c r="NVO13" s="554"/>
      <c r="NVP13" s="554"/>
      <c r="NVQ13" s="554"/>
      <c r="NVR13" s="554"/>
      <c r="NVS13" s="554"/>
      <c r="NVT13" s="554"/>
      <c r="NVU13" s="554"/>
      <c r="NVV13" s="554"/>
      <c r="NVW13" s="554"/>
      <c r="NVX13" s="554"/>
      <c r="NVY13" s="554"/>
      <c r="NVZ13" s="554"/>
      <c r="NWA13" s="554"/>
      <c r="NWB13" s="554"/>
      <c r="NWC13" s="554"/>
      <c r="NWD13" s="554"/>
      <c r="NWE13" s="554"/>
      <c r="NWF13" s="554"/>
      <c r="NWG13" s="554"/>
      <c r="NWH13" s="554"/>
      <c r="NWI13" s="554"/>
      <c r="NWJ13" s="554"/>
      <c r="NWK13" s="554"/>
      <c r="NWL13" s="554"/>
      <c r="NWM13" s="554"/>
      <c r="NWN13" s="554"/>
      <c r="NWO13" s="554"/>
      <c r="NWP13" s="554"/>
      <c r="NWQ13" s="554"/>
      <c r="NWR13" s="554"/>
      <c r="NWS13" s="554"/>
      <c r="NWT13" s="554"/>
      <c r="NWU13" s="554"/>
      <c r="NWV13" s="554"/>
      <c r="NWW13" s="554"/>
      <c r="NWX13" s="554"/>
      <c r="NWY13" s="554"/>
      <c r="NWZ13" s="554"/>
      <c r="NXA13" s="554"/>
      <c r="NXB13" s="554"/>
      <c r="NXC13" s="554"/>
      <c r="NXD13" s="554"/>
      <c r="NXE13" s="554"/>
      <c r="NXF13" s="554"/>
      <c r="NXG13" s="554"/>
      <c r="NXH13" s="554"/>
      <c r="NXI13" s="554"/>
      <c r="NXJ13" s="554"/>
      <c r="NXK13" s="554"/>
      <c r="NXL13" s="554"/>
      <c r="NXM13" s="554"/>
      <c r="NXN13" s="554"/>
      <c r="NXO13" s="554"/>
      <c r="NXP13" s="554"/>
      <c r="NXQ13" s="554"/>
      <c r="NXR13" s="554"/>
      <c r="NXS13" s="554"/>
      <c r="NXT13" s="554"/>
      <c r="NXU13" s="554"/>
      <c r="NXV13" s="554"/>
      <c r="NXW13" s="554"/>
      <c r="NXX13" s="554"/>
      <c r="NXY13" s="554"/>
      <c r="NXZ13" s="554"/>
      <c r="NYA13" s="554"/>
      <c r="NYB13" s="554"/>
      <c r="NYC13" s="554"/>
      <c r="NYD13" s="554"/>
      <c r="NYE13" s="554"/>
      <c r="NYF13" s="554"/>
      <c r="NYG13" s="554"/>
      <c r="NYH13" s="554"/>
      <c r="NYI13" s="554"/>
      <c r="NYJ13" s="554"/>
      <c r="NYK13" s="554"/>
      <c r="NYL13" s="554"/>
      <c r="NYM13" s="554"/>
      <c r="NYN13" s="554"/>
      <c r="NYO13" s="554"/>
      <c r="NYP13" s="554"/>
      <c r="NYQ13" s="554"/>
      <c r="NYR13" s="554"/>
      <c r="NYS13" s="554"/>
      <c r="NYT13" s="554"/>
      <c r="NYU13" s="554"/>
      <c r="NYV13" s="554"/>
      <c r="NYW13" s="554"/>
      <c r="NYX13" s="554"/>
      <c r="NYY13" s="554"/>
      <c r="NYZ13" s="554"/>
      <c r="NZA13" s="554"/>
      <c r="NZB13" s="554"/>
      <c r="NZC13" s="554"/>
      <c r="NZD13" s="554"/>
      <c r="NZE13" s="554"/>
      <c r="NZF13" s="554"/>
      <c r="NZG13" s="554"/>
      <c r="NZH13" s="554"/>
      <c r="NZI13" s="554"/>
      <c r="NZJ13" s="554"/>
      <c r="NZK13" s="554"/>
      <c r="NZL13" s="554"/>
      <c r="NZM13" s="554"/>
      <c r="NZN13" s="554"/>
      <c r="NZO13" s="554"/>
      <c r="NZP13" s="554"/>
      <c r="NZQ13" s="554"/>
      <c r="NZR13" s="554"/>
      <c r="NZS13" s="554"/>
      <c r="NZT13" s="554"/>
      <c r="NZU13" s="554"/>
      <c r="NZV13" s="554"/>
      <c r="NZW13" s="554"/>
      <c r="NZX13" s="554"/>
      <c r="NZY13" s="554"/>
      <c r="NZZ13" s="554"/>
      <c r="OAA13" s="554"/>
      <c r="OAB13" s="554"/>
      <c r="OAC13" s="554"/>
      <c r="OAD13" s="554"/>
      <c r="OAE13" s="554"/>
      <c r="OAF13" s="554"/>
      <c r="OAG13" s="554"/>
      <c r="OAH13" s="554"/>
      <c r="OAI13" s="554"/>
      <c r="OAJ13" s="554"/>
      <c r="OAK13" s="554"/>
      <c r="OAL13" s="554"/>
      <c r="OAM13" s="554"/>
      <c r="OAN13" s="554"/>
      <c r="OAO13" s="554"/>
      <c r="OAP13" s="554"/>
      <c r="OAQ13" s="554"/>
      <c r="OAR13" s="554"/>
      <c r="OAS13" s="554"/>
      <c r="OAT13" s="554"/>
      <c r="OAU13" s="554"/>
      <c r="OAV13" s="554"/>
      <c r="OAW13" s="554"/>
      <c r="OAX13" s="554"/>
      <c r="OAY13" s="554"/>
      <c r="OAZ13" s="554"/>
      <c r="OBA13" s="554"/>
      <c r="OBB13" s="554"/>
      <c r="OBC13" s="554"/>
      <c r="OBD13" s="554"/>
      <c r="OBE13" s="554"/>
      <c r="OBF13" s="554"/>
      <c r="OBG13" s="554"/>
      <c r="OBH13" s="554"/>
      <c r="OBI13" s="554"/>
      <c r="OBJ13" s="554"/>
      <c r="OBK13" s="554"/>
      <c r="OBL13" s="554"/>
      <c r="OBM13" s="554"/>
      <c r="OBN13" s="554"/>
      <c r="OBO13" s="554"/>
      <c r="OBP13" s="554"/>
      <c r="OBQ13" s="554"/>
      <c r="OBR13" s="554"/>
      <c r="OBS13" s="554"/>
      <c r="OBT13" s="554"/>
      <c r="OBU13" s="554"/>
      <c r="OBV13" s="554"/>
      <c r="OBW13" s="554"/>
      <c r="OBX13" s="554"/>
      <c r="OBY13" s="554"/>
      <c r="OBZ13" s="554"/>
      <c r="OCA13" s="554"/>
      <c r="OCB13" s="554"/>
      <c r="OCC13" s="554"/>
      <c r="OCD13" s="554"/>
      <c r="OCE13" s="554"/>
      <c r="OCF13" s="554"/>
      <c r="OCG13" s="554"/>
      <c r="OCH13" s="554"/>
      <c r="OCI13" s="554"/>
      <c r="OCJ13" s="554"/>
      <c r="OCK13" s="554"/>
      <c r="OCL13" s="554"/>
      <c r="OCM13" s="554"/>
      <c r="OCN13" s="554"/>
      <c r="OCO13" s="554"/>
      <c r="OCP13" s="554"/>
      <c r="OCQ13" s="554"/>
      <c r="OCR13" s="554"/>
      <c r="OCS13" s="554"/>
      <c r="OCT13" s="554"/>
      <c r="OCU13" s="554"/>
      <c r="OCV13" s="554"/>
      <c r="OCW13" s="554"/>
      <c r="OCX13" s="554"/>
      <c r="OCY13" s="554"/>
      <c r="OCZ13" s="554"/>
      <c r="ODA13" s="554"/>
      <c r="ODB13" s="554"/>
      <c r="ODC13" s="554"/>
      <c r="ODD13" s="554"/>
      <c r="ODE13" s="554"/>
      <c r="ODF13" s="554"/>
      <c r="ODG13" s="554"/>
      <c r="ODH13" s="554"/>
      <c r="ODI13" s="554"/>
      <c r="ODJ13" s="554"/>
      <c r="ODK13" s="554"/>
      <c r="ODL13" s="554"/>
      <c r="ODM13" s="554"/>
      <c r="ODN13" s="554"/>
      <c r="ODO13" s="554"/>
      <c r="ODP13" s="554"/>
      <c r="ODQ13" s="554"/>
      <c r="ODR13" s="554"/>
      <c r="ODS13" s="554"/>
      <c r="ODT13" s="554"/>
      <c r="ODU13" s="554"/>
      <c r="ODV13" s="554"/>
      <c r="ODW13" s="554"/>
      <c r="ODX13" s="554"/>
      <c r="ODY13" s="554"/>
      <c r="ODZ13" s="554"/>
      <c r="OEA13" s="554"/>
      <c r="OEB13" s="554"/>
      <c r="OEC13" s="554"/>
      <c r="OED13" s="554"/>
      <c r="OEE13" s="554"/>
      <c r="OEF13" s="554"/>
      <c r="OEG13" s="554"/>
      <c r="OEH13" s="554"/>
      <c r="OEI13" s="554"/>
      <c r="OEJ13" s="554"/>
      <c r="OEK13" s="554"/>
      <c r="OEL13" s="554"/>
      <c r="OEM13" s="554"/>
      <c r="OEN13" s="554"/>
      <c r="OEO13" s="554"/>
      <c r="OEP13" s="554"/>
      <c r="OEQ13" s="554"/>
      <c r="OER13" s="554"/>
      <c r="OES13" s="554"/>
      <c r="OET13" s="554"/>
      <c r="OEU13" s="554"/>
      <c r="OEV13" s="554"/>
      <c r="OEW13" s="554"/>
      <c r="OEX13" s="554"/>
      <c r="OEY13" s="554"/>
      <c r="OEZ13" s="554"/>
      <c r="OFA13" s="554"/>
      <c r="OFB13" s="554"/>
      <c r="OFC13" s="554"/>
      <c r="OFD13" s="554"/>
      <c r="OFE13" s="554"/>
      <c r="OFF13" s="554"/>
      <c r="OFG13" s="554"/>
      <c r="OFH13" s="554"/>
      <c r="OFI13" s="554"/>
      <c r="OFJ13" s="554"/>
      <c r="OFK13" s="554"/>
      <c r="OFL13" s="554"/>
      <c r="OFM13" s="554"/>
      <c r="OFN13" s="554"/>
      <c r="OFO13" s="554"/>
      <c r="OFP13" s="554"/>
      <c r="OFQ13" s="554"/>
      <c r="OFR13" s="554"/>
      <c r="OFS13" s="554"/>
      <c r="OFT13" s="554"/>
      <c r="OFU13" s="554"/>
      <c r="OFV13" s="554"/>
      <c r="OFW13" s="554"/>
      <c r="OFX13" s="554"/>
      <c r="OFY13" s="554"/>
      <c r="OFZ13" s="554"/>
      <c r="OGA13" s="554"/>
      <c r="OGB13" s="554"/>
      <c r="OGC13" s="554"/>
      <c r="OGD13" s="554"/>
      <c r="OGE13" s="554"/>
      <c r="OGF13" s="554"/>
      <c r="OGG13" s="554"/>
      <c r="OGH13" s="554"/>
      <c r="OGI13" s="554"/>
      <c r="OGJ13" s="554"/>
      <c r="OGK13" s="554"/>
      <c r="OGL13" s="554"/>
      <c r="OGM13" s="554"/>
      <c r="OGN13" s="554"/>
      <c r="OGO13" s="554"/>
      <c r="OGP13" s="554"/>
      <c r="OGQ13" s="554"/>
      <c r="OGR13" s="554"/>
      <c r="OGS13" s="554"/>
      <c r="OGT13" s="554"/>
      <c r="OGU13" s="554"/>
      <c r="OGV13" s="554"/>
      <c r="OGW13" s="554"/>
      <c r="OGX13" s="554"/>
      <c r="OGY13" s="554"/>
      <c r="OGZ13" s="554"/>
      <c r="OHA13" s="554"/>
      <c r="OHB13" s="554"/>
      <c r="OHC13" s="554"/>
      <c r="OHD13" s="554"/>
      <c r="OHE13" s="554"/>
      <c r="OHF13" s="554"/>
      <c r="OHG13" s="554"/>
      <c r="OHH13" s="554"/>
      <c r="OHI13" s="554"/>
      <c r="OHJ13" s="554"/>
      <c r="OHK13" s="554"/>
      <c r="OHL13" s="554"/>
      <c r="OHM13" s="554"/>
      <c r="OHN13" s="554"/>
      <c r="OHO13" s="554"/>
      <c r="OHP13" s="554"/>
      <c r="OHQ13" s="554"/>
      <c r="OHR13" s="554"/>
      <c r="OHS13" s="554"/>
      <c r="OHT13" s="554"/>
      <c r="OHU13" s="554"/>
      <c r="OHV13" s="554"/>
      <c r="OHW13" s="554"/>
      <c r="OHX13" s="554"/>
      <c r="OHY13" s="554"/>
      <c r="OHZ13" s="554"/>
      <c r="OIA13" s="554"/>
      <c r="OIB13" s="554"/>
      <c r="OIC13" s="554"/>
      <c r="OID13" s="554"/>
      <c r="OIE13" s="554"/>
      <c r="OIF13" s="554"/>
      <c r="OIG13" s="554"/>
      <c r="OIH13" s="554"/>
      <c r="OII13" s="554"/>
      <c r="OIJ13" s="554"/>
      <c r="OIK13" s="554"/>
      <c r="OIL13" s="554"/>
      <c r="OIM13" s="554"/>
      <c r="OIN13" s="554"/>
      <c r="OIO13" s="554"/>
      <c r="OIP13" s="554"/>
      <c r="OIQ13" s="554"/>
      <c r="OIR13" s="554"/>
      <c r="OIS13" s="554"/>
      <c r="OIT13" s="554"/>
      <c r="OIU13" s="554"/>
      <c r="OIV13" s="554"/>
      <c r="OIW13" s="554"/>
      <c r="OIX13" s="554"/>
      <c r="OIY13" s="554"/>
      <c r="OIZ13" s="554"/>
      <c r="OJA13" s="554"/>
      <c r="OJB13" s="554"/>
      <c r="OJC13" s="554"/>
      <c r="OJD13" s="554"/>
      <c r="OJE13" s="554"/>
      <c r="OJF13" s="554"/>
      <c r="OJG13" s="554"/>
      <c r="OJH13" s="554"/>
      <c r="OJI13" s="554"/>
      <c r="OJJ13" s="554"/>
      <c r="OJK13" s="554"/>
      <c r="OJL13" s="554"/>
      <c r="OJM13" s="554"/>
      <c r="OJN13" s="554"/>
      <c r="OJO13" s="554"/>
      <c r="OJP13" s="554"/>
      <c r="OJQ13" s="554"/>
      <c r="OJR13" s="554"/>
      <c r="OJS13" s="554"/>
      <c r="OJT13" s="554"/>
      <c r="OJU13" s="554"/>
      <c r="OJV13" s="554"/>
      <c r="OJW13" s="554"/>
      <c r="OJX13" s="554"/>
      <c r="OJY13" s="554"/>
      <c r="OJZ13" s="554"/>
      <c r="OKA13" s="554"/>
      <c r="OKB13" s="554"/>
      <c r="OKC13" s="554"/>
      <c r="OKD13" s="554"/>
      <c r="OKE13" s="554"/>
      <c r="OKF13" s="554"/>
      <c r="OKG13" s="554"/>
      <c r="OKH13" s="554"/>
      <c r="OKI13" s="554"/>
      <c r="OKJ13" s="554"/>
      <c r="OKK13" s="554"/>
      <c r="OKL13" s="554"/>
      <c r="OKM13" s="554"/>
      <c r="OKN13" s="554"/>
      <c r="OKO13" s="554"/>
      <c r="OKP13" s="554"/>
      <c r="OKQ13" s="554"/>
      <c r="OKR13" s="554"/>
      <c r="OKS13" s="554"/>
      <c r="OKT13" s="554"/>
      <c r="OKU13" s="554"/>
      <c r="OKV13" s="554"/>
      <c r="OKW13" s="554"/>
      <c r="OKX13" s="554"/>
      <c r="OKY13" s="554"/>
      <c r="OKZ13" s="554"/>
      <c r="OLA13" s="554"/>
      <c r="OLB13" s="554"/>
      <c r="OLC13" s="554"/>
      <c r="OLD13" s="554"/>
      <c r="OLE13" s="554"/>
      <c r="OLF13" s="554"/>
      <c r="OLG13" s="554"/>
      <c r="OLH13" s="554"/>
      <c r="OLI13" s="554"/>
      <c r="OLJ13" s="554"/>
      <c r="OLK13" s="554"/>
      <c r="OLL13" s="554"/>
      <c r="OLM13" s="554"/>
      <c r="OLN13" s="554"/>
      <c r="OLO13" s="554"/>
      <c r="OLP13" s="554"/>
      <c r="OLQ13" s="554"/>
      <c r="OLR13" s="554"/>
      <c r="OLS13" s="554"/>
      <c r="OLT13" s="554"/>
      <c r="OLU13" s="554"/>
      <c r="OLV13" s="554"/>
      <c r="OLW13" s="554"/>
      <c r="OLX13" s="554"/>
      <c r="OLY13" s="554"/>
      <c r="OLZ13" s="554"/>
      <c r="OMA13" s="554"/>
      <c r="OMB13" s="554"/>
      <c r="OMC13" s="554"/>
      <c r="OMD13" s="554"/>
      <c r="OME13" s="554"/>
      <c r="OMF13" s="554"/>
      <c r="OMG13" s="554"/>
      <c r="OMH13" s="554"/>
      <c r="OMI13" s="554"/>
      <c r="OMJ13" s="554"/>
      <c r="OMK13" s="554"/>
      <c r="OML13" s="554"/>
      <c r="OMM13" s="554"/>
      <c r="OMN13" s="554"/>
      <c r="OMO13" s="554"/>
      <c r="OMP13" s="554"/>
      <c r="OMQ13" s="554"/>
      <c r="OMR13" s="554"/>
      <c r="OMS13" s="554"/>
      <c r="OMT13" s="554"/>
      <c r="OMU13" s="554"/>
      <c r="OMV13" s="554"/>
      <c r="OMW13" s="554"/>
      <c r="OMX13" s="554"/>
      <c r="OMY13" s="554"/>
      <c r="OMZ13" s="554"/>
      <c r="ONA13" s="554"/>
      <c r="ONB13" s="554"/>
      <c r="ONC13" s="554"/>
      <c r="OND13" s="554"/>
      <c r="ONE13" s="554"/>
      <c r="ONF13" s="554"/>
      <c r="ONG13" s="554"/>
      <c r="ONH13" s="554"/>
      <c r="ONI13" s="554"/>
      <c r="ONJ13" s="554"/>
      <c r="ONK13" s="554"/>
      <c r="ONL13" s="554"/>
      <c r="ONM13" s="554"/>
      <c r="ONN13" s="554"/>
      <c r="ONO13" s="554"/>
      <c r="ONP13" s="554"/>
      <c r="ONQ13" s="554"/>
      <c r="ONR13" s="554"/>
      <c r="ONS13" s="554"/>
      <c r="ONT13" s="554"/>
      <c r="ONU13" s="554"/>
      <c r="ONV13" s="554"/>
      <c r="ONW13" s="554"/>
      <c r="ONX13" s="554"/>
      <c r="ONY13" s="554"/>
      <c r="ONZ13" s="554"/>
      <c r="OOA13" s="554"/>
      <c r="OOB13" s="554"/>
      <c r="OOC13" s="554"/>
      <c r="OOD13" s="554"/>
      <c r="OOE13" s="554"/>
      <c r="OOF13" s="554"/>
      <c r="OOG13" s="554"/>
      <c r="OOH13" s="554"/>
      <c r="OOI13" s="554"/>
      <c r="OOJ13" s="554"/>
      <c r="OOK13" s="554"/>
      <c r="OOL13" s="554"/>
      <c r="OOM13" s="554"/>
      <c r="OON13" s="554"/>
      <c r="OOO13" s="554"/>
      <c r="OOP13" s="554"/>
      <c r="OOQ13" s="554"/>
      <c r="OOR13" s="554"/>
      <c r="OOS13" s="554"/>
      <c r="OOT13" s="554"/>
      <c r="OOU13" s="554"/>
      <c r="OOV13" s="554"/>
      <c r="OOW13" s="554"/>
      <c r="OOX13" s="554"/>
      <c r="OOY13" s="554"/>
      <c r="OOZ13" s="554"/>
      <c r="OPA13" s="554"/>
      <c r="OPB13" s="554"/>
      <c r="OPC13" s="554"/>
      <c r="OPD13" s="554"/>
      <c r="OPE13" s="554"/>
      <c r="OPF13" s="554"/>
      <c r="OPG13" s="554"/>
      <c r="OPH13" s="554"/>
      <c r="OPI13" s="554"/>
      <c r="OPJ13" s="554"/>
      <c r="OPK13" s="554"/>
      <c r="OPL13" s="554"/>
      <c r="OPM13" s="554"/>
      <c r="OPN13" s="554"/>
      <c r="OPO13" s="554"/>
      <c r="OPP13" s="554"/>
      <c r="OPQ13" s="554"/>
      <c r="OPR13" s="554"/>
      <c r="OPS13" s="554"/>
      <c r="OPT13" s="554"/>
      <c r="OPU13" s="554"/>
      <c r="OPV13" s="554"/>
      <c r="OPW13" s="554"/>
      <c r="OPX13" s="554"/>
      <c r="OPY13" s="554"/>
      <c r="OPZ13" s="554"/>
      <c r="OQA13" s="554"/>
      <c r="OQB13" s="554"/>
      <c r="OQC13" s="554"/>
      <c r="OQD13" s="554"/>
      <c r="OQE13" s="554"/>
      <c r="OQF13" s="554"/>
      <c r="OQG13" s="554"/>
      <c r="OQH13" s="554"/>
      <c r="OQI13" s="554"/>
      <c r="OQJ13" s="554"/>
      <c r="OQK13" s="554"/>
      <c r="OQL13" s="554"/>
      <c r="OQM13" s="554"/>
      <c r="OQN13" s="554"/>
      <c r="OQO13" s="554"/>
      <c r="OQP13" s="554"/>
      <c r="OQQ13" s="554"/>
      <c r="OQR13" s="554"/>
      <c r="OQS13" s="554"/>
      <c r="OQT13" s="554"/>
      <c r="OQU13" s="554"/>
      <c r="OQV13" s="554"/>
      <c r="OQW13" s="554"/>
      <c r="OQX13" s="554"/>
      <c r="OQY13" s="554"/>
      <c r="OQZ13" s="554"/>
      <c r="ORA13" s="554"/>
      <c r="ORB13" s="554"/>
      <c r="ORC13" s="554"/>
      <c r="ORD13" s="554"/>
      <c r="ORE13" s="554"/>
      <c r="ORF13" s="554"/>
      <c r="ORG13" s="554"/>
      <c r="ORH13" s="554"/>
      <c r="ORI13" s="554"/>
      <c r="ORJ13" s="554"/>
      <c r="ORK13" s="554"/>
      <c r="ORL13" s="554"/>
      <c r="ORM13" s="554"/>
      <c r="ORN13" s="554"/>
      <c r="ORO13" s="554"/>
      <c r="ORP13" s="554"/>
      <c r="ORQ13" s="554"/>
      <c r="ORR13" s="554"/>
      <c r="ORS13" s="554"/>
      <c r="ORT13" s="554"/>
      <c r="ORU13" s="554"/>
      <c r="ORV13" s="554"/>
      <c r="ORW13" s="554"/>
      <c r="ORX13" s="554"/>
      <c r="ORY13" s="554"/>
      <c r="ORZ13" s="554"/>
      <c r="OSA13" s="554"/>
      <c r="OSB13" s="554"/>
      <c r="OSC13" s="554"/>
      <c r="OSD13" s="554"/>
      <c r="OSE13" s="554"/>
      <c r="OSF13" s="554"/>
      <c r="OSG13" s="554"/>
      <c r="OSH13" s="554"/>
      <c r="OSI13" s="554"/>
      <c r="OSJ13" s="554"/>
      <c r="OSK13" s="554"/>
      <c r="OSL13" s="554"/>
      <c r="OSM13" s="554"/>
      <c r="OSN13" s="554"/>
      <c r="OSO13" s="554"/>
      <c r="OSP13" s="554"/>
      <c r="OSQ13" s="554"/>
      <c r="OSR13" s="554"/>
      <c r="OSS13" s="554"/>
      <c r="OST13" s="554"/>
      <c r="OSU13" s="554"/>
      <c r="OSV13" s="554"/>
      <c r="OSW13" s="554"/>
      <c r="OSX13" s="554"/>
      <c r="OSY13" s="554"/>
      <c r="OSZ13" s="554"/>
      <c r="OTA13" s="554"/>
      <c r="OTB13" s="554"/>
      <c r="OTC13" s="554"/>
      <c r="OTD13" s="554"/>
      <c r="OTE13" s="554"/>
      <c r="OTF13" s="554"/>
      <c r="OTG13" s="554"/>
      <c r="OTH13" s="554"/>
      <c r="OTI13" s="554"/>
      <c r="OTJ13" s="554"/>
      <c r="OTK13" s="554"/>
      <c r="OTL13" s="554"/>
      <c r="OTM13" s="554"/>
      <c r="OTN13" s="554"/>
      <c r="OTO13" s="554"/>
      <c r="OTP13" s="554"/>
      <c r="OTQ13" s="554"/>
      <c r="OTR13" s="554"/>
      <c r="OTS13" s="554"/>
      <c r="OTT13" s="554"/>
      <c r="OTU13" s="554"/>
      <c r="OTV13" s="554"/>
      <c r="OTW13" s="554"/>
      <c r="OTX13" s="554"/>
      <c r="OTY13" s="554"/>
      <c r="OTZ13" s="554"/>
      <c r="OUA13" s="554"/>
      <c r="OUB13" s="554"/>
      <c r="OUC13" s="554"/>
      <c r="OUD13" s="554"/>
      <c r="OUE13" s="554"/>
      <c r="OUF13" s="554"/>
      <c r="OUG13" s="554"/>
      <c r="OUH13" s="554"/>
      <c r="OUI13" s="554"/>
      <c r="OUJ13" s="554"/>
      <c r="OUK13" s="554"/>
      <c r="OUL13" s="554"/>
      <c r="OUM13" s="554"/>
      <c r="OUN13" s="554"/>
      <c r="OUO13" s="554"/>
      <c r="OUP13" s="554"/>
      <c r="OUQ13" s="554"/>
      <c r="OUR13" s="554"/>
      <c r="OUS13" s="554"/>
      <c r="OUT13" s="554"/>
      <c r="OUU13" s="554"/>
      <c r="OUV13" s="554"/>
      <c r="OUW13" s="554"/>
      <c r="OUX13" s="554"/>
      <c r="OUY13" s="554"/>
      <c r="OUZ13" s="554"/>
      <c r="OVA13" s="554"/>
      <c r="OVB13" s="554"/>
      <c r="OVC13" s="554"/>
      <c r="OVD13" s="554"/>
      <c r="OVE13" s="554"/>
      <c r="OVF13" s="554"/>
      <c r="OVG13" s="554"/>
      <c r="OVH13" s="554"/>
      <c r="OVI13" s="554"/>
      <c r="OVJ13" s="554"/>
      <c r="OVK13" s="554"/>
      <c r="OVL13" s="554"/>
      <c r="OVM13" s="554"/>
      <c r="OVN13" s="554"/>
      <c r="OVO13" s="554"/>
      <c r="OVP13" s="554"/>
      <c r="OVQ13" s="554"/>
      <c r="OVR13" s="554"/>
      <c r="OVS13" s="554"/>
      <c r="OVT13" s="554"/>
      <c r="OVU13" s="554"/>
      <c r="OVV13" s="554"/>
      <c r="OVW13" s="554"/>
      <c r="OVX13" s="554"/>
      <c r="OVY13" s="554"/>
      <c r="OVZ13" s="554"/>
      <c r="OWA13" s="554"/>
      <c r="OWB13" s="554"/>
      <c r="OWC13" s="554"/>
      <c r="OWD13" s="554"/>
      <c r="OWE13" s="554"/>
      <c r="OWF13" s="554"/>
      <c r="OWG13" s="554"/>
      <c r="OWH13" s="554"/>
      <c r="OWI13" s="554"/>
      <c r="OWJ13" s="554"/>
      <c r="OWK13" s="554"/>
      <c r="OWL13" s="554"/>
      <c r="OWM13" s="554"/>
      <c r="OWN13" s="554"/>
      <c r="OWO13" s="554"/>
      <c r="OWP13" s="554"/>
      <c r="OWQ13" s="554"/>
      <c r="OWR13" s="554"/>
      <c r="OWS13" s="554"/>
      <c r="OWT13" s="554"/>
      <c r="OWU13" s="554"/>
      <c r="OWV13" s="554"/>
      <c r="OWW13" s="554"/>
      <c r="OWX13" s="554"/>
      <c r="OWY13" s="554"/>
      <c r="OWZ13" s="554"/>
      <c r="OXA13" s="554"/>
      <c r="OXB13" s="554"/>
      <c r="OXC13" s="554"/>
      <c r="OXD13" s="554"/>
      <c r="OXE13" s="554"/>
      <c r="OXF13" s="554"/>
      <c r="OXG13" s="554"/>
      <c r="OXH13" s="554"/>
      <c r="OXI13" s="554"/>
      <c r="OXJ13" s="554"/>
      <c r="OXK13" s="554"/>
      <c r="OXL13" s="554"/>
      <c r="OXM13" s="554"/>
      <c r="OXN13" s="554"/>
      <c r="OXO13" s="554"/>
      <c r="OXP13" s="554"/>
      <c r="OXQ13" s="554"/>
      <c r="OXR13" s="554"/>
      <c r="OXS13" s="554"/>
      <c r="OXT13" s="554"/>
      <c r="OXU13" s="554"/>
      <c r="OXV13" s="554"/>
      <c r="OXW13" s="554"/>
      <c r="OXX13" s="554"/>
      <c r="OXY13" s="554"/>
      <c r="OXZ13" s="554"/>
      <c r="OYA13" s="554"/>
      <c r="OYB13" s="554"/>
      <c r="OYC13" s="554"/>
      <c r="OYD13" s="554"/>
      <c r="OYE13" s="554"/>
      <c r="OYF13" s="554"/>
      <c r="OYG13" s="554"/>
      <c r="OYH13" s="554"/>
      <c r="OYI13" s="554"/>
      <c r="OYJ13" s="554"/>
      <c r="OYK13" s="554"/>
      <c r="OYL13" s="554"/>
      <c r="OYM13" s="554"/>
      <c r="OYN13" s="554"/>
      <c r="OYO13" s="554"/>
      <c r="OYP13" s="554"/>
      <c r="OYQ13" s="554"/>
      <c r="OYR13" s="554"/>
      <c r="OYS13" s="554"/>
      <c r="OYT13" s="554"/>
      <c r="OYU13" s="554"/>
      <c r="OYV13" s="554"/>
      <c r="OYW13" s="554"/>
      <c r="OYX13" s="554"/>
      <c r="OYY13" s="554"/>
      <c r="OYZ13" s="554"/>
      <c r="OZA13" s="554"/>
      <c r="OZB13" s="554"/>
      <c r="OZC13" s="554"/>
      <c r="OZD13" s="554"/>
      <c r="OZE13" s="554"/>
      <c r="OZF13" s="554"/>
      <c r="OZG13" s="554"/>
      <c r="OZH13" s="554"/>
      <c r="OZI13" s="554"/>
      <c r="OZJ13" s="554"/>
      <c r="OZK13" s="554"/>
      <c r="OZL13" s="554"/>
      <c r="OZM13" s="554"/>
      <c r="OZN13" s="554"/>
      <c r="OZO13" s="554"/>
      <c r="OZP13" s="554"/>
      <c r="OZQ13" s="554"/>
      <c r="OZR13" s="554"/>
      <c r="OZS13" s="554"/>
      <c r="OZT13" s="554"/>
      <c r="OZU13" s="554"/>
      <c r="OZV13" s="554"/>
      <c r="OZW13" s="554"/>
      <c r="OZX13" s="554"/>
      <c r="OZY13" s="554"/>
      <c r="OZZ13" s="554"/>
      <c r="PAA13" s="554"/>
      <c r="PAB13" s="554"/>
      <c r="PAC13" s="554"/>
      <c r="PAD13" s="554"/>
      <c r="PAE13" s="554"/>
      <c r="PAF13" s="554"/>
      <c r="PAG13" s="554"/>
      <c r="PAH13" s="554"/>
      <c r="PAI13" s="554"/>
      <c r="PAJ13" s="554"/>
      <c r="PAK13" s="554"/>
      <c r="PAL13" s="554"/>
      <c r="PAM13" s="554"/>
      <c r="PAN13" s="554"/>
      <c r="PAO13" s="554"/>
      <c r="PAP13" s="554"/>
      <c r="PAQ13" s="554"/>
      <c r="PAR13" s="554"/>
      <c r="PAS13" s="554"/>
      <c r="PAT13" s="554"/>
      <c r="PAU13" s="554"/>
      <c r="PAV13" s="554"/>
      <c r="PAW13" s="554"/>
      <c r="PAX13" s="554"/>
      <c r="PAY13" s="554"/>
      <c r="PAZ13" s="554"/>
      <c r="PBA13" s="554"/>
      <c r="PBB13" s="554"/>
      <c r="PBC13" s="554"/>
      <c r="PBD13" s="554"/>
      <c r="PBE13" s="554"/>
      <c r="PBF13" s="554"/>
      <c r="PBG13" s="554"/>
      <c r="PBH13" s="554"/>
      <c r="PBI13" s="554"/>
      <c r="PBJ13" s="554"/>
      <c r="PBK13" s="554"/>
      <c r="PBL13" s="554"/>
      <c r="PBM13" s="554"/>
      <c r="PBN13" s="554"/>
      <c r="PBO13" s="554"/>
      <c r="PBP13" s="554"/>
      <c r="PBQ13" s="554"/>
      <c r="PBR13" s="554"/>
      <c r="PBS13" s="554"/>
      <c r="PBT13" s="554"/>
      <c r="PBU13" s="554"/>
      <c r="PBV13" s="554"/>
      <c r="PBW13" s="554"/>
      <c r="PBX13" s="554"/>
      <c r="PBY13" s="554"/>
      <c r="PBZ13" s="554"/>
      <c r="PCA13" s="554"/>
      <c r="PCB13" s="554"/>
      <c r="PCC13" s="554"/>
      <c r="PCD13" s="554"/>
      <c r="PCE13" s="554"/>
      <c r="PCF13" s="554"/>
      <c r="PCG13" s="554"/>
      <c r="PCH13" s="554"/>
      <c r="PCI13" s="554"/>
      <c r="PCJ13" s="554"/>
      <c r="PCK13" s="554"/>
      <c r="PCL13" s="554"/>
      <c r="PCM13" s="554"/>
      <c r="PCN13" s="554"/>
      <c r="PCO13" s="554"/>
      <c r="PCP13" s="554"/>
      <c r="PCQ13" s="554"/>
      <c r="PCR13" s="554"/>
      <c r="PCS13" s="554"/>
      <c r="PCT13" s="554"/>
      <c r="PCU13" s="554"/>
      <c r="PCV13" s="554"/>
      <c r="PCW13" s="554"/>
      <c r="PCX13" s="554"/>
      <c r="PCY13" s="554"/>
      <c r="PCZ13" s="554"/>
      <c r="PDA13" s="554"/>
      <c r="PDB13" s="554"/>
      <c r="PDC13" s="554"/>
      <c r="PDD13" s="554"/>
      <c r="PDE13" s="554"/>
      <c r="PDF13" s="554"/>
      <c r="PDG13" s="554"/>
      <c r="PDH13" s="554"/>
      <c r="PDI13" s="554"/>
      <c r="PDJ13" s="554"/>
      <c r="PDK13" s="554"/>
      <c r="PDL13" s="554"/>
      <c r="PDM13" s="554"/>
      <c r="PDN13" s="554"/>
      <c r="PDO13" s="554"/>
      <c r="PDP13" s="554"/>
      <c r="PDQ13" s="554"/>
      <c r="PDR13" s="554"/>
      <c r="PDS13" s="554"/>
      <c r="PDT13" s="554"/>
      <c r="PDU13" s="554"/>
      <c r="PDV13" s="554"/>
      <c r="PDW13" s="554"/>
      <c r="PDX13" s="554"/>
      <c r="PDY13" s="554"/>
      <c r="PDZ13" s="554"/>
      <c r="PEA13" s="554"/>
      <c r="PEB13" s="554"/>
      <c r="PEC13" s="554"/>
      <c r="PED13" s="554"/>
      <c r="PEE13" s="554"/>
      <c r="PEF13" s="554"/>
      <c r="PEG13" s="554"/>
      <c r="PEH13" s="554"/>
      <c r="PEI13" s="554"/>
      <c r="PEJ13" s="554"/>
      <c r="PEK13" s="554"/>
      <c r="PEL13" s="554"/>
      <c r="PEM13" s="554"/>
      <c r="PEN13" s="554"/>
      <c r="PEO13" s="554"/>
      <c r="PEP13" s="554"/>
      <c r="PEQ13" s="554"/>
      <c r="PER13" s="554"/>
      <c r="PES13" s="554"/>
      <c r="PET13" s="554"/>
      <c r="PEU13" s="554"/>
      <c r="PEV13" s="554"/>
      <c r="PEW13" s="554"/>
      <c r="PEX13" s="554"/>
      <c r="PEY13" s="554"/>
      <c r="PEZ13" s="554"/>
      <c r="PFA13" s="554"/>
      <c r="PFB13" s="554"/>
      <c r="PFC13" s="554"/>
      <c r="PFD13" s="554"/>
      <c r="PFE13" s="554"/>
      <c r="PFF13" s="554"/>
      <c r="PFG13" s="554"/>
      <c r="PFH13" s="554"/>
      <c r="PFI13" s="554"/>
      <c r="PFJ13" s="554"/>
      <c r="PFK13" s="554"/>
      <c r="PFL13" s="554"/>
      <c r="PFM13" s="554"/>
      <c r="PFN13" s="554"/>
      <c r="PFO13" s="554"/>
      <c r="PFP13" s="554"/>
      <c r="PFQ13" s="554"/>
      <c r="PFR13" s="554"/>
      <c r="PFS13" s="554"/>
      <c r="PFT13" s="554"/>
      <c r="PFU13" s="554"/>
      <c r="PFV13" s="554"/>
      <c r="PFW13" s="554"/>
      <c r="PFX13" s="554"/>
      <c r="PFY13" s="554"/>
      <c r="PFZ13" s="554"/>
      <c r="PGA13" s="554"/>
      <c r="PGB13" s="554"/>
      <c r="PGC13" s="554"/>
      <c r="PGD13" s="554"/>
      <c r="PGE13" s="554"/>
      <c r="PGF13" s="554"/>
      <c r="PGG13" s="554"/>
      <c r="PGH13" s="554"/>
      <c r="PGI13" s="554"/>
      <c r="PGJ13" s="554"/>
      <c r="PGK13" s="554"/>
      <c r="PGL13" s="554"/>
      <c r="PGM13" s="554"/>
      <c r="PGN13" s="554"/>
      <c r="PGO13" s="554"/>
      <c r="PGP13" s="554"/>
      <c r="PGQ13" s="554"/>
      <c r="PGR13" s="554"/>
      <c r="PGS13" s="554"/>
      <c r="PGT13" s="554"/>
      <c r="PGU13" s="554"/>
      <c r="PGV13" s="554"/>
      <c r="PGW13" s="554"/>
      <c r="PGX13" s="554"/>
      <c r="PGY13" s="554"/>
      <c r="PGZ13" s="554"/>
      <c r="PHA13" s="554"/>
      <c r="PHB13" s="554"/>
      <c r="PHC13" s="554"/>
      <c r="PHD13" s="554"/>
      <c r="PHE13" s="554"/>
      <c r="PHF13" s="554"/>
      <c r="PHG13" s="554"/>
      <c r="PHH13" s="554"/>
      <c r="PHI13" s="554"/>
      <c r="PHJ13" s="554"/>
      <c r="PHK13" s="554"/>
      <c r="PHL13" s="554"/>
      <c r="PHM13" s="554"/>
      <c r="PHN13" s="554"/>
      <c r="PHO13" s="554"/>
      <c r="PHP13" s="554"/>
      <c r="PHQ13" s="554"/>
      <c r="PHR13" s="554"/>
      <c r="PHS13" s="554"/>
      <c r="PHT13" s="554"/>
      <c r="PHU13" s="554"/>
      <c r="PHV13" s="554"/>
      <c r="PHW13" s="554"/>
      <c r="PHX13" s="554"/>
      <c r="PHY13" s="554"/>
      <c r="PHZ13" s="554"/>
      <c r="PIA13" s="554"/>
      <c r="PIB13" s="554"/>
      <c r="PIC13" s="554"/>
      <c r="PID13" s="554"/>
      <c r="PIE13" s="554"/>
      <c r="PIF13" s="554"/>
      <c r="PIG13" s="554"/>
      <c r="PIH13" s="554"/>
      <c r="PII13" s="554"/>
      <c r="PIJ13" s="554"/>
      <c r="PIK13" s="554"/>
      <c r="PIL13" s="554"/>
      <c r="PIM13" s="554"/>
      <c r="PIN13" s="554"/>
      <c r="PIO13" s="554"/>
      <c r="PIP13" s="554"/>
      <c r="PIQ13" s="554"/>
      <c r="PIR13" s="554"/>
      <c r="PIS13" s="554"/>
      <c r="PIT13" s="554"/>
      <c r="PIU13" s="554"/>
      <c r="PIV13" s="554"/>
      <c r="PIW13" s="554"/>
      <c r="PIX13" s="554"/>
      <c r="PIY13" s="554"/>
      <c r="PIZ13" s="554"/>
      <c r="PJA13" s="554"/>
      <c r="PJB13" s="554"/>
      <c r="PJC13" s="554"/>
      <c r="PJD13" s="554"/>
      <c r="PJE13" s="554"/>
      <c r="PJF13" s="554"/>
      <c r="PJG13" s="554"/>
      <c r="PJH13" s="554"/>
      <c r="PJI13" s="554"/>
      <c r="PJJ13" s="554"/>
      <c r="PJK13" s="554"/>
      <c r="PJL13" s="554"/>
      <c r="PJM13" s="554"/>
      <c r="PJN13" s="554"/>
      <c r="PJO13" s="554"/>
      <c r="PJP13" s="554"/>
      <c r="PJQ13" s="554"/>
      <c r="PJR13" s="554"/>
      <c r="PJS13" s="554"/>
      <c r="PJT13" s="554"/>
      <c r="PJU13" s="554"/>
      <c r="PJV13" s="554"/>
      <c r="PJW13" s="554"/>
      <c r="PJX13" s="554"/>
      <c r="PJY13" s="554"/>
      <c r="PJZ13" s="554"/>
      <c r="PKA13" s="554"/>
      <c r="PKB13" s="554"/>
      <c r="PKC13" s="554"/>
      <c r="PKD13" s="554"/>
      <c r="PKE13" s="554"/>
      <c r="PKF13" s="554"/>
      <c r="PKG13" s="554"/>
      <c r="PKH13" s="554"/>
      <c r="PKI13" s="554"/>
      <c r="PKJ13" s="554"/>
      <c r="PKK13" s="554"/>
      <c r="PKL13" s="554"/>
      <c r="PKM13" s="554"/>
      <c r="PKN13" s="554"/>
      <c r="PKO13" s="554"/>
      <c r="PKP13" s="554"/>
      <c r="PKQ13" s="554"/>
      <c r="PKR13" s="554"/>
      <c r="PKS13" s="554"/>
      <c r="PKT13" s="554"/>
      <c r="PKU13" s="554"/>
      <c r="PKV13" s="554"/>
      <c r="PKW13" s="554"/>
      <c r="PKX13" s="554"/>
      <c r="PKY13" s="554"/>
      <c r="PKZ13" s="554"/>
      <c r="PLA13" s="554"/>
      <c r="PLB13" s="554"/>
      <c r="PLC13" s="554"/>
      <c r="PLD13" s="554"/>
      <c r="PLE13" s="554"/>
      <c r="PLF13" s="554"/>
      <c r="PLG13" s="554"/>
      <c r="PLH13" s="554"/>
      <c r="PLI13" s="554"/>
      <c r="PLJ13" s="554"/>
      <c r="PLK13" s="554"/>
      <c r="PLL13" s="554"/>
      <c r="PLM13" s="554"/>
      <c r="PLN13" s="554"/>
      <c r="PLO13" s="554"/>
      <c r="PLP13" s="554"/>
      <c r="PLQ13" s="554"/>
      <c r="PLR13" s="554"/>
      <c r="PLS13" s="554"/>
      <c r="PLT13" s="554"/>
      <c r="PLU13" s="554"/>
      <c r="PLV13" s="554"/>
      <c r="PLW13" s="554"/>
      <c r="PLX13" s="554"/>
      <c r="PLY13" s="554"/>
      <c r="PLZ13" s="554"/>
      <c r="PMA13" s="554"/>
      <c r="PMB13" s="554"/>
      <c r="PMC13" s="554"/>
      <c r="PMD13" s="554"/>
      <c r="PME13" s="554"/>
      <c r="PMF13" s="554"/>
      <c r="PMG13" s="554"/>
      <c r="PMH13" s="554"/>
      <c r="PMI13" s="554"/>
      <c r="PMJ13" s="554"/>
      <c r="PMK13" s="554"/>
      <c r="PML13" s="554"/>
      <c r="PMM13" s="554"/>
      <c r="PMN13" s="554"/>
      <c r="PMO13" s="554"/>
      <c r="PMP13" s="554"/>
      <c r="PMQ13" s="554"/>
      <c r="PMR13" s="554"/>
      <c r="PMS13" s="554"/>
      <c r="PMT13" s="554"/>
      <c r="PMU13" s="554"/>
      <c r="PMV13" s="554"/>
      <c r="PMW13" s="554"/>
      <c r="PMX13" s="554"/>
      <c r="PMY13" s="554"/>
      <c r="PMZ13" s="554"/>
      <c r="PNA13" s="554"/>
      <c r="PNB13" s="554"/>
      <c r="PNC13" s="554"/>
      <c r="PND13" s="554"/>
      <c r="PNE13" s="554"/>
      <c r="PNF13" s="554"/>
      <c r="PNG13" s="554"/>
      <c r="PNH13" s="554"/>
      <c r="PNI13" s="554"/>
      <c r="PNJ13" s="554"/>
      <c r="PNK13" s="554"/>
      <c r="PNL13" s="554"/>
      <c r="PNM13" s="554"/>
      <c r="PNN13" s="554"/>
      <c r="PNO13" s="554"/>
      <c r="PNP13" s="554"/>
      <c r="PNQ13" s="554"/>
      <c r="PNR13" s="554"/>
      <c r="PNS13" s="554"/>
      <c r="PNT13" s="554"/>
      <c r="PNU13" s="554"/>
      <c r="PNV13" s="554"/>
      <c r="PNW13" s="554"/>
      <c r="PNX13" s="554"/>
      <c r="PNY13" s="554"/>
      <c r="PNZ13" s="554"/>
      <c r="POA13" s="554"/>
      <c r="POB13" s="554"/>
      <c r="POC13" s="554"/>
      <c r="POD13" s="554"/>
      <c r="POE13" s="554"/>
      <c r="POF13" s="554"/>
      <c r="POG13" s="554"/>
      <c r="POH13" s="554"/>
      <c r="POI13" s="554"/>
      <c r="POJ13" s="554"/>
      <c r="POK13" s="554"/>
      <c r="POL13" s="554"/>
      <c r="POM13" s="554"/>
      <c r="PON13" s="554"/>
      <c r="POO13" s="554"/>
      <c r="POP13" s="554"/>
      <c r="POQ13" s="554"/>
      <c r="POR13" s="554"/>
      <c r="POS13" s="554"/>
      <c r="POT13" s="554"/>
      <c r="POU13" s="554"/>
      <c r="POV13" s="554"/>
      <c r="POW13" s="554"/>
      <c r="POX13" s="554"/>
      <c r="POY13" s="554"/>
      <c r="POZ13" s="554"/>
      <c r="PPA13" s="554"/>
      <c r="PPB13" s="554"/>
      <c r="PPC13" s="554"/>
      <c r="PPD13" s="554"/>
      <c r="PPE13" s="554"/>
      <c r="PPF13" s="554"/>
      <c r="PPG13" s="554"/>
      <c r="PPH13" s="554"/>
      <c r="PPI13" s="554"/>
      <c r="PPJ13" s="554"/>
      <c r="PPK13" s="554"/>
      <c r="PPL13" s="554"/>
      <c r="PPM13" s="554"/>
      <c r="PPN13" s="554"/>
      <c r="PPO13" s="554"/>
      <c r="PPP13" s="554"/>
      <c r="PPQ13" s="554"/>
      <c r="PPR13" s="554"/>
      <c r="PPS13" s="554"/>
      <c r="PPT13" s="554"/>
      <c r="PPU13" s="554"/>
      <c r="PPV13" s="554"/>
      <c r="PPW13" s="554"/>
      <c r="PPX13" s="554"/>
      <c r="PPY13" s="554"/>
      <c r="PPZ13" s="554"/>
      <c r="PQA13" s="554"/>
      <c r="PQB13" s="554"/>
      <c r="PQC13" s="554"/>
      <c r="PQD13" s="554"/>
      <c r="PQE13" s="554"/>
      <c r="PQF13" s="554"/>
      <c r="PQG13" s="554"/>
      <c r="PQH13" s="554"/>
      <c r="PQI13" s="554"/>
      <c r="PQJ13" s="554"/>
      <c r="PQK13" s="554"/>
      <c r="PQL13" s="554"/>
      <c r="PQM13" s="554"/>
      <c r="PQN13" s="554"/>
      <c r="PQO13" s="554"/>
      <c r="PQP13" s="554"/>
      <c r="PQQ13" s="554"/>
      <c r="PQR13" s="554"/>
      <c r="PQS13" s="554"/>
      <c r="PQT13" s="554"/>
      <c r="PQU13" s="554"/>
      <c r="PQV13" s="554"/>
      <c r="PQW13" s="554"/>
      <c r="PQX13" s="554"/>
      <c r="PQY13" s="554"/>
      <c r="PQZ13" s="554"/>
      <c r="PRA13" s="554"/>
      <c r="PRB13" s="554"/>
      <c r="PRC13" s="554"/>
      <c r="PRD13" s="554"/>
      <c r="PRE13" s="554"/>
      <c r="PRF13" s="554"/>
      <c r="PRG13" s="554"/>
      <c r="PRH13" s="554"/>
      <c r="PRI13" s="554"/>
      <c r="PRJ13" s="554"/>
      <c r="PRK13" s="554"/>
      <c r="PRL13" s="554"/>
      <c r="PRM13" s="554"/>
      <c r="PRN13" s="554"/>
      <c r="PRO13" s="554"/>
      <c r="PRP13" s="554"/>
      <c r="PRQ13" s="554"/>
      <c r="PRR13" s="554"/>
      <c r="PRS13" s="554"/>
      <c r="PRT13" s="554"/>
      <c r="PRU13" s="554"/>
      <c r="PRV13" s="554"/>
      <c r="PRW13" s="554"/>
      <c r="PRX13" s="554"/>
      <c r="PRY13" s="554"/>
      <c r="PRZ13" s="554"/>
      <c r="PSA13" s="554"/>
      <c r="PSB13" s="554"/>
      <c r="PSC13" s="554"/>
      <c r="PSD13" s="554"/>
      <c r="PSE13" s="554"/>
      <c r="PSF13" s="554"/>
      <c r="PSG13" s="554"/>
      <c r="PSH13" s="554"/>
      <c r="PSI13" s="554"/>
      <c r="PSJ13" s="554"/>
      <c r="PSK13" s="554"/>
      <c r="PSL13" s="554"/>
      <c r="PSM13" s="554"/>
      <c r="PSN13" s="554"/>
      <c r="PSO13" s="554"/>
      <c r="PSP13" s="554"/>
      <c r="PSQ13" s="554"/>
      <c r="PSR13" s="554"/>
      <c r="PSS13" s="554"/>
      <c r="PST13" s="554"/>
      <c r="PSU13" s="554"/>
      <c r="PSV13" s="554"/>
      <c r="PSW13" s="554"/>
      <c r="PSX13" s="554"/>
      <c r="PSY13" s="554"/>
      <c r="PSZ13" s="554"/>
      <c r="PTA13" s="554"/>
      <c r="PTB13" s="554"/>
      <c r="PTC13" s="554"/>
      <c r="PTD13" s="554"/>
      <c r="PTE13" s="554"/>
      <c r="PTF13" s="554"/>
      <c r="PTG13" s="554"/>
      <c r="PTH13" s="554"/>
      <c r="PTI13" s="554"/>
      <c r="PTJ13" s="554"/>
      <c r="PTK13" s="554"/>
      <c r="PTL13" s="554"/>
      <c r="PTM13" s="554"/>
      <c r="PTN13" s="554"/>
      <c r="PTO13" s="554"/>
      <c r="PTP13" s="554"/>
      <c r="PTQ13" s="554"/>
      <c r="PTR13" s="554"/>
      <c r="PTS13" s="554"/>
      <c r="PTT13" s="554"/>
      <c r="PTU13" s="554"/>
      <c r="PTV13" s="554"/>
      <c r="PTW13" s="554"/>
      <c r="PTX13" s="554"/>
      <c r="PTY13" s="554"/>
      <c r="PTZ13" s="554"/>
      <c r="PUA13" s="554"/>
      <c r="PUB13" s="554"/>
      <c r="PUC13" s="554"/>
      <c r="PUD13" s="554"/>
      <c r="PUE13" s="554"/>
      <c r="PUF13" s="554"/>
      <c r="PUG13" s="554"/>
      <c r="PUH13" s="554"/>
      <c r="PUI13" s="554"/>
      <c r="PUJ13" s="554"/>
      <c r="PUK13" s="554"/>
      <c r="PUL13" s="554"/>
      <c r="PUM13" s="554"/>
      <c r="PUN13" s="554"/>
      <c r="PUO13" s="554"/>
      <c r="PUP13" s="554"/>
      <c r="PUQ13" s="554"/>
      <c r="PUR13" s="554"/>
      <c r="PUS13" s="554"/>
      <c r="PUT13" s="554"/>
      <c r="PUU13" s="554"/>
      <c r="PUV13" s="554"/>
      <c r="PUW13" s="554"/>
      <c r="PUX13" s="554"/>
      <c r="PUY13" s="554"/>
      <c r="PUZ13" s="554"/>
      <c r="PVA13" s="554"/>
      <c r="PVB13" s="554"/>
      <c r="PVC13" s="554"/>
      <c r="PVD13" s="554"/>
      <c r="PVE13" s="554"/>
      <c r="PVF13" s="554"/>
      <c r="PVG13" s="554"/>
      <c r="PVH13" s="554"/>
      <c r="PVI13" s="554"/>
      <c r="PVJ13" s="554"/>
      <c r="PVK13" s="554"/>
      <c r="PVL13" s="554"/>
      <c r="PVM13" s="554"/>
      <c r="PVN13" s="554"/>
      <c r="PVO13" s="554"/>
      <c r="PVP13" s="554"/>
      <c r="PVQ13" s="554"/>
      <c r="PVR13" s="554"/>
      <c r="PVS13" s="554"/>
      <c r="PVT13" s="554"/>
      <c r="PVU13" s="554"/>
      <c r="PVV13" s="554"/>
      <c r="PVW13" s="554"/>
      <c r="PVX13" s="554"/>
      <c r="PVY13" s="554"/>
      <c r="PVZ13" s="554"/>
      <c r="PWA13" s="554"/>
      <c r="PWB13" s="554"/>
      <c r="PWC13" s="554"/>
      <c r="PWD13" s="554"/>
      <c r="PWE13" s="554"/>
      <c r="PWF13" s="554"/>
      <c r="PWG13" s="554"/>
      <c r="PWH13" s="554"/>
      <c r="PWI13" s="554"/>
      <c r="PWJ13" s="554"/>
      <c r="PWK13" s="554"/>
      <c r="PWL13" s="554"/>
      <c r="PWM13" s="554"/>
      <c r="PWN13" s="554"/>
      <c r="PWO13" s="554"/>
      <c r="PWP13" s="554"/>
      <c r="PWQ13" s="554"/>
      <c r="PWR13" s="554"/>
      <c r="PWS13" s="554"/>
      <c r="PWT13" s="554"/>
      <c r="PWU13" s="554"/>
      <c r="PWV13" s="554"/>
      <c r="PWW13" s="554"/>
      <c r="PWX13" s="554"/>
      <c r="PWY13" s="554"/>
      <c r="PWZ13" s="554"/>
      <c r="PXA13" s="554"/>
      <c r="PXB13" s="554"/>
      <c r="PXC13" s="554"/>
      <c r="PXD13" s="554"/>
      <c r="PXE13" s="554"/>
      <c r="PXF13" s="554"/>
      <c r="PXG13" s="554"/>
      <c r="PXH13" s="554"/>
      <c r="PXI13" s="554"/>
      <c r="PXJ13" s="554"/>
      <c r="PXK13" s="554"/>
      <c r="PXL13" s="554"/>
      <c r="PXM13" s="554"/>
      <c r="PXN13" s="554"/>
      <c r="PXO13" s="554"/>
      <c r="PXP13" s="554"/>
      <c r="PXQ13" s="554"/>
      <c r="PXR13" s="554"/>
      <c r="PXS13" s="554"/>
      <c r="PXT13" s="554"/>
      <c r="PXU13" s="554"/>
      <c r="PXV13" s="554"/>
      <c r="PXW13" s="554"/>
      <c r="PXX13" s="554"/>
      <c r="PXY13" s="554"/>
      <c r="PXZ13" s="554"/>
      <c r="PYA13" s="554"/>
      <c r="PYB13" s="554"/>
      <c r="PYC13" s="554"/>
      <c r="PYD13" s="554"/>
      <c r="PYE13" s="554"/>
      <c r="PYF13" s="554"/>
      <c r="PYG13" s="554"/>
      <c r="PYH13" s="554"/>
      <c r="PYI13" s="554"/>
      <c r="PYJ13" s="554"/>
      <c r="PYK13" s="554"/>
      <c r="PYL13" s="554"/>
      <c r="PYM13" s="554"/>
      <c r="PYN13" s="554"/>
      <c r="PYO13" s="554"/>
      <c r="PYP13" s="554"/>
      <c r="PYQ13" s="554"/>
      <c r="PYR13" s="554"/>
      <c r="PYS13" s="554"/>
      <c r="PYT13" s="554"/>
      <c r="PYU13" s="554"/>
      <c r="PYV13" s="554"/>
      <c r="PYW13" s="554"/>
      <c r="PYX13" s="554"/>
      <c r="PYY13" s="554"/>
      <c r="PYZ13" s="554"/>
      <c r="PZA13" s="554"/>
      <c r="PZB13" s="554"/>
      <c r="PZC13" s="554"/>
      <c r="PZD13" s="554"/>
      <c r="PZE13" s="554"/>
      <c r="PZF13" s="554"/>
      <c r="PZG13" s="554"/>
      <c r="PZH13" s="554"/>
      <c r="PZI13" s="554"/>
      <c r="PZJ13" s="554"/>
      <c r="PZK13" s="554"/>
      <c r="PZL13" s="554"/>
      <c r="PZM13" s="554"/>
      <c r="PZN13" s="554"/>
      <c r="PZO13" s="554"/>
      <c r="PZP13" s="554"/>
      <c r="PZQ13" s="554"/>
      <c r="PZR13" s="554"/>
      <c r="PZS13" s="554"/>
      <c r="PZT13" s="554"/>
      <c r="PZU13" s="554"/>
      <c r="PZV13" s="554"/>
      <c r="PZW13" s="554"/>
      <c r="PZX13" s="554"/>
      <c r="PZY13" s="554"/>
      <c r="PZZ13" s="554"/>
      <c r="QAA13" s="554"/>
      <c r="QAB13" s="554"/>
      <c r="QAC13" s="554"/>
      <c r="QAD13" s="554"/>
      <c r="QAE13" s="554"/>
      <c r="QAF13" s="554"/>
      <c r="QAG13" s="554"/>
      <c r="QAH13" s="554"/>
      <c r="QAI13" s="554"/>
      <c r="QAJ13" s="554"/>
      <c r="QAK13" s="554"/>
      <c r="QAL13" s="554"/>
      <c r="QAM13" s="554"/>
      <c r="QAN13" s="554"/>
      <c r="QAO13" s="554"/>
      <c r="QAP13" s="554"/>
      <c r="QAQ13" s="554"/>
      <c r="QAR13" s="554"/>
      <c r="QAS13" s="554"/>
      <c r="QAT13" s="554"/>
      <c r="QAU13" s="554"/>
      <c r="QAV13" s="554"/>
      <c r="QAW13" s="554"/>
      <c r="QAX13" s="554"/>
      <c r="QAY13" s="554"/>
      <c r="QAZ13" s="554"/>
      <c r="QBA13" s="554"/>
      <c r="QBB13" s="554"/>
      <c r="QBC13" s="554"/>
      <c r="QBD13" s="554"/>
      <c r="QBE13" s="554"/>
      <c r="QBF13" s="554"/>
      <c r="QBG13" s="554"/>
      <c r="QBH13" s="554"/>
      <c r="QBI13" s="554"/>
      <c r="QBJ13" s="554"/>
      <c r="QBK13" s="554"/>
      <c r="QBL13" s="554"/>
      <c r="QBM13" s="554"/>
      <c r="QBN13" s="554"/>
      <c r="QBO13" s="554"/>
      <c r="QBP13" s="554"/>
      <c r="QBQ13" s="554"/>
      <c r="QBR13" s="554"/>
      <c r="QBS13" s="554"/>
      <c r="QBT13" s="554"/>
      <c r="QBU13" s="554"/>
      <c r="QBV13" s="554"/>
      <c r="QBW13" s="554"/>
      <c r="QBX13" s="554"/>
      <c r="QBY13" s="554"/>
      <c r="QBZ13" s="554"/>
      <c r="QCA13" s="554"/>
      <c r="QCB13" s="554"/>
      <c r="QCC13" s="554"/>
      <c r="QCD13" s="554"/>
      <c r="QCE13" s="554"/>
      <c r="QCF13" s="554"/>
      <c r="QCG13" s="554"/>
      <c r="QCH13" s="554"/>
      <c r="QCI13" s="554"/>
      <c r="QCJ13" s="554"/>
      <c r="QCK13" s="554"/>
      <c r="QCL13" s="554"/>
      <c r="QCM13" s="554"/>
      <c r="QCN13" s="554"/>
      <c r="QCO13" s="554"/>
      <c r="QCP13" s="554"/>
      <c r="QCQ13" s="554"/>
      <c r="QCR13" s="554"/>
      <c r="QCS13" s="554"/>
      <c r="QCT13" s="554"/>
      <c r="QCU13" s="554"/>
      <c r="QCV13" s="554"/>
      <c r="QCW13" s="554"/>
      <c r="QCX13" s="554"/>
      <c r="QCY13" s="554"/>
      <c r="QCZ13" s="554"/>
      <c r="QDA13" s="554"/>
      <c r="QDB13" s="554"/>
      <c r="QDC13" s="554"/>
      <c r="QDD13" s="554"/>
      <c r="QDE13" s="554"/>
      <c r="QDF13" s="554"/>
      <c r="QDG13" s="554"/>
      <c r="QDH13" s="554"/>
      <c r="QDI13" s="554"/>
      <c r="QDJ13" s="554"/>
      <c r="QDK13" s="554"/>
      <c r="QDL13" s="554"/>
      <c r="QDM13" s="554"/>
      <c r="QDN13" s="554"/>
      <c r="QDO13" s="554"/>
      <c r="QDP13" s="554"/>
      <c r="QDQ13" s="554"/>
      <c r="QDR13" s="554"/>
      <c r="QDS13" s="554"/>
      <c r="QDT13" s="554"/>
      <c r="QDU13" s="554"/>
      <c r="QDV13" s="554"/>
      <c r="QDW13" s="554"/>
      <c r="QDX13" s="554"/>
      <c r="QDY13" s="554"/>
      <c r="QDZ13" s="554"/>
      <c r="QEA13" s="554"/>
      <c r="QEB13" s="554"/>
      <c r="QEC13" s="554"/>
      <c r="QED13" s="554"/>
      <c r="QEE13" s="554"/>
      <c r="QEF13" s="554"/>
      <c r="QEG13" s="554"/>
      <c r="QEH13" s="554"/>
      <c r="QEI13" s="554"/>
      <c r="QEJ13" s="554"/>
      <c r="QEK13" s="554"/>
      <c r="QEL13" s="554"/>
      <c r="QEM13" s="554"/>
      <c r="QEN13" s="554"/>
      <c r="QEO13" s="554"/>
      <c r="QEP13" s="554"/>
      <c r="QEQ13" s="554"/>
      <c r="QER13" s="554"/>
      <c r="QES13" s="554"/>
      <c r="QET13" s="554"/>
      <c r="QEU13" s="554"/>
      <c r="QEV13" s="554"/>
      <c r="QEW13" s="554"/>
      <c r="QEX13" s="554"/>
      <c r="QEY13" s="554"/>
      <c r="QEZ13" s="554"/>
      <c r="QFA13" s="554"/>
      <c r="QFB13" s="554"/>
      <c r="QFC13" s="554"/>
      <c r="QFD13" s="554"/>
      <c r="QFE13" s="554"/>
      <c r="QFF13" s="554"/>
      <c r="QFG13" s="554"/>
      <c r="QFH13" s="554"/>
      <c r="QFI13" s="554"/>
      <c r="QFJ13" s="554"/>
      <c r="QFK13" s="554"/>
      <c r="QFL13" s="554"/>
      <c r="QFM13" s="554"/>
      <c r="QFN13" s="554"/>
      <c r="QFO13" s="554"/>
      <c r="QFP13" s="554"/>
      <c r="QFQ13" s="554"/>
      <c r="QFR13" s="554"/>
      <c r="QFS13" s="554"/>
      <c r="QFT13" s="554"/>
      <c r="QFU13" s="554"/>
      <c r="QFV13" s="554"/>
      <c r="QFW13" s="554"/>
      <c r="QFX13" s="554"/>
      <c r="QFY13" s="554"/>
      <c r="QFZ13" s="554"/>
      <c r="QGA13" s="554"/>
      <c r="QGB13" s="554"/>
      <c r="QGC13" s="554"/>
      <c r="QGD13" s="554"/>
      <c r="QGE13" s="554"/>
      <c r="QGF13" s="554"/>
      <c r="QGG13" s="554"/>
      <c r="QGH13" s="554"/>
      <c r="QGI13" s="554"/>
      <c r="QGJ13" s="554"/>
      <c r="QGK13" s="554"/>
      <c r="QGL13" s="554"/>
      <c r="QGM13" s="554"/>
      <c r="QGN13" s="554"/>
      <c r="QGO13" s="554"/>
      <c r="QGP13" s="554"/>
      <c r="QGQ13" s="554"/>
      <c r="QGR13" s="554"/>
      <c r="QGS13" s="554"/>
      <c r="QGT13" s="554"/>
      <c r="QGU13" s="554"/>
      <c r="QGV13" s="554"/>
      <c r="QGW13" s="554"/>
      <c r="QGX13" s="554"/>
      <c r="QGY13" s="554"/>
      <c r="QGZ13" s="554"/>
      <c r="QHA13" s="554"/>
      <c r="QHB13" s="554"/>
      <c r="QHC13" s="554"/>
      <c r="QHD13" s="554"/>
      <c r="QHE13" s="554"/>
      <c r="QHF13" s="554"/>
      <c r="QHG13" s="554"/>
      <c r="QHH13" s="554"/>
      <c r="QHI13" s="554"/>
      <c r="QHJ13" s="554"/>
      <c r="QHK13" s="554"/>
      <c r="QHL13" s="554"/>
      <c r="QHM13" s="554"/>
      <c r="QHN13" s="554"/>
      <c r="QHO13" s="554"/>
      <c r="QHP13" s="554"/>
      <c r="QHQ13" s="554"/>
      <c r="QHR13" s="554"/>
      <c r="QHS13" s="554"/>
      <c r="QHT13" s="554"/>
      <c r="QHU13" s="554"/>
      <c r="QHV13" s="554"/>
      <c r="QHW13" s="554"/>
      <c r="QHX13" s="554"/>
      <c r="QHY13" s="554"/>
      <c r="QHZ13" s="554"/>
      <c r="QIA13" s="554"/>
      <c r="QIB13" s="554"/>
      <c r="QIC13" s="554"/>
      <c r="QID13" s="554"/>
      <c r="QIE13" s="554"/>
      <c r="QIF13" s="554"/>
      <c r="QIG13" s="554"/>
      <c r="QIH13" s="554"/>
      <c r="QII13" s="554"/>
      <c r="QIJ13" s="554"/>
      <c r="QIK13" s="554"/>
      <c r="QIL13" s="554"/>
      <c r="QIM13" s="554"/>
      <c r="QIN13" s="554"/>
      <c r="QIO13" s="554"/>
      <c r="QIP13" s="554"/>
      <c r="QIQ13" s="554"/>
      <c r="QIR13" s="554"/>
      <c r="QIS13" s="554"/>
      <c r="QIT13" s="554"/>
      <c r="QIU13" s="554"/>
      <c r="QIV13" s="554"/>
      <c r="QIW13" s="554"/>
      <c r="QIX13" s="554"/>
      <c r="QIY13" s="554"/>
      <c r="QIZ13" s="554"/>
      <c r="QJA13" s="554"/>
      <c r="QJB13" s="554"/>
      <c r="QJC13" s="554"/>
      <c r="QJD13" s="554"/>
      <c r="QJE13" s="554"/>
      <c r="QJF13" s="554"/>
      <c r="QJG13" s="554"/>
      <c r="QJH13" s="554"/>
      <c r="QJI13" s="554"/>
      <c r="QJJ13" s="554"/>
      <c r="QJK13" s="554"/>
      <c r="QJL13" s="554"/>
      <c r="QJM13" s="554"/>
      <c r="QJN13" s="554"/>
      <c r="QJO13" s="554"/>
      <c r="QJP13" s="554"/>
      <c r="QJQ13" s="554"/>
      <c r="QJR13" s="554"/>
      <c r="QJS13" s="554"/>
      <c r="QJT13" s="554"/>
      <c r="QJU13" s="554"/>
      <c r="QJV13" s="554"/>
      <c r="QJW13" s="554"/>
      <c r="QJX13" s="554"/>
      <c r="QJY13" s="554"/>
      <c r="QJZ13" s="554"/>
      <c r="QKA13" s="554"/>
      <c r="QKB13" s="554"/>
      <c r="QKC13" s="554"/>
      <c r="QKD13" s="554"/>
      <c r="QKE13" s="554"/>
      <c r="QKF13" s="554"/>
      <c r="QKG13" s="554"/>
      <c r="QKH13" s="554"/>
      <c r="QKI13" s="554"/>
      <c r="QKJ13" s="554"/>
      <c r="QKK13" s="554"/>
      <c r="QKL13" s="554"/>
      <c r="QKM13" s="554"/>
      <c r="QKN13" s="554"/>
      <c r="QKO13" s="554"/>
      <c r="QKP13" s="554"/>
      <c r="QKQ13" s="554"/>
      <c r="QKR13" s="554"/>
      <c r="QKS13" s="554"/>
      <c r="QKT13" s="554"/>
      <c r="QKU13" s="554"/>
      <c r="QKV13" s="554"/>
      <c r="QKW13" s="554"/>
      <c r="QKX13" s="554"/>
      <c r="QKY13" s="554"/>
      <c r="QKZ13" s="554"/>
      <c r="QLA13" s="554"/>
      <c r="QLB13" s="554"/>
      <c r="QLC13" s="554"/>
      <c r="QLD13" s="554"/>
      <c r="QLE13" s="554"/>
      <c r="QLF13" s="554"/>
      <c r="QLG13" s="554"/>
      <c r="QLH13" s="554"/>
      <c r="QLI13" s="554"/>
      <c r="QLJ13" s="554"/>
      <c r="QLK13" s="554"/>
      <c r="QLL13" s="554"/>
      <c r="QLM13" s="554"/>
      <c r="QLN13" s="554"/>
      <c r="QLO13" s="554"/>
      <c r="QLP13" s="554"/>
      <c r="QLQ13" s="554"/>
      <c r="QLR13" s="554"/>
      <c r="QLS13" s="554"/>
      <c r="QLT13" s="554"/>
      <c r="QLU13" s="554"/>
      <c r="QLV13" s="554"/>
      <c r="QLW13" s="554"/>
      <c r="QLX13" s="554"/>
      <c r="QLY13" s="554"/>
      <c r="QLZ13" s="554"/>
      <c r="QMA13" s="554"/>
      <c r="QMB13" s="554"/>
      <c r="QMC13" s="554"/>
      <c r="QMD13" s="554"/>
      <c r="QME13" s="554"/>
      <c r="QMF13" s="554"/>
      <c r="QMG13" s="554"/>
      <c r="QMH13" s="554"/>
      <c r="QMI13" s="554"/>
      <c r="QMJ13" s="554"/>
      <c r="QMK13" s="554"/>
      <c r="QML13" s="554"/>
      <c r="QMM13" s="554"/>
      <c r="QMN13" s="554"/>
      <c r="QMO13" s="554"/>
      <c r="QMP13" s="554"/>
      <c r="QMQ13" s="554"/>
      <c r="QMR13" s="554"/>
      <c r="QMS13" s="554"/>
      <c r="QMT13" s="554"/>
      <c r="QMU13" s="554"/>
      <c r="QMV13" s="554"/>
      <c r="QMW13" s="554"/>
      <c r="QMX13" s="554"/>
      <c r="QMY13" s="554"/>
      <c r="QMZ13" s="554"/>
      <c r="QNA13" s="554"/>
      <c r="QNB13" s="554"/>
      <c r="QNC13" s="554"/>
      <c r="QND13" s="554"/>
      <c r="QNE13" s="554"/>
      <c r="QNF13" s="554"/>
      <c r="QNG13" s="554"/>
      <c r="QNH13" s="554"/>
      <c r="QNI13" s="554"/>
      <c r="QNJ13" s="554"/>
      <c r="QNK13" s="554"/>
      <c r="QNL13" s="554"/>
      <c r="QNM13" s="554"/>
      <c r="QNN13" s="554"/>
      <c r="QNO13" s="554"/>
      <c r="QNP13" s="554"/>
      <c r="QNQ13" s="554"/>
      <c r="QNR13" s="554"/>
      <c r="QNS13" s="554"/>
      <c r="QNT13" s="554"/>
      <c r="QNU13" s="554"/>
      <c r="QNV13" s="554"/>
      <c r="QNW13" s="554"/>
      <c r="QNX13" s="554"/>
      <c r="QNY13" s="554"/>
      <c r="QNZ13" s="554"/>
      <c r="QOA13" s="554"/>
      <c r="QOB13" s="554"/>
      <c r="QOC13" s="554"/>
      <c r="QOD13" s="554"/>
      <c r="QOE13" s="554"/>
      <c r="QOF13" s="554"/>
      <c r="QOG13" s="554"/>
      <c r="QOH13" s="554"/>
      <c r="QOI13" s="554"/>
      <c r="QOJ13" s="554"/>
      <c r="QOK13" s="554"/>
      <c r="QOL13" s="554"/>
      <c r="QOM13" s="554"/>
      <c r="QON13" s="554"/>
      <c r="QOO13" s="554"/>
      <c r="QOP13" s="554"/>
      <c r="QOQ13" s="554"/>
      <c r="QOR13" s="554"/>
      <c r="QOS13" s="554"/>
      <c r="QOT13" s="554"/>
      <c r="QOU13" s="554"/>
      <c r="QOV13" s="554"/>
      <c r="QOW13" s="554"/>
      <c r="QOX13" s="554"/>
      <c r="QOY13" s="554"/>
      <c r="QOZ13" s="554"/>
      <c r="QPA13" s="554"/>
      <c r="QPB13" s="554"/>
      <c r="QPC13" s="554"/>
      <c r="QPD13" s="554"/>
      <c r="QPE13" s="554"/>
      <c r="QPF13" s="554"/>
      <c r="QPG13" s="554"/>
      <c r="QPH13" s="554"/>
      <c r="QPI13" s="554"/>
      <c r="QPJ13" s="554"/>
      <c r="QPK13" s="554"/>
      <c r="QPL13" s="554"/>
      <c r="QPM13" s="554"/>
      <c r="QPN13" s="554"/>
      <c r="QPO13" s="554"/>
      <c r="QPP13" s="554"/>
      <c r="QPQ13" s="554"/>
      <c r="QPR13" s="554"/>
      <c r="QPS13" s="554"/>
      <c r="QPT13" s="554"/>
      <c r="QPU13" s="554"/>
      <c r="QPV13" s="554"/>
      <c r="QPW13" s="554"/>
      <c r="QPX13" s="554"/>
      <c r="QPY13" s="554"/>
      <c r="QPZ13" s="554"/>
      <c r="QQA13" s="554"/>
      <c r="QQB13" s="554"/>
      <c r="QQC13" s="554"/>
      <c r="QQD13" s="554"/>
      <c r="QQE13" s="554"/>
      <c r="QQF13" s="554"/>
      <c r="QQG13" s="554"/>
      <c r="QQH13" s="554"/>
      <c r="QQI13" s="554"/>
      <c r="QQJ13" s="554"/>
      <c r="QQK13" s="554"/>
      <c r="QQL13" s="554"/>
      <c r="QQM13" s="554"/>
      <c r="QQN13" s="554"/>
      <c r="QQO13" s="554"/>
      <c r="QQP13" s="554"/>
      <c r="QQQ13" s="554"/>
      <c r="QQR13" s="554"/>
      <c r="QQS13" s="554"/>
      <c r="QQT13" s="554"/>
      <c r="QQU13" s="554"/>
      <c r="QQV13" s="554"/>
      <c r="QQW13" s="554"/>
      <c r="QQX13" s="554"/>
      <c r="QQY13" s="554"/>
      <c r="QQZ13" s="554"/>
      <c r="QRA13" s="554"/>
      <c r="QRB13" s="554"/>
      <c r="QRC13" s="554"/>
      <c r="QRD13" s="554"/>
      <c r="QRE13" s="554"/>
      <c r="QRF13" s="554"/>
      <c r="QRG13" s="554"/>
      <c r="QRH13" s="554"/>
      <c r="QRI13" s="554"/>
      <c r="QRJ13" s="554"/>
      <c r="QRK13" s="554"/>
      <c r="QRL13" s="554"/>
      <c r="QRM13" s="554"/>
      <c r="QRN13" s="554"/>
      <c r="QRO13" s="554"/>
      <c r="QRP13" s="554"/>
      <c r="QRQ13" s="554"/>
      <c r="QRR13" s="554"/>
      <c r="QRS13" s="554"/>
      <c r="QRT13" s="554"/>
      <c r="QRU13" s="554"/>
      <c r="QRV13" s="554"/>
      <c r="QRW13" s="554"/>
      <c r="QRX13" s="554"/>
      <c r="QRY13" s="554"/>
      <c r="QRZ13" s="554"/>
      <c r="QSA13" s="554"/>
      <c r="QSB13" s="554"/>
      <c r="QSC13" s="554"/>
      <c r="QSD13" s="554"/>
      <c r="QSE13" s="554"/>
      <c r="QSF13" s="554"/>
      <c r="QSG13" s="554"/>
      <c r="QSH13" s="554"/>
      <c r="QSI13" s="554"/>
      <c r="QSJ13" s="554"/>
      <c r="QSK13" s="554"/>
      <c r="QSL13" s="554"/>
      <c r="QSM13" s="554"/>
      <c r="QSN13" s="554"/>
      <c r="QSO13" s="554"/>
      <c r="QSP13" s="554"/>
      <c r="QSQ13" s="554"/>
      <c r="QSR13" s="554"/>
      <c r="QSS13" s="554"/>
      <c r="QST13" s="554"/>
      <c r="QSU13" s="554"/>
      <c r="QSV13" s="554"/>
      <c r="QSW13" s="554"/>
      <c r="QSX13" s="554"/>
      <c r="QSY13" s="554"/>
      <c r="QSZ13" s="554"/>
      <c r="QTA13" s="554"/>
      <c r="QTB13" s="554"/>
      <c r="QTC13" s="554"/>
      <c r="QTD13" s="554"/>
      <c r="QTE13" s="554"/>
      <c r="QTF13" s="554"/>
      <c r="QTG13" s="554"/>
      <c r="QTH13" s="554"/>
      <c r="QTI13" s="554"/>
      <c r="QTJ13" s="554"/>
      <c r="QTK13" s="554"/>
      <c r="QTL13" s="554"/>
      <c r="QTM13" s="554"/>
      <c r="QTN13" s="554"/>
      <c r="QTO13" s="554"/>
      <c r="QTP13" s="554"/>
      <c r="QTQ13" s="554"/>
      <c r="QTR13" s="554"/>
      <c r="QTS13" s="554"/>
      <c r="QTT13" s="554"/>
      <c r="QTU13" s="554"/>
      <c r="QTV13" s="554"/>
      <c r="QTW13" s="554"/>
      <c r="QTX13" s="554"/>
      <c r="QTY13" s="554"/>
      <c r="QTZ13" s="554"/>
      <c r="QUA13" s="554"/>
      <c r="QUB13" s="554"/>
      <c r="QUC13" s="554"/>
      <c r="QUD13" s="554"/>
      <c r="QUE13" s="554"/>
      <c r="QUF13" s="554"/>
      <c r="QUG13" s="554"/>
      <c r="QUH13" s="554"/>
      <c r="QUI13" s="554"/>
      <c r="QUJ13" s="554"/>
      <c r="QUK13" s="554"/>
      <c r="QUL13" s="554"/>
      <c r="QUM13" s="554"/>
      <c r="QUN13" s="554"/>
      <c r="QUO13" s="554"/>
      <c r="QUP13" s="554"/>
      <c r="QUQ13" s="554"/>
      <c r="QUR13" s="554"/>
      <c r="QUS13" s="554"/>
      <c r="QUT13" s="554"/>
      <c r="QUU13" s="554"/>
      <c r="QUV13" s="554"/>
      <c r="QUW13" s="554"/>
      <c r="QUX13" s="554"/>
      <c r="QUY13" s="554"/>
      <c r="QUZ13" s="554"/>
      <c r="QVA13" s="554"/>
      <c r="QVB13" s="554"/>
      <c r="QVC13" s="554"/>
      <c r="QVD13" s="554"/>
      <c r="QVE13" s="554"/>
      <c r="QVF13" s="554"/>
      <c r="QVG13" s="554"/>
      <c r="QVH13" s="554"/>
      <c r="QVI13" s="554"/>
      <c r="QVJ13" s="554"/>
      <c r="QVK13" s="554"/>
      <c r="QVL13" s="554"/>
      <c r="QVM13" s="554"/>
      <c r="QVN13" s="554"/>
      <c r="QVO13" s="554"/>
      <c r="QVP13" s="554"/>
      <c r="QVQ13" s="554"/>
      <c r="QVR13" s="554"/>
      <c r="QVS13" s="554"/>
      <c r="QVT13" s="554"/>
      <c r="QVU13" s="554"/>
      <c r="QVV13" s="554"/>
      <c r="QVW13" s="554"/>
      <c r="QVX13" s="554"/>
      <c r="QVY13" s="554"/>
      <c r="QVZ13" s="554"/>
      <c r="QWA13" s="554"/>
      <c r="QWB13" s="554"/>
      <c r="QWC13" s="554"/>
      <c r="QWD13" s="554"/>
      <c r="QWE13" s="554"/>
      <c r="QWF13" s="554"/>
      <c r="QWG13" s="554"/>
      <c r="QWH13" s="554"/>
      <c r="QWI13" s="554"/>
      <c r="QWJ13" s="554"/>
      <c r="QWK13" s="554"/>
      <c r="QWL13" s="554"/>
      <c r="QWM13" s="554"/>
      <c r="QWN13" s="554"/>
      <c r="QWO13" s="554"/>
      <c r="QWP13" s="554"/>
      <c r="QWQ13" s="554"/>
      <c r="QWR13" s="554"/>
      <c r="QWS13" s="554"/>
      <c r="QWT13" s="554"/>
      <c r="QWU13" s="554"/>
      <c r="QWV13" s="554"/>
      <c r="QWW13" s="554"/>
      <c r="QWX13" s="554"/>
      <c r="QWY13" s="554"/>
      <c r="QWZ13" s="554"/>
      <c r="QXA13" s="554"/>
      <c r="QXB13" s="554"/>
      <c r="QXC13" s="554"/>
      <c r="QXD13" s="554"/>
      <c r="QXE13" s="554"/>
      <c r="QXF13" s="554"/>
      <c r="QXG13" s="554"/>
      <c r="QXH13" s="554"/>
      <c r="QXI13" s="554"/>
      <c r="QXJ13" s="554"/>
      <c r="QXK13" s="554"/>
      <c r="QXL13" s="554"/>
      <c r="QXM13" s="554"/>
      <c r="QXN13" s="554"/>
      <c r="QXO13" s="554"/>
      <c r="QXP13" s="554"/>
      <c r="QXQ13" s="554"/>
      <c r="QXR13" s="554"/>
      <c r="QXS13" s="554"/>
      <c r="QXT13" s="554"/>
      <c r="QXU13" s="554"/>
      <c r="QXV13" s="554"/>
      <c r="QXW13" s="554"/>
      <c r="QXX13" s="554"/>
      <c r="QXY13" s="554"/>
      <c r="QXZ13" s="554"/>
      <c r="QYA13" s="554"/>
      <c r="QYB13" s="554"/>
      <c r="QYC13" s="554"/>
      <c r="QYD13" s="554"/>
      <c r="QYE13" s="554"/>
      <c r="QYF13" s="554"/>
      <c r="QYG13" s="554"/>
      <c r="QYH13" s="554"/>
      <c r="QYI13" s="554"/>
      <c r="QYJ13" s="554"/>
      <c r="QYK13" s="554"/>
      <c r="QYL13" s="554"/>
      <c r="QYM13" s="554"/>
      <c r="QYN13" s="554"/>
      <c r="QYO13" s="554"/>
      <c r="QYP13" s="554"/>
      <c r="QYQ13" s="554"/>
      <c r="QYR13" s="554"/>
      <c r="QYS13" s="554"/>
      <c r="QYT13" s="554"/>
      <c r="QYU13" s="554"/>
      <c r="QYV13" s="554"/>
      <c r="QYW13" s="554"/>
      <c r="QYX13" s="554"/>
      <c r="QYY13" s="554"/>
      <c r="QYZ13" s="554"/>
      <c r="QZA13" s="554"/>
      <c r="QZB13" s="554"/>
      <c r="QZC13" s="554"/>
      <c r="QZD13" s="554"/>
      <c r="QZE13" s="554"/>
      <c r="QZF13" s="554"/>
      <c r="QZG13" s="554"/>
      <c r="QZH13" s="554"/>
      <c r="QZI13" s="554"/>
      <c r="QZJ13" s="554"/>
      <c r="QZK13" s="554"/>
      <c r="QZL13" s="554"/>
      <c r="QZM13" s="554"/>
      <c r="QZN13" s="554"/>
      <c r="QZO13" s="554"/>
      <c r="QZP13" s="554"/>
      <c r="QZQ13" s="554"/>
      <c r="QZR13" s="554"/>
      <c r="QZS13" s="554"/>
      <c r="QZT13" s="554"/>
      <c r="QZU13" s="554"/>
      <c r="QZV13" s="554"/>
      <c r="QZW13" s="554"/>
      <c r="QZX13" s="554"/>
      <c r="QZY13" s="554"/>
      <c r="QZZ13" s="554"/>
      <c r="RAA13" s="554"/>
      <c r="RAB13" s="554"/>
      <c r="RAC13" s="554"/>
      <c r="RAD13" s="554"/>
      <c r="RAE13" s="554"/>
      <c r="RAF13" s="554"/>
      <c r="RAG13" s="554"/>
      <c r="RAH13" s="554"/>
      <c r="RAI13" s="554"/>
      <c r="RAJ13" s="554"/>
      <c r="RAK13" s="554"/>
      <c r="RAL13" s="554"/>
      <c r="RAM13" s="554"/>
      <c r="RAN13" s="554"/>
      <c r="RAO13" s="554"/>
      <c r="RAP13" s="554"/>
      <c r="RAQ13" s="554"/>
      <c r="RAR13" s="554"/>
      <c r="RAS13" s="554"/>
      <c r="RAT13" s="554"/>
      <c r="RAU13" s="554"/>
      <c r="RAV13" s="554"/>
      <c r="RAW13" s="554"/>
      <c r="RAX13" s="554"/>
      <c r="RAY13" s="554"/>
      <c r="RAZ13" s="554"/>
      <c r="RBA13" s="554"/>
      <c r="RBB13" s="554"/>
      <c r="RBC13" s="554"/>
      <c r="RBD13" s="554"/>
      <c r="RBE13" s="554"/>
      <c r="RBF13" s="554"/>
      <c r="RBG13" s="554"/>
      <c r="RBH13" s="554"/>
      <c r="RBI13" s="554"/>
      <c r="RBJ13" s="554"/>
      <c r="RBK13" s="554"/>
      <c r="RBL13" s="554"/>
      <c r="RBM13" s="554"/>
      <c r="RBN13" s="554"/>
      <c r="RBO13" s="554"/>
      <c r="RBP13" s="554"/>
      <c r="RBQ13" s="554"/>
      <c r="RBR13" s="554"/>
      <c r="RBS13" s="554"/>
      <c r="RBT13" s="554"/>
      <c r="RBU13" s="554"/>
      <c r="RBV13" s="554"/>
      <c r="RBW13" s="554"/>
      <c r="RBX13" s="554"/>
      <c r="RBY13" s="554"/>
      <c r="RBZ13" s="554"/>
      <c r="RCA13" s="554"/>
      <c r="RCB13" s="554"/>
      <c r="RCC13" s="554"/>
      <c r="RCD13" s="554"/>
      <c r="RCE13" s="554"/>
      <c r="RCF13" s="554"/>
      <c r="RCG13" s="554"/>
      <c r="RCH13" s="554"/>
      <c r="RCI13" s="554"/>
      <c r="RCJ13" s="554"/>
      <c r="RCK13" s="554"/>
      <c r="RCL13" s="554"/>
      <c r="RCM13" s="554"/>
      <c r="RCN13" s="554"/>
      <c r="RCO13" s="554"/>
      <c r="RCP13" s="554"/>
      <c r="RCQ13" s="554"/>
      <c r="RCR13" s="554"/>
      <c r="RCS13" s="554"/>
      <c r="RCT13" s="554"/>
      <c r="RCU13" s="554"/>
      <c r="RCV13" s="554"/>
      <c r="RCW13" s="554"/>
      <c r="RCX13" s="554"/>
      <c r="RCY13" s="554"/>
      <c r="RCZ13" s="554"/>
      <c r="RDA13" s="554"/>
      <c r="RDB13" s="554"/>
      <c r="RDC13" s="554"/>
      <c r="RDD13" s="554"/>
      <c r="RDE13" s="554"/>
      <c r="RDF13" s="554"/>
      <c r="RDG13" s="554"/>
      <c r="RDH13" s="554"/>
      <c r="RDI13" s="554"/>
      <c r="RDJ13" s="554"/>
      <c r="RDK13" s="554"/>
      <c r="RDL13" s="554"/>
      <c r="RDM13" s="554"/>
      <c r="RDN13" s="554"/>
      <c r="RDO13" s="554"/>
      <c r="RDP13" s="554"/>
      <c r="RDQ13" s="554"/>
      <c r="RDR13" s="554"/>
      <c r="RDS13" s="554"/>
      <c r="RDT13" s="554"/>
      <c r="RDU13" s="554"/>
      <c r="RDV13" s="554"/>
      <c r="RDW13" s="554"/>
      <c r="RDX13" s="554"/>
      <c r="RDY13" s="554"/>
      <c r="RDZ13" s="554"/>
      <c r="REA13" s="554"/>
      <c r="REB13" s="554"/>
      <c r="REC13" s="554"/>
      <c r="RED13" s="554"/>
      <c r="REE13" s="554"/>
      <c r="REF13" s="554"/>
      <c r="REG13" s="554"/>
      <c r="REH13" s="554"/>
      <c r="REI13" s="554"/>
      <c r="REJ13" s="554"/>
      <c r="REK13" s="554"/>
      <c r="REL13" s="554"/>
      <c r="REM13" s="554"/>
      <c r="REN13" s="554"/>
      <c r="REO13" s="554"/>
      <c r="REP13" s="554"/>
      <c r="REQ13" s="554"/>
      <c r="RER13" s="554"/>
      <c r="RES13" s="554"/>
      <c r="RET13" s="554"/>
      <c r="REU13" s="554"/>
      <c r="REV13" s="554"/>
      <c r="REW13" s="554"/>
      <c r="REX13" s="554"/>
      <c r="REY13" s="554"/>
      <c r="REZ13" s="554"/>
      <c r="RFA13" s="554"/>
      <c r="RFB13" s="554"/>
      <c r="RFC13" s="554"/>
      <c r="RFD13" s="554"/>
      <c r="RFE13" s="554"/>
      <c r="RFF13" s="554"/>
      <c r="RFG13" s="554"/>
      <c r="RFH13" s="554"/>
      <c r="RFI13" s="554"/>
      <c r="RFJ13" s="554"/>
      <c r="RFK13" s="554"/>
      <c r="RFL13" s="554"/>
      <c r="RFM13" s="554"/>
      <c r="RFN13" s="554"/>
      <c r="RFO13" s="554"/>
      <c r="RFP13" s="554"/>
      <c r="RFQ13" s="554"/>
      <c r="RFR13" s="554"/>
      <c r="RFS13" s="554"/>
      <c r="RFT13" s="554"/>
      <c r="RFU13" s="554"/>
      <c r="RFV13" s="554"/>
      <c r="RFW13" s="554"/>
      <c r="RFX13" s="554"/>
      <c r="RFY13" s="554"/>
      <c r="RFZ13" s="554"/>
      <c r="RGA13" s="554"/>
      <c r="RGB13" s="554"/>
      <c r="RGC13" s="554"/>
      <c r="RGD13" s="554"/>
      <c r="RGE13" s="554"/>
      <c r="RGF13" s="554"/>
      <c r="RGG13" s="554"/>
      <c r="RGH13" s="554"/>
      <c r="RGI13" s="554"/>
      <c r="RGJ13" s="554"/>
      <c r="RGK13" s="554"/>
      <c r="RGL13" s="554"/>
      <c r="RGM13" s="554"/>
      <c r="RGN13" s="554"/>
      <c r="RGO13" s="554"/>
      <c r="RGP13" s="554"/>
      <c r="RGQ13" s="554"/>
      <c r="RGR13" s="554"/>
      <c r="RGS13" s="554"/>
      <c r="RGT13" s="554"/>
      <c r="RGU13" s="554"/>
      <c r="RGV13" s="554"/>
      <c r="RGW13" s="554"/>
      <c r="RGX13" s="554"/>
      <c r="RGY13" s="554"/>
      <c r="RGZ13" s="554"/>
      <c r="RHA13" s="554"/>
      <c r="RHB13" s="554"/>
      <c r="RHC13" s="554"/>
      <c r="RHD13" s="554"/>
      <c r="RHE13" s="554"/>
      <c r="RHF13" s="554"/>
      <c r="RHG13" s="554"/>
      <c r="RHH13" s="554"/>
      <c r="RHI13" s="554"/>
      <c r="RHJ13" s="554"/>
      <c r="RHK13" s="554"/>
      <c r="RHL13" s="554"/>
      <c r="RHM13" s="554"/>
      <c r="RHN13" s="554"/>
      <c r="RHO13" s="554"/>
      <c r="RHP13" s="554"/>
      <c r="RHQ13" s="554"/>
      <c r="RHR13" s="554"/>
      <c r="RHS13" s="554"/>
      <c r="RHT13" s="554"/>
      <c r="RHU13" s="554"/>
      <c r="RHV13" s="554"/>
      <c r="RHW13" s="554"/>
      <c r="RHX13" s="554"/>
      <c r="RHY13" s="554"/>
      <c r="RHZ13" s="554"/>
      <c r="RIA13" s="554"/>
      <c r="RIB13" s="554"/>
      <c r="RIC13" s="554"/>
      <c r="RID13" s="554"/>
      <c r="RIE13" s="554"/>
      <c r="RIF13" s="554"/>
      <c r="RIG13" s="554"/>
      <c r="RIH13" s="554"/>
      <c r="RII13" s="554"/>
      <c r="RIJ13" s="554"/>
      <c r="RIK13" s="554"/>
      <c r="RIL13" s="554"/>
      <c r="RIM13" s="554"/>
      <c r="RIN13" s="554"/>
      <c r="RIO13" s="554"/>
      <c r="RIP13" s="554"/>
      <c r="RIQ13" s="554"/>
      <c r="RIR13" s="554"/>
      <c r="RIS13" s="554"/>
      <c r="RIT13" s="554"/>
      <c r="RIU13" s="554"/>
      <c r="RIV13" s="554"/>
      <c r="RIW13" s="554"/>
      <c r="RIX13" s="554"/>
      <c r="RIY13" s="554"/>
      <c r="RIZ13" s="554"/>
      <c r="RJA13" s="554"/>
      <c r="RJB13" s="554"/>
      <c r="RJC13" s="554"/>
      <c r="RJD13" s="554"/>
      <c r="RJE13" s="554"/>
      <c r="RJF13" s="554"/>
      <c r="RJG13" s="554"/>
      <c r="RJH13" s="554"/>
      <c r="RJI13" s="554"/>
      <c r="RJJ13" s="554"/>
      <c r="RJK13" s="554"/>
      <c r="RJL13" s="554"/>
      <c r="RJM13" s="554"/>
      <c r="RJN13" s="554"/>
      <c r="RJO13" s="554"/>
      <c r="RJP13" s="554"/>
      <c r="RJQ13" s="554"/>
      <c r="RJR13" s="554"/>
      <c r="RJS13" s="554"/>
      <c r="RJT13" s="554"/>
      <c r="RJU13" s="554"/>
      <c r="RJV13" s="554"/>
      <c r="RJW13" s="554"/>
      <c r="RJX13" s="554"/>
      <c r="RJY13" s="554"/>
      <c r="RJZ13" s="554"/>
      <c r="RKA13" s="554"/>
      <c r="RKB13" s="554"/>
      <c r="RKC13" s="554"/>
      <c r="RKD13" s="554"/>
      <c r="RKE13" s="554"/>
      <c r="RKF13" s="554"/>
      <c r="RKG13" s="554"/>
      <c r="RKH13" s="554"/>
      <c r="RKI13" s="554"/>
      <c r="RKJ13" s="554"/>
      <c r="RKK13" s="554"/>
      <c r="RKL13" s="554"/>
      <c r="RKM13" s="554"/>
      <c r="RKN13" s="554"/>
      <c r="RKO13" s="554"/>
      <c r="RKP13" s="554"/>
      <c r="RKQ13" s="554"/>
      <c r="RKR13" s="554"/>
      <c r="RKS13" s="554"/>
      <c r="RKT13" s="554"/>
      <c r="RKU13" s="554"/>
      <c r="RKV13" s="554"/>
      <c r="RKW13" s="554"/>
      <c r="RKX13" s="554"/>
      <c r="RKY13" s="554"/>
      <c r="RKZ13" s="554"/>
      <c r="RLA13" s="554"/>
      <c r="RLB13" s="554"/>
      <c r="RLC13" s="554"/>
      <c r="RLD13" s="554"/>
      <c r="RLE13" s="554"/>
      <c r="RLF13" s="554"/>
      <c r="RLG13" s="554"/>
      <c r="RLH13" s="554"/>
      <c r="RLI13" s="554"/>
      <c r="RLJ13" s="554"/>
      <c r="RLK13" s="554"/>
      <c r="RLL13" s="554"/>
      <c r="RLM13" s="554"/>
      <c r="RLN13" s="554"/>
      <c r="RLO13" s="554"/>
      <c r="RLP13" s="554"/>
      <c r="RLQ13" s="554"/>
      <c r="RLR13" s="554"/>
      <c r="RLS13" s="554"/>
      <c r="RLT13" s="554"/>
      <c r="RLU13" s="554"/>
      <c r="RLV13" s="554"/>
      <c r="RLW13" s="554"/>
      <c r="RLX13" s="554"/>
      <c r="RLY13" s="554"/>
      <c r="RLZ13" s="554"/>
      <c r="RMA13" s="554"/>
      <c r="RMB13" s="554"/>
      <c r="RMC13" s="554"/>
      <c r="RMD13" s="554"/>
      <c r="RME13" s="554"/>
      <c r="RMF13" s="554"/>
      <c r="RMG13" s="554"/>
      <c r="RMH13" s="554"/>
      <c r="RMI13" s="554"/>
      <c r="RMJ13" s="554"/>
      <c r="RMK13" s="554"/>
      <c r="RML13" s="554"/>
      <c r="RMM13" s="554"/>
      <c r="RMN13" s="554"/>
      <c r="RMO13" s="554"/>
      <c r="RMP13" s="554"/>
      <c r="RMQ13" s="554"/>
      <c r="RMR13" s="554"/>
      <c r="RMS13" s="554"/>
      <c r="RMT13" s="554"/>
      <c r="RMU13" s="554"/>
      <c r="RMV13" s="554"/>
      <c r="RMW13" s="554"/>
      <c r="RMX13" s="554"/>
      <c r="RMY13" s="554"/>
      <c r="RMZ13" s="554"/>
      <c r="RNA13" s="554"/>
      <c r="RNB13" s="554"/>
      <c r="RNC13" s="554"/>
      <c r="RND13" s="554"/>
      <c r="RNE13" s="554"/>
      <c r="RNF13" s="554"/>
      <c r="RNG13" s="554"/>
      <c r="RNH13" s="554"/>
      <c r="RNI13" s="554"/>
      <c r="RNJ13" s="554"/>
      <c r="RNK13" s="554"/>
      <c r="RNL13" s="554"/>
      <c r="RNM13" s="554"/>
      <c r="RNN13" s="554"/>
      <c r="RNO13" s="554"/>
      <c r="RNP13" s="554"/>
      <c r="RNQ13" s="554"/>
      <c r="RNR13" s="554"/>
      <c r="RNS13" s="554"/>
      <c r="RNT13" s="554"/>
      <c r="RNU13" s="554"/>
      <c r="RNV13" s="554"/>
      <c r="RNW13" s="554"/>
      <c r="RNX13" s="554"/>
      <c r="RNY13" s="554"/>
      <c r="RNZ13" s="554"/>
      <c r="ROA13" s="554"/>
      <c r="ROB13" s="554"/>
      <c r="ROC13" s="554"/>
      <c r="ROD13" s="554"/>
      <c r="ROE13" s="554"/>
      <c r="ROF13" s="554"/>
      <c r="ROG13" s="554"/>
      <c r="ROH13" s="554"/>
      <c r="ROI13" s="554"/>
      <c r="ROJ13" s="554"/>
      <c r="ROK13" s="554"/>
      <c r="ROL13" s="554"/>
      <c r="ROM13" s="554"/>
      <c r="RON13" s="554"/>
      <c r="ROO13" s="554"/>
      <c r="ROP13" s="554"/>
      <c r="ROQ13" s="554"/>
      <c r="ROR13" s="554"/>
      <c r="ROS13" s="554"/>
      <c r="ROT13" s="554"/>
      <c r="ROU13" s="554"/>
      <c r="ROV13" s="554"/>
      <c r="ROW13" s="554"/>
      <c r="ROX13" s="554"/>
      <c r="ROY13" s="554"/>
      <c r="ROZ13" s="554"/>
      <c r="RPA13" s="554"/>
      <c r="RPB13" s="554"/>
      <c r="RPC13" s="554"/>
      <c r="RPD13" s="554"/>
      <c r="RPE13" s="554"/>
      <c r="RPF13" s="554"/>
      <c r="RPG13" s="554"/>
      <c r="RPH13" s="554"/>
      <c r="RPI13" s="554"/>
      <c r="RPJ13" s="554"/>
      <c r="RPK13" s="554"/>
      <c r="RPL13" s="554"/>
      <c r="RPM13" s="554"/>
      <c r="RPN13" s="554"/>
      <c r="RPO13" s="554"/>
      <c r="RPP13" s="554"/>
      <c r="RPQ13" s="554"/>
      <c r="RPR13" s="554"/>
      <c r="RPS13" s="554"/>
      <c r="RPT13" s="554"/>
      <c r="RPU13" s="554"/>
      <c r="RPV13" s="554"/>
      <c r="RPW13" s="554"/>
      <c r="RPX13" s="554"/>
      <c r="RPY13" s="554"/>
      <c r="RPZ13" s="554"/>
      <c r="RQA13" s="554"/>
      <c r="RQB13" s="554"/>
      <c r="RQC13" s="554"/>
      <c r="RQD13" s="554"/>
      <c r="RQE13" s="554"/>
      <c r="RQF13" s="554"/>
      <c r="RQG13" s="554"/>
      <c r="RQH13" s="554"/>
      <c r="RQI13" s="554"/>
      <c r="RQJ13" s="554"/>
      <c r="RQK13" s="554"/>
      <c r="RQL13" s="554"/>
      <c r="RQM13" s="554"/>
      <c r="RQN13" s="554"/>
      <c r="RQO13" s="554"/>
      <c r="RQP13" s="554"/>
      <c r="RQQ13" s="554"/>
      <c r="RQR13" s="554"/>
      <c r="RQS13" s="554"/>
      <c r="RQT13" s="554"/>
      <c r="RQU13" s="554"/>
      <c r="RQV13" s="554"/>
      <c r="RQW13" s="554"/>
      <c r="RQX13" s="554"/>
      <c r="RQY13" s="554"/>
      <c r="RQZ13" s="554"/>
      <c r="RRA13" s="554"/>
      <c r="RRB13" s="554"/>
      <c r="RRC13" s="554"/>
      <c r="RRD13" s="554"/>
      <c r="RRE13" s="554"/>
      <c r="RRF13" s="554"/>
      <c r="RRG13" s="554"/>
      <c r="RRH13" s="554"/>
      <c r="RRI13" s="554"/>
      <c r="RRJ13" s="554"/>
      <c r="RRK13" s="554"/>
      <c r="RRL13" s="554"/>
      <c r="RRM13" s="554"/>
      <c r="RRN13" s="554"/>
      <c r="RRO13" s="554"/>
      <c r="RRP13" s="554"/>
      <c r="RRQ13" s="554"/>
      <c r="RRR13" s="554"/>
      <c r="RRS13" s="554"/>
      <c r="RRT13" s="554"/>
      <c r="RRU13" s="554"/>
      <c r="RRV13" s="554"/>
      <c r="RRW13" s="554"/>
      <c r="RRX13" s="554"/>
      <c r="RRY13" s="554"/>
      <c r="RRZ13" s="554"/>
      <c r="RSA13" s="554"/>
      <c r="RSB13" s="554"/>
      <c r="RSC13" s="554"/>
      <c r="RSD13" s="554"/>
      <c r="RSE13" s="554"/>
      <c r="RSF13" s="554"/>
      <c r="RSG13" s="554"/>
      <c r="RSH13" s="554"/>
      <c r="RSI13" s="554"/>
      <c r="RSJ13" s="554"/>
      <c r="RSK13" s="554"/>
      <c r="RSL13" s="554"/>
      <c r="RSM13" s="554"/>
      <c r="RSN13" s="554"/>
      <c r="RSO13" s="554"/>
      <c r="RSP13" s="554"/>
      <c r="RSQ13" s="554"/>
      <c r="RSR13" s="554"/>
      <c r="RSS13" s="554"/>
      <c r="RST13" s="554"/>
      <c r="RSU13" s="554"/>
      <c r="RSV13" s="554"/>
      <c r="RSW13" s="554"/>
      <c r="RSX13" s="554"/>
      <c r="RSY13" s="554"/>
      <c r="RSZ13" s="554"/>
      <c r="RTA13" s="554"/>
      <c r="RTB13" s="554"/>
      <c r="RTC13" s="554"/>
      <c r="RTD13" s="554"/>
      <c r="RTE13" s="554"/>
      <c r="RTF13" s="554"/>
      <c r="RTG13" s="554"/>
      <c r="RTH13" s="554"/>
      <c r="RTI13" s="554"/>
      <c r="RTJ13" s="554"/>
      <c r="RTK13" s="554"/>
      <c r="RTL13" s="554"/>
      <c r="RTM13" s="554"/>
      <c r="RTN13" s="554"/>
      <c r="RTO13" s="554"/>
      <c r="RTP13" s="554"/>
      <c r="RTQ13" s="554"/>
      <c r="RTR13" s="554"/>
      <c r="RTS13" s="554"/>
      <c r="RTT13" s="554"/>
      <c r="RTU13" s="554"/>
      <c r="RTV13" s="554"/>
      <c r="RTW13" s="554"/>
      <c r="RTX13" s="554"/>
      <c r="RTY13" s="554"/>
      <c r="RTZ13" s="554"/>
      <c r="RUA13" s="554"/>
      <c r="RUB13" s="554"/>
      <c r="RUC13" s="554"/>
      <c r="RUD13" s="554"/>
      <c r="RUE13" s="554"/>
      <c r="RUF13" s="554"/>
      <c r="RUG13" s="554"/>
      <c r="RUH13" s="554"/>
      <c r="RUI13" s="554"/>
      <c r="RUJ13" s="554"/>
      <c r="RUK13" s="554"/>
      <c r="RUL13" s="554"/>
      <c r="RUM13" s="554"/>
      <c r="RUN13" s="554"/>
      <c r="RUO13" s="554"/>
      <c r="RUP13" s="554"/>
      <c r="RUQ13" s="554"/>
      <c r="RUR13" s="554"/>
      <c r="RUS13" s="554"/>
      <c r="RUT13" s="554"/>
      <c r="RUU13" s="554"/>
      <c r="RUV13" s="554"/>
      <c r="RUW13" s="554"/>
      <c r="RUX13" s="554"/>
      <c r="RUY13" s="554"/>
      <c r="RUZ13" s="554"/>
      <c r="RVA13" s="554"/>
      <c r="RVB13" s="554"/>
      <c r="RVC13" s="554"/>
      <c r="RVD13" s="554"/>
      <c r="RVE13" s="554"/>
      <c r="RVF13" s="554"/>
      <c r="RVG13" s="554"/>
      <c r="RVH13" s="554"/>
      <c r="RVI13" s="554"/>
      <c r="RVJ13" s="554"/>
      <c r="RVK13" s="554"/>
      <c r="RVL13" s="554"/>
      <c r="RVM13" s="554"/>
      <c r="RVN13" s="554"/>
      <c r="RVO13" s="554"/>
      <c r="RVP13" s="554"/>
      <c r="RVQ13" s="554"/>
      <c r="RVR13" s="554"/>
      <c r="RVS13" s="554"/>
      <c r="RVT13" s="554"/>
      <c r="RVU13" s="554"/>
      <c r="RVV13" s="554"/>
      <c r="RVW13" s="554"/>
      <c r="RVX13" s="554"/>
      <c r="RVY13" s="554"/>
      <c r="RVZ13" s="554"/>
      <c r="RWA13" s="554"/>
      <c r="RWB13" s="554"/>
      <c r="RWC13" s="554"/>
      <c r="RWD13" s="554"/>
      <c r="RWE13" s="554"/>
      <c r="RWF13" s="554"/>
      <c r="RWG13" s="554"/>
      <c r="RWH13" s="554"/>
      <c r="RWI13" s="554"/>
      <c r="RWJ13" s="554"/>
      <c r="RWK13" s="554"/>
      <c r="RWL13" s="554"/>
      <c r="RWM13" s="554"/>
      <c r="RWN13" s="554"/>
      <c r="RWO13" s="554"/>
      <c r="RWP13" s="554"/>
      <c r="RWQ13" s="554"/>
      <c r="RWR13" s="554"/>
      <c r="RWS13" s="554"/>
      <c r="RWT13" s="554"/>
      <c r="RWU13" s="554"/>
      <c r="RWV13" s="554"/>
      <c r="RWW13" s="554"/>
      <c r="RWX13" s="554"/>
      <c r="RWY13" s="554"/>
      <c r="RWZ13" s="554"/>
      <c r="RXA13" s="554"/>
      <c r="RXB13" s="554"/>
      <c r="RXC13" s="554"/>
      <c r="RXD13" s="554"/>
      <c r="RXE13" s="554"/>
      <c r="RXF13" s="554"/>
      <c r="RXG13" s="554"/>
      <c r="RXH13" s="554"/>
      <c r="RXI13" s="554"/>
      <c r="RXJ13" s="554"/>
      <c r="RXK13" s="554"/>
      <c r="RXL13" s="554"/>
      <c r="RXM13" s="554"/>
      <c r="RXN13" s="554"/>
      <c r="RXO13" s="554"/>
      <c r="RXP13" s="554"/>
      <c r="RXQ13" s="554"/>
      <c r="RXR13" s="554"/>
      <c r="RXS13" s="554"/>
      <c r="RXT13" s="554"/>
      <c r="RXU13" s="554"/>
      <c r="RXV13" s="554"/>
      <c r="RXW13" s="554"/>
      <c r="RXX13" s="554"/>
      <c r="RXY13" s="554"/>
      <c r="RXZ13" s="554"/>
      <c r="RYA13" s="554"/>
      <c r="RYB13" s="554"/>
      <c r="RYC13" s="554"/>
      <c r="RYD13" s="554"/>
      <c r="RYE13" s="554"/>
      <c r="RYF13" s="554"/>
      <c r="RYG13" s="554"/>
      <c r="RYH13" s="554"/>
      <c r="RYI13" s="554"/>
      <c r="RYJ13" s="554"/>
      <c r="RYK13" s="554"/>
      <c r="RYL13" s="554"/>
      <c r="RYM13" s="554"/>
      <c r="RYN13" s="554"/>
      <c r="RYO13" s="554"/>
      <c r="RYP13" s="554"/>
      <c r="RYQ13" s="554"/>
      <c r="RYR13" s="554"/>
      <c r="RYS13" s="554"/>
      <c r="RYT13" s="554"/>
      <c r="RYU13" s="554"/>
      <c r="RYV13" s="554"/>
      <c r="RYW13" s="554"/>
      <c r="RYX13" s="554"/>
      <c r="RYY13" s="554"/>
      <c r="RYZ13" s="554"/>
      <c r="RZA13" s="554"/>
      <c r="RZB13" s="554"/>
      <c r="RZC13" s="554"/>
      <c r="RZD13" s="554"/>
      <c r="RZE13" s="554"/>
      <c r="RZF13" s="554"/>
      <c r="RZG13" s="554"/>
      <c r="RZH13" s="554"/>
      <c r="RZI13" s="554"/>
      <c r="RZJ13" s="554"/>
      <c r="RZK13" s="554"/>
      <c r="RZL13" s="554"/>
      <c r="RZM13" s="554"/>
      <c r="RZN13" s="554"/>
      <c r="RZO13" s="554"/>
      <c r="RZP13" s="554"/>
      <c r="RZQ13" s="554"/>
      <c r="RZR13" s="554"/>
      <c r="RZS13" s="554"/>
      <c r="RZT13" s="554"/>
      <c r="RZU13" s="554"/>
      <c r="RZV13" s="554"/>
      <c r="RZW13" s="554"/>
      <c r="RZX13" s="554"/>
      <c r="RZY13" s="554"/>
      <c r="RZZ13" s="554"/>
      <c r="SAA13" s="554"/>
      <c r="SAB13" s="554"/>
      <c r="SAC13" s="554"/>
      <c r="SAD13" s="554"/>
      <c r="SAE13" s="554"/>
      <c r="SAF13" s="554"/>
      <c r="SAG13" s="554"/>
      <c r="SAH13" s="554"/>
      <c r="SAI13" s="554"/>
      <c r="SAJ13" s="554"/>
      <c r="SAK13" s="554"/>
      <c r="SAL13" s="554"/>
      <c r="SAM13" s="554"/>
      <c r="SAN13" s="554"/>
      <c r="SAO13" s="554"/>
      <c r="SAP13" s="554"/>
      <c r="SAQ13" s="554"/>
      <c r="SAR13" s="554"/>
      <c r="SAS13" s="554"/>
      <c r="SAT13" s="554"/>
      <c r="SAU13" s="554"/>
      <c r="SAV13" s="554"/>
      <c r="SAW13" s="554"/>
      <c r="SAX13" s="554"/>
      <c r="SAY13" s="554"/>
      <c r="SAZ13" s="554"/>
      <c r="SBA13" s="554"/>
      <c r="SBB13" s="554"/>
      <c r="SBC13" s="554"/>
      <c r="SBD13" s="554"/>
      <c r="SBE13" s="554"/>
      <c r="SBF13" s="554"/>
      <c r="SBG13" s="554"/>
      <c r="SBH13" s="554"/>
      <c r="SBI13" s="554"/>
      <c r="SBJ13" s="554"/>
      <c r="SBK13" s="554"/>
      <c r="SBL13" s="554"/>
      <c r="SBM13" s="554"/>
      <c r="SBN13" s="554"/>
      <c r="SBO13" s="554"/>
      <c r="SBP13" s="554"/>
      <c r="SBQ13" s="554"/>
      <c r="SBR13" s="554"/>
      <c r="SBS13" s="554"/>
      <c r="SBT13" s="554"/>
      <c r="SBU13" s="554"/>
      <c r="SBV13" s="554"/>
      <c r="SBW13" s="554"/>
      <c r="SBX13" s="554"/>
      <c r="SBY13" s="554"/>
      <c r="SBZ13" s="554"/>
      <c r="SCA13" s="554"/>
      <c r="SCB13" s="554"/>
      <c r="SCC13" s="554"/>
      <c r="SCD13" s="554"/>
      <c r="SCE13" s="554"/>
      <c r="SCF13" s="554"/>
      <c r="SCG13" s="554"/>
      <c r="SCH13" s="554"/>
      <c r="SCI13" s="554"/>
      <c r="SCJ13" s="554"/>
      <c r="SCK13" s="554"/>
      <c r="SCL13" s="554"/>
      <c r="SCM13" s="554"/>
      <c r="SCN13" s="554"/>
      <c r="SCO13" s="554"/>
      <c r="SCP13" s="554"/>
      <c r="SCQ13" s="554"/>
      <c r="SCR13" s="554"/>
      <c r="SCS13" s="554"/>
      <c r="SCT13" s="554"/>
      <c r="SCU13" s="554"/>
      <c r="SCV13" s="554"/>
      <c r="SCW13" s="554"/>
      <c r="SCX13" s="554"/>
      <c r="SCY13" s="554"/>
      <c r="SCZ13" s="554"/>
      <c r="SDA13" s="554"/>
      <c r="SDB13" s="554"/>
      <c r="SDC13" s="554"/>
      <c r="SDD13" s="554"/>
      <c r="SDE13" s="554"/>
      <c r="SDF13" s="554"/>
      <c r="SDG13" s="554"/>
      <c r="SDH13" s="554"/>
      <c r="SDI13" s="554"/>
      <c r="SDJ13" s="554"/>
      <c r="SDK13" s="554"/>
      <c r="SDL13" s="554"/>
      <c r="SDM13" s="554"/>
      <c r="SDN13" s="554"/>
      <c r="SDO13" s="554"/>
      <c r="SDP13" s="554"/>
      <c r="SDQ13" s="554"/>
      <c r="SDR13" s="554"/>
      <c r="SDS13" s="554"/>
      <c r="SDT13" s="554"/>
      <c r="SDU13" s="554"/>
      <c r="SDV13" s="554"/>
      <c r="SDW13" s="554"/>
      <c r="SDX13" s="554"/>
      <c r="SDY13" s="554"/>
      <c r="SDZ13" s="554"/>
      <c r="SEA13" s="554"/>
      <c r="SEB13" s="554"/>
      <c r="SEC13" s="554"/>
      <c r="SED13" s="554"/>
      <c r="SEE13" s="554"/>
      <c r="SEF13" s="554"/>
      <c r="SEG13" s="554"/>
      <c r="SEH13" s="554"/>
      <c r="SEI13" s="554"/>
      <c r="SEJ13" s="554"/>
      <c r="SEK13" s="554"/>
      <c r="SEL13" s="554"/>
      <c r="SEM13" s="554"/>
      <c r="SEN13" s="554"/>
      <c r="SEO13" s="554"/>
      <c r="SEP13" s="554"/>
      <c r="SEQ13" s="554"/>
      <c r="SER13" s="554"/>
      <c r="SES13" s="554"/>
      <c r="SET13" s="554"/>
      <c r="SEU13" s="554"/>
      <c r="SEV13" s="554"/>
      <c r="SEW13" s="554"/>
      <c r="SEX13" s="554"/>
      <c r="SEY13" s="554"/>
      <c r="SEZ13" s="554"/>
      <c r="SFA13" s="554"/>
      <c r="SFB13" s="554"/>
      <c r="SFC13" s="554"/>
      <c r="SFD13" s="554"/>
      <c r="SFE13" s="554"/>
      <c r="SFF13" s="554"/>
      <c r="SFG13" s="554"/>
      <c r="SFH13" s="554"/>
      <c r="SFI13" s="554"/>
      <c r="SFJ13" s="554"/>
      <c r="SFK13" s="554"/>
      <c r="SFL13" s="554"/>
      <c r="SFM13" s="554"/>
      <c r="SFN13" s="554"/>
      <c r="SFO13" s="554"/>
      <c r="SFP13" s="554"/>
      <c r="SFQ13" s="554"/>
      <c r="SFR13" s="554"/>
      <c r="SFS13" s="554"/>
      <c r="SFT13" s="554"/>
      <c r="SFU13" s="554"/>
      <c r="SFV13" s="554"/>
      <c r="SFW13" s="554"/>
      <c r="SFX13" s="554"/>
      <c r="SFY13" s="554"/>
      <c r="SFZ13" s="554"/>
      <c r="SGA13" s="554"/>
      <c r="SGB13" s="554"/>
      <c r="SGC13" s="554"/>
      <c r="SGD13" s="554"/>
      <c r="SGE13" s="554"/>
      <c r="SGF13" s="554"/>
      <c r="SGG13" s="554"/>
      <c r="SGH13" s="554"/>
      <c r="SGI13" s="554"/>
      <c r="SGJ13" s="554"/>
      <c r="SGK13" s="554"/>
      <c r="SGL13" s="554"/>
      <c r="SGM13" s="554"/>
      <c r="SGN13" s="554"/>
      <c r="SGO13" s="554"/>
      <c r="SGP13" s="554"/>
      <c r="SGQ13" s="554"/>
      <c r="SGR13" s="554"/>
      <c r="SGS13" s="554"/>
      <c r="SGT13" s="554"/>
      <c r="SGU13" s="554"/>
      <c r="SGV13" s="554"/>
      <c r="SGW13" s="554"/>
      <c r="SGX13" s="554"/>
      <c r="SGY13" s="554"/>
      <c r="SGZ13" s="554"/>
      <c r="SHA13" s="554"/>
      <c r="SHB13" s="554"/>
      <c r="SHC13" s="554"/>
      <c r="SHD13" s="554"/>
      <c r="SHE13" s="554"/>
      <c r="SHF13" s="554"/>
      <c r="SHG13" s="554"/>
      <c r="SHH13" s="554"/>
      <c r="SHI13" s="554"/>
      <c r="SHJ13" s="554"/>
      <c r="SHK13" s="554"/>
      <c r="SHL13" s="554"/>
      <c r="SHM13" s="554"/>
      <c r="SHN13" s="554"/>
      <c r="SHO13" s="554"/>
      <c r="SHP13" s="554"/>
      <c r="SHQ13" s="554"/>
      <c r="SHR13" s="554"/>
      <c r="SHS13" s="554"/>
      <c r="SHT13" s="554"/>
      <c r="SHU13" s="554"/>
      <c r="SHV13" s="554"/>
      <c r="SHW13" s="554"/>
      <c r="SHX13" s="554"/>
      <c r="SHY13" s="554"/>
      <c r="SHZ13" s="554"/>
      <c r="SIA13" s="554"/>
      <c r="SIB13" s="554"/>
      <c r="SIC13" s="554"/>
      <c r="SID13" s="554"/>
      <c r="SIE13" s="554"/>
      <c r="SIF13" s="554"/>
      <c r="SIG13" s="554"/>
      <c r="SIH13" s="554"/>
      <c r="SII13" s="554"/>
      <c r="SIJ13" s="554"/>
      <c r="SIK13" s="554"/>
      <c r="SIL13" s="554"/>
      <c r="SIM13" s="554"/>
      <c r="SIN13" s="554"/>
      <c r="SIO13" s="554"/>
      <c r="SIP13" s="554"/>
      <c r="SIQ13" s="554"/>
      <c r="SIR13" s="554"/>
      <c r="SIS13" s="554"/>
      <c r="SIT13" s="554"/>
      <c r="SIU13" s="554"/>
      <c r="SIV13" s="554"/>
      <c r="SIW13" s="554"/>
      <c r="SIX13" s="554"/>
      <c r="SIY13" s="554"/>
      <c r="SIZ13" s="554"/>
      <c r="SJA13" s="554"/>
      <c r="SJB13" s="554"/>
      <c r="SJC13" s="554"/>
      <c r="SJD13" s="554"/>
      <c r="SJE13" s="554"/>
      <c r="SJF13" s="554"/>
      <c r="SJG13" s="554"/>
      <c r="SJH13" s="554"/>
      <c r="SJI13" s="554"/>
      <c r="SJJ13" s="554"/>
      <c r="SJK13" s="554"/>
      <c r="SJL13" s="554"/>
      <c r="SJM13" s="554"/>
      <c r="SJN13" s="554"/>
      <c r="SJO13" s="554"/>
      <c r="SJP13" s="554"/>
      <c r="SJQ13" s="554"/>
      <c r="SJR13" s="554"/>
      <c r="SJS13" s="554"/>
      <c r="SJT13" s="554"/>
      <c r="SJU13" s="554"/>
      <c r="SJV13" s="554"/>
      <c r="SJW13" s="554"/>
      <c r="SJX13" s="554"/>
      <c r="SJY13" s="554"/>
      <c r="SJZ13" s="554"/>
      <c r="SKA13" s="554"/>
      <c r="SKB13" s="554"/>
      <c r="SKC13" s="554"/>
      <c r="SKD13" s="554"/>
      <c r="SKE13" s="554"/>
      <c r="SKF13" s="554"/>
      <c r="SKG13" s="554"/>
      <c r="SKH13" s="554"/>
      <c r="SKI13" s="554"/>
      <c r="SKJ13" s="554"/>
      <c r="SKK13" s="554"/>
      <c r="SKL13" s="554"/>
      <c r="SKM13" s="554"/>
      <c r="SKN13" s="554"/>
      <c r="SKO13" s="554"/>
      <c r="SKP13" s="554"/>
      <c r="SKQ13" s="554"/>
      <c r="SKR13" s="554"/>
      <c r="SKS13" s="554"/>
      <c r="SKT13" s="554"/>
      <c r="SKU13" s="554"/>
      <c r="SKV13" s="554"/>
      <c r="SKW13" s="554"/>
      <c r="SKX13" s="554"/>
      <c r="SKY13" s="554"/>
      <c r="SKZ13" s="554"/>
      <c r="SLA13" s="554"/>
      <c r="SLB13" s="554"/>
      <c r="SLC13" s="554"/>
      <c r="SLD13" s="554"/>
      <c r="SLE13" s="554"/>
      <c r="SLF13" s="554"/>
      <c r="SLG13" s="554"/>
      <c r="SLH13" s="554"/>
      <c r="SLI13" s="554"/>
      <c r="SLJ13" s="554"/>
      <c r="SLK13" s="554"/>
      <c r="SLL13" s="554"/>
      <c r="SLM13" s="554"/>
      <c r="SLN13" s="554"/>
      <c r="SLO13" s="554"/>
      <c r="SLP13" s="554"/>
      <c r="SLQ13" s="554"/>
      <c r="SLR13" s="554"/>
      <c r="SLS13" s="554"/>
      <c r="SLT13" s="554"/>
      <c r="SLU13" s="554"/>
      <c r="SLV13" s="554"/>
      <c r="SLW13" s="554"/>
      <c r="SLX13" s="554"/>
      <c r="SLY13" s="554"/>
      <c r="SLZ13" s="554"/>
      <c r="SMA13" s="554"/>
      <c r="SMB13" s="554"/>
      <c r="SMC13" s="554"/>
      <c r="SMD13" s="554"/>
      <c r="SME13" s="554"/>
      <c r="SMF13" s="554"/>
      <c r="SMG13" s="554"/>
      <c r="SMH13" s="554"/>
      <c r="SMI13" s="554"/>
      <c r="SMJ13" s="554"/>
      <c r="SMK13" s="554"/>
      <c r="SML13" s="554"/>
      <c r="SMM13" s="554"/>
      <c r="SMN13" s="554"/>
      <c r="SMO13" s="554"/>
      <c r="SMP13" s="554"/>
      <c r="SMQ13" s="554"/>
      <c r="SMR13" s="554"/>
      <c r="SMS13" s="554"/>
      <c r="SMT13" s="554"/>
      <c r="SMU13" s="554"/>
      <c r="SMV13" s="554"/>
      <c r="SMW13" s="554"/>
      <c r="SMX13" s="554"/>
      <c r="SMY13" s="554"/>
      <c r="SMZ13" s="554"/>
      <c r="SNA13" s="554"/>
      <c r="SNB13" s="554"/>
      <c r="SNC13" s="554"/>
      <c r="SND13" s="554"/>
      <c r="SNE13" s="554"/>
      <c r="SNF13" s="554"/>
      <c r="SNG13" s="554"/>
      <c r="SNH13" s="554"/>
      <c r="SNI13" s="554"/>
      <c r="SNJ13" s="554"/>
      <c r="SNK13" s="554"/>
      <c r="SNL13" s="554"/>
      <c r="SNM13" s="554"/>
      <c r="SNN13" s="554"/>
      <c r="SNO13" s="554"/>
      <c r="SNP13" s="554"/>
      <c r="SNQ13" s="554"/>
      <c r="SNR13" s="554"/>
      <c r="SNS13" s="554"/>
      <c r="SNT13" s="554"/>
      <c r="SNU13" s="554"/>
      <c r="SNV13" s="554"/>
      <c r="SNW13" s="554"/>
      <c r="SNX13" s="554"/>
      <c r="SNY13" s="554"/>
      <c r="SNZ13" s="554"/>
      <c r="SOA13" s="554"/>
      <c r="SOB13" s="554"/>
      <c r="SOC13" s="554"/>
      <c r="SOD13" s="554"/>
      <c r="SOE13" s="554"/>
      <c r="SOF13" s="554"/>
      <c r="SOG13" s="554"/>
      <c r="SOH13" s="554"/>
      <c r="SOI13" s="554"/>
      <c r="SOJ13" s="554"/>
      <c r="SOK13" s="554"/>
      <c r="SOL13" s="554"/>
      <c r="SOM13" s="554"/>
      <c r="SON13" s="554"/>
      <c r="SOO13" s="554"/>
      <c r="SOP13" s="554"/>
      <c r="SOQ13" s="554"/>
      <c r="SOR13" s="554"/>
      <c r="SOS13" s="554"/>
      <c r="SOT13" s="554"/>
      <c r="SOU13" s="554"/>
      <c r="SOV13" s="554"/>
      <c r="SOW13" s="554"/>
      <c r="SOX13" s="554"/>
      <c r="SOY13" s="554"/>
      <c r="SOZ13" s="554"/>
      <c r="SPA13" s="554"/>
      <c r="SPB13" s="554"/>
      <c r="SPC13" s="554"/>
      <c r="SPD13" s="554"/>
      <c r="SPE13" s="554"/>
      <c r="SPF13" s="554"/>
      <c r="SPG13" s="554"/>
      <c r="SPH13" s="554"/>
      <c r="SPI13" s="554"/>
      <c r="SPJ13" s="554"/>
      <c r="SPK13" s="554"/>
      <c r="SPL13" s="554"/>
      <c r="SPM13" s="554"/>
      <c r="SPN13" s="554"/>
      <c r="SPO13" s="554"/>
      <c r="SPP13" s="554"/>
      <c r="SPQ13" s="554"/>
      <c r="SPR13" s="554"/>
      <c r="SPS13" s="554"/>
      <c r="SPT13" s="554"/>
      <c r="SPU13" s="554"/>
      <c r="SPV13" s="554"/>
      <c r="SPW13" s="554"/>
      <c r="SPX13" s="554"/>
      <c r="SPY13" s="554"/>
      <c r="SPZ13" s="554"/>
      <c r="SQA13" s="554"/>
      <c r="SQB13" s="554"/>
      <c r="SQC13" s="554"/>
      <c r="SQD13" s="554"/>
      <c r="SQE13" s="554"/>
      <c r="SQF13" s="554"/>
      <c r="SQG13" s="554"/>
      <c r="SQH13" s="554"/>
      <c r="SQI13" s="554"/>
      <c r="SQJ13" s="554"/>
      <c r="SQK13" s="554"/>
      <c r="SQL13" s="554"/>
      <c r="SQM13" s="554"/>
      <c r="SQN13" s="554"/>
      <c r="SQO13" s="554"/>
      <c r="SQP13" s="554"/>
      <c r="SQQ13" s="554"/>
      <c r="SQR13" s="554"/>
      <c r="SQS13" s="554"/>
      <c r="SQT13" s="554"/>
      <c r="SQU13" s="554"/>
      <c r="SQV13" s="554"/>
      <c r="SQW13" s="554"/>
      <c r="SQX13" s="554"/>
      <c r="SQY13" s="554"/>
      <c r="SQZ13" s="554"/>
      <c r="SRA13" s="554"/>
      <c r="SRB13" s="554"/>
      <c r="SRC13" s="554"/>
      <c r="SRD13" s="554"/>
      <c r="SRE13" s="554"/>
      <c r="SRF13" s="554"/>
      <c r="SRG13" s="554"/>
      <c r="SRH13" s="554"/>
      <c r="SRI13" s="554"/>
      <c r="SRJ13" s="554"/>
      <c r="SRK13" s="554"/>
      <c r="SRL13" s="554"/>
      <c r="SRM13" s="554"/>
      <c r="SRN13" s="554"/>
      <c r="SRO13" s="554"/>
      <c r="SRP13" s="554"/>
      <c r="SRQ13" s="554"/>
      <c r="SRR13" s="554"/>
      <c r="SRS13" s="554"/>
      <c r="SRT13" s="554"/>
      <c r="SRU13" s="554"/>
      <c r="SRV13" s="554"/>
      <c r="SRW13" s="554"/>
      <c r="SRX13" s="554"/>
      <c r="SRY13" s="554"/>
      <c r="SRZ13" s="554"/>
      <c r="SSA13" s="554"/>
      <c r="SSB13" s="554"/>
      <c r="SSC13" s="554"/>
      <c r="SSD13" s="554"/>
      <c r="SSE13" s="554"/>
      <c r="SSF13" s="554"/>
      <c r="SSG13" s="554"/>
      <c r="SSH13" s="554"/>
      <c r="SSI13" s="554"/>
      <c r="SSJ13" s="554"/>
      <c r="SSK13" s="554"/>
      <c r="SSL13" s="554"/>
      <c r="SSM13" s="554"/>
      <c r="SSN13" s="554"/>
      <c r="SSO13" s="554"/>
      <c r="SSP13" s="554"/>
      <c r="SSQ13" s="554"/>
      <c r="SSR13" s="554"/>
      <c r="SSS13" s="554"/>
      <c r="SST13" s="554"/>
      <c r="SSU13" s="554"/>
      <c r="SSV13" s="554"/>
      <c r="SSW13" s="554"/>
      <c r="SSX13" s="554"/>
      <c r="SSY13" s="554"/>
      <c r="SSZ13" s="554"/>
      <c r="STA13" s="554"/>
      <c r="STB13" s="554"/>
      <c r="STC13" s="554"/>
      <c r="STD13" s="554"/>
      <c r="STE13" s="554"/>
      <c r="STF13" s="554"/>
      <c r="STG13" s="554"/>
      <c r="STH13" s="554"/>
      <c r="STI13" s="554"/>
      <c r="STJ13" s="554"/>
      <c r="STK13" s="554"/>
      <c r="STL13" s="554"/>
      <c r="STM13" s="554"/>
      <c r="STN13" s="554"/>
      <c r="STO13" s="554"/>
      <c r="STP13" s="554"/>
      <c r="STQ13" s="554"/>
      <c r="STR13" s="554"/>
      <c r="STS13" s="554"/>
      <c r="STT13" s="554"/>
      <c r="STU13" s="554"/>
      <c r="STV13" s="554"/>
      <c r="STW13" s="554"/>
      <c r="STX13" s="554"/>
      <c r="STY13" s="554"/>
      <c r="STZ13" s="554"/>
      <c r="SUA13" s="554"/>
      <c r="SUB13" s="554"/>
      <c r="SUC13" s="554"/>
      <c r="SUD13" s="554"/>
      <c r="SUE13" s="554"/>
      <c r="SUF13" s="554"/>
      <c r="SUG13" s="554"/>
      <c r="SUH13" s="554"/>
      <c r="SUI13" s="554"/>
      <c r="SUJ13" s="554"/>
      <c r="SUK13" s="554"/>
      <c r="SUL13" s="554"/>
      <c r="SUM13" s="554"/>
      <c r="SUN13" s="554"/>
      <c r="SUO13" s="554"/>
      <c r="SUP13" s="554"/>
      <c r="SUQ13" s="554"/>
      <c r="SUR13" s="554"/>
      <c r="SUS13" s="554"/>
      <c r="SUT13" s="554"/>
      <c r="SUU13" s="554"/>
      <c r="SUV13" s="554"/>
      <c r="SUW13" s="554"/>
      <c r="SUX13" s="554"/>
      <c r="SUY13" s="554"/>
      <c r="SUZ13" s="554"/>
      <c r="SVA13" s="554"/>
      <c r="SVB13" s="554"/>
      <c r="SVC13" s="554"/>
      <c r="SVD13" s="554"/>
      <c r="SVE13" s="554"/>
      <c r="SVF13" s="554"/>
      <c r="SVG13" s="554"/>
      <c r="SVH13" s="554"/>
      <c r="SVI13" s="554"/>
      <c r="SVJ13" s="554"/>
      <c r="SVK13" s="554"/>
      <c r="SVL13" s="554"/>
      <c r="SVM13" s="554"/>
      <c r="SVN13" s="554"/>
      <c r="SVO13" s="554"/>
      <c r="SVP13" s="554"/>
      <c r="SVQ13" s="554"/>
      <c r="SVR13" s="554"/>
      <c r="SVS13" s="554"/>
      <c r="SVT13" s="554"/>
      <c r="SVU13" s="554"/>
      <c r="SVV13" s="554"/>
      <c r="SVW13" s="554"/>
      <c r="SVX13" s="554"/>
      <c r="SVY13" s="554"/>
      <c r="SVZ13" s="554"/>
      <c r="SWA13" s="554"/>
      <c r="SWB13" s="554"/>
      <c r="SWC13" s="554"/>
      <c r="SWD13" s="554"/>
      <c r="SWE13" s="554"/>
      <c r="SWF13" s="554"/>
      <c r="SWG13" s="554"/>
      <c r="SWH13" s="554"/>
      <c r="SWI13" s="554"/>
      <c r="SWJ13" s="554"/>
      <c r="SWK13" s="554"/>
      <c r="SWL13" s="554"/>
      <c r="SWM13" s="554"/>
      <c r="SWN13" s="554"/>
      <c r="SWO13" s="554"/>
      <c r="SWP13" s="554"/>
      <c r="SWQ13" s="554"/>
      <c r="SWR13" s="554"/>
      <c r="SWS13" s="554"/>
      <c r="SWT13" s="554"/>
      <c r="SWU13" s="554"/>
      <c r="SWV13" s="554"/>
      <c r="SWW13" s="554"/>
      <c r="SWX13" s="554"/>
      <c r="SWY13" s="554"/>
      <c r="SWZ13" s="554"/>
      <c r="SXA13" s="554"/>
      <c r="SXB13" s="554"/>
      <c r="SXC13" s="554"/>
      <c r="SXD13" s="554"/>
      <c r="SXE13" s="554"/>
      <c r="SXF13" s="554"/>
      <c r="SXG13" s="554"/>
      <c r="SXH13" s="554"/>
      <c r="SXI13" s="554"/>
      <c r="SXJ13" s="554"/>
      <c r="SXK13" s="554"/>
      <c r="SXL13" s="554"/>
      <c r="SXM13" s="554"/>
      <c r="SXN13" s="554"/>
      <c r="SXO13" s="554"/>
      <c r="SXP13" s="554"/>
      <c r="SXQ13" s="554"/>
      <c r="SXR13" s="554"/>
      <c r="SXS13" s="554"/>
      <c r="SXT13" s="554"/>
      <c r="SXU13" s="554"/>
      <c r="SXV13" s="554"/>
      <c r="SXW13" s="554"/>
      <c r="SXX13" s="554"/>
      <c r="SXY13" s="554"/>
      <c r="SXZ13" s="554"/>
      <c r="SYA13" s="554"/>
      <c r="SYB13" s="554"/>
      <c r="SYC13" s="554"/>
      <c r="SYD13" s="554"/>
      <c r="SYE13" s="554"/>
      <c r="SYF13" s="554"/>
      <c r="SYG13" s="554"/>
      <c r="SYH13" s="554"/>
      <c r="SYI13" s="554"/>
      <c r="SYJ13" s="554"/>
      <c r="SYK13" s="554"/>
      <c r="SYL13" s="554"/>
      <c r="SYM13" s="554"/>
      <c r="SYN13" s="554"/>
      <c r="SYO13" s="554"/>
      <c r="SYP13" s="554"/>
      <c r="SYQ13" s="554"/>
      <c r="SYR13" s="554"/>
      <c r="SYS13" s="554"/>
      <c r="SYT13" s="554"/>
      <c r="SYU13" s="554"/>
      <c r="SYV13" s="554"/>
      <c r="SYW13" s="554"/>
      <c r="SYX13" s="554"/>
      <c r="SYY13" s="554"/>
      <c r="SYZ13" s="554"/>
      <c r="SZA13" s="554"/>
      <c r="SZB13" s="554"/>
      <c r="SZC13" s="554"/>
      <c r="SZD13" s="554"/>
      <c r="SZE13" s="554"/>
      <c r="SZF13" s="554"/>
      <c r="SZG13" s="554"/>
      <c r="SZH13" s="554"/>
      <c r="SZI13" s="554"/>
      <c r="SZJ13" s="554"/>
      <c r="SZK13" s="554"/>
      <c r="SZL13" s="554"/>
      <c r="SZM13" s="554"/>
      <c r="SZN13" s="554"/>
      <c r="SZO13" s="554"/>
      <c r="SZP13" s="554"/>
      <c r="SZQ13" s="554"/>
      <c r="SZR13" s="554"/>
      <c r="SZS13" s="554"/>
      <c r="SZT13" s="554"/>
      <c r="SZU13" s="554"/>
      <c r="SZV13" s="554"/>
      <c r="SZW13" s="554"/>
      <c r="SZX13" s="554"/>
      <c r="SZY13" s="554"/>
      <c r="SZZ13" s="554"/>
      <c r="TAA13" s="554"/>
      <c r="TAB13" s="554"/>
      <c r="TAC13" s="554"/>
      <c r="TAD13" s="554"/>
      <c r="TAE13" s="554"/>
      <c r="TAF13" s="554"/>
      <c r="TAG13" s="554"/>
      <c r="TAH13" s="554"/>
      <c r="TAI13" s="554"/>
      <c r="TAJ13" s="554"/>
      <c r="TAK13" s="554"/>
      <c r="TAL13" s="554"/>
      <c r="TAM13" s="554"/>
      <c r="TAN13" s="554"/>
      <c r="TAO13" s="554"/>
      <c r="TAP13" s="554"/>
      <c r="TAQ13" s="554"/>
      <c r="TAR13" s="554"/>
      <c r="TAS13" s="554"/>
      <c r="TAT13" s="554"/>
      <c r="TAU13" s="554"/>
      <c r="TAV13" s="554"/>
      <c r="TAW13" s="554"/>
      <c r="TAX13" s="554"/>
      <c r="TAY13" s="554"/>
      <c r="TAZ13" s="554"/>
      <c r="TBA13" s="554"/>
      <c r="TBB13" s="554"/>
      <c r="TBC13" s="554"/>
      <c r="TBD13" s="554"/>
      <c r="TBE13" s="554"/>
      <c r="TBF13" s="554"/>
      <c r="TBG13" s="554"/>
      <c r="TBH13" s="554"/>
      <c r="TBI13" s="554"/>
      <c r="TBJ13" s="554"/>
      <c r="TBK13" s="554"/>
      <c r="TBL13" s="554"/>
      <c r="TBM13" s="554"/>
      <c r="TBN13" s="554"/>
      <c r="TBO13" s="554"/>
      <c r="TBP13" s="554"/>
      <c r="TBQ13" s="554"/>
      <c r="TBR13" s="554"/>
      <c r="TBS13" s="554"/>
      <c r="TBT13" s="554"/>
      <c r="TBU13" s="554"/>
      <c r="TBV13" s="554"/>
      <c r="TBW13" s="554"/>
      <c r="TBX13" s="554"/>
      <c r="TBY13" s="554"/>
      <c r="TBZ13" s="554"/>
      <c r="TCA13" s="554"/>
      <c r="TCB13" s="554"/>
      <c r="TCC13" s="554"/>
      <c r="TCD13" s="554"/>
      <c r="TCE13" s="554"/>
      <c r="TCF13" s="554"/>
      <c r="TCG13" s="554"/>
      <c r="TCH13" s="554"/>
      <c r="TCI13" s="554"/>
      <c r="TCJ13" s="554"/>
      <c r="TCK13" s="554"/>
      <c r="TCL13" s="554"/>
      <c r="TCM13" s="554"/>
      <c r="TCN13" s="554"/>
      <c r="TCO13" s="554"/>
      <c r="TCP13" s="554"/>
      <c r="TCQ13" s="554"/>
      <c r="TCR13" s="554"/>
      <c r="TCS13" s="554"/>
      <c r="TCT13" s="554"/>
      <c r="TCU13" s="554"/>
      <c r="TCV13" s="554"/>
      <c r="TCW13" s="554"/>
      <c r="TCX13" s="554"/>
      <c r="TCY13" s="554"/>
      <c r="TCZ13" s="554"/>
      <c r="TDA13" s="554"/>
      <c r="TDB13" s="554"/>
      <c r="TDC13" s="554"/>
      <c r="TDD13" s="554"/>
      <c r="TDE13" s="554"/>
      <c r="TDF13" s="554"/>
      <c r="TDG13" s="554"/>
      <c r="TDH13" s="554"/>
      <c r="TDI13" s="554"/>
      <c r="TDJ13" s="554"/>
      <c r="TDK13" s="554"/>
      <c r="TDL13" s="554"/>
      <c r="TDM13" s="554"/>
      <c r="TDN13" s="554"/>
      <c r="TDO13" s="554"/>
      <c r="TDP13" s="554"/>
      <c r="TDQ13" s="554"/>
      <c r="TDR13" s="554"/>
      <c r="TDS13" s="554"/>
      <c r="TDT13" s="554"/>
      <c r="TDU13" s="554"/>
      <c r="TDV13" s="554"/>
      <c r="TDW13" s="554"/>
      <c r="TDX13" s="554"/>
      <c r="TDY13" s="554"/>
      <c r="TDZ13" s="554"/>
      <c r="TEA13" s="554"/>
      <c r="TEB13" s="554"/>
      <c r="TEC13" s="554"/>
      <c r="TED13" s="554"/>
      <c r="TEE13" s="554"/>
      <c r="TEF13" s="554"/>
      <c r="TEG13" s="554"/>
      <c r="TEH13" s="554"/>
      <c r="TEI13" s="554"/>
      <c r="TEJ13" s="554"/>
      <c r="TEK13" s="554"/>
      <c r="TEL13" s="554"/>
      <c r="TEM13" s="554"/>
      <c r="TEN13" s="554"/>
      <c r="TEO13" s="554"/>
      <c r="TEP13" s="554"/>
      <c r="TEQ13" s="554"/>
      <c r="TER13" s="554"/>
      <c r="TES13" s="554"/>
      <c r="TET13" s="554"/>
      <c r="TEU13" s="554"/>
      <c r="TEV13" s="554"/>
      <c r="TEW13" s="554"/>
      <c r="TEX13" s="554"/>
      <c r="TEY13" s="554"/>
      <c r="TEZ13" s="554"/>
      <c r="TFA13" s="554"/>
      <c r="TFB13" s="554"/>
      <c r="TFC13" s="554"/>
      <c r="TFD13" s="554"/>
      <c r="TFE13" s="554"/>
      <c r="TFF13" s="554"/>
      <c r="TFG13" s="554"/>
      <c r="TFH13" s="554"/>
      <c r="TFI13" s="554"/>
      <c r="TFJ13" s="554"/>
      <c r="TFK13" s="554"/>
      <c r="TFL13" s="554"/>
      <c r="TFM13" s="554"/>
      <c r="TFN13" s="554"/>
      <c r="TFO13" s="554"/>
      <c r="TFP13" s="554"/>
      <c r="TFQ13" s="554"/>
      <c r="TFR13" s="554"/>
      <c r="TFS13" s="554"/>
      <c r="TFT13" s="554"/>
      <c r="TFU13" s="554"/>
      <c r="TFV13" s="554"/>
      <c r="TFW13" s="554"/>
      <c r="TFX13" s="554"/>
      <c r="TFY13" s="554"/>
      <c r="TFZ13" s="554"/>
      <c r="TGA13" s="554"/>
      <c r="TGB13" s="554"/>
      <c r="TGC13" s="554"/>
      <c r="TGD13" s="554"/>
      <c r="TGE13" s="554"/>
      <c r="TGF13" s="554"/>
      <c r="TGG13" s="554"/>
      <c r="TGH13" s="554"/>
      <c r="TGI13" s="554"/>
      <c r="TGJ13" s="554"/>
      <c r="TGK13" s="554"/>
      <c r="TGL13" s="554"/>
      <c r="TGM13" s="554"/>
      <c r="TGN13" s="554"/>
      <c r="TGO13" s="554"/>
      <c r="TGP13" s="554"/>
      <c r="TGQ13" s="554"/>
      <c r="TGR13" s="554"/>
      <c r="TGS13" s="554"/>
      <c r="TGT13" s="554"/>
      <c r="TGU13" s="554"/>
      <c r="TGV13" s="554"/>
      <c r="TGW13" s="554"/>
      <c r="TGX13" s="554"/>
      <c r="TGY13" s="554"/>
      <c r="TGZ13" s="554"/>
      <c r="THA13" s="554"/>
      <c r="THB13" s="554"/>
      <c r="THC13" s="554"/>
      <c r="THD13" s="554"/>
      <c r="THE13" s="554"/>
      <c r="THF13" s="554"/>
      <c r="THG13" s="554"/>
      <c r="THH13" s="554"/>
      <c r="THI13" s="554"/>
      <c r="THJ13" s="554"/>
      <c r="THK13" s="554"/>
      <c r="THL13" s="554"/>
      <c r="THM13" s="554"/>
      <c r="THN13" s="554"/>
      <c r="THO13" s="554"/>
      <c r="THP13" s="554"/>
      <c r="THQ13" s="554"/>
      <c r="THR13" s="554"/>
      <c r="THS13" s="554"/>
      <c r="THT13" s="554"/>
      <c r="THU13" s="554"/>
      <c r="THV13" s="554"/>
      <c r="THW13" s="554"/>
      <c r="THX13" s="554"/>
      <c r="THY13" s="554"/>
      <c r="THZ13" s="554"/>
      <c r="TIA13" s="554"/>
      <c r="TIB13" s="554"/>
      <c r="TIC13" s="554"/>
      <c r="TID13" s="554"/>
      <c r="TIE13" s="554"/>
      <c r="TIF13" s="554"/>
      <c r="TIG13" s="554"/>
      <c r="TIH13" s="554"/>
      <c r="TII13" s="554"/>
      <c r="TIJ13" s="554"/>
      <c r="TIK13" s="554"/>
      <c r="TIL13" s="554"/>
      <c r="TIM13" s="554"/>
      <c r="TIN13" s="554"/>
      <c r="TIO13" s="554"/>
      <c r="TIP13" s="554"/>
      <c r="TIQ13" s="554"/>
      <c r="TIR13" s="554"/>
      <c r="TIS13" s="554"/>
      <c r="TIT13" s="554"/>
      <c r="TIU13" s="554"/>
      <c r="TIV13" s="554"/>
      <c r="TIW13" s="554"/>
      <c r="TIX13" s="554"/>
      <c r="TIY13" s="554"/>
      <c r="TIZ13" s="554"/>
      <c r="TJA13" s="554"/>
      <c r="TJB13" s="554"/>
      <c r="TJC13" s="554"/>
      <c r="TJD13" s="554"/>
      <c r="TJE13" s="554"/>
      <c r="TJF13" s="554"/>
      <c r="TJG13" s="554"/>
      <c r="TJH13" s="554"/>
      <c r="TJI13" s="554"/>
      <c r="TJJ13" s="554"/>
      <c r="TJK13" s="554"/>
      <c r="TJL13" s="554"/>
      <c r="TJM13" s="554"/>
      <c r="TJN13" s="554"/>
      <c r="TJO13" s="554"/>
      <c r="TJP13" s="554"/>
      <c r="TJQ13" s="554"/>
      <c r="TJR13" s="554"/>
      <c r="TJS13" s="554"/>
      <c r="TJT13" s="554"/>
      <c r="TJU13" s="554"/>
      <c r="TJV13" s="554"/>
      <c r="TJW13" s="554"/>
      <c r="TJX13" s="554"/>
      <c r="TJY13" s="554"/>
      <c r="TJZ13" s="554"/>
      <c r="TKA13" s="554"/>
      <c r="TKB13" s="554"/>
      <c r="TKC13" s="554"/>
      <c r="TKD13" s="554"/>
      <c r="TKE13" s="554"/>
      <c r="TKF13" s="554"/>
      <c r="TKG13" s="554"/>
      <c r="TKH13" s="554"/>
      <c r="TKI13" s="554"/>
      <c r="TKJ13" s="554"/>
      <c r="TKK13" s="554"/>
      <c r="TKL13" s="554"/>
      <c r="TKM13" s="554"/>
      <c r="TKN13" s="554"/>
      <c r="TKO13" s="554"/>
      <c r="TKP13" s="554"/>
      <c r="TKQ13" s="554"/>
      <c r="TKR13" s="554"/>
      <c r="TKS13" s="554"/>
      <c r="TKT13" s="554"/>
      <c r="TKU13" s="554"/>
      <c r="TKV13" s="554"/>
      <c r="TKW13" s="554"/>
      <c r="TKX13" s="554"/>
      <c r="TKY13" s="554"/>
      <c r="TKZ13" s="554"/>
      <c r="TLA13" s="554"/>
      <c r="TLB13" s="554"/>
      <c r="TLC13" s="554"/>
      <c r="TLD13" s="554"/>
      <c r="TLE13" s="554"/>
      <c r="TLF13" s="554"/>
      <c r="TLG13" s="554"/>
      <c r="TLH13" s="554"/>
      <c r="TLI13" s="554"/>
      <c r="TLJ13" s="554"/>
      <c r="TLK13" s="554"/>
      <c r="TLL13" s="554"/>
      <c r="TLM13" s="554"/>
      <c r="TLN13" s="554"/>
      <c r="TLO13" s="554"/>
      <c r="TLP13" s="554"/>
      <c r="TLQ13" s="554"/>
      <c r="TLR13" s="554"/>
      <c r="TLS13" s="554"/>
      <c r="TLT13" s="554"/>
      <c r="TLU13" s="554"/>
      <c r="TLV13" s="554"/>
      <c r="TLW13" s="554"/>
      <c r="TLX13" s="554"/>
      <c r="TLY13" s="554"/>
      <c r="TLZ13" s="554"/>
      <c r="TMA13" s="554"/>
      <c r="TMB13" s="554"/>
      <c r="TMC13" s="554"/>
      <c r="TMD13" s="554"/>
      <c r="TME13" s="554"/>
      <c r="TMF13" s="554"/>
      <c r="TMG13" s="554"/>
      <c r="TMH13" s="554"/>
      <c r="TMI13" s="554"/>
      <c r="TMJ13" s="554"/>
      <c r="TMK13" s="554"/>
      <c r="TML13" s="554"/>
      <c r="TMM13" s="554"/>
      <c r="TMN13" s="554"/>
      <c r="TMO13" s="554"/>
      <c r="TMP13" s="554"/>
      <c r="TMQ13" s="554"/>
      <c r="TMR13" s="554"/>
      <c r="TMS13" s="554"/>
      <c r="TMT13" s="554"/>
      <c r="TMU13" s="554"/>
      <c r="TMV13" s="554"/>
      <c r="TMW13" s="554"/>
      <c r="TMX13" s="554"/>
      <c r="TMY13" s="554"/>
      <c r="TMZ13" s="554"/>
      <c r="TNA13" s="554"/>
      <c r="TNB13" s="554"/>
      <c r="TNC13" s="554"/>
      <c r="TND13" s="554"/>
      <c r="TNE13" s="554"/>
      <c r="TNF13" s="554"/>
      <c r="TNG13" s="554"/>
      <c r="TNH13" s="554"/>
      <c r="TNI13" s="554"/>
      <c r="TNJ13" s="554"/>
      <c r="TNK13" s="554"/>
      <c r="TNL13" s="554"/>
      <c r="TNM13" s="554"/>
      <c r="TNN13" s="554"/>
      <c r="TNO13" s="554"/>
      <c r="TNP13" s="554"/>
      <c r="TNQ13" s="554"/>
      <c r="TNR13" s="554"/>
      <c r="TNS13" s="554"/>
      <c r="TNT13" s="554"/>
      <c r="TNU13" s="554"/>
      <c r="TNV13" s="554"/>
      <c r="TNW13" s="554"/>
      <c r="TNX13" s="554"/>
      <c r="TNY13" s="554"/>
      <c r="TNZ13" s="554"/>
      <c r="TOA13" s="554"/>
      <c r="TOB13" s="554"/>
      <c r="TOC13" s="554"/>
      <c r="TOD13" s="554"/>
      <c r="TOE13" s="554"/>
      <c r="TOF13" s="554"/>
      <c r="TOG13" s="554"/>
      <c r="TOH13" s="554"/>
      <c r="TOI13" s="554"/>
      <c r="TOJ13" s="554"/>
      <c r="TOK13" s="554"/>
      <c r="TOL13" s="554"/>
      <c r="TOM13" s="554"/>
      <c r="TON13" s="554"/>
      <c r="TOO13" s="554"/>
      <c r="TOP13" s="554"/>
      <c r="TOQ13" s="554"/>
      <c r="TOR13" s="554"/>
      <c r="TOS13" s="554"/>
      <c r="TOT13" s="554"/>
      <c r="TOU13" s="554"/>
      <c r="TOV13" s="554"/>
      <c r="TOW13" s="554"/>
      <c r="TOX13" s="554"/>
      <c r="TOY13" s="554"/>
      <c r="TOZ13" s="554"/>
      <c r="TPA13" s="554"/>
      <c r="TPB13" s="554"/>
      <c r="TPC13" s="554"/>
      <c r="TPD13" s="554"/>
      <c r="TPE13" s="554"/>
      <c r="TPF13" s="554"/>
      <c r="TPG13" s="554"/>
      <c r="TPH13" s="554"/>
      <c r="TPI13" s="554"/>
      <c r="TPJ13" s="554"/>
      <c r="TPK13" s="554"/>
      <c r="TPL13" s="554"/>
      <c r="TPM13" s="554"/>
      <c r="TPN13" s="554"/>
      <c r="TPO13" s="554"/>
      <c r="TPP13" s="554"/>
      <c r="TPQ13" s="554"/>
      <c r="TPR13" s="554"/>
      <c r="TPS13" s="554"/>
      <c r="TPT13" s="554"/>
      <c r="TPU13" s="554"/>
      <c r="TPV13" s="554"/>
      <c r="TPW13" s="554"/>
      <c r="TPX13" s="554"/>
      <c r="TPY13" s="554"/>
      <c r="TPZ13" s="554"/>
      <c r="TQA13" s="554"/>
      <c r="TQB13" s="554"/>
      <c r="TQC13" s="554"/>
      <c r="TQD13" s="554"/>
      <c r="TQE13" s="554"/>
      <c r="TQF13" s="554"/>
      <c r="TQG13" s="554"/>
      <c r="TQH13" s="554"/>
      <c r="TQI13" s="554"/>
      <c r="TQJ13" s="554"/>
      <c r="TQK13" s="554"/>
      <c r="TQL13" s="554"/>
      <c r="TQM13" s="554"/>
      <c r="TQN13" s="554"/>
      <c r="TQO13" s="554"/>
      <c r="TQP13" s="554"/>
      <c r="TQQ13" s="554"/>
      <c r="TQR13" s="554"/>
      <c r="TQS13" s="554"/>
      <c r="TQT13" s="554"/>
      <c r="TQU13" s="554"/>
      <c r="TQV13" s="554"/>
      <c r="TQW13" s="554"/>
      <c r="TQX13" s="554"/>
      <c r="TQY13" s="554"/>
      <c r="TQZ13" s="554"/>
      <c r="TRA13" s="554"/>
      <c r="TRB13" s="554"/>
      <c r="TRC13" s="554"/>
      <c r="TRD13" s="554"/>
      <c r="TRE13" s="554"/>
      <c r="TRF13" s="554"/>
      <c r="TRG13" s="554"/>
      <c r="TRH13" s="554"/>
      <c r="TRI13" s="554"/>
      <c r="TRJ13" s="554"/>
      <c r="TRK13" s="554"/>
      <c r="TRL13" s="554"/>
      <c r="TRM13" s="554"/>
      <c r="TRN13" s="554"/>
      <c r="TRO13" s="554"/>
      <c r="TRP13" s="554"/>
      <c r="TRQ13" s="554"/>
      <c r="TRR13" s="554"/>
      <c r="TRS13" s="554"/>
      <c r="TRT13" s="554"/>
      <c r="TRU13" s="554"/>
      <c r="TRV13" s="554"/>
      <c r="TRW13" s="554"/>
      <c r="TRX13" s="554"/>
      <c r="TRY13" s="554"/>
      <c r="TRZ13" s="554"/>
      <c r="TSA13" s="554"/>
      <c r="TSB13" s="554"/>
      <c r="TSC13" s="554"/>
      <c r="TSD13" s="554"/>
      <c r="TSE13" s="554"/>
      <c r="TSF13" s="554"/>
      <c r="TSG13" s="554"/>
      <c r="TSH13" s="554"/>
      <c r="TSI13" s="554"/>
      <c r="TSJ13" s="554"/>
      <c r="TSK13" s="554"/>
      <c r="TSL13" s="554"/>
      <c r="TSM13" s="554"/>
      <c r="TSN13" s="554"/>
      <c r="TSO13" s="554"/>
      <c r="TSP13" s="554"/>
      <c r="TSQ13" s="554"/>
      <c r="TSR13" s="554"/>
      <c r="TSS13" s="554"/>
      <c r="TST13" s="554"/>
      <c r="TSU13" s="554"/>
      <c r="TSV13" s="554"/>
      <c r="TSW13" s="554"/>
      <c r="TSX13" s="554"/>
      <c r="TSY13" s="554"/>
      <c r="TSZ13" s="554"/>
      <c r="TTA13" s="554"/>
      <c r="TTB13" s="554"/>
      <c r="TTC13" s="554"/>
      <c r="TTD13" s="554"/>
      <c r="TTE13" s="554"/>
      <c r="TTF13" s="554"/>
      <c r="TTG13" s="554"/>
      <c r="TTH13" s="554"/>
      <c r="TTI13" s="554"/>
      <c r="TTJ13" s="554"/>
      <c r="TTK13" s="554"/>
      <c r="TTL13" s="554"/>
      <c r="TTM13" s="554"/>
      <c r="TTN13" s="554"/>
      <c r="TTO13" s="554"/>
      <c r="TTP13" s="554"/>
      <c r="TTQ13" s="554"/>
      <c r="TTR13" s="554"/>
      <c r="TTS13" s="554"/>
      <c r="TTT13" s="554"/>
      <c r="TTU13" s="554"/>
      <c r="TTV13" s="554"/>
      <c r="TTW13" s="554"/>
      <c r="TTX13" s="554"/>
      <c r="TTY13" s="554"/>
      <c r="TTZ13" s="554"/>
      <c r="TUA13" s="554"/>
      <c r="TUB13" s="554"/>
      <c r="TUC13" s="554"/>
      <c r="TUD13" s="554"/>
      <c r="TUE13" s="554"/>
      <c r="TUF13" s="554"/>
      <c r="TUG13" s="554"/>
      <c r="TUH13" s="554"/>
      <c r="TUI13" s="554"/>
      <c r="TUJ13" s="554"/>
      <c r="TUK13" s="554"/>
      <c r="TUL13" s="554"/>
      <c r="TUM13" s="554"/>
      <c r="TUN13" s="554"/>
      <c r="TUO13" s="554"/>
      <c r="TUP13" s="554"/>
      <c r="TUQ13" s="554"/>
      <c r="TUR13" s="554"/>
      <c r="TUS13" s="554"/>
      <c r="TUT13" s="554"/>
      <c r="TUU13" s="554"/>
      <c r="TUV13" s="554"/>
      <c r="TUW13" s="554"/>
      <c r="TUX13" s="554"/>
      <c r="TUY13" s="554"/>
      <c r="TUZ13" s="554"/>
      <c r="TVA13" s="554"/>
      <c r="TVB13" s="554"/>
      <c r="TVC13" s="554"/>
      <c r="TVD13" s="554"/>
      <c r="TVE13" s="554"/>
      <c r="TVF13" s="554"/>
      <c r="TVG13" s="554"/>
      <c r="TVH13" s="554"/>
      <c r="TVI13" s="554"/>
      <c r="TVJ13" s="554"/>
      <c r="TVK13" s="554"/>
      <c r="TVL13" s="554"/>
      <c r="TVM13" s="554"/>
      <c r="TVN13" s="554"/>
      <c r="TVO13" s="554"/>
      <c r="TVP13" s="554"/>
      <c r="TVQ13" s="554"/>
      <c r="TVR13" s="554"/>
      <c r="TVS13" s="554"/>
      <c r="TVT13" s="554"/>
      <c r="TVU13" s="554"/>
      <c r="TVV13" s="554"/>
      <c r="TVW13" s="554"/>
      <c r="TVX13" s="554"/>
      <c r="TVY13" s="554"/>
      <c r="TVZ13" s="554"/>
      <c r="TWA13" s="554"/>
      <c r="TWB13" s="554"/>
      <c r="TWC13" s="554"/>
      <c r="TWD13" s="554"/>
      <c r="TWE13" s="554"/>
      <c r="TWF13" s="554"/>
      <c r="TWG13" s="554"/>
      <c r="TWH13" s="554"/>
      <c r="TWI13" s="554"/>
      <c r="TWJ13" s="554"/>
      <c r="TWK13" s="554"/>
      <c r="TWL13" s="554"/>
      <c r="TWM13" s="554"/>
      <c r="TWN13" s="554"/>
      <c r="TWO13" s="554"/>
      <c r="TWP13" s="554"/>
      <c r="TWQ13" s="554"/>
      <c r="TWR13" s="554"/>
      <c r="TWS13" s="554"/>
      <c r="TWT13" s="554"/>
      <c r="TWU13" s="554"/>
      <c r="TWV13" s="554"/>
      <c r="TWW13" s="554"/>
      <c r="TWX13" s="554"/>
      <c r="TWY13" s="554"/>
      <c r="TWZ13" s="554"/>
      <c r="TXA13" s="554"/>
      <c r="TXB13" s="554"/>
      <c r="TXC13" s="554"/>
      <c r="TXD13" s="554"/>
      <c r="TXE13" s="554"/>
      <c r="TXF13" s="554"/>
      <c r="TXG13" s="554"/>
      <c r="TXH13" s="554"/>
      <c r="TXI13" s="554"/>
      <c r="TXJ13" s="554"/>
      <c r="TXK13" s="554"/>
      <c r="TXL13" s="554"/>
      <c r="TXM13" s="554"/>
      <c r="TXN13" s="554"/>
      <c r="TXO13" s="554"/>
      <c r="TXP13" s="554"/>
      <c r="TXQ13" s="554"/>
      <c r="TXR13" s="554"/>
      <c r="TXS13" s="554"/>
      <c r="TXT13" s="554"/>
      <c r="TXU13" s="554"/>
      <c r="TXV13" s="554"/>
      <c r="TXW13" s="554"/>
      <c r="TXX13" s="554"/>
      <c r="TXY13" s="554"/>
      <c r="TXZ13" s="554"/>
      <c r="TYA13" s="554"/>
      <c r="TYB13" s="554"/>
      <c r="TYC13" s="554"/>
      <c r="TYD13" s="554"/>
      <c r="TYE13" s="554"/>
      <c r="TYF13" s="554"/>
      <c r="TYG13" s="554"/>
      <c r="TYH13" s="554"/>
      <c r="TYI13" s="554"/>
      <c r="TYJ13" s="554"/>
      <c r="TYK13" s="554"/>
      <c r="TYL13" s="554"/>
      <c r="TYM13" s="554"/>
      <c r="TYN13" s="554"/>
      <c r="TYO13" s="554"/>
      <c r="TYP13" s="554"/>
      <c r="TYQ13" s="554"/>
      <c r="TYR13" s="554"/>
      <c r="TYS13" s="554"/>
      <c r="TYT13" s="554"/>
      <c r="TYU13" s="554"/>
      <c r="TYV13" s="554"/>
      <c r="TYW13" s="554"/>
      <c r="TYX13" s="554"/>
      <c r="TYY13" s="554"/>
      <c r="TYZ13" s="554"/>
      <c r="TZA13" s="554"/>
      <c r="TZB13" s="554"/>
      <c r="TZC13" s="554"/>
      <c r="TZD13" s="554"/>
      <c r="TZE13" s="554"/>
      <c r="TZF13" s="554"/>
      <c r="TZG13" s="554"/>
      <c r="TZH13" s="554"/>
      <c r="TZI13" s="554"/>
      <c r="TZJ13" s="554"/>
      <c r="TZK13" s="554"/>
      <c r="TZL13" s="554"/>
      <c r="TZM13" s="554"/>
      <c r="TZN13" s="554"/>
      <c r="TZO13" s="554"/>
      <c r="TZP13" s="554"/>
      <c r="TZQ13" s="554"/>
      <c r="TZR13" s="554"/>
      <c r="TZS13" s="554"/>
      <c r="TZT13" s="554"/>
      <c r="TZU13" s="554"/>
      <c r="TZV13" s="554"/>
      <c r="TZW13" s="554"/>
      <c r="TZX13" s="554"/>
      <c r="TZY13" s="554"/>
      <c r="TZZ13" s="554"/>
      <c r="UAA13" s="554"/>
      <c r="UAB13" s="554"/>
      <c r="UAC13" s="554"/>
      <c r="UAD13" s="554"/>
      <c r="UAE13" s="554"/>
      <c r="UAF13" s="554"/>
      <c r="UAG13" s="554"/>
      <c r="UAH13" s="554"/>
      <c r="UAI13" s="554"/>
      <c r="UAJ13" s="554"/>
      <c r="UAK13" s="554"/>
      <c r="UAL13" s="554"/>
      <c r="UAM13" s="554"/>
      <c r="UAN13" s="554"/>
      <c r="UAO13" s="554"/>
      <c r="UAP13" s="554"/>
      <c r="UAQ13" s="554"/>
      <c r="UAR13" s="554"/>
      <c r="UAS13" s="554"/>
      <c r="UAT13" s="554"/>
      <c r="UAU13" s="554"/>
      <c r="UAV13" s="554"/>
      <c r="UAW13" s="554"/>
      <c r="UAX13" s="554"/>
      <c r="UAY13" s="554"/>
      <c r="UAZ13" s="554"/>
      <c r="UBA13" s="554"/>
      <c r="UBB13" s="554"/>
      <c r="UBC13" s="554"/>
      <c r="UBD13" s="554"/>
      <c r="UBE13" s="554"/>
      <c r="UBF13" s="554"/>
      <c r="UBG13" s="554"/>
      <c r="UBH13" s="554"/>
      <c r="UBI13" s="554"/>
      <c r="UBJ13" s="554"/>
      <c r="UBK13" s="554"/>
      <c r="UBL13" s="554"/>
      <c r="UBM13" s="554"/>
      <c r="UBN13" s="554"/>
      <c r="UBO13" s="554"/>
      <c r="UBP13" s="554"/>
      <c r="UBQ13" s="554"/>
      <c r="UBR13" s="554"/>
      <c r="UBS13" s="554"/>
      <c r="UBT13" s="554"/>
      <c r="UBU13" s="554"/>
      <c r="UBV13" s="554"/>
      <c r="UBW13" s="554"/>
      <c r="UBX13" s="554"/>
      <c r="UBY13" s="554"/>
      <c r="UBZ13" s="554"/>
      <c r="UCA13" s="554"/>
      <c r="UCB13" s="554"/>
      <c r="UCC13" s="554"/>
      <c r="UCD13" s="554"/>
      <c r="UCE13" s="554"/>
      <c r="UCF13" s="554"/>
      <c r="UCG13" s="554"/>
      <c r="UCH13" s="554"/>
      <c r="UCI13" s="554"/>
      <c r="UCJ13" s="554"/>
      <c r="UCK13" s="554"/>
      <c r="UCL13" s="554"/>
      <c r="UCM13" s="554"/>
      <c r="UCN13" s="554"/>
      <c r="UCO13" s="554"/>
      <c r="UCP13" s="554"/>
      <c r="UCQ13" s="554"/>
      <c r="UCR13" s="554"/>
      <c r="UCS13" s="554"/>
      <c r="UCT13" s="554"/>
      <c r="UCU13" s="554"/>
      <c r="UCV13" s="554"/>
      <c r="UCW13" s="554"/>
      <c r="UCX13" s="554"/>
      <c r="UCY13" s="554"/>
      <c r="UCZ13" s="554"/>
      <c r="UDA13" s="554"/>
      <c r="UDB13" s="554"/>
      <c r="UDC13" s="554"/>
      <c r="UDD13" s="554"/>
      <c r="UDE13" s="554"/>
      <c r="UDF13" s="554"/>
      <c r="UDG13" s="554"/>
      <c r="UDH13" s="554"/>
      <c r="UDI13" s="554"/>
      <c r="UDJ13" s="554"/>
      <c r="UDK13" s="554"/>
      <c r="UDL13" s="554"/>
      <c r="UDM13" s="554"/>
      <c r="UDN13" s="554"/>
      <c r="UDO13" s="554"/>
      <c r="UDP13" s="554"/>
      <c r="UDQ13" s="554"/>
      <c r="UDR13" s="554"/>
      <c r="UDS13" s="554"/>
      <c r="UDT13" s="554"/>
      <c r="UDU13" s="554"/>
      <c r="UDV13" s="554"/>
      <c r="UDW13" s="554"/>
      <c r="UDX13" s="554"/>
      <c r="UDY13" s="554"/>
      <c r="UDZ13" s="554"/>
      <c r="UEA13" s="554"/>
      <c r="UEB13" s="554"/>
      <c r="UEC13" s="554"/>
      <c r="UED13" s="554"/>
      <c r="UEE13" s="554"/>
      <c r="UEF13" s="554"/>
      <c r="UEG13" s="554"/>
      <c r="UEH13" s="554"/>
      <c r="UEI13" s="554"/>
      <c r="UEJ13" s="554"/>
      <c r="UEK13" s="554"/>
      <c r="UEL13" s="554"/>
      <c r="UEM13" s="554"/>
      <c r="UEN13" s="554"/>
      <c r="UEO13" s="554"/>
      <c r="UEP13" s="554"/>
      <c r="UEQ13" s="554"/>
      <c r="UER13" s="554"/>
      <c r="UES13" s="554"/>
      <c r="UET13" s="554"/>
      <c r="UEU13" s="554"/>
      <c r="UEV13" s="554"/>
      <c r="UEW13" s="554"/>
      <c r="UEX13" s="554"/>
      <c r="UEY13" s="554"/>
      <c r="UEZ13" s="554"/>
      <c r="UFA13" s="554"/>
      <c r="UFB13" s="554"/>
      <c r="UFC13" s="554"/>
      <c r="UFD13" s="554"/>
      <c r="UFE13" s="554"/>
      <c r="UFF13" s="554"/>
      <c r="UFG13" s="554"/>
      <c r="UFH13" s="554"/>
      <c r="UFI13" s="554"/>
      <c r="UFJ13" s="554"/>
      <c r="UFK13" s="554"/>
      <c r="UFL13" s="554"/>
      <c r="UFM13" s="554"/>
      <c r="UFN13" s="554"/>
      <c r="UFO13" s="554"/>
      <c r="UFP13" s="554"/>
      <c r="UFQ13" s="554"/>
      <c r="UFR13" s="554"/>
      <c r="UFS13" s="554"/>
      <c r="UFT13" s="554"/>
      <c r="UFU13" s="554"/>
      <c r="UFV13" s="554"/>
      <c r="UFW13" s="554"/>
      <c r="UFX13" s="554"/>
      <c r="UFY13" s="554"/>
      <c r="UFZ13" s="554"/>
      <c r="UGA13" s="554"/>
      <c r="UGB13" s="554"/>
      <c r="UGC13" s="554"/>
      <c r="UGD13" s="554"/>
      <c r="UGE13" s="554"/>
      <c r="UGF13" s="554"/>
      <c r="UGG13" s="554"/>
      <c r="UGH13" s="554"/>
      <c r="UGI13" s="554"/>
      <c r="UGJ13" s="554"/>
      <c r="UGK13" s="554"/>
      <c r="UGL13" s="554"/>
      <c r="UGM13" s="554"/>
      <c r="UGN13" s="554"/>
      <c r="UGO13" s="554"/>
      <c r="UGP13" s="554"/>
      <c r="UGQ13" s="554"/>
      <c r="UGR13" s="554"/>
      <c r="UGS13" s="554"/>
      <c r="UGT13" s="554"/>
      <c r="UGU13" s="554"/>
      <c r="UGV13" s="554"/>
      <c r="UGW13" s="554"/>
      <c r="UGX13" s="554"/>
      <c r="UGY13" s="554"/>
      <c r="UGZ13" s="554"/>
      <c r="UHA13" s="554"/>
      <c r="UHB13" s="554"/>
      <c r="UHC13" s="554"/>
      <c r="UHD13" s="554"/>
      <c r="UHE13" s="554"/>
      <c r="UHF13" s="554"/>
      <c r="UHG13" s="554"/>
      <c r="UHH13" s="554"/>
      <c r="UHI13" s="554"/>
      <c r="UHJ13" s="554"/>
      <c r="UHK13" s="554"/>
      <c r="UHL13" s="554"/>
      <c r="UHM13" s="554"/>
      <c r="UHN13" s="554"/>
      <c r="UHO13" s="554"/>
      <c r="UHP13" s="554"/>
      <c r="UHQ13" s="554"/>
      <c r="UHR13" s="554"/>
      <c r="UHS13" s="554"/>
      <c r="UHT13" s="554"/>
      <c r="UHU13" s="554"/>
      <c r="UHV13" s="554"/>
      <c r="UHW13" s="554"/>
      <c r="UHX13" s="554"/>
      <c r="UHY13" s="554"/>
      <c r="UHZ13" s="554"/>
      <c r="UIA13" s="554"/>
      <c r="UIB13" s="554"/>
      <c r="UIC13" s="554"/>
      <c r="UID13" s="554"/>
      <c r="UIE13" s="554"/>
      <c r="UIF13" s="554"/>
      <c r="UIG13" s="554"/>
      <c r="UIH13" s="554"/>
      <c r="UII13" s="554"/>
      <c r="UIJ13" s="554"/>
      <c r="UIK13" s="554"/>
      <c r="UIL13" s="554"/>
      <c r="UIM13" s="554"/>
      <c r="UIN13" s="554"/>
      <c r="UIO13" s="554"/>
      <c r="UIP13" s="554"/>
      <c r="UIQ13" s="554"/>
      <c r="UIR13" s="554"/>
      <c r="UIS13" s="554"/>
      <c r="UIT13" s="554"/>
      <c r="UIU13" s="554"/>
      <c r="UIV13" s="554"/>
      <c r="UIW13" s="554"/>
      <c r="UIX13" s="554"/>
      <c r="UIY13" s="554"/>
      <c r="UIZ13" s="554"/>
      <c r="UJA13" s="554"/>
      <c r="UJB13" s="554"/>
      <c r="UJC13" s="554"/>
      <c r="UJD13" s="554"/>
      <c r="UJE13" s="554"/>
      <c r="UJF13" s="554"/>
      <c r="UJG13" s="554"/>
      <c r="UJH13" s="554"/>
      <c r="UJI13" s="554"/>
      <c r="UJJ13" s="554"/>
      <c r="UJK13" s="554"/>
      <c r="UJL13" s="554"/>
      <c r="UJM13" s="554"/>
      <c r="UJN13" s="554"/>
      <c r="UJO13" s="554"/>
      <c r="UJP13" s="554"/>
      <c r="UJQ13" s="554"/>
      <c r="UJR13" s="554"/>
      <c r="UJS13" s="554"/>
      <c r="UJT13" s="554"/>
      <c r="UJU13" s="554"/>
      <c r="UJV13" s="554"/>
      <c r="UJW13" s="554"/>
      <c r="UJX13" s="554"/>
      <c r="UJY13" s="554"/>
      <c r="UJZ13" s="554"/>
      <c r="UKA13" s="554"/>
      <c r="UKB13" s="554"/>
      <c r="UKC13" s="554"/>
      <c r="UKD13" s="554"/>
      <c r="UKE13" s="554"/>
      <c r="UKF13" s="554"/>
      <c r="UKG13" s="554"/>
      <c r="UKH13" s="554"/>
      <c r="UKI13" s="554"/>
      <c r="UKJ13" s="554"/>
      <c r="UKK13" s="554"/>
      <c r="UKL13" s="554"/>
      <c r="UKM13" s="554"/>
      <c r="UKN13" s="554"/>
      <c r="UKO13" s="554"/>
      <c r="UKP13" s="554"/>
      <c r="UKQ13" s="554"/>
      <c r="UKR13" s="554"/>
      <c r="UKS13" s="554"/>
      <c r="UKT13" s="554"/>
      <c r="UKU13" s="554"/>
      <c r="UKV13" s="554"/>
      <c r="UKW13" s="554"/>
      <c r="UKX13" s="554"/>
      <c r="UKY13" s="554"/>
      <c r="UKZ13" s="554"/>
      <c r="ULA13" s="554"/>
      <c r="ULB13" s="554"/>
      <c r="ULC13" s="554"/>
      <c r="ULD13" s="554"/>
      <c r="ULE13" s="554"/>
      <c r="ULF13" s="554"/>
      <c r="ULG13" s="554"/>
      <c r="ULH13" s="554"/>
      <c r="ULI13" s="554"/>
      <c r="ULJ13" s="554"/>
      <c r="ULK13" s="554"/>
      <c r="ULL13" s="554"/>
      <c r="ULM13" s="554"/>
      <c r="ULN13" s="554"/>
      <c r="ULO13" s="554"/>
      <c r="ULP13" s="554"/>
      <c r="ULQ13" s="554"/>
      <c r="ULR13" s="554"/>
      <c r="ULS13" s="554"/>
      <c r="ULT13" s="554"/>
      <c r="ULU13" s="554"/>
      <c r="ULV13" s="554"/>
      <c r="ULW13" s="554"/>
      <c r="ULX13" s="554"/>
      <c r="ULY13" s="554"/>
      <c r="ULZ13" s="554"/>
      <c r="UMA13" s="554"/>
      <c r="UMB13" s="554"/>
      <c r="UMC13" s="554"/>
      <c r="UMD13" s="554"/>
      <c r="UME13" s="554"/>
      <c r="UMF13" s="554"/>
      <c r="UMG13" s="554"/>
      <c r="UMH13" s="554"/>
      <c r="UMI13" s="554"/>
      <c r="UMJ13" s="554"/>
      <c r="UMK13" s="554"/>
      <c r="UML13" s="554"/>
      <c r="UMM13" s="554"/>
      <c r="UMN13" s="554"/>
      <c r="UMO13" s="554"/>
      <c r="UMP13" s="554"/>
      <c r="UMQ13" s="554"/>
      <c r="UMR13" s="554"/>
      <c r="UMS13" s="554"/>
      <c r="UMT13" s="554"/>
      <c r="UMU13" s="554"/>
      <c r="UMV13" s="554"/>
      <c r="UMW13" s="554"/>
      <c r="UMX13" s="554"/>
      <c r="UMY13" s="554"/>
      <c r="UMZ13" s="554"/>
      <c r="UNA13" s="554"/>
      <c r="UNB13" s="554"/>
      <c r="UNC13" s="554"/>
      <c r="UND13" s="554"/>
      <c r="UNE13" s="554"/>
      <c r="UNF13" s="554"/>
      <c r="UNG13" s="554"/>
      <c r="UNH13" s="554"/>
      <c r="UNI13" s="554"/>
      <c r="UNJ13" s="554"/>
      <c r="UNK13" s="554"/>
      <c r="UNL13" s="554"/>
      <c r="UNM13" s="554"/>
      <c r="UNN13" s="554"/>
      <c r="UNO13" s="554"/>
      <c r="UNP13" s="554"/>
      <c r="UNQ13" s="554"/>
      <c r="UNR13" s="554"/>
      <c r="UNS13" s="554"/>
      <c r="UNT13" s="554"/>
      <c r="UNU13" s="554"/>
      <c r="UNV13" s="554"/>
      <c r="UNW13" s="554"/>
      <c r="UNX13" s="554"/>
      <c r="UNY13" s="554"/>
      <c r="UNZ13" s="554"/>
      <c r="UOA13" s="554"/>
      <c r="UOB13" s="554"/>
      <c r="UOC13" s="554"/>
      <c r="UOD13" s="554"/>
      <c r="UOE13" s="554"/>
      <c r="UOF13" s="554"/>
      <c r="UOG13" s="554"/>
      <c r="UOH13" s="554"/>
      <c r="UOI13" s="554"/>
      <c r="UOJ13" s="554"/>
      <c r="UOK13" s="554"/>
      <c r="UOL13" s="554"/>
      <c r="UOM13" s="554"/>
      <c r="UON13" s="554"/>
      <c r="UOO13" s="554"/>
      <c r="UOP13" s="554"/>
      <c r="UOQ13" s="554"/>
      <c r="UOR13" s="554"/>
      <c r="UOS13" s="554"/>
      <c r="UOT13" s="554"/>
      <c r="UOU13" s="554"/>
      <c r="UOV13" s="554"/>
      <c r="UOW13" s="554"/>
      <c r="UOX13" s="554"/>
      <c r="UOY13" s="554"/>
      <c r="UOZ13" s="554"/>
      <c r="UPA13" s="554"/>
      <c r="UPB13" s="554"/>
      <c r="UPC13" s="554"/>
      <c r="UPD13" s="554"/>
      <c r="UPE13" s="554"/>
      <c r="UPF13" s="554"/>
      <c r="UPG13" s="554"/>
      <c r="UPH13" s="554"/>
      <c r="UPI13" s="554"/>
      <c r="UPJ13" s="554"/>
      <c r="UPK13" s="554"/>
      <c r="UPL13" s="554"/>
      <c r="UPM13" s="554"/>
      <c r="UPN13" s="554"/>
      <c r="UPO13" s="554"/>
      <c r="UPP13" s="554"/>
      <c r="UPQ13" s="554"/>
      <c r="UPR13" s="554"/>
      <c r="UPS13" s="554"/>
      <c r="UPT13" s="554"/>
      <c r="UPU13" s="554"/>
      <c r="UPV13" s="554"/>
      <c r="UPW13" s="554"/>
      <c r="UPX13" s="554"/>
      <c r="UPY13" s="554"/>
      <c r="UPZ13" s="554"/>
      <c r="UQA13" s="554"/>
      <c r="UQB13" s="554"/>
      <c r="UQC13" s="554"/>
      <c r="UQD13" s="554"/>
      <c r="UQE13" s="554"/>
      <c r="UQF13" s="554"/>
      <c r="UQG13" s="554"/>
      <c r="UQH13" s="554"/>
      <c r="UQI13" s="554"/>
      <c r="UQJ13" s="554"/>
      <c r="UQK13" s="554"/>
      <c r="UQL13" s="554"/>
      <c r="UQM13" s="554"/>
      <c r="UQN13" s="554"/>
      <c r="UQO13" s="554"/>
      <c r="UQP13" s="554"/>
      <c r="UQQ13" s="554"/>
      <c r="UQR13" s="554"/>
      <c r="UQS13" s="554"/>
      <c r="UQT13" s="554"/>
      <c r="UQU13" s="554"/>
      <c r="UQV13" s="554"/>
      <c r="UQW13" s="554"/>
      <c r="UQX13" s="554"/>
      <c r="UQY13" s="554"/>
      <c r="UQZ13" s="554"/>
      <c r="URA13" s="554"/>
      <c r="URB13" s="554"/>
      <c r="URC13" s="554"/>
      <c r="URD13" s="554"/>
      <c r="URE13" s="554"/>
      <c r="URF13" s="554"/>
      <c r="URG13" s="554"/>
      <c r="URH13" s="554"/>
      <c r="URI13" s="554"/>
      <c r="URJ13" s="554"/>
      <c r="URK13" s="554"/>
      <c r="URL13" s="554"/>
      <c r="URM13" s="554"/>
      <c r="URN13" s="554"/>
      <c r="URO13" s="554"/>
      <c r="URP13" s="554"/>
      <c r="URQ13" s="554"/>
      <c r="URR13" s="554"/>
      <c r="URS13" s="554"/>
      <c r="URT13" s="554"/>
      <c r="URU13" s="554"/>
      <c r="URV13" s="554"/>
      <c r="URW13" s="554"/>
      <c r="URX13" s="554"/>
      <c r="URY13" s="554"/>
      <c r="URZ13" s="554"/>
      <c r="USA13" s="554"/>
      <c r="USB13" s="554"/>
      <c r="USC13" s="554"/>
      <c r="USD13" s="554"/>
      <c r="USE13" s="554"/>
      <c r="USF13" s="554"/>
      <c r="USG13" s="554"/>
      <c r="USH13" s="554"/>
      <c r="USI13" s="554"/>
      <c r="USJ13" s="554"/>
      <c r="USK13" s="554"/>
      <c r="USL13" s="554"/>
      <c r="USM13" s="554"/>
      <c r="USN13" s="554"/>
      <c r="USO13" s="554"/>
      <c r="USP13" s="554"/>
      <c r="USQ13" s="554"/>
      <c r="USR13" s="554"/>
      <c r="USS13" s="554"/>
      <c r="UST13" s="554"/>
      <c r="USU13" s="554"/>
      <c r="USV13" s="554"/>
      <c r="USW13" s="554"/>
      <c r="USX13" s="554"/>
      <c r="USY13" s="554"/>
      <c r="USZ13" s="554"/>
      <c r="UTA13" s="554"/>
      <c r="UTB13" s="554"/>
      <c r="UTC13" s="554"/>
      <c r="UTD13" s="554"/>
      <c r="UTE13" s="554"/>
      <c r="UTF13" s="554"/>
      <c r="UTG13" s="554"/>
      <c r="UTH13" s="554"/>
      <c r="UTI13" s="554"/>
      <c r="UTJ13" s="554"/>
      <c r="UTK13" s="554"/>
      <c r="UTL13" s="554"/>
      <c r="UTM13" s="554"/>
      <c r="UTN13" s="554"/>
      <c r="UTO13" s="554"/>
      <c r="UTP13" s="554"/>
      <c r="UTQ13" s="554"/>
      <c r="UTR13" s="554"/>
      <c r="UTS13" s="554"/>
      <c r="UTT13" s="554"/>
      <c r="UTU13" s="554"/>
      <c r="UTV13" s="554"/>
      <c r="UTW13" s="554"/>
      <c r="UTX13" s="554"/>
      <c r="UTY13" s="554"/>
      <c r="UTZ13" s="554"/>
      <c r="UUA13" s="554"/>
      <c r="UUB13" s="554"/>
      <c r="UUC13" s="554"/>
      <c r="UUD13" s="554"/>
      <c r="UUE13" s="554"/>
      <c r="UUF13" s="554"/>
      <c r="UUG13" s="554"/>
      <c r="UUH13" s="554"/>
      <c r="UUI13" s="554"/>
      <c r="UUJ13" s="554"/>
      <c r="UUK13" s="554"/>
      <c r="UUL13" s="554"/>
      <c r="UUM13" s="554"/>
      <c r="UUN13" s="554"/>
      <c r="UUO13" s="554"/>
      <c r="UUP13" s="554"/>
      <c r="UUQ13" s="554"/>
      <c r="UUR13" s="554"/>
      <c r="UUS13" s="554"/>
      <c r="UUT13" s="554"/>
      <c r="UUU13" s="554"/>
      <c r="UUV13" s="554"/>
      <c r="UUW13" s="554"/>
      <c r="UUX13" s="554"/>
      <c r="UUY13" s="554"/>
      <c r="UUZ13" s="554"/>
      <c r="UVA13" s="554"/>
      <c r="UVB13" s="554"/>
      <c r="UVC13" s="554"/>
      <c r="UVD13" s="554"/>
      <c r="UVE13" s="554"/>
      <c r="UVF13" s="554"/>
      <c r="UVG13" s="554"/>
      <c r="UVH13" s="554"/>
      <c r="UVI13" s="554"/>
      <c r="UVJ13" s="554"/>
      <c r="UVK13" s="554"/>
      <c r="UVL13" s="554"/>
      <c r="UVM13" s="554"/>
      <c r="UVN13" s="554"/>
      <c r="UVO13" s="554"/>
      <c r="UVP13" s="554"/>
      <c r="UVQ13" s="554"/>
      <c r="UVR13" s="554"/>
      <c r="UVS13" s="554"/>
      <c r="UVT13" s="554"/>
      <c r="UVU13" s="554"/>
      <c r="UVV13" s="554"/>
      <c r="UVW13" s="554"/>
      <c r="UVX13" s="554"/>
      <c r="UVY13" s="554"/>
      <c r="UVZ13" s="554"/>
      <c r="UWA13" s="554"/>
      <c r="UWB13" s="554"/>
      <c r="UWC13" s="554"/>
      <c r="UWD13" s="554"/>
      <c r="UWE13" s="554"/>
      <c r="UWF13" s="554"/>
      <c r="UWG13" s="554"/>
      <c r="UWH13" s="554"/>
      <c r="UWI13" s="554"/>
      <c r="UWJ13" s="554"/>
      <c r="UWK13" s="554"/>
      <c r="UWL13" s="554"/>
      <c r="UWM13" s="554"/>
      <c r="UWN13" s="554"/>
      <c r="UWO13" s="554"/>
      <c r="UWP13" s="554"/>
      <c r="UWQ13" s="554"/>
      <c r="UWR13" s="554"/>
      <c r="UWS13" s="554"/>
      <c r="UWT13" s="554"/>
      <c r="UWU13" s="554"/>
      <c r="UWV13" s="554"/>
      <c r="UWW13" s="554"/>
      <c r="UWX13" s="554"/>
      <c r="UWY13" s="554"/>
      <c r="UWZ13" s="554"/>
      <c r="UXA13" s="554"/>
      <c r="UXB13" s="554"/>
      <c r="UXC13" s="554"/>
      <c r="UXD13" s="554"/>
      <c r="UXE13" s="554"/>
      <c r="UXF13" s="554"/>
      <c r="UXG13" s="554"/>
      <c r="UXH13" s="554"/>
      <c r="UXI13" s="554"/>
      <c r="UXJ13" s="554"/>
      <c r="UXK13" s="554"/>
      <c r="UXL13" s="554"/>
      <c r="UXM13" s="554"/>
      <c r="UXN13" s="554"/>
      <c r="UXO13" s="554"/>
      <c r="UXP13" s="554"/>
      <c r="UXQ13" s="554"/>
      <c r="UXR13" s="554"/>
      <c r="UXS13" s="554"/>
      <c r="UXT13" s="554"/>
      <c r="UXU13" s="554"/>
      <c r="UXV13" s="554"/>
      <c r="UXW13" s="554"/>
      <c r="UXX13" s="554"/>
      <c r="UXY13" s="554"/>
      <c r="UXZ13" s="554"/>
      <c r="UYA13" s="554"/>
      <c r="UYB13" s="554"/>
      <c r="UYC13" s="554"/>
      <c r="UYD13" s="554"/>
      <c r="UYE13" s="554"/>
      <c r="UYF13" s="554"/>
      <c r="UYG13" s="554"/>
      <c r="UYH13" s="554"/>
      <c r="UYI13" s="554"/>
      <c r="UYJ13" s="554"/>
      <c r="UYK13" s="554"/>
      <c r="UYL13" s="554"/>
      <c r="UYM13" s="554"/>
      <c r="UYN13" s="554"/>
      <c r="UYO13" s="554"/>
      <c r="UYP13" s="554"/>
      <c r="UYQ13" s="554"/>
      <c r="UYR13" s="554"/>
      <c r="UYS13" s="554"/>
      <c r="UYT13" s="554"/>
      <c r="UYU13" s="554"/>
      <c r="UYV13" s="554"/>
      <c r="UYW13" s="554"/>
      <c r="UYX13" s="554"/>
      <c r="UYY13" s="554"/>
      <c r="UYZ13" s="554"/>
      <c r="UZA13" s="554"/>
      <c r="UZB13" s="554"/>
      <c r="UZC13" s="554"/>
      <c r="UZD13" s="554"/>
      <c r="UZE13" s="554"/>
      <c r="UZF13" s="554"/>
      <c r="UZG13" s="554"/>
      <c r="UZH13" s="554"/>
      <c r="UZI13" s="554"/>
      <c r="UZJ13" s="554"/>
      <c r="UZK13" s="554"/>
      <c r="UZL13" s="554"/>
      <c r="UZM13" s="554"/>
      <c r="UZN13" s="554"/>
      <c r="UZO13" s="554"/>
      <c r="UZP13" s="554"/>
      <c r="UZQ13" s="554"/>
      <c r="UZR13" s="554"/>
      <c r="UZS13" s="554"/>
      <c r="UZT13" s="554"/>
      <c r="UZU13" s="554"/>
      <c r="UZV13" s="554"/>
      <c r="UZW13" s="554"/>
      <c r="UZX13" s="554"/>
      <c r="UZY13" s="554"/>
      <c r="UZZ13" s="554"/>
      <c r="VAA13" s="554"/>
      <c r="VAB13" s="554"/>
      <c r="VAC13" s="554"/>
      <c r="VAD13" s="554"/>
      <c r="VAE13" s="554"/>
      <c r="VAF13" s="554"/>
      <c r="VAG13" s="554"/>
      <c r="VAH13" s="554"/>
      <c r="VAI13" s="554"/>
      <c r="VAJ13" s="554"/>
      <c r="VAK13" s="554"/>
      <c r="VAL13" s="554"/>
      <c r="VAM13" s="554"/>
      <c r="VAN13" s="554"/>
      <c r="VAO13" s="554"/>
      <c r="VAP13" s="554"/>
      <c r="VAQ13" s="554"/>
      <c r="VAR13" s="554"/>
      <c r="VAS13" s="554"/>
      <c r="VAT13" s="554"/>
      <c r="VAU13" s="554"/>
      <c r="VAV13" s="554"/>
      <c r="VAW13" s="554"/>
      <c r="VAX13" s="554"/>
      <c r="VAY13" s="554"/>
      <c r="VAZ13" s="554"/>
      <c r="VBA13" s="554"/>
      <c r="VBB13" s="554"/>
      <c r="VBC13" s="554"/>
      <c r="VBD13" s="554"/>
      <c r="VBE13" s="554"/>
      <c r="VBF13" s="554"/>
      <c r="VBG13" s="554"/>
      <c r="VBH13" s="554"/>
      <c r="VBI13" s="554"/>
      <c r="VBJ13" s="554"/>
      <c r="VBK13" s="554"/>
      <c r="VBL13" s="554"/>
      <c r="VBM13" s="554"/>
      <c r="VBN13" s="554"/>
      <c r="VBO13" s="554"/>
      <c r="VBP13" s="554"/>
      <c r="VBQ13" s="554"/>
      <c r="VBR13" s="554"/>
      <c r="VBS13" s="554"/>
      <c r="VBT13" s="554"/>
      <c r="VBU13" s="554"/>
      <c r="VBV13" s="554"/>
      <c r="VBW13" s="554"/>
      <c r="VBX13" s="554"/>
      <c r="VBY13" s="554"/>
      <c r="VBZ13" s="554"/>
      <c r="VCA13" s="554"/>
      <c r="VCB13" s="554"/>
      <c r="VCC13" s="554"/>
      <c r="VCD13" s="554"/>
      <c r="VCE13" s="554"/>
      <c r="VCF13" s="554"/>
      <c r="VCG13" s="554"/>
      <c r="VCH13" s="554"/>
      <c r="VCI13" s="554"/>
      <c r="VCJ13" s="554"/>
      <c r="VCK13" s="554"/>
      <c r="VCL13" s="554"/>
      <c r="VCM13" s="554"/>
      <c r="VCN13" s="554"/>
      <c r="VCO13" s="554"/>
      <c r="VCP13" s="554"/>
      <c r="VCQ13" s="554"/>
      <c r="VCR13" s="554"/>
      <c r="VCS13" s="554"/>
      <c r="VCT13" s="554"/>
      <c r="VCU13" s="554"/>
      <c r="VCV13" s="554"/>
      <c r="VCW13" s="554"/>
      <c r="VCX13" s="554"/>
      <c r="VCY13" s="554"/>
      <c r="VCZ13" s="554"/>
      <c r="VDA13" s="554"/>
      <c r="VDB13" s="554"/>
      <c r="VDC13" s="554"/>
      <c r="VDD13" s="554"/>
      <c r="VDE13" s="554"/>
      <c r="VDF13" s="554"/>
      <c r="VDG13" s="554"/>
      <c r="VDH13" s="554"/>
      <c r="VDI13" s="554"/>
      <c r="VDJ13" s="554"/>
      <c r="VDK13" s="554"/>
      <c r="VDL13" s="554"/>
      <c r="VDM13" s="554"/>
      <c r="VDN13" s="554"/>
      <c r="VDO13" s="554"/>
      <c r="VDP13" s="554"/>
      <c r="VDQ13" s="554"/>
      <c r="VDR13" s="554"/>
      <c r="VDS13" s="554"/>
      <c r="VDT13" s="554"/>
      <c r="VDU13" s="554"/>
      <c r="VDV13" s="554"/>
      <c r="VDW13" s="554"/>
      <c r="VDX13" s="554"/>
      <c r="VDY13" s="554"/>
      <c r="VDZ13" s="554"/>
      <c r="VEA13" s="554"/>
      <c r="VEB13" s="554"/>
      <c r="VEC13" s="554"/>
      <c r="VED13" s="554"/>
      <c r="VEE13" s="554"/>
      <c r="VEF13" s="554"/>
      <c r="VEG13" s="554"/>
      <c r="VEH13" s="554"/>
      <c r="VEI13" s="554"/>
      <c r="VEJ13" s="554"/>
      <c r="VEK13" s="554"/>
      <c r="VEL13" s="554"/>
      <c r="VEM13" s="554"/>
      <c r="VEN13" s="554"/>
      <c r="VEO13" s="554"/>
      <c r="VEP13" s="554"/>
      <c r="VEQ13" s="554"/>
      <c r="VER13" s="554"/>
      <c r="VES13" s="554"/>
      <c r="VET13" s="554"/>
      <c r="VEU13" s="554"/>
      <c r="VEV13" s="554"/>
      <c r="VEW13" s="554"/>
      <c r="VEX13" s="554"/>
      <c r="VEY13" s="554"/>
      <c r="VEZ13" s="554"/>
      <c r="VFA13" s="554"/>
      <c r="VFB13" s="554"/>
      <c r="VFC13" s="554"/>
      <c r="VFD13" s="554"/>
      <c r="VFE13" s="554"/>
      <c r="VFF13" s="554"/>
      <c r="VFG13" s="554"/>
      <c r="VFH13" s="554"/>
      <c r="VFI13" s="554"/>
      <c r="VFJ13" s="554"/>
      <c r="VFK13" s="554"/>
      <c r="VFL13" s="554"/>
      <c r="VFM13" s="554"/>
      <c r="VFN13" s="554"/>
      <c r="VFO13" s="554"/>
      <c r="VFP13" s="554"/>
      <c r="VFQ13" s="554"/>
      <c r="VFR13" s="554"/>
      <c r="VFS13" s="554"/>
      <c r="VFT13" s="554"/>
      <c r="VFU13" s="554"/>
      <c r="VFV13" s="554"/>
      <c r="VFW13" s="554"/>
      <c r="VFX13" s="554"/>
      <c r="VFY13" s="554"/>
      <c r="VFZ13" s="554"/>
      <c r="VGA13" s="554"/>
      <c r="VGB13" s="554"/>
      <c r="VGC13" s="554"/>
      <c r="VGD13" s="554"/>
      <c r="VGE13" s="554"/>
      <c r="VGF13" s="554"/>
      <c r="VGG13" s="554"/>
      <c r="VGH13" s="554"/>
      <c r="VGI13" s="554"/>
      <c r="VGJ13" s="554"/>
      <c r="VGK13" s="554"/>
      <c r="VGL13" s="554"/>
      <c r="VGM13" s="554"/>
      <c r="VGN13" s="554"/>
      <c r="VGO13" s="554"/>
      <c r="VGP13" s="554"/>
      <c r="VGQ13" s="554"/>
      <c r="VGR13" s="554"/>
      <c r="VGS13" s="554"/>
      <c r="VGT13" s="554"/>
      <c r="VGU13" s="554"/>
      <c r="VGV13" s="554"/>
      <c r="VGW13" s="554"/>
      <c r="VGX13" s="554"/>
      <c r="VGY13" s="554"/>
      <c r="VGZ13" s="554"/>
      <c r="VHA13" s="554"/>
      <c r="VHB13" s="554"/>
      <c r="VHC13" s="554"/>
      <c r="VHD13" s="554"/>
      <c r="VHE13" s="554"/>
      <c r="VHF13" s="554"/>
      <c r="VHG13" s="554"/>
      <c r="VHH13" s="554"/>
      <c r="VHI13" s="554"/>
      <c r="VHJ13" s="554"/>
      <c r="VHK13" s="554"/>
      <c r="VHL13" s="554"/>
      <c r="VHM13" s="554"/>
      <c r="VHN13" s="554"/>
      <c r="VHO13" s="554"/>
      <c r="VHP13" s="554"/>
      <c r="VHQ13" s="554"/>
      <c r="VHR13" s="554"/>
      <c r="VHS13" s="554"/>
      <c r="VHT13" s="554"/>
      <c r="VHU13" s="554"/>
      <c r="VHV13" s="554"/>
      <c r="VHW13" s="554"/>
      <c r="VHX13" s="554"/>
      <c r="VHY13" s="554"/>
      <c r="VHZ13" s="554"/>
      <c r="VIA13" s="554"/>
      <c r="VIB13" s="554"/>
      <c r="VIC13" s="554"/>
      <c r="VID13" s="554"/>
      <c r="VIE13" s="554"/>
      <c r="VIF13" s="554"/>
      <c r="VIG13" s="554"/>
      <c r="VIH13" s="554"/>
      <c r="VII13" s="554"/>
      <c r="VIJ13" s="554"/>
      <c r="VIK13" s="554"/>
      <c r="VIL13" s="554"/>
      <c r="VIM13" s="554"/>
      <c r="VIN13" s="554"/>
      <c r="VIO13" s="554"/>
      <c r="VIP13" s="554"/>
      <c r="VIQ13" s="554"/>
      <c r="VIR13" s="554"/>
      <c r="VIS13" s="554"/>
      <c r="VIT13" s="554"/>
      <c r="VIU13" s="554"/>
      <c r="VIV13" s="554"/>
      <c r="VIW13" s="554"/>
      <c r="VIX13" s="554"/>
      <c r="VIY13" s="554"/>
      <c r="VIZ13" s="554"/>
      <c r="VJA13" s="554"/>
      <c r="VJB13" s="554"/>
      <c r="VJC13" s="554"/>
      <c r="VJD13" s="554"/>
      <c r="VJE13" s="554"/>
      <c r="VJF13" s="554"/>
      <c r="VJG13" s="554"/>
      <c r="VJH13" s="554"/>
      <c r="VJI13" s="554"/>
      <c r="VJJ13" s="554"/>
      <c r="VJK13" s="554"/>
      <c r="VJL13" s="554"/>
      <c r="VJM13" s="554"/>
      <c r="VJN13" s="554"/>
      <c r="VJO13" s="554"/>
      <c r="VJP13" s="554"/>
      <c r="VJQ13" s="554"/>
      <c r="VJR13" s="554"/>
      <c r="VJS13" s="554"/>
      <c r="VJT13" s="554"/>
      <c r="VJU13" s="554"/>
      <c r="VJV13" s="554"/>
      <c r="VJW13" s="554"/>
      <c r="VJX13" s="554"/>
      <c r="VJY13" s="554"/>
      <c r="VJZ13" s="554"/>
      <c r="VKA13" s="554"/>
      <c r="VKB13" s="554"/>
      <c r="VKC13" s="554"/>
      <c r="VKD13" s="554"/>
      <c r="VKE13" s="554"/>
      <c r="VKF13" s="554"/>
      <c r="VKG13" s="554"/>
      <c r="VKH13" s="554"/>
      <c r="VKI13" s="554"/>
      <c r="VKJ13" s="554"/>
      <c r="VKK13" s="554"/>
      <c r="VKL13" s="554"/>
      <c r="VKM13" s="554"/>
      <c r="VKN13" s="554"/>
      <c r="VKO13" s="554"/>
      <c r="VKP13" s="554"/>
      <c r="VKQ13" s="554"/>
      <c r="VKR13" s="554"/>
      <c r="VKS13" s="554"/>
      <c r="VKT13" s="554"/>
      <c r="VKU13" s="554"/>
      <c r="VKV13" s="554"/>
      <c r="VKW13" s="554"/>
      <c r="VKX13" s="554"/>
      <c r="VKY13" s="554"/>
      <c r="VKZ13" s="554"/>
      <c r="VLA13" s="554"/>
      <c r="VLB13" s="554"/>
      <c r="VLC13" s="554"/>
      <c r="VLD13" s="554"/>
      <c r="VLE13" s="554"/>
      <c r="VLF13" s="554"/>
      <c r="VLG13" s="554"/>
      <c r="VLH13" s="554"/>
      <c r="VLI13" s="554"/>
      <c r="VLJ13" s="554"/>
      <c r="VLK13" s="554"/>
      <c r="VLL13" s="554"/>
      <c r="VLM13" s="554"/>
      <c r="VLN13" s="554"/>
      <c r="VLO13" s="554"/>
      <c r="VLP13" s="554"/>
      <c r="VLQ13" s="554"/>
      <c r="VLR13" s="554"/>
      <c r="VLS13" s="554"/>
      <c r="VLT13" s="554"/>
      <c r="VLU13" s="554"/>
      <c r="VLV13" s="554"/>
      <c r="VLW13" s="554"/>
      <c r="VLX13" s="554"/>
      <c r="VLY13" s="554"/>
      <c r="VLZ13" s="554"/>
      <c r="VMA13" s="554"/>
      <c r="VMB13" s="554"/>
      <c r="VMC13" s="554"/>
      <c r="VMD13" s="554"/>
      <c r="VME13" s="554"/>
      <c r="VMF13" s="554"/>
      <c r="VMG13" s="554"/>
      <c r="VMH13" s="554"/>
      <c r="VMI13" s="554"/>
      <c r="VMJ13" s="554"/>
      <c r="VMK13" s="554"/>
      <c r="VML13" s="554"/>
      <c r="VMM13" s="554"/>
      <c r="VMN13" s="554"/>
      <c r="VMO13" s="554"/>
      <c r="VMP13" s="554"/>
      <c r="VMQ13" s="554"/>
      <c r="VMR13" s="554"/>
      <c r="VMS13" s="554"/>
      <c r="VMT13" s="554"/>
      <c r="VMU13" s="554"/>
      <c r="VMV13" s="554"/>
      <c r="VMW13" s="554"/>
      <c r="VMX13" s="554"/>
      <c r="VMY13" s="554"/>
      <c r="VMZ13" s="554"/>
      <c r="VNA13" s="554"/>
      <c r="VNB13" s="554"/>
      <c r="VNC13" s="554"/>
      <c r="VND13" s="554"/>
      <c r="VNE13" s="554"/>
      <c r="VNF13" s="554"/>
      <c r="VNG13" s="554"/>
      <c r="VNH13" s="554"/>
      <c r="VNI13" s="554"/>
      <c r="VNJ13" s="554"/>
      <c r="VNK13" s="554"/>
      <c r="VNL13" s="554"/>
      <c r="VNM13" s="554"/>
      <c r="VNN13" s="554"/>
      <c r="VNO13" s="554"/>
      <c r="VNP13" s="554"/>
      <c r="VNQ13" s="554"/>
      <c r="VNR13" s="554"/>
      <c r="VNS13" s="554"/>
      <c r="VNT13" s="554"/>
      <c r="VNU13" s="554"/>
      <c r="VNV13" s="554"/>
      <c r="VNW13" s="554"/>
      <c r="VNX13" s="554"/>
      <c r="VNY13" s="554"/>
      <c r="VNZ13" s="554"/>
      <c r="VOA13" s="554"/>
      <c r="VOB13" s="554"/>
      <c r="VOC13" s="554"/>
      <c r="VOD13" s="554"/>
      <c r="VOE13" s="554"/>
      <c r="VOF13" s="554"/>
      <c r="VOG13" s="554"/>
      <c r="VOH13" s="554"/>
      <c r="VOI13" s="554"/>
      <c r="VOJ13" s="554"/>
      <c r="VOK13" s="554"/>
      <c r="VOL13" s="554"/>
      <c r="VOM13" s="554"/>
      <c r="VON13" s="554"/>
      <c r="VOO13" s="554"/>
      <c r="VOP13" s="554"/>
      <c r="VOQ13" s="554"/>
      <c r="VOR13" s="554"/>
      <c r="VOS13" s="554"/>
      <c r="VOT13" s="554"/>
      <c r="VOU13" s="554"/>
      <c r="VOV13" s="554"/>
      <c r="VOW13" s="554"/>
      <c r="VOX13" s="554"/>
      <c r="VOY13" s="554"/>
      <c r="VOZ13" s="554"/>
      <c r="VPA13" s="554"/>
      <c r="VPB13" s="554"/>
      <c r="VPC13" s="554"/>
      <c r="VPD13" s="554"/>
      <c r="VPE13" s="554"/>
      <c r="VPF13" s="554"/>
      <c r="VPG13" s="554"/>
      <c r="VPH13" s="554"/>
      <c r="VPI13" s="554"/>
      <c r="VPJ13" s="554"/>
      <c r="VPK13" s="554"/>
      <c r="VPL13" s="554"/>
      <c r="VPM13" s="554"/>
      <c r="VPN13" s="554"/>
      <c r="VPO13" s="554"/>
      <c r="VPP13" s="554"/>
      <c r="VPQ13" s="554"/>
      <c r="VPR13" s="554"/>
      <c r="VPS13" s="554"/>
      <c r="VPT13" s="554"/>
      <c r="VPU13" s="554"/>
      <c r="VPV13" s="554"/>
      <c r="VPW13" s="554"/>
      <c r="VPX13" s="554"/>
      <c r="VPY13" s="554"/>
      <c r="VPZ13" s="554"/>
      <c r="VQA13" s="554"/>
      <c r="VQB13" s="554"/>
      <c r="VQC13" s="554"/>
      <c r="VQD13" s="554"/>
      <c r="VQE13" s="554"/>
      <c r="VQF13" s="554"/>
      <c r="VQG13" s="554"/>
      <c r="VQH13" s="554"/>
      <c r="VQI13" s="554"/>
      <c r="VQJ13" s="554"/>
      <c r="VQK13" s="554"/>
      <c r="VQL13" s="554"/>
      <c r="VQM13" s="554"/>
      <c r="VQN13" s="554"/>
      <c r="VQO13" s="554"/>
      <c r="VQP13" s="554"/>
      <c r="VQQ13" s="554"/>
      <c r="VQR13" s="554"/>
      <c r="VQS13" s="554"/>
      <c r="VQT13" s="554"/>
      <c r="VQU13" s="554"/>
      <c r="VQV13" s="554"/>
      <c r="VQW13" s="554"/>
      <c r="VQX13" s="554"/>
      <c r="VQY13" s="554"/>
      <c r="VQZ13" s="554"/>
      <c r="VRA13" s="554"/>
      <c r="VRB13" s="554"/>
      <c r="VRC13" s="554"/>
      <c r="VRD13" s="554"/>
      <c r="VRE13" s="554"/>
      <c r="VRF13" s="554"/>
      <c r="VRG13" s="554"/>
      <c r="VRH13" s="554"/>
      <c r="VRI13" s="554"/>
      <c r="VRJ13" s="554"/>
      <c r="VRK13" s="554"/>
      <c r="VRL13" s="554"/>
      <c r="VRM13" s="554"/>
      <c r="VRN13" s="554"/>
      <c r="VRO13" s="554"/>
      <c r="VRP13" s="554"/>
      <c r="VRQ13" s="554"/>
      <c r="VRR13" s="554"/>
      <c r="VRS13" s="554"/>
      <c r="VRT13" s="554"/>
      <c r="VRU13" s="554"/>
      <c r="VRV13" s="554"/>
      <c r="VRW13" s="554"/>
      <c r="VRX13" s="554"/>
      <c r="VRY13" s="554"/>
      <c r="VRZ13" s="554"/>
      <c r="VSA13" s="554"/>
      <c r="VSB13" s="554"/>
      <c r="VSC13" s="554"/>
      <c r="VSD13" s="554"/>
      <c r="VSE13" s="554"/>
      <c r="VSF13" s="554"/>
      <c r="VSG13" s="554"/>
      <c r="VSH13" s="554"/>
      <c r="VSI13" s="554"/>
      <c r="VSJ13" s="554"/>
      <c r="VSK13" s="554"/>
      <c r="VSL13" s="554"/>
      <c r="VSM13" s="554"/>
      <c r="VSN13" s="554"/>
      <c r="VSO13" s="554"/>
      <c r="VSP13" s="554"/>
      <c r="VSQ13" s="554"/>
      <c r="VSR13" s="554"/>
      <c r="VSS13" s="554"/>
      <c r="VST13" s="554"/>
      <c r="VSU13" s="554"/>
      <c r="VSV13" s="554"/>
      <c r="VSW13" s="554"/>
      <c r="VSX13" s="554"/>
      <c r="VSY13" s="554"/>
      <c r="VSZ13" s="554"/>
      <c r="VTA13" s="554"/>
      <c r="VTB13" s="554"/>
      <c r="VTC13" s="554"/>
      <c r="VTD13" s="554"/>
      <c r="VTE13" s="554"/>
      <c r="VTF13" s="554"/>
      <c r="VTG13" s="554"/>
      <c r="VTH13" s="554"/>
      <c r="VTI13" s="554"/>
      <c r="VTJ13" s="554"/>
      <c r="VTK13" s="554"/>
      <c r="VTL13" s="554"/>
      <c r="VTM13" s="554"/>
      <c r="VTN13" s="554"/>
      <c r="VTO13" s="554"/>
      <c r="VTP13" s="554"/>
      <c r="VTQ13" s="554"/>
      <c r="VTR13" s="554"/>
      <c r="VTS13" s="554"/>
      <c r="VTT13" s="554"/>
      <c r="VTU13" s="554"/>
      <c r="VTV13" s="554"/>
      <c r="VTW13" s="554"/>
      <c r="VTX13" s="554"/>
      <c r="VTY13" s="554"/>
      <c r="VTZ13" s="554"/>
      <c r="VUA13" s="554"/>
      <c r="VUB13" s="554"/>
      <c r="VUC13" s="554"/>
      <c r="VUD13" s="554"/>
      <c r="VUE13" s="554"/>
      <c r="VUF13" s="554"/>
      <c r="VUG13" s="554"/>
      <c r="VUH13" s="554"/>
      <c r="VUI13" s="554"/>
      <c r="VUJ13" s="554"/>
      <c r="VUK13" s="554"/>
      <c r="VUL13" s="554"/>
      <c r="VUM13" s="554"/>
      <c r="VUN13" s="554"/>
      <c r="VUO13" s="554"/>
      <c r="VUP13" s="554"/>
      <c r="VUQ13" s="554"/>
      <c r="VUR13" s="554"/>
      <c r="VUS13" s="554"/>
      <c r="VUT13" s="554"/>
      <c r="VUU13" s="554"/>
      <c r="VUV13" s="554"/>
      <c r="VUW13" s="554"/>
      <c r="VUX13" s="554"/>
      <c r="VUY13" s="554"/>
      <c r="VUZ13" s="554"/>
      <c r="VVA13" s="554"/>
      <c r="VVB13" s="554"/>
      <c r="VVC13" s="554"/>
      <c r="VVD13" s="554"/>
      <c r="VVE13" s="554"/>
      <c r="VVF13" s="554"/>
      <c r="VVG13" s="554"/>
      <c r="VVH13" s="554"/>
      <c r="VVI13" s="554"/>
      <c r="VVJ13" s="554"/>
      <c r="VVK13" s="554"/>
      <c r="VVL13" s="554"/>
      <c r="VVM13" s="554"/>
      <c r="VVN13" s="554"/>
      <c r="VVO13" s="554"/>
      <c r="VVP13" s="554"/>
      <c r="VVQ13" s="554"/>
      <c r="VVR13" s="554"/>
      <c r="VVS13" s="554"/>
      <c r="VVT13" s="554"/>
      <c r="VVU13" s="554"/>
      <c r="VVV13" s="554"/>
      <c r="VVW13" s="554"/>
      <c r="VVX13" s="554"/>
      <c r="VVY13" s="554"/>
      <c r="VVZ13" s="554"/>
      <c r="VWA13" s="554"/>
      <c r="VWB13" s="554"/>
      <c r="VWC13" s="554"/>
      <c r="VWD13" s="554"/>
      <c r="VWE13" s="554"/>
      <c r="VWF13" s="554"/>
      <c r="VWG13" s="554"/>
      <c r="VWH13" s="554"/>
      <c r="VWI13" s="554"/>
      <c r="VWJ13" s="554"/>
      <c r="VWK13" s="554"/>
      <c r="VWL13" s="554"/>
      <c r="VWM13" s="554"/>
      <c r="VWN13" s="554"/>
      <c r="VWO13" s="554"/>
      <c r="VWP13" s="554"/>
      <c r="VWQ13" s="554"/>
      <c r="VWR13" s="554"/>
      <c r="VWS13" s="554"/>
      <c r="VWT13" s="554"/>
      <c r="VWU13" s="554"/>
      <c r="VWV13" s="554"/>
      <c r="VWW13" s="554"/>
      <c r="VWX13" s="554"/>
      <c r="VWY13" s="554"/>
      <c r="VWZ13" s="554"/>
      <c r="VXA13" s="554"/>
      <c r="VXB13" s="554"/>
      <c r="VXC13" s="554"/>
      <c r="VXD13" s="554"/>
      <c r="VXE13" s="554"/>
      <c r="VXF13" s="554"/>
      <c r="VXG13" s="554"/>
      <c r="VXH13" s="554"/>
      <c r="VXI13" s="554"/>
      <c r="VXJ13" s="554"/>
      <c r="VXK13" s="554"/>
      <c r="VXL13" s="554"/>
      <c r="VXM13" s="554"/>
      <c r="VXN13" s="554"/>
      <c r="VXO13" s="554"/>
      <c r="VXP13" s="554"/>
      <c r="VXQ13" s="554"/>
      <c r="VXR13" s="554"/>
      <c r="VXS13" s="554"/>
      <c r="VXT13" s="554"/>
      <c r="VXU13" s="554"/>
      <c r="VXV13" s="554"/>
      <c r="VXW13" s="554"/>
      <c r="VXX13" s="554"/>
      <c r="VXY13" s="554"/>
      <c r="VXZ13" s="554"/>
      <c r="VYA13" s="554"/>
      <c r="VYB13" s="554"/>
      <c r="VYC13" s="554"/>
      <c r="VYD13" s="554"/>
      <c r="VYE13" s="554"/>
      <c r="VYF13" s="554"/>
      <c r="VYG13" s="554"/>
      <c r="VYH13" s="554"/>
      <c r="VYI13" s="554"/>
      <c r="VYJ13" s="554"/>
      <c r="VYK13" s="554"/>
      <c r="VYL13" s="554"/>
      <c r="VYM13" s="554"/>
      <c r="VYN13" s="554"/>
      <c r="VYO13" s="554"/>
      <c r="VYP13" s="554"/>
      <c r="VYQ13" s="554"/>
      <c r="VYR13" s="554"/>
      <c r="VYS13" s="554"/>
      <c r="VYT13" s="554"/>
      <c r="VYU13" s="554"/>
      <c r="VYV13" s="554"/>
      <c r="VYW13" s="554"/>
      <c r="VYX13" s="554"/>
      <c r="VYY13" s="554"/>
      <c r="VYZ13" s="554"/>
      <c r="VZA13" s="554"/>
      <c r="VZB13" s="554"/>
      <c r="VZC13" s="554"/>
      <c r="VZD13" s="554"/>
      <c r="VZE13" s="554"/>
      <c r="VZF13" s="554"/>
      <c r="VZG13" s="554"/>
      <c r="VZH13" s="554"/>
      <c r="VZI13" s="554"/>
      <c r="VZJ13" s="554"/>
      <c r="VZK13" s="554"/>
      <c r="VZL13" s="554"/>
      <c r="VZM13" s="554"/>
      <c r="VZN13" s="554"/>
      <c r="VZO13" s="554"/>
      <c r="VZP13" s="554"/>
      <c r="VZQ13" s="554"/>
      <c r="VZR13" s="554"/>
      <c r="VZS13" s="554"/>
      <c r="VZT13" s="554"/>
      <c r="VZU13" s="554"/>
      <c r="VZV13" s="554"/>
      <c r="VZW13" s="554"/>
      <c r="VZX13" s="554"/>
      <c r="VZY13" s="554"/>
      <c r="VZZ13" s="554"/>
      <c r="WAA13" s="554"/>
      <c r="WAB13" s="554"/>
      <c r="WAC13" s="554"/>
      <c r="WAD13" s="554"/>
      <c r="WAE13" s="554"/>
      <c r="WAF13" s="554"/>
      <c r="WAG13" s="554"/>
      <c r="WAH13" s="554"/>
      <c r="WAI13" s="554"/>
      <c r="WAJ13" s="554"/>
      <c r="WAK13" s="554"/>
      <c r="WAL13" s="554"/>
      <c r="WAM13" s="554"/>
      <c r="WAN13" s="554"/>
      <c r="WAO13" s="554"/>
      <c r="WAP13" s="554"/>
      <c r="WAQ13" s="554"/>
      <c r="WAR13" s="554"/>
      <c r="WAS13" s="554"/>
      <c r="WAT13" s="554"/>
      <c r="WAU13" s="554"/>
      <c r="WAV13" s="554"/>
      <c r="WAW13" s="554"/>
      <c r="WAX13" s="554"/>
      <c r="WAY13" s="554"/>
      <c r="WAZ13" s="554"/>
      <c r="WBA13" s="554"/>
      <c r="WBB13" s="554"/>
      <c r="WBC13" s="554"/>
      <c r="WBD13" s="554"/>
      <c r="WBE13" s="554"/>
      <c r="WBF13" s="554"/>
      <c r="WBG13" s="554"/>
      <c r="WBH13" s="554"/>
      <c r="WBI13" s="554"/>
      <c r="WBJ13" s="554"/>
      <c r="WBK13" s="554"/>
      <c r="WBL13" s="554"/>
      <c r="WBM13" s="554"/>
      <c r="WBN13" s="554"/>
      <c r="WBO13" s="554"/>
      <c r="WBP13" s="554"/>
      <c r="WBQ13" s="554"/>
      <c r="WBR13" s="554"/>
      <c r="WBS13" s="554"/>
      <c r="WBT13" s="554"/>
      <c r="WBU13" s="554"/>
      <c r="WBV13" s="554"/>
      <c r="WBW13" s="554"/>
      <c r="WBX13" s="554"/>
      <c r="WBY13" s="554"/>
      <c r="WBZ13" s="554"/>
      <c r="WCA13" s="554"/>
      <c r="WCB13" s="554"/>
      <c r="WCC13" s="554"/>
      <c r="WCD13" s="554"/>
      <c r="WCE13" s="554"/>
      <c r="WCF13" s="554"/>
      <c r="WCG13" s="554"/>
      <c r="WCH13" s="554"/>
      <c r="WCI13" s="554"/>
      <c r="WCJ13" s="554"/>
      <c r="WCK13" s="554"/>
      <c r="WCL13" s="554"/>
      <c r="WCM13" s="554"/>
      <c r="WCN13" s="554"/>
      <c r="WCO13" s="554"/>
      <c r="WCP13" s="554"/>
      <c r="WCQ13" s="554"/>
      <c r="WCR13" s="554"/>
      <c r="WCS13" s="554"/>
      <c r="WCT13" s="554"/>
      <c r="WCU13" s="554"/>
      <c r="WCV13" s="554"/>
      <c r="WCW13" s="554"/>
      <c r="WCX13" s="554"/>
      <c r="WCY13" s="554"/>
      <c r="WCZ13" s="554"/>
      <c r="WDA13" s="554"/>
      <c r="WDB13" s="554"/>
      <c r="WDC13" s="554"/>
      <c r="WDD13" s="554"/>
      <c r="WDE13" s="554"/>
      <c r="WDF13" s="554"/>
      <c r="WDG13" s="554"/>
      <c r="WDH13" s="554"/>
      <c r="WDI13" s="554"/>
      <c r="WDJ13" s="554"/>
      <c r="WDK13" s="554"/>
      <c r="WDL13" s="554"/>
      <c r="WDM13" s="554"/>
      <c r="WDN13" s="554"/>
      <c r="WDO13" s="554"/>
      <c r="WDP13" s="554"/>
      <c r="WDQ13" s="554"/>
      <c r="WDR13" s="554"/>
      <c r="WDS13" s="554"/>
      <c r="WDT13" s="554"/>
      <c r="WDU13" s="554"/>
      <c r="WDV13" s="554"/>
      <c r="WDW13" s="554"/>
      <c r="WDX13" s="554"/>
      <c r="WDY13" s="554"/>
      <c r="WDZ13" s="554"/>
      <c r="WEA13" s="554"/>
      <c r="WEB13" s="554"/>
      <c r="WEC13" s="554"/>
      <c r="WED13" s="554"/>
      <c r="WEE13" s="554"/>
      <c r="WEF13" s="554"/>
      <c r="WEG13" s="554"/>
      <c r="WEH13" s="554"/>
      <c r="WEI13" s="554"/>
      <c r="WEJ13" s="554"/>
      <c r="WEK13" s="554"/>
      <c r="WEL13" s="554"/>
      <c r="WEM13" s="554"/>
      <c r="WEN13" s="554"/>
      <c r="WEO13" s="554"/>
      <c r="WEP13" s="554"/>
      <c r="WEQ13" s="554"/>
      <c r="WER13" s="554"/>
      <c r="WES13" s="554"/>
      <c r="WET13" s="554"/>
      <c r="WEU13" s="554"/>
      <c r="WEV13" s="554"/>
      <c r="WEW13" s="554"/>
      <c r="WEX13" s="554"/>
      <c r="WEY13" s="554"/>
      <c r="WEZ13" s="554"/>
      <c r="WFA13" s="554"/>
      <c r="WFB13" s="554"/>
      <c r="WFC13" s="554"/>
      <c r="WFD13" s="554"/>
      <c r="WFE13" s="554"/>
      <c r="WFF13" s="554"/>
      <c r="WFG13" s="554"/>
      <c r="WFH13" s="554"/>
      <c r="WFI13" s="554"/>
      <c r="WFJ13" s="554"/>
      <c r="WFK13" s="554"/>
      <c r="WFL13" s="554"/>
      <c r="WFM13" s="554"/>
      <c r="WFN13" s="554"/>
      <c r="WFO13" s="554"/>
      <c r="WFP13" s="554"/>
      <c r="WFQ13" s="554"/>
      <c r="WFR13" s="554"/>
      <c r="WFS13" s="554"/>
      <c r="WFT13" s="554"/>
      <c r="WFU13" s="554"/>
      <c r="WFV13" s="554"/>
      <c r="WFW13" s="554"/>
      <c r="WFX13" s="554"/>
      <c r="WFY13" s="554"/>
      <c r="WFZ13" s="554"/>
      <c r="WGA13" s="554"/>
      <c r="WGB13" s="554"/>
      <c r="WGC13" s="554"/>
      <c r="WGD13" s="554"/>
      <c r="WGE13" s="554"/>
      <c r="WGF13" s="554"/>
      <c r="WGG13" s="554"/>
      <c r="WGH13" s="554"/>
      <c r="WGI13" s="554"/>
      <c r="WGJ13" s="554"/>
      <c r="WGK13" s="554"/>
      <c r="WGL13" s="554"/>
      <c r="WGM13" s="554"/>
      <c r="WGN13" s="554"/>
      <c r="WGO13" s="554"/>
      <c r="WGP13" s="554"/>
      <c r="WGQ13" s="554"/>
      <c r="WGR13" s="554"/>
      <c r="WGS13" s="554"/>
      <c r="WGT13" s="554"/>
      <c r="WGU13" s="554"/>
      <c r="WGV13" s="554"/>
      <c r="WGW13" s="554"/>
      <c r="WGX13" s="554"/>
      <c r="WGY13" s="554"/>
      <c r="WGZ13" s="554"/>
      <c r="WHA13" s="554"/>
      <c r="WHB13" s="554"/>
      <c r="WHC13" s="554"/>
      <c r="WHD13" s="554"/>
      <c r="WHE13" s="554"/>
      <c r="WHF13" s="554"/>
      <c r="WHG13" s="554"/>
      <c r="WHH13" s="554"/>
      <c r="WHI13" s="554"/>
      <c r="WHJ13" s="554"/>
      <c r="WHK13" s="554"/>
      <c r="WHL13" s="554"/>
      <c r="WHM13" s="554"/>
      <c r="WHN13" s="554"/>
      <c r="WHO13" s="554"/>
      <c r="WHP13" s="554"/>
      <c r="WHQ13" s="554"/>
      <c r="WHR13" s="554"/>
      <c r="WHS13" s="554"/>
      <c r="WHT13" s="554"/>
      <c r="WHU13" s="554"/>
      <c r="WHV13" s="554"/>
      <c r="WHW13" s="554"/>
      <c r="WHX13" s="554"/>
      <c r="WHY13" s="554"/>
      <c r="WHZ13" s="554"/>
      <c r="WIA13" s="554"/>
      <c r="WIB13" s="554"/>
      <c r="WIC13" s="554"/>
      <c r="WID13" s="554"/>
      <c r="WIE13" s="554"/>
      <c r="WIF13" s="554"/>
      <c r="WIG13" s="554"/>
      <c r="WIH13" s="554"/>
      <c r="WII13" s="554"/>
      <c r="WIJ13" s="554"/>
      <c r="WIK13" s="554"/>
      <c r="WIL13" s="554"/>
      <c r="WIM13" s="554"/>
      <c r="WIN13" s="554"/>
      <c r="WIO13" s="554"/>
      <c r="WIP13" s="554"/>
      <c r="WIQ13" s="554"/>
      <c r="WIR13" s="554"/>
      <c r="WIS13" s="554"/>
      <c r="WIT13" s="554"/>
      <c r="WIU13" s="554"/>
      <c r="WIV13" s="554"/>
      <c r="WIW13" s="554"/>
      <c r="WIX13" s="554"/>
      <c r="WIY13" s="554"/>
      <c r="WIZ13" s="554"/>
      <c r="WJA13" s="554"/>
      <c r="WJB13" s="554"/>
      <c r="WJC13" s="554"/>
      <c r="WJD13" s="554"/>
      <c r="WJE13" s="554"/>
      <c r="WJF13" s="554"/>
      <c r="WJG13" s="554"/>
      <c r="WJH13" s="554"/>
      <c r="WJI13" s="554"/>
      <c r="WJJ13" s="554"/>
      <c r="WJK13" s="554"/>
      <c r="WJL13" s="554"/>
      <c r="WJM13" s="554"/>
      <c r="WJN13" s="554"/>
      <c r="WJO13" s="554"/>
      <c r="WJP13" s="554"/>
      <c r="WJQ13" s="554"/>
      <c r="WJR13" s="554"/>
      <c r="WJS13" s="554"/>
      <c r="WJT13" s="554"/>
      <c r="WJU13" s="554"/>
      <c r="WJV13" s="554"/>
      <c r="WJW13" s="554"/>
      <c r="WJX13" s="554"/>
      <c r="WJY13" s="554"/>
      <c r="WJZ13" s="554"/>
      <c r="WKA13" s="554"/>
      <c r="WKB13" s="554"/>
      <c r="WKC13" s="554"/>
      <c r="WKD13" s="554"/>
      <c r="WKE13" s="554"/>
      <c r="WKF13" s="554"/>
      <c r="WKG13" s="554"/>
      <c r="WKH13" s="554"/>
      <c r="WKI13" s="554"/>
      <c r="WKJ13" s="554"/>
      <c r="WKK13" s="554"/>
      <c r="WKL13" s="554"/>
      <c r="WKM13" s="554"/>
      <c r="WKN13" s="554"/>
      <c r="WKO13" s="554"/>
      <c r="WKP13" s="554"/>
      <c r="WKQ13" s="554"/>
      <c r="WKR13" s="554"/>
      <c r="WKS13" s="554"/>
      <c r="WKT13" s="554"/>
      <c r="WKU13" s="554"/>
      <c r="WKV13" s="554"/>
      <c r="WKW13" s="554"/>
      <c r="WKX13" s="554"/>
      <c r="WKY13" s="554"/>
      <c r="WKZ13" s="554"/>
      <c r="WLA13" s="554"/>
      <c r="WLB13" s="554"/>
      <c r="WLC13" s="554"/>
      <c r="WLD13" s="554"/>
      <c r="WLE13" s="554"/>
      <c r="WLF13" s="554"/>
      <c r="WLG13" s="554"/>
      <c r="WLH13" s="554"/>
      <c r="WLI13" s="554"/>
      <c r="WLJ13" s="554"/>
      <c r="WLK13" s="554"/>
      <c r="WLL13" s="554"/>
      <c r="WLM13" s="554"/>
      <c r="WLN13" s="554"/>
      <c r="WLO13" s="554"/>
      <c r="WLP13" s="554"/>
      <c r="WLQ13" s="554"/>
      <c r="WLR13" s="554"/>
      <c r="WLS13" s="554"/>
      <c r="WLT13" s="554"/>
      <c r="WLU13" s="554"/>
      <c r="WLV13" s="554"/>
      <c r="WLW13" s="554"/>
      <c r="WLX13" s="554"/>
      <c r="WLY13" s="554"/>
      <c r="WLZ13" s="554"/>
      <c r="WMA13" s="554"/>
      <c r="WMB13" s="554"/>
      <c r="WMC13" s="554"/>
      <c r="WMD13" s="554"/>
      <c r="WME13" s="554"/>
      <c r="WMF13" s="554"/>
      <c r="WMG13" s="554"/>
      <c r="WMH13" s="554"/>
      <c r="WMI13" s="554"/>
      <c r="WMJ13" s="554"/>
      <c r="WMK13" s="554"/>
      <c r="WML13" s="554"/>
      <c r="WMM13" s="554"/>
      <c r="WMN13" s="554"/>
      <c r="WMO13" s="554"/>
      <c r="WMP13" s="554"/>
      <c r="WMQ13" s="554"/>
      <c r="WMR13" s="554"/>
      <c r="WMS13" s="554"/>
      <c r="WMT13" s="554"/>
      <c r="WMU13" s="554"/>
      <c r="WMV13" s="554"/>
      <c r="WMW13" s="554"/>
      <c r="WMX13" s="554"/>
      <c r="WMY13" s="554"/>
      <c r="WMZ13" s="554"/>
      <c r="WNA13" s="554"/>
      <c r="WNB13" s="554"/>
      <c r="WNC13" s="554"/>
      <c r="WND13" s="554"/>
      <c r="WNE13" s="554"/>
      <c r="WNF13" s="554"/>
      <c r="WNG13" s="554"/>
      <c r="WNH13" s="554"/>
      <c r="WNI13" s="554"/>
      <c r="WNJ13" s="554"/>
      <c r="WNK13" s="554"/>
      <c r="WNL13" s="554"/>
      <c r="WNM13" s="554"/>
      <c r="WNN13" s="554"/>
      <c r="WNO13" s="554"/>
      <c r="WNP13" s="554"/>
      <c r="WNQ13" s="554"/>
      <c r="WNR13" s="554"/>
      <c r="WNS13" s="554"/>
      <c r="WNT13" s="554"/>
      <c r="WNU13" s="554"/>
      <c r="WNV13" s="554"/>
      <c r="WNW13" s="554"/>
      <c r="WNX13" s="554"/>
      <c r="WNY13" s="554"/>
      <c r="WNZ13" s="554"/>
      <c r="WOA13" s="554"/>
      <c r="WOB13" s="554"/>
      <c r="WOC13" s="554"/>
      <c r="WOD13" s="554"/>
      <c r="WOE13" s="554"/>
      <c r="WOF13" s="554"/>
      <c r="WOG13" s="554"/>
      <c r="WOH13" s="554"/>
      <c r="WOI13" s="554"/>
      <c r="WOJ13" s="554"/>
      <c r="WOK13" s="554"/>
      <c r="WOL13" s="554"/>
      <c r="WOM13" s="554"/>
      <c r="WON13" s="554"/>
      <c r="WOO13" s="554"/>
      <c r="WOP13" s="554"/>
      <c r="WOQ13" s="554"/>
      <c r="WOR13" s="554"/>
      <c r="WOS13" s="554"/>
      <c r="WOT13" s="554"/>
      <c r="WOU13" s="554"/>
      <c r="WOV13" s="554"/>
      <c r="WOW13" s="554"/>
      <c r="WOX13" s="554"/>
      <c r="WOY13" s="554"/>
      <c r="WOZ13" s="554"/>
      <c r="WPA13" s="554"/>
      <c r="WPB13" s="554"/>
      <c r="WPC13" s="554"/>
      <c r="WPD13" s="554"/>
      <c r="WPE13" s="554"/>
      <c r="WPF13" s="554"/>
      <c r="WPG13" s="554"/>
      <c r="WPH13" s="554"/>
      <c r="WPI13" s="554"/>
      <c r="WPJ13" s="554"/>
      <c r="WPK13" s="554"/>
      <c r="WPL13" s="554"/>
      <c r="WPM13" s="554"/>
      <c r="WPN13" s="554"/>
      <c r="WPO13" s="554"/>
      <c r="WPP13" s="554"/>
      <c r="WPQ13" s="554"/>
      <c r="WPR13" s="554"/>
      <c r="WPS13" s="554"/>
      <c r="WPT13" s="554"/>
      <c r="WPU13" s="554"/>
      <c r="WPV13" s="554"/>
      <c r="WPW13" s="554"/>
      <c r="WPX13" s="554"/>
      <c r="WPY13" s="554"/>
      <c r="WPZ13" s="554"/>
      <c r="WQA13" s="554"/>
      <c r="WQB13" s="554"/>
      <c r="WQC13" s="554"/>
      <c r="WQD13" s="554"/>
      <c r="WQE13" s="554"/>
      <c r="WQF13" s="554"/>
      <c r="WQG13" s="554"/>
      <c r="WQH13" s="554"/>
      <c r="WQI13" s="554"/>
      <c r="WQJ13" s="554"/>
      <c r="WQK13" s="554"/>
      <c r="WQL13" s="554"/>
      <c r="WQM13" s="554"/>
      <c r="WQN13" s="554"/>
      <c r="WQO13" s="554"/>
      <c r="WQP13" s="554"/>
      <c r="WQQ13" s="554"/>
      <c r="WQR13" s="554"/>
      <c r="WQS13" s="554"/>
      <c r="WQT13" s="554"/>
      <c r="WQU13" s="554"/>
      <c r="WQV13" s="554"/>
      <c r="WQW13" s="554"/>
      <c r="WQX13" s="554"/>
      <c r="WQY13" s="554"/>
      <c r="WQZ13" s="554"/>
      <c r="WRA13" s="554"/>
      <c r="WRB13" s="554"/>
      <c r="WRC13" s="554"/>
      <c r="WRD13" s="554"/>
      <c r="WRE13" s="554"/>
      <c r="WRF13" s="554"/>
      <c r="WRG13" s="554"/>
      <c r="WRH13" s="554"/>
      <c r="WRI13" s="554"/>
      <c r="WRJ13" s="554"/>
      <c r="WRK13" s="554"/>
      <c r="WRL13" s="554"/>
      <c r="WRM13" s="554"/>
      <c r="WRN13" s="554"/>
      <c r="WRO13" s="554"/>
      <c r="WRP13" s="554"/>
      <c r="WRQ13" s="554"/>
      <c r="WRR13" s="554"/>
      <c r="WRS13" s="554"/>
      <c r="WRT13" s="554"/>
      <c r="WRU13" s="554"/>
      <c r="WRV13" s="554"/>
      <c r="WRW13" s="554"/>
      <c r="WRX13" s="554"/>
      <c r="WRY13" s="554"/>
      <c r="WRZ13" s="554"/>
      <c r="WSA13" s="554"/>
      <c r="WSB13" s="554"/>
      <c r="WSC13" s="554"/>
      <c r="WSD13" s="554"/>
      <c r="WSE13" s="554"/>
      <c r="WSF13" s="554"/>
      <c r="WSG13" s="554"/>
      <c r="WSH13" s="554"/>
      <c r="WSI13" s="554"/>
      <c r="WSJ13" s="554"/>
      <c r="WSK13" s="554"/>
      <c r="WSL13" s="554"/>
      <c r="WSM13" s="554"/>
      <c r="WSN13" s="554"/>
      <c r="WSO13" s="554"/>
      <c r="WSP13" s="554"/>
      <c r="WSQ13" s="554"/>
      <c r="WSR13" s="554"/>
      <c r="WSS13" s="554"/>
      <c r="WST13" s="554"/>
      <c r="WSU13" s="554"/>
      <c r="WSV13" s="554"/>
      <c r="WSW13" s="554"/>
      <c r="WSX13" s="554"/>
      <c r="WSY13" s="554"/>
      <c r="WSZ13" s="554"/>
      <c r="WTA13" s="554"/>
      <c r="WTB13" s="554"/>
      <c r="WTC13" s="554"/>
      <c r="WTD13" s="554"/>
      <c r="WTE13" s="554"/>
      <c r="WTF13" s="554"/>
      <c r="WTG13" s="554"/>
      <c r="WTH13" s="554"/>
      <c r="WTI13" s="554"/>
      <c r="WTJ13" s="554"/>
      <c r="WTK13" s="554"/>
      <c r="WTL13" s="554"/>
      <c r="WTM13" s="554"/>
      <c r="WTN13" s="554"/>
      <c r="WTO13" s="554"/>
      <c r="WTP13" s="554"/>
      <c r="WTQ13" s="554"/>
      <c r="WTR13" s="554"/>
      <c r="WTS13" s="554"/>
      <c r="WTT13" s="554"/>
      <c r="WTU13" s="554"/>
      <c r="WTV13" s="554"/>
      <c r="WTW13" s="554"/>
      <c r="WTX13" s="554"/>
      <c r="WTY13" s="554"/>
      <c r="WTZ13" s="554"/>
      <c r="WUA13" s="554"/>
      <c r="WUB13" s="554"/>
      <c r="WUC13" s="554"/>
      <c r="WUD13" s="554"/>
      <c r="WUE13" s="554"/>
      <c r="WUF13" s="554"/>
      <c r="WUG13" s="554"/>
      <c r="WUH13" s="554"/>
      <c r="WUI13" s="554"/>
      <c r="WUJ13" s="554"/>
      <c r="WUK13" s="554"/>
      <c r="WUL13" s="554"/>
      <c r="WUM13" s="554"/>
      <c r="WUN13" s="554"/>
      <c r="WUO13" s="554"/>
      <c r="WUP13" s="554"/>
      <c r="WUQ13" s="554"/>
      <c r="WUR13" s="554"/>
      <c r="WUS13" s="554"/>
      <c r="WUT13" s="554"/>
      <c r="WUU13" s="554"/>
      <c r="WUV13" s="554"/>
      <c r="WUW13" s="554"/>
      <c r="WUX13" s="554"/>
      <c r="WUY13" s="554"/>
      <c r="WUZ13" s="554"/>
      <c r="WVA13" s="554"/>
      <c r="WVB13" s="554"/>
      <c r="WVC13" s="554"/>
      <c r="WVD13" s="554"/>
      <c r="WVE13" s="554"/>
      <c r="WVF13" s="554"/>
      <c r="WVG13" s="554"/>
      <c r="WVH13" s="554"/>
      <c r="WVI13" s="554"/>
      <c r="WVJ13" s="554"/>
      <c r="WVK13" s="554"/>
      <c r="WVL13" s="554"/>
      <c r="WVM13" s="554"/>
      <c r="WVN13" s="554"/>
      <c r="WVO13" s="554"/>
      <c r="WVP13" s="554"/>
      <c r="WVQ13" s="554"/>
      <c r="WVR13" s="554"/>
      <c r="WVS13" s="554"/>
      <c r="WVT13" s="554"/>
      <c r="WVU13" s="554"/>
      <c r="WVV13" s="554"/>
      <c r="WVW13" s="554"/>
      <c r="WVX13" s="554"/>
      <c r="WVY13" s="554"/>
      <c r="WVZ13" s="554"/>
      <c r="WWA13" s="554"/>
      <c r="WWB13" s="554"/>
      <c r="WWC13" s="554"/>
      <c r="WWD13" s="554"/>
      <c r="WWE13" s="554"/>
      <c r="WWF13" s="554"/>
      <c r="WWG13" s="554"/>
      <c r="WWH13" s="554"/>
      <c r="WWI13" s="554"/>
      <c r="WWJ13" s="554"/>
      <c r="WWK13" s="554"/>
      <c r="WWL13" s="554"/>
      <c r="WWM13" s="554"/>
      <c r="WWN13" s="554"/>
      <c r="WWO13" s="554"/>
      <c r="WWP13" s="554"/>
      <c r="WWQ13" s="554"/>
      <c r="WWR13" s="554"/>
      <c r="WWS13" s="554"/>
      <c r="WWT13" s="554"/>
      <c r="WWU13" s="554"/>
      <c r="WWV13" s="554"/>
      <c r="WWW13" s="554"/>
      <c r="WWX13" s="554"/>
      <c r="WWY13" s="554"/>
      <c r="WWZ13" s="554"/>
      <c r="WXA13" s="554"/>
      <c r="WXB13" s="554"/>
      <c r="WXC13" s="554"/>
      <c r="WXD13" s="554"/>
      <c r="WXE13" s="554"/>
      <c r="WXF13" s="554"/>
      <c r="WXG13" s="554"/>
      <c r="WXH13" s="554"/>
      <c r="WXI13" s="554"/>
      <c r="WXJ13" s="554"/>
      <c r="WXK13" s="554"/>
      <c r="WXL13" s="554"/>
      <c r="WXM13" s="554"/>
      <c r="WXN13" s="554"/>
      <c r="WXO13" s="554"/>
      <c r="WXP13" s="554"/>
      <c r="WXQ13" s="554"/>
      <c r="WXR13" s="554"/>
      <c r="WXS13" s="554"/>
      <c r="WXT13" s="554"/>
      <c r="WXU13" s="554"/>
      <c r="WXV13" s="554"/>
      <c r="WXW13" s="554"/>
      <c r="WXX13" s="554"/>
      <c r="WXY13" s="554"/>
      <c r="WXZ13" s="554"/>
      <c r="WYA13" s="554"/>
      <c r="WYB13" s="554"/>
      <c r="WYC13" s="554"/>
      <c r="WYD13" s="554"/>
      <c r="WYE13" s="554"/>
      <c r="WYF13" s="554"/>
      <c r="WYG13" s="554"/>
      <c r="WYH13" s="554"/>
      <c r="WYI13" s="554"/>
      <c r="WYJ13" s="554"/>
      <c r="WYK13" s="554"/>
      <c r="WYL13" s="554"/>
      <c r="WYM13" s="554"/>
      <c r="WYN13" s="554"/>
      <c r="WYO13" s="554"/>
      <c r="WYP13" s="554"/>
      <c r="WYQ13" s="554"/>
      <c r="WYR13" s="554"/>
      <c r="WYS13" s="554"/>
      <c r="WYT13" s="554"/>
      <c r="WYU13" s="554"/>
      <c r="WYV13" s="554"/>
      <c r="WYW13" s="554"/>
      <c r="WYX13" s="554"/>
      <c r="WYY13" s="554"/>
      <c r="WYZ13" s="554"/>
      <c r="WZA13" s="554"/>
      <c r="WZB13" s="554"/>
      <c r="WZC13" s="554"/>
      <c r="WZD13" s="554"/>
      <c r="WZE13" s="554"/>
      <c r="WZF13" s="554"/>
      <c r="WZG13" s="554"/>
      <c r="WZH13" s="554"/>
      <c r="WZI13" s="554"/>
      <c r="WZJ13" s="554"/>
      <c r="WZK13" s="554"/>
      <c r="WZL13" s="554"/>
      <c r="WZM13" s="554"/>
      <c r="WZN13" s="554"/>
      <c r="WZO13" s="554"/>
      <c r="WZP13" s="554"/>
      <c r="WZQ13" s="554"/>
      <c r="WZR13" s="554"/>
      <c r="WZS13" s="554"/>
      <c r="WZT13" s="554"/>
      <c r="WZU13" s="554"/>
      <c r="WZV13" s="554"/>
      <c r="WZW13" s="554"/>
      <c r="WZX13" s="554"/>
      <c r="WZY13" s="554"/>
      <c r="WZZ13" s="554"/>
      <c r="XAA13" s="554"/>
      <c r="XAB13" s="554"/>
      <c r="XAC13" s="554"/>
      <c r="XAD13" s="554"/>
      <c r="XAE13" s="554"/>
      <c r="XAF13" s="554"/>
      <c r="XAG13" s="554"/>
      <c r="XAH13" s="554"/>
      <c r="XAI13" s="554"/>
      <c r="XAJ13" s="554"/>
      <c r="XAK13" s="554"/>
      <c r="XAL13" s="554"/>
      <c r="XAM13" s="554"/>
      <c r="XAN13" s="554"/>
      <c r="XAO13" s="554"/>
      <c r="XAP13" s="554"/>
      <c r="XAQ13" s="554"/>
      <c r="XAR13" s="554"/>
      <c r="XAS13" s="554"/>
      <c r="XAT13" s="554"/>
      <c r="XAU13" s="554"/>
      <c r="XAV13" s="554"/>
      <c r="XAW13" s="554"/>
      <c r="XAX13" s="554"/>
      <c r="XAY13" s="554"/>
      <c r="XAZ13" s="554"/>
      <c r="XBA13" s="554"/>
      <c r="XBB13" s="554"/>
      <c r="XBC13" s="554"/>
      <c r="XBD13" s="554"/>
      <c r="XBE13" s="554"/>
      <c r="XBF13" s="554"/>
      <c r="XBG13" s="554"/>
      <c r="XBH13" s="554"/>
      <c r="XBI13" s="554"/>
      <c r="XBJ13" s="554"/>
      <c r="XBK13" s="554"/>
      <c r="XBL13" s="554"/>
      <c r="XBM13" s="554"/>
      <c r="XBN13" s="554"/>
      <c r="XBO13" s="554"/>
      <c r="XBP13" s="554"/>
      <c r="XBQ13" s="554"/>
      <c r="XBR13" s="554"/>
      <c r="XBS13" s="554"/>
      <c r="XBT13" s="554"/>
      <c r="XBU13" s="554"/>
      <c r="XBV13" s="554"/>
      <c r="XBW13" s="554"/>
      <c r="XBX13" s="554"/>
      <c r="XBY13" s="554"/>
      <c r="XBZ13" s="554"/>
      <c r="XCA13" s="554"/>
      <c r="XCB13" s="554"/>
      <c r="XCC13" s="554"/>
      <c r="XCD13" s="554"/>
      <c r="XCE13" s="554"/>
      <c r="XCF13" s="554"/>
      <c r="XCG13" s="554"/>
      <c r="XCH13" s="554"/>
      <c r="XCI13" s="554"/>
      <c r="XCJ13" s="554"/>
      <c r="XCK13" s="554"/>
      <c r="XCL13" s="554"/>
      <c r="XCM13" s="554"/>
      <c r="XCN13" s="554"/>
      <c r="XCO13" s="554"/>
      <c r="XCP13" s="554"/>
      <c r="XCQ13" s="554"/>
      <c r="XCR13" s="554"/>
      <c r="XCS13" s="554"/>
      <c r="XCT13" s="554"/>
      <c r="XCU13" s="554"/>
      <c r="XCV13" s="554"/>
      <c r="XCW13" s="554"/>
      <c r="XCX13" s="554"/>
      <c r="XCY13" s="554"/>
      <c r="XCZ13" s="554"/>
      <c r="XDA13" s="554"/>
      <c r="XDB13" s="554"/>
      <c r="XDC13" s="554"/>
      <c r="XDD13" s="554"/>
      <c r="XDE13" s="554"/>
      <c r="XDF13" s="554"/>
      <c r="XDG13" s="554"/>
      <c r="XDH13" s="554"/>
      <c r="XDI13" s="554"/>
      <c r="XDJ13" s="554"/>
      <c r="XDK13" s="554"/>
      <c r="XDL13" s="554"/>
      <c r="XDM13" s="554"/>
      <c r="XDN13" s="554"/>
      <c r="XDO13" s="554"/>
      <c r="XDP13" s="554"/>
      <c r="XDQ13" s="554"/>
      <c r="XDR13" s="554"/>
      <c r="XDS13" s="554"/>
      <c r="XDT13" s="554"/>
      <c r="XDU13" s="554"/>
      <c r="XDV13" s="554"/>
      <c r="XDW13" s="554"/>
      <c r="XDX13" s="554"/>
      <c r="XDY13" s="554"/>
      <c r="XDZ13" s="554"/>
      <c r="XEA13" s="554"/>
      <c r="XEB13" s="554"/>
      <c r="XEC13" s="554"/>
      <c r="XED13" s="554"/>
      <c r="XEE13" s="554"/>
      <c r="XEF13" s="554"/>
      <c r="XEG13" s="554"/>
      <c r="XEH13" s="554"/>
      <c r="XEI13" s="554"/>
      <c r="XEJ13" s="554"/>
      <c r="XEK13" s="554"/>
      <c r="XEL13" s="554"/>
      <c r="XEM13" s="554"/>
      <c r="XEN13" s="554"/>
      <c r="XEO13" s="554"/>
      <c r="XEP13" s="554"/>
      <c r="XEQ13" s="554"/>
      <c r="XER13" s="554"/>
      <c r="XES13" s="554"/>
      <c r="XET13" s="554"/>
      <c r="XEU13" s="554"/>
      <c r="XEV13" s="554"/>
      <c r="XEW13" s="554"/>
      <c r="XEX13" s="554"/>
      <c r="XEY13" s="554"/>
      <c r="XEZ13" s="554"/>
      <c r="XFA13" s="554"/>
      <c r="XFB13" s="554"/>
      <c r="XFC13" s="554"/>
      <c r="XFD13" s="554"/>
    </row>
    <row r="14" spans="1:16384" ht="15" customHeight="1" x14ac:dyDescent="0.25">
      <c r="A14" s="596" t="s">
        <v>3090</v>
      </c>
      <c r="B14" s="597"/>
      <c r="C14" s="597"/>
      <c r="D14" s="597"/>
      <c r="E14" s="597"/>
      <c r="F14" s="597"/>
      <c r="G14" s="597"/>
      <c r="H14" s="597"/>
      <c r="I14" s="597"/>
      <c r="J14" s="597"/>
      <c r="K14" s="597"/>
      <c r="L14" s="597"/>
      <c r="M14" s="597"/>
      <c r="N14" s="597"/>
      <c r="O14" s="597"/>
      <c r="P14" s="597"/>
      <c r="Q14" s="597"/>
      <c r="R14" s="597"/>
      <c r="S14" s="597"/>
      <c r="T14" s="597"/>
      <c r="U14" s="597"/>
      <c r="V14" s="597"/>
      <c r="W14" s="597"/>
      <c r="X14" s="598"/>
    </row>
    <row r="15" spans="1:16384" ht="15.75" thickBot="1" x14ac:dyDescent="0.3">
      <c r="A15" s="626"/>
      <c r="B15" s="627"/>
      <c r="C15" s="627"/>
      <c r="D15" s="627"/>
      <c r="E15" s="627"/>
      <c r="F15" s="627"/>
      <c r="G15" s="627"/>
      <c r="H15" s="627"/>
      <c r="I15" s="627"/>
      <c r="J15" s="627"/>
      <c r="K15" s="627"/>
      <c r="L15" s="627"/>
      <c r="M15" s="627"/>
      <c r="N15" s="627"/>
      <c r="O15" s="627"/>
      <c r="P15" s="627"/>
      <c r="Q15" s="627"/>
      <c r="R15" s="627"/>
      <c r="S15" s="627"/>
      <c r="T15" s="627"/>
      <c r="U15" s="627"/>
      <c r="V15" s="627"/>
      <c r="W15" s="627"/>
      <c r="X15" s="628"/>
    </row>
    <row r="16" spans="1:16384" ht="15" customHeight="1" x14ac:dyDescent="0.25">
      <c r="A16" s="602" t="s">
        <v>3091</v>
      </c>
      <c r="B16" s="603"/>
      <c r="C16" s="603"/>
      <c r="D16" s="603"/>
      <c r="E16" s="603"/>
      <c r="F16" s="603"/>
      <c r="G16" s="603"/>
      <c r="H16" s="603"/>
      <c r="I16" s="603"/>
      <c r="J16" s="603"/>
      <c r="K16" s="603"/>
      <c r="L16" s="603"/>
      <c r="M16" s="603"/>
      <c r="N16" s="603"/>
      <c r="O16" s="603"/>
      <c r="P16" s="603"/>
      <c r="Q16" s="603"/>
      <c r="R16" s="603"/>
      <c r="S16" s="603"/>
      <c r="T16" s="603"/>
      <c r="U16" s="603"/>
      <c r="V16" s="603"/>
      <c r="W16" s="603"/>
      <c r="X16" s="604"/>
    </row>
    <row r="17" spans="1:24" x14ac:dyDescent="0.25">
      <c r="A17" s="635"/>
      <c r="B17" s="636"/>
      <c r="C17" s="636"/>
      <c r="D17" s="636"/>
      <c r="E17" s="636"/>
      <c r="F17" s="636"/>
      <c r="G17" s="636"/>
      <c r="H17" s="636"/>
      <c r="I17" s="636"/>
      <c r="J17" s="636"/>
      <c r="K17" s="636"/>
      <c r="L17" s="636"/>
      <c r="M17" s="636"/>
      <c r="N17" s="636"/>
      <c r="O17" s="636"/>
      <c r="P17" s="636"/>
      <c r="Q17" s="636"/>
      <c r="R17" s="636"/>
      <c r="S17" s="636"/>
      <c r="T17" s="636"/>
      <c r="U17" s="636"/>
      <c r="V17" s="636"/>
      <c r="W17" s="636"/>
      <c r="X17" s="637"/>
    </row>
    <row r="18" spans="1:24" x14ac:dyDescent="0.25">
      <c r="A18" s="635"/>
      <c r="B18" s="636"/>
      <c r="C18" s="636"/>
      <c r="D18" s="636"/>
      <c r="E18" s="636"/>
      <c r="F18" s="636"/>
      <c r="G18" s="636"/>
      <c r="H18" s="636"/>
      <c r="I18" s="636"/>
      <c r="J18" s="636"/>
      <c r="K18" s="636"/>
      <c r="L18" s="636"/>
      <c r="M18" s="636"/>
      <c r="N18" s="636"/>
      <c r="O18" s="636"/>
      <c r="P18" s="636"/>
      <c r="Q18" s="636"/>
      <c r="R18" s="636"/>
      <c r="S18" s="636"/>
      <c r="T18" s="636"/>
      <c r="U18" s="636"/>
      <c r="V18" s="636"/>
      <c r="W18" s="636"/>
      <c r="X18" s="637"/>
    </row>
    <row r="19" spans="1:24" x14ac:dyDescent="0.25">
      <c r="A19" s="635"/>
      <c r="B19" s="636"/>
      <c r="C19" s="636"/>
      <c r="D19" s="636"/>
      <c r="E19" s="636"/>
      <c r="F19" s="636"/>
      <c r="G19" s="636"/>
      <c r="H19" s="636"/>
      <c r="I19" s="636"/>
      <c r="J19" s="636"/>
      <c r="K19" s="636"/>
      <c r="L19" s="636"/>
      <c r="M19" s="636"/>
      <c r="N19" s="636"/>
      <c r="O19" s="636"/>
      <c r="P19" s="636"/>
      <c r="Q19" s="636"/>
      <c r="R19" s="636"/>
      <c r="S19" s="636"/>
      <c r="T19" s="636"/>
      <c r="U19" s="636"/>
      <c r="V19" s="636"/>
      <c r="W19" s="636"/>
      <c r="X19" s="637"/>
    </row>
    <row r="20" spans="1:24" x14ac:dyDescent="0.25">
      <c r="A20" s="635"/>
      <c r="B20" s="636"/>
      <c r="C20" s="636"/>
      <c r="D20" s="636"/>
      <c r="E20" s="636"/>
      <c r="F20" s="636"/>
      <c r="G20" s="636"/>
      <c r="H20" s="636"/>
      <c r="I20" s="636"/>
      <c r="J20" s="636"/>
      <c r="K20" s="636"/>
      <c r="L20" s="636"/>
      <c r="M20" s="636"/>
      <c r="N20" s="636"/>
      <c r="O20" s="636"/>
      <c r="P20" s="636"/>
      <c r="Q20" s="636"/>
      <c r="R20" s="636"/>
      <c r="S20" s="636"/>
      <c r="T20" s="636"/>
      <c r="U20" s="636"/>
      <c r="V20" s="636"/>
      <c r="W20" s="636"/>
      <c r="X20" s="637"/>
    </row>
    <row r="21" spans="1:24" x14ac:dyDescent="0.25">
      <c r="A21" s="635"/>
      <c r="B21" s="636"/>
      <c r="C21" s="636"/>
      <c r="D21" s="636"/>
      <c r="E21" s="636"/>
      <c r="F21" s="636"/>
      <c r="G21" s="636"/>
      <c r="H21" s="636"/>
      <c r="I21" s="636"/>
      <c r="J21" s="636"/>
      <c r="K21" s="636"/>
      <c r="L21" s="636"/>
      <c r="M21" s="636"/>
      <c r="N21" s="636"/>
      <c r="O21" s="636"/>
      <c r="P21" s="636"/>
      <c r="Q21" s="636"/>
      <c r="R21" s="636"/>
      <c r="S21" s="636"/>
      <c r="T21" s="636"/>
      <c r="U21" s="636"/>
      <c r="V21" s="636"/>
      <c r="W21" s="636"/>
      <c r="X21" s="637"/>
    </row>
    <row r="22" spans="1:24" x14ac:dyDescent="0.25">
      <c r="A22" s="635"/>
      <c r="B22" s="636"/>
      <c r="C22" s="636"/>
      <c r="D22" s="636"/>
      <c r="E22" s="636"/>
      <c r="F22" s="636"/>
      <c r="G22" s="636"/>
      <c r="H22" s="636"/>
      <c r="I22" s="636"/>
      <c r="J22" s="636"/>
      <c r="K22" s="636"/>
      <c r="L22" s="636"/>
      <c r="M22" s="636"/>
      <c r="N22" s="636"/>
      <c r="O22" s="636"/>
      <c r="P22" s="636"/>
      <c r="Q22" s="636"/>
      <c r="R22" s="636"/>
      <c r="S22" s="636"/>
      <c r="T22" s="636"/>
      <c r="U22" s="636"/>
      <c r="V22" s="636"/>
      <c r="W22" s="636"/>
      <c r="X22" s="637"/>
    </row>
    <row r="23" spans="1:24" x14ac:dyDescent="0.25">
      <c r="A23" s="635"/>
      <c r="B23" s="636"/>
      <c r="C23" s="636"/>
      <c r="D23" s="636"/>
      <c r="E23" s="636"/>
      <c r="F23" s="636"/>
      <c r="G23" s="636"/>
      <c r="H23" s="636"/>
      <c r="I23" s="636"/>
      <c r="J23" s="636"/>
      <c r="K23" s="636"/>
      <c r="L23" s="636"/>
      <c r="M23" s="636"/>
      <c r="N23" s="636"/>
      <c r="O23" s="636"/>
      <c r="P23" s="636"/>
      <c r="Q23" s="636"/>
      <c r="R23" s="636"/>
      <c r="S23" s="636"/>
      <c r="T23" s="636"/>
      <c r="U23" s="636"/>
      <c r="V23" s="636"/>
      <c r="W23" s="636"/>
      <c r="X23" s="637"/>
    </row>
    <row r="24" spans="1:24" x14ac:dyDescent="0.25">
      <c r="A24" s="635"/>
      <c r="B24" s="636"/>
      <c r="C24" s="636"/>
      <c r="D24" s="636"/>
      <c r="E24" s="636"/>
      <c r="F24" s="636"/>
      <c r="G24" s="636"/>
      <c r="H24" s="636"/>
      <c r="I24" s="636"/>
      <c r="J24" s="636"/>
      <c r="K24" s="636"/>
      <c r="L24" s="636"/>
      <c r="M24" s="636"/>
      <c r="N24" s="636"/>
      <c r="O24" s="636"/>
      <c r="P24" s="636"/>
      <c r="Q24" s="636"/>
      <c r="R24" s="636"/>
      <c r="S24" s="636"/>
      <c r="T24" s="636"/>
      <c r="U24" s="636"/>
      <c r="V24" s="636"/>
      <c r="W24" s="636"/>
      <c r="X24" s="637"/>
    </row>
    <row r="25" spans="1:24" x14ac:dyDescent="0.25">
      <c r="A25" s="635"/>
      <c r="B25" s="636"/>
      <c r="C25" s="636"/>
      <c r="D25" s="636"/>
      <c r="E25" s="636"/>
      <c r="F25" s="636"/>
      <c r="G25" s="636"/>
      <c r="H25" s="636"/>
      <c r="I25" s="636"/>
      <c r="J25" s="636"/>
      <c r="K25" s="636"/>
      <c r="L25" s="636"/>
      <c r="M25" s="636"/>
      <c r="N25" s="636"/>
      <c r="O25" s="636"/>
      <c r="P25" s="636"/>
      <c r="Q25" s="636"/>
      <c r="R25" s="636"/>
      <c r="S25" s="636"/>
      <c r="T25" s="636"/>
      <c r="U25" s="636"/>
      <c r="V25" s="636"/>
      <c r="W25" s="636"/>
      <c r="X25" s="637"/>
    </row>
    <row r="26" spans="1:24" ht="15" customHeight="1" x14ac:dyDescent="0.25">
      <c r="A26" s="641" t="s">
        <v>3550</v>
      </c>
      <c r="B26" s="642"/>
      <c r="C26" s="642"/>
      <c r="D26" s="642"/>
      <c r="E26" s="642"/>
      <c r="F26" s="642"/>
      <c r="G26" s="642"/>
      <c r="H26" s="642"/>
      <c r="I26" s="642"/>
      <c r="J26" s="642"/>
      <c r="K26" s="642"/>
      <c r="L26" s="642"/>
      <c r="M26" s="642"/>
      <c r="N26" s="642"/>
      <c r="O26" s="642"/>
      <c r="P26" s="642"/>
      <c r="Q26" s="642"/>
      <c r="R26" s="642"/>
      <c r="S26" s="642"/>
      <c r="T26" s="642"/>
      <c r="U26" s="642"/>
      <c r="V26" s="642"/>
      <c r="W26" s="642"/>
      <c r="X26" s="643"/>
    </row>
    <row r="27" spans="1:24" x14ac:dyDescent="0.25">
      <c r="A27" s="635"/>
      <c r="B27" s="636"/>
      <c r="C27" s="636"/>
      <c r="D27" s="636"/>
      <c r="E27" s="636"/>
      <c r="F27" s="636"/>
      <c r="G27" s="636"/>
      <c r="H27" s="636"/>
      <c r="I27" s="636"/>
      <c r="J27" s="636"/>
      <c r="K27" s="636"/>
      <c r="L27" s="636"/>
      <c r="M27" s="636"/>
      <c r="N27" s="636"/>
      <c r="O27" s="636"/>
      <c r="P27" s="636"/>
      <c r="Q27" s="636"/>
      <c r="R27" s="636"/>
      <c r="S27" s="636"/>
      <c r="T27" s="636"/>
      <c r="U27" s="636"/>
      <c r="V27" s="636"/>
      <c r="W27" s="636"/>
      <c r="X27" s="637"/>
    </row>
    <row r="28" spans="1:24" x14ac:dyDescent="0.25">
      <c r="A28" s="635"/>
      <c r="B28" s="636"/>
      <c r="C28" s="636"/>
      <c r="D28" s="636"/>
      <c r="E28" s="636"/>
      <c r="F28" s="636"/>
      <c r="G28" s="636"/>
      <c r="H28" s="636"/>
      <c r="I28" s="636"/>
      <c r="J28" s="636"/>
      <c r="K28" s="636"/>
      <c r="L28" s="636"/>
      <c r="M28" s="636"/>
      <c r="N28" s="636"/>
      <c r="O28" s="636"/>
      <c r="P28" s="636"/>
      <c r="Q28" s="636"/>
      <c r="R28" s="636"/>
      <c r="S28" s="636"/>
      <c r="T28" s="636"/>
      <c r="U28" s="636"/>
      <c r="V28" s="636"/>
      <c r="W28" s="636"/>
      <c r="X28" s="637"/>
    </row>
    <row r="29" spans="1:24" x14ac:dyDescent="0.25">
      <c r="A29" s="635"/>
      <c r="B29" s="636"/>
      <c r="C29" s="636"/>
      <c r="D29" s="636"/>
      <c r="E29" s="636"/>
      <c r="F29" s="636"/>
      <c r="G29" s="636"/>
      <c r="H29" s="636"/>
      <c r="I29" s="636"/>
      <c r="J29" s="636"/>
      <c r="K29" s="636"/>
      <c r="L29" s="636"/>
      <c r="M29" s="636"/>
      <c r="N29" s="636"/>
      <c r="O29" s="636"/>
      <c r="P29" s="636"/>
      <c r="Q29" s="636"/>
      <c r="R29" s="636"/>
      <c r="S29" s="636"/>
      <c r="T29" s="636"/>
      <c r="U29" s="636"/>
      <c r="V29" s="636"/>
      <c r="W29" s="636"/>
      <c r="X29" s="637"/>
    </row>
    <row r="30" spans="1:24" x14ac:dyDescent="0.25">
      <c r="A30" s="635"/>
      <c r="B30" s="636"/>
      <c r="C30" s="636"/>
      <c r="D30" s="636"/>
      <c r="E30" s="636"/>
      <c r="F30" s="636"/>
      <c r="G30" s="636"/>
      <c r="H30" s="636"/>
      <c r="I30" s="636"/>
      <c r="J30" s="636"/>
      <c r="K30" s="636"/>
      <c r="L30" s="636"/>
      <c r="M30" s="636"/>
      <c r="N30" s="636"/>
      <c r="O30" s="636"/>
      <c r="P30" s="636"/>
      <c r="Q30" s="636"/>
      <c r="R30" s="636"/>
      <c r="S30" s="636"/>
      <c r="T30" s="636"/>
      <c r="U30" s="636"/>
      <c r="V30" s="636"/>
      <c r="W30" s="636"/>
      <c r="X30" s="637"/>
    </row>
    <row r="31" spans="1:24" ht="15.75" thickBot="1" x14ac:dyDescent="0.3">
      <c r="A31" s="644"/>
      <c r="B31" s="645"/>
      <c r="C31" s="645"/>
      <c r="D31" s="645"/>
      <c r="E31" s="645"/>
      <c r="F31" s="645"/>
      <c r="G31" s="645"/>
      <c r="H31" s="645"/>
      <c r="I31" s="645"/>
      <c r="J31" s="645"/>
      <c r="K31" s="645"/>
      <c r="L31" s="645"/>
      <c r="M31" s="645"/>
      <c r="N31" s="645"/>
      <c r="O31" s="645"/>
      <c r="P31" s="645"/>
      <c r="Q31" s="645"/>
      <c r="R31" s="645"/>
      <c r="S31" s="645"/>
      <c r="T31" s="645"/>
      <c r="U31" s="645"/>
      <c r="V31" s="645"/>
      <c r="W31" s="645"/>
      <c r="X31" s="646"/>
    </row>
    <row r="32" spans="1:24" x14ac:dyDescent="0.25">
      <c r="A32" s="626" t="s">
        <v>2290</v>
      </c>
      <c r="B32" s="627"/>
      <c r="C32" s="627"/>
      <c r="D32" s="627"/>
      <c r="E32" s="627"/>
      <c r="F32" s="627"/>
      <c r="G32" s="627"/>
      <c r="H32" s="627"/>
      <c r="I32" s="627"/>
      <c r="J32" s="627"/>
      <c r="K32" s="627"/>
      <c r="L32" s="627"/>
      <c r="M32" s="627"/>
      <c r="N32" s="627"/>
      <c r="O32" s="627"/>
      <c r="P32" s="627"/>
      <c r="Q32" s="627"/>
      <c r="R32" s="627"/>
      <c r="S32" s="627"/>
      <c r="T32" s="627"/>
      <c r="U32" s="627"/>
      <c r="V32" s="627"/>
      <c r="W32" s="627"/>
      <c r="X32" s="628"/>
    </row>
    <row r="33" spans="1:24" ht="15.75" thickBot="1" x14ac:dyDescent="0.3">
      <c r="A33" s="599"/>
      <c r="B33" s="600"/>
      <c r="C33" s="600"/>
      <c r="D33" s="600"/>
      <c r="E33" s="600"/>
      <c r="F33" s="600"/>
      <c r="G33" s="600"/>
      <c r="H33" s="600"/>
      <c r="I33" s="600"/>
      <c r="J33" s="600"/>
      <c r="K33" s="600"/>
      <c r="L33" s="600"/>
      <c r="M33" s="600"/>
      <c r="N33" s="600"/>
      <c r="O33" s="600"/>
      <c r="P33" s="600"/>
      <c r="Q33" s="600"/>
      <c r="R33" s="600"/>
      <c r="S33" s="600"/>
      <c r="T33" s="600"/>
      <c r="U33" s="600"/>
      <c r="V33" s="600"/>
      <c r="W33" s="600"/>
      <c r="X33" s="601"/>
    </row>
    <row r="34" spans="1:24" x14ac:dyDescent="0.25">
      <c r="A34" s="602" t="s">
        <v>2042</v>
      </c>
      <c r="B34" s="603"/>
      <c r="C34" s="603"/>
      <c r="D34" s="603"/>
      <c r="E34" s="603"/>
      <c r="F34" s="603"/>
      <c r="G34" s="603"/>
      <c r="H34" s="603"/>
      <c r="I34" s="603"/>
      <c r="J34" s="603"/>
      <c r="K34" s="603"/>
      <c r="L34" s="603"/>
      <c r="M34" s="603"/>
      <c r="N34" s="603"/>
      <c r="O34" s="603"/>
      <c r="P34" s="603"/>
      <c r="Q34" s="603"/>
      <c r="R34" s="603"/>
      <c r="S34" s="603"/>
      <c r="T34" s="603"/>
      <c r="U34" s="603"/>
      <c r="V34" s="603"/>
      <c r="W34" s="603"/>
      <c r="X34" s="604"/>
    </row>
    <row r="35" spans="1:24" x14ac:dyDescent="0.25">
      <c r="A35" s="635"/>
      <c r="B35" s="636"/>
      <c r="C35" s="636"/>
      <c r="D35" s="636"/>
      <c r="E35" s="636"/>
      <c r="F35" s="636"/>
      <c r="G35" s="636"/>
      <c r="H35" s="636"/>
      <c r="I35" s="636"/>
      <c r="J35" s="636"/>
      <c r="K35" s="636"/>
      <c r="L35" s="636"/>
      <c r="M35" s="636"/>
      <c r="N35" s="636"/>
      <c r="O35" s="636"/>
      <c r="P35" s="636"/>
      <c r="Q35" s="636"/>
      <c r="R35" s="636"/>
      <c r="S35" s="636"/>
      <c r="T35" s="636"/>
      <c r="U35" s="636"/>
      <c r="V35" s="636"/>
      <c r="W35" s="636"/>
      <c r="X35" s="637"/>
    </row>
    <row r="36" spans="1:24" x14ac:dyDescent="0.25">
      <c r="A36" s="635"/>
      <c r="B36" s="636"/>
      <c r="C36" s="636"/>
      <c r="D36" s="636"/>
      <c r="E36" s="636"/>
      <c r="F36" s="636"/>
      <c r="G36" s="636"/>
      <c r="H36" s="636"/>
      <c r="I36" s="636"/>
      <c r="J36" s="636"/>
      <c r="K36" s="636"/>
      <c r="L36" s="636"/>
      <c r="M36" s="636"/>
      <c r="N36" s="636"/>
      <c r="O36" s="636"/>
      <c r="P36" s="636"/>
      <c r="Q36" s="636"/>
      <c r="R36" s="636"/>
      <c r="S36" s="636"/>
      <c r="T36" s="636"/>
      <c r="U36" s="636"/>
      <c r="V36" s="636"/>
      <c r="W36" s="636"/>
      <c r="X36" s="637"/>
    </row>
    <row r="37" spans="1:24" x14ac:dyDescent="0.25">
      <c r="A37" s="635"/>
      <c r="B37" s="636"/>
      <c r="C37" s="636"/>
      <c r="D37" s="636"/>
      <c r="E37" s="636"/>
      <c r="F37" s="636"/>
      <c r="G37" s="636"/>
      <c r="H37" s="636"/>
      <c r="I37" s="636"/>
      <c r="J37" s="636"/>
      <c r="K37" s="636"/>
      <c r="L37" s="636"/>
      <c r="M37" s="636"/>
      <c r="N37" s="636"/>
      <c r="O37" s="636"/>
      <c r="P37" s="636"/>
      <c r="Q37" s="636"/>
      <c r="R37" s="636"/>
      <c r="S37" s="636"/>
      <c r="T37" s="636"/>
      <c r="U37" s="636"/>
      <c r="V37" s="636"/>
      <c r="W37" s="636"/>
      <c r="X37" s="637"/>
    </row>
    <row r="38" spans="1:24" x14ac:dyDescent="0.25">
      <c r="A38" s="635"/>
      <c r="B38" s="636"/>
      <c r="C38" s="636"/>
      <c r="D38" s="636"/>
      <c r="E38" s="636"/>
      <c r="F38" s="636"/>
      <c r="G38" s="636"/>
      <c r="H38" s="636"/>
      <c r="I38" s="636"/>
      <c r="J38" s="636"/>
      <c r="K38" s="636"/>
      <c r="L38" s="636"/>
      <c r="M38" s="636"/>
      <c r="N38" s="636"/>
      <c r="O38" s="636"/>
      <c r="P38" s="636"/>
      <c r="Q38" s="636"/>
      <c r="R38" s="636"/>
      <c r="S38" s="636"/>
      <c r="T38" s="636"/>
      <c r="U38" s="636"/>
      <c r="V38" s="636"/>
      <c r="W38" s="636"/>
      <c r="X38" s="637"/>
    </row>
    <row r="39" spans="1:24" x14ac:dyDescent="0.25">
      <c r="A39" s="635"/>
      <c r="B39" s="636"/>
      <c r="C39" s="636"/>
      <c r="D39" s="636"/>
      <c r="E39" s="636"/>
      <c r="F39" s="636"/>
      <c r="G39" s="636"/>
      <c r="H39" s="636"/>
      <c r="I39" s="636"/>
      <c r="J39" s="636"/>
      <c r="K39" s="636"/>
      <c r="L39" s="636"/>
      <c r="M39" s="636"/>
      <c r="N39" s="636"/>
      <c r="O39" s="636"/>
      <c r="P39" s="636"/>
      <c r="Q39" s="636"/>
      <c r="R39" s="636"/>
      <c r="S39" s="636"/>
      <c r="T39" s="636"/>
      <c r="U39" s="636"/>
      <c r="V39" s="636"/>
      <c r="W39" s="636"/>
      <c r="X39" s="637"/>
    </row>
    <row r="40" spans="1:24" x14ac:dyDescent="0.25">
      <c r="A40" s="635"/>
      <c r="B40" s="636"/>
      <c r="C40" s="636"/>
      <c r="D40" s="636"/>
      <c r="E40" s="636"/>
      <c r="F40" s="636"/>
      <c r="G40" s="636"/>
      <c r="H40" s="636"/>
      <c r="I40" s="636"/>
      <c r="J40" s="636"/>
      <c r="K40" s="636"/>
      <c r="L40" s="636"/>
      <c r="M40" s="636"/>
      <c r="N40" s="636"/>
      <c r="O40" s="636"/>
      <c r="P40" s="636"/>
      <c r="Q40" s="636"/>
      <c r="R40" s="636"/>
      <c r="S40" s="636"/>
      <c r="T40" s="636"/>
      <c r="U40" s="636"/>
      <c r="V40" s="636"/>
      <c r="W40" s="636"/>
      <c r="X40" s="637"/>
    </row>
    <row r="41" spans="1:24" x14ac:dyDescent="0.25">
      <c r="A41" s="653" t="s">
        <v>1751</v>
      </c>
      <c r="B41" s="654"/>
      <c r="C41" s="654"/>
      <c r="D41" s="654"/>
      <c r="E41" s="654"/>
      <c r="F41" s="654"/>
      <c r="G41" s="654"/>
      <c r="H41" s="654"/>
      <c r="I41" s="654"/>
      <c r="J41" s="654"/>
      <c r="K41" s="654"/>
      <c r="L41" s="654"/>
      <c r="M41" s="654"/>
      <c r="N41" s="654"/>
      <c r="O41" s="654"/>
      <c r="P41" s="654"/>
      <c r="Q41" s="654"/>
      <c r="R41" s="654"/>
      <c r="S41" s="654"/>
      <c r="T41" s="654"/>
      <c r="U41" s="654"/>
      <c r="V41" s="654"/>
      <c r="W41" s="654"/>
      <c r="X41" s="655"/>
    </row>
    <row r="42" spans="1:24" x14ac:dyDescent="0.25">
      <c r="A42" s="656" t="s">
        <v>2043</v>
      </c>
      <c r="B42" s="657"/>
      <c r="C42" s="657"/>
      <c r="D42" s="657"/>
      <c r="E42" s="657"/>
      <c r="F42" s="657"/>
      <c r="G42" s="657"/>
      <c r="H42" s="657"/>
      <c r="I42" s="657"/>
      <c r="J42" s="657"/>
      <c r="K42" s="657"/>
      <c r="L42" s="657"/>
      <c r="M42" s="657"/>
      <c r="N42" s="657"/>
      <c r="O42" s="657"/>
      <c r="P42" s="657"/>
      <c r="Q42" s="657"/>
      <c r="R42" s="657"/>
      <c r="S42" s="657"/>
      <c r="T42" s="657"/>
      <c r="U42" s="657"/>
      <c r="V42" s="657"/>
      <c r="W42" s="657"/>
      <c r="X42" s="658"/>
    </row>
    <row r="43" spans="1:24" x14ac:dyDescent="0.25">
      <c r="A43" s="656"/>
      <c r="B43" s="657"/>
      <c r="C43" s="657"/>
      <c r="D43" s="657"/>
      <c r="E43" s="657"/>
      <c r="F43" s="657"/>
      <c r="G43" s="657"/>
      <c r="H43" s="657"/>
      <c r="I43" s="657"/>
      <c r="J43" s="657"/>
      <c r="K43" s="657"/>
      <c r="L43" s="657"/>
      <c r="M43" s="657"/>
      <c r="N43" s="657"/>
      <c r="O43" s="657"/>
      <c r="P43" s="657"/>
      <c r="Q43" s="657"/>
      <c r="R43" s="657"/>
      <c r="S43" s="657"/>
      <c r="T43" s="657"/>
      <c r="U43" s="657"/>
      <c r="V43" s="657"/>
      <c r="W43" s="657"/>
      <c r="X43" s="658"/>
    </row>
    <row r="44" spans="1:24" x14ac:dyDescent="0.25">
      <c r="A44" s="659" t="s">
        <v>1754</v>
      </c>
      <c r="B44" s="660"/>
      <c r="C44" s="660"/>
      <c r="D44" s="660"/>
      <c r="E44" s="660"/>
      <c r="F44" s="660"/>
      <c r="G44" s="660"/>
      <c r="H44" s="660"/>
      <c r="I44" s="660"/>
      <c r="J44" s="660"/>
      <c r="K44" s="660"/>
      <c r="L44" s="660"/>
      <c r="M44" s="660"/>
      <c r="N44" s="660"/>
      <c r="O44" s="660"/>
      <c r="P44" s="660"/>
      <c r="Q44" s="660"/>
      <c r="R44" s="660"/>
      <c r="S44" s="660"/>
      <c r="T44" s="660"/>
      <c r="U44" s="660"/>
      <c r="V44" s="660"/>
      <c r="W44" s="660"/>
      <c r="X44" s="661"/>
    </row>
    <row r="45" spans="1:24" x14ac:dyDescent="0.25">
      <c r="A45" s="659"/>
      <c r="B45" s="660"/>
      <c r="C45" s="660"/>
      <c r="D45" s="660"/>
      <c r="E45" s="660"/>
      <c r="F45" s="660"/>
      <c r="G45" s="660"/>
      <c r="H45" s="660"/>
      <c r="I45" s="660"/>
      <c r="J45" s="660"/>
      <c r="K45" s="660"/>
      <c r="L45" s="660"/>
      <c r="M45" s="660"/>
      <c r="N45" s="660"/>
      <c r="O45" s="660"/>
      <c r="P45" s="660"/>
      <c r="Q45" s="660"/>
      <c r="R45" s="660"/>
      <c r="S45" s="660"/>
      <c r="T45" s="660"/>
      <c r="U45" s="660"/>
      <c r="V45" s="660"/>
      <c r="W45" s="660"/>
      <c r="X45" s="661"/>
    </row>
    <row r="46" spans="1:24" x14ac:dyDescent="0.25">
      <c r="A46" s="662" t="s">
        <v>2044</v>
      </c>
      <c r="B46" s="663"/>
      <c r="C46" s="663"/>
      <c r="D46" s="663"/>
      <c r="E46" s="663"/>
      <c r="F46" s="663"/>
      <c r="G46" s="663"/>
      <c r="H46" s="663"/>
      <c r="I46" s="663"/>
      <c r="J46" s="663"/>
      <c r="K46" s="663"/>
      <c r="L46" s="663"/>
      <c r="M46" s="663"/>
      <c r="N46" s="663"/>
      <c r="O46" s="663"/>
      <c r="P46" s="663"/>
      <c r="Q46" s="663"/>
      <c r="R46" s="663"/>
      <c r="S46" s="663"/>
      <c r="T46" s="663"/>
      <c r="U46" s="663"/>
      <c r="V46" s="663"/>
      <c r="W46" s="663"/>
      <c r="X46" s="664"/>
    </row>
    <row r="47" spans="1:24" x14ac:dyDescent="0.25">
      <c r="A47" s="662"/>
      <c r="B47" s="663"/>
      <c r="C47" s="663"/>
      <c r="D47" s="663"/>
      <c r="E47" s="663"/>
      <c r="F47" s="663"/>
      <c r="G47" s="663"/>
      <c r="H47" s="663"/>
      <c r="I47" s="663"/>
      <c r="J47" s="663"/>
      <c r="K47" s="663"/>
      <c r="L47" s="663"/>
      <c r="M47" s="663"/>
      <c r="N47" s="663"/>
      <c r="O47" s="663"/>
      <c r="P47" s="663"/>
      <c r="Q47" s="663"/>
      <c r="R47" s="663"/>
      <c r="S47" s="663"/>
      <c r="T47" s="663"/>
      <c r="U47" s="663"/>
      <c r="V47" s="663"/>
      <c r="W47" s="663"/>
      <c r="X47" s="664"/>
    </row>
    <row r="48" spans="1:24" x14ac:dyDescent="0.25">
      <c r="A48" s="662"/>
      <c r="B48" s="663"/>
      <c r="C48" s="663"/>
      <c r="D48" s="663"/>
      <c r="E48" s="663"/>
      <c r="F48" s="663"/>
      <c r="G48" s="663"/>
      <c r="H48" s="663"/>
      <c r="I48" s="663"/>
      <c r="J48" s="663"/>
      <c r="K48" s="663"/>
      <c r="L48" s="663"/>
      <c r="M48" s="663"/>
      <c r="N48" s="663"/>
      <c r="O48" s="663"/>
      <c r="P48" s="663"/>
      <c r="Q48" s="663"/>
      <c r="R48" s="663"/>
      <c r="S48" s="663"/>
      <c r="T48" s="663"/>
      <c r="U48" s="663"/>
      <c r="V48" s="663"/>
      <c r="W48" s="663"/>
      <c r="X48" s="664"/>
    </row>
    <row r="49" spans="1:24" x14ac:dyDescent="0.25">
      <c r="A49" s="647" t="s">
        <v>1752</v>
      </c>
      <c r="B49" s="648"/>
      <c r="C49" s="648"/>
      <c r="D49" s="648"/>
      <c r="E49" s="648"/>
      <c r="F49" s="648"/>
      <c r="G49" s="648"/>
      <c r="H49" s="648"/>
      <c r="I49" s="648"/>
      <c r="J49" s="648"/>
      <c r="K49" s="648"/>
      <c r="L49" s="648"/>
      <c r="M49" s="648"/>
      <c r="N49" s="648"/>
      <c r="O49" s="648"/>
      <c r="P49" s="648"/>
      <c r="Q49" s="648"/>
      <c r="R49" s="648"/>
      <c r="S49" s="648"/>
      <c r="T49" s="648"/>
      <c r="U49" s="648"/>
      <c r="V49" s="648"/>
      <c r="W49" s="648"/>
      <c r="X49" s="649"/>
    </row>
    <row r="50" spans="1:24" x14ac:dyDescent="0.25">
      <c r="A50" s="650" t="s">
        <v>1753</v>
      </c>
      <c r="B50" s="651"/>
      <c r="C50" s="651"/>
      <c r="D50" s="651"/>
      <c r="E50" s="651"/>
      <c r="F50" s="651"/>
      <c r="G50" s="651"/>
      <c r="H50" s="651"/>
      <c r="I50" s="651"/>
      <c r="J50" s="651"/>
      <c r="K50" s="651"/>
      <c r="L50" s="651"/>
      <c r="M50" s="651"/>
      <c r="N50" s="651"/>
      <c r="O50" s="651"/>
      <c r="P50" s="651"/>
      <c r="Q50" s="651"/>
      <c r="R50" s="651"/>
      <c r="S50" s="651"/>
      <c r="T50" s="651"/>
      <c r="U50" s="651"/>
      <c r="V50" s="651"/>
      <c r="W50" s="651"/>
      <c r="X50" s="652"/>
    </row>
    <row r="51" spans="1:24" x14ac:dyDescent="0.25">
      <c r="A51" s="665" t="s">
        <v>2045</v>
      </c>
      <c r="B51" s="666"/>
      <c r="C51" s="666"/>
      <c r="D51" s="666"/>
      <c r="E51" s="666"/>
      <c r="F51" s="666"/>
      <c r="G51" s="666"/>
      <c r="H51" s="666"/>
      <c r="I51" s="666"/>
      <c r="J51" s="666"/>
      <c r="K51" s="666"/>
      <c r="L51" s="666"/>
      <c r="M51" s="666"/>
      <c r="N51" s="666"/>
      <c r="O51" s="666"/>
      <c r="P51" s="666"/>
      <c r="Q51" s="666"/>
      <c r="R51" s="666"/>
      <c r="S51" s="666"/>
      <c r="T51" s="666"/>
      <c r="U51" s="666"/>
      <c r="V51" s="666"/>
      <c r="W51" s="666"/>
      <c r="X51" s="667"/>
    </row>
    <row r="52" spans="1:24" ht="15.75" thickBot="1" x14ac:dyDescent="0.3">
      <c r="A52" s="665"/>
      <c r="B52" s="666"/>
      <c r="C52" s="666"/>
      <c r="D52" s="666"/>
      <c r="E52" s="666"/>
      <c r="F52" s="666"/>
      <c r="G52" s="666"/>
      <c r="H52" s="666"/>
      <c r="I52" s="666"/>
      <c r="J52" s="666"/>
      <c r="K52" s="666"/>
      <c r="L52" s="666"/>
      <c r="M52" s="666"/>
      <c r="N52" s="666"/>
      <c r="O52" s="666"/>
      <c r="P52" s="666"/>
      <c r="Q52" s="666"/>
      <c r="R52" s="666"/>
      <c r="S52" s="666"/>
      <c r="T52" s="666"/>
      <c r="U52" s="666"/>
      <c r="V52" s="666"/>
      <c r="W52" s="666"/>
      <c r="X52" s="667"/>
    </row>
    <row r="53" spans="1:24" ht="15" customHeight="1" x14ac:dyDescent="0.25">
      <c r="A53" s="602" t="s">
        <v>2291</v>
      </c>
      <c r="B53" s="603"/>
      <c r="C53" s="603"/>
      <c r="D53" s="603"/>
      <c r="E53" s="603"/>
      <c r="F53" s="603"/>
      <c r="G53" s="603"/>
      <c r="H53" s="603"/>
      <c r="I53" s="603"/>
      <c r="J53" s="603"/>
      <c r="K53" s="603"/>
      <c r="L53" s="603"/>
      <c r="M53" s="603"/>
      <c r="N53" s="603"/>
      <c r="O53" s="603"/>
      <c r="P53" s="603"/>
      <c r="Q53" s="603"/>
      <c r="R53" s="603"/>
      <c r="S53" s="603"/>
      <c r="T53" s="603"/>
      <c r="U53" s="603"/>
      <c r="V53" s="603"/>
      <c r="W53" s="603"/>
      <c r="X53" s="604"/>
    </row>
    <row r="54" spans="1:24" ht="15.75" customHeight="1" x14ac:dyDescent="0.25">
      <c r="A54" s="635"/>
      <c r="B54" s="636"/>
      <c r="C54" s="636"/>
      <c r="D54" s="636"/>
      <c r="E54" s="636"/>
      <c r="F54" s="636"/>
      <c r="G54" s="636"/>
      <c r="H54" s="636"/>
      <c r="I54" s="636"/>
      <c r="J54" s="636"/>
      <c r="K54" s="636"/>
      <c r="L54" s="636"/>
      <c r="M54" s="636"/>
      <c r="N54" s="636"/>
      <c r="O54" s="636"/>
      <c r="P54" s="636"/>
      <c r="Q54" s="636"/>
      <c r="R54" s="636"/>
      <c r="S54" s="636"/>
      <c r="T54" s="636"/>
      <c r="U54" s="636"/>
      <c r="V54" s="636"/>
      <c r="W54" s="636"/>
      <c r="X54" s="637"/>
    </row>
    <row r="55" spans="1:24" x14ac:dyDescent="0.25">
      <c r="A55" s="635"/>
      <c r="B55" s="636"/>
      <c r="C55" s="636"/>
      <c r="D55" s="636"/>
      <c r="E55" s="636"/>
      <c r="F55" s="636"/>
      <c r="G55" s="636"/>
      <c r="H55" s="636"/>
      <c r="I55" s="636"/>
      <c r="J55" s="636"/>
      <c r="K55" s="636"/>
      <c r="L55" s="636"/>
      <c r="M55" s="636"/>
      <c r="N55" s="636"/>
      <c r="O55" s="636"/>
      <c r="P55" s="636"/>
      <c r="Q55" s="636"/>
      <c r="R55" s="636"/>
      <c r="S55" s="636"/>
      <c r="T55" s="636"/>
      <c r="U55" s="636"/>
      <c r="V55" s="636"/>
      <c r="W55" s="636"/>
      <c r="X55" s="637"/>
    </row>
    <row r="56" spans="1:24" x14ac:dyDescent="0.25">
      <c r="A56" s="635"/>
      <c r="B56" s="636"/>
      <c r="C56" s="636"/>
      <c r="D56" s="636"/>
      <c r="E56" s="636"/>
      <c r="F56" s="636"/>
      <c r="G56" s="636"/>
      <c r="H56" s="636"/>
      <c r="I56" s="636"/>
      <c r="J56" s="636"/>
      <c r="K56" s="636"/>
      <c r="L56" s="636"/>
      <c r="M56" s="636"/>
      <c r="N56" s="636"/>
      <c r="O56" s="636"/>
      <c r="P56" s="636"/>
      <c r="Q56" s="636"/>
      <c r="R56" s="636"/>
      <c r="S56" s="636"/>
      <c r="T56" s="636"/>
      <c r="U56" s="636"/>
      <c r="V56" s="636"/>
      <c r="W56" s="636"/>
      <c r="X56" s="637"/>
    </row>
    <row r="57" spans="1:24" x14ac:dyDescent="0.25">
      <c r="A57" s="635"/>
      <c r="B57" s="636"/>
      <c r="C57" s="636"/>
      <c r="D57" s="636"/>
      <c r="E57" s="636"/>
      <c r="F57" s="636"/>
      <c r="G57" s="636"/>
      <c r="H57" s="636"/>
      <c r="I57" s="636"/>
      <c r="J57" s="636"/>
      <c r="K57" s="636"/>
      <c r="L57" s="636"/>
      <c r="M57" s="636"/>
      <c r="N57" s="636"/>
      <c r="O57" s="636"/>
      <c r="P57" s="636"/>
      <c r="Q57" s="636"/>
      <c r="R57" s="636"/>
      <c r="S57" s="636"/>
      <c r="T57" s="636"/>
      <c r="U57" s="636"/>
      <c r="V57" s="636"/>
      <c r="W57" s="636"/>
      <c r="X57" s="637"/>
    </row>
    <row r="58" spans="1:24" x14ac:dyDescent="0.25">
      <c r="A58" s="635"/>
      <c r="B58" s="636"/>
      <c r="C58" s="636"/>
      <c r="D58" s="636"/>
      <c r="E58" s="636"/>
      <c r="F58" s="636"/>
      <c r="G58" s="636"/>
      <c r="H58" s="636"/>
      <c r="I58" s="636"/>
      <c r="J58" s="636"/>
      <c r="K58" s="636"/>
      <c r="L58" s="636"/>
      <c r="M58" s="636"/>
      <c r="N58" s="636"/>
      <c r="O58" s="636"/>
      <c r="P58" s="636"/>
      <c r="Q58" s="636"/>
      <c r="R58" s="636"/>
      <c r="S58" s="636"/>
      <c r="T58" s="636"/>
      <c r="U58" s="636"/>
      <c r="V58" s="636"/>
      <c r="W58" s="636"/>
      <c r="X58" s="637"/>
    </row>
    <row r="59" spans="1:24" x14ac:dyDescent="0.25">
      <c r="A59" s="635"/>
      <c r="B59" s="636"/>
      <c r="C59" s="636"/>
      <c r="D59" s="636"/>
      <c r="E59" s="636"/>
      <c r="F59" s="636"/>
      <c r="G59" s="636"/>
      <c r="H59" s="636"/>
      <c r="I59" s="636"/>
      <c r="J59" s="636"/>
      <c r="K59" s="636"/>
      <c r="L59" s="636"/>
      <c r="M59" s="636"/>
      <c r="N59" s="636"/>
      <c r="O59" s="636"/>
      <c r="P59" s="636"/>
      <c r="Q59" s="636"/>
      <c r="R59" s="636"/>
      <c r="S59" s="636"/>
      <c r="T59" s="636"/>
      <c r="U59" s="636"/>
      <c r="V59" s="636"/>
      <c r="W59" s="636"/>
      <c r="X59" s="637"/>
    </row>
    <row r="60" spans="1:24" x14ac:dyDescent="0.25">
      <c r="A60" s="635"/>
      <c r="B60" s="636"/>
      <c r="C60" s="636"/>
      <c r="D60" s="636"/>
      <c r="E60" s="636"/>
      <c r="F60" s="636"/>
      <c r="G60" s="636"/>
      <c r="H60" s="636"/>
      <c r="I60" s="636"/>
      <c r="J60" s="636"/>
      <c r="K60" s="636"/>
      <c r="L60" s="636"/>
      <c r="M60" s="636"/>
      <c r="N60" s="636"/>
      <c r="O60" s="636"/>
      <c r="P60" s="636"/>
      <c r="Q60" s="636"/>
      <c r="R60" s="636"/>
      <c r="S60" s="636"/>
      <c r="T60" s="636"/>
      <c r="U60" s="636"/>
      <c r="V60" s="636"/>
      <c r="W60" s="636"/>
      <c r="X60" s="637"/>
    </row>
    <row r="61" spans="1:24" x14ac:dyDescent="0.25">
      <c r="A61" s="635"/>
      <c r="B61" s="636"/>
      <c r="C61" s="636"/>
      <c r="D61" s="636"/>
      <c r="E61" s="636"/>
      <c r="F61" s="636"/>
      <c r="G61" s="636"/>
      <c r="H61" s="636"/>
      <c r="I61" s="636"/>
      <c r="J61" s="636"/>
      <c r="K61" s="636"/>
      <c r="L61" s="636"/>
      <c r="M61" s="636"/>
      <c r="N61" s="636"/>
      <c r="O61" s="636"/>
      <c r="P61" s="636"/>
      <c r="Q61" s="636"/>
      <c r="R61" s="636"/>
      <c r="S61" s="636"/>
      <c r="T61" s="636"/>
      <c r="U61" s="636"/>
      <c r="V61" s="636"/>
      <c r="W61" s="636"/>
      <c r="X61" s="637"/>
    </row>
    <row r="62" spans="1:24" ht="15.75" thickBot="1" x14ac:dyDescent="0.3">
      <c r="A62" s="635"/>
      <c r="B62" s="636"/>
      <c r="C62" s="636"/>
      <c r="D62" s="636"/>
      <c r="E62" s="636"/>
      <c r="F62" s="636"/>
      <c r="G62" s="636"/>
      <c r="H62" s="636"/>
      <c r="I62" s="636"/>
      <c r="J62" s="636"/>
      <c r="K62" s="636"/>
      <c r="L62" s="636"/>
      <c r="M62" s="636"/>
      <c r="N62" s="636"/>
      <c r="O62" s="636"/>
      <c r="P62" s="636"/>
      <c r="Q62" s="636"/>
      <c r="R62" s="636"/>
      <c r="S62" s="636"/>
      <c r="T62" s="636"/>
      <c r="U62" s="636"/>
      <c r="V62" s="636"/>
      <c r="W62" s="636"/>
      <c r="X62" s="637"/>
    </row>
    <row r="63" spans="1:24" x14ac:dyDescent="0.25">
      <c r="A63" s="596" t="s">
        <v>3092</v>
      </c>
      <c r="B63" s="597"/>
      <c r="C63" s="597"/>
      <c r="D63" s="597"/>
      <c r="E63" s="597"/>
      <c r="F63" s="597"/>
      <c r="G63" s="597"/>
      <c r="H63" s="597"/>
      <c r="I63" s="597"/>
      <c r="J63" s="597"/>
      <c r="K63" s="597"/>
      <c r="L63" s="597"/>
      <c r="M63" s="597"/>
      <c r="N63" s="597"/>
      <c r="O63" s="597"/>
      <c r="P63" s="597"/>
      <c r="Q63" s="597"/>
      <c r="R63" s="597"/>
      <c r="S63" s="597"/>
      <c r="T63" s="597"/>
      <c r="U63" s="597"/>
      <c r="V63" s="597"/>
      <c r="W63" s="597"/>
      <c r="X63" s="598"/>
    </row>
    <row r="64" spans="1:24" ht="15.75" thickBot="1" x14ac:dyDescent="0.3">
      <c r="A64" s="599"/>
      <c r="B64" s="600"/>
      <c r="C64" s="600"/>
      <c r="D64" s="600"/>
      <c r="E64" s="600"/>
      <c r="F64" s="600"/>
      <c r="G64" s="600"/>
      <c r="H64" s="600"/>
      <c r="I64" s="600"/>
      <c r="J64" s="600"/>
      <c r="K64" s="600"/>
      <c r="L64" s="600"/>
      <c r="M64" s="600"/>
      <c r="N64" s="600"/>
      <c r="O64" s="600"/>
      <c r="P64" s="600"/>
      <c r="Q64" s="600"/>
      <c r="R64" s="600"/>
      <c r="S64" s="600"/>
      <c r="T64" s="600"/>
      <c r="U64" s="600"/>
      <c r="V64" s="600"/>
      <c r="W64" s="600"/>
      <c r="X64" s="601"/>
    </row>
    <row r="65" spans="1:24" ht="15" customHeight="1" x14ac:dyDescent="0.25">
      <c r="A65" s="602" t="s">
        <v>1756</v>
      </c>
      <c r="B65" s="603"/>
      <c r="C65" s="603"/>
      <c r="D65" s="603"/>
      <c r="E65" s="603"/>
      <c r="F65" s="603"/>
      <c r="G65" s="603"/>
      <c r="H65" s="603"/>
      <c r="I65" s="603"/>
      <c r="J65" s="603"/>
      <c r="K65" s="603"/>
      <c r="L65" s="603"/>
      <c r="M65" s="603"/>
      <c r="N65" s="603"/>
      <c r="O65" s="603"/>
      <c r="P65" s="603"/>
      <c r="Q65" s="603"/>
      <c r="R65" s="603"/>
      <c r="S65" s="603"/>
      <c r="T65" s="603"/>
      <c r="U65" s="603"/>
      <c r="V65" s="603"/>
      <c r="W65" s="603"/>
      <c r="X65" s="604"/>
    </row>
    <row r="66" spans="1:24" x14ac:dyDescent="0.25">
      <c r="A66" s="605"/>
      <c r="B66" s="606"/>
      <c r="C66" s="606"/>
      <c r="D66" s="606"/>
      <c r="E66" s="606"/>
      <c r="F66" s="606"/>
      <c r="G66" s="606"/>
      <c r="H66" s="606"/>
      <c r="I66" s="606"/>
      <c r="J66" s="606"/>
      <c r="K66" s="606"/>
      <c r="L66" s="606"/>
      <c r="M66" s="606"/>
      <c r="N66" s="606"/>
      <c r="O66" s="606"/>
      <c r="P66" s="606"/>
      <c r="Q66" s="606"/>
      <c r="R66" s="606"/>
      <c r="S66" s="606"/>
      <c r="T66" s="606"/>
      <c r="U66" s="606"/>
      <c r="V66" s="606"/>
      <c r="W66" s="606"/>
      <c r="X66" s="607"/>
    </row>
    <row r="67" spans="1:24" x14ac:dyDescent="0.25">
      <c r="A67" s="608" t="s">
        <v>1757</v>
      </c>
      <c r="B67" s="609"/>
      <c r="C67" s="609"/>
      <c r="D67" s="609"/>
      <c r="E67" s="609"/>
      <c r="F67" s="609"/>
      <c r="G67" s="609"/>
      <c r="H67" s="609"/>
      <c r="I67" s="609"/>
      <c r="J67" s="609"/>
      <c r="K67" s="609"/>
      <c r="L67" s="609"/>
      <c r="M67" s="609"/>
      <c r="N67" s="609"/>
      <c r="O67" s="609"/>
      <c r="P67" s="609"/>
      <c r="Q67" s="609"/>
      <c r="R67" s="609"/>
      <c r="S67" s="609"/>
      <c r="T67" s="609"/>
      <c r="U67" s="609"/>
      <c r="V67" s="609"/>
      <c r="W67" s="609"/>
      <c r="X67" s="610"/>
    </row>
    <row r="68" spans="1:24" x14ac:dyDescent="0.25">
      <c r="A68" s="611" t="s">
        <v>3093</v>
      </c>
      <c r="B68" s="612"/>
      <c r="C68" s="612"/>
      <c r="D68" s="612"/>
      <c r="E68" s="612"/>
      <c r="F68" s="612"/>
      <c r="G68" s="612"/>
      <c r="H68" s="612"/>
      <c r="I68" s="612"/>
      <c r="J68" s="612"/>
      <c r="K68" s="612"/>
      <c r="L68" s="612"/>
      <c r="M68" s="612"/>
      <c r="N68" s="612"/>
      <c r="O68" s="612"/>
      <c r="P68" s="612"/>
      <c r="Q68" s="612"/>
      <c r="R68" s="612"/>
      <c r="S68" s="612"/>
      <c r="T68" s="612"/>
      <c r="U68" s="612"/>
      <c r="V68" s="612"/>
      <c r="W68" s="612"/>
      <c r="X68" s="613"/>
    </row>
    <row r="69" spans="1:24" x14ac:dyDescent="0.25">
      <c r="A69" s="608" t="s">
        <v>1758</v>
      </c>
      <c r="B69" s="609"/>
      <c r="C69" s="609"/>
      <c r="D69" s="609"/>
      <c r="E69" s="609"/>
      <c r="F69" s="609"/>
      <c r="G69" s="609"/>
      <c r="H69" s="609"/>
      <c r="I69" s="609"/>
      <c r="J69" s="609"/>
      <c r="K69" s="609"/>
      <c r="L69" s="609"/>
      <c r="M69" s="609"/>
      <c r="N69" s="609"/>
      <c r="O69" s="609"/>
      <c r="P69" s="609"/>
      <c r="Q69" s="609"/>
      <c r="R69" s="609"/>
      <c r="S69" s="609"/>
      <c r="T69" s="609"/>
      <c r="U69" s="609"/>
      <c r="V69" s="609"/>
      <c r="W69" s="609"/>
      <c r="X69" s="610"/>
    </row>
    <row r="70" spans="1:24" x14ac:dyDescent="0.25">
      <c r="A70" s="614" t="s">
        <v>74</v>
      </c>
      <c r="B70" s="615"/>
      <c r="C70" s="615"/>
      <c r="D70" s="615"/>
      <c r="E70" s="615"/>
      <c r="F70" s="615"/>
      <c r="G70" s="615"/>
      <c r="H70" s="615"/>
      <c r="I70" s="615"/>
      <c r="J70" s="615"/>
      <c r="K70" s="615"/>
      <c r="L70" s="615"/>
      <c r="M70" s="615"/>
      <c r="N70" s="615"/>
      <c r="O70" s="615"/>
      <c r="P70" s="615"/>
      <c r="Q70" s="615"/>
      <c r="R70" s="615"/>
      <c r="S70" s="615"/>
      <c r="T70" s="615"/>
      <c r="U70" s="615"/>
      <c r="V70" s="615"/>
      <c r="W70" s="615"/>
      <c r="X70" s="616"/>
    </row>
    <row r="71" spans="1:24" ht="15" customHeight="1" x14ac:dyDescent="0.25">
      <c r="A71" s="617" t="s">
        <v>2047</v>
      </c>
      <c r="B71" s="618"/>
      <c r="C71" s="618"/>
      <c r="D71" s="618"/>
      <c r="E71" s="618"/>
      <c r="F71" s="618"/>
      <c r="G71" s="618"/>
      <c r="H71" s="618"/>
      <c r="I71" s="618"/>
      <c r="J71" s="618"/>
      <c r="K71" s="618"/>
      <c r="L71" s="618"/>
      <c r="M71" s="618"/>
      <c r="N71" s="618"/>
      <c r="O71" s="618"/>
      <c r="P71" s="618"/>
      <c r="Q71" s="618"/>
      <c r="R71" s="618"/>
      <c r="S71" s="618"/>
      <c r="T71" s="618"/>
      <c r="U71" s="618"/>
      <c r="V71" s="618"/>
      <c r="W71" s="618"/>
      <c r="X71" s="619"/>
    </row>
    <row r="72" spans="1:24" x14ac:dyDescent="0.25">
      <c r="A72" s="620"/>
      <c r="B72" s="621"/>
      <c r="C72" s="621"/>
      <c r="D72" s="621"/>
      <c r="E72" s="621"/>
      <c r="F72" s="621"/>
      <c r="G72" s="621"/>
      <c r="H72" s="621"/>
      <c r="I72" s="621"/>
      <c r="J72" s="621"/>
      <c r="K72" s="621"/>
      <c r="L72" s="621"/>
      <c r="M72" s="621"/>
      <c r="N72" s="621"/>
      <c r="O72" s="621"/>
      <c r="P72" s="621"/>
      <c r="Q72" s="621"/>
      <c r="R72" s="621"/>
      <c r="S72" s="621"/>
      <c r="T72" s="621"/>
      <c r="U72" s="621"/>
      <c r="V72" s="621"/>
      <c r="W72" s="621"/>
      <c r="X72" s="622"/>
    </row>
    <row r="73" spans="1:24" ht="15.75" thickBot="1" x14ac:dyDescent="0.3">
      <c r="A73" s="623" t="s">
        <v>3094</v>
      </c>
      <c r="B73" s="624"/>
      <c r="C73" s="624"/>
      <c r="D73" s="624"/>
      <c r="E73" s="624"/>
      <c r="F73" s="624"/>
      <c r="G73" s="624"/>
      <c r="H73" s="624"/>
      <c r="I73" s="624"/>
      <c r="J73" s="624"/>
      <c r="K73" s="624"/>
      <c r="L73" s="624"/>
      <c r="M73" s="624"/>
      <c r="N73" s="624"/>
      <c r="O73" s="624"/>
      <c r="P73" s="624"/>
      <c r="Q73" s="624"/>
      <c r="R73" s="624"/>
      <c r="S73" s="624"/>
      <c r="T73" s="624"/>
      <c r="U73" s="624"/>
      <c r="V73" s="624"/>
      <c r="W73" s="624"/>
      <c r="X73" s="625"/>
    </row>
    <row r="74" spans="1:24" x14ac:dyDescent="0.25">
      <c r="A74" s="602" t="s">
        <v>2048</v>
      </c>
      <c r="B74" s="603"/>
      <c r="C74" s="603"/>
      <c r="D74" s="603"/>
      <c r="E74" s="603"/>
      <c r="F74" s="603"/>
      <c r="G74" s="603"/>
      <c r="H74" s="603"/>
      <c r="I74" s="603"/>
      <c r="J74" s="603"/>
      <c r="K74" s="603"/>
      <c r="L74" s="603"/>
      <c r="M74" s="603"/>
      <c r="N74" s="603"/>
      <c r="O74" s="603"/>
      <c r="P74" s="603"/>
      <c r="Q74" s="603"/>
      <c r="R74" s="603"/>
      <c r="S74" s="603"/>
      <c r="T74" s="603"/>
      <c r="U74" s="603"/>
      <c r="V74" s="603"/>
      <c r="W74" s="603"/>
      <c r="X74" s="604"/>
    </row>
    <row r="75" spans="1:24" x14ac:dyDescent="0.25">
      <c r="A75" s="635"/>
      <c r="B75" s="636"/>
      <c r="C75" s="636"/>
      <c r="D75" s="636"/>
      <c r="E75" s="636"/>
      <c r="F75" s="636"/>
      <c r="G75" s="636"/>
      <c r="H75" s="636"/>
      <c r="I75" s="636"/>
      <c r="J75" s="636"/>
      <c r="K75" s="636"/>
      <c r="L75" s="636"/>
      <c r="M75" s="636"/>
      <c r="N75" s="636"/>
      <c r="O75" s="636"/>
      <c r="P75" s="636"/>
      <c r="Q75" s="636"/>
      <c r="R75" s="636"/>
      <c r="S75" s="636"/>
      <c r="T75" s="636"/>
      <c r="U75" s="636"/>
      <c r="V75" s="636"/>
      <c r="W75" s="636"/>
      <c r="X75" s="637"/>
    </row>
    <row r="76" spans="1:24" x14ac:dyDescent="0.25">
      <c r="A76" s="635"/>
      <c r="B76" s="636"/>
      <c r="C76" s="636"/>
      <c r="D76" s="636"/>
      <c r="E76" s="636"/>
      <c r="F76" s="636"/>
      <c r="G76" s="636"/>
      <c r="H76" s="636"/>
      <c r="I76" s="636"/>
      <c r="J76" s="636"/>
      <c r="K76" s="636"/>
      <c r="L76" s="636"/>
      <c r="M76" s="636"/>
      <c r="N76" s="636"/>
      <c r="O76" s="636"/>
      <c r="P76" s="636"/>
      <c r="Q76" s="636"/>
      <c r="R76" s="636"/>
      <c r="S76" s="636"/>
      <c r="T76" s="636"/>
      <c r="U76" s="636"/>
      <c r="V76" s="636"/>
      <c r="W76" s="636"/>
      <c r="X76" s="637"/>
    </row>
    <row r="77" spans="1:24" x14ac:dyDescent="0.25">
      <c r="A77" s="635"/>
      <c r="B77" s="636"/>
      <c r="C77" s="636"/>
      <c r="D77" s="636"/>
      <c r="E77" s="636"/>
      <c r="F77" s="636"/>
      <c r="G77" s="636"/>
      <c r="H77" s="636"/>
      <c r="I77" s="636"/>
      <c r="J77" s="636"/>
      <c r="K77" s="636"/>
      <c r="L77" s="636"/>
      <c r="M77" s="636"/>
      <c r="N77" s="636"/>
      <c r="O77" s="636"/>
      <c r="P77" s="636"/>
      <c r="Q77" s="636"/>
      <c r="R77" s="636"/>
      <c r="S77" s="636"/>
      <c r="T77" s="636"/>
      <c r="U77" s="636"/>
      <c r="V77" s="636"/>
      <c r="W77" s="636"/>
      <c r="X77" s="637"/>
    </row>
    <row r="78" spans="1:24" x14ac:dyDescent="0.25">
      <c r="A78" s="635"/>
      <c r="B78" s="636"/>
      <c r="C78" s="636"/>
      <c r="D78" s="636"/>
      <c r="E78" s="636"/>
      <c r="F78" s="636"/>
      <c r="G78" s="636"/>
      <c r="H78" s="636"/>
      <c r="I78" s="636"/>
      <c r="J78" s="636"/>
      <c r="K78" s="636"/>
      <c r="L78" s="636"/>
      <c r="M78" s="636"/>
      <c r="N78" s="636"/>
      <c r="O78" s="636"/>
      <c r="P78" s="636"/>
      <c r="Q78" s="636"/>
      <c r="R78" s="636"/>
      <c r="S78" s="636"/>
      <c r="T78" s="636"/>
      <c r="U78" s="636"/>
      <c r="V78" s="636"/>
      <c r="W78" s="636"/>
      <c r="X78" s="637"/>
    </row>
    <row r="79" spans="1:24" x14ac:dyDescent="0.25">
      <c r="A79" s="635"/>
      <c r="B79" s="636"/>
      <c r="C79" s="636"/>
      <c r="D79" s="636"/>
      <c r="E79" s="636"/>
      <c r="F79" s="636"/>
      <c r="G79" s="636"/>
      <c r="H79" s="636"/>
      <c r="I79" s="636"/>
      <c r="J79" s="636"/>
      <c r="K79" s="636"/>
      <c r="L79" s="636"/>
      <c r="M79" s="636"/>
      <c r="N79" s="636"/>
      <c r="O79" s="636"/>
      <c r="P79" s="636"/>
      <c r="Q79" s="636"/>
      <c r="R79" s="636"/>
      <c r="S79" s="636"/>
      <c r="T79" s="636"/>
      <c r="U79" s="636"/>
      <c r="V79" s="636"/>
      <c r="W79" s="636"/>
      <c r="X79" s="637"/>
    </row>
    <row r="80" spans="1:24" x14ac:dyDescent="0.25">
      <c r="A80" s="635"/>
      <c r="B80" s="636"/>
      <c r="C80" s="636"/>
      <c r="D80" s="636"/>
      <c r="E80" s="636"/>
      <c r="F80" s="636"/>
      <c r="G80" s="636"/>
      <c r="H80" s="636"/>
      <c r="I80" s="636"/>
      <c r="J80" s="636"/>
      <c r="K80" s="636"/>
      <c r="L80" s="636"/>
      <c r="M80" s="636"/>
      <c r="N80" s="636"/>
      <c r="O80" s="636"/>
      <c r="P80" s="636"/>
      <c r="Q80" s="636"/>
      <c r="R80" s="636"/>
      <c r="S80" s="636"/>
      <c r="T80" s="636"/>
      <c r="U80" s="636"/>
      <c r="V80" s="636"/>
      <c r="W80" s="636"/>
      <c r="X80" s="637"/>
    </row>
    <row r="81" spans="1:27" x14ac:dyDescent="0.25">
      <c r="A81" s="635"/>
      <c r="B81" s="636"/>
      <c r="C81" s="636"/>
      <c r="D81" s="636"/>
      <c r="E81" s="636"/>
      <c r="F81" s="636"/>
      <c r="G81" s="636"/>
      <c r="H81" s="636"/>
      <c r="I81" s="636"/>
      <c r="J81" s="636"/>
      <c r="K81" s="636"/>
      <c r="L81" s="636"/>
      <c r="M81" s="636"/>
      <c r="N81" s="636"/>
      <c r="O81" s="636"/>
      <c r="P81" s="636"/>
      <c r="Q81" s="636"/>
      <c r="R81" s="636"/>
      <c r="S81" s="636"/>
      <c r="T81" s="636"/>
      <c r="U81" s="636"/>
      <c r="V81" s="636"/>
      <c r="W81" s="636"/>
      <c r="X81" s="637"/>
    </row>
    <row r="82" spans="1:27" ht="15.75" thickBot="1" x14ac:dyDescent="0.3">
      <c r="A82" s="644"/>
      <c r="B82" s="645"/>
      <c r="C82" s="645"/>
      <c r="D82" s="645"/>
      <c r="E82" s="645"/>
      <c r="F82" s="645"/>
      <c r="G82" s="645"/>
      <c r="H82" s="645"/>
      <c r="I82" s="645"/>
      <c r="J82" s="645"/>
      <c r="K82" s="645"/>
      <c r="L82" s="645"/>
      <c r="M82" s="645"/>
      <c r="N82" s="645"/>
      <c r="O82" s="645"/>
      <c r="P82" s="645"/>
      <c r="Q82" s="645"/>
      <c r="R82" s="645"/>
      <c r="S82" s="645"/>
      <c r="T82" s="645"/>
      <c r="U82" s="645"/>
      <c r="V82" s="645"/>
      <c r="W82" s="645"/>
      <c r="X82" s="646"/>
    </row>
    <row r="83" spans="1:27" ht="15" customHeight="1" x14ac:dyDescent="0.25">
      <c r="A83" s="602" t="s">
        <v>3095</v>
      </c>
      <c r="B83" s="603"/>
      <c r="C83" s="603"/>
      <c r="D83" s="603"/>
      <c r="E83" s="603"/>
      <c r="F83" s="603"/>
      <c r="G83" s="603"/>
      <c r="H83" s="603"/>
      <c r="I83" s="603"/>
      <c r="J83" s="603"/>
      <c r="K83" s="603"/>
      <c r="L83" s="603"/>
      <c r="M83" s="603"/>
      <c r="N83" s="603"/>
      <c r="O83" s="603"/>
      <c r="P83" s="603"/>
      <c r="Q83" s="603"/>
      <c r="R83" s="603"/>
      <c r="S83" s="603"/>
      <c r="T83" s="603"/>
      <c r="U83" s="603"/>
      <c r="V83" s="603"/>
      <c r="W83" s="603"/>
      <c r="X83" s="604"/>
    </row>
    <row r="84" spans="1:27" x14ac:dyDescent="0.25">
      <c r="A84" s="635"/>
      <c r="B84" s="636"/>
      <c r="C84" s="636"/>
      <c r="D84" s="636"/>
      <c r="E84" s="636"/>
      <c r="F84" s="636"/>
      <c r="G84" s="636"/>
      <c r="H84" s="636"/>
      <c r="I84" s="636"/>
      <c r="J84" s="636"/>
      <c r="K84" s="636"/>
      <c r="L84" s="636"/>
      <c r="M84" s="636"/>
      <c r="N84" s="636"/>
      <c r="O84" s="636"/>
      <c r="P84" s="636"/>
      <c r="Q84" s="636"/>
      <c r="R84" s="636"/>
      <c r="S84" s="636"/>
      <c r="T84" s="636"/>
      <c r="U84" s="636"/>
      <c r="V84" s="636"/>
      <c r="W84" s="636"/>
      <c r="X84" s="637"/>
    </row>
    <row r="85" spans="1:27" x14ac:dyDescent="0.25">
      <c r="A85" s="635"/>
      <c r="B85" s="636"/>
      <c r="C85" s="636"/>
      <c r="D85" s="636"/>
      <c r="E85" s="636"/>
      <c r="F85" s="636"/>
      <c r="G85" s="636"/>
      <c r="H85" s="636"/>
      <c r="I85" s="636"/>
      <c r="J85" s="636"/>
      <c r="K85" s="636"/>
      <c r="L85" s="636"/>
      <c r="M85" s="636"/>
      <c r="N85" s="636"/>
      <c r="O85" s="636"/>
      <c r="P85" s="636"/>
      <c r="Q85" s="636"/>
      <c r="R85" s="636"/>
      <c r="S85" s="636"/>
      <c r="T85" s="636"/>
      <c r="U85" s="636"/>
      <c r="V85" s="636"/>
      <c r="W85" s="636"/>
      <c r="X85" s="637"/>
    </row>
    <row r="86" spans="1:27" x14ac:dyDescent="0.25">
      <c r="A86" s="635"/>
      <c r="B86" s="636"/>
      <c r="C86" s="636"/>
      <c r="D86" s="636"/>
      <c r="E86" s="636"/>
      <c r="F86" s="636"/>
      <c r="G86" s="636"/>
      <c r="H86" s="636"/>
      <c r="I86" s="636"/>
      <c r="J86" s="636"/>
      <c r="K86" s="636"/>
      <c r="L86" s="636"/>
      <c r="M86" s="636"/>
      <c r="N86" s="636"/>
      <c r="O86" s="636"/>
      <c r="P86" s="636"/>
      <c r="Q86" s="636"/>
      <c r="R86" s="636"/>
      <c r="S86" s="636"/>
      <c r="T86" s="636"/>
      <c r="U86" s="636"/>
      <c r="V86" s="636"/>
      <c r="W86" s="636"/>
      <c r="X86" s="637"/>
    </row>
    <row r="87" spans="1:27" x14ac:dyDescent="0.25">
      <c r="A87" s="635"/>
      <c r="B87" s="636"/>
      <c r="C87" s="636"/>
      <c r="D87" s="636"/>
      <c r="E87" s="636"/>
      <c r="F87" s="636"/>
      <c r="G87" s="636"/>
      <c r="H87" s="636"/>
      <c r="I87" s="636"/>
      <c r="J87" s="636"/>
      <c r="K87" s="636"/>
      <c r="L87" s="636"/>
      <c r="M87" s="636"/>
      <c r="N87" s="636"/>
      <c r="O87" s="636"/>
      <c r="P87" s="636"/>
      <c r="Q87" s="636"/>
      <c r="R87" s="636"/>
      <c r="S87" s="636"/>
      <c r="T87" s="636"/>
      <c r="U87" s="636"/>
      <c r="V87" s="636"/>
      <c r="W87" s="636"/>
      <c r="X87" s="637"/>
    </row>
    <row r="88" spans="1:27" ht="15.75" thickBot="1" x14ac:dyDescent="0.3">
      <c r="A88" s="635"/>
      <c r="B88" s="636"/>
      <c r="C88" s="636"/>
      <c r="D88" s="636"/>
      <c r="E88" s="636"/>
      <c r="F88" s="636"/>
      <c r="G88" s="636"/>
      <c r="H88" s="636"/>
      <c r="I88" s="636"/>
      <c r="J88" s="636"/>
      <c r="K88" s="636"/>
      <c r="L88" s="636"/>
      <c r="M88" s="636"/>
      <c r="N88" s="636"/>
      <c r="O88" s="636"/>
      <c r="P88" s="636"/>
      <c r="Q88" s="636"/>
      <c r="R88" s="636"/>
      <c r="S88" s="636"/>
      <c r="T88" s="636"/>
      <c r="U88" s="636"/>
      <c r="V88" s="636"/>
      <c r="W88" s="636"/>
      <c r="X88" s="637"/>
    </row>
    <row r="89" spans="1:27" x14ac:dyDescent="0.25">
      <c r="A89" s="596" t="s">
        <v>3096</v>
      </c>
      <c r="B89" s="597"/>
      <c r="C89" s="597"/>
      <c r="D89" s="597"/>
      <c r="E89" s="597"/>
      <c r="F89" s="597"/>
      <c r="G89" s="597"/>
      <c r="H89" s="597"/>
      <c r="I89" s="597"/>
      <c r="J89" s="597"/>
      <c r="K89" s="597"/>
      <c r="L89" s="597"/>
      <c r="M89" s="597"/>
      <c r="N89" s="597"/>
      <c r="O89" s="597"/>
      <c r="P89" s="597"/>
      <c r="Q89" s="597"/>
      <c r="R89" s="597"/>
      <c r="S89" s="597"/>
      <c r="T89" s="597"/>
      <c r="U89" s="597"/>
      <c r="V89" s="597"/>
      <c r="W89" s="597"/>
      <c r="X89" s="598"/>
    </row>
    <row r="90" spans="1:27" ht="15.75" thickBot="1" x14ac:dyDescent="0.3">
      <c r="A90" s="626"/>
      <c r="B90" s="627"/>
      <c r="C90" s="627"/>
      <c r="D90" s="627"/>
      <c r="E90" s="627"/>
      <c r="F90" s="627"/>
      <c r="G90" s="627"/>
      <c r="H90" s="627"/>
      <c r="I90" s="627"/>
      <c r="J90" s="627"/>
      <c r="K90" s="627"/>
      <c r="L90" s="627"/>
      <c r="M90" s="627"/>
      <c r="N90" s="627"/>
      <c r="O90" s="627"/>
      <c r="P90" s="627"/>
      <c r="Q90" s="627"/>
      <c r="R90" s="627"/>
      <c r="S90" s="627"/>
      <c r="T90" s="627"/>
      <c r="U90" s="627"/>
      <c r="V90" s="627"/>
      <c r="W90" s="627"/>
      <c r="X90" s="628"/>
    </row>
    <row r="91" spans="1:27" ht="15" customHeight="1" x14ac:dyDescent="0.25">
      <c r="A91" s="629" t="s">
        <v>3098</v>
      </c>
      <c r="B91" s="630"/>
      <c r="C91" s="630"/>
      <c r="D91" s="630"/>
      <c r="E91" s="630"/>
      <c r="F91" s="630"/>
      <c r="G91" s="630"/>
      <c r="H91" s="630"/>
      <c r="I91" s="630"/>
      <c r="J91" s="630"/>
      <c r="K91" s="630"/>
      <c r="L91" s="630"/>
      <c r="M91" s="630"/>
      <c r="N91" s="630"/>
      <c r="O91" s="630"/>
      <c r="P91" s="630"/>
      <c r="Q91" s="630"/>
      <c r="R91" s="630"/>
      <c r="S91" s="630"/>
      <c r="T91" s="630"/>
      <c r="U91" s="630"/>
      <c r="V91" s="630"/>
      <c r="W91" s="630"/>
      <c r="X91" s="631"/>
    </row>
    <row r="92" spans="1:27" ht="15" customHeight="1" x14ac:dyDescent="0.25">
      <c r="A92" s="632" t="s">
        <v>3548</v>
      </c>
      <c r="B92" s="633"/>
      <c r="C92" s="633"/>
      <c r="D92" s="633"/>
      <c r="E92" s="633"/>
      <c r="F92" s="633"/>
      <c r="G92" s="633"/>
      <c r="H92" s="633"/>
      <c r="I92" s="633"/>
      <c r="J92" s="633"/>
      <c r="K92" s="633"/>
      <c r="L92" s="633"/>
      <c r="M92" s="633"/>
      <c r="N92" s="633"/>
      <c r="O92" s="633"/>
      <c r="P92" s="633"/>
      <c r="Q92" s="633"/>
      <c r="R92" s="633"/>
      <c r="S92" s="633"/>
      <c r="T92" s="633"/>
      <c r="U92" s="633"/>
      <c r="V92" s="633"/>
      <c r="W92" s="633"/>
      <c r="X92" s="634"/>
    </row>
    <row r="93" spans="1:27" x14ac:dyDescent="0.25">
      <c r="A93" s="632"/>
      <c r="B93" s="633"/>
      <c r="C93" s="633"/>
      <c r="D93" s="633"/>
      <c r="E93" s="633"/>
      <c r="F93" s="633"/>
      <c r="G93" s="633"/>
      <c r="H93" s="633"/>
      <c r="I93" s="633"/>
      <c r="J93" s="633"/>
      <c r="K93" s="633"/>
      <c r="L93" s="633"/>
      <c r="M93" s="633"/>
      <c r="N93" s="633"/>
      <c r="O93" s="633"/>
      <c r="P93" s="633"/>
      <c r="Q93" s="633"/>
      <c r="R93" s="633"/>
      <c r="S93" s="633"/>
      <c r="T93" s="633"/>
      <c r="U93" s="633"/>
      <c r="V93" s="633"/>
      <c r="W93" s="633"/>
      <c r="X93" s="634"/>
    </row>
    <row r="94" spans="1:27" x14ac:dyDescent="0.25">
      <c r="A94" s="632"/>
      <c r="B94" s="633"/>
      <c r="C94" s="633"/>
      <c r="D94" s="633"/>
      <c r="E94" s="633"/>
      <c r="F94" s="633"/>
      <c r="G94" s="633"/>
      <c r="H94" s="633"/>
      <c r="I94" s="633"/>
      <c r="J94" s="633"/>
      <c r="K94" s="633"/>
      <c r="L94" s="633"/>
      <c r="M94" s="633"/>
      <c r="N94" s="633"/>
      <c r="O94" s="633"/>
      <c r="P94" s="633"/>
      <c r="Q94" s="633"/>
      <c r="R94" s="633"/>
      <c r="S94" s="633"/>
      <c r="T94" s="633"/>
      <c r="U94" s="633"/>
      <c r="V94" s="633"/>
      <c r="W94" s="633"/>
      <c r="X94" s="634"/>
      <c r="AA94" s="19"/>
    </row>
    <row r="95" spans="1:27" x14ac:dyDescent="0.25">
      <c r="A95" s="632"/>
      <c r="B95" s="633"/>
      <c r="C95" s="633"/>
      <c r="D95" s="633"/>
      <c r="E95" s="633"/>
      <c r="F95" s="633"/>
      <c r="G95" s="633"/>
      <c r="H95" s="633"/>
      <c r="I95" s="633"/>
      <c r="J95" s="633"/>
      <c r="K95" s="633"/>
      <c r="L95" s="633"/>
      <c r="M95" s="633"/>
      <c r="N95" s="633"/>
      <c r="O95" s="633"/>
      <c r="P95" s="633"/>
      <c r="Q95" s="633"/>
      <c r="R95" s="633"/>
      <c r="S95" s="633"/>
      <c r="T95" s="633"/>
      <c r="U95" s="633"/>
      <c r="V95" s="633"/>
      <c r="W95" s="633"/>
      <c r="X95" s="634"/>
      <c r="AA95" s="19"/>
    </row>
    <row r="96" spans="1:27" x14ac:dyDescent="0.25">
      <c r="A96" s="632"/>
      <c r="B96" s="633"/>
      <c r="C96" s="633"/>
      <c r="D96" s="633"/>
      <c r="E96" s="633"/>
      <c r="F96" s="633"/>
      <c r="G96" s="633"/>
      <c r="H96" s="633"/>
      <c r="I96" s="633"/>
      <c r="J96" s="633"/>
      <c r="K96" s="633"/>
      <c r="L96" s="633"/>
      <c r="M96" s="633"/>
      <c r="N96" s="633"/>
      <c r="O96" s="633"/>
      <c r="P96" s="633"/>
      <c r="Q96" s="633"/>
      <c r="R96" s="633"/>
      <c r="S96" s="633"/>
      <c r="T96" s="633"/>
      <c r="U96" s="633"/>
      <c r="V96" s="633"/>
      <c r="W96" s="633"/>
      <c r="X96" s="634"/>
      <c r="AA96" s="19"/>
    </row>
    <row r="97" spans="1:27" x14ac:dyDescent="0.25">
      <c r="A97" s="632"/>
      <c r="B97" s="633"/>
      <c r="C97" s="633"/>
      <c r="D97" s="633"/>
      <c r="E97" s="633"/>
      <c r="F97" s="633"/>
      <c r="G97" s="633"/>
      <c r="H97" s="633"/>
      <c r="I97" s="633"/>
      <c r="J97" s="633"/>
      <c r="K97" s="633"/>
      <c r="L97" s="633"/>
      <c r="M97" s="633"/>
      <c r="N97" s="633"/>
      <c r="O97" s="633"/>
      <c r="P97" s="633"/>
      <c r="Q97" s="633"/>
      <c r="R97" s="633"/>
      <c r="S97" s="633"/>
      <c r="T97" s="633"/>
      <c r="U97" s="633"/>
      <c r="V97" s="633"/>
      <c r="W97" s="633"/>
      <c r="X97" s="634"/>
    </row>
    <row r="98" spans="1:27" x14ac:dyDescent="0.25">
      <c r="A98" s="632"/>
      <c r="B98" s="633"/>
      <c r="C98" s="633"/>
      <c r="D98" s="633"/>
      <c r="E98" s="633"/>
      <c r="F98" s="633"/>
      <c r="G98" s="633"/>
      <c r="H98" s="633"/>
      <c r="I98" s="633"/>
      <c r="J98" s="633"/>
      <c r="K98" s="633"/>
      <c r="L98" s="633"/>
      <c r="M98" s="633"/>
      <c r="N98" s="633"/>
      <c r="O98" s="633"/>
      <c r="P98" s="633"/>
      <c r="Q98" s="633"/>
      <c r="R98" s="633"/>
      <c r="S98" s="633"/>
      <c r="T98" s="633"/>
      <c r="U98" s="633"/>
      <c r="V98" s="633"/>
      <c r="W98" s="633"/>
      <c r="X98" s="634"/>
    </row>
    <row r="99" spans="1:27" x14ac:dyDescent="0.25">
      <c r="A99" s="632"/>
      <c r="B99" s="633"/>
      <c r="C99" s="633"/>
      <c r="D99" s="633"/>
      <c r="E99" s="633"/>
      <c r="F99" s="633"/>
      <c r="G99" s="633"/>
      <c r="H99" s="633"/>
      <c r="I99" s="633"/>
      <c r="J99" s="633"/>
      <c r="K99" s="633"/>
      <c r="L99" s="633"/>
      <c r="M99" s="633"/>
      <c r="N99" s="633"/>
      <c r="O99" s="633"/>
      <c r="P99" s="633"/>
      <c r="Q99" s="633"/>
      <c r="R99" s="633"/>
      <c r="S99" s="633"/>
      <c r="T99" s="633"/>
      <c r="U99" s="633"/>
      <c r="V99" s="633"/>
      <c r="W99" s="633"/>
      <c r="X99" s="634"/>
    </row>
    <row r="100" spans="1:27" x14ac:dyDescent="0.25">
      <c r="A100" s="632"/>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634"/>
      <c r="AA100" s="19"/>
    </row>
    <row r="101" spans="1:27" x14ac:dyDescent="0.25">
      <c r="A101" s="632"/>
      <c r="B101" s="633"/>
      <c r="C101" s="633"/>
      <c r="D101" s="633"/>
      <c r="E101" s="633"/>
      <c r="F101" s="633"/>
      <c r="G101" s="633"/>
      <c r="H101" s="633"/>
      <c r="I101" s="633"/>
      <c r="J101" s="633"/>
      <c r="K101" s="633"/>
      <c r="L101" s="633"/>
      <c r="M101" s="633"/>
      <c r="N101" s="633"/>
      <c r="O101" s="633"/>
      <c r="P101" s="633"/>
      <c r="Q101" s="633"/>
      <c r="R101" s="633"/>
      <c r="S101" s="633"/>
      <c r="T101" s="633"/>
      <c r="U101" s="633"/>
      <c r="V101" s="633"/>
      <c r="W101" s="633"/>
      <c r="X101" s="634"/>
    </row>
    <row r="102" spans="1:27" ht="15" customHeight="1" x14ac:dyDescent="0.25">
      <c r="A102" s="632" t="s">
        <v>3099</v>
      </c>
      <c r="B102" s="633"/>
      <c r="C102" s="633"/>
      <c r="D102" s="633"/>
      <c r="E102" s="633"/>
      <c r="F102" s="633"/>
      <c r="G102" s="633"/>
      <c r="H102" s="633"/>
      <c r="I102" s="633"/>
      <c r="J102" s="633"/>
      <c r="K102" s="633"/>
      <c r="L102" s="633"/>
      <c r="M102" s="633"/>
      <c r="N102" s="633"/>
      <c r="O102" s="633"/>
      <c r="P102" s="633"/>
      <c r="Q102" s="633"/>
      <c r="R102" s="633"/>
      <c r="S102" s="633"/>
      <c r="T102" s="633"/>
      <c r="U102" s="633"/>
      <c r="V102" s="633"/>
      <c r="W102" s="633"/>
      <c r="X102" s="634"/>
    </row>
    <row r="103" spans="1:27" x14ac:dyDescent="0.25">
      <c r="A103" s="632"/>
      <c r="B103" s="633"/>
      <c r="C103" s="633"/>
      <c r="D103" s="633"/>
      <c r="E103" s="633"/>
      <c r="F103" s="633"/>
      <c r="G103" s="633"/>
      <c r="H103" s="633"/>
      <c r="I103" s="633"/>
      <c r="J103" s="633"/>
      <c r="K103" s="633"/>
      <c r="L103" s="633"/>
      <c r="M103" s="633"/>
      <c r="N103" s="633"/>
      <c r="O103" s="633"/>
      <c r="P103" s="633"/>
      <c r="Q103" s="633"/>
      <c r="R103" s="633"/>
      <c r="S103" s="633"/>
      <c r="T103" s="633"/>
      <c r="U103" s="633"/>
      <c r="V103" s="633"/>
      <c r="W103" s="633"/>
      <c r="X103" s="634"/>
    </row>
    <row r="104" spans="1:27" x14ac:dyDescent="0.25">
      <c r="A104" s="632"/>
      <c r="B104" s="633"/>
      <c r="C104" s="633"/>
      <c r="D104" s="633"/>
      <c r="E104" s="633"/>
      <c r="F104" s="633"/>
      <c r="G104" s="633"/>
      <c r="H104" s="633"/>
      <c r="I104" s="633"/>
      <c r="J104" s="633"/>
      <c r="K104" s="633"/>
      <c r="L104" s="633"/>
      <c r="M104" s="633"/>
      <c r="N104" s="633"/>
      <c r="O104" s="633"/>
      <c r="P104" s="633"/>
      <c r="Q104" s="633"/>
      <c r="R104" s="633"/>
      <c r="S104" s="633"/>
      <c r="T104" s="633"/>
      <c r="U104" s="633"/>
      <c r="V104" s="633"/>
      <c r="W104" s="633"/>
      <c r="X104" s="634"/>
    </row>
    <row r="105" spans="1:27" x14ac:dyDescent="0.25">
      <c r="A105" s="632"/>
      <c r="B105" s="633"/>
      <c r="C105" s="633"/>
      <c r="D105" s="633"/>
      <c r="E105" s="633"/>
      <c r="F105" s="633"/>
      <c r="G105" s="633"/>
      <c r="H105" s="633"/>
      <c r="I105" s="633"/>
      <c r="J105" s="633"/>
      <c r="K105" s="633"/>
      <c r="L105" s="633"/>
      <c r="M105" s="633"/>
      <c r="N105" s="633"/>
      <c r="O105" s="633"/>
      <c r="P105" s="633"/>
      <c r="Q105" s="633"/>
      <c r="R105" s="633"/>
      <c r="S105" s="633"/>
      <c r="T105" s="633"/>
      <c r="U105" s="633"/>
      <c r="V105" s="633"/>
      <c r="W105" s="633"/>
      <c r="X105" s="634"/>
    </row>
    <row r="106" spans="1:27" x14ac:dyDescent="0.25">
      <c r="A106" s="632"/>
      <c r="B106" s="633"/>
      <c r="C106" s="633"/>
      <c r="D106" s="633"/>
      <c r="E106" s="633"/>
      <c r="F106" s="633"/>
      <c r="G106" s="633"/>
      <c r="H106" s="633"/>
      <c r="I106" s="633"/>
      <c r="J106" s="633"/>
      <c r="K106" s="633"/>
      <c r="L106" s="633"/>
      <c r="M106" s="633"/>
      <c r="N106" s="633"/>
      <c r="O106" s="633"/>
      <c r="P106" s="633"/>
      <c r="Q106" s="633"/>
      <c r="R106" s="633"/>
      <c r="S106" s="633"/>
      <c r="T106" s="633"/>
      <c r="U106" s="633"/>
      <c r="V106" s="633"/>
      <c r="W106" s="633"/>
      <c r="X106" s="634"/>
    </row>
    <row r="107" spans="1:27" x14ac:dyDescent="0.25">
      <c r="A107" s="632"/>
      <c r="B107" s="633"/>
      <c r="C107" s="633"/>
      <c r="D107" s="633"/>
      <c r="E107" s="633"/>
      <c r="F107" s="633"/>
      <c r="G107" s="633"/>
      <c r="H107" s="633"/>
      <c r="I107" s="633"/>
      <c r="J107" s="633"/>
      <c r="K107" s="633"/>
      <c r="L107" s="633"/>
      <c r="M107" s="633"/>
      <c r="N107" s="633"/>
      <c r="O107" s="633"/>
      <c r="P107" s="633"/>
      <c r="Q107" s="633"/>
      <c r="R107" s="633"/>
      <c r="S107" s="633"/>
      <c r="T107" s="633"/>
      <c r="U107" s="633"/>
      <c r="V107" s="633"/>
      <c r="W107" s="633"/>
      <c r="X107" s="634"/>
    </row>
    <row r="108" spans="1:27" x14ac:dyDescent="0.25">
      <c r="A108" s="632" t="s">
        <v>3097</v>
      </c>
      <c r="B108" s="633"/>
      <c r="C108" s="633"/>
      <c r="D108" s="633"/>
      <c r="E108" s="633"/>
      <c r="F108" s="633"/>
      <c r="G108" s="633"/>
      <c r="H108" s="633"/>
      <c r="I108" s="633"/>
      <c r="J108" s="633"/>
      <c r="K108" s="633"/>
      <c r="L108" s="633"/>
      <c r="M108" s="633"/>
      <c r="N108" s="633"/>
      <c r="O108" s="633"/>
      <c r="P108" s="633"/>
      <c r="Q108" s="633"/>
      <c r="R108" s="633"/>
      <c r="S108" s="633"/>
      <c r="T108" s="633"/>
      <c r="U108" s="633"/>
      <c r="V108" s="633"/>
      <c r="W108" s="633"/>
      <c r="X108" s="634"/>
    </row>
    <row r="109" spans="1:27" ht="15.75" thickBot="1" x14ac:dyDescent="0.3">
      <c r="A109" s="638"/>
      <c r="B109" s="639"/>
      <c r="C109" s="639"/>
      <c r="D109" s="639"/>
      <c r="E109" s="639"/>
      <c r="F109" s="639"/>
      <c r="G109" s="639"/>
      <c r="H109" s="639"/>
      <c r="I109" s="639"/>
      <c r="J109" s="639"/>
      <c r="K109" s="639"/>
      <c r="L109" s="639"/>
      <c r="M109" s="639"/>
      <c r="N109" s="639"/>
      <c r="O109" s="639"/>
      <c r="P109" s="639"/>
      <c r="Q109" s="639"/>
      <c r="R109" s="639"/>
      <c r="S109" s="639"/>
      <c r="T109" s="639"/>
      <c r="U109" s="639"/>
      <c r="V109" s="639"/>
      <c r="W109" s="639"/>
      <c r="X109" s="640"/>
    </row>
    <row r="110" spans="1:27" x14ac:dyDescent="0.25">
      <c r="A110" s="626" t="s">
        <v>2289</v>
      </c>
      <c r="B110" s="627"/>
      <c r="C110" s="627"/>
      <c r="D110" s="627"/>
      <c r="E110" s="627"/>
      <c r="F110" s="627"/>
      <c r="G110" s="627"/>
      <c r="H110" s="627"/>
      <c r="I110" s="627"/>
      <c r="J110" s="627"/>
      <c r="K110" s="627"/>
      <c r="L110" s="627"/>
      <c r="M110" s="627"/>
      <c r="N110" s="627"/>
      <c r="O110" s="627"/>
      <c r="P110" s="627"/>
      <c r="Q110" s="627"/>
      <c r="R110" s="627"/>
      <c r="S110" s="627"/>
      <c r="T110" s="627"/>
      <c r="U110" s="627"/>
      <c r="V110" s="627"/>
      <c r="W110" s="627"/>
      <c r="X110" s="628"/>
    </row>
    <row r="111" spans="1:27" ht="15.75" thickBot="1" x14ac:dyDescent="0.3">
      <c r="A111" s="626"/>
      <c r="B111" s="627"/>
      <c r="C111" s="627"/>
      <c r="D111" s="627"/>
      <c r="E111" s="627"/>
      <c r="F111" s="627"/>
      <c r="G111" s="627"/>
      <c r="H111" s="627"/>
      <c r="I111" s="627"/>
      <c r="J111" s="627"/>
      <c r="K111" s="627"/>
      <c r="L111" s="627"/>
      <c r="M111" s="627"/>
      <c r="N111" s="627"/>
      <c r="O111" s="627"/>
      <c r="P111" s="627"/>
      <c r="Q111" s="627"/>
      <c r="R111" s="627"/>
      <c r="S111" s="627"/>
      <c r="T111" s="627"/>
      <c r="U111" s="627"/>
      <c r="V111" s="627"/>
      <c r="W111" s="627"/>
      <c r="X111" s="628"/>
    </row>
    <row r="112" spans="1:27" x14ac:dyDescent="0.25">
      <c r="A112" s="629" t="s">
        <v>2046</v>
      </c>
      <c r="B112" s="630"/>
      <c r="C112" s="630"/>
      <c r="D112" s="630"/>
      <c r="E112" s="630"/>
      <c r="F112" s="630"/>
      <c r="G112" s="630"/>
      <c r="H112" s="630"/>
      <c r="I112" s="630"/>
      <c r="J112" s="630"/>
      <c r="K112" s="630"/>
      <c r="L112" s="630"/>
      <c r="M112" s="630"/>
      <c r="N112" s="630"/>
      <c r="O112" s="630"/>
      <c r="P112" s="630"/>
      <c r="Q112" s="630"/>
      <c r="R112" s="630"/>
      <c r="S112" s="630"/>
      <c r="T112" s="630"/>
      <c r="U112" s="630"/>
      <c r="V112" s="630"/>
      <c r="W112" s="630"/>
      <c r="X112" s="631"/>
    </row>
    <row r="113" spans="1:24" x14ac:dyDescent="0.25">
      <c r="A113" s="632"/>
      <c r="B113" s="633"/>
      <c r="C113" s="633"/>
      <c r="D113" s="633"/>
      <c r="E113" s="633"/>
      <c r="F113" s="633"/>
      <c r="G113" s="633"/>
      <c r="H113" s="633"/>
      <c r="I113" s="633"/>
      <c r="J113" s="633"/>
      <c r="K113" s="633"/>
      <c r="L113" s="633"/>
      <c r="M113" s="633"/>
      <c r="N113" s="633"/>
      <c r="O113" s="633"/>
      <c r="P113" s="633"/>
      <c r="Q113" s="633"/>
      <c r="R113" s="633"/>
      <c r="S113" s="633"/>
      <c r="T113" s="633"/>
      <c r="U113" s="633"/>
      <c r="V113" s="633"/>
      <c r="W113" s="633"/>
      <c r="X113" s="634"/>
    </row>
    <row r="114" spans="1:24" x14ac:dyDescent="0.25">
      <c r="A114" s="632"/>
      <c r="B114" s="633"/>
      <c r="C114" s="633"/>
      <c r="D114" s="633"/>
      <c r="E114" s="633"/>
      <c r="F114" s="633"/>
      <c r="G114" s="633"/>
      <c r="H114" s="633"/>
      <c r="I114" s="633"/>
      <c r="J114" s="633"/>
      <c r="K114" s="633"/>
      <c r="L114" s="633"/>
      <c r="M114" s="633"/>
      <c r="N114" s="633"/>
      <c r="O114" s="633"/>
      <c r="P114" s="633"/>
      <c r="Q114" s="633"/>
      <c r="R114" s="633"/>
      <c r="S114" s="633"/>
      <c r="T114" s="633"/>
      <c r="U114" s="633"/>
      <c r="V114" s="633"/>
      <c r="W114" s="633"/>
      <c r="X114" s="634"/>
    </row>
    <row r="115" spans="1:24" x14ac:dyDescent="0.25">
      <c r="A115" s="632"/>
      <c r="B115" s="633"/>
      <c r="C115" s="633"/>
      <c r="D115" s="633"/>
      <c r="E115" s="633"/>
      <c r="F115" s="633"/>
      <c r="G115" s="633"/>
      <c r="H115" s="633"/>
      <c r="I115" s="633"/>
      <c r="J115" s="633"/>
      <c r="K115" s="633"/>
      <c r="L115" s="633"/>
      <c r="M115" s="633"/>
      <c r="N115" s="633"/>
      <c r="O115" s="633"/>
      <c r="P115" s="633"/>
      <c r="Q115" s="633"/>
      <c r="R115" s="633"/>
      <c r="S115" s="633"/>
      <c r="T115" s="633"/>
      <c r="U115" s="633"/>
      <c r="V115" s="633"/>
      <c r="W115" s="633"/>
      <c r="X115" s="634"/>
    </row>
    <row r="116" spans="1:24" x14ac:dyDescent="0.25">
      <c r="A116" s="632"/>
      <c r="B116" s="633"/>
      <c r="C116" s="633"/>
      <c r="D116" s="633"/>
      <c r="E116" s="633"/>
      <c r="F116" s="633"/>
      <c r="G116" s="633"/>
      <c r="H116" s="633"/>
      <c r="I116" s="633"/>
      <c r="J116" s="633"/>
      <c r="K116" s="633"/>
      <c r="L116" s="633"/>
      <c r="M116" s="633"/>
      <c r="N116" s="633"/>
      <c r="O116" s="633"/>
      <c r="P116" s="633"/>
      <c r="Q116" s="633"/>
      <c r="R116" s="633"/>
      <c r="S116" s="633"/>
      <c r="T116" s="633"/>
      <c r="U116" s="633"/>
      <c r="V116" s="633"/>
      <c r="W116" s="633"/>
      <c r="X116" s="634"/>
    </row>
    <row r="117" spans="1:24" x14ac:dyDescent="0.25">
      <c r="A117" s="632"/>
      <c r="B117" s="633"/>
      <c r="C117" s="633"/>
      <c r="D117" s="633"/>
      <c r="E117" s="633"/>
      <c r="F117" s="633"/>
      <c r="G117" s="633"/>
      <c r="H117" s="633"/>
      <c r="I117" s="633"/>
      <c r="J117" s="633"/>
      <c r="K117" s="633"/>
      <c r="L117" s="633"/>
      <c r="M117" s="633"/>
      <c r="N117" s="633"/>
      <c r="O117" s="633"/>
      <c r="P117" s="633"/>
      <c r="Q117" s="633"/>
      <c r="R117" s="633"/>
      <c r="S117" s="633"/>
      <c r="T117" s="633"/>
      <c r="U117" s="633"/>
      <c r="V117" s="633"/>
      <c r="W117" s="633"/>
      <c r="X117" s="634"/>
    </row>
    <row r="118" spans="1:24" x14ac:dyDescent="0.25">
      <c r="A118" s="632"/>
      <c r="B118" s="633"/>
      <c r="C118" s="633"/>
      <c r="D118" s="633"/>
      <c r="E118" s="633"/>
      <c r="F118" s="633"/>
      <c r="G118" s="633"/>
      <c r="H118" s="633"/>
      <c r="I118" s="633"/>
      <c r="J118" s="633"/>
      <c r="K118" s="633"/>
      <c r="L118" s="633"/>
      <c r="M118" s="633"/>
      <c r="N118" s="633"/>
      <c r="O118" s="633"/>
      <c r="P118" s="633"/>
      <c r="Q118" s="633"/>
      <c r="R118" s="633"/>
      <c r="S118" s="633"/>
      <c r="T118" s="633"/>
      <c r="U118" s="633"/>
      <c r="V118" s="633"/>
      <c r="W118" s="633"/>
      <c r="X118" s="634"/>
    </row>
    <row r="119" spans="1:24" x14ac:dyDescent="0.25">
      <c r="A119" s="632"/>
      <c r="B119" s="633"/>
      <c r="C119" s="633"/>
      <c r="D119" s="633"/>
      <c r="E119" s="633"/>
      <c r="F119" s="633"/>
      <c r="G119" s="633"/>
      <c r="H119" s="633"/>
      <c r="I119" s="633"/>
      <c r="J119" s="633"/>
      <c r="K119" s="633"/>
      <c r="L119" s="633"/>
      <c r="M119" s="633"/>
      <c r="N119" s="633"/>
      <c r="O119" s="633"/>
      <c r="P119" s="633"/>
      <c r="Q119" s="633"/>
      <c r="R119" s="633"/>
      <c r="S119" s="633"/>
      <c r="T119" s="633"/>
      <c r="U119" s="633"/>
      <c r="V119" s="633"/>
      <c r="W119" s="633"/>
      <c r="X119" s="634"/>
    </row>
    <row r="120" spans="1:24" ht="15.75" customHeight="1" x14ac:dyDescent="0.25">
      <c r="A120" s="641" t="s">
        <v>3559</v>
      </c>
      <c r="B120" s="642"/>
      <c r="C120" s="642"/>
      <c r="D120" s="642"/>
      <c r="E120" s="642"/>
      <c r="F120" s="642"/>
      <c r="G120" s="642"/>
      <c r="H120" s="642"/>
      <c r="I120" s="642"/>
      <c r="J120" s="642"/>
      <c r="K120" s="642"/>
      <c r="L120" s="642"/>
      <c r="M120" s="642"/>
      <c r="N120" s="642"/>
      <c r="O120" s="642"/>
      <c r="P120" s="642"/>
      <c r="Q120" s="642"/>
      <c r="R120" s="642"/>
      <c r="S120" s="642"/>
      <c r="T120" s="642"/>
      <c r="U120" s="642"/>
      <c r="V120" s="642"/>
      <c r="W120" s="642"/>
      <c r="X120" s="643"/>
    </row>
    <row r="121" spans="1:24" x14ac:dyDescent="0.25">
      <c r="A121" s="635"/>
      <c r="B121" s="636"/>
      <c r="C121" s="636"/>
      <c r="D121" s="636"/>
      <c r="E121" s="636"/>
      <c r="F121" s="636"/>
      <c r="G121" s="636"/>
      <c r="H121" s="636"/>
      <c r="I121" s="636"/>
      <c r="J121" s="636"/>
      <c r="K121" s="636"/>
      <c r="L121" s="636"/>
      <c r="M121" s="636"/>
      <c r="N121" s="636"/>
      <c r="O121" s="636"/>
      <c r="P121" s="636"/>
      <c r="Q121" s="636"/>
      <c r="R121" s="636"/>
      <c r="S121" s="636"/>
      <c r="T121" s="636"/>
      <c r="U121" s="636"/>
      <c r="V121" s="636"/>
      <c r="W121" s="636"/>
      <c r="X121" s="637"/>
    </row>
    <row r="122" spans="1:24" x14ac:dyDescent="0.25">
      <c r="A122" s="635"/>
      <c r="B122" s="636"/>
      <c r="C122" s="636"/>
      <c r="D122" s="636"/>
      <c r="E122" s="636"/>
      <c r="F122" s="636"/>
      <c r="G122" s="636"/>
      <c r="H122" s="636"/>
      <c r="I122" s="636"/>
      <c r="J122" s="636"/>
      <c r="K122" s="636"/>
      <c r="L122" s="636"/>
      <c r="M122" s="636"/>
      <c r="N122" s="636"/>
      <c r="O122" s="636"/>
      <c r="P122" s="636"/>
      <c r="Q122" s="636"/>
      <c r="R122" s="636"/>
      <c r="S122" s="636"/>
      <c r="T122" s="636"/>
      <c r="U122" s="636"/>
      <c r="V122" s="636"/>
      <c r="W122" s="636"/>
      <c r="X122" s="637"/>
    </row>
    <row r="123" spans="1:24" x14ac:dyDescent="0.25">
      <c r="A123" s="635"/>
      <c r="B123" s="636"/>
      <c r="C123" s="636"/>
      <c r="D123" s="636"/>
      <c r="E123" s="636"/>
      <c r="F123" s="636"/>
      <c r="G123" s="636"/>
      <c r="H123" s="636"/>
      <c r="I123" s="636"/>
      <c r="J123" s="636"/>
      <c r="K123" s="636"/>
      <c r="L123" s="636"/>
      <c r="M123" s="636"/>
      <c r="N123" s="636"/>
      <c r="O123" s="636"/>
      <c r="P123" s="636"/>
      <c r="Q123" s="636"/>
      <c r="R123" s="636"/>
      <c r="S123" s="636"/>
      <c r="T123" s="636"/>
      <c r="U123" s="636"/>
      <c r="V123" s="636"/>
      <c r="W123" s="636"/>
      <c r="X123" s="637"/>
    </row>
    <row r="124" spans="1:24" x14ac:dyDescent="0.25">
      <c r="A124" s="635"/>
      <c r="B124" s="636"/>
      <c r="C124" s="636"/>
      <c r="D124" s="636"/>
      <c r="E124" s="636"/>
      <c r="F124" s="636"/>
      <c r="G124" s="636"/>
      <c r="H124" s="636"/>
      <c r="I124" s="636"/>
      <c r="J124" s="636"/>
      <c r="K124" s="636"/>
      <c r="L124" s="636"/>
      <c r="M124" s="636"/>
      <c r="N124" s="636"/>
      <c r="O124" s="636"/>
      <c r="P124" s="636"/>
      <c r="Q124" s="636"/>
      <c r="R124" s="636"/>
      <c r="S124" s="636"/>
      <c r="T124" s="636"/>
      <c r="U124" s="636"/>
      <c r="V124" s="636"/>
      <c r="W124" s="636"/>
      <c r="X124" s="637"/>
    </row>
    <row r="125" spans="1:24" ht="15" customHeight="1" x14ac:dyDescent="0.25">
      <c r="A125" s="635"/>
      <c r="B125" s="636"/>
      <c r="C125" s="636"/>
      <c r="D125" s="636"/>
      <c r="E125" s="636"/>
      <c r="F125" s="636"/>
      <c r="G125" s="636"/>
      <c r="H125" s="636"/>
      <c r="I125" s="636"/>
      <c r="J125" s="636"/>
      <c r="K125" s="636"/>
      <c r="L125" s="636"/>
      <c r="M125" s="636"/>
      <c r="N125" s="636"/>
      <c r="O125" s="636"/>
      <c r="P125" s="636"/>
      <c r="Q125" s="636"/>
      <c r="R125" s="636"/>
      <c r="S125" s="636"/>
      <c r="T125" s="636"/>
      <c r="U125" s="636"/>
      <c r="V125" s="636"/>
      <c r="W125" s="636"/>
      <c r="X125" s="637"/>
    </row>
    <row r="126" spans="1:24" x14ac:dyDescent="0.25">
      <c r="A126" s="635"/>
      <c r="B126" s="636"/>
      <c r="C126" s="636"/>
      <c r="D126" s="636"/>
      <c r="E126" s="636"/>
      <c r="F126" s="636"/>
      <c r="G126" s="636"/>
      <c r="H126" s="636"/>
      <c r="I126" s="636"/>
      <c r="J126" s="636"/>
      <c r="K126" s="636"/>
      <c r="L126" s="636"/>
      <c r="M126" s="636"/>
      <c r="N126" s="636"/>
      <c r="O126" s="636"/>
      <c r="P126" s="636"/>
      <c r="Q126" s="636"/>
      <c r="R126" s="636"/>
      <c r="S126" s="636"/>
      <c r="T126" s="636"/>
      <c r="U126" s="636"/>
      <c r="V126" s="636"/>
      <c r="W126" s="636"/>
      <c r="X126" s="637"/>
    </row>
    <row r="127" spans="1:24" x14ac:dyDescent="0.25">
      <c r="A127" s="635"/>
      <c r="B127" s="636"/>
      <c r="C127" s="636"/>
      <c r="D127" s="636"/>
      <c r="E127" s="636"/>
      <c r="F127" s="636"/>
      <c r="G127" s="636"/>
      <c r="H127" s="636"/>
      <c r="I127" s="636"/>
      <c r="J127" s="636"/>
      <c r="K127" s="636"/>
      <c r="L127" s="636"/>
      <c r="M127" s="636"/>
      <c r="N127" s="636"/>
      <c r="O127" s="636"/>
      <c r="P127" s="636"/>
      <c r="Q127" s="636"/>
      <c r="R127" s="636"/>
      <c r="S127" s="636"/>
      <c r="T127" s="636"/>
      <c r="U127" s="636"/>
      <c r="V127" s="636"/>
      <c r="W127" s="636"/>
      <c r="X127" s="637"/>
    </row>
    <row r="128" spans="1:24" x14ac:dyDescent="0.25">
      <c r="A128" s="635"/>
      <c r="B128" s="636"/>
      <c r="C128" s="636"/>
      <c r="D128" s="636"/>
      <c r="E128" s="636"/>
      <c r="F128" s="636"/>
      <c r="G128" s="636"/>
      <c r="H128" s="636"/>
      <c r="I128" s="636"/>
      <c r="J128" s="636"/>
      <c r="K128" s="636"/>
      <c r="L128" s="636"/>
      <c r="M128" s="636"/>
      <c r="N128" s="636"/>
      <c r="O128" s="636"/>
      <c r="P128" s="636"/>
      <c r="Q128" s="636"/>
      <c r="R128" s="636"/>
      <c r="S128" s="636"/>
      <c r="T128" s="636"/>
      <c r="U128" s="636"/>
      <c r="V128" s="636"/>
      <c r="W128" s="636"/>
      <c r="X128" s="637"/>
    </row>
    <row r="129" spans="1:24" x14ac:dyDescent="0.25">
      <c r="A129" s="635"/>
      <c r="B129" s="636"/>
      <c r="C129" s="636"/>
      <c r="D129" s="636"/>
      <c r="E129" s="636"/>
      <c r="F129" s="636"/>
      <c r="G129" s="636"/>
      <c r="H129" s="636"/>
      <c r="I129" s="636"/>
      <c r="J129" s="636"/>
      <c r="K129" s="636"/>
      <c r="L129" s="636"/>
      <c r="M129" s="636"/>
      <c r="N129" s="636"/>
      <c r="O129" s="636"/>
      <c r="P129" s="636"/>
      <c r="Q129" s="636"/>
      <c r="R129" s="636"/>
      <c r="S129" s="636"/>
      <c r="T129" s="636"/>
      <c r="U129" s="636"/>
      <c r="V129" s="636"/>
      <c r="W129" s="636"/>
      <c r="X129" s="637"/>
    </row>
    <row r="130" spans="1:24" x14ac:dyDescent="0.25">
      <c r="A130" s="635"/>
      <c r="B130" s="636"/>
      <c r="C130" s="636"/>
      <c r="D130" s="636"/>
      <c r="E130" s="636"/>
      <c r="F130" s="636"/>
      <c r="G130" s="636"/>
      <c r="H130" s="636"/>
      <c r="I130" s="636"/>
      <c r="J130" s="636"/>
      <c r="K130" s="636"/>
      <c r="L130" s="636"/>
      <c r="M130" s="636"/>
      <c r="N130" s="636"/>
      <c r="O130" s="636"/>
      <c r="P130" s="636"/>
      <c r="Q130" s="636"/>
      <c r="R130" s="636"/>
      <c r="S130" s="636"/>
      <c r="T130" s="636"/>
      <c r="U130" s="636"/>
      <c r="V130" s="636"/>
      <c r="W130" s="636"/>
      <c r="X130" s="637"/>
    </row>
    <row r="131" spans="1:24" x14ac:dyDescent="0.25">
      <c r="A131" s="605"/>
      <c r="B131" s="606"/>
      <c r="C131" s="606"/>
      <c r="D131" s="606"/>
      <c r="E131" s="606"/>
      <c r="F131" s="606"/>
      <c r="G131" s="606"/>
      <c r="H131" s="606"/>
      <c r="I131" s="606"/>
      <c r="J131" s="606"/>
      <c r="K131" s="606"/>
      <c r="L131" s="606"/>
      <c r="M131" s="606"/>
      <c r="N131" s="606"/>
      <c r="O131" s="606"/>
      <c r="P131" s="606"/>
      <c r="Q131" s="606"/>
      <c r="R131" s="606"/>
      <c r="S131" s="606"/>
      <c r="T131" s="606"/>
      <c r="U131" s="606"/>
      <c r="V131" s="606"/>
      <c r="W131" s="606"/>
      <c r="X131" s="607"/>
    </row>
    <row r="132" spans="1:24" ht="15" customHeight="1" x14ac:dyDescent="0.25">
      <c r="A132" s="641" t="s">
        <v>3558</v>
      </c>
      <c r="B132" s="642"/>
      <c r="C132" s="642"/>
      <c r="D132" s="642"/>
      <c r="E132" s="642"/>
      <c r="F132" s="642"/>
      <c r="G132" s="642"/>
      <c r="H132" s="642"/>
      <c r="I132" s="642"/>
      <c r="J132" s="642"/>
      <c r="K132" s="642"/>
      <c r="L132" s="642"/>
      <c r="M132" s="642"/>
      <c r="N132" s="642"/>
      <c r="O132" s="642"/>
      <c r="P132" s="642"/>
      <c r="Q132" s="642"/>
      <c r="R132" s="642"/>
      <c r="S132" s="642"/>
      <c r="T132" s="642"/>
      <c r="U132" s="642"/>
      <c r="V132" s="642"/>
      <c r="W132" s="642"/>
      <c r="X132" s="643"/>
    </row>
    <row r="133" spans="1:24" x14ac:dyDescent="0.25">
      <c r="A133" s="635"/>
      <c r="B133" s="636"/>
      <c r="C133" s="636"/>
      <c r="D133" s="636"/>
      <c r="E133" s="636"/>
      <c r="F133" s="636"/>
      <c r="G133" s="636"/>
      <c r="H133" s="636"/>
      <c r="I133" s="636"/>
      <c r="J133" s="636"/>
      <c r="K133" s="636"/>
      <c r="L133" s="636"/>
      <c r="M133" s="636"/>
      <c r="N133" s="636"/>
      <c r="O133" s="636"/>
      <c r="P133" s="636"/>
      <c r="Q133" s="636"/>
      <c r="R133" s="636"/>
      <c r="S133" s="636"/>
      <c r="T133" s="636"/>
      <c r="U133" s="636"/>
      <c r="V133" s="636"/>
      <c r="W133" s="636"/>
      <c r="X133" s="637"/>
    </row>
    <row r="134" spans="1:24" x14ac:dyDescent="0.25">
      <c r="A134" s="635"/>
      <c r="B134" s="636"/>
      <c r="C134" s="636"/>
      <c r="D134" s="636"/>
      <c r="E134" s="636"/>
      <c r="F134" s="636"/>
      <c r="G134" s="636"/>
      <c r="H134" s="636"/>
      <c r="I134" s="636"/>
      <c r="J134" s="636"/>
      <c r="K134" s="636"/>
      <c r="L134" s="636"/>
      <c r="M134" s="636"/>
      <c r="N134" s="636"/>
      <c r="O134" s="636"/>
      <c r="P134" s="636"/>
      <c r="Q134" s="636"/>
      <c r="R134" s="636"/>
      <c r="S134" s="636"/>
      <c r="T134" s="636"/>
      <c r="U134" s="636"/>
      <c r="V134" s="636"/>
      <c r="W134" s="636"/>
      <c r="X134" s="637"/>
    </row>
    <row r="135" spans="1:24" x14ac:dyDescent="0.25">
      <c r="A135" s="635"/>
      <c r="B135" s="636"/>
      <c r="C135" s="636"/>
      <c r="D135" s="636"/>
      <c r="E135" s="636"/>
      <c r="F135" s="636"/>
      <c r="G135" s="636"/>
      <c r="H135" s="636"/>
      <c r="I135" s="636"/>
      <c r="J135" s="636"/>
      <c r="K135" s="636"/>
      <c r="L135" s="636"/>
      <c r="M135" s="636"/>
      <c r="N135" s="636"/>
      <c r="O135" s="636"/>
      <c r="P135" s="636"/>
      <c r="Q135" s="636"/>
      <c r="R135" s="636"/>
      <c r="S135" s="636"/>
      <c r="T135" s="636"/>
      <c r="U135" s="636"/>
      <c r="V135" s="636"/>
      <c r="W135" s="636"/>
      <c r="X135" s="637"/>
    </row>
    <row r="136" spans="1:24" x14ac:dyDescent="0.25">
      <c r="A136" s="635"/>
      <c r="B136" s="636"/>
      <c r="C136" s="636"/>
      <c r="D136" s="636"/>
      <c r="E136" s="636"/>
      <c r="F136" s="636"/>
      <c r="G136" s="636"/>
      <c r="H136" s="636"/>
      <c r="I136" s="636"/>
      <c r="J136" s="636"/>
      <c r="K136" s="636"/>
      <c r="L136" s="636"/>
      <c r="M136" s="636"/>
      <c r="N136" s="636"/>
      <c r="O136" s="636"/>
      <c r="P136" s="636"/>
      <c r="Q136" s="636"/>
      <c r="R136" s="636"/>
      <c r="S136" s="636"/>
      <c r="T136" s="636"/>
      <c r="U136" s="636"/>
      <c r="V136" s="636"/>
      <c r="W136" s="636"/>
      <c r="X136" s="637"/>
    </row>
    <row r="137" spans="1:24" ht="15" customHeight="1" x14ac:dyDescent="0.25">
      <c r="A137" s="635"/>
      <c r="B137" s="636"/>
      <c r="C137" s="636"/>
      <c r="D137" s="636"/>
      <c r="E137" s="636"/>
      <c r="F137" s="636"/>
      <c r="G137" s="636"/>
      <c r="H137" s="636"/>
      <c r="I137" s="636"/>
      <c r="J137" s="636"/>
      <c r="K137" s="636"/>
      <c r="L137" s="636"/>
      <c r="M137" s="636"/>
      <c r="N137" s="636"/>
      <c r="O137" s="636"/>
      <c r="P137" s="636"/>
      <c r="Q137" s="636"/>
      <c r="R137" s="636"/>
      <c r="S137" s="636"/>
      <c r="T137" s="636"/>
      <c r="U137" s="636"/>
      <c r="V137" s="636"/>
      <c r="W137" s="636"/>
      <c r="X137" s="637"/>
    </row>
    <row r="138" spans="1:24" ht="15" customHeight="1" x14ac:dyDescent="0.25">
      <c r="A138" s="635"/>
      <c r="B138" s="636"/>
      <c r="C138" s="636"/>
      <c r="D138" s="636"/>
      <c r="E138" s="636"/>
      <c r="F138" s="636"/>
      <c r="G138" s="636"/>
      <c r="H138" s="636"/>
      <c r="I138" s="636"/>
      <c r="J138" s="636"/>
      <c r="K138" s="636"/>
      <c r="L138" s="636"/>
      <c r="M138" s="636"/>
      <c r="N138" s="636"/>
      <c r="O138" s="636"/>
      <c r="P138" s="636"/>
      <c r="Q138" s="636"/>
      <c r="R138" s="636"/>
      <c r="S138" s="636"/>
      <c r="T138" s="636"/>
      <c r="U138" s="636"/>
      <c r="V138" s="636"/>
      <c r="W138" s="636"/>
      <c r="X138" s="637"/>
    </row>
    <row r="139" spans="1:24" ht="15" customHeight="1" x14ac:dyDescent="0.25">
      <c r="A139" s="635"/>
      <c r="B139" s="636"/>
      <c r="C139" s="636"/>
      <c r="D139" s="636"/>
      <c r="E139" s="636"/>
      <c r="F139" s="636"/>
      <c r="G139" s="636"/>
      <c r="H139" s="636"/>
      <c r="I139" s="636"/>
      <c r="J139" s="636"/>
      <c r="K139" s="636"/>
      <c r="L139" s="636"/>
      <c r="M139" s="636"/>
      <c r="N139" s="636"/>
      <c r="O139" s="636"/>
      <c r="P139" s="636"/>
      <c r="Q139" s="636"/>
      <c r="R139" s="636"/>
      <c r="S139" s="636"/>
      <c r="T139" s="636"/>
      <c r="U139" s="636"/>
      <c r="V139" s="636"/>
      <c r="W139" s="636"/>
      <c r="X139" s="637"/>
    </row>
    <row r="140" spans="1:24" ht="15" customHeight="1" x14ac:dyDescent="0.25">
      <c r="A140" s="635"/>
      <c r="B140" s="636"/>
      <c r="C140" s="636"/>
      <c r="D140" s="636"/>
      <c r="E140" s="636"/>
      <c r="F140" s="636"/>
      <c r="G140" s="636"/>
      <c r="H140" s="636"/>
      <c r="I140" s="636"/>
      <c r="J140" s="636"/>
      <c r="K140" s="636"/>
      <c r="L140" s="636"/>
      <c r="M140" s="636"/>
      <c r="N140" s="636"/>
      <c r="O140" s="636"/>
      <c r="P140" s="636"/>
      <c r="Q140" s="636"/>
      <c r="R140" s="636"/>
      <c r="S140" s="636"/>
      <c r="T140" s="636"/>
      <c r="U140" s="636"/>
      <c r="V140" s="636"/>
      <c r="W140" s="636"/>
      <c r="X140" s="637"/>
    </row>
    <row r="141" spans="1:24" ht="15" customHeight="1" thickBot="1" x14ac:dyDescent="0.3">
      <c r="A141" s="635"/>
      <c r="B141" s="636"/>
      <c r="C141" s="636"/>
      <c r="D141" s="636"/>
      <c r="E141" s="636"/>
      <c r="F141" s="636"/>
      <c r="G141" s="636"/>
      <c r="H141" s="636"/>
      <c r="I141" s="636"/>
      <c r="J141" s="636"/>
      <c r="K141" s="636"/>
      <c r="L141" s="636"/>
      <c r="M141" s="636"/>
      <c r="N141" s="636"/>
      <c r="O141" s="636"/>
      <c r="P141" s="636"/>
      <c r="Q141" s="636"/>
      <c r="R141" s="636"/>
      <c r="S141" s="636"/>
      <c r="T141" s="636"/>
      <c r="U141" s="636"/>
      <c r="V141" s="636"/>
      <c r="W141" s="636"/>
      <c r="X141" s="637"/>
    </row>
    <row r="142" spans="1:24" x14ac:dyDescent="0.25">
      <c r="A142" s="584" t="s">
        <v>3549</v>
      </c>
      <c r="B142" s="585"/>
      <c r="C142" s="585"/>
      <c r="D142" s="585"/>
      <c r="E142" s="585"/>
      <c r="F142" s="585"/>
      <c r="G142" s="585"/>
      <c r="H142" s="585"/>
      <c r="I142" s="585"/>
      <c r="J142" s="585"/>
      <c r="K142" s="585"/>
      <c r="L142" s="585"/>
      <c r="M142" s="585"/>
      <c r="N142" s="585"/>
      <c r="O142" s="585"/>
      <c r="P142" s="585"/>
      <c r="Q142" s="585"/>
      <c r="R142" s="585"/>
      <c r="S142" s="585"/>
      <c r="T142" s="585"/>
      <c r="U142" s="585"/>
      <c r="V142" s="585"/>
      <c r="W142" s="585"/>
      <c r="X142" s="586"/>
    </row>
    <row r="143" spans="1:24" x14ac:dyDescent="0.25">
      <c r="A143" s="587"/>
      <c r="B143" s="588"/>
      <c r="C143" s="588"/>
      <c r="D143" s="588"/>
      <c r="E143" s="588"/>
      <c r="F143" s="588"/>
      <c r="G143" s="588"/>
      <c r="H143" s="588"/>
      <c r="I143" s="588"/>
      <c r="J143" s="588"/>
      <c r="K143" s="588"/>
      <c r="L143" s="588"/>
      <c r="M143" s="588"/>
      <c r="N143" s="588"/>
      <c r="O143" s="588"/>
      <c r="P143" s="588"/>
      <c r="Q143" s="588"/>
      <c r="R143" s="588"/>
      <c r="S143" s="588"/>
      <c r="T143" s="588"/>
      <c r="U143" s="588"/>
      <c r="V143" s="588"/>
      <c r="W143" s="588"/>
      <c r="X143" s="589"/>
    </row>
    <row r="144" spans="1:24" x14ac:dyDescent="0.25">
      <c r="A144" s="587"/>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9"/>
    </row>
    <row r="145" spans="1:24" x14ac:dyDescent="0.25">
      <c r="A145" s="587"/>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9"/>
    </row>
    <row r="146" spans="1:24" x14ac:dyDescent="0.25">
      <c r="A146" s="587"/>
      <c r="B146" s="588"/>
      <c r="C146" s="588"/>
      <c r="D146" s="588"/>
      <c r="E146" s="588"/>
      <c r="F146" s="588"/>
      <c r="G146" s="588"/>
      <c r="H146" s="588"/>
      <c r="I146" s="588"/>
      <c r="J146" s="588"/>
      <c r="K146" s="588"/>
      <c r="L146" s="588"/>
      <c r="M146" s="588"/>
      <c r="N146" s="588"/>
      <c r="O146" s="588"/>
      <c r="P146" s="588"/>
      <c r="Q146" s="588"/>
      <c r="R146" s="588"/>
      <c r="S146" s="588"/>
      <c r="T146" s="588"/>
      <c r="U146" s="588"/>
      <c r="V146" s="588"/>
      <c r="W146" s="588"/>
      <c r="X146" s="589"/>
    </row>
    <row r="147" spans="1:24" x14ac:dyDescent="0.25">
      <c r="A147" s="587"/>
      <c r="B147" s="588"/>
      <c r="C147" s="588"/>
      <c r="D147" s="588"/>
      <c r="E147" s="588"/>
      <c r="F147" s="588"/>
      <c r="G147" s="588"/>
      <c r="H147" s="588"/>
      <c r="I147" s="588"/>
      <c r="J147" s="588"/>
      <c r="K147" s="588"/>
      <c r="L147" s="588"/>
      <c r="M147" s="588"/>
      <c r="N147" s="588"/>
      <c r="O147" s="588"/>
      <c r="P147" s="588"/>
      <c r="Q147" s="588"/>
      <c r="R147" s="588"/>
      <c r="S147" s="588"/>
      <c r="T147" s="588"/>
      <c r="U147" s="588"/>
      <c r="V147" s="588"/>
      <c r="W147" s="588"/>
      <c r="X147" s="589"/>
    </row>
    <row r="148" spans="1:24" x14ac:dyDescent="0.25">
      <c r="A148" s="587"/>
      <c r="B148" s="588"/>
      <c r="C148" s="588"/>
      <c r="D148" s="588"/>
      <c r="E148" s="588"/>
      <c r="F148" s="588"/>
      <c r="G148" s="588"/>
      <c r="H148" s="588"/>
      <c r="I148" s="588"/>
      <c r="J148" s="588"/>
      <c r="K148" s="588"/>
      <c r="L148" s="588"/>
      <c r="M148" s="588"/>
      <c r="N148" s="588"/>
      <c r="O148" s="588"/>
      <c r="P148" s="588"/>
      <c r="Q148" s="588"/>
      <c r="R148" s="588"/>
      <c r="S148" s="588"/>
      <c r="T148" s="588"/>
      <c r="U148" s="588"/>
      <c r="V148" s="588"/>
      <c r="W148" s="588"/>
      <c r="X148" s="589"/>
    </row>
    <row r="149" spans="1:24" x14ac:dyDescent="0.25">
      <c r="A149" s="587"/>
      <c r="B149" s="588"/>
      <c r="C149" s="588"/>
      <c r="D149" s="588"/>
      <c r="E149" s="588"/>
      <c r="F149" s="588"/>
      <c r="G149" s="588"/>
      <c r="H149" s="588"/>
      <c r="I149" s="588"/>
      <c r="J149" s="588"/>
      <c r="K149" s="588"/>
      <c r="L149" s="588"/>
      <c r="M149" s="588"/>
      <c r="N149" s="588"/>
      <c r="O149" s="588"/>
      <c r="P149" s="588"/>
      <c r="Q149" s="588"/>
      <c r="R149" s="588"/>
      <c r="S149" s="588"/>
      <c r="T149" s="588"/>
      <c r="U149" s="588"/>
      <c r="V149" s="588"/>
      <c r="W149" s="588"/>
      <c r="X149" s="589"/>
    </row>
    <row r="150" spans="1:24" x14ac:dyDescent="0.25">
      <c r="A150" s="587"/>
      <c r="B150" s="588"/>
      <c r="C150" s="588"/>
      <c r="D150" s="588"/>
      <c r="E150" s="588"/>
      <c r="F150" s="588"/>
      <c r="G150" s="588"/>
      <c r="H150" s="588"/>
      <c r="I150" s="588"/>
      <c r="J150" s="588"/>
      <c r="K150" s="588"/>
      <c r="L150" s="588"/>
      <c r="M150" s="588"/>
      <c r="N150" s="588"/>
      <c r="O150" s="588"/>
      <c r="P150" s="588"/>
      <c r="Q150" s="588"/>
      <c r="R150" s="588"/>
      <c r="S150" s="588"/>
      <c r="T150" s="588"/>
      <c r="U150" s="588"/>
      <c r="V150" s="588"/>
      <c r="W150" s="588"/>
      <c r="X150" s="589"/>
    </row>
    <row r="151" spans="1:24" x14ac:dyDescent="0.25">
      <c r="A151" s="587"/>
      <c r="B151" s="588"/>
      <c r="C151" s="588"/>
      <c r="D151" s="588"/>
      <c r="E151" s="588"/>
      <c r="F151" s="588"/>
      <c r="G151" s="588"/>
      <c r="H151" s="588"/>
      <c r="I151" s="588"/>
      <c r="J151" s="588"/>
      <c r="K151" s="588"/>
      <c r="L151" s="588"/>
      <c r="M151" s="588"/>
      <c r="N151" s="588"/>
      <c r="O151" s="588"/>
      <c r="P151" s="588"/>
      <c r="Q151" s="588"/>
      <c r="R151" s="588"/>
      <c r="S151" s="588"/>
      <c r="T151" s="588"/>
      <c r="U151" s="588"/>
      <c r="V151" s="588"/>
      <c r="W151" s="588"/>
      <c r="X151" s="589"/>
    </row>
    <row r="152" spans="1:24" x14ac:dyDescent="0.25">
      <c r="A152" s="587"/>
      <c r="B152" s="588"/>
      <c r="C152" s="588"/>
      <c r="D152" s="588"/>
      <c r="E152" s="588"/>
      <c r="F152" s="588"/>
      <c r="G152" s="588"/>
      <c r="H152" s="588"/>
      <c r="I152" s="588"/>
      <c r="J152" s="588"/>
      <c r="K152" s="588"/>
      <c r="L152" s="588"/>
      <c r="M152" s="588"/>
      <c r="N152" s="588"/>
      <c r="O152" s="588"/>
      <c r="P152" s="588"/>
      <c r="Q152" s="588"/>
      <c r="R152" s="588"/>
      <c r="S152" s="588"/>
      <c r="T152" s="588"/>
      <c r="U152" s="588"/>
      <c r="V152" s="588"/>
      <c r="W152" s="588"/>
      <c r="X152" s="589"/>
    </row>
    <row r="153" spans="1:24" x14ac:dyDescent="0.25">
      <c r="A153" s="587"/>
      <c r="B153" s="588"/>
      <c r="C153" s="588"/>
      <c r="D153" s="588"/>
      <c r="E153" s="588"/>
      <c r="F153" s="588"/>
      <c r="G153" s="588"/>
      <c r="H153" s="588"/>
      <c r="I153" s="588"/>
      <c r="J153" s="588"/>
      <c r="K153" s="588"/>
      <c r="L153" s="588"/>
      <c r="M153" s="588"/>
      <c r="N153" s="588"/>
      <c r="O153" s="588"/>
      <c r="P153" s="588"/>
      <c r="Q153" s="588"/>
      <c r="R153" s="588"/>
      <c r="S153" s="588"/>
      <c r="T153" s="588"/>
      <c r="U153" s="588"/>
      <c r="V153" s="588"/>
      <c r="W153" s="588"/>
      <c r="X153" s="589"/>
    </row>
    <row r="154" spans="1:24" x14ac:dyDescent="0.25">
      <c r="A154" s="587"/>
      <c r="B154" s="588"/>
      <c r="C154" s="588"/>
      <c r="D154" s="588"/>
      <c r="E154" s="588"/>
      <c r="F154" s="588"/>
      <c r="G154" s="588"/>
      <c r="H154" s="588"/>
      <c r="I154" s="588"/>
      <c r="J154" s="588"/>
      <c r="K154" s="588"/>
      <c r="L154" s="588"/>
      <c r="M154" s="588"/>
      <c r="N154" s="588"/>
      <c r="O154" s="588"/>
      <c r="P154" s="588"/>
      <c r="Q154" s="588"/>
      <c r="R154" s="588"/>
      <c r="S154" s="588"/>
      <c r="T154" s="588"/>
      <c r="U154" s="588"/>
      <c r="V154" s="588"/>
      <c r="W154" s="588"/>
      <c r="X154" s="589"/>
    </row>
    <row r="155" spans="1:24" ht="15.75" thickBot="1" x14ac:dyDescent="0.3">
      <c r="A155" s="590"/>
      <c r="B155" s="591"/>
      <c r="C155" s="591"/>
      <c r="D155" s="591"/>
      <c r="E155" s="591"/>
      <c r="F155" s="591"/>
      <c r="G155" s="591"/>
      <c r="H155" s="591"/>
      <c r="I155" s="591"/>
      <c r="J155" s="591"/>
      <c r="K155" s="591"/>
      <c r="L155" s="591"/>
      <c r="M155" s="591"/>
      <c r="N155" s="591"/>
      <c r="O155" s="591"/>
      <c r="P155" s="591"/>
      <c r="Q155" s="591"/>
      <c r="R155" s="591"/>
      <c r="S155" s="591"/>
      <c r="T155" s="591"/>
      <c r="U155" s="591"/>
      <c r="V155" s="591"/>
      <c r="W155" s="591"/>
      <c r="X155" s="592"/>
    </row>
    <row r="156" spans="1:24" ht="15.75" thickBot="1" x14ac:dyDescent="0.3">
      <c r="A156" s="593" t="s">
        <v>2049</v>
      </c>
      <c r="B156" s="594"/>
      <c r="C156" s="594"/>
      <c r="D156" s="594"/>
      <c r="E156" s="594"/>
      <c r="F156" s="594"/>
      <c r="G156" s="594"/>
      <c r="H156" s="594"/>
      <c r="I156" s="594"/>
      <c r="J156" s="594"/>
      <c r="K156" s="594"/>
      <c r="L156" s="594"/>
      <c r="M156" s="594"/>
      <c r="N156" s="594"/>
      <c r="O156" s="594"/>
      <c r="P156" s="594"/>
      <c r="Q156" s="594"/>
      <c r="R156" s="594"/>
      <c r="S156" s="594"/>
      <c r="T156" s="594"/>
      <c r="U156" s="594"/>
      <c r="V156" s="594"/>
      <c r="W156" s="594"/>
      <c r="X156" s="595"/>
    </row>
  </sheetData>
  <sheetProtection password="E9C2" sheet="1" objects="1" scenarios="1" selectLockedCells="1"/>
  <mergeCells count="37">
    <mergeCell ref="A132:X141"/>
    <mergeCell ref="A91:X91"/>
    <mergeCell ref="A92:X101"/>
    <mergeCell ref="A102:X107"/>
    <mergeCell ref="A16:X25"/>
    <mergeCell ref="A53:X62"/>
    <mergeCell ref="A74:X82"/>
    <mergeCell ref="A51:X52"/>
    <mergeCell ref="A1:X2"/>
    <mergeCell ref="A3:X9"/>
    <mergeCell ref="A32:X33"/>
    <mergeCell ref="A49:X49"/>
    <mergeCell ref="A50:X50"/>
    <mergeCell ref="A34:X40"/>
    <mergeCell ref="A41:X41"/>
    <mergeCell ref="A42:X43"/>
    <mergeCell ref="A44:X45"/>
    <mergeCell ref="A46:X48"/>
    <mergeCell ref="A14:X15"/>
    <mergeCell ref="A26:X31"/>
    <mergeCell ref="A10:X13"/>
    <mergeCell ref="A142:X155"/>
    <mergeCell ref="A156:X156"/>
    <mergeCell ref="A63:X64"/>
    <mergeCell ref="A65:X66"/>
    <mergeCell ref="A67:X67"/>
    <mergeCell ref="A68:X68"/>
    <mergeCell ref="A69:X69"/>
    <mergeCell ref="A70:X70"/>
    <mergeCell ref="A71:X72"/>
    <mergeCell ref="A73:X73"/>
    <mergeCell ref="A110:X111"/>
    <mergeCell ref="A112:X119"/>
    <mergeCell ref="A89:X90"/>
    <mergeCell ref="A83:X88"/>
    <mergeCell ref="A108:X109"/>
    <mergeCell ref="A120:X131"/>
  </mergeCell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sheetPr>
  <dimension ref="A1:B614"/>
  <sheetViews>
    <sheetView view="pageBreakPreview" topLeftCell="C448" zoomScale="60" zoomScaleNormal="100" workbookViewId="0">
      <selection activeCell="A448" sqref="A1:B1048576"/>
    </sheetView>
  </sheetViews>
  <sheetFormatPr defaultRowHeight="15" x14ac:dyDescent="0.25"/>
  <cols>
    <col min="1" max="1" width="31.7109375" style="42" hidden="1" customWidth="1"/>
    <col min="2" max="2" width="10.28515625" style="41" hidden="1" customWidth="1"/>
  </cols>
  <sheetData>
    <row r="1" spans="1:2" ht="15.75" thickBot="1" x14ac:dyDescent="0.3">
      <c r="A1" s="110" t="s">
        <v>523</v>
      </c>
      <c r="B1" s="119" t="s">
        <v>2069</v>
      </c>
    </row>
    <row r="2" spans="1:2" x14ac:dyDescent="0.25">
      <c r="A2" s="52" t="s">
        <v>1384</v>
      </c>
      <c r="B2" s="49" t="s">
        <v>347</v>
      </c>
    </row>
    <row r="3" spans="1:2" x14ac:dyDescent="0.25">
      <c r="A3" s="53" t="s">
        <v>1165</v>
      </c>
      <c r="B3" s="50" t="s">
        <v>346</v>
      </c>
    </row>
    <row r="4" spans="1:2" x14ac:dyDescent="0.25">
      <c r="A4" s="53" t="s">
        <v>1086</v>
      </c>
      <c r="B4" s="50" t="s">
        <v>346</v>
      </c>
    </row>
    <row r="5" spans="1:2" x14ac:dyDescent="0.25">
      <c r="A5" s="53" t="s">
        <v>1383</v>
      </c>
      <c r="B5" s="50" t="s">
        <v>346</v>
      </c>
    </row>
    <row r="6" spans="1:2" x14ac:dyDescent="0.25">
      <c r="A6" s="53" t="s">
        <v>1461</v>
      </c>
      <c r="B6" s="50" t="s">
        <v>346</v>
      </c>
    </row>
    <row r="7" spans="1:2" x14ac:dyDescent="0.25">
      <c r="A7" s="53" t="s">
        <v>1467</v>
      </c>
      <c r="B7" s="50" t="s">
        <v>346</v>
      </c>
    </row>
    <row r="8" spans="1:2" x14ac:dyDescent="0.25">
      <c r="A8" s="53" t="s">
        <v>1466</v>
      </c>
      <c r="B8" s="50" t="s">
        <v>346</v>
      </c>
    </row>
    <row r="9" spans="1:2" x14ac:dyDescent="0.25">
      <c r="A9" s="53" t="s">
        <v>1468</v>
      </c>
      <c r="B9" s="50" t="s">
        <v>346</v>
      </c>
    </row>
    <row r="10" spans="1:2" x14ac:dyDescent="0.25">
      <c r="A10" s="53" t="s">
        <v>1469</v>
      </c>
      <c r="B10" s="50" t="s">
        <v>346</v>
      </c>
    </row>
    <row r="11" spans="1:2" x14ac:dyDescent="0.25">
      <c r="A11" s="53" t="s">
        <v>1470</v>
      </c>
      <c r="B11" s="50" t="s">
        <v>346</v>
      </c>
    </row>
    <row r="12" spans="1:2" x14ac:dyDescent="0.25">
      <c r="A12" s="53" t="s">
        <v>1066</v>
      </c>
      <c r="B12" s="50" t="s">
        <v>346</v>
      </c>
    </row>
    <row r="13" spans="1:2" x14ac:dyDescent="0.25">
      <c r="A13" s="53" t="s">
        <v>1065</v>
      </c>
      <c r="B13" s="50" t="s">
        <v>346</v>
      </c>
    </row>
    <row r="14" spans="1:2" x14ac:dyDescent="0.25">
      <c r="A14" s="53" t="s">
        <v>1064</v>
      </c>
      <c r="B14" s="50" t="s">
        <v>346</v>
      </c>
    </row>
    <row r="15" spans="1:2" x14ac:dyDescent="0.25">
      <c r="A15" s="53" t="s">
        <v>1144</v>
      </c>
      <c r="B15" s="50" t="s">
        <v>346</v>
      </c>
    </row>
    <row r="16" spans="1:2" x14ac:dyDescent="0.25">
      <c r="A16" s="53" t="s">
        <v>1145</v>
      </c>
      <c r="B16" s="50" t="s">
        <v>346</v>
      </c>
    </row>
    <row r="17" spans="1:2" x14ac:dyDescent="0.25">
      <c r="A17" s="53" t="s">
        <v>1376</v>
      </c>
      <c r="B17" s="50" t="s">
        <v>347</v>
      </c>
    </row>
    <row r="18" spans="1:2" x14ac:dyDescent="0.25">
      <c r="A18" s="53" t="s">
        <v>1396</v>
      </c>
      <c r="B18" s="50" t="s">
        <v>346</v>
      </c>
    </row>
    <row r="19" spans="1:2" x14ac:dyDescent="0.25">
      <c r="A19" s="53" t="s">
        <v>1271</v>
      </c>
      <c r="B19" s="50" t="s">
        <v>346</v>
      </c>
    </row>
    <row r="20" spans="1:2" x14ac:dyDescent="0.25">
      <c r="A20" s="53" t="s">
        <v>1112</v>
      </c>
      <c r="B20" s="50" t="s">
        <v>347</v>
      </c>
    </row>
    <row r="21" spans="1:2" x14ac:dyDescent="0.25">
      <c r="A21" s="53" t="s">
        <v>1308</v>
      </c>
      <c r="B21" s="50" t="s">
        <v>347</v>
      </c>
    </row>
    <row r="22" spans="1:2" x14ac:dyDescent="0.25">
      <c r="A22" s="53" t="s">
        <v>1113</v>
      </c>
      <c r="B22" s="50" t="s">
        <v>347</v>
      </c>
    </row>
    <row r="23" spans="1:2" x14ac:dyDescent="0.25">
      <c r="A23" s="53" t="s">
        <v>1114</v>
      </c>
      <c r="B23" s="50" t="s">
        <v>347</v>
      </c>
    </row>
    <row r="24" spans="1:2" x14ac:dyDescent="0.25">
      <c r="A24" s="53" t="s">
        <v>1207</v>
      </c>
      <c r="B24" s="50" t="s">
        <v>347</v>
      </c>
    </row>
    <row r="25" spans="1:2" x14ac:dyDescent="0.25">
      <c r="A25" s="53" t="s">
        <v>1208</v>
      </c>
      <c r="B25" s="50" t="s">
        <v>347</v>
      </c>
    </row>
    <row r="26" spans="1:2" x14ac:dyDescent="0.25">
      <c r="A26" s="53" t="s">
        <v>1209</v>
      </c>
      <c r="B26" s="50" t="s">
        <v>347</v>
      </c>
    </row>
    <row r="27" spans="1:2" x14ac:dyDescent="0.25">
      <c r="A27" s="53" t="s">
        <v>1210</v>
      </c>
      <c r="B27" s="50" t="s">
        <v>347</v>
      </c>
    </row>
    <row r="28" spans="1:2" x14ac:dyDescent="0.25">
      <c r="A28" s="53" t="s">
        <v>1306</v>
      </c>
      <c r="B28" s="50" t="s">
        <v>347</v>
      </c>
    </row>
    <row r="29" spans="1:2" x14ac:dyDescent="0.25">
      <c r="A29" s="53" t="s">
        <v>1307</v>
      </c>
      <c r="B29" s="50" t="s">
        <v>347</v>
      </c>
    </row>
    <row r="30" spans="1:2" x14ac:dyDescent="0.25">
      <c r="A30" s="53" t="s">
        <v>1130</v>
      </c>
      <c r="B30" s="50" t="s">
        <v>346</v>
      </c>
    </row>
    <row r="31" spans="1:2" x14ac:dyDescent="0.25">
      <c r="A31" s="53" t="s">
        <v>1201</v>
      </c>
      <c r="B31" s="50" t="s">
        <v>346</v>
      </c>
    </row>
    <row r="32" spans="1:2" x14ac:dyDescent="0.25">
      <c r="A32" s="53" t="s">
        <v>1472</v>
      </c>
      <c r="B32" s="50" t="s">
        <v>347</v>
      </c>
    </row>
    <row r="33" spans="1:2" x14ac:dyDescent="0.25">
      <c r="A33" s="53" t="s">
        <v>1449</v>
      </c>
      <c r="B33" s="50" t="s">
        <v>346</v>
      </c>
    </row>
    <row r="34" spans="1:2" x14ac:dyDescent="0.25">
      <c r="A34" s="53" t="s">
        <v>1088</v>
      </c>
      <c r="B34" s="50" t="s">
        <v>347</v>
      </c>
    </row>
    <row r="35" spans="1:2" x14ac:dyDescent="0.25">
      <c r="A35" s="53" t="s">
        <v>1365</v>
      </c>
      <c r="B35" s="50" t="s">
        <v>346</v>
      </c>
    </row>
    <row r="36" spans="1:2" x14ac:dyDescent="0.25">
      <c r="A36" s="53" t="s">
        <v>1475</v>
      </c>
      <c r="B36" s="50" t="s">
        <v>346</v>
      </c>
    </row>
    <row r="37" spans="1:2" x14ac:dyDescent="0.25">
      <c r="A37" s="53" t="s">
        <v>1331</v>
      </c>
      <c r="B37" s="50" t="s">
        <v>347</v>
      </c>
    </row>
    <row r="38" spans="1:2" x14ac:dyDescent="0.25">
      <c r="A38" s="53" t="s">
        <v>1246</v>
      </c>
      <c r="B38" s="50" t="s">
        <v>347</v>
      </c>
    </row>
    <row r="39" spans="1:2" x14ac:dyDescent="0.25">
      <c r="A39" s="53" t="s">
        <v>1250</v>
      </c>
      <c r="B39" s="50" t="s">
        <v>347</v>
      </c>
    </row>
    <row r="40" spans="1:2" x14ac:dyDescent="0.25">
      <c r="A40" s="53" t="s">
        <v>1254</v>
      </c>
      <c r="B40" s="50" t="s">
        <v>347</v>
      </c>
    </row>
    <row r="41" spans="1:2" x14ac:dyDescent="0.25">
      <c r="A41" s="53" t="s">
        <v>1258</v>
      </c>
      <c r="B41" s="50" t="s">
        <v>347</v>
      </c>
    </row>
    <row r="42" spans="1:2" x14ac:dyDescent="0.25">
      <c r="A42" s="53" t="s">
        <v>1262</v>
      </c>
      <c r="B42" s="50" t="s">
        <v>347</v>
      </c>
    </row>
    <row r="43" spans="1:2" x14ac:dyDescent="0.25">
      <c r="A43" s="53" t="s">
        <v>1266</v>
      </c>
      <c r="B43" s="50" t="s">
        <v>347</v>
      </c>
    </row>
    <row r="44" spans="1:2" x14ac:dyDescent="0.25">
      <c r="A44" s="53" t="s">
        <v>1270</v>
      </c>
      <c r="B44" s="50" t="s">
        <v>347</v>
      </c>
    </row>
    <row r="45" spans="1:2" x14ac:dyDescent="0.25">
      <c r="A45" s="54" t="s">
        <v>1495</v>
      </c>
      <c r="B45" s="111" t="s">
        <v>347</v>
      </c>
    </row>
    <row r="46" spans="1:2" x14ac:dyDescent="0.25">
      <c r="A46" s="53" t="s">
        <v>1274</v>
      </c>
      <c r="B46" s="50" t="s">
        <v>347</v>
      </c>
    </row>
    <row r="47" spans="1:2" ht="30" x14ac:dyDescent="0.25">
      <c r="A47" s="53" t="s">
        <v>1278</v>
      </c>
      <c r="B47" s="50" t="s">
        <v>347</v>
      </c>
    </row>
    <row r="48" spans="1:2" x14ac:dyDescent="0.25">
      <c r="A48" s="54" t="s">
        <v>1509</v>
      </c>
      <c r="B48" s="111" t="s">
        <v>347</v>
      </c>
    </row>
    <row r="49" spans="1:2" x14ac:dyDescent="0.25">
      <c r="A49" s="53" t="s">
        <v>1632</v>
      </c>
      <c r="B49" s="50" t="s">
        <v>347</v>
      </c>
    </row>
    <row r="50" spans="1:2" x14ac:dyDescent="0.25">
      <c r="A50" s="53" t="s">
        <v>1327</v>
      </c>
      <c r="B50" s="50" t="s">
        <v>347</v>
      </c>
    </row>
    <row r="51" spans="1:2" x14ac:dyDescent="0.25">
      <c r="A51" s="53" t="s">
        <v>1285</v>
      </c>
      <c r="B51" s="50" t="s">
        <v>347</v>
      </c>
    </row>
    <row r="52" spans="1:2" x14ac:dyDescent="0.25">
      <c r="A52" s="53" t="s">
        <v>1335</v>
      </c>
      <c r="B52" s="50" t="s">
        <v>347</v>
      </c>
    </row>
    <row r="53" spans="1:2" x14ac:dyDescent="0.25">
      <c r="A53" s="53" t="s">
        <v>1289</v>
      </c>
      <c r="B53" s="50" t="s">
        <v>347</v>
      </c>
    </row>
    <row r="54" spans="1:2" x14ac:dyDescent="0.25">
      <c r="A54" s="53" t="s">
        <v>1293</v>
      </c>
      <c r="B54" s="50" t="s">
        <v>347</v>
      </c>
    </row>
    <row r="55" spans="1:2" x14ac:dyDescent="0.25">
      <c r="A55" s="54" t="s">
        <v>1483</v>
      </c>
      <c r="B55" s="111" t="s">
        <v>347</v>
      </c>
    </row>
    <row r="56" spans="1:2" x14ac:dyDescent="0.25">
      <c r="A56" s="53" t="s">
        <v>1297</v>
      </c>
      <c r="B56" s="50" t="s">
        <v>347</v>
      </c>
    </row>
    <row r="57" spans="1:2" x14ac:dyDescent="0.25">
      <c r="A57" s="53" t="s">
        <v>1301</v>
      </c>
      <c r="B57" s="50" t="s">
        <v>347</v>
      </c>
    </row>
    <row r="58" spans="1:2" x14ac:dyDescent="0.25">
      <c r="A58" s="53" t="s">
        <v>1305</v>
      </c>
      <c r="B58" s="50" t="s">
        <v>347</v>
      </c>
    </row>
    <row r="59" spans="1:2" x14ac:dyDescent="0.25">
      <c r="A59" s="53" t="s">
        <v>1436</v>
      </c>
      <c r="B59" s="50" t="s">
        <v>346</v>
      </c>
    </row>
    <row r="60" spans="1:2" x14ac:dyDescent="0.25">
      <c r="A60" s="54" t="s">
        <v>1514</v>
      </c>
      <c r="B60" s="111" t="s">
        <v>346</v>
      </c>
    </row>
    <row r="61" spans="1:2" x14ac:dyDescent="0.25">
      <c r="A61" s="53" t="s">
        <v>1218</v>
      </c>
      <c r="B61" s="50" t="s">
        <v>346</v>
      </c>
    </row>
    <row r="62" spans="1:2" x14ac:dyDescent="0.25">
      <c r="A62" s="53" t="s">
        <v>1363</v>
      </c>
      <c r="B62" s="50" t="s">
        <v>346</v>
      </c>
    </row>
    <row r="63" spans="1:2" x14ac:dyDescent="0.25">
      <c r="A63" s="53" t="s">
        <v>1107</v>
      </c>
      <c r="B63" s="50" t="s">
        <v>346</v>
      </c>
    </row>
    <row r="64" spans="1:2" x14ac:dyDescent="0.25">
      <c r="A64" s="53" t="s">
        <v>1199</v>
      </c>
      <c r="B64" s="50" t="s">
        <v>346</v>
      </c>
    </row>
    <row r="65" spans="1:2" x14ac:dyDescent="0.25">
      <c r="A65" s="54" t="s">
        <v>1515</v>
      </c>
      <c r="B65" s="111" t="s">
        <v>346</v>
      </c>
    </row>
    <row r="66" spans="1:2" x14ac:dyDescent="0.25">
      <c r="A66" s="53" t="s">
        <v>1124</v>
      </c>
      <c r="B66" s="50" t="s">
        <v>347</v>
      </c>
    </row>
    <row r="67" spans="1:2" x14ac:dyDescent="0.25">
      <c r="A67" s="53" t="s">
        <v>1368</v>
      </c>
      <c r="B67" s="50" t="s">
        <v>347</v>
      </c>
    </row>
    <row r="68" spans="1:2" x14ac:dyDescent="0.25">
      <c r="A68" s="53" t="s">
        <v>1435</v>
      </c>
      <c r="B68" s="50" t="s">
        <v>346</v>
      </c>
    </row>
    <row r="69" spans="1:2" x14ac:dyDescent="0.25">
      <c r="A69" s="53" t="s">
        <v>1324</v>
      </c>
      <c r="B69" s="50" t="s">
        <v>346</v>
      </c>
    </row>
    <row r="70" spans="1:2" x14ac:dyDescent="0.25">
      <c r="A70" s="53" t="s">
        <v>1167</v>
      </c>
      <c r="B70" s="50" t="s">
        <v>347</v>
      </c>
    </row>
    <row r="71" spans="1:2" x14ac:dyDescent="0.25">
      <c r="A71" s="53" t="s">
        <v>1295</v>
      </c>
      <c r="B71" s="50" t="s">
        <v>346</v>
      </c>
    </row>
    <row r="72" spans="1:2" x14ac:dyDescent="0.25">
      <c r="A72" s="53" t="s">
        <v>1081</v>
      </c>
      <c r="B72" s="50" t="s">
        <v>346</v>
      </c>
    </row>
    <row r="73" spans="1:2" x14ac:dyDescent="0.25">
      <c r="A73" s="53" t="s">
        <v>1298</v>
      </c>
      <c r="B73" s="50" t="s">
        <v>347</v>
      </c>
    </row>
    <row r="74" spans="1:2" x14ac:dyDescent="0.25">
      <c r="A74" s="53" t="s">
        <v>1106</v>
      </c>
      <c r="B74" s="50" t="s">
        <v>346</v>
      </c>
    </row>
    <row r="75" spans="1:2" x14ac:dyDescent="0.25">
      <c r="A75" s="53" t="s">
        <v>1089</v>
      </c>
      <c r="B75" s="50" t="s">
        <v>346</v>
      </c>
    </row>
    <row r="76" spans="1:2" x14ac:dyDescent="0.25">
      <c r="A76" s="54" t="s">
        <v>1491</v>
      </c>
      <c r="B76" s="50" t="s">
        <v>346</v>
      </c>
    </row>
    <row r="77" spans="1:2" x14ac:dyDescent="0.25">
      <c r="A77" s="54" t="s">
        <v>1513</v>
      </c>
      <c r="B77" s="111" t="s">
        <v>346</v>
      </c>
    </row>
    <row r="78" spans="1:2" x14ac:dyDescent="0.25">
      <c r="A78" s="53" t="s">
        <v>1362</v>
      </c>
      <c r="B78" s="50" t="s">
        <v>346</v>
      </c>
    </row>
    <row r="79" spans="1:2" x14ac:dyDescent="0.25">
      <c r="A79" s="53" t="s">
        <v>1395</v>
      </c>
      <c r="B79" s="50" t="s">
        <v>346</v>
      </c>
    </row>
    <row r="80" spans="1:2" x14ac:dyDescent="0.25">
      <c r="A80" s="53" t="s">
        <v>1083</v>
      </c>
      <c r="B80" s="50" t="s">
        <v>347</v>
      </c>
    </row>
    <row r="81" spans="1:2" x14ac:dyDescent="0.25">
      <c r="A81" s="53" t="s">
        <v>1132</v>
      </c>
      <c r="B81" s="50" t="s">
        <v>346</v>
      </c>
    </row>
    <row r="82" spans="1:2" x14ac:dyDescent="0.25">
      <c r="A82" s="53" t="s">
        <v>1414</v>
      </c>
      <c r="B82" s="50" t="s">
        <v>346</v>
      </c>
    </row>
    <row r="83" spans="1:2" x14ac:dyDescent="0.25">
      <c r="A83" s="53" t="s">
        <v>1359</v>
      </c>
      <c r="B83" s="50" t="s">
        <v>346</v>
      </c>
    </row>
    <row r="84" spans="1:2" x14ac:dyDescent="0.25">
      <c r="A84" s="53" t="s">
        <v>1196</v>
      </c>
      <c r="B84" s="50" t="s">
        <v>347</v>
      </c>
    </row>
    <row r="85" spans="1:2" x14ac:dyDescent="0.25">
      <c r="A85" s="54" t="s">
        <v>1481</v>
      </c>
      <c r="B85" s="50" t="s">
        <v>347</v>
      </c>
    </row>
    <row r="86" spans="1:2" x14ac:dyDescent="0.25">
      <c r="A86" s="53" t="s">
        <v>1111</v>
      </c>
      <c r="B86" s="50" t="s">
        <v>346</v>
      </c>
    </row>
    <row r="87" spans="1:2" x14ac:dyDescent="0.25">
      <c r="A87" s="54" t="s">
        <v>1490</v>
      </c>
      <c r="B87" s="50" t="s">
        <v>346</v>
      </c>
    </row>
    <row r="88" spans="1:2" x14ac:dyDescent="0.25">
      <c r="A88" s="53" t="s">
        <v>1080</v>
      </c>
      <c r="B88" s="50" t="s">
        <v>346</v>
      </c>
    </row>
    <row r="89" spans="1:2" x14ac:dyDescent="0.25">
      <c r="A89" s="54" t="s">
        <v>1482</v>
      </c>
      <c r="B89" s="50" t="s">
        <v>346</v>
      </c>
    </row>
    <row r="90" spans="1:2" x14ac:dyDescent="0.25">
      <c r="A90" s="53" t="s">
        <v>1291</v>
      </c>
      <c r="B90" s="50" t="s">
        <v>347</v>
      </c>
    </row>
    <row r="91" spans="1:2" x14ac:dyDescent="0.25">
      <c r="A91" s="53" t="s">
        <v>1192</v>
      </c>
      <c r="B91" s="50" t="s">
        <v>346</v>
      </c>
    </row>
    <row r="92" spans="1:2" x14ac:dyDescent="0.25">
      <c r="A92" s="53" t="s">
        <v>1288</v>
      </c>
      <c r="B92" s="50" t="s">
        <v>347</v>
      </c>
    </row>
    <row r="93" spans="1:2" x14ac:dyDescent="0.25">
      <c r="A93" s="53" t="s">
        <v>1202</v>
      </c>
      <c r="B93" s="50" t="s">
        <v>347</v>
      </c>
    </row>
    <row r="94" spans="1:2" x14ac:dyDescent="0.25">
      <c r="A94" s="53" t="s">
        <v>1122</v>
      </c>
      <c r="B94" s="50" t="s">
        <v>347</v>
      </c>
    </row>
    <row r="95" spans="1:2" x14ac:dyDescent="0.25">
      <c r="A95" s="53" t="s">
        <v>1187</v>
      </c>
      <c r="B95" s="50" t="s">
        <v>347</v>
      </c>
    </row>
    <row r="96" spans="1:2" x14ac:dyDescent="0.25">
      <c r="A96" s="53" t="s">
        <v>1172</v>
      </c>
      <c r="B96" s="50" t="s">
        <v>347</v>
      </c>
    </row>
    <row r="97" spans="1:2" x14ac:dyDescent="0.25">
      <c r="A97" s="53" t="s">
        <v>1316</v>
      </c>
      <c r="B97" s="50" t="s">
        <v>347</v>
      </c>
    </row>
    <row r="98" spans="1:2" x14ac:dyDescent="0.25">
      <c r="A98" s="53" t="s">
        <v>1174</v>
      </c>
      <c r="B98" s="50" t="s">
        <v>347</v>
      </c>
    </row>
    <row r="99" spans="1:2" x14ac:dyDescent="0.25">
      <c r="A99" s="53" t="s">
        <v>1173</v>
      </c>
      <c r="B99" s="50" t="s">
        <v>347</v>
      </c>
    </row>
    <row r="100" spans="1:2" x14ac:dyDescent="0.25">
      <c r="A100" s="53" t="s">
        <v>1372</v>
      </c>
      <c r="B100" s="50" t="s">
        <v>347</v>
      </c>
    </row>
    <row r="101" spans="1:2" x14ac:dyDescent="0.25">
      <c r="A101" s="53" t="s">
        <v>1176</v>
      </c>
      <c r="B101" s="50" t="s">
        <v>346</v>
      </c>
    </row>
    <row r="102" spans="1:2" x14ac:dyDescent="0.25">
      <c r="A102" s="53" t="s">
        <v>1267</v>
      </c>
      <c r="B102" s="50" t="s">
        <v>346</v>
      </c>
    </row>
    <row r="103" spans="1:2" x14ac:dyDescent="0.25">
      <c r="A103" s="53" t="s">
        <v>1175</v>
      </c>
      <c r="B103" s="50" t="s">
        <v>346</v>
      </c>
    </row>
    <row r="104" spans="1:2" x14ac:dyDescent="0.25">
      <c r="A104" s="53" t="s">
        <v>1149</v>
      </c>
      <c r="B104" s="50" t="s">
        <v>346</v>
      </c>
    </row>
    <row r="105" spans="1:2" x14ac:dyDescent="0.25">
      <c r="A105" s="53" t="s">
        <v>1290</v>
      </c>
      <c r="B105" s="50" t="s">
        <v>346</v>
      </c>
    </row>
    <row r="106" spans="1:2" x14ac:dyDescent="0.25">
      <c r="A106" s="53" t="s">
        <v>1146</v>
      </c>
      <c r="B106" s="50" t="s">
        <v>347</v>
      </c>
    </row>
    <row r="107" spans="1:2" x14ac:dyDescent="0.25">
      <c r="A107" s="53" t="s">
        <v>1203</v>
      </c>
      <c r="B107" s="50" t="s">
        <v>346</v>
      </c>
    </row>
    <row r="108" spans="1:2" x14ac:dyDescent="0.25">
      <c r="A108" s="53" t="s">
        <v>1386</v>
      </c>
      <c r="B108" s="50" t="s">
        <v>346</v>
      </c>
    </row>
    <row r="109" spans="1:2" x14ac:dyDescent="0.25">
      <c r="A109" s="53" t="s">
        <v>1073</v>
      </c>
      <c r="B109" s="50" t="s">
        <v>347</v>
      </c>
    </row>
    <row r="110" spans="1:2" x14ac:dyDescent="0.25">
      <c r="A110" s="53" t="s">
        <v>1377</v>
      </c>
      <c r="B110" s="50" t="s">
        <v>346</v>
      </c>
    </row>
    <row r="111" spans="1:2" x14ac:dyDescent="0.25">
      <c r="A111" s="53" t="s">
        <v>1385</v>
      </c>
      <c r="B111" s="50" t="s">
        <v>346</v>
      </c>
    </row>
    <row r="112" spans="1:2" x14ac:dyDescent="0.25">
      <c r="A112" s="53" t="s">
        <v>1136</v>
      </c>
      <c r="B112" s="50" t="s">
        <v>346</v>
      </c>
    </row>
    <row r="113" spans="1:2" x14ac:dyDescent="0.25">
      <c r="A113" s="53" t="s">
        <v>2917</v>
      </c>
      <c r="B113" s="50" t="s">
        <v>346</v>
      </c>
    </row>
    <row r="114" spans="1:2" x14ac:dyDescent="0.25">
      <c r="A114" s="53" t="s">
        <v>1135</v>
      </c>
      <c r="B114" s="50" t="s">
        <v>346</v>
      </c>
    </row>
    <row r="115" spans="1:2" x14ac:dyDescent="0.25">
      <c r="A115" s="53" t="s">
        <v>1170</v>
      </c>
      <c r="B115" s="50" t="s">
        <v>347</v>
      </c>
    </row>
    <row r="116" spans="1:2" x14ac:dyDescent="0.25">
      <c r="A116" s="53" t="s">
        <v>1318</v>
      </c>
      <c r="B116" s="50" t="s">
        <v>347</v>
      </c>
    </row>
    <row r="117" spans="1:2" x14ac:dyDescent="0.25">
      <c r="A117" s="53" t="s">
        <v>1452</v>
      </c>
      <c r="B117" s="50" t="s">
        <v>347</v>
      </c>
    </row>
    <row r="118" spans="1:2" x14ac:dyDescent="0.25">
      <c r="A118" s="53" t="s">
        <v>1226</v>
      </c>
      <c r="B118" s="50" t="s">
        <v>347</v>
      </c>
    </row>
    <row r="119" spans="1:2" x14ac:dyDescent="0.25">
      <c r="A119" s="53" t="s">
        <v>1281</v>
      </c>
      <c r="B119" s="50" t="s">
        <v>346</v>
      </c>
    </row>
    <row r="120" spans="1:2" x14ac:dyDescent="0.25">
      <c r="A120" s="53" t="s">
        <v>1104</v>
      </c>
      <c r="B120" s="50" t="s">
        <v>347</v>
      </c>
    </row>
    <row r="121" spans="1:2" x14ac:dyDescent="0.25">
      <c r="A121" s="53" t="s">
        <v>1272</v>
      </c>
      <c r="B121" s="50" t="s">
        <v>346</v>
      </c>
    </row>
    <row r="122" spans="1:2" x14ac:dyDescent="0.25">
      <c r="A122" s="53" t="s">
        <v>1404</v>
      </c>
      <c r="B122" s="50" t="s">
        <v>346</v>
      </c>
    </row>
    <row r="123" spans="1:2" x14ac:dyDescent="0.25">
      <c r="A123" s="53" t="s">
        <v>1326</v>
      </c>
      <c r="B123" s="50" t="s">
        <v>346</v>
      </c>
    </row>
    <row r="124" spans="1:2" x14ac:dyDescent="0.25">
      <c r="A124" s="53" t="s">
        <v>1428</v>
      </c>
      <c r="B124" s="50" t="s">
        <v>347</v>
      </c>
    </row>
    <row r="125" spans="1:2" x14ac:dyDescent="0.25">
      <c r="A125" s="53" t="s">
        <v>1179</v>
      </c>
      <c r="B125" s="50" t="s">
        <v>346</v>
      </c>
    </row>
    <row r="126" spans="1:2" x14ac:dyDescent="0.25">
      <c r="A126" s="54" t="s">
        <v>1502</v>
      </c>
      <c r="B126" s="50" t="s">
        <v>346</v>
      </c>
    </row>
    <row r="127" spans="1:2" x14ac:dyDescent="0.25">
      <c r="A127" s="54" t="s">
        <v>1506</v>
      </c>
      <c r="B127" s="50" t="s">
        <v>346</v>
      </c>
    </row>
    <row r="128" spans="1:2" x14ac:dyDescent="0.25">
      <c r="A128" s="53" t="s">
        <v>1410</v>
      </c>
      <c r="B128" s="50" t="s">
        <v>346</v>
      </c>
    </row>
    <row r="129" spans="1:2" x14ac:dyDescent="0.25">
      <c r="A129" s="53" t="s">
        <v>1159</v>
      </c>
      <c r="B129" s="50" t="s">
        <v>347</v>
      </c>
    </row>
    <row r="130" spans="1:2" x14ac:dyDescent="0.25">
      <c r="A130" s="53" t="s">
        <v>1161</v>
      </c>
      <c r="B130" s="50" t="s">
        <v>347</v>
      </c>
    </row>
    <row r="131" spans="1:2" x14ac:dyDescent="0.25">
      <c r="A131" s="53" t="s">
        <v>1259</v>
      </c>
      <c r="B131" s="50" t="s">
        <v>346</v>
      </c>
    </row>
    <row r="132" spans="1:2" x14ac:dyDescent="0.25">
      <c r="A132" s="53" t="s">
        <v>1160</v>
      </c>
      <c r="B132" s="50" t="s">
        <v>347</v>
      </c>
    </row>
    <row r="133" spans="1:2" x14ac:dyDescent="0.25">
      <c r="A133" s="53" t="s">
        <v>1077</v>
      </c>
      <c r="B133" s="50" t="s">
        <v>346</v>
      </c>
    </row>
    <row r="134" spans="1:2" x14ac:dyDescent="0.25">
      <c r="A134" s="53" t="s">
        <v>1253</v>
      </c>
      <c r="B134" s="50" t="s">
        <v>346</v>
      </c>
    </row>
    <row r="135" spans="1:2" x14ac:dyDescent="0.25">
      <c r="A135" s="53" t="s">
        <v>1184</v>
      </c>
      <c r="B135" s="50" t="s">
        <v>346</v>
      </c>
    </row>
    <row r="136" spans="1:2" x14ac:dyDescent="0.25">
      <c r="A136" s="53" t="s">
        <v>1424</v>
      </c>
      <c r="B136" s="50" t="s">
        <v>346</v>
      </c>
    </row>
    <row r="137" spans="1:2" x14ac:dyDescent="0.25">
      <c r="A137" s="53" t="s">
        <v>1320</v>
      </c>
      <c r="B137" s="50" t="s">
        <v>347</v>
      </c>
    </row>
    <row r="138" spans="1:2" x14ac:dyDescent="0.25">
      <c r="A138" s="53" t="s">
        <v>1265</v>
      </c>
      <c r="B138" s="50" t="s">
        <v>346</v>
      </c>
    </row>
    <row r="139" spans="1:2" x14ac:dyDescent="0.25">
      <c r="A139" s="53" t="s">
        <v>1225</v>
      </c>
      <c r="B139" s="50" t="s">
        <v>347</v>
      </c>
    </row>
    <row r="140" spans="1:2" x14ac:dyDescent="0.25">
      <c r="A140" s="53" t="s">
        <v>1243</v>
      </c>
      <c r="B140" s="50" t="s">
        <v>346</v>
      </c>
    </row>
    <row r="141" spans="1:2" x14ac:dyDescent="0.25">
      <c r="A141" s="53" t="s">
        <v>1263</v>
      </c>
      <c r="B141" s="50" t="s">
        <v>346</v>
      </c>
    </row>
    <row r="142" spans="1:2" x14ac:dyDescent="0.25">
      <c r="A142" s="53" t="s">
        <v>1074</v>
      </c>
      <c r="B142" s="50" t="s">
        <v>346</v>
      </c>
    </row>
    <row r="143" spans="1:2" x14ac:dyDescent="0.25">
      <c r="A143" s="53" t="s">
        <v>1133</v>
      </c>
      <c r="B143" s="50" t="s">
        <v>346</v>
      </c>
    </row>
    <row r="144" spans="1:2" x14ac:dyDescent="0.25">
      <c r="A144" s="53" t="s">
        <v>1157</v>
      </c>
      <c r="B144" s="50" t="s">
        <v>346</v>
      </c>
    </row>
    <row r="145" spans="1:2" x14ac:dyDescent="0.25">
      <c r="A145" s="53" t="s">
        <v>1067</v>
      </c>
      <c r="B145" s="50" t="s">
        <v>347</v>
      </c>
    </row>
    <row r="146" spans="1:2" x14ac:dyDescent="0.25">
      <c r="A146" s="36" t="s">
        <v>2628</v>
      </c>
      <c r="B146" s="111" t="s">
        <v>346</v>
      </c>
    </row>
    <row r="147" spans="1:2" x14ac:dyDescent="0.25">
      <c r="A147" s="36" t="s">
        <v>2629</v>
      </c>
      <c r="B147" s="111" t="s">
        <v>346</v>
      </c>
    </row>
    <row r="148" spans="1:2" x14ac:dyDescent="0.25">
      <c r="A148" s="36" t="s">
        <v>2630</v>
      </c>
      <c r="B148" s="111" t="s">
        <v>346</v>
      </c>
    </row>
    <row r="149" spans="1:2" x14ac:dyDescent="0.25">
      <c r="A149" s="36" t="s">
        <v>2631</v>
      </c>
      <c r="B149" s="111" t="s">
        <v>346</v>
      </c>
    </row>
    <row r="150" spans="1:2" x14ac:dyDescent="0.25">
      <c r="A150" s="36" t="s">
        <v>2632</v>
      </c>
      <c r="B150" s="111" t="s">
        <v>346</v>
      </c>
    </row>
    <row r="151" spans="1:2" x14ac:dyDescent="0.25">
      <c r="A151" s="36" t="s">
        <v>2633</v>
      </c>
      <c r="B151" s="111" t="s">
        <v>346</v>
      </c>
    </row>
    <row r="152" spans="1:2" x14ac:dyDescent="0.25">
      <c r="A152" s="36" t="s">
        <v>2634</v>
      </c>
      <c r="B152" s="111" t="s">
        <v>346</v>
      </c>
    </row>
    <row r="153" spans="1:2" x14ac:dyDescent="0.25">
      <c r="A153" s="36" t="s">
        <v>2635</v>
      </c>
      <c r="B153" s="111" t="s">
        <v>346</v>
      </c>
    </row>
    <row r="154" spans="1:2" x14ac:dyDescent="0.25">
      <c r="A154" s="36" t="s">
        <v>2636</v>
      </c>
      <c r="B154" s="111" t="s">
        <v>346</v>
      </c>
    </row>
    <row r="155" spans="1:2" x14ac:dyDescent="0.25">
      <c r="A155" s="36" t="s">
        <v>2637</v>
      </c>
      <c r="B155" s="111" t="s">
        <v>346</v>
      </c>
    </row>
    <row r="156" spans="1:2" x14ac:dyDescent="0.25">
      <c r="A156" s="36" t="s">
        <v>2638</v>
      </c>
      <c r="B156" s="111" t="s">
        <v>346</v>
      </c>
    </row>
    <row r="157" spans="1:2" x14ac:dyDescent="0.25">
      <c r="A157" s="36" t="s">
        <v>2639</v>
      </c>
      <c r="B157" s="111" t="s">
        <v>346</v>
      </c>
    </row>
    <row r="158" spans="1:2" x14ac:dyDescent="0.25">
      <c r="A158" s="36" t="s">
        <v>2640</v>
      </c>
      <c r="B158" s="111" t="s">
        <v>346</v>
      </c>
    </row>
    <row r="159" spans="1:2" x14ac:dyDescent="0.25">
      <c r="A159" s="36" t="s">
        <v>2641</v>
      </c>
      <c r="B159" s="111" t="s">
        <v>346</v>
      </c>
    </row>
    <row r="160" spans="1:2" x14ac:dyDescent="0.25">
      <c r="A160" s="36" t="s">
        <v>2642</v>
      </c>
      <c r="B160" s="111" t="s">
        <v>346</v>
      </c>
    </row>
    <row r="161" spans="1:2" x14ac:dyDescent="0.25">
      <c r="A161" s="36" t="s">
        <v>2643</v>
      </c>
      <c r="B161" s="111" t="s">
        <v>346</v>
      </c>
    </row>
    <row r="162" spans="1:2" x14ac:dyDescent="0.25">
      <c r="A162" s="36" t="s">
        <v>2644</v>
      </c>
      <c r="B162" s="111" t="s">
        <v>346</v>
      </c>
    </row>
    <row r="163" spans="1:2" x14ac:dyDescent="0.25">
      <c r="A163" s="36" t="s">
        <v>2645</v>
      </c>
      <c r="B163" s="111" t="s">
        <v>346</v>
      </c>
    </row>
    <row r="164" spans="1:2" x14ac:dyDescent="0.25">
      <c r="A164" s="54" t="s">
        <v>1507</v>
      </c>
      <c r="B164" s="50" t="s">
        <v>346</v>
      </c>
    </row>
    <row r="165" spans="1:2" x14ac:dyDescent="0.25">
      <c r="A165" s="53" t="s">
        <v>1317</v>
      </c>
      <c r="B165" s="50" t="s">
        <v>346</v>
      </c>
    </row>
    <row r="166" spans="1:2" x14ac:dyDescent="0.25">
      <c r="A166" s="54" t="s">
        <v>1504</v>
      </c>
      <c r="B166" s="50" t="s">
        <v>346</v>
      </c>
    </row>
    <row r="167" spans="1:2" x14ac:dyDescent="0.25">
      <c r="A167" s="53" t="s">
        <v>1233</v>
      </c>
      <c r="B167" s="50" t="s">
        <v>346</v>
      </c>
    </row>
    <row r="168" spans="1:2" x14ac:dyDescent="0.25">
      <c r="A168" s="53" t="s">
        <v>1232</v>
      </c>
      <c r="B168" s="50" t="s">
        <v>346</v>
      </c>
    </row>
    <row r="169" spans="1:2" x14ac:dyDescent="0.25">
      <c r="A169" s="53" t="s">
        <v>1231</v>
      </c>
      <c r="B169" s="50" t="s">
        <v>346</v>
      </c>
    </row>
    <row r="170" spans="1:2" x14ac:dyDescent="0.25">
      <c r="A170" s="53" t="s">
        <v>1379</v>
      </c>
      <c r="B170" s="50" t="s">
        <v>346</v>
      </c>
    </row>
    <row r="171" spans="1:2" x14ac:dyDescent="0.25">
      <c r="A171" s="53" t="s">
        <v>1284</v>
      </c>
      <c r="B171" s="50" t="s">
        <v>346</v>
      </c>
    </row>
    <row r="172" spans="1:2" x14ac:dyDescent="0.25">
      <c r="A172" s="53" t="s">
        <v>1082</v>
      </c>
      <c r="B172" s="50" t="s">
        <v>347</v>
      </c>
    </row>
    <row r="173" spans="1:2" x14ac:dyDescent="0.25">
      <c r="A173" s="53" t="s">
        <v>1447</v>
      </c>
      <c r="B173" s="50" t="s">
        <v>346</v>
      </c>
    </row>
    <row r="174" spans="1:2" x14ac:dyDescent="0.25">
      <c r="A174" s="53" t="s">
        <v>1084</v>
      </c>
      <c r="B174" s="50" t="s">
        <v>346</v>
      </c>
    </row>
    <row r="175" spans="1:2" x14ac:dyDescent="0.25">
      <c r="A175" s="53" t="s">
        <v>1421</v>
      </c>
      <c r="B175" s="50" t="s">
        <v>347</v>
      </c>
    </row>
    <row r="176" spans="1:2" x14ac:dyDescent="0.25">
      <c r="A176" s="53" t="s">
        <v>1423</v>
      </c>
      <c r="B176" s="50" t="s">
        <v>347</v>
      </c>
    </row>
    <row r="177" spans="1:2" x14ac:dyDescent="0.25">
      <c r="A177" s="53" t="s">
        <v>1444</v>
      </c>
      <c r="B177" s="50" t="s">
        <v>346</v>
      </c>
    </row>
    <row r="178" spans="1:2" x14ac:dyDescent="0.25">
      <c r="A178" s="53" t="s">
        <v>1168</v>
      </c>
      <c r="B178" s="50" t="s">
        <v>347</v>
      </c>
    </row>
    <row r="179" spans="1:2" x14ac:dyDescent="0.25">
      <c r="A179" s="53" t="s">
        <v>1391</v>
      </c>
      <c r="B179" s="50" t="s">
        <v>347</v>
      </c>
    </row>
    <row r="180" spans="1:2" x14ac:dyDescent="0.25">
      <c r="A180" s="53" t="s">
        <v>1195</v>
      </c>
      <c r="B180" s="50" t="s">
        <v>347</v>
      </c>
    </row>
    <row r="181" spans="1:2" x14ac:dyDescent="0.25">
      <c r="A181" s="54" t="s">
        <v>1493</v>
      </c>
      <c r="B181" s="50" t="s">
        <v>346</v>
      </c>
    </row>
    <row r="182" spans="1:2" x14ac:dyDescent="0.25">
      <c r="A182" s="53" t="s">
        <v>1299</v>
      </c>
      <c r="B182" s="50" t="s">
        <v>346</v>
      </c>
    </row>
    <row r="183" spans="1:2" x14ac:dyDescent="0.25">
      <c r="A183" s="54" t="s">
        <v>1501</v>
      </c>
      <c r="B183" s="50" t="s">
        <v>346</v>
      </c>
    </row>
    <row r="184" spans="1:2" x14ac:dyDescent="0.25">
      <c r="A184" s="54" t="s">
        <v>1485</v>
      </c>
      <c r="B184" s="50" t="s">
        <v>347</v>
      </c>
    </row>
    <row r="185" spans="1:2" x14ac:dyDescent="0.25">
      <c r="A185" s="54" t="s">
        <v>1492</v>
      </c>
      <c r="B185" s="50" t="s">
        <v>346</v>
      </c>
    </row>
    <row r="186" spans="1:2" x14ac:dyDescent="0.25">
      <c r="A186" s="54" t="s">
        <v>1480</v>
      </c>
      <c r="B186" s="50" t="s">
        <v>346</v>
      </c>
    </row>
    <row r="187" spans="1:2" x14ac:dyDescent="0.25">
      <c r="A187" s="54" t="s">
        <v>1488</v>
      </c>
      <c r="B187" s="50" t="s">
        <v>346</v>
      </c>
    </row>
    <row r="188" spans="1:2" x14ac:dyDescent="0.25">
      <c r="A188" s="53" t="s">
        <v>1369</v>
      </c>
      <c r="B188" s="50" t="s">
        <v>347</v>
      </c>
    </row>
    <row r="189" spans="1:2" x14ac:dyDescent="0.25">
      <c r="A189" s="54" t="s">
        <v>1500</v>
      </c>
      <c r="B189" s="111" t="s">
        <v>346</v>
      </c>
    </row>
    <row r="190" spans="1:2" x14ac:dyDescent="0.25">
      <c r="A190" s="53" t="s">
        <v>1406</v>
      </c>
      <c r="B190" s="50" t="s">
        <v>346</v>
      </c>
    </row>
    <row r="191" spans="1:2" x14ac:dyDescent="0.25">
      <c r="A191" s="53" t="s">
        <v>1256</v>
      </c>
      <c r="B191" s="50" t="s">
        <v>346</v>
      </c>
    </row>
    <row r="192" spans="1:2" x14ac:dyDescent="0.25">
      <c r="A192" s="53" t="s">
        <v>1319</v>
      </c>
      <c r="B192" s="50" t="s">
        <v>347</v>
      </c>
    </row>
    <row r="193" spans="1:2" x14ac:dyDescent="0.25">
      <c r="A193" s="53" t="s">
        <v>1456</v>
      </c>
      <c r="B193" s="50" t="s">
        <v>346</v>
      </c>
    </row>
    <row r="194" spans="1:2" x14ac:dyDescent="0.25">
      <c r="A194" s="53" t="s">
        <v>1457</v>
      </c>
      <c r="B194" s="50" t="s">
        <v>346</v>
      </c>
    </row>
    <row r="195" spans="1:2" x14ac:dyDescent="0.25">
      <c r="A195" s="53" t="s">
        <v>1458</v>
      </c>
      <c r="B195" s="50" t="s">
        <v>346</v>
      </c>
    </row>
    <row r="196" spans="1:2" x14ac:dyDescent="0.25">
      <c r="A196" s="53" t="s">
        <v>1455</v>
      </c>
      <c r="B196" s="50" t="s">
        <v>346</v>
      </c>
    </row>
    <row r="197" spans="1:2" x14ac:dyDescent="0.25">
      <c r="A197" s="53" t="s">
        <v>1454</v>
      </c>
      <c r="B197" s="50" t="s">
        <v>346</v>
      </c>
    </row>
    <row r="198" spans="1:2" x14ac:dyDescent="0.25">
      <c r="A198" s="53" t="s">
        <v>1429</v>
      </c>
      <c r="B198" s="50" t="s">
        <v>346</v>
      </c>
    </row>
    <row r="199" spans="1:2" x14ac:dyDescent="0.25">
      <c r="A199" s="53" t="s">
        <v>1079</v>
      </c>
      <c r="B199" s="50" t="s">
        <v>347</v>
      </c>
    </row>
    <row r="200" spans="1:2" x14ac:dyDescent="0.25">
      <c r="A200" s="53" t="s">
        <v>1390</v>
      </c>
      <c r="B200" s="50" t="s">
        <v>347</v>
      </c>
    </row>
    <row r="201" spans="1:2" x14ac:dyDescent="0.25">
      <c r="A201" s="53" t="s">
        <v>1445</v>
      </c>
      <c r="B201" s="50" t="s">
        <v>346</v>
      </c>
    </row>
    <row r="202" spans="1:2" x14ac:dyDescent="0.25">
      <c r="A202" s="53" t="s">
        <v>1092</v>
      </c>
      <c r="B202" s="50" t="s">
        <v>346</v>
      </c>
    </row>
    <row r="203" spans="1:2" x14ac:dyDescent="0.25">
      <c r="A203" s="53" t="s">
        <v>1397</v>
      </c>
      <c r="B203" s="50" t="s">
        <v>346</v>
      </c>
    </row>
    <row r="204" spans="1:2" x14ac:dyDescent="0.25">
      <c r="A204" s="53" t="s">
        <v>1158</v>
      </c>
      <c r="B204" s="50" t="s">
        <v>347</v>
      </c>
    </row>
    <row r="205" spans="1:2" x14ac:dyDescent="0.25">
      <c r="A205" s="53" t="s">
        <v>1465</v>
      </c>
      <c r="B205" s="50" t="s">
        <v>347</v>
      </c>
    </row>
    <row r="206" spans="1:2" x14ac:dyDescent="0.25">
      <c r="A206" s="53" t="s">
        <v>1090</v>
      </c>
      <c r="B206" s="50" t="s">
        <v>346</v>
      </c>
    </row>
    <row r="207" spans="1:2" x14ac:dyDescent="0.25">
      <c r="A207" s="53" t="s">
        <v>1419</v>
      </c>
      <c r="B207" s="50" t="s">
        <v>346</v>
      </c>
    </row>
    <row r="208" spans="1:2" x14ac:dyDescent="0.25">
      <c r="A208" s="53" t="s">
        <v>1402</v>
      </c>
      <c r="B208" s="50" t="s">
        <v>346</v>
      </c>
    </row>
    <row r="209" spans="1:2" x14ac:dyDescent="0.25">
      <c r="A209" s="53" t="s">
        <v>1216</v>
      </c>
      <c r="B209" s="50" t="s">
        <v>346</v>
      </c>
    </row>
    <row r="210" spans="1:2" x14ac:dyDescent="0.25">
      <c r="A210" s="53" t="s">
        <v>1105</v>
      </c>
      <c r="B210" s="50" t="s">
        <v>346</v>
      </c>
    </row>
    <row r="211" spans="1:2" x14ac:dyDescent="0.25">
      <c r="A211" s="53" t="s">
        <v>1126</v>
      </c>
      <c r="B211" s="50" t="s">
        <v>347</v>
      </c>
    </row>
    <row r="212" spans="1:2" x14ac:dyDescent="0.25">
      <c r="A212" s="53" t="s">
        <v>1360</v>
      </c>
      <c r="B212" s="50" t="s">
        <v>347</v>
      </c>
    </row>
    <row r="213" spans="1:2" x14ac:dyDescent="0.25">
      <c r="A213" s="54" t="s">
        <v>1505</v>
      </c>
      <c r="B213" s="50" t="s">
        <v>346</v>
      </c>
    </row>
    <row r="214" spans="1:2" x14ac:dyDescent="0.25">
      <c r="A214" s="53" t="s">
        <v>1178</v>
      </c>
      <c r="B214" s="50" t="s">
        <v>346</v>
      </c>
    </row>
    <row r="215" spans="1:2" x14ac:dyDescent="0.25">
      <c r="A215" s="53" t="s">
        <v>1068</v>
      </c>
      <c r="B215" s="50" t="s">
        <v>346</v>
      </c>
    </row>
    <row r="216" spans="1:2" x14ac:dyDescent="0.25">
      <c r="A216" s="53" t="s">
        <v>1117</v>
      </c>
      <c r="B216" s="50" t="s">
        <v>346</v>
      </c>
    </row>
    <row r="217" spans="1:2" x14ac:dyDescent="0.25">
      <c r="A217" s="53" t="s">
        <v>1392</v>
      </c>
      <c r="B217" s="50" t="s">
        <v>346</v>
      </c>
    </row>
    <row r="218" spans="1:2" x14ac:dyDescent="0.25">
      <c r="A218" s="54" t="s">
        <v>1487</v>
      </c>
      <c r="B218" s="50" t="s">
        <v>347</v>
      </c>
    </row>
    <row r="219" spans="1:2" x14ac:dyDescent="0.25">
      <c r="A219" s="53" t="s">
        <v>1464</v>
      </c>
      <c r="B219" s="50" t="s">
        <v>347</v>
      </c>
    </row>
    <row r="220" spans="1:2" x14ac:dyDescent="0.25">
      <c r="A220" s="53" t="s">
        <v>1275</v>
      </c>
      <c r="B220" s="50" t="s">
        <v>346</v>
      </c>
    </row>
    <row r="221" spans="1:2" x14ac:dyDescent="0.25">
      <c r="A221" s="53" t="s">
        <v>1125</v>
      </c>
      <c r="B221" s="50" t="s">
        <v>347</v>
      </c>
    </row>
    <row r="222" spans="1:2" x14ac:dyDescent="0.25">
      <c r="A222" s="53" t="s">
        <v>1276</v>
      </c>
      <c r="B222" s="50" t="s">
        <v>346</v>
      </c>
    </row>
    <row r="223" spans="1:2" x14ac:dyDescent="0.25">
      <c r="A223" s="53" t="s">
        <v>1463</v>
      </c>
      <c r="B223" s="50" t="s">
        <v>347</v>
      </c>
    </row>
    <row r="224" spans="1:2" x14ac:dyDescent="0.25">
      <c r="A224" s="53" t="s">
        <v>1244</v>
      </c>
      <c r="B224" s="50" t="s">
        <v>346</v>
      </c>
    </row>
    <row r="225" spans="1:2" x14ac:dyDescent="0.25">
      <c r="A225" s="54" t="s">
        <v>1498</v>
      </c>
      <c r="B225" s="111" t="s">
        <v>346</v>
      </c>
    </row>
    <row r="226" spans="1:2" x14ac:dyDescent="0.25">
      <c r="A226" s="53" t="s">
        <v>1268</v>
      </c>
      <c r="B226" s="50" t="s">
        <v>346</v>
      </c>
    </row>
    <row r="227" spans="1:2" ht="15.75" thickBot="1" x14ac:dyDescent="0.3">
      <c r="A227" s="54" t="s">
        <v>1512</v>
      </c>
      <c r="B227" s="111" t="s">
        <v>346</v>
      </c>
    </row>
    <row r="228" spans="1:2" x14ac:dyDescent="0.25">
      <c r="A228" s="48" t="s">
        <v>2340</v>
      </c>
      <c r="B228" s="111" t="s">
        <v>346</v>
      </c>
    </row>
    <row r="229" spans="1:2" x14ac:dyDescent="0.25">
      <c r="A229" s="36" t="s">
        <v>2341</v>
      </c>
      <c r="B229" s="111" t="s">
        <v>346</v>
      </c>
    </row>
    <row r="230" spans="1:2" x14ac:dyDescent="0.25">
      <c r="A230" s="36" t="s">
        <v>2342</v>
      </c>
      <c r="B230" s="111" t="s">
        <v>346</v>
      </c>
    </row>
    <row r="231" spans="1:2" x14ac:dyDescent="0.25">
      <c r="A231" s="36" t="s">
        <v>2343</v>
      </c>
      <c r="B231" s="111" t="s">
        <v>346</v>
      </c>
    </row>
    <row r="232" spans="1:2" x14ac:dyDescent="0.25">
      <c r="A232" s="36" t="s">
        <v>2344</v>
      </c>
      <c r="B232" s="111" t="s">
        <v>346</v>
      </c>
    </row>
    <row r="233" spans="1:2" x14ac:dyDescent="0.25">
      <c r="A233" s="36" t="s">
        <v>2345</v>
      </c>
      <c r="B233" s="111" t="s">
        <v>346</v>
      </c>
    </row>
    <row r="234" spans="1:2" x14ac:dyDescent="0.25">
      <c r="A234" s="36" t="s">
        <v>2346</v>
      </c>
      <c r="B234" s="111" t="s">
        <v>346</v>
      </c>
    </row>
    <row r="235" spans="1:2" x14ac:dyDescent="0.25">
      <c r="A235" s="36" t="s">
        <v>2347</v>
      </c>
      <c r="B235" s="111" t="s">
        <v>346</v>
      </c>
    </row>
    <row r="236" spans="1:2" x14ac:dyDescent="0.25">
      <c r="A236" s="36" t="s">
        <v>2348</v>
      </c>
      <c r="B236" s="111" t="s">
        <v>346</v>
      </c>
    </row>
    <row r="237" spans="1:2" x14ac:dyDescent="0.25">
      <c r="A237" s="36" t="s">
        <v>2349</v>
      </c>
      <c r="B237" s="111" t="s">
        <v>346</v>
      </c>
    </row>
    <row r="238" spans="1:2" x14ac:dyDescent="0.25">
      <c r="A238" s="53" t="s">
        <v>1264</v>
      </c>
      <c r="B238" s="50" t="s">
        <v>346</v>
      </c>
    </row>
    <row r="239" spans="1:2" x14ac:dyDescent="0.25">
      <c r="A239" s="53" t="s">
        <v>1388</v>
      </c>
      <c r="B239" s="50" t="s">
        <v>346</v>
      </c>
    </row>
    <row r="240" spans="1:2" x14ac:dyDescent="0.25">
      <c r="A240" s="53" t="s">
        <v>1294</v>
      </c>
      <c r="B240" s="50" t="s">
        <v>346</v>
      </c>
    </row>
    <row r="241" spans="1:2" x14ac:dyDescent="0.25">
      <c r="A241" s="53" t="s">
        <v>1169</v>
      </c>
      <c r="B241" s="50" t="s">
        <v>346</v>
      </c>
    </row>
    <row r="242" spans="1:2" x14ac:dyDescent="0.25">
      <c r="A242" s="53" t="s">
        <v>1215</v>
      </c>
      <c r="B242" s="50" t="s">
        <v>346</v>
      </c>
    </row>
    <row r="243" spans="1:2" x14ac:dyDescent="0.25">
      <c r="A243" s="53" t="s">
        <v>1450</v>
      </c>
      <c r="B243" s="50" t="s">
        <v>346</v>
      </c>
    </row>
    <row r="244" spans="1:2" x14ac:dyDescent="0.25">
      <c r="A244" s="53" t="s">
        <v>1247</v>
      </c>
      <c r="B244" s="50" t="s">
        <v>346</v>
      </c>
    </row>
    <row r="245" spans="1:2" x14ac:dyDescent="0.25">
      <c r="A245" s="53" t="s">
        <v>1150</v>
      </c>
      <c r="B245" s="50" t="s">
        <v>346</v>
      </c>
    </row>
    <row r="246" spans="1:2" x14ac:dyDescent="0.25">
      <c r="A246" s="53" t="s">
        <v>1371</v>
      </c>
      <c r="B246" s="50" t="s">
        <v>347</v>
      </c>
    </row>
    <row r="247" spans="1:2" x14ac:dyDescent="0.25">
      <c r="A247" s="53" t="s">
        <v>1091</v>
      </c>
      <c r="B247" s="50" t="s">
        <v>346</v>
      </c>
    </row>
    <row r="248" spans="1:2" x14ac:dyDescent="0.25">
      <c r="A248" s="53" t="s">
        <v>1448</v>
      </c>
      <c r="B248" s="50" t="s">
        <v>346</v>
      </c>
    </row>
    <row r="249" spans="1:2" x14ac:dyDescent="0.25">
      <c r="A249" s="53" t="s">
        <v>1312</v>
      </c>
      <c r="B249" s="50" t="s">
        <v>347</v>
      </c>
    </row>
    <row r="250" spans="1:2" x14ac:dyDescent="0.25">
      <c r="A250" s="53" t="s">
        <v>1432</v>
      </c>
      <c r="B250" s="50" t="s">
        <v>347</v>
      </c>
    </row>
    <row r="251" spans="1:2" x14ac:dyDescent="0.25">
      <c r="A251" s="53" t="s">
        <v>1313</v>
      </c>
      <c r="B251" s="50" t="s">
        <v>346</v>
      </c>
    </row>
    <row r="252" spans="1:2" x14ac:dyDescent="0.25">
      <c r="A252" s="53" t="s">
        <v>1217</v>
      </c>
      <c r="B252" s="50" t="s">
        <v>346</v>
      </c>
    </row>
    <row r="253" spans="1:2" x14ac:dyDescent="0.25">
      <c r="A253" s="53" t="s">
        <v>1431</v>
      </c>
      <c r="B253" s="50" t="s">
        <v>346</v>
      </c>
    </row>
    <row r="254" spans="1:2" x14ac:dyDescent="0.25">
      <c r="A254" s="53" t="s">
        <v>1381</v>
      </c>
      <c r="B254" s="50" t="s">
        <v>346</v>
      </c>
    </row>
    <row r="255" spans="1:2" x14ac:dyDescent="0.25">
      <c r="A255" s="53" t="s">
        <v>1162</v>
      </c>
      <c r="B255" s="50" t="s">
        <v>346</v>
      </c>
    </row>
    <row r="256" spans="1:2" x14ac:dyDescent="0.25">
      <c r="A256" s="53" t="s">
        <v>1366</v>
      </c>
      <c r="B256" s="50" t="s">
        <v>346</v>
      </c>
    </row>
    <row r="257" spans="1:2" x14ac:dyDescent="0.25">
      <c r="A257" s="53" t="s">
        <v>1364</v>
      </c>
      <c r="B257" s="50" t="s">
        <v>346</v>
      </c>
    </row>
    <row r="258" spans="1:2" x14ac:dyDescent="0.25">
      <c r="A258" s="53" t="s">
        <v>1361</v>
      </c>
      <c r="B258" s="50" t="s">
        <v>346</v>
      </c>
    </row>
    <row r="259" spans="1:2" x14ac:dyDescent="0.25">
      <c r="A259" s="53" t="s">
        <v>1412</v>
      </c>
      <c r="B259" s="50" t="s">
        <v>346</v>
      </c>
    </row>
    <row r="260" spans="1:2" x14ac:dyDescent="0.25">
      <c r="A260" s="53" t="s">
        <v>1193</v>
      </c>
      <c r="B260" s="50" t="s">
        <v>346</v>
      </c>
    </row>
    <row r="261" spans="1:2" x14ac:dyDescent="0.25">
      <c r="A261" s="53" t="s">
        <v>1405</v>
      </c>
      <c r="B261" s="50" t="s">
        <v>346</v>
      </c>
    </row>
    <row r="262" spans="1:2" x14ac:dyDescent="0.25">
      <c r="A262" s="53" t="s">
        <v>1303</v>
      </c>
      <c r="B262" s="50" t="s">
        <v>347</v>
      </c>
    </row>
    <row r="263" spans="1:2" x14ac:dyDescent="0.25">
      <c r="A263" s="53" t="s">
        <v>1370</v>
      </c>
      <c r="B263" s="50" t="s">
        <v>346</v>
      </c>
    </row>
    <row r="264" spans="1:2" x14ac:dyDescent="0.25">
      <c r="A264" s="53" t="s">
        <v>1426</v>
      </c>
      <c r="B264" s="50" t="s">
        <v>346</v>
      </c>
    </row>
    <row r="265" spans="1:2" x14ac:dyDescent="0.25">
      <c r="A265" s="54" t="s">
        <v>1503</v>
      </c>
      <c r="B265" s="50" t="s">
        <v>346</v>
      </c>
    </row>
    <row r="266" spans="1:2" x14ac:dyDescent="0.25">
      <c r="A266" s="53" t="s">
        <v>1478</v>
      </c>
      <c r="B266" s="50" t="s">
        <v>346</v>
      </c>
    </row>
    <row r="267" spans="1:2" x14ac:dyDescent="0.25">
      <c r="A267" s="53" t="s">
        <v>1183</v>
      </c>
      <c r="B267" s="50" t="s">
        <v>346</v>
      </c>
    </row>
    <row r="268" spans="1:2" x14ac:dyDescent="0.25">
      <c r="A268" s="53" t="s">
        <v>1283</v>
      </c>
      <c r="B268" s="50" t="s">
        <v>347</v>
      </c>
    </row>
    <row r="269" spans="1:2" x14ac:dyDescent="0.25">
      <c r="A269" s="53" t="s">
        <v>1420</v>
      </c>
      <c r="B269" s="50" t="s">
        <v>346</v>
      </c>
    </row>
    <row r="270" spans="1:2" x14ac:dyDescent="0.25">
      <c r="A270" s="53" t="s">
        <v>1261</v>
      </c>
      <c r="B270" s="50" t="s">
        <v>346</v>
      </c>
    </row>
    <row r="271" spans="1:2" x14ac:dyDescent="0.25">
      <c r="A271" s="53" t="s">
        <v>1121</v>
      </c>
      <c r="B271" s="50" t="s">
        <v>347</v>
      </c>
    </row>
    <row r="272" spans="1:2" x14ac:dyDescent="0.25">
      <c r="A272" s="53" t="s">
        <v>1437</v>
      </c>
      <c r="B272" s="50" t="s">
        <v>346</v>
      </c>
    </row>
    <row r="273" spans="1:2" x14ac:dyDescent="0.25">
      <c r="A273" s="53" t="s">
        <v>1189</v>
      </c>
      <c r="B273" s="50" t="s">
        <v>347</v>
      </c>
    </row>
    <row r="274" spans="1:2" x14ac:dyDescent="0.25">
      <c r="A274" s="53" t="s">
        <v>1375</v>
      </c>
      <c r="B274" s="50" t="s">
        <v>346</v>
      </c>
    </row>
    <row r="275" spans="1:2" x14ac:dyDescent="0.25">
      <c r="A275" s="53" t="s">
        <v>1438</v>
      </c>
      <c r="B275" s="50" t="s">
        <v>346</v>
      </c>
    </row>
    <row r="276" spans="1:2" x14ac:dyDescent="0.25">
      <c r="A276" s="53" t="s">
        <v>1411</v>
      </c>
      <c r="B276" s="50" t="s">
        <v>346</v>
      </c>
    </row>
    <row r="277" spans="1:2" x14ac:dyDescent="0.25">
      <c r="A277" s="53" t="s">
        <v>1416</v>
      </c>
      <c r="B277" s="50" t="s">
        <v>346</v>
      </c>
    </row>
    <row r="278" spans="1:2" x14ac:dyDescent="0.25">
      <c r="A278" s="53" t="s">
        <v>1213</v>
      </c>
      <c r="B278" s="50" t="s">
        <v>346</v>
      </c>
    </row>
    <row r="279" spans="1:2" x14ac:dyDescent="0.25">
      <c r="A279" s="53" t="s">
        <v>1309</v>
      </c>
      <c r="B279" s="50" t="s">
        <v>346</v>
      </c>
    </row>
    <row r="280" spans="1:2" x14ac:dyDescent="0.25">
      <c r="A280" s="53" t="s">
        <v>1211</v>
      </c>
      <c r="B280" s="50" t="s">
        <v>347</v>
      </c>
    </row>
    <row r="281" spans="1:2" x14ac:dyDescent="0.25">
      <c r="A281" s="53" t="s">
        <v>1400</v>
      </c>
      <c r="B281" s="50" t="s">
        <v>346</v>
      </c>
    </row>
    <row r="282" spans="1:2" x14ac:dyDescent="0.25">
      <c r="A282" s="53" t="s">
        <v>1440</v>
      </c>
      <c r="B282" s="50" t="s">
        <v>346</v>
      </c>
    </row>
    <row r="283" spans="1:2" x14ac:dyDescent="0.25">
      <c r="A283" s="53" t="s">
        <v>1186</v>
      </c>
      <c r="B283" s="50" t="s">
        <v>346</v>
      </c>
    </row>
    <row r="284" spans="1:2" x14ac:dyDescent="0.25">
      <c r="A284" s="53" t="s">
        <v>1200</v>
      </c>
      <c r="B284" s="50" t="s">
        <v>346</v>
      </c>
    </row>
    <row r="285" spans="1:2" x14ac:dyDescent="0.25">
      <c r="A285" s="53" t="s">
        <v>1407</v>
      </c>
      <c r="B285" s="50" t="s">
        <v>347</v>
      </c>
    </row>
    <row r="286" spans="1:2" x14ac:dyDescent="0.25">
      <c r="A286" s="53" t="s">
        <v>1156</v>
      </c>
      <c r="B286" s="50" t="s">
        <v>347</v>
      </c>
    </row>
    <row r="287" spans="1:2" x14ac:dyDescent="0.25">
      <c r="A287" s="53" t="s">
        <v>1137</v>
      </c>
      <c r="B287" s="50" t="s">
        <v>346</v>
      </c>
    </row>
    <row r="288" spans="1:2" x14ac:dyDescent="0.25">
      <c r="A288" s="53" t="s">
        <v>1330</v>
      </c>
      <c r="B288" s="50" t="s">
        <v>346</v>
      </c>
    </row>
    <row r="289" spans="1:2" x14ac:dyDescent="0.25">
      <c r="A289" s="53" t="s">
        <v>1138</v>
      </c>
      <c r="B289" s="50" t="s">
        <v>346</v>
      </c>
    </row>
    <row r="290" spans="1:2" x14ac:dyDescent="0.25">
      <c r="A290" s="53" t="s">
        <v>1139</v>
      </c>
      <c r="B290" s="50" t="s">
        <v>346</v>
      </c>
    </row>
    <row r="291" spans="1:2" x14ac:dyDescent="0.25">
      <c r="A291" s="53" t="s">
        <v>1235</v>
      </c>
      <c r="B291" s="50" t="s">
        <v>346</v>
      </c>
    </row>
    <row r="292" spans="1:2" x14ac:dyDescent="0.25">
      <c r="A292" s="53" t="s">
        <v>1236</v>
      </c>
      <c r="B292" s="50" t="s">
        <v>346</v>
      </c>
    </row>
    <row r="293" spans="1:2" x14ac:dyDescent="0.25">
      <c r="A293" s="53" t="s">
        <v>1237</v>
      </c>
      <c r="B293" s="50" t="s">
        <v>346</v>
      </c>
    </row>
    <row r="294" spans="1:2" x14ac:dyDescent="0.25">
      <c r="A294" s="53" t="s">
        <v>1238</v>
      </c>
      <c r="B294" s="50" t="s">
        <v>346</v>
      </c>
    </row>
    <row r="295" spans="1:2" x14ac:dyDescent="0.25">
      <c r="A295" s="53" t="s">
        <v>1328</v>
      </c>
      <c r="B295" s="50" t="s">
        <v>346</v>
      </c>
    </row>
    <row r="296" spans="1:2" x14ac:dyDescent="0.25">
      <c r="A296" s="53" t="s">
        <v>1329</v>
      </c>
      <c r="B296" s="50" t="s">
        <v>346</v>
      </c>
    </row>
    <row r="297" spans="1:2" x14ac:dyDescent="0.25">
      <c r="A297" s="53" t="s">
        <v>1163</v>
      </c>
      <c r="B297" s="50" t="s">
        <v>346</v>
      </c>
    </row>
    <row r="298" spans="1:2" x14ac:dyDescent="0.25">
      <c r="A298" s="53" t="s">
        <v>1070</v>
      </c>
      <c r="B298" s="50" t="s">
        <v>347</v>
      </c>
    </row>
    <row r="299" spans="1:2" x14ac:dyDescent="0.25">
      <c r="A299" s="53" t="s">
        <v>1219</v>
      </c>
      <c r="B299" s="50" t="s">
        <v>347</v>
      </c>
    </row>
    <row r="300" spans="1:2" x14ac:dyDescent="0.25">
      <c r="A300" s="53" t="s">
        <v>1123</v>
      </c>
      <c r="B300" s="50" t="s">
        <v>346</v>
      </c>
    </row>
    <row r="301" spans="1:2" x14ac:dyDescent="0.25">
      <c r="A301" s="53" t="s">
        <v>1460</v>
      </c>
      <c r="B301" s="50" t="s">
        <v>346</v>
      </c>
    </row>
    <row r="302" spans="1:2" x14ac:dyDescent="0.25">
      <c r="A302" s="53" t="s">
        <v>1255</v>
      </c>
      <c r="B302" s="50" t="s">
        <v>346</v>
      </c>
    </row>
    <row r="303" spans="1:2" x14ac:dyDescent="0.25">
      <c r="A303" s="53" t="s">
        <v>1287</v>
      </c>
      <c r="B303" s="50" t="s">
        <v>346</v>
      </c>
    </row>
    <row r="304" spans="1:2" x14ac:dyDescent="0.25">
      <c r="A304" s="53" t="s">
        <v>1252</v>
      </c>
      <c r="B304" s="50" t="s">
        <v>346</v>
      </c>
    </row>
    <row r="305" spans="1:2" x14ac:dyDescent="0.25">
      <c r="A305" s="53" t="s">
        <v>1280</v>
      </c>
      <c r="B305" s="50" t="s">
        <v>346</v>
      </c>
    </row>
    <row r="306" spans="1:2" x14ac:dyDescent="0.25">
      <c r="A306" s="53" t="s">
        <v>1380</v>
      </c>
      <c r="B306" s="50" t="s">
        <v>346</v>
      </c>
    </row>
    <row r="307" spans="1:2" x14ac:dyDescent="0.25">
      <c r="A307" s="53" t="s">
        <v>1069</v>
      </c>
      <c r="B307" s="50" t="s">
        <v>346</v>
      </c>
    </row>
    <row r="308" spans="1:2" x14ac:dyDescent="0.25">
      <c r="A308" s="54" t="s">
        <v>1510</v>
      </c>
      <c r="B308" s="111" t="s">
        <v>346</v>
      </c>
    </row>
    <row r="309" spans="1:2" x14ac:dyDescent="0.25">
      <c r="A309" s="53" t="s">
        <v>1103</v>
      </c>
      <c r="B309" s="50" t="s">
        <v>347</v>
      </c>
    </row>
    <row r="310" spans="1:2" x14ac:dyDescent="0.25">
      <c r="A310" s="53" t="s">
        <v>3536</v>
      </c>
      <c r="B310" s="50" t="s">
        <v>346</v>
      </c>
    </row>
    <row r="311" spans="1:2" x14ac:dyDescent="0.25">
      <c r="A311" s="53" t="s">
        <v>3535</v>
      </c>
      <c r="B311" s="50" t="s">
        <v>346</v>
      </c>
    </row>
    <row r="312" spans="1:2" x14ac:dyDescent="0.25">
      <c r="A312" s="53" t="s">
        <v>1116</v>
      </c>
      <c r="B312" s="50" t="s">
        <v>346</v>
      </c>
    </row>
    <row r="313" spans="1:2" x14ac:dyDescent="0.25">
      <c r="A313" s="53" t="s">
        <v>1185</v>
      </c>
      <c r="B313" s="50" t="s">
        <v>346</v>
      </c>
    </row>
    <row r="314" spans="1:2" x14ac:dyDescent="0.25">
      <c r="A314" s="53" t="s">
        <v>1096</v>
      </c>
      <c r="B314" s="50" t="s">
        <v>346</v>
      </c>
    </row>
    <row r="315" spans="1:2" x14ac:dyDescent="0.25">
      <c r="A315" s="53" t="s">
        <v>1277</v>
      </c>
      <c r="B315" s="50" t="s">
        <v>346</v>
      </c>
    </row>
    <row r="316" spans="1:2" x14ac:dyDescent="0.25">
      <c r="A316" s="53" t="s">
        <v>1221</v>
      </c>
      <c r="B316" s="50" t="s">
        <v>347</v>
      </c>
    </row>
    <row r="317" spans="1:2" x14ac:dyDescent="0.25">
      <c r="A317" s="53" t="s">
        <v>1453</v>
      </c>
      <c r="B317" s="50" t="s">
        <v>346</v>
      </c>
    </row>
    <row r="318" spans="1:2" x14ac:dyDescent="0.25">
      <c r="A318" s="53" t="s">
        <v>1459</v>
      </c>
      <c r="B318" s="50" t="s">
        <v>346</v>
      </c>
    </row>
    <row r="319" spans="1:2" x14ac:dyDescent="0.25">
      <c r="A319" s="53" t="s">
        <v>1409</v>
      </c>
      <c r="B319" s="50" t="s">
        <v>347</v>
      </c>
    </row>
    <row r="320" spans="1:2" x14ac:dyDescent="0.25">
      <c r="A320" s="53" t="s">
        <v>1433</v>
      </c>
      <c r="B320" s="50" t="s">
        <v>346</v>
      </c>
    </row>
    <row r="321" spans="1:2" x14ac:dyDescent="0.25">
      <c r="A321" s="53" t="s">
        <v>1373</v>
      </c>
      <c r="B321" s="50" t="s">
        <v>347</v>
      </c>
    </row>
    <row r="322" spans="1:2" x14ac:dyDescent="0.25">
      <c r="A322" s="53" t="s">
        <v>1260</v>
      </c>
      <c r="B322" s="50" t="s">
        <v>346</v>
      </c>
    </row>
    <row r="323" spans="1:2" x14ac:dyDescent="0.25">
      <c r="A323" s="53" t="s">
        <v>1140</v>
      </c>
      <c r="B323" s="50" t="s">
        <v>346</v>
      </c>
    </row>
    <row r="324" spans="1:2" x14ac:dyDescent="0.25">
      <c r="A324" s="53" t="s">
        <v>1334</v>
      </c>
      <c r="B324" s="50" t="s">
        <v>346</v>
      </c>
    </row>
    <row r="325" spans="1:2" x14ac:dyDescent="0.25">
      <c r="A325" s="53" t="s">
        <v>1141</v>
      </c>
      <c r="B325" s="50" t="s">
        <v>346</v>
      </c>
    </row>
    <row r="326" spans="1:2" x14ac:dyDescent="0.25">
      <c r="A326" s="53" t="s">
        <v>1142</v>
      </c>
      <c r="B326" s="50" t="s">
        <v>346</v>
      </c>
    </row>
    <row r="327" spans="1:2" x14ac:dyDescent="0.25">
      <c r="A327" s="53" t="s">
        <v>1239</v>
      </c>
      <c r="B327" s="50" t="s">
        <v>346</v>
      </c>
    </row>
    <row r="328" spans="1:2" x14ac:dyDescent="0.25">
      <c r="A328" s="53" t="s">
        <v>1240</v>
      </c>
      <c r="B328" s="50" t="s">
        <v>346</v>
      </c>
    </row>
    <row r="329" spans="1:2" x14ac:dyDescent="0.25">
      <c r="A329" s="53" t="s">
        <v>1241</v>
      </c>
      <c r="B329" s="50" t="s">
        <v>346</v>
      </c>
    </row>
    <row r="330" spans="1:2" x14ac:dyDescent="0.25">
      <c r="A330" s="53" t="s">
        <v>1242</v>
      </c>
      <c r="B330" s="50" t="s">
        <v>346</v>
      </c>
    </row>
    <row r="331" spans="1:2" x14ac:dyDescent="0.25">
      <c r="A331" s="53" t="s">
        <v>1332</v>
      </c>
      <c r="B331" s="50" t="s">
        <v>346</v>
      </c>
    </row>
    <row r="332" spans="1:2" x14ac:dyDescent="0.25">
      <c r="A332" s="53" t="s">
        <v>1333</v>
      </c>
      <c r="B332" s="50" t="s">
        <v>346</v>
      </c>
    </row>
    <row r="333" spans="1:2" x14ac:dyDescent="0.25">
      <c r="A333" s="53" t="s">
        <v>1245</v>
      </c>
      <c r="B333" s="50" t="s">
        <v>347</v>
      </c>
    </row>
    <row r="334" spans="1:2" x14ac:dyDescent="0.25">
      <c r="A334" s="53" t="s">
        <v>1182</v>
      </c>
      <c r="B334" s="50" t="s">
        <v>346</v>
      </c>
    </row>
    <row r="335" spans="1:2" x14ac:dyDescent="0.25">
      <c r="A335" s="53" t="s">
        <v>1302</v>
      </c>
      <c r="B335" s="50" t="s">
        <v>346</v>
      </c>
    </row>
    <row r="336" spans="1:2" x14ac:dyDescent="0.25">
      <c r="A336" s="53" t="s">
        <v>1425</v>
      </c>
      <c r="B336" s="50" t="s">
        <v>347</v>
      </c>
    </row>
    <row r="337" spans="1:2" x14ac:dyDescent="0.25">
      <c r="A337" s="53" t="s">
        <v>1115</v>
      </c>
      <c r="B337" s="50" t="s">
        <v>346</v>
      </c>
    </row>
    <row r="338" spans="1:2" x14ac:dyDescent="0.25">
      <c r="A338" s="53" t="s">
        <v>1269</v>
      </c>
      <c r="B338" s="50" t="s">
        <v>346</v>
      </c>
    </row>
    <row r="339" spans="1:2" x14ac:dyDescent="0.25">
      <c r="A339" s="53" t="s">
        <v>1190</v>
      </c>
      <c r="B339" s="50" t="s">
        <v>346</v>
      </c>
    </row>
    <row r="340" spans="1:2" x14ac:dyDescent="0.25">
      <c r="A340" s="53" t="s">
        <v>1315</v>
      </c>
      <c r="B340" s="50" t="s">
        <v>346</v>
      </c>
    </row>
    <row r="341" spans="1:2" x14ac:dyDescent="0.25">
      <c r="A341" s="53" t="s">
        <v>1148</v>
      </c>
      <c r="B341" s="50" t="s">
        <v>346</v>
      </c>
    </row>
    <row r="342" spans="1:2" x14ac:dyDescent="0.25">
      <c r="A342" s="53" t="s">
        <v>1374</v>
      </c>
      <c r="B342" s="50" t="s">
        <v>346</v>
      </c>
    </row>
    <row r="343" spans="1:2" x14ac:dyDescent="0.25">
      <c r="A343" s="53" t="s">
        <v>1118</v>
      </c>
      <c r="B343" s="50" t="s">
        <v>346</v>
      </c>
    </row>
    <row r="344" spans="1:2" x14ac:dyDescent="0.25">
      <c r="A344" s="53" t="s">
        <v>1314</v>
      </c>
      <c r="B344" s="50" t="s">
        <v>346</v>
      </c>
    </row>
    <row r="345" spans="1:2" x14ac:dyDescent="0.25">
      <c r="A345" s="53" t="s">
        <v>1430</v>
      </c>
      <c r="B345" s="50" t="s">
        <v>346</v>
      </c>
    </row>
    <row r="346" spans="1:2" x14ac:dyDescent="0.25">
      <c r="A346" s="53" t="s">
        <v>1427</v>
      </c>
      <c r="B346" s="50" t="s">
        <v>347</v>
      </c>
    </row>
    <row r="347" spans="1:2" x14ac:dyDescent="0.25">
      <c r="A347" s="53" t="s">
        <v>1177</v>
      </c>
      <c r="B347" s="50" t="s">
        <v>346</v>
      </c>
    </row>
    <row r="348" spans="1:2" x14ac:dyDescent="0.25">
      <c r="A348" s="53" t="s">
        <v>1358</v>
      </c>
      <c r="B348" s="50" t="s">
        <v>347</v>
      </c>
    </row>
    <row r="349" spans="1:2" x14ac:dyDescent="0.25">
      <c r="A349" s="53" t="s">
        <v>1286</v>
      </c>
      <c r="B349" s="50" t="s">
        <v>347</v>
      </c>
    </row>
    <row r="350" spans="1:2" x14ac:dyDescent="0.25">
      <c r="A350" s="53" t="s">
        <v>1143</v>
      </c>
      <c r="B350" s="50" t="s">
        <v>346</v>
      </c>
    </row>
    <row r="351" spans="1:2" x14ac:dyDescent="0.25">
      <c r="A351" s="53" t="s">
        <v>1387</v>
      </c>
      <c r="B351" s="50" t="s">
        <v>347</v>
      </c>
    </row>
    <row r="352" spans="1:2" x14ac:dyDescent="0.25">
      <c r="A352" s="53" t="s">
        <v>1147</v>
      </c>
      <c r="B352" s="50" t="s">
        <v>346</v>
      </c>
    </row>
    <row r="353" spans="1:2" x14ac:dyDescent="0.25">
      <c r="A353" s="53" t="s">
        <v>1220</v>
      </c>
      <c r="B353" s="50" t="s">
        <v>346</v>
      </c>
    </row>
    <row r="354" spans="1:2" x14ac:dyDescent="0.25">
      <c r="A354" s="53" t="s">
        <v>1076</v>
      </c>
      <c r="B354" s="50" t="s">
        <v>347</v>
      </c>
    </row>
    <row r="355" spans="1:2" x14ac:dyDescent="0.25">
      <c r="A355" s="53" t="s">
        <v>1273</v>
      </c>
      <c r="B355" s="50" t="s">
        <v>347</v>
      </c>
    </row>
    <row r="356" spans="1:2" x14ac:dyDescent="0.25">
      <c r="A356" s="53" t="s">
        <v>1439</v>
      </c>
      <c r="B356" s="50" t="s">
        <v>347</v>
      </c>
    </row>
    <row r="357" spans="1:2" x14ac:dyDescent="0.25">
      <c r="A357" s="53" t="s">
        <v>1415</v>
      </c>
      <c r="B357" s="50" t="s">
        <v>346</v>
      </c>
    </row>
    <row r="358" spans="1:2" x14ac:dyDescent="0.25">
      <c r="A358" s="53" t="s">
        <v>1279</v>
      </c>
      <c r="B358" s="50" t="s">
        <v>346</v>
      </c>
    </row>
    <row r="359" spans="1:2" x14ac:dyDescent="0.25">
      <c r="A359" s="53" t="s">
        <v>1180</v>
      </c>
      <c r="B359" s="50" t="s">
        <v>347</v>
      </c>
    </row>
    <row r="360" spans="1:2" x14ac:dyDescent="0.25">
      <c r="A360" s="53" t="s">
        <v>1325</v>
      </c>
      <c r="B360" s="50" t="s">
        <v>346</v>
      </c>
    </row>
    <row r="361" spans="1:2" x14ac:dyDescent="0.25">
      <c r="A361" s="53" t="s">
        <v>1120</v>
      </c>
      <c r="B361" s="50" t="s">
        <v>346</v>
      </c>
    </row>
    <row r="362" spans="1:2" x14ac:dyDescent="0.25">
      <c r="A362" s="53" t="s">
        <v>1119</v>
      </c>
      <c r="B362" s="50" t="s">
        <v>347</v>
      </c>
    </row>
    <row r="363" spans="1:2" x14ac:dyDescent="0.25">
      <c r="A363" s="53" t="s">
        <v>1474</v>
      </c>
      <c r="B363" s="50" t="s">
        <v>346</v>
      </c>
    </row>
    <row r="364" spans="1:2" x14ac:dyDescent="0.25">
      <c r="A364" s="53" t="s">
        <v>1471</v>
      </c>
      <c r="B364" s="50" t="s">
        <v>346</v>
      </c>
    </row>
    <row r="365" spans="1:2" x14ac:dyDescent="0.25">
      <c r="A365" s="53" t="s">
        <v>1154</v>
      </c>
      <c r="B365" s="50" t="s">
        <v>346</v>
      </c>
    </row>
    <row r="366" spans="1:2" x14ac:dyDescent="0.25">
      <c r="A366" s="53" t="s">
        <v>1152</v>
      </c>
      <c r="B366" s="50" t="s">
        <v>346</v>
      </c>
    </row>
    <row r="367" spans="1:2" x14ac:dyDescent="0.25">
      <c r="A367" s="53" t="s">
        <v>1071</v>
      </c>
      <c r="B367" s="50" t="s">
        <v>346</v>
      </c>
    </row>
    <row r="368" spans="1:2" x14ac:dyDescent="0.25">
      <c r="A368" s="53" t="s">
        <v>1072</v>
      </c>
      <c r="B368" s="50" t="s">
        <v>346</v>
      </c>
    </row>
    <row r="369" spans="1:2" x14ac:dyDescent="0.25">
      <c r="A369" s="53" t="s">
        <v>1153</v>
      </c>
      <c r="B369" s="50" t="s">
        <v>346</v>
      </c>
    </row>
    <row r="370" spans="1:2" x14ac:dyDescent="0.25">
      <c r="A370" s="53" t="s">
        <v>1151</v>
      </c>
      <c r="B370" s="50" t="s">
        <v>347</v>
      </c>
    </row>
    <row r="371" spans="1:2" x14ac:dyDescent="0.25">
      <c r="A371" s="53" t="s">
        <v>1078</v>
      </c>
      <c r="B371" s="50" t="s">
        <v>346</v>
      </c>
    </row>
    <row r="372" spans="1:2" x14ac:dyDescent="0.25">
      <c r="A372" s="53" t="s">
        <v>1093</v>
      </c>
      <c r="B372" s="50" t="s">
        <v>347</v>
      </c>
    </row>
    <row r="373" spans="1:2" x14ac:dyDescent="0.25">
      <c r="A373" s="53" t="s">
        <v>1248</v>
      </c>
      <c r="B373" s="50" t="s">
        <v>346</v>
      </c>
    </row>
    <row r="374" spans="1:2" x14ac:dyDescent="0.25">
      <c r="A374" s="53" t="s">
        <v>1408</v>
      </c>
      <c r="B374" s="50" t="s">
        <v>347</v>
      </c>
    </row>
    <row r="375" spans="1:2" x14ac:dyDescent="0.25">
      <c r="A375" s="53" t="s">
        <v>1399</v>
      </c>
      <c r="B375" s="50" t="s">
        <v>347</v>
      </c>
    </row>
    <row r="376" spans="1:2" x14ac:dyDescent="0.25">
      <c r="A376" s="53" t="s">
        <v>1100</v>
      </c>
      <c r="B376" s="50" t="s">
        <v>347</v>
      </c>
    </row>
    <row r="377" spans="1:2" x14ac:dyDescent="0.25">
      <c r="A377" s="53" t="s">
        <v>1094</v>
      </c>
      <c r="B377" s="50" t="s">
        <v>347</v>
      </c>
    </row>
    <row r="378" spans="1:2" x14ac:dyDescent="0.25">
      <c r="A378" s="53" t="s">
        <v>1296</v>
      </c>
      <c r="B378" s="50" t="s">
        <v>346</v>
      </c>
    </row>
    <row r="379" spans="1:2" x14ac:dyDescent="0.25">
      <c r="A379" s="53" t="s">
        <v>1197</v>
      </c>
      <c r="B379" s="50" t="s">
        <v>346</v>
      </c>
    </row>
    <row r="380" spans="1:2" x14ac:dyDescent="0.25">
      <c r="A380" s="53" t="s">
        <v>1401</v>
      </c>
      <c r="B380" s="50" t="s">
        <v>346</v>
      </c>
    </row>
    <row r="381" spans="1:2" x14ac:dyDescent="0.25">
      <c r="A381" s="53" t="s">
        <v>1398</v>
      </c>
      <c r="B381" s="50" t="s">
        <v>346</v>
      </c>
    </row>
    <row r="382" spans="1:2" x14ac:dyDescent="0.25">
      <c r="A382" s="54" t="s">
        <v>1479</v>
      </c>
      <c r="B382" s="50" t="s">
        <v>347</v>
      </c>
    </row>
    <row r="383" spans="1:2" x14ac:dyDescent="0.25">
      <c r="A383" s="53" t="s">
        <v>1418</v>
      </c>
      <c r="B383" s="50" t="s">
        <v>346</v>
      </c>
    </row>
    <row r="384" spans="1:2" x14ac:dyDescent="0.25">
      <c r="A384" s="53" t="s">
        <v>1476</v>
      </c>
      <c r="B384" s="50" t="s">
        <v>346</v>
      </c>
    </row>
    <row r="385" spans="1:2" x14ac:dyDescent="0.25">
      <c r="A385" s="54" t="s">
        <v>1497</v>
      </c>
      <c r="B385" s="50" t="s">
        <v>346</v>
      </c>
    </row>
    <row r="386" spans="1:2" x14ac:dyDescent="0.25">
      <c r="A386" s="53" t="s">
        <v>1102</v>
      </c>
      <c r="B386" s="50" t="s">
        <v>346</v>
      </c>
    </row>
    <row r="387" spans="1:2" x14ac:dyDescent="0.25">
      <c r="A387" s="53" t="s">
        <v>1441</v>
      </c>
      <c r="B387" s="50" t="s">
        <v>346</v>
      </c>
    </row>
    <row r="388" spans="1:2" x14ac:dyDescent="0.25">
      <c r="A388" s="53" t="s">
        <v>1251</v>
      </c>
      <c r="B388" s="50" t="s">
        <v>346</v>
      </c>
    </row>
    <row r="389" spans="1:2" x14ac:dyDescent="0.25">
      <c r="A389" s="53" t="s">
        <v>1257</v>
      </c>
      <c r="B389" s="50" t="s">
        <v>346</v>
      </c>
    </row>
    <row r="390" spans="1:2" x14ac:dyDescent="0.25">
      <c r="A390" s="53" t="s">
        <v>1155</v>
      </c>
      <c r="B390" s="50" t="s">
        <v>346</v>
      </c>
    </row>
    <row r="391" spans="1:2" x14ac:dyDescent="0.25">
      <c r="A391" s="53" t="s">
        <v>1198</v>
      </c>
      <c r="B391" s="50" t="s">
        <v>346</v>
      </c>
    </row>
    <row r="392" spans="1:2" x14ac:dyDescent="0.25">
      <c r="A392" s="53" t="s">
        <v>1223</v>
      </c>
      <c r="B392" s="50" t="s">
        <v>347</v>
      </c>
    </row>
    <row r="393" spans="1:2" x14ac:dyDescent="0.25">
      <c r="A393" s="53" t="s">
        <v>1224</v>
      </c>
      <c r="B393" s="50" t="s">
        <v>347</v>
      </c>
    </row>
    <row r="394" spans="1:2" x14ac:dyDescent="0.25">
      <c r="A394" s="53" t="s">
        <v>1446</v>
      </c>
      <c r="B394" s="50" t="s">
        <v>346</v>
      </c>
    </row>
    <row r="395" spans="1:2" x14ac:dyDescent="0.25">
      <c r="A395" s="53" t="s">
        <v>1300</v>
      </c>
      <c r="B395" s="50" t="s">
        <v>346</v>
      </c>
    </row>
    <row r="396" spans="1:2" x14ac:dyDescent="0.25">
      <c r="A396" s="53" t="s">
        <v>1181</v>
      </c>
      <c r="B396" s="50" t="s">
        <v>346</v>
      </c>
    </row>
    <row r="397" spans="1:2" x14ac:dyDescent="0.25">
      <c r="A397" s="53" t="s">
        <v>1434</v>
      </c>
      <c r="B397" s="50" t="s">
        <v>346</v>
      </c>
    </row>
    <row r="398" spans="1:2" x14ac:dyDescent="0.25">
      <c r="A398" s="53" t="s">
        <v>1214</v>
      </c>
      <c r="B398" s="50" t="s">
        <v>346</v>
      </c>
    </row>
    <row r="399" spans="1:2" x14ac:dyDescent="0.25">
      <c r="A399" s="53" t="s">
        <v>1188</v>
      </c>
      <c r="B399" s="50" t="s">
        <v>346</v>
      </c>
    </row>
    <row r="400" spans="1:2" x14ac:dyDescent="0.25">
      <c r="A400" s="53" t="s">
        <v>1230</v>
      </c>
      <c r="B400" s="50" t="s">
        <v>346</v>
      </c>
    </row>
    <row r="401" spans="1:2" x14ac:dyDescent="0.25">
      <c r="A401" s="54" t="s">
        <v>1508</v>
      </c>
      <c r="B401" s="50" t="s">
        <v>346</v>
      </c>
    </row>
    <row r="402" spans="1:2" x14ac:dyDescent="0.25">
      <c r="A402" s="53" t="s">
        <v>1229</v>
      </c>
      <c r="B402" s="50" t="s">
        <v>346</v>
      </c>
    </row>
    <row r="403" spans="1:2" x14ac:dyDescent="0.25">
      <c r="A403" s="53" t="s">
        <v>1222</v>
      </c>
      <c r="B403" s="50" t="s">
        <v>347</v>
      </c>
    </row>
    <row r="404" spans="1:2" x14ac:dyDescent="0.25">
      <c r="A404" s="53" t="s">
        <v>1322</v>
      </c>
      <c r="B404" s="50" t="s">
        <v>346</v>
      </c>
    </row>
    <row r="405" spans="1:2" x14ac:dyDescent="0.25">
      <c r="A405" s="53" t="s">
        <v>1129</v>
      </c>
      <c r="B405" s="50" t="s">
        <v>346</v>
      </c>
    </row>
    <row r="406" spans="1:2" x14ac:dyDescent="0.25">
      <c r="A406" s="53" t="s">
        <v>1228</v>
      </c>
      <c r="B406" s="50" t="s">
        <v>346</v>
      </c>
    </row>
    <row r="407" spans="1:2" x14ac:dyDescent="0.25">
      <c r="A407" s="53" t="s">
        <v>1321</v>
      </c>
      <c r="B407" s="50" t="s">
        <v>346</v>
      </c>
    </row>
    <row r="408" spans="1:2" x14ac:dyDescent="0.25">
      <c r="A408" s="53" t="s">
        <v>1451</v>
      </c>
      <c r="B408" s="50" t="s">
        <v>346</v>
      </c>
    </row>
    <row r="409" spans="1:2" x14ac:dyDescent="0.25">
      <c r="A409" s="53" t="s">
        <v>1323</v>
      </c>
      <c r="B409" s="50" t="s">
        <v>346</v>
      </c>
    </row>
    <row r="410" spans="1:2" x14ac:dyDescent="0.25">
      <c r="A410" s="54" t="s">
        <v>1496</v>
      </c>
      <c r="B410" s="50" t="s">
        <v>346</v>
      </c>
    </row>
    <row r="411" spans="1:2" x14ac:dyDescent="0.25">
      <c r="A411" s="53" t="s">
        <v>1227</v>
      </c>
      <c r="B411" s="50" t="s">
        <v>346</v>
      </c>
    </row>
    <row r="412" spans="1:2" x14ac:dyDescent="0.25">
      <c r="A412" s="53" t="s">
        <v>1131</v>
      </c>
      <c r="B412" s="50" t="s">
        <v>346</v>
      </c>
    </row>
    <row r="413" spans="1:2" x14ac:dyDescent="0.25">
      <c r="A413" s="53" t="s">
        <v>1127</v>
      </c>
      <c r="B413" s="50" t="s">
        <v>346</v>
      </c>
    </row>
    <row r="414" spans="1:2" x14ac:dyDescent="0.25">
      <c r="A414" s="53" t="s">
        <v>1128</v>
      </c>
      <c r="B414" s="50" t="s">
        <v>346</v>
      </c>
    </row>
    <row r="415" spans="1:2" x14ac:dyDescent="0.25">
      <c r="A415" s="53" t="s">
        <v>1095</v>
      </c>
      <c r="B415" s="50" t="s">
        <v>346</v>
      </c>
    </row>
    <row r="416" spans="1:2" x14ac:dyDescent="0.25">
      <c r="A416" s="53" t="s">
        <v>1194</v>
      </c>
      <c r="B416" s="50" t="s">
        <v>346</v>
      </c>
    </row>
    <row r="417" spans="1:2" x14ac:dyDescent="0.25">
      <c r="A417" s="53" t="s">
        <v>1389</v>
      </c>
      <c r="B417" s="50" t="s">
        <v>346</v>
      </c>
    </row>
    <row r="418" spans="1:2" x14ac:dyDescent="0.25">
      <c r="A418" s="53" t="s">
        <v>1134</v>
      </c>
      <c r="B418" s="50" t="s">
        <v>346</v>
      </c>
    </row>
    <row r="419" spans="1:2" x14ac:dyDescent="0.25">
      <c r="A419" s="54" t="s">
        <v>1511</v>
      </c>
      <c r="B419" s="111" t="s">
        <v>346</v>
      </c>
    </row>
    <row r="420" spans="1:2" x14ac:dyDescent="0.25">
      <c r="A420" s="53" t="s">
        <v>1282</v>
      </c>
      <c r="B420" s="50" t="s">
        <v>346</v>
      </c>
    </row>
    <row r="421" spans="1:2" x14ac:dyDescent="0.25">
      <c r="A421" s="53" t="s">
        <v>1234</v>
      </c>
      <c r="B421" s="50" t="s">
        <v>346</v>
      </c>
    </row>
    <row r="422" spans="1:2" x14ac:dyDescent="0.25">
      <c r="A422" s="53" t="s">
        <v>1417</v>
      </c>
      <c r="B422" s="50" t="s">
        <v>346</v>
      </c>
    </row>
    <row r="423" spans="1:2" x14ac:dyDescent="0.25">
      <c r="A423" s="53" t="s">
        <v>1304</v>
      </c>
      <c r="B423" s="50" t="s">
        <v>346</v>
      </c>
    </row>
    <row r="424" spans="1:2" x14ac:dyDescent="0.25">
      <c r="A424" s="53" t="s">
        <v>1413</v>
      </c>
      <c r="B424" s="50" t="s">
        <v>346</v>
      </c>
    </row>
    <row r="425" spans="1:2" x14ac:dyDescent="0.25">
      <c r="A425" s="53" t="s">
        <v>1367</v>
      </c>
      <c r="B425" s="50" t="s">
        <v>346</v>
      </c>
    </row>
    <row r="426" spans="1:2" x14ac:dyDescent="0.25">
      <c r="A426" s="53" t="s">
        <v>1164</v>
      </c>
      <c r="B426" s="50" t="s">
        <v>346</v>
      </c>
    </row>
    <row r="427" spans="1:2" x14ac:dyDescent="0.25">
      <c r="A427" s="53" t="s">
        <v>1477</v>
      </c>
      <c r="B427" s="50" t="s">
        <v>346</v>
      </c>
    </row>
    <row r="428" spans="1:2" x14ac:dyDescent="0.25">
      <c r="A428" s="53" t="s">
        <v>1311</v>
      </c>
      <c r="B428" s="50" t="s">
        <v>346</v>
      </c>
    </row>
    <row r="429" spans="1:2" x14ac:dyDescent="0.25">
      <c r="A429" s="54" t="s">
        <v>1486</v>
      </c>
      <c r="B429" s="50" t="s">
        <v>347</v>
      </c>
    </row>
    <row r="430" spans="1:2" x14ac:dyDescent="0.25">
      <c r="A430" s="53" t="s">
        <v>1378</v>
      </c>
      <c r="B430" s="50" t="s">
        <v>346</v>
      </c>
    </row>
    <row r="431" spans="1:2" x14ac:dyDescent="0.25">
      <c r="A431" s="53" t="s">
        <v>1099</v>
      </c>
      <c r="B431" s="50" t="s">
        <v>347</v>
      </c>
    </row>
    <row r="432" spans="1:2" x14ac:dyDescent="0.25">
      <c r="A432" s="53" t="s">
        <v>1097</v>
      </c>
      <c r="B432" s="50" t="s">
        <v>347</v>
      </c>
    </row>
    <row r="433" spans="1:2" x14ac:dyDescent="0.25">
      <c r="A433" s="53" t="s">
        <v>1249</v>
      </c>
      <c r="B433" s="50" t="s">
        <v>346</v>
      </c>
    </row>
    <row r="434" spans="1:2" x14ac:dyDescent="0.25">
      <c r="A434" s="53" t="s">
        <v>1382</v>
      </c>
      <c r="B434" s="50" t="s">
        <v>346</v>
      </c>
    </row>
    <row r="435" spans="1:2" x14ac:dyDescent="0.25">
      <c r="A435" s="53" t="s">
        <v>1075</v>
      </c>
      <c r="B435" s="50" t="s">
        <v>346</v>
      </c>
    </row>
    <row r="436" spans="1:2" x14ac:dyDescent="0.25">
      <c r="A436" s="53" t="s">
        <v>1171</v>
      </c>
      <c r="B436" s="50" t="s">
        <v>346</v>
      </c>
    </row>
    <row r="437" spans="1:2" x14ac:dyDescent="0.25">
      <c r="A437" s="53" t="s">
        <v>1310</v>
      </c>
      <c r="B437" s="50" t="s">
        <v>346</v>
      </c>
    </row>
    <row r="438" spans="1:2" x14ac:dyDescent="0.25">
      <c r="A438" s="53" t="s">
        <v>1166</v>
      </c>
      <c r="B438" s="50" t="s">
        <v>346</v>
      </c>
    </row>
    <row r="439" spans="1:2" x14ac:dyDescent="0.25">
      <c r="A439" s="53" t="s">
        <v>1085</v>
      </c>
      <c r="B439" s="50" t="s">
        <v>346</v>
      </c>
    </row>
    <row r="440" spans="1:2" x14ac:dyDescent="0.25">
      <c r="A440" s="54" t="s">
        <v>1499</v>
      </c>
      <c r="B440" s="111" t="s">
        <v>346</v>
      </c>
    </row>
    <row r="441" spans="1:2" x14ac:dyDescent="0.25">
      <c r="A441" s="53" t="s">
        <v>1212</v>
      </c>
      <c r="B441" s="50" t="s">
        <v>346</v>
      </c>
    </row>
    <row r="442" spans="1:2" x14ac:dyDescent="0.25">
      <c r="A442" s="53" t="s">
        <v>1087</v>
      </c>
      <c r="B442" s="50" t="s">
        <v>346</v>
      </c>
    </row>
    <row r="443" spans="1:2" x14ac:dyDescent="0.25">
      <c r="A443" s="53" t="s">
        <v>1393</v>
      </c>
      <c r="B443" s="50" t="s">
        <v>346</v>
      </c>
    </row>
    <row r="444" spans="1:2" x14ac:dyDescent="0.25">
      <c r="A444" s="53" t="s">
        <v>1108</v>
      </c>
      <c r="B444" s="50" t="s">
        <v>346</v>
      </c>
    </row>
    <row r="445" spans="1:2" x14ac:dyDescent="0.25">
      <c r="A445" s="53" t="s">
        <v>1394</v>
      </c>
      <c r="B445" s="50" t="s">
        <v>347</v>
      </c>
    </row>
    <row r="446" spans="1:2" x14ac:dyDescent="0.25">
      <c r="A446" s="53" t="s">
        <v>1109</v>
      </c>
      <c r="B446" s="50" t="s">
        <v>347</v>
      </c>
    </row>
    <row r="447" spans="1:2" x14ac:dyDescent="0.25">
      <c r="A447" s="53" t="s">
        <v>1110</v>
      </c>
      <c r="B447" s="50" t="s">
        <v>346</v>
      </c>
    </row>
    <row r="448" spans="1:2" x14ac:dyDescent="0.25">
      <c r="A448" s="53" t="s">
        <v>1205</v>
      </c>
      <c r="B448" s="50" t="s">
        <v>346</v>
      </c>
    </row>
    <row r="449" spans="1:2" x14ac:dyDescent="0.25">
      <c r="A449" s="53" t="s">
        <v>1206</v>
      </c>
      <c r="B449" s="50" t="s">
        <v>346</v>
      </c>
    </row>
    <row r="450" spans="1:2" x14ac:dyDescent="0.25">
      <c r="A450" s="53" t="s">
        <v>1292</v>
      </c>
      <c r="B450" s="50" t="s">
        <v>346</v>
      </c>
    </row>
    <row r="451" spans="1:2" x14ac:dyDescent="0.25">
      <c r="A451" s="53" t="s">
        <v>1403</v>
      </c>
      <c r="B451" s="50" t="s">
        <v>346</v>
      </c>
    </row>
    <row r="452" spans="1:2" x14ac:dyDescent="0.25">
      <c r="A452" s="53" t="s">
        <v>3599</v>
      </c>
      <c r="B452" s="50" t="s">
        <v>346</v>
      </c>
    </row>
    <row r="453" spans="1:2" x14ac:dyDescent="0.25">
      <c r="A453" s="53" t="s">
        <v>1191</v>
      </c>
      <c r="B453" s="50" t="s">
        <v>346</v>
      </c>
    </row>
    <row r="454" spans="1:2" x14ac:dyDescent="0.25">
      <c r="A454" s="53" t="s">
        <v>1101</v>
      </c>
      <c r="B454" s="50" t="s">
        <v>347</v>
      </c>
    </row>
    <row r="455" spans="1:2" x14ac:dyDescent="0.25">
      <c r="A455" s="54" t="s">
        <v>1489</v>
      </c>
      <c r="B455" s="50" t="s">
        <v>347</v>
      </c>
    </row>
    <row r="456" spans="1:2" x14ac:dyDescent="0.25">
      <c r="A456" s="53" t="s">
        <v>1442</v>
      </c>
      <c r="B456" s="50" t="s">
        <v>346</v>
      </c>
    </row>
    <row r="457" spans="1:2" x14ac:dyDescent="0.25">
      <c r="A457" s="53" t="s">
        <v>1443</v>
      </c>
      <c r="B457" s="50" t="s">
        <v>347</v>
      </c>
    </row>
    <row r="458" spans="1:2" x14ac:dyDescent="0.25">
      <c r="A458" s="53" t="s">
        <v>1422</v>
      </c>
      <c r="B458" s="50" t="s">
        <v>346</v>
      </c>
    </row>
    <row r="459" spans="1:2" ht="15.75" thickBot="1" x14ac:dyDescent="0.3">
      <c r="A459" s="245" t="s">
        <v>1494</v>
      </c>
      <c r="B459" s="51" t="s">
        <v>346</v>
      </c>
    </row>
    <row r="460" spans="1:2" x14ac:dyDescent="0.25">
      <c r="A460" s="203" t="str">
        <f>IF(Sandbox!AX8="","",Sandbox!AX8)</f>
        <v/>
      </c>
      <c r="B460" s="30" t="str">
        <f>IF(BoonRef!P2="None","No","Yes")</f>
        <v>No</v>
      </c>
    </row>
    <row r="461" spans="1:2" x14ac:dyDescent="0.25">
      <c r="A461" s="180" t="str">
        <f>IF(Sandbox!AX9="","",Sandbox!AX9)</f>
        <v/>
      </c>
      <c r="B461" s="30" t="str">
        <f>IF(BoonRef!P3="None","No","Yes")</f>
        <v>No</v>
      </c>
    </row>
    <row r="462" spans="1:2" x14ac:dyDescent="0.25">
      <c r="A462" s="180" t="str">
        <f>IF(Sandbox!AX10="","",Sandbox!AX10)</f>
        <v/>
      </c>
      <c r="B462" s="30" t="str">
        <f>IF(BoonRef!P4="None","No","Yes")</f>
        <v>No</v>
      </c>
    </row>
    <row r="463" spans="1:2" x14ac:dyDescent="0.25">
      <c r="A463" s="180" t="str">
        <f>IF(Sandbox!AX11="","",Sandbox!AX11)</f>
        <v/>
      </c>
      <c r="B463" s="30" t="str">
        <f>IF(BoonRef!P5="None","No","Yes")</f>
        <v>No</v>
      </c>
    </row>
    <row r="464" spans="1:2" x14ac:dyDescent="0.25">
      <c r="A464" s="180" t="str">
        <f>IF(Sandbox!AX12="","",Sandbox!AX12)</f>
        <v/>
      </c>
      <c r="B464" s="30" t="str">
        <f>IF(BoonRef!P6="None","No","Yes")</f>
        <v>No</v>
      </c>
    </row>
    <row r="465" spans="1:2" x14ac:dyDescent="0.25">
      <c r="A465" s="180" t="str">
        <f>IF(Sandbox!AX13="","",Sandbox!AX13)</f>
        <v/>
      </c>
      <c r="B465" s="30" t="str">
        <f>IF(BoonRef!P7="None","No","Yes")</f>
        <v>No</v>
      </c>
    </row>
    <row r="466" spans="1:2" x14ac:dyDescent="0.25">
      <c r="A466" s="180" t="str">
        <f>IF(Sandbox!AX14="","",Sandbox!AX14)</f>
        <v/>
      </c>
      <c r="B466" s="30" t="str">
        <f>IF(BoonRef!P8="None","No","Yes")</f>
        <v>No</v>
      </c>
    </row>
    <row r="467" spans="1:2" x14ac:dyDescent="0.25">
      <c r="A467" s="180" t="str">
        <f>IF(Sandbox!AX15="","",Sandbox!AX15)</f>
        <v/>
      </c>
      <c r="B467" s="30" t="str">
        <f>IF(BoonRef!P9="None","No","Yes")</f>
        <v>No</v>
      </c>
    </row>
    <row r="468" spans="1:2" x14ac:dyDescent="0.25">
      <c r="A468" s="180" t="str">
        <f>IF(Sandbox!AX16="","",Sandbox!AX16)</f>
        <v/>
      </c>
      <c r="B468" s="30" t="str">
        <f>IF(BoonRef!P10="None","No","Yes")</f>
        <v>No</v>
      </c>
    </row>
    <row r="469" spans="1:2" x14ac:dyDescent="0.25">
      <c r="A469" s="180" t="str">
        <f>IF(Sandbox!AX17="","",Sandbox!AX17)</f>
        <v/>
      </c>
      <c r="B469" s="30" t="str">
        <f>IF(BoonRef!P11="None","No","Yes")</f>
        <v>No</v>
      </c>
    </row>
    <row r="470" spans="1:2" x14ac:dyDescent="0.25">
      <c r="A470" s="180" t="str">
        <f>IF(Sandbox!AX18="","",Sandbox!AX18)</f>
        <v/>
      </c>
      <c r="B470" s="30" t="str">
        <f>IF(BoonRef!P12="None","No","Yes")</f>
        <v>No</v>
      </c>
    </row>
    <row r="471" spans="1:2" x14ac:dyDescent="0.25">
      <c r="A471" s="180" t="str">
        <f>IF(Sandbox!AX19="","",Sandbox!AX19)</f>
        <v/>
      </c>
      <c r="B471" s="30" t="str">
        <f>IF(BoonRef!P13="None","No","Yes")</f>
        <v>No</v>
      </c>
    </row>
    <row r="472" spans="1:2" x14ac:dyDescent="0.25">
      <c r="A472" s="180" t="str">
        <f>IF(Sandbox!AX20="","",Sandbox!AX20)</f>
        <v/>
      </c>
      <c r="B472" s="30" t="str">
        <f>IF(BoonRef!P14="None","No","Yes")</f>
        <v>No</v>
      </c>
    </row>
    <row r="473" spans="1:2" x14ac:dyDescent="0.25">
      <c r="A473" s="180" t="str">
        <f>IF(Sandbox!AX21="","",Sandbox!AX21)</f>
        <v/>
      </c>
      <c r="B473" s="30" t="str">
        <f>IF(BoonRef!P15="None","No","Yes")</f>
        <v>No</v>
      </c>
    </row>
    <row r="474" spans="1:2" x14ac:dyDescent="0.25">
      <c r="A474" s="180" t="str">
        <f>IF(Sandbox!AX22="","",Sandbox!AX22)</f>
        <v/>
      </c>
      <c r="B474" s="30" t="str">
        <f>IF(BoonRef!P16="None","No","Yes")</f>
        <v>No</v>
      </c>
    </row>
    <row r="475" spans="1:2" x14ac:dyDescent="0.25">
      <c r="A475" s="180" t="str">
        <f>IF(Sandbox!AX23="","",Sandbox!AX23)</f>
        <v/>
      </c>
      <c r="B475" s="30" t="str">
        <f>IF(BoonRef!P17="None","No","Yes")</f>
        <v>No</v>
      </c>
    </row>
    <row r="476" spans="1:2" x14ac:dyDescent="0.25">
      <c r="A476" s="180" t="str">
        <f>IF(Sandbox!AX24="","",Sandbox!AX24)</f>
        <v/>
      </c>
      <c r="B476" s="30" t="str">
        <f>IF(BoonRef!P18="None","No","Yes")</f>
        <v>No</v>
      </c>
    </row>
    <row r="477" spans="1:2" x14ac:dyDescent="0.25">
      <c r="A477" s="180" t="str">
        <f>IF(Sandbox!AX25="","",Sandbox!AX25)</f>
        <v/>
      </c>
      <c r="B477" s="30" t="str">
        <f>IF(BoonRef!P19="None","No","Yes")</f>
        <v>No</v>
      </c>
    </row>
    <row r="478" spans="1:2" x14ac:dyDescent="0.25">
      <c r="A478" s="180" t="str">
        <f>IF(Sandbox!AX26="","",Sandbox!AX26)</f>
        <v/>
      </c>
      <c r="B478" s="30" t="str">
        <f>IF(BoonRef!P20="None","No","Yes")</f>
        <v>No</v>
      </c>
    </row>
    <row r="479" spans="1:2" x14ac:dyDescent="0.25">
      <c r="A479" s="180" t="str">
        <f>IF(Sandbox!AX27="","",Sandbox!AX27)</f>
        <v/>
      </c>
      <c r="B479" s="30" t="str">
        <f>IF(BoonRef!P21="None","No","Yes")</f>
        <v>No</v>
      </c>
    </row>
    <row r="480" spans="1:2" x14ac:dyDescent="0.25">
      <c r="A480" s="180" t="str">
        <f>IF(Sandbox!AX28="","",Sandbox!AX28)</f>
        <v/>
      </c>
      <c r="B480" s="30" t="str">
        <f>IF(BoonRef!P22="None","No","Yes")</f>
        <v>No</v>
      </c>
    </row>
    <row r="481" spans="1:2" x14ac:dyDescent="0.25">
      <c r="A481" s="180" t="str">
        <f>IF(Sandbox!AX33="","",Sandbox!AX33)</f>
        <v/>
      </c>
      <c r="B481" s="30" t="str">
        <f>IF(BoonRef!P23="None","No","Yes")</f>
        <v>No</v>
      </c>
    </row>
    <row r="482" spans="1:2" x14ac:dyDescent="0.25">
      <c r="A482" s="180" t="str">
        <f>IF(Sandbox!AX34="","",Sandbox!AX34)</f>
        <v/>
      </c>
      <c r="B482" s="30" t="str">
        <f>IF(BoonRef!P24="None","No","Yes")</f>
        <v>No</v>
      </c>
    </row>
    <row r="483" spans="1:2" x14ac:dyDescent="0.25">
      <c r="A483" s="180" t="str">
        <f>IF(Sandbox!AX35="","",Sandbox!AX35)</f>
        <v/>
      </c>
      <c r="B483" s="30" t="str">
        <f>IF(BoonRef!P25="None","No","Yes")</f>
        <v>No</v>
      </c>
    </row>
    <row r="484" spans="1:2" x14ac:dyDescent="0.25">
      <c r="A484" s="180" t="str">
        <f>IF(Sandbox!AX36="","",Sandbox!AX36)</f>
        <v/>
      </c>
      <c r="B484" s="30" t="str">
        <f>IF(BoonRef!P26="None","No","Yes")</f>
        <v>No</v>
      </c>
    </row>
    <row r="485" spans="1:2" x14ac:dyDescent="0.25">
      <c r="A485" s="180" t="str">
        <f>IF(Sandbox!AX37="","",Sandbox!AX37)</f>
        <v/>
      </c>
      <c r="B485" s="30" t="str">
        <f>IF(BoonRef!P27="None","No","Yes")</f>
        <v>No</v>
      </c>
    </row>
    <row r="486" spans="1:2" x14ac:dyDescent="0.25">
      <c r="A486" s="180" t="str">
        <f>IF(Sandbox!AX38="","",Sandbox!AX38)</f>
        <v/>
      </c>
      <c r="B486" s="30" t="str">
        <f>IF(BoonRef!P28="None","No","Yes")</f>
        <v>No</v>
      </c>
    </row>
    <row r="487" spans="1:2" x14ac:dyDescent="0.25">
      <c r="A487" s="180" t="str">
        <f>IF(Sandbox!AX39="","",Sandbox!AX39)</f>
        <v/>
      </c>
      <c r="B487" s="30" t="str">
        <f>IF(BoonRef!P29="None","No","Yes")</f>
        <v>No</v>
      </c>
    </row>
    <row r="488" spans="1:2" x14ac:dyDescent="0.25">
      <c r="A488" s="180" t="str">
        <f>IF(Sandbox!AX40="","",Sandbox!AX40)</f>
        <v/>
      </c>
      <c r="B488" s="30" t="str">
        <f>IF(BoonRef!P30="None","No","Yes")</f>
        <v>No</v>
      </c>
    </row>
    <row r="489" spans="1:2" x14ac:dyDescent="0.25">
      <c r="A489" s="180" t="str">
        <f>IF(Sandbox!AX41="","",Sandbox!AX41)</f>
        <v/>
      </c>
      <c r="B489" s="30" t="str">
        <f>IF(BoonRef!P31="None","No","Yes")</f>
        <v>No</v>
      </c>
    </row>
    <row r="490" spans="1:2" x14ac:dyDescent="0.25">
      <c r="A490" s="180" t="str">
        <f>IF(Sandbox!AX42="","",Sandbox!AX42)</f>
        <v/>
      </c>
      <c r="B490" s="30" t="str">
        <f>IF(BoonRef!P32="None","No","Yes")</f>
        <v>No</v>
      </c>
    </row>
    <row r="491" spans="1:2" x14ac:dyDescent="0.25">
      <c r="A491" s="180" t="str">
        <f>IF(Sandbox!AX43="","",Sandbox!AX43)</f>
        <v/>
      </c>
      <c r="B491" s="30" t="str">
        <f>IF(BoonRef!P33="None","No","Yes")</f>
        <v>No</v>
      </c>
    </row>
    <row r="492" spans="1:2" x14ac:dyDescent="0.25">
      <c r="A492" s="180" t="str">
        <f>IF(Sandbox!AX44="","",Sandbox!AX44)</f>
        <v/>
      </c>
      <c r="B492" s="30" t="str">
        <f>IF(BoonRef!P34="None","No","Yes")</f>
        <v>No</v>
      </c>
    </row>
    <row r="493" spans="1:2" x14ac:dyDescent="0.25">
      <c r="A493" s="180" t="str">
        <f>IF(Sandbox!AX45="","",Sandbox!AX45)</f>
        <v/>
      </c>
      <c r="B493" s="30" t="str">
        <f>IF(BoonRef!P35="None","No","Yes")</f>
        <v>No</v>
      </c>
    </row>
    <row r="494" spans="1:2" x14ac:dyDescent="0.25">
      <c r="A494" s="180" t="str">
        <f>IF(Sandbox!AX46="","",Sandbox!AX46)</f>
        <v/>
      </c>
      <c r="B494" s="30" t="str">
        <f>IF(BoonRef!P36="None","No","Yes")</f>
        <v>No</v>
      </c>
    </row>
    <row r="495" spans="1:2" x14ac:dyDescent="0.25">
      <c r="A495" s="180" t="str">
        <f>IF(Sandbox!AX47="","",Sandbox!AX47)</f>
        <v/>
      </c>
      <c r="B495" s="30" t="str">
        <f>IF(BoonRef!P37="None","No","Yes")</f>
        <v>No</v>
      </c>
    </row>
    <row r="496" spans="1:2" x14ac:dyDescent="0.25">
      <c r="A496" s="180" t="str">
        <f>IF(Sandbox!AX48="","",Sandbox!AX48)</f>
        <v/>
      </c>
      <c r="B496" s="30" t="str">
        <f>IF(BoonRef!P38="None","No","Yes")</f>
        <v>No</v>
      </c>
    </row>
    <row r="497" spans="1:2" x14ac:dyDescent="0.25">
      <c r="A497" s="180" t="str">
        <f>IF(Sandbox!AX49="","",Sandbox!AX49)</f>
        <v/>
      </c>
      <c r="B497" s="30" t="str">
        <f>IF(BoonRef!P39="None","No","Yes")</f>
        <v>No</v>
      </c>
    </row>
    <row r="498" spans="1:2" x14ac:dyDescent="0.25">
      <c r="A498" s="180" t="str">
        <f>IF(Sandbox!AX50="","",Sandbox!AX50)</f>
        <v/>
      </c>
      <c r="B498" s="30" t="str">
        <f>IF(BoonRef!P40="None","No","Yes")</f>
        <v>No</v>
      </c>
    </row>
    <row r="499" spans="1:2" x14ac:dyDescent="0.25">
      <c r="A499" s="180" t="str">
        <f>IF(Sandbox!AX51="","",Sandbox!AX51)</f>
        <v/>
      </c>
      <c r="B499" s="30" t="str">
        <f>IF(BoonRef!P41="None","No","Yes")</f>
        <v>No</v>
      </c>
    </row>
    <row r="500" spans="1:2" x14ac:dyDescent="0.25">
      <c r="A500" s="180" t="str">
        <f>IF(Sandbox!AX52="","",Sandbox!AX52)</f>
        <v/>
      </c>
      <c r="B500" s="30" t="str">
        <f>IF(BoonRef!P42="None","No","Yes")</f>
        <v>No</v>
      </c>
    </row>
    <row r="501" spans="1:2" x14ac:dyDescent="0.25">
      <c r="A501" s="180" t="str">
        <f>IF(Sandbox!AX53="","",Sandbox!AX53)</f>
        <v/>
      </c>
      <c r="B501" s="30" t="str">
        <f>IF(BoonRef!P43="None","No","Yes")</f>
        <v>No</v>
      </c>
    </row>
    <row r="502" spans="1:2" x14ac:dyDescent="0.25">
      <c r="A502" s="180" t="str">
        <f>IF(Sandbox!AX58="","",Sandbox!AX58)</f>
        <v/>
      </c>
      <c r="B502" s="30" t="str">
        <f>IF(BoonRef!P44="None","No","Yes")</f>
        <v>No</v>
      </c>
    </row>
    <row r="503" spans="1:2" x14ac:dyDescent="0.25">
      <c r="A503" s="180" t="str">
        <f>IF(Sandbox!AX59="","",Sandbox!AX59)</f>
        <v/>
      </c>
      <c r="B503" s="30" t="str">
        <f>IF(BoonRef!P45="None","No","Yes")</f>
        <v>No</v>
      </c>
    </row>
    <row r="504" spans="1:2" x14ac:dyDescent="0.25">
      <c r="A504" s="180" t="str">
        <f>IF(Sandbox!AX60="","",Sandbox!AX60)</f>
        <v/>
      </c>
      <c r="B504" s="30" t="str">
        <f>IF(BoonRef!P46="None","No","Yes")</f>
        <v>No</v>
      </c>
    </row>
    <row r="505" spans="1:2" x14ac:dyDescent="0.25">
      <c r="A505" s="180" t="str">
        <f>IF(Sandbox!AX61="","",Sandbox!AX61)</f>
        <v/>
      </c>
      <c r="B505" s="30" t="str">
        <f>IF(BoonRef!P47="None","No","Yes")</f>
        <v>No</v>
      </c>
    </row>
    <row r="506" spans="1:2" x14ac:dyDescent="0.25">
      <c r="A506" s="180" t="str">
        <f>IF(Sandbox!AX62="","",Sandbox!AX62)</f>
        <v/>
      </c>
      <c r="B506" s="30" t="str">
        <f>IF(BoonRef!P48="None","No","Yes")</f>
        <v>No</v>
      </c>
    </row>
    <row r="507" spans="1:2" x14ac:dyDescent="0.25">
      <c r="A507" s="180" t="str">
        <f>IF(Sandbox!AX63="","",Sandbox!AX63)</f>
        <v/>
      </c>
      <c r="B507" s="30" t="str">
        <f>IF(BoonRef!P49="None","No","Yes")</f>
        <v>No</v>
      </c>
    </row>
    <row r="508" spans="1:2" x14ac:dyDescent="0.25">
      <c r="A508" s="180" t="str">
        <f>IF(Sandbox!AX64="","",Sandbox!AX64)</f>
        <v/>
      </c>
      <c r="B508" s="30" t="str">
        <f>IF(BoonRef!P50="None","No","Yes")</f>
        <v>No</v>
      </c>
    </row>
    <row r="509" spans="1:2" x14ac:dyDescent="0.25">
      <c r="A509" s="180" t="str">
        <f>IF(Sandbox!AX65="","",Sandbox!AX65)</f>
        <v/>
      </c>
      <c r="B509" s="30" t="str">
        <f>IF(BoonRef!P51="None","No","Yes")</f>
        <v>No</v>
      </c>
    </row>
    <row r="510" spans="1:2" x14ac:dyDescent="0.25">
      <c r="A510" s="180" t="str">
        <f>IF(Sandbox!AX66="","",Sandbox!AX66)</f>
        <v/>
      </c>
      <c r="B510" s="30" t="str">
        <f>IF(BoonRef!P52="None","No","Yes")</f>
        <v>No</v>
      </c>
    </row>
    <row r="511" spans="1:2" x14ac:dyDescent="0.25">
      <c r="A511" s="180" t="str">
        <f>IF(Sandbox!AX67="","",Sandbox!AX67)</f>
        <v/>
      </c>
      <c r="B511" s="30" t="str">
        <f>IF(BoonRef!P53="None","No","Yes")</f>
        <v>No</v>
      </c>
    </row>
    <row r="512" spans="1:2" x14ac:dyDescent="0.25">
      <c r="A512" s="180" t="str">
        <f>IF(Sandbox!AX68="","",Sandbox!AX68)</f>
        <v/>
      </c>
      <c r="B512" s="30" t="str">
        <f>IF(BoonRef!P54="None","No","Yes")</f>
        <v>No</v>
      </c>
    </row>
    <row r="513" spans="1:2" x14ac:dyDescent="0.25">
      <c r="A513" s="180" t="str">
        <f>IF(Sandbox!AX69="","",Sandbox!AX69)</f>
        <v/>
      </c>
      <c r="B513" s="30" t="str">
        <f>IF(BoonRef!P55="None","No","Yes")</f>
        <v>No</v>
      </c>
    </row>
    <row r="514" spans="1:2" x14ac:dyDescent="0.25">
      <c r="A514" s="180" t="str">
        <f>IF(Sandbox!AX70="","",Sandbox!AX70)</f>
        <v/>
      </c>
      <c r="B514" s="30" t="str">
        <f>IF(BoonRef!P56="None","No","Yes")</f>
        <v>No</v>
      </c>
    </row>
    <row r="515" spans="1:2" x14ac:dyDescent="0.25">
      <c r="A515" s="180" t="str">
        <f>IF(Sandbox!AX71="","",Sandbox!AX71)</f>
        <v/>
      </c>
      <c r="B515" s="30" t="str">
        <f>IF(BoonRef!P57="None","No","Yes")</f>
        <v>No</v>
      </c>
    </row>
    <row r="516" spans="1:2" x14ac:dyDescent="0.25">
      <c r="A516" s="180" t="str">
        <f>IF(Sandbox!AX72="","",Sandbox!AX72)</f>
        <v/>
      </c>
      <c r="B516" s="30" t="str">
        <f>IF(BoonRef!P58="None","No","Yes")</f>
        <v>No</v>
      </c>
    </row>
    <row r="517" spans="1:2" x14ac:dyDescent="0.25">
      <c r="A517" s="180" t="str">
        <f>IF(Sandbox!AX73="","",Sandbox!AX73)</f>
        <v/>
      </c>
      <c r="B517" s="30" t="str">
        <f>IF(BoonRef!P59="None","No","Yes")</f>
        <v>No</v>
      </c>
    </row>
    <row r="518" spans="1:2" x14ac:dyDescent="0.25">
      <c r="A518" s="180" t="str">
        <f>IF(Sandbox!AX74="","",Sandbox!AX74)</f>
        <v/>
      </c>
      <c r="B518" s="30" t="str">
        <f>IF(BoonRef!P60="None","No","Yes")</f>
        <v>No</v>
      </c>
    </row>
    <row r="519" spans="1:2" x14ac:dyDescent="0.25">
      <c r="A519" s="180" t="str">
        <f>IF(Sandbox!AX75="","",Sandbox!AX75)</f>
        <v/>
      </c>
      <c r="B519" s="30" t="str">
        <f>IF(BoonRef!P61="None","No","Yes")</f>
        <v>No</v>
      </c>
    </row>
    <row r="520" spans="1:2" x14ac:dyDescent="0.25">
      <c r="A520" s="180" t="str">
        <f>IF(Sandbox!AX76="","",Sandbox!AX76)</f>
        <v/>
      </c>
      <c r="B520" s="30" t="str">
        <f>IF(BoonRef!P62="None","No","Yes")</f>
        <v>No</v>
      </c>
    </row>
    <row r="521" spans="1:2" x14ac:dyDescent="0.25">
      <c r="A521" s="180" t="str">
        <f>IF(Sandbox!AX77="","",Sandbox!AX77)</f>
        <v/>
      </c>
      <c r="B521" s="30" t="str">
        <f>IF(BoonRef!P63="None","No","Yes")</f>
        <v>No</v>
      </c>
    </row>
    <row r="522" spans="1:2" x14ac:dyDescent="0.25">
      <c r="A522" s="180" t="str">
        <f>IF(Sandbox!AX78="","",Sandbox!AX78)</f>
        <v/>
      </c>
      <c r="B522" s="30" t="str">
        <f>IF(BoonRef!P64="None","No","Yes")</f>
        <v>No</v>
      </c>
    </row>
    <row r="523" spans="1:2" x14ac:dyDescent="0.25">
      <c r="A523" s="180" t="str">
        <f>IF(Sandbox!AX83="","",Sandbox!AX83)</f>
        <v/>
      </c>
      <c r="B523" s="30" t="str">
        <f>IF(BoonRef!P65="None","No","Yes")</f>
        <v>No</v>
      </c>
    </row>
    <row r="524" spans="1:2" x14ac:dyDescent="0.25">
      <c r="A524" s="180" t="str">
        <f>IF(Sandbox!AX84="","",Sandbox!AX84)</f>
        <v/>
      </c>
      <c r="B524" s="30" t="str">
        <f>IF(BoonRef!P66="None","No","Yes")</f>
        <v>No</v>
      </c>
    </row>
    <row r="525" spans="1:2" x14ac:dyDescent="0.25">
      <c r="A525" s="180" t="str">
        <f>IF(Sandbox!AX85="","",Sandbox!AX85)</f>
        <v/>
      </c>
      <c r="B525" s="30" t="str">
        <f>IF(BoonRef!P67="None","No","Yes")</f>
        <v>No</v>
      </c>
    </row>
    <row r="526" spans="1:2" x14ac:dyDescent="0.25">
      <c r="A526" s="180" t="str">
        <f>IF(Sandbox!AX86="","",Sandbox!AX86)</f>
        <v/>
      </c>
      <c r="B526" s="30" t="str">
        <f>IF(BoonRef!P68="None","No","Yes")</f>
        <v>No</v>
      </c>
    </row>
    <row r="527" spans="1:2" x14ac:dyDescent="0.25">
      <c r="A527" s="180" t="str">
        <f>IF(Sandbox!AX87="","",Sandbox!AX87)</f>
        <v/>
      </c>
      <c r="B527" s="30" t="str">
        <f>IF(BoonRef!P69="None","No","Yes")</f>
        <v>No</v>
      </c>
    </row>
    <row r="528" spans="1:2" x14ac:dyDescent="0.25">
      <c r="A528" s="180" t="str">
        <f>IF(Sandbox!AX88="","",Sandbox!AX88)</f>
        <v/>
      </c>
      <c r="B528" s="30" t="str">
        <f>IF(BoonRef!P70="None","No","Yes")</f>
        <v>No</v>
      </c>
    </row>
    <row r="529" spans="1:2" x14ac:dyDescent="0.25">
      <c r="A529" s="180" t="str">
        <f>IF(Sandbox!AX89="","",Sandbox!AX89)</f>
        <v/>
      </c>
      <c r="B529" s="30" t="str">
        <f>IF(BoonRef!P71="None","No","Yes")</f>
        <v>No</v>
      </c>
    </row>
    <row r="530" spans="1:2" x14ac:dyDescent="0.25">
      <c r="A530" s="180" t="str">
        <f>IF(Sandbox!AX90="","",Sandbox!AX90)</f>
        <v/>
      </c>
      <c r="B530" s="30" t="str">
        <f>IF(BoonRef!P72="None","No","Yes")</f>
        <v>No</v>
      </c>
    </row>
    <row r="531" spans="1:2" x14ac:dyDescent="0.25">
      <c r="A531" s="180" t="str">
        <f>IF(Sandbox!AX91="","",Sandbox!AX91)</f>
        <v/>
      </c>
      <c r="B531" s="30" t="str">
        <f>IF(BoonRef!P73="None","No","Yes")</f>
        <v>No</v>
      </c>
    </row>
    <row r="532" spans="1:2" x14ac:dyDescent="0.25">
      <c r="A532" s="180" t="str">
        <f>IF(Sandbox!AX92="","",Sandbox!AX92)</f>
        <v/>
      </c>
      <c r="B532" s="30" t="str">
        <f>IF(BoonRef!P74="None","No","Yes")</f>
        <v>No</v>
      </c>
    </row>
    <row r="533" spans="1:2" x14ac:dyDescent="0.25">
      <c r="A533" s="180" t="str">
        <f>IF(Sandbox!AX93="","",Sandbox!AX93)</f>
        <v/>
      </c>
      <c r="B533" s="30" t="str">
        <f>IF(BoonRef!P75="None","No","Yes")</f>
        <v>No</v>
      </c>
    </row>
    <row r="534" spans="1:2" x14ac:dyDescent="0.25">
      <c r="A534" s="180" t="str">
        <f>IF(Sandbox!AX94="","",Sandbox!AX94)</f>
        <v/>
      </c>
      <c r="B534" s="30" t="str">
        <f>IF(BoonRef!P76="None","No","Yes")</f>
        <v>No</v>
      </c>
    </row>
    <row r="535" spans="1:2" x14ac:dyDescent="0.25">
      <c r="A535" s="180" t="str">
        <f>IF(Sandbox!AX95="","",Sandbox!AX95)</f>
        <v/>
      </c>
      <c r="B535" s="30" t="str">
        <f>IF(BoonRef!P77="None","No","Yes")</f>
        <v>No</v>
      </c>
    </row>
    <row r="536" spans="1:2" x14ac:dyDescent="0.25">
      <c r="A536" s="180" t="str">
        <f>IF(Sandbox!AX96="","",Sandbox!AX96)</f>
        <v/>
      </c>
      <c r="B536" s="30" t="str">
        <f>IF(BoonRef!P78="None","No","Yes")</f>
        <v>No</v>
      </c>
    </row>
    <row r="537" spans="1:2" x14ac:dyDescent="0.25">
      <c r="A537" s="180" t="str">
        <f>IF(Sandbox!AX97="","",Sandbox!AX97)</f>
        <v/>
      </c>
      <c r="B537" s="30" t="str">
        <f>IF(BoonRef!P79="None","No","Yes")</f>
        <v>No</v>
      </c>
    </row>
    <row r="538" spans="1:2" x14ac:dyDescent="0.25">
      <c r="A538" s="180" t="str">
        <f>IF(Sandbox!AX98="","",Sandbox!AX98)</f>
        <v/>
      </c>
      <c r="B538" s="30" t="str">
        <f>IF(BoonRef!P80="None","No","Yes")</f>
        <v>No</v>
      </c>
    </row>
    <row r="539" spans="1:2" x14ac:dyDescent="0.25">
      <c r="A539" s="180" t="str">
        <f>IF(Sandbox!AX99="","",Sandbox!AX99)</f>
        <v/>
      </c>
      <c r="B539" s="30" t="str">
        <f>IF(BoonRef!P81="None","No","Yes")</f>
        <v>No</v>
      </c>
    </row>
    <row r="540" spans="1:2" x14ac:dyDescent="0.25">
      <c r="A540" s="180" t="str">
        <f>IF(Sandbox!AX100="","",Sandbox!AX100)</f>
        <v/>
      </c>
      <c r="B540" s="30" t="str">
        <f>IF(BoonRef!P82="None","No","Yes")</f>
        <v>No</v>
      </c>
    </row>
    <row r="541" spans="1:2" x14ac:dyDescent="0.25">
      <c r="A541" s="180" t="str">
        <f>IF(Sandbox!AX101="","",Sandbox!AX101)</f>
        <v/>
      </c>
      <c r="B541" s="30" t="str">
        <f>IF(BoonRef!P83="None","No","Yes")</f>
        <v>No</v>
      </c>
    </row>
    <row r="542" spans="1:2" x14ac:dyDescent="0.25">
      <c r="A542" s="180" t="str">
        <f>IF(Sandbox!AX102="","",Sandbox!AX102)</f>
        <v/>
      </c>
      <c r="B542" s="30" t="str">
        <f>IF(BoonRef!P84="None","No","Yes")</f>
        <v>No</v>
      </c>
    </row>
    <row r="543" spans="1:2" x14ac:dyDescent="0.25">
      <c r="A543" s="180" t="str">
        <f>IF(Sandbox!AX103="","",Sandbox!AX103)</f>
        <v/>
      </c>
      <c r="B543" s="30" t="str">
        <f>IF(BoonRef!P85="None","No","Yes")</f>
        <v>No</v>
      </c>
    </row>
    <row r="544" spans="1:2" x14ac:dyDescent="0.25">
      <c r="A544" s="180" t="str">
        <f>IF(Sandbox!AX108="","",Sandbox!AX108)</f>
        <v/>
      </c>
      <c r="B544" s="30" t="str">
        <f>IF(BoonRef!P86="None","No","Yes")</f>
        <v>No</v>
      </c>
    </row>
    <row r="545" spans="1:2" x14ac:dyDescent="0.25">
      <c r="A545" s="180" t="str">
        <f>IF(Sandbox!AX109="","",Sandbox!AX109)</f>
        <v/>
      </c>
      <c r="B545" s="30" t="str">
        <f>IF(BoonRef!P87="None","No","Yes")</f>
        <v>No</v>
      </c>
    </row>
    <row r="546" spans="1:2" x14ac:dyDescent="0.25">
      <c r="A546" s="180" t="str">
        <f>IF(Sandbox!AX110="","",Sandbox!AX110)</f>
        <v/>
      </c>
      <c r="B546" s="30" t="str">
        <f>IF(BoonRef!P88="None","No","Yes")</f>
        <v>No</v>
      </c>
    </row>
    <row r="547" spans="1:2" x14ac:dyDescent="0.25">
      <c r="A547" s="180" t="str">
        <f>IF(Sandbox!AX111="","",Sandbox!AX111)</f>
        <v/>
      </c>
      <c r="B547" s="30" t="str">
        <f>IF(BoonRef!P89="None","No","Yes")</f>
        <v>No</v>
      </c>
    </row>
    <row r="548" spans="1:2" x14ac:dyDescent="0.25">
      <c r="A548" s="180" t="str">
        <f>IF(Sandbox!AX112="","",Sandbox!AX112)</f>
        <v/>
      </c>
      <c r="B548" s="30" t="str">
        <f>IF(BoonRef!P90="None","No","Yes")</f>
        <v>No</v>
      </c>
    </row>
    <row r="549" spans="1:2" x14ac:dyDescent="0.25">
      <c r="A549" s="180" t="str">
        <f>IF(Sandbox!AX113="","",Sandbox!AX113)</f>
        <v/>
      </c>
      <c r="B549" s="30" t="str">
        <f>IF(BoonRef!P91="None","No","Yes")</f>
        <v>No</v>
      </c>
    </row>
    <row r="550" spans="1:2" x14ac:dyDescent="0.25">
      <c r="A550" s="180" t="str">
        <f>IF(Sandbox!AX114="","",Sandbox!AX114)</f>
        <v/>
      </c>
      <c r="B550" s="30" t="str">
        <f>IF(BoonRef!P92="None","No","Yes")</f>
        <v>No</v>
      </c>
    </row>
    <row r="551" spans="1:2" x14ac:dyDescent="0.25">
      <c r="A551" s="180" t="str">
        <f>IF(Sandbox!AX115="","",Sandbox!AX115)</f>
        <v/>
      </c>
      <c r="B551" s="30" t="str">
        <f>IF(BoonRef!P93="None","No","Yes")</f>
        <v>No</v>
      </c>
    </row>
    <row r="552" spans="1:2" x14ac:dyDescent="0.25">
      <c r="A552" s="180" t="str">
        <f>IF(Sandbox!AX116="","",Sandbox!AX116)</f>
        <v/>
      </c>
      <c r="B552" s="30" t="str">
        <f>IF(BoonRef!P94="None","No","Yes")</f>
        <v>No</v>
      </c>
    </row>
    <row r="553" spans="1:2" x14ac:dyDescent="0.25">
      <c r="A553" s="180" t="str">
        <f>IF(Sandbox!AX117="","",Sandbox!AX117)</f>
        <v/>
      </c>
      <c r="B553" s="30" t="str">
        <f>IF(BoonRef!P95="None","No","Yes")</f>
        <v>No</v>
      </c>
    </row>
    <row r="554" spans="1:2" x14ac:dyDescent="0.25">
      <c r="A554" s="180" t="str">
        <f>IF(Sandbox!AX118="","",Sandbox!AX118)</f>
        <v/>
      </c>
      <c r="B554" s="30" t="str">
        <f>IF(BoonRef!P96="None","No","Yes")</f>
        <v>No</v>
      </c>
    </row>
    <row r="555" spans="1:2" x14ac:dyDescent="0.25">
      <c r="A555" s="180" t="str">
        <f>IF(Sandbox!AX119="","",Sandbox!AX119)</f>
        <v/>
      </c>
      <c r="B555" s="30" t="str">
        <f>IF(BoonRef!P97="None","No","Yes")</f>
        <v>No</v>
      </c>
    </row>
    <row r="556" spans="1:2" x14ac:dyDescent="0.25">
      <c r="A556" s="180" t="str">
        <f>IF(Sandbox!AX120="","",Sandbox!AX120)</f>
        <v/>
      </c>
      <c r="B556" s="30" t="str">
        <f>IF(BoonRef!P98="None","No","Yes")</f>
        <v>No</v>
      </c>
    </row>
    <row r="557" spans="1:2" x14ac:dyDescent="0.25">
      <c r="A557" s="180" t="str">
        <f>IF(Sandbox!AX121="","",Sandbox!AX121)</f>
        <v/>
      </c>
      <c r="B557" s="30" t="str">
        <f>IF(BoonRef!P99="None","No","Yes")</f>
        <v>No</v>
      </c>
    </row>
    <row r="558" spans="1:2" x14ac:dyDescent="0.25">
      <c r="A558" s="180" t="str">
        <f>IF(Sandbox!AX122="","",Sandbox!AX122)</f>
        <v/>
      </c>
      <c r="B558" s="30" t="str">
        <f>IF(BoonRef!P100="None","No","Yes")</f>
        <v>No</v>
      </c>
    </row>
    <row r="559" spans="1:2" x14ac:dyDescent="0.25">
      <c r="A559" s="180" t="str">
        <f>IF(Sandbox!AX123="","",Sandbox!AX123)</f>
        <v/>
      </c>
      <c r="B559" s="30" t="str">
        <f>IF(BoonRef!P101="None","No","Yes")</f>
        <v>No</v>
      </c>
    </row>
    <row r="560" spans="1:2" x14ac:dyDescent="0.25">
      <c r="A560" s="180" t="str">
        <f>IF(Sandbox!AX124="","",Sandbox!AX124)</f>
        <v/>
      </c>
      <c r="B560" s="30" t="str">
        <f>IF(BoonRef!P102="None","No","Yes")</f>
        <v>No</v>
      </c>
    </row>
    <row r="561" spans="1:2" x14ac:dyDescent="0.25">
      <c r="A561" s="180" t="str">
        <f>IF(Sandbox!AX125="","",Sandbox!AX125)</f>
        <v/>
      </c>
      <c r="B561" s="30" t="str">
        <f>IF(BoonRef!P103="None","No","Yes")</f>
        <v>No</v>
      </c>
    </row>
    <row r="562" spans="1:2" x14ac:dyDescent="0.25">
      <c r="A562" s="180" t="str">
        <f>IF(Sandbox!AX126="","",Sandbox!AX126)</f>
        <v/>
      </c>
      <c r="B562" s="30" t="str">
        <f>IF(BoonRef!P104="None","No","Yes")</f>
        <v>No</v>
      </c>
    </row>
    <row r="563" spans="1:2" x14ac:dyDescent="0.25">
      <c r="A563" s="180" t="str">
        <f>IF(Sandbox!AX127="","",Sandbox!AX127)</f>
        <v/>
      </c>
      <c r="B563" s="30" t="str">
        <f>IF(BoonRef!P105="None","No","Yes")</f>
        <v>No</v>
      </c>
    </row>
    <row r="564" spans="1:2" x14ac:dyDescent="0.25">
      <c r="A564" s="180" t="str">
        <f>IF(Sandbox!AX128="","",Sandbox!AX128)</f>
        <v/>
      </c>
      <c r="B564" s="30" t="str">
        <f>IF(BoonRef!P106="None","No","Yes")</f>
        <v>No</v>
      </c>
    </row>
    <row r="565" spans="1:2" x14ac:dyDescent="0.25">
      <c r="A565" s="180" t="str">
        <f>IF(Sandbox!BL6="","",Sandbox!BL6)</f>
        <v/>
      </c>
      <c r="B565" s="30" t="str">
        <f>IF(BoonRef!P107="None","No","Yes")</f>
        <v>No</v>
      </c>
    </row>
    <row r="566" spans="1:2" x14ac:dyDescent="0.25">
      <c r="A566" s="180" t="str">
        <f>IF(Sandbox!BL7="","",Sandbox!BL7)</f>
        <v/>
      </c>
      <c r="B566" s="30" t="str">
        <f>IF(BoonRef!P108="None","No","Yes")</f>
        <v>No</v>
      </c>
    </row>
    <row r="567" spans="1:2" x14ac:dyDescent="0.25">
      <c r="A567" s="180" t="str">
        <f>IF(Sandbox!BL8="","",Sandbox!BL8)</f>
        <v/>
      </c>
      <c r="B567" s="30" t="str">
        <f>IF(BoonRef!P109="None","No","Yes")</f>
        <v>No</v>
      </c>
    </row>
    <row r="568" spans="1:2" x14ac:dyDescent="0.25">
      <c r="A568" s="180" t="str">
        <f>IF(Sandbox!BL9="","",Sandbox!BL9)</f>
        <v/>
      </c>
      <c r="B568" s="30" t="str">
        <f>IF(BoonRef!P110="None","No","Yes")</f>
        <v>No</v>
      </c>
    </row>
    <row r="569" spans="1:2" x14ac:dyDescent="0.25">
      <c r="A569" s="180" t="str">
        <f>IF(Sandbox!BL10="","",Sandbox!BL10)</f>
        <v/>
      </c>
      <c r="B569" s="30" t="str">
        <f>IF(BoonRef!P111="None","No","Yes")</f>
        <v>No</v>
      </c>
    </row>
    <row r="570" spans="1:2" x14ac:dyDescent="0.25">
      <c r="A570" s="180" t="str">
        <f>IF(Sandbox!BL11="","",Sandbox!BL11)</f>
        <v/>
      </c>
      <c r="B570" s="30" t="str">
        <f>IF(BoonRef!P112="None","No","Yes")</f>
        <v>No</v>
      </c>
    </row>
    <row r="571" spans="1:2" x14ac:dyDescent="0.25">
      <c r="A571" s="180" t="str">
        <f>IF(Sandbox!BL12="","",Sandbox!BL12)</f>
        <v/>
      </c>
      <c r="B571" s="30" t="str">
        <f>IF(BoonRef!P113="None","No","Yes")</f>
        <v>No</v>
      </c>
    </row>
    <row r="572" spans="1:2" x14ac:dyDescent="0.25">
      <c r="A572" s="180" t="str">
        <f>IF(Sandbox!BL13="","",Sandbox!BL13)</f>
        <v/>
      </c>
      <c r="B572" s="30" t="str">
        <f>IF(BoonRef!P114="None","No","Yes")</f>
        <v>No</v>
      </c>
    </row>
    <row r="573" spans="1:2" x14ac:dyDescent="0.25">
      <c r="A573" s="180" t="str">
        <f>IF(Sandbox!BL14="","",Sandbox!BL14)</f>
        <v/>
      </c>
      <c r="B573" s="30" t="str">
        <f>IF(BoonRef!P115="None","No","Yes")</f>
        <v>No</v>
      </c>
    </row>
    <row r="574" spans="1:2" x14ac:dyDescent="0.25">
      <c r="A574" s="180" t="str">
        <f>IF(Sandbox!BL15="","",Sandbox!BL15)</f>
        <v/>
      </c>
      <c r="B574" s="30" t="str">
        <f>IF(BoonRef!P116="None","No","Yes")</f>
        <v>No</v>
      </c>
    </row>
    <row r="575" spans="1:2" x14ac:dyDescent="0.25">
      <c r="A575" s="180" t="str">
        <f>IF(Sandbox!BL16="","",Sandbox!BL16)</f>
        <v/>
      </c>
      <c r="B575" s="30" t="str">
        <f>IF(BoonRef!P117="None","No","Yes")</f>
        <v>No</v>
      </c>
    </row>
    <row r="576" spans="1:2" x14ac:dyDescent="0.25">
      <c r="A576" s="180" t="str">
        <f>IF(Sandbox!BL17="","",Sandbox!BL17)</f>
        <v/>
      </c>
      <c r="B576" s="30" t="str">
        <f>IF(BoonRef!P118="None","No","Yes")</f>
        <v>No</v>
      </c>
    </row>
    <row r="577" spans="1:2" x14ac:dyDescent="0.25">
      <c r="A577" s="180" t="str">
        <f>IF(Sandbox!BL18="","",Sandbox!BL18)</f>
        <v/>
      </c>
      <c r="B577" s="30" t="str">
        <f>IF(BoonRef!P119="None","No","Yes")</f>
        <v>No</v>
      </c>
    </row>
    <row r="578" spans="1:2" x14ac:dyDescent="0.25">
      <c r="A578" s="180" t="str">
        <f>IF(Sandbox!BL19="","",Sandbox!BL19)</f>
        <v/>
      </c>
      <c r="B578" s="30" t="str">
        <f>IF(BoonRef!P120="None","No","Yes")</f>
        <v>No</v>
      </c>
    </row>
    <row r="579" spans="1:2" x14ac:dyDescent="0.25">
      <c r="A579" s="180" t="str">
        <f>IF(Sandbox!BL20="","",Sandbox!BL20)</f>
        <v/>
      </c>
      <c r="B579" s="30" t="str">
        <f>IF(BoonRef!P121="None","No","Yes")</f>
        <v>No</v>
      </c>
    </row>
    <row r="580" spans="1:2" x14ac:dyDescent="0.25">
      <c r="A580" s="180" t="str">
        <f>IF(Sandbox!BL21="","",Sandbox!BL21)</f>
        <v/>
      </c>
      <c r="B580" s="30" t="str">
        <f>IF(BoonRef!P122="None","No","Yes")</f>
        <v>No</v>
      </c>
    </row>
    <row r="581" spans="1:2" x14ac:dyDescent="0.25">
      <c r="A581" s="180" t="str">
        <f>IF(Sandbox!BL22="","",Sandbox!BL22)</f>
        <v/>
      </c>
      <c r="B581" s="30" t="str">
        <f>IF(BoonRef!P123="None","No","Yes")</f>
        <v>No</v>
      </c>
    </row>
    <row r="582" spans="1:2" x14ac:dyDescent="0.25">
      <c r="A582" s="180" t="str">
        <f>IF(Sandbox!BL23="","",Sandbox!BL23)</f>
        <v/>
      </c>
      <c r="B582" s="30" t="str">
        <f>IF(BoonRef!P124="None","No","Yes")</f>
        <v>No</v>
      </c>
    </row>
    <row r="583" spans="1:2" x14ac:dyDescent="0.25">
      <c r="A583" s="180" t="str">
        <f>IF(Sandbox!BL24="","",Sandbox!BL24)</f>
        <v/>
      </c>
      <c r="B583" s="30" t="str">
        <f>IF(BoonRef!P125="None","No","Yes")</f>
        <v>No</v>
      </c>
    </row>
    <row r="584" spans="1:2" x14ac:dyDescent="0.25">
      <c r="A584" s="180" t="str">
        <f>IF(Sandbox!BL25="","",Sandbox!BL25)</f>
        <v/>
      </c>
      <c r="B584" s="30" t="str">
        <f>IF(BoonRef!P126="None","No","Yes")</f>
        <v>No</v>
      </c>
    </row>
    <row r="585" spans="1:2" x14ac:dyDescent="0.25">
      <c r="A585" s="180" t="str">
        <f>IF(Sandbox!BL26="","",Sandbox!BL26)</f>
        <v/>
      </c>
      <c r="B585" s="30" t="str">
        <f>IF(BoonRef!P127="None","No","Yes")</f>
        <v>No</v>
      </c>
    </row>
    <row r="586" spans="1:2" x14ac:dyDescent="0.25">
      <c r="A586" s="180" t="str">
        <f>IF(Sandbox!BL27="","",Sandbox!BL27)</f>
        <v/>
      </c>
      <c r="B586" s="30" t="str">
        <f>IF(BoonRef!P128="None","No","Yes")</f>
        <v>No</v>
      </c>
    </row>
    <row r="587" spans="1:2" x14ac:dyDescent="0.25">
      <c r="A587" s="180" t="str">
        <f>IF(Sandbox!BL28="","",Sandbox!BL28)</f>
        <v/>
      </c>
      <c r="B587" s="30" t="str">
        <f>IF(BoonRef!P129="None","No","Yes")</f>
        <v>No</v>
      </c>
    </row>
    <row r="588" spans="1:2" x14ac:dyDescent="0.25">
      <c r="A588" s="180" t="str">
        <f>IF(Sandbox!BL29="","",Sandbox!BL29)</f>
        <v/>
      </c>
      <c r="B588" s="30" t="str">
        <f>IF(BoonRef!P130="None","No","Yes")</f>
        <v>No</v>
      </c>
    </row>
    <row r="589" spans="1:2" x14ac:dyDescent="0.25">
      <c r="A589" s="180" t="str">
        <f>IF(Sandbox!BL30="","",Sandbox!BL30)</f>
        <v/>
      </c>
      <c r="B589" s="30" t="str">
        <f>IF(BoonRef!P131="None","No","Yes")</f>
        <v>No</v>
      </c>
    </row>
    <row r="590" spans="1:2" x14ac:dyDescent="0.25">
      <c r="A590" s="180" t="str">
        <f>IF(Sandbox!BL31="","",Sandbox!BL31)</f>
        <v/>
      </c>
      <c r="B590" s="30" t="str">
        <f>IF(BoonRef!P132="None","No","Yes")</f>
        <v>No</v>
      </c>
    </row>
    <row r="591" spans="1:2" x14ac:dyDescent="0.25">
      <c r="A591" s="180" t="str">
        <f>IF(Sandbox!BL32="","",Sandbox!BL32)</f>
        <v/>
      </c>
      <c r="B591" s="30" t="str">
        <f>IF(BoonRef!P133="None","No","Yes")</f>
        <v>No</v>
      </c>
    </row>
    <row r="592" spans="1:2" x14ac:dyDescent="0.25">
      <c r="A592" s="180" t="str">
        <f>IF(Sandbox!BL33="","",Sandbox!BL33)</f>
        <v/>
      </c>
      <c r="B592" s="30" t="str">
        <f>IF(BoonRef!P134="None","No","Yes")</f>
        <v>No</v>
      </c>
    </row>
    <row r="593" spans="1:2" x14ac:dyDescent="0.25">
      <c r="A593" s="180" t="str">
        <f>IF(Sandbox!BL34="","",Sandbox!BL34)</f>
        <v/>
      </c>
      <c r="B593" s="30" t="str">
        <f>IF(BoonRef!P135="None","No","Yes")</f>
        <v>No</v>
      </c>
    </row>
    <row r="594" spans="1:2" x14ac:dyDescent="0.25">
      <c r="A594" s="180" t="str">
        <f>IF(Sandbox!BL35="","",Sandbox!BL35)</f>
        <v/>
      </c>
      <c r="B594" s="30" t="str">
        <f>IF(BoonRef!P136="None","No","Yes")</f>
        <v>No</v>
      </c>
    </row>
    <row r="595" spans="1:2" x14ac:dyDescent="0.25">
      <c r="A595" s="180" t="str">
        <f>IF(Sandbox!BL36="","",Sandbox!BL36)</f>
        <v/>
      </c>
      <c r="B595" s="30" t="str">
        <f>IF(BoonRef!P137="None","No","Yes")</f>
        <v>No</v>
      </c>
    </row>
    <row r="596" spans="1:2" x14ac:dyDescent="0.25">
      <c r="A596" s="180" t="str">
        <f>IF(Sandbox!BL37="","",Sandbox!BL37)</f>
        <v/>
      </c>
      <c r="B596" s="30" t="str">
        <f>IF(BoonRef!P138="None","No","Yes")</f>
        <v>No</v>
      </c>
    </row>
    <row r="597" spans="1:2" x14ac:dyDescent="0.25">
      <c r="A597" s="180" t="str">
        <f>IF(Sandbox!BL38="","",Sandbox!BL38)</f>
        <v/>
      </c>
      <c r="B597" s="30" t="str">
        <f>IF(BoonRef!P139="None","No","Yes")</f>
        <v>No</v>
      </c>
    </row>
    <row r="598" spans="1:2" x14ac:dyDescent="0.25">
      <c r="A598" s="180" t="str">
        <f>IF(Sandbox!BL39="","",Sandbox!BL39)</f>
        <v/>
      </c>
      <c r="B598" s="30" t="str">
        <f>IF(BoonRef!P140="None","No","Yes")</f>
        <v>No</v>
      </c>
    </row>
    <row r="599" spans="1:2" x14ac:dyDescent="0.25">
      <c r="A599" s="180" t="str">
        <f>IF(Sandbox!BL40="","",Sandbox!BL40)</f>
        <v/>
      </c>
      <c r="B599" s="30" t="str">
        <f>IF(BoonRef!P141="None","No","Yes")</f>
        <v>No</v>
      </c>
    </row>
    <row r="600" spans="1:2" x14ac:dyDescent="0.25">
      <c r="A600" s="180" t="str">
        <f>IF(Sandbox!BL41="","",Sandbox!BL41)</f>
        <v/>
      </c>
      <c r="B600" s="30" t="str">
        <f>IF(BoonRef!P142="None","No","Yes")</f>
        <v>No</v>
      </c>
    </row>
    <row r="601" spans="1:2" x14ac:dyDescent="0.25">
      <c r="A601" s="180" t="str">
        <f>IF(Sandbox!BL42="","",Sandbox!BL42)</f>
        <v/>
      </c>
      <c r="B601" s="30" t="str">
        <f>IF(BoonRef!P143="None","No","Yes")</f>
        <v>No</v>
      </c>
    </row>
    <row r="602" spans="1:2" x14ac:dyDescent="0.25">
      <c r="A602" s="180" t="str">
        <f>IF(Sandbox!BL43="","",Sandbox!BL43)</f>
        <v/>
      </c>
      <c r="B602" s="30" t="str">
        <f>IF(BoonRef!P144="None","No","Yes")</f>
        <v>No</v>
      </c>
    </row>
    <row r="603" spans="1:2" x14ac:dyDescent="0.25">
      <c r="A603" s="180" t="str">
        <f>IF(Sandbox!BL44="","",Sandbox!BL44)</f>
        <v/>
      </c>
      <c r="B603" s="30" t="str">
        <f>IF(BoonRef!P145="None","No","Yes")</f>
        <v>No</v>
      </c>
    </row>
    <row r="604" spans="1:2" x14ac:dyDescent="0.25">
      <c r="A604" s="180" t="str">
        <f>IF(Sandbox!BL45="","",Sandbox!BL45)</f>
        <v/>
      </c>
      <c r="B604" s="30" t="str">
        <f>IF(BoonRef!P146="None","No","Yes")</f>
        <v>No</v>
      </c>
    </row>
    <row r="605" spans="1:2" x14ac:dyDescent="0.25">
      <c r="A605" s="180" t="str">
        <f>IF(Sandbox!BL46="","",Sandbox!BL46)</f>
        <v/>
      </c>
      <c r="B605" s="30" t="str">
        <f>IF(BoonRef!P147="None","No","Yes")</f>
        <v>No</v>
      </c>
    </row>
    <row r="606" spans="1:2" x14ac:dyDescent="0.25">
      <c r="A606" s="180" t="str">
        <f>IF(Sandbox!BL47="","",Sandbox!BL47)</f>
        <v/>
      </c>
      <c r="B606" s="30" t="str">
        <f>IF(BoonRef!P148="None","No","Yes")</f>
        <v>No</v>
      </c>
    </row>
    <row r="607" spans="1:2" x14ac:dyDescent="0.25">
      <c r="A607" s="180" t="str">
        <f>IF(Sandbox!BL48="","",Sandbox!BL48)</f>
        <v/>
      </c>
      <c r="B607" s="30" t="str">
        <f>IF(BoonRef!P149="None","No","Yes")</f>
        <v>No</v>
      </c>
    </row>
    <row r="608" spans="1:2" x14ac:dyDescent="0.25">
      <c r="A608" s="180" t="str">
        <f>IF(Sandbox!BL49="","",Sandbox!BL49)</f>
        <v/>
      </c>
      <c r="B608" s="30" t="str">
        <f>IF(BoonRef!P150="None","No","Yes")</f>
        <v>No</v>
      </c>
    </row>
    <row r="609" spans="1:2" x14ac:dyDescent="0.25">
      <c r="A609" s="180" t="str">
        <f>IF(Sandbox!BL50="","",Sandbox!BL50)</f>
        <v/>
      </c>
      <c r="B609" s="30" t="str">
        <f>IF(BoonRef!P151="None","No","Yes")</f>
        <v>No</v>
      </c>
    </row>
    <row r="610" spans="1:2" x14ac:dyDescent="0.25">
      <c r="A610" s="180" t="str">
        <f>IF(Sandbox!BL51="","",Sandbox!BL51)</f>
        <v/>
      </c>
      <c r="B610" s="30" t="str">
        <f>IF(BoonRef!P152="None","No","Yes")</f>
        <v>No</v>
      </c>
    </row>
    <row r="611" spans="1:2" x14ac:dyDescent="0.25">
      <c r="A611" s="180" t="str">
        <f>IF(Sandbox!BL52="","",Sandbox!BL52)</f>
        <v/>
      </c>
      <c r="B611" s="30" t="str">
        <f>IF(BoonRef!P153="None","No","Yes")</f>
        <v>No</v>
      </c>
    </row>
    <row r="612" spans="1:2" x14ac:dyDescent="0.25">
      <c r="A612" s="180" t="str">
        <f>IF(Sandbox!BL53="","",Sandbox!BL53)</f>
        <v/>
      </c>
      <c r="B612" s="30" t="str">
        <f>IF(BoonRef!P154="None","No","Yes")</f>
        <v>No</v>
      </c>
    </row>
    <row r="613" spans="1:2" x14ac:dyDescent="0.25">
      <c r="A613" s="180" t="str">
        <f>IF(Sandbox!BL54="","",Sandbox!BL54)</f>
        <v/>
      </c>
      <c r="B613" s="30" t="str">
        <f>IF(BoonRef!P155="None","No","Yes")</f>
        <v>No</v>
      </c>
    </row>
    <row r="614" spans="1:2" ht="15.75" thickBot="1" x14ac:dyDescent="0.3">
      <c r="A614" s="181" t="str">
        <f>IF(Sandbox!BL55="","",Sandbox!BL55)</f>
        <v/>
      </c>
      <c r="B614" s="30" t="str">
        <f>IF(BoonRef!P156="None","No","Yes")</f>
        <v>No</v>
      </c>
    </row>
  </sheetData>
  <sheetProtection password="E9C2" sheet="1" objects="1" scenarios="1" selectLockedCells="1" selectUnlockedCells="1"/>
  <sortState ref="A2:B448">
    <sortCondition ref="A2:A448"/>
  </sortState>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sheetPr>
  <dimension ref="A1:CF192"/>
  <sheetViews>
    <sheetView view="pageBreakPreview" zoomScale="60" zoomScaleNormal="100" workbookViewId="0">
      <pane xSplit="3" ySplit="1" topLeftCell="D2" activePane="bottomRight" state="frozen"/>
      <selection sqref="A1:E1048576"/>
      <selection pane="topRight" sqref="A1:E1048576"/>
      <selection pane="bottomLeft" sqref="A1:E1048576"/>
      <selection pane="bottomRight" activeCell="CF1" sqref="A1:CF1048576"/>
    </sheetView>
  </sheetViews>
  <sheetFormatPr defaultRowHeight="15" x14ac:dyDescent="0.25"/>
  <cols>
    <col min="1" max="1" width="32.140625" style="149" hidden="1" customWidth="1"/>
    <col min="2" max="2" width="14.85546875" style="149" hidden="1" customWidth="1"/>
    <col min="3" max="3" width="9.140625" style="143" hidden="1" customWidth="1"/>
    <col min="4" max="4" width="8.5703125" style="149" hidden="1" customWidth="1"/>
    <col min="5" max="5" width="9.28515625" style="149" hidden="1" customWidth="1"/>
    <col min="6" max="6" width="8.140625" style="149" hidden="1" customWidth="1"/>
    <col min="7" max="7" width="9.140625" style="149" hidden="1" customWidth="1"/>
    <col min="8" max="8" width="13.140625" style="149" hidden="1" customWidth="1"/>
    <col min="9" max="9" width="11.5703125" style="149" hidden="1" customWidth="1"/>
    <col min="10" max="10" width="10.7109375" style="149" hidden="1" customWidth="1"/>
    <col min="11" max="11" width="11.5703125" style="149" hidden="1" customWidth="1"/>
    <col min="12" max="12" width="5.140625" style="149" hidden="1" customWidth="1"/>
    <col min="13" max="13" width="7.42578125" style="149" hidden="1" customWidth="1"/>
    <col min="14" max="14" width="13.5703125" style="149" hidden="1" customWidth="1"/>
    <col min="15" max="15" width="9.7109375" style="149" hidden="1" customWidth="1"/>
    <col min="16" max="16" width="10.42578125" style="149" hidden="1" customWidth="1"/>
    <col min="17" max="17" width="10.28515625" style="149" hidden="1" customWidth="1"/>
    <col min="18" max="18" width="7.85546875" style="149" hidden="1" customWidth="1"/>
    <col min="19" max="19" width="6.42578125" style="149" hidden="1" customWidth="1"/>
    <col min="20" max="20" width="11" style="149" hidden="1" customWidth="1"/>
    <col min="21" max="21" width="8" style="149" hidden="1" customWidth="1"/>
    <col min="22" max="22" width="9.28515625" style="149" hidden="1" customWidth="1"/>
    <col min="23" max="23" width="8" style="149" hidden="1" customWidth="1"/>
    <col min="24" max="24" width="9.28515625" style="149" hidden="1" customWidth="1"/>
    <col min="25" max="25" width="8" style="149" hidden="1" customWidth="1"/>
    <col min="26" max="26" width="9.28515625" style="149" hidden="1" customWidth="1"/>
    <col min="27" max="27" width="8" style="149" hidden="1" customWidth="1"/>
    <col min="28" max="28" width="9.28515625" style="149" hidden="1" customWidth="1"/>
    <col min="29" max="29" width="6.85546875" style="149" hidden="1" customWidth="1"/>
    <col min="30" max="30" width="39.7109375" style="257" hidden="1" customWidth="1"/>
    <col min="31" max="31" width="45.7109375" style="257" hidden="1" customWidth="1"/>
    <col min="32" max="32" width="30.7109375" style="257" hidden="1" customWidth="1"/>
    <col min="33" max="33" width="10" style="149" hidden="1" customWidth="1"/>
    <col min="34" max="34" width="8.7109375" style="149" hidden="1" customWidth="1"/>
    <col min="35" max="35" width="8.140625" style="149" hidden="1" customWidth="1"/>
    <col min="36" max="36" width="8.42578125" style="149" hidden="1" customWidth="1"/>
    <col min="37" max="37" width="6.5703125" style="149" hidden="1" customWidth="1"/>
    <col min="38" max="38" width="6.42578125" style="149" hidden="1" customWidth="1"/>
    <col min="39" max="39" width="10" style="149" hidden="1" customWidth="1"/>
    <col min="40" max="40" width="8.7109375" style="149" hidden="1" customWidth="1"/>
    <col min="41" max="41" width="8.140625" style="149" hidden="1" customWidth="1"/>
    <col min="42" max="42" width="8.42578125" style="149" hidden="1" customWidth="1"/>
    <col min="43" max="43" width="6.5703125" style="149" hidden="1" customWidth="1"/>
    <col min="44" max="44" width="6.42578125" style="149" hidden="1" customWidth="1"/>
    <col min="45" max="45" width="10" style="149" hidden="1" customWidth="1"/>
    <col min="46" max="46" width="8.7109375" style="149" hidden="1" customWidth="1"/>
    <col min="47" max="47" width="8.140625" style="149" hidden="1" customWidth="1"/>
    <col min="48" max="48" width="8.42578125" style="149" hidden="1" customWidth="1"/>
    <col min="49" max="49" width="6.5703125" style="149" hidden="1" customWidth="1"/>
    <col min="50" max="50" width="6.42578125" style="149" hidden="1" customWidth="1"/>
    <col min="51" max="51" width="10" style="149" hidden="1" customWidth="1"/>
    <col min="52" max="52" width="8.7109375" style="149" hidden="1" customWidth="1"/>
    <col min="53" max="53" width="8.140625" style="149" hidden="1" customWidth="1"/>
    <col min="54" max="54" width="8.42578125" style="149" hidden="1" customWidth="1"/>
    <col min="55" max="55" width="6.5703125" style="149" hidden="1" customWidth="1"/>
    <col min="56" max="56" width="6.42578125" style="149" hidden="1" customWidth="1"/>
    <col min="57" max="57" width="10" style="149" hidden="1" customWidth="1"/>
    <col min="58" max="58" width="8.7109375" style="149" hidden="1" customWidth="1"/>
    <col min="59" max="59" width="8.140625" style="149" hidden="1" customWidth="1"/>
    <col min="60" max="60" width="8.42578125" style="149" hidden="1" customWidth="1"/>
    <col min="61" max="61" width="6.5703125" style="149" hidden="1" customWidth="1"/>
    <col min="62" max="62" width="6.42578125" style="149" hidden="1" customWidth="1"/>
    <col min="63" max="63" width="10" style="149" hidden="1" customWidth="1"/>
    <col min="64" max="64" width="8.7109375" style="149" hidden="1" customWidth="1"/>
    <col min="65" max="65" width="8.140625" style="149" hidden="1" customWidth="1"/>
    <col min="66" max="66" width="8.42578125" style="149" hidden="1" customWidth="1"/>
    <col min="67" max="67" width="6.5703125" style="149" hidden="1" customWidth="1"/>
    <col min="68" max="68" width="6.42578125" style="149" hidden="1" customWidth="1"/>
    <col min="69" max="69" width="10" style="149" hidden="1" customWidth="1"/>
    <col min="70" max="70" width="8.7109375" style="149" hidden="1" customWidth="1"/>
    <col min="71" max="71" width="8.140625" style="149" hidden="1" customWidth="1"/>
    <col min="72" max="72" width="8.42578125" style="149" hidden="1" customWidth="1"/>
    <col min="73" max="73" width="6.5703125" style="149" hidden="1" customWidth="1"/>
    <col min="74" max="74" width="6.42578125" style="149" hidden="1" customWidth="1"/>
    <col min="75" max="77" width="9.140625" style="149" hidden="1" customWidth="1"/>
    <col min="78" max="78" width="32.140625" style="149" hidden="1" customWidth="1"/>
    <col min="79" max="79" width="18.140625" style="149" hidden="1" customWidth="1"/>
    <col min="80" max="80" width="28.42578125" style="149" hidden="1" customWidth="1"/>
    <col min="81" max="81" width="31" style="149" hidden="1" customWidth="1"/>
    <col min="82" max="83" width="31.140625" style="149" hidden="1" customWidth="1"/>
    <col min="84" max="84" width="9.85546875" style="149" hidden="1" customWidth="1"/>
    <col min="85" max="16384" width="9.140625" style="149"/>
  </cols>
  <sheetData>
    <row r="1" spans="1:84" s="148" customFormat="1" x14ac:dyDescent="0.25">
      <c r="A1" s="147" t="s">
        <v>77</v>
      </c>
      <c r="B1" s="147" t="s">
        <v>75</v>
      </c>
      <c r="D1" s="147" t="s">
        <v>30</v>
      </c>
      <c r="E1" s="147" t="s">
        <v>13</v>
      </c>
      <c r="F1" s="147" t="s">
        <v>14</v>
      </c>
      <c r="G1" s="147" t="s">
        <v>16</v>
      </c>
      <c r="H1" s="147" t="s">
        <v>17</v>
      </c>
      <c r="I1" s="147" t="s">
        <v>18</v>
      </c>
      <c r="J1" s="147" t="s">
        <v>19</v>
      </c>
      <c r="K1" s="147" t="s">
        <v>20</v>
      </c>
      <c r="L1" s="147" t="s">
        <v>21</v>
      </c>
      <c r="M1" s="147" t="s">
        <v>60</v>
      </c>
      <c r="N1" s="147" t="s">
        <v>902</v>
      </c>
      <c r="O1" s="147" t="s">
        <v>93</v>
      </c>
      <c r="P1" s="147" t="s">
        <v>83</v>
      </c>
      <c r="Q1" s="147" t="s">
        <v>95</v>
      </c>
      <c r="R1" s="147" t="s">
        <v>88</v>
      </c>
      <c r="S1" s="147" t="s">
        <v>89</v>
      </c>
      <c r="T1" s="147" t="s">
        <v>90</v>
      </c>
      <c r="U1" s="147" t="s">
        <v>150</v>
      </c>
      <c r="V1" s="147" t="s">
        <v>1808</v>
      </c>
      <c r="W1" s="147" t="s">
        <v>151</v>
      </c>
      <c r="X1" s="147" t="s">
        <v>1809</v>
      </c>
      <c r="Y1" s="147" t="s">
        <v>152</v>
      </c>
      <c r="Z1" s="147" t="s">
        <v>1810</v>
      </c>
      <c r="AA1" s="147" t="s">
        <v>153</v>
      </c>
      <c r="AB1" s="147" t="s">
        <v>1811</v>
      </c>
      <c r="AC1" s="147" t="s">
        <v>108</v>
      </c>
      <c r="AD1" s="255" t="s">
        <v>69</v>
      </c>
      <c r="AE1" s="255" t="s">
        <v>1812</v>
      </c>
      <c r="AF1" s="255" t="s">
        <v>1813</v>
      </c>
      <c r="AG1" s="147" t="s">
        <v>1795</v>
      </c>
      <c r="AH1" s="147" t="s">
        <v>117</v>
      </c>
      <c r="AI1" s="147" t="s">
        <v>118</v>
      </c>
      <c r="AJ1" s="147" t="s">
        <v>905</v>
      </c>
      <c r="AK1" s="147" t="s">
        <v>124</v>
      </c>
      <c r="AL1" s="147" t="s">
        <v>121</v>
      </c>
      <c r="AM1" s="147" t="s">
        <v>1796</v>
      </c>
      <c r="AN1" s="147" t="s">
        <v>117</v>
      </c>
      <c r="AO1" s="147" t="s">
        <v>118</v>
      </c>
      <c r="AP1" s="147" t="s">
        <v>905</v>
      </c>
      <c r="AQ1" s="147" t="s">
        <v>124</v>
      </c>
      <c r="AR1" s="147" t="s">
        <v>121</v>
      </c>
      <c r="AS1" s="147" t="s">
        <v>1797</v>
      </c>
      <c r="AT1" s="147" t="s">
        <v>117</v>
      </c>
      <c r="AU1" s="147" t="s">
        <v>118</v>
      </c>
      <c r="AV1" s="147" t="s">
        <v>905</v>
      </c>
      <c r="AW1" s="147" t="s">
        <v>124</v>
      </c>
      <c r="AX1" s="147" t="s">
        <v>121</v>
      </c>
      <c r="AY1" s="147" t="s">
        <v>1798</v>
      </c>
      <c r="AZ1" s="147" t="s">
        <v>117</v>
      </c>
      <c r="BA1" s="147" t="s">
        <v>118</v>
      </c>
      <c r="BB1" s="147" t="s">
        <v>905</v>
      </c>
      <c r="BC1" s="147" t="s">
        <v>124</v>
      </c>
      <c r="BD1" s="147" t="s">
        <v>121</v>
      </c>
      <c r="BE1" s="147" t="s">
        <v>1799</v>
      </c>
      <c r="BF1" s="147" t="s">
        <v>117</v>
      </c>
      <c r="BG1" s="147" t="s">
        <v>118</v>
      </c>
      <c r="BH1" s="147" t="s">
        <v>905</v>
      </c>
      <c r="BI1" s="147" t="s">
        <v>124</v>
      </c>
      <c r="BJ1" s="147" t="s">
        <v>121</v>
      </c>
      <c r="BK1" s="147" t="s">
        <v>1800</v>
      </c>
      <c r="BL1" s="147" t="s">
        <v>117</v>
      </c>
      <c r="BM1" s="147" t="s">
        <v>118</v>
      </c>
      <c r="BN1" s="147" t="s">
        <v>905</v>
      </c>
      <c r="BO1" s="147" t="s">
        <v>124</v>
      </c>
      <c r="BP1" s="147" t="s">
        <v>121</v>
      </c>
      <c r="BQ1" s="147" t="s">
        <v>1801</v>
      </c>
      <c r="BR1" s="147" t="s">
        <v>117</v>
      </c>
      <c r="BS1" s="147" t="s">
        <v>118</v>
      </c>
      <c r="BT1" s="147" t="s">
        <v>905</v>
      </c>
      <c r="BU1" s="147" t="s">
        <v>124</v>
      </c>
      <c r="BV1" s="147" t="s">
        <v>121</v>
      </c>
      <c r="BZ1" s="148" t="s">
        <v>2303</v>
      </c>
      <c r="CA1" s="148" t="s">
        <v>2247</v>
      </c>
      <c r="CB1" s="148" t="s">
        <v>2246</v>
      </c>
      <c r="CC1" s="148" t="s">
        <v>2245</v>
      </c>
      <c r="CD1" s="148" t="s">
        <v>2244</v>
      </c>
      <c r="CE1" s="148" t="s">
        <v>2243</v>
      </c>
      <c r="CF1" s="148" t="s">
        <v>2302</v>
      </c>
    </row>
    <row r="2" spans="1:84" x14ac:dyDescent="0.25">
      <c r="A2" s="208" t="s">
        <v>1992</v>
      </c>
      <c r="B2" s="208" t="s">
        <v>2238</v>
      </c>
      <c r="D2" s="208">
        <v>4</v>
      </c>
      <c r="E2" s="208">
        <v>3</v>
      </c>
      <c r="F2" s="208">
        <v>4</v>
      </c>
      <c r="G2" s="208">
        <v>0</v>
      </c>
      <c r="H2" s="208">
        <v>0</v>
      </c>
      <c r="I2" s="208">
        <v>1</v>
      </c>
      <c r="J2" s="208">
        <v>2</v>
      </c>
      <c r="K2" s="208">
        <v>2</v>
      </c>
      <c r="L2" s="208">
        <v>3</v>
      </c>
      <c r="M2" s="208">
        <v>0</v>
      </c>
      <c r="N2" s="208">
        <v>0</v>
      </c>
      <c r="O2" s="208">
        <v>3</v>
      </c>
      <c r="P2" s="208">
        <v>4</v>
      </c>
      <c r="Q2" s="208">
        <v>6</v>
      </c>
      <c r="R2" s="208">
        <v>4</v>
      </c>
      <c r="S2" s="208">
        <v>2</v>
      </c>
      <c r="T2" s="208">
        <v>0</v>
      </c>
      <c r="U2" s="209" t="s">
        <v>816</v>
      </c>
      <c r="V2" s="209" t="s">
        <v>816</v>
      </c>
      <c r="W2" s="209" t="s">
        <v>816</v>
      </c>
      <c r="X2" s="209" t="s">
        <v>816</v>
      </c>
      <c r="Y2" s="209" t="s">
        <v>816</v>
      </c>
      <c r="Z2" s="209" t="s">
        <v>816</v>
      </c>
      <c r="AA2" s="209" t="s">
        <v>816</v>
      </c>
      <c r="AB2" s="209" t="s">
        <v>816</v>
      </c>
      <c r="AC2" s="209" t="s">
        <v>1831</v>
      </c>
      <c r="AD2" s="256" t="s">
        <v>2008</v>
      </c>
      <c r="AE2" s="256" t="s">
        <v>494</v>
      </c>
      <c r="AF2" s="256" t="s">
        <v>494</v>
      </c>
      <c r="AG2" s="208" t="s">
        <v>1974</v>
      </c>
      <c r="AH2" s="208">
        <v>6</v>
      </c>
      <c r="AI2" s="208" t="s">
        <v>1879</v>
      </c>
      <c r="AJ2" s="209" t="s">
        <v>816</v>
      </c>
      <c r="AK2" s="208">
        <v>5</v>
      </c>
      <c r="AL2" s="209" t="s">
        <v>816</v>
      </c>
      <c r="AM2" s="208" t="s">
        <v>702</v>
      </c>
      <c r="AN2" s="208">
        <v>8</v>
      </c>
      <c r="AO2" s="208" t="s">
        <v>1878</v>
      </c>
      <c r="AP2" s="209" t="s">
        <v>816</v>
      </c>
      <c r="AQ2" s="208">
        <v>5</v>
      </c>
      <c r="AR2" s="209" t="s">
        <v>816</v>
      </c>
      <c r="AS2" s="209" t="s">
        <v>816</v>
      </c>
      <c r="AT2" s="209" t="s">
        <v>816</v>
      </c>
      <c r="AU2" s="209" t="s">
        <v>816</v>
      </c>
      <c r="AV2" s="209" t="s">
        <v>816</v>
      </c>
      <c r="AW2" s="209" t="s">
        <v>816</v>
      </c>
      <c r="AX2" s="209" t="s">
        <v>816</v>
      </c>
      <c r="AY2" s="209" t="s">
        <v>816</v>
      </c>
      <c r="AZ2" s="209" t="s">
        <v>816</v>
      </c>
      <c r="BA2" s="209" t="s">
        <v>816</v>
      </c>
      <c r="BB2" s="209" t="s">
        <v>816</v>
      </c>
      <c r="BC2" s="209" t="s">
        <v>816</v>
      </c>
      <c r="BD2" s="209" t="s">
        <v>816</v>
      </c>
      <c r="BE2" s="209" t="s">
        <v>816</v>
      </c>
      <c r="BF2" s="209" t="s">
        <v>816</v>
      </c>
      <c r="BG2" s="209" t="s">
        <v>816</v>
      </c>
      <c r="BH2" s="209" t="s">
        <v>816</v>
      </c>
      <c r="BI2" s="209" t="s">
        <v>816</v>
      </c>
      <c r="BJ2" s="209" t="s">
        <v>816</v>
      </c>
      <c r="BK2" s="209" t="s">
        <v>816</v>
      </c>
      <c r="BL2" s="209" t="s">
        <v>816</v>
      </c>
      <c r="BM2" s="209" t="s">
        <v>816</v>
      </c>
      <c r="BN2" s="209" t="s">
        <v>816</v>
      </c>
      <c r="BO2" s="209" t="s">
        <v>816</v>
      </c>
      <c r="BP2" s="209" t="s">
        <v>816</v>
      </c>
      <c r="BQ2" s="209" t="s">
        <v>816</v>
      </c>
      <c r="BR2" s="209" t="s">
        <v>816</v>
      </c>
      <c r="BS2" s="209" t="s">
        <v>816</v>
      </c>
      <c r="BT2" s="209" t="s">
        <v>816</v>
      </c>
      <c r="BU2" s="209" t="s">
        <v>816</v>
      </c>
      <c r="BV2" s="209" t="s">
        <v>816</v>
      </c>
      <c r="BZ2" s="150" t="s">
        <v>2304</v>
      </c>
      <c r="CA2" s="149" t="s">
        <v>1827</v>
      </c>
      <c r="CB2" s="149" t="s">
        <v>1853</v>
      </c>
      <c r="CC2" s="149" t="s">
        <v>1898</v>
      </c>
      <c r="CD2" s="149" t="str">
        <f>IF('House Rules'!B4="Available","Terracotta Warrior","")</f>
        <v>Terracotta Warrior</v>
      </c>
      <c r="CE2" s="149" t="str">
        <f>IF('House Rules'!B4="Available","10 Anauša (Modern)","")</f>
        <v>10 Anauša (Modern)</v>
      </c>
      <c r="CF2" s="149" t="str">
        <f>IF(Sandbox!$AA$4="","",Sandbox!$AA$4)</f>
        <v/>
      </c>
    </row>
    <row r="3" spans="1:84" x14ac:dyDescent="0.25">
      <c r="A3" s="149" t="s">
        <v>1994</v>
      </c>
      <c r="B3" s="149" t="s">
        <v>2238</v>
      </c>
      <c r="D3" s="149">
        <v>1</v>
      </c>
      <c r="E3" s="149">
        <v>3</v>
      </c>
      <c r="F3" s="149">
        <v>1</v>
      </c>
      <c r="G3" s="149">
        <v>0</v>
      </c>
      <c r="H3" s="149">
        <v>0</v>
      </c>
      <c r="I3" s="177" t="s">
        <v>819</v>
      </c>
      <c r="J3" s="149">
        <v>2</v>
      </c>
      <c r="K3" s="149">
        <v>1</v>
      </c>
      <c r="L3" s="149">
        <v>3</v>
      </c>
      <c r="M3" s="149">
        <v>0</v>
      </c>
      <c r="N3" s="149">
        <v>0</v>
      </c>
      <c r="O3" s="149">
        <v>3</v>
      </c>
      <c r="P3" s="149">
        <v>3</v>
      </c>
      <c r="Q3" s="149">
        <v>6</v>
      </c>
      <c r="R3" s="149">
        <v>1</v>
      </c>
      <c r="S3" s="149">
        <v>0</v>
      </c>
      <c r="T3" s="149">
        <v>0</v>
      </c>
      <c r="U3" s="209" t="s">
        <v>816</v>
      </c>
      <c r="V3" s="209" t="s">
        <v>816</v>
      </c>
      <c r="W3" s="209" t="s">
        <v>816</v>
      </c>
      <c r="X3" s="209" t="s">
        <v>816</v>
      </c>
      <c r="Y3" s="209" t="s">
        <v>816</v>
      </c>
      <c r="Z3" s="209" t="s">
        <v>816</v>
      </c>
      <c r="AA3" s="209" t="s">
        <v>816</v>
      </c>
      <c r="AB3" s="209" t="s">
        <v>816</v>
      </c>
      <c r="AC3" s="150" t="s">
        <v>2012</v>
      </c>
      <c r="AD3" s="257" t="s">
        <v>2013</v>
      </c>
      <c r="AE3" s="257" t="s">
        <v>494</v>
      </c>
      <c r="AF3" s="257" t="s">
        <v>2016</v>
      </c>
      <c r="AG3" s="149" t="s">
        <v>2014</v>
      </c>
      <c r="AH3" s="149">
        <v>4</v>
      </c>
      <c r="AI3" s="149" t="s">
        <v>2015</v>
      </c>
      <c r="AJ3" s="150" t="s">
        <v>816</v>
      </c>
      <c r="AK3" s="149">
        <v>6</v>
      </c>
      <c r="AL3" s="150" t="s">
        <v>816</v>
      </c>
      <c r="AM3" s="209" t="s">
        <v>816</v>
      </c>
      <c r="AN3" s="209" t="s">
        <v>816</v>
      </c>
      <c r="AO3" s="209" t="s">
        <v>816</v>
      </c>
      <c r="AP3" s="209" t="s">
        <v>816</v>
      </c>
      <c r="AQ3" s="209" t="s">
        <v>816</v>
      </c>
      <c r="AR3" s="209" t="s">
        <v>816</v>
      </c>
      <c r="AS3" s="209" t="s">
        <v>816</v>
      </c>
      <c r="AT3" s="209" t="s">
        <v>816</v>
      </c>
      <c r="AU3" s="209" t="s">
        <v>816</v>
      </c>
      <c r="AV3" s="209" t="s">
        <v>816</v>
      </c>
      <c r="AW3" s="209" t="s">
        <v>816</v>
      </c>
      <c r="AX3" s="209" t="s">
        <v>816</v>
      </c>
      <c r="AY3" s="209" t="s">
        <v>816</v>
      </c>
      <c r="AZ3" s="209" t="s">
        <v>816</v>
      </c>
      <c r="BA3" s="209" t="s">
        <v>816</v>
      </c>
      <c r="BB3" s="209" t="s">
        <v>816</v>
      </c>
      <c r="BC3" s="209" t="s">
        <v>816</v>
      </c>
      <c r="BD3" s="209" t="s">
        <v>816</v>
      </c>
      <c r="BE3" s="209" t="s">
        <v>816</v>
      </c>
      <c r="BF3" s="209" t="s">
        <v>816</v>
      </c>
      <c r="BG3" s="209" t="s">
        <v>816</v>
      </c>
      <c r="BH3" s="209" t="s">
        <v>816</v>
      </c>
      <c r="BI3" s="209" t="s">
        <v>816</v>
      </c>
      <c r="BJ3" s="209" t="s">
        <v>816</v>
      </c>
      <c r="BK3" s="209" t="s">
        <v>816</v>
      </c>
      <c r="BL3" s="209" t="s">
        <v>816</v>
      </c>
      <c r="BM3" s="209" t="s">
        <v>816</v>
      </c>
      <c r="BN3" s="209" t="s">
        <v>816</v>
      </c>
      <c r="BO3" s="209" t="s">
        <v>816</v>
      </c>
      <c r="BP3" s="209" t="s">
        <v>816</v>
      </c>
      <c r="BQ3" s="209" t="s">
        <v>816</v>
      </c>
      <c r="BR3" s="209" t="s">
        <v>816</v>
      </c>
      <c r="BS3" s="209" t="s">
        <v>816</v>
      </c>
      <c r="BT3" s="209" t="s">
        <v>816</v>
      </c>
      <c r="BU3" s="209" t="s">
        <v>816</v>
      </c>
      <c r="BV3" s="209" t="s">
        <v>816</v>
      </c>
      <c r="BZ3" s="208" t="s">
        <v>1992</v>
      </c>
      <c r="CA3" s="149" t="s">
        <v>1852</v>
      </c>
      <c r="CB3" s="149" t="s">
        <v>1925</v>
      </c>
      <c r="CC3" s="149" t="s">
        <v>1894</v>
      </c>
      <c r="CD3" s="149" t="s">
        <v>1881</v>
      </c>
      <c r="CE3" s="149" t="s">
        <v>1931</v>
      </c>
      <c r="CF3" s="149" t="str">
        <f>IF(Sandbox!$AA$23="","",Sandbox!$AA$23)</f>
        <v/>
      </c>
    </row>
    <row r="4" spans="1:84" x14ac:dyDescent="0.25">
      <c r="A4" s="149" t="s">
        <v>1998</v>
      </c>
      <c r="B4" s="149" t="s">
        <v>2238</v>
      </c>
      <c r="D4" s="149">
        <v>1</v>
      </c>
      <c r="E4" s="149">
        <v>3</v>
      </c>
      <c r="F4" s="149">
        <v>2</v>
      </c>
      <c r="G4" s="149">
        <v>0</v>
      </c>
      <c r="H4" s="149">
        <v>0</v>
      </c>
      <c r="I4" s="149">
        <v>1</v>
      </c>
      <c r="J4" s="149">
        <v>3</v>
      </c>
      <c r="K4" s="149">
        <v>1</v>
      </c>
      <c r="L4" s="149">
        <v>3</v>
      </c>
      <c r="M4" s="149">
        <v>0</v>
      </c>
      <c r="N4" s="149">
        <v>0</v>
      </c>
      <c r="O4" s="149">
        <v>3</v>
      </c>
      <c r="P4" s="149">
        <v>3</v>
      </c>
      <c r="Q4" s="149">
        <v>6</v>
      </c>
      <c r="R4" s="149">
        <v>1</v>
      </c>
      <c r="S4" s="149">
        <v>0</v>
      </c>
      <c r="T4" s="149">
        <v>0</v>
      </c>
      <c r="U4" s="209" t="s">
        <v>816</v>
      </c>
      <c r="V4" s="209" t="s">
        <v>816</v>
      </c>
      <c r="W4" s="209" t="s">
        <v>816</v>
      </c>
      <c r="X4" s="209" t="s">
        <v>816</v>
      </c>
      <c r="Y4" s="209" t="s">
        <v>816</v>
      </c>
      <c r="Z4" s="209" t="s">
        <v>816</v>
      </c>
      <c r="AA4" s="209" t="s">
        <v>816</v>
      </c>
      <c r="AB4" s="209" t="s">
        <v>816</v>
      </c>
      <c r="AC4" s="150" t="s">
        <v>2022</v>
      </c>
      <c r="AD4" s="257" t="s">
        <v>2023</v>
      </c>
      <c r="AE4" s="257" t="s">
        <v>494</v>
      </c>
      <c r="AF4" s="257" t="s">
        <v>494</v>
      </c>
      <c r="AG4" s="149" t="s">
        <v>2011</v>
      </c>
      <c r="AH4" s="149">
        <v>4</v>
      </c>
      <c r="AI4" s="149" t="s">
        <v>2024</v>
      </c>
      <c r="AJ4" s="150" t="s">
        <v>816</v>
      </c>
      <c r="AK4" s="149">
        <v>5</v>
      </c>
      <c r="AL4" s="150" t="s">
        <v>816</v>
      </c>
      <c r="AM4" s="209" t="s">
        <v>816</v>
      </c>
      <c r="AN4" s="209" t="s">
        <v>816</v>
      </c>
      <c r="AO4" s="209" t="s">
        <v>816</v>
      </c>
      <c r="AP4" s="209" t="s">
        <v>816</v>
      </c>
      <c r="AQ4" s="209" t="s">
        <v>816</v>
      </c>
      <c r="AR4" s="209" t="s">
        <v>816</v>
      </c>
      <c r="AS4" s="209" t="s">
        <v>816</v>
      </c>
      <c r="AT4" s="209" t="s">
        <v>816</v>
      </c>
      <c r="AU4" s="209" t="s">
        <v>816</v>
      </c>
      <c r="AV4" s="209" t="s">
        <v>816</v>
      </c>
      <c r="AW4" s="209" t="s">
        <v>816</v>
      </c>
      <c r="AX4" s="209" t="s">
        <v>816</v>
      </c>
      <c r="AY4" s="209" t="s">
        <v>816</v>
      </c>
      <c r="AZ4" s="209" t="s">
        <v>816</v>
      </c>
      <c r="BA4" s="209" t="s">
        <v>816</v>
      </c>
      <c r="BB4" s="209" t="s">
        <v>816</v>
      </c>
      <c r="BC4" s="209" t="s">
        <v>816</v>
      </c>
      <c r="BD4" s="209" t="s">
        <v>816</v>
      </c>
      <c r="BE4" s="209" t="s">
        <v>816</v>
      </c>
      <c r="BF4" s="209" t="s">
        <v>816</v>
      </c>
      <c r="BG4" s="209" t="s">
        <v>816</v>
      </c>
      <c r="BH4" s="209" t="s">
        <v>816</v>
      </c>
      <c r="BI4" s="209" t="s">
        <v>816</v>
      </c>
      <c r="BJ4" s="209" t="s">
        <v>816</v>
      </c>
      <c r="BK4" s="209" t="s">
        <v>816</v>
      </c>
      <c r="BL4" s="209" t="s">
        <v>816</v>
      </c>
      <c r="BM4" s="209" t="s">
        <v>816</v>
      </c>
      <c r="BN4" s="209" t="s">
        <v>816</v>
      </c>
      <c r="BO4" s="209" t="s">
        <v>816</v>
      </c>
      <c r="BP4" s="209" t="s">
        <v>816</v>
      </c>
      <c r="BQ4" s="209" t="s">
        <v>816</v>
      </c>
      <c r="BR4" s="209" t="s">
        <v>816</v>
      </c>
      <c r="BS4" s="209" t="s">
        <v>816</v>
      </c>
      <c r="BT4" s="209" t="s">
        <v>816</v>
      </c>
      <c r="BU4" s="209" t="s">
        <v>816</v>
      </c>
      <c r="BV4" s="209" t="s">
        <v>816</v>
      </c>
      <c r="BZ4" s="149" t="s">
        <v>1993</v>
      </c>
      <c r="CA4" s="149" t="s">
        <v>1924</v>
      </c>
      <c r="CB4" s="149" t="s">
        <v>1836</v>
      </c>
      <c r="CC4" s="149" t="s">
        <v>1890</v>
      </c>
      <c r="CD4" s="149" t="str">
        <f>IF('House Rules'!B4="Available","10 Anauša (Medieval)","")</f>
        <v>10 Anauša (Medieval)</v>
      </c>
      <c r="CE4" s="149" t="s">
        <v>1933</v>
      </c>
      <c r="CF4" s="149" t="str">
        <f>IF(Sandbox!$AA$42="","",Sandbox!$AA$42)</f>
        <v/>
      </c>
    </row>
    <row r="5" spans="1:84" x14ac:dyDescent="0.25">
      <c r="A5" s="149" t="s">
        <v>1999</v>
      </c>
      <c r="B5" s="149" t="s">
        <v>2238</v>
      </c>
      <c r="D5" s="149">
        <v>2</v>
      </c>
      <c r="E5" s="149">
        <v>3</v>
      </c>
      <c r="F5" s="149">
        <v>2</v>
      </c>
      <c r="G5" s="149">
        <v>0</v>
      </c>
      <c r="H5" s="149">
        <v>0</v>
      </c>
      <c r="I5" s="149">
        <v>2</v>
      </c>
      <c r="J5" s="149">
        <v>2</v>
      </c>
      <c r="K5" s="149">
        <v>1</v>
      </c>
      <c r="L5" s="149">
        <v>3</v>
      </c>
      <c r="M5" s="149">
        <v>0</v>
      </c>
      <c r="N5" s="149">
        <v>0</v>
      </c>
      <c r="O5" s="149">
        <v>3</v>
      </c>
      <c r="P5" s="149">
        <v>3</v>
      </c>
      <c r="Q5" s="149">
        <v>6</v>
      </c>
      <c r="R5" s="149">
        <v>2</v>
      </c>
      <c r="S5" s="149">
        <v>0</v>
      </c>
      <c r="T5" s="149">
        <v>0</v>
      </c>
      <c r="U5" s="209" t="s">
        <v>816</v>
      </c>
      <c r="V5" s="209" t="s">
        <v>816</v>
      </c>
      <c r="W5" s="209" t="s">
        <v>816</v>
      </c>
      <c r="X5" s="209" t="s">
        <v>816</v>
      </c>
      <c r="Y5" s="209" t="s">
        <v>816</v>
      </c>
      <c r="Z5" s="209" t="s">
        <v>816</v>
      </c>
      <c r="AA5" s="209" t="s">
        <v>816</v>
      </c>
      <c r="AB5" s="209" t="s">
        <v>816</v>
      </c>
      <c r="AC5" s="150" t="s">
        <v>2025</v>
      </c>
      <c r="AD5" s="257" t="s">
        <v>2026</v>
      </c>
      <c r="AE5" s="257" t="s">
        <v>494</v>
      </c>
      <c r="AF5" s="257" t="s">
        <v>2307</v>
      </c>
      <c r="AG5" s="149" t="s">
        <v>1974</v>
      </c>
      <c r="AH5" s="149">
        <v>6</v>
      </c>
      <c r="AI5" s="149" t="s">
        <v>2027</v>
      </c>
      <c r="AJ5" s="150" t="s">
        <v>816</v>
      </c>
      <c r="AK5" s="149">
        <v>4</v>
      </c>
      <c r="AL5" s="150" t="s">
        <v>816</v>
      </c>
      <c r="AM5" s="149" t="s">
        <v>2028</v>
      </c>
      <c r="AN5" s="149">
        <v>6</v>
      </c>
      <c r="AO5" s="149" t="s">
        <v>2029</v>
      </c>
      <c r="AP5" s="150" t="s">
        <v>816</v>
      </c>
      <c r="AQ5" s="149">
        <v>4</v>
      </c>
      <c r="AR5" s="150" t="s">
        <v>2030</v>
      </c>
      <c r="AS5" s="209" t="s">
        <v>816</v>
      </c>
      <c r="AT5" s="209" t="s">
        <v>816</v>
      </c>
      <c r="AU5" s="209" t="s">
        <v>816</v>
      </c>
      <c r="AV5" s="209" t="s">
        <v>816</v>
      </c>
      <c r="AW5" s="209" t="s">
        <v>816</v>
      </c>
      <c r="AX5" s="209" t="s">
        <v>816</v>
      </c>
      <c r="AY5" s="209" t="s">
        <v>816</v>
      </c>
      <c r="AZ5" s="209" t="s">
        <v>816</v>
      </c>
      <c r="BA5" s="209" t="s">
        <v>816</v>
      </c>
      <c r="BB5" s="209" t="s">
        <v>816</v>
      </c>
      <c r="BC5" s="209" t="s">
        <v>816</v>
      </c>
      <c r="BD5" s="209" t="s">
        <v>816</v>
      </c>
      <c r="BE5" s="209" t="s">
        <v>816</v>
      </c>
      <c r="BF5" s="209" t="s">
        <v>816</v>
      </c>
      <c r="BG5" s="209" t="s">
        <v>816</v>
      </c>
      <c r="BH5" s="209" t="s">
        <v>816</v>
      </c>
      <c r="BI5" s="209" t="s">
        <v>816</v>
      </c>
      <c r="BJ5" s="209" t="s">
        <v>816</v>
      </c>
      <c r="BK5" s="209" t="s">
        <v>816</v>
      </c>
      <c r="BL5" s="209" t="s">
        <v>816</v>
      </c>
      <c r="BM5" s="209" t="s">
        <v>816</v>
      </c>
      <c r="BN5" s="209" t="s">
        <v>816</v>
      </c>
      <c r="BO5" s="209" t="s">
        <v>816</v>
      </c>
      <c r="BP5" s="209" t="s">
        <v>816</v>
      </c>
      <c r="BQ5" s="209" t="s">
        <v>816</v>
      </c>
      <c r="BR5" s="209" t="s">
        <v>816</v>
      </c>
      <c r="BS5" s="209" t="s">
        <v>816</v>
      </c>
      <c r="BT5" s="209" t="s">
        <v>816</v>
      </c>
      <c r="BU5" s="209" t="s">
        <v>816</v>
      </c>
      <c r="BV5" s="209" t="s">
        <v>816</v>
      </c>
      <c r="BZ5" s="149" t="s">
        <v>1995</v>
      </c>
      <c r="CA5" s="149" t="s">
        <v>1835</v>
      </c>
      <c r="CB5" s="149" t="s">
        <v>2194</v>
      </c>
      <c r="CC5" s="149" t="s">
        <v>1910</v>
      </c>
      <c r="CD5" s="149" t="s">
        <v>1884</v>
      </c>
      <c r="CE5" s="149" t="str">
        <f>IF('House Rules'!B4="Available","10 Horsefaces/Oxheads","")</f>
        <v>10 Horsefaces/Oxheads</v>
      </c>
      <c r="CF5" s="149" t="str">
        <f>IF(Sandbox!$AM$4="","",Sandbox!$AM$4)</f>
        <v/>
      </c>
    </row>
    <row r="6" spans="1:84" x14ac:dyDescent="0.25">
      <c r="A6" s="149" t="s">
        <v>2001</v>
      </c>
      <c r="B6" s="149" t="s">
        <v>2238</v>
      </c>
      <c r="D6" s="149">
        <v>3</v>
      </c>
      <c r="E6" s="149">
        <v>3</v>
      </c>
      <c r="F6" s="149">
        <v>3</v>
      </c>
      <c r="G6" s="149">
        <v>0</v>
      </c>
      <c r="H6" s="149">
        <v>0</v>
      </c>
      <c r="I6" s="149">
        <v>2</v>
      </c>
      <c r="J6" s="149">
        <v>2</v>
      </c>
      <c r="K6" s="149">
        <v>2</v>
      </c>
      <c r="L6" s="149">
        <v>3</v>
      </c>
      <c r="M6" s="149">
        <v>0</v>
      </c>
      <c r="N6" s="149">
        <v>0</v>
      </c>
      <c r="O6" s="149">
        <v>2</v>
      </c>
      <c r="P6" s="149">
        <v>3</v>
      </c>
      <c r="Q6" s="149">
        <v>6</v>
      </c>
      <c r="R6" s="149">
        <v>3</v>
      </c>
      <c r="S6" s="149">
        <v>0</v>
      </c>
      <c r="T6" s="149">
        <v>0</v>
      </c>
      <c r="U6" s="209" t="s">
        <v>816</v>
      </c>
      <c r="V6" s="209" t="s">
        <v>816</v>
      </c>
      <c r="W6" s="209" t="s">
        <v>816</v>
      </c>
      <c r="X6" s="209" t="s">
        <v>816</v>
      </c>
      <c r="Y6" s="209" t="s">
        <v>816</v>
      </c>
      <c r="Z6" s="209" t="s">
        <v>816</v>
      </c>
      <c r="AA6" s="209" t="s">
        <v>816</v>
      </c>
      <c r="AB6" s="209" t="s">
        <v>816</v>
      </c>
      <c r="AC6" s="150" t="s">
        <v>2033</v>
      </c>
      <c r="AD6" s="257" t="s">
        <v>2034</v>
      </c>
      <c r="AE6" s="257" t="s">
        <v>494</v>
      </c>
      <c r="AF6" s="257" t="s">
        <v>494</v>
      </c>
      <c r="AG6" s="149" t="s">
        <v>1974</v>
      </c>
      <c r="AH6" s="149">
        <v>5</v>
      </c>
      <c r="AI6" s="149" t="s">
        <v>1843</v>
      </c>
      <c r="AJ6" s="150" t="s">
        <v>816</v>
      </c>
      <c r="AK6" s="149">
        <v>5</v>
      </c>
      <c r="AL6" s="150" t="s">
        <v>816</v>
      </c>
      <c r="AM6" s="209" t="s">
        <v>816</v>
      </c>
      <c r="AN6" s="209" t="s">
        <v>816</v>
      </c>
      <c r="AO6" s="209" t="s">
        <v>816</v>
      </c>
      <c r="AP6" s="209" t="s">
        <v>816</v>
      </c>
      <c r="AQ6" s="209" t="s">
        <v>816</v>
      </c>
      <c r="AR6" s="209" t="s">
        <v>816</v>
      </c>
      <c r="AS6" s="209" t="s">
        <v>816</v>
      </c>
      <c r="AT6" s="209" t="s">
        <v>816</v>
      </c>
      <c r="AU6" s="209" t="s">
        <v>816</v>
      </c>
      <c r="AV6" s="209" t="s">
        <v>816</v>
      </c>
      <c r="AW6" s="209" t="s">
        <v>816</v>
      </c>
      <c r="AX6" s="209" t="s">
        <v>816</v>
      </c>
      <c r="AY6" s="209" t="s">
        <v>816</v>
      </c>
      <c r="AZ6" s="209" t="s">
        <v>816</v>
      </c>
      <c r="BA6" s="209" t="s">
        <v>816</v>
      </c>
      <c r="BB6" s="209" t="s">
        <v>816</v>
      </c>
      <c r="BC6" s="209" t="s">
        <v>816</v>
      </c>
      <c r="BD6" s="209" t="s">
        <v>816</v>
      </c>
      <c r="BE6" s="209" t="s">
        <v>816</v>
      </c>
      <c r="BF6" s="209" t="s">
        <v>816</v>
      </c>
      <c r="BG6" s="209" t="s">
        <v>816</v>
      </c>
      <c r="BH6" s="209" t="s">
        <v>816</v>
      </c>
      <c r="BI6" s="209" t="s">
        <v>816</v>
      </c>
      <c r="BJ6" s="209" t="s">
        <v>816</v>
      </c>
      <c r="BK6" s="209" t="s">
        <v>816</v>
      </c>
      <c r="BL6" s="209" t="s">
        <v>816</v>
      </c>
      <c r="BM6" s="209" t="s">
        <v>816</v>
      </c>
      <c r="BN6" s="209" t="s">
        <v>816</v>
      </c>
      <c r="BO6" s="209" t="s">
        <v>816</v>
      </c>
      <c r="BP6" s="209" t="s">
        <v>816</v>
      </c>
      <c r="BQ6" s="209" t="s">
        <v>816</v>
      </c>
      <c r="BR6" s="209" t="s">
        <v>816</v>
      </c>
      <c r="BS6" s="209" t="s">
        <v>816</v>
      </c>
      <c r="BT6" s="209" t="s">
        <v>816</v>
      </c>
      <c r="BU6" s="209" t="s">
        <v>816</v>
      </c>
      <c r="BV6" s="209" t="s">
        <v>816</v>
      </c>
      <c r="BZ6" s="149" t="s">
        <v>1994</v>
      </c>
      <c r="CA6" s="149" t="str">
        <f>IF('House Rules'!B4="Available","5 Sprites","")</f>
        <v>5 Sprites</v>
      </c>
      <c r="CB6" s="149" t="s">
        <v>1826</v>
      </c>
      <c r="CC6" s="149" t="s">
        <v>1906</v>
      </c>
      <c r="CD6" s="149" t="str">
        <f>IF('House Rules'!B4="Available","10 Fianna (Medieval)","")</f>
        <v>10 Fianna (Medieval)</v>
      </c>
      <c r="CE6" s="149" t="s">
        <v>1953</v>
      </c>
      <c r="CF6" s="149" t="str">
        <f>IF(Sandbox!$AM$23="","",Sandbox!$AM$23)</f>
        <v/>
      </c>
    </row>
    <row r="7" spans="1:84" x14ac:dyDescent="0.25">
      <c r="A7" s="149" t="s">
        <v>2004</v>
      </c>
      <c r="B7" s="149" t="s">
        <v>2238</v>
      </c>
      <c r="D7" s="149">
        <v>2</v>
      </c>
      <c r="E7" s="149">
        <v>2</v>
      </c>
      <c r="F7" s="149">
        <v>4</v>
      </c>
      <c r="G7" s="149">
        <v>2</v>
      </c>
      <c r="H7" s="149">
        <v>0</v>
      </c>
      <c r="I7" s="149">
        <v>0</v>
      </c>
      <c r="J7" s="149">
        <v>1</v>
      </c>
      <c r="K7" s="149">
        <v>3</v>
      </c>
      <c r="L7" s="149">
        <v>2</v>
      </c>
      <c r="M7" s="149">
        <v>3</v>
      </c>
      <c r="N7" s="149">
        <v>0</v>
      </c>
      <c r="O7" s="149">
        <v>4</v>
      </c>
      <c r="P7" s="149">
        <v>4</v>
      </c>
      <c r="Q7" s="149">
        <v>6</v>
      </c>
      <c r="R7" s="149">
        <v>2</v>
      </c>
      <c r="S7" s="149">
        <v>0</v>
      </c>
      <c r="T7" s="149">
        <v>0</v>
      </c>
      <c r="U7" s="209" t="s">
        <v>816</v>
      </c>
      <c r="V7" s="209" t="s">
        <v>816</v>
      </c>
      <c r="W7" s="209" t="s">
        <v>816</v>
      </c>
      <c r="X7" s="209" t="s">
        <v>816</v>
      </c>
      <c r="Y7" s="209" t="s">
        <v>816</v>
      </c>
      <c r="Z7" s="209" t="s">
        <v>816</v>
      </c>
      <c r="AA7" s="209" t="s">
        <v>816</v>
      </c>
      <c r="AB7" s="209" t="s">
        <v>816</v>
      </c>
      <c r="AC7" s="150" t="s">
        <v>2097</v>
      </c>
      <c r="AD7" s="257" t="s">
        <v>2098</v>
      </c>
      <c r="AE7" s="257" t="s">
        <v>494</v>
      </c>
      <c r="AF7" s="257" t="s">
        <v>494</v>
      </c>
      <c r="AG7" s="149" t="s">
        <v>1974</v>
      </c>
      <c r="AH7" s="149">
        <v>7</v>
      </c>
      <c r="AI7" s="149" t="s">
        <v>2024</v>
      </c>
      <c r="AJ7" s="150" t="s">
        <v>816</v>
      </c>
      <c r="AK7" s="149">
        <v>5</v>
      </c>
      <c r="AL7" s="150" t="s">
        <v>816</v>
      </c>
      <c r="AM7" s="209" t="s">
        <v>816</v>
      </c>
      <c r="AN7" s="209" t="s">
        <v>816</v>
      </c>
      <c r="AO7" s="209" t="s">
        <v>816</v>
      </c>
      <c r="AP7" s="209" t="s">
        <v>816</v>
      </c>
      <c r="AQ7" s="209" t="s">
        <v>816</v>
      </c>
      <c r="AR7" s="209" t="s">
        <v>816</v>
      </c>
      <c r="AS7" s="209" t="s">
        <v>816</v>
      </c>
      <c r="AT7" s="209" t="s">
        <v>816</v>
      </c>
      <c r="AU7" s="209" t="s">
        <v>816</v>
      </c>
      <c r="AV7" s="209" t="s">
        <v>816</v>
      </c>
      <c r="AW7" s="209" t="s">
        <v>816</v>
      </c>
      <c r="AX7" s="209" t="s">
        <v>816</v>
      </c>
      <c r="AY7" s="209" t="s">
        <v>816</v>
      </c>
      <c r="AZ7" s="209" t="s">
        <v>816</v>
      </c>
      <c r="BA7" s="209" t="s">
        <v>816</v>
      </c>
      <c r="BB7" s="209" t="s">
        <v>816</v>
      </c>
      <c r="BC7" s="209" t="s">
        <v>816</v>
      </c>
      <c r="BD7" s="209" t="s">
        <v>816</v>
      </c>
      <c r="BE7" s="209" t="s">
        <v>816</v>
      </c>
      <c r="BF7" s="209" t="s">
        <v>816</v>
      </c>
      <c r="BG7" s="209" t="s">
        <v>816</v>
      </c>
      <c r="BH7" s="209" t="s">
        <v>816</v>
      </c>
      <c r="BI7" s="209" t="s">
        <v>816</v>
      </c>
      <c r="BJ7" s="209" t="s">
        <v>816</v>
      </c>
      <c r="BK7" s="209" t="s">
        <v>816</v>
      </c>
      <c r="BL7" s="209" t="s">
        <v>816</v>
      </c>
      <c r="BM7" s="209" t="s">
        <v>816</v>
      </c>
      <c r="BN7" s="209" t="s">
        <v>816</v>
      </c>
      <c r="BO7" s="209" t="s">
        <v>816</v>
      </c>
      <c r="BP7" s="209" t="s">
        <v>816</v>
      </c>
      <c r="BQ7" s="209" t="s">
        <v>816</v>
      </c>
      <c r="BR7" s="209" t="s">
        <v>816</v>
      </c>
      <c r="BS7" s="209" t="s">
        <v>816</v>
      </c>
      <c r="BT7" s="209" t="s">
        <v>816</v>
      </c>
      <c r="BU7" s="209" t="s">
        <v>816</v>
      </c>
      <c r="BV7" s="209" t="s">
        <v>816</v>
      </c>
      <c r="BZ7" s="149" t="s">
        <v>1996</v>
      </c>
      <c r="CA7" s="149" t="str">
        <f>IF('House Rules'!B4="Available","Chaturanga - Ashva","")</f>
        <v>Chaturanga - Ashva</v>
      </c>
      <c r="CB7" s="149" t="s">
        <v>1897</v>
      </c>
      <c r="CC7" s="149" t="s">
        <v>1918</v>
      </c>
      <c r="CD7" s="149" t="str">
        <f>IF('House Rules'!B4="Available","10 Fianna (Modern)","")</f>
        <v>10 Fianna (Modern)</v>
      </c>
      <c r="CE7" s="149" t="s">
        <v>1882</v>
      </c>
      <c r="CF7" s="149" t="str">
        <f>IF(Sandbox!$AM$42="","",Sandbox!$AM$42)</f>
        <v/>
      </c>
    </row>
    <row r="8" spans="1:84" x14ac:dyDescent="0.25">
      <c r="A8" s="149" t="s">
        <v>2005</v>
      </c>
      <c r="B8" s="149" t="s">
        <v>2238</v>
      </c>
      <c r="D8" s="149">
        <v>1</v>
      </c>
      <c r="E8" s="149">
        <v>2</v>
      </c>
      <c r="F8" s="149">
        <v>1</v>
      </c>
      <c r="G8" s="149">
        <v>0</v>
      </c>
      <c r="H8" s="149">
        <v>0</v>
      </c>
      <c r="I8" s="149">
        <v>1</v>
      </c>
      <c r="J8" s="149">
        <v>2</v>
      </c>
      <c r="K8" s="149">
        <v>1</v>
      </c>
      <c r="L8" s="149">
        <v>2</v>
      </c>
      <c r="M8" s="149">
        <v>0</v>
      </c>
      <c r="N8" s="149">
        <v>0</v>
      </c>
      <c r="O8" s="149">
        <v>2</v>
      </c>
      <c r="P8" s="149">
        <v>3</v>
      </c>
      <c r="Q8" s="149">
        <v>4</v>
      </c>
      <c r="R8" s="149">
        <v>1</v>
      </c>
      <c r="S8" s="149">
        <v>0</v>
      </c>
      <c r="T8" s="149">
        <v>0</v>
      </c>
      <c r="U8" s="209" t="s">
        <v>816</v>
      </c>
      <c r="V8" s="209" t="s">
        <v>816</v>
      </c>
      <c r="W8" s="209" t="s">
        <v>816</v>
      </c>
      <c r="X8" s="209" t="s">
        <v>816</v>
      </c>
      <c r="Y8" s="209" t="s">
        <v>816</v>
      </c>
      <c r="Z8" s="209" t="s">
        <v>816</v>
      </c>
      <c r="AA8" s="209" t="s">
        <v>816</v>
      </c>
      <c r="AB8" s="209" t="s">
        <v>816</v>
      </c>
      <c r="AC8" s="150" t="s">
        <v>2012</v>
      </c>
      <c r="AD8" s="257" t="s">
        <v>2099</v>
      </c>
      <c r="AE8" s="257" t="s">
        <v>494</v>
      </c>
      <c r="AF8" s="257" t="s">
        <v>494</v>
      </c>
      <c r="AG8" s="149" t="s">
        <v>1974</v>
      </c>
      <c r="AH8" s="149">
        <v>4</v>
      </c>
      <c r="AI8" s="149" t="s">
        <v>2015</v>
      </c>
      <c r="AJ8" s="150" t="s">
        <v>816</v>
      </c>
      <c r="AK8" s="149">
        <v>5</v>
      </c>
      <c r="AL8" s="150" t="s">
        <v>816</v>
      </c>
      <c r="AM8" s="209" t="s">
        <v>816</v>
      </c>
      <c r="AN8" s="209" t="s">
        <v>816</v>
      </c>
      <c r="AO8" s="209" t="s">
        <v>816</v>
      </c>
      <c r="AP8" s="209" t="s">
        <v>816</v>
      </c>
      <c r="AQ8" s="209" t="s">
        <v>816</v>
      </c>
      <c r="AR8" s="209" t="s">
        <v>816</v>
      </c>
      <c r="AS8" s="209" t="s">
        <v>816</v>
      </c>
      <c r="AT8" s="209" t="s">
        <v>816</v>
      </c>
      <c r="AU8" s="209" t="s">
        <v>816</v>
      </c>
      <c r="AV8" s="209" t="s">
        <v>816</v>
      </c>
      <c r="AW8" s="209" t="s">
        <v>816</v>
      </c>
      <c r="AX8" s="209" t="s">
        <v>816</v>
      </c>
      <c r="AY8" s="209" t="s">
        <v>816</v>
      </c>
      <c r="AZ8" s="209" t="s">
        <v>816</v>
      </c>
      <c r="BA8" s="209" t="s">
        <v>816</v>
      </c>
      <c r="BB8" s="209" t="s">
        <v>816</v>
      </c>
      <c r="BC8" s="209" t="s">
        <v>816</v>
      </c>
      <c r="BD8" s="209" t="s">
        <v>816</v>
      </c>
      <c r="BE8" s="209" t="s">
        <v>816</v>
      </c>
      <c r="BF8" s="209" t="s">
        <v>816</v>
      </c>
      <c r="BG8" s="209" t="s">
        <v>816</v>
      </c>
      <c r="BH8" s="209" t="s">
        <v>816</v>
      </c>
      <c r="BI8" s="209" t="s">
        <v>816</v>
      </c>
      <c r="BJ8" s="209" t="s">
        <v>816</v>
      </c>
      <c r="BK8" s="209" t="s">
        <v>816</v>
      </c>
      <c r="BL8" s="209" t="s">
        <v>816</v>
      </c>
      <c r="BM8" s="209" t="s">
        <v>816</v>
      </c>
      <c r="BN8" s="209" t="s">
        <v>816</v>
      </c>
      <c r="BO8" s="209" t="s">
        <v>816</v>
      </c>
      <c r="BP8" s="209" t="s">
        <v>816</v>
      </c>
      <c r="BQ8" s="209" t="s">
        <v>816</v>
      </c>
      <c r="BR8" s="209" t="s">
        <v>816</v>
      </c>
      <c r="BS8" s="209" t="s">
        <v>816</v>
      </c>
      <c r="BT8" s="209" t="s">
        <v>816</v>
      </c>
      <c r="BU8" s="209" t="s">
        <v>816</v>
      </c>
      <c r="BV8" s="209" t="s">
        <v>816</v>
      </c>
      <c r="BZ8" s="149" t="s">
        <v>1997</v>
      </c>
      <c r="CA8" s="149" t="str">
        <f>IF('House Rules'!B4="Available","Chaturanga - Bhata","")</f>
        <v>Chaturanga - Bhata</v>
      </c>
      <c r="CB8" s="149" t="s">
        <v>1893</v>
      </c>
      <c r="CC8" s="149" t="s">
        <v>1914</v>
      </c>
      <c r="CD8" s="149" t="str">
        <f>IF('House Rules'!B4="Available","10 Ghilan","")</f>
        <v>10 Ghilan</v>
      </c>
      <c r="CE8" s="149" t="str">
        <f>IF('House Rules'!B4="Available","15 Anauša (Medieval)","")</f>
        <v>15 Anauša (Medieval)</v>
      </c>
    </row>
    <row r="9" spans="1:84" x14ac:dyDescent="0.25">
      <c r="A9" s="149" t="s">
        <v>2118</v>
      </c>
      <c r="B9" s="149" t="s">
        <v>2238</v>
      </c>
      <c r="D9" s="149">
        <v>1</v>
      </c>
      <c r="E9" s="149">
        <v>3</v>
      </c>
      <c r="F9" s="149">
        <v>2</v>
      </c>
      <c r="G9" s="149">
        <v>2</v>
      </c>
      <c r="H9" s="149">
        <v>1</v>
      </c>
      <c r="I9" s="149">
        <v>2</v>
      </c>
      <c r="J9" s="149">
        <v>2</v>
      </c>
      <c r="K9" s="149">
        <v>2</v>
      </c>
      <c r="L9" s="149">
        <v>2</v>
      </c>
      <c r="M9" s="149">
        <v>1</v>
      </c>
      <c r="N9" s="149">
        <v>1</v>
      </c>
      <c r="O9" s="149">
        <v>3</v>
      </c>
      <c r="P9" s="149">
        <v>5</v>
      </c>
      <c r="Q9" s="149">
        <v>4</v>
      </c>
      <c r="R9" s="149">
        <v>2</v>
      </c>
      <c r="S9" s="149">
        <v>1</v>
      </c>
      <c r="T9" s="149">
        <v>0</v>
      </c>
      <c r="U9" s="149" t="s">
        <v>167</v>
      </c>
      <c r="V9" s="149">
        <v>2</v>
      </c>
      <c r="W9" s="149" t="s">
        <v>169</v>
      </c>
      <c r="X9" s="149">
        <v>2</v>
      </c>
      <c r="Y9" s="149" t="s">
        <v>171</v>
      </c>
      <c r="Z9" s="149">
        <v>3</v>
      </c>
      <c r="AA9" s="149" t="s">
        <v>176</v>
      </c>
      <c r="AB9" s="149">
        <v>3</v>
      </c>
      <c r="AC9" s="150" t="s">
        <v>2122</v>
      </c>
      <c r="AD9" s="257" t="s">
        <v>2120</v>
      </c>
      <c r="AE9" s="257" t="s">
        <v>494</v>
      </c>
      <c r="AF9" s="257" t="s">
        <v>2121</v>
      </c>
      <c r="AG9" s="209" t="s">
        <v>816</v>
      </c>
      <c r="AH9" s="209" t="s">
        <v>816</v>
      </c>
      <c r="AI9" s="209" t="s">
        <v>816</v>
      </c>
      <c r="AJ9" s="209" t="s">
        <v>816</v>
      </c>
      <c r="AK9" s="209" t="s">
        <v>816</v>
      </c>
      <c r="AL9" s="209" t="s">
        <v>816</v>
      </c>
      <c r="AM9" s="209" t="s">
        <v>816</v>
      </c>
      <c r="AN9" s="209" t="s">
        <v>816</v>
      </c>
      <c r="AO9" s="209" t="s">
        <v>816</v>
      </c>
      <c r="AP9" s="209" t="s">
        <v>816</v>
      </c>
      <c r="AQ9" s="209" t="s">
        <v>816</v>
      </c>
      <c r="AR9" s="209" t="s">
        <v>816</v>
      </c>
      <c r="AS9" s="209" t="s">
        <v>816</v>
      </c>
      <c r="AT9" s="209" t="s">
        <v>816</v>
      </c>
      <c r="AU9" s="209" t="s">
        <v>816</v>
      </c>
      <c r="AV9" s="209" t="s">
        <v>816</v>
      </c>
      <c r="AW9" s="209" t="s">
        <v>816</v>
      </c>
      <c r="AX9" s="209" t="s">
        <v>816</v>
      </c>
      <c r="AY9" s="209" t="s">
        <v>816</v>
      </c>
      <c r="AZ9" s="209" t="s">
        <v>816</v>
      </c>
      <c r="BA9" s="209" t="s">
        <v>816</v>
      </c>
      <c r="BB9" s="209" t="s">
        <v>816</v>
      </c>
      <c r="BC9" s="209" t="s">
        <v>816</v>
      </c>
      <c r="BD9" s="209" t="s">
        <v>816</v>
      </c>
      <c r="BE9" s="209" t="s">
        <v>816</v>
      </c>
      <c r="BF9" s="209" t="s">
        <v>816</v>
      </c>
      <c r="BG9" s="209" t="s">
        <v>816</v>
      </c>
      <c r="BH9" s="209" t="s">
        <v>816</v>
      </c>
      <c r="BI9" s="209" t="s">
        <v>816</v>
      </c>
      <c r="BJ9" s="209" t="s">
        <v>816</v>
      </c>
      <c r="BK9" s="209" t="s">
        <v>816</v>
      </c>
      <c r="BL9" s="209" t="s">
        <v>816</v>
      </c>
      <c r="BM9" s="209" t="s">
        <v>816</v>
      </c>
      <c r="BN9" s="209" t="s">
        <v>816</v>
      </c>
      <c r="BO9" s="209" t="s">
        <v>816</v>
      </c>
      <c r="BP9" s="209" t="s">
        <v>816</v>
      </c>
      <c r="BQ9" s="209" t="s">
        <v>816</v>
      </c>
      <c r="BR9" s="209" t="s">
        <v>816</v>
      </c>
      <c r="BS9" s="209" t="s">
        <v>816</v>
      </c>
      <c r="BT9" s="209" t="s">
        <v>816</v>
      </c>
      <c r="BU9" s="209" t="s">
        <v>816</v>
      </c>
      <c r="BV9" s="209" t="s">
        <v>816</v>
      </c>
      <c r="BZ9" s="149" t="s">
        <v>1998</v>
      </c>
      <c r="CA9" s="149" t="str">
        <f>IF('House Rules'!B4="Available","Chaturanga - Gaja","")</f>
        <v>Chaturanga - Gaja</v>
      </c>
      <c r="CB9" s="149" t="s">
        <v>1889</v>
      </c>
      <c r="CC9" s="149" t="s">
        <v>1849</v>
      </c>
      <c r="CD9" s="149" t="str">
        <f>IF('House Rules'!B4="Available","10 Red Branch Knights (Medieval)","")</f>
        <v>10 Red Branch Knights (Medieval)</v>
      </c>
      <c r="CE9" s="149" t="s">
        <v>1885</v>
      </c>
    </row>
    <row r="10" spans="1:84" x14ac:dyDescent="0.25">
      <c r="A10" s="149" t="s">
        <v>1827</v>
      </c>
      <c r="B10" s="149" t="s">
        <v>2247</v>
      </c>
      <c r="D10" s="149">
        <v>2</v>
      </c>
      <c r="E10" s="149">
        <v>2</v>
      </c>
      <c r="F10" s="149">
        <v>2</v>
      </c>
      <c r="G10" s="149">
        <v>2</v>
      </c>
      <c r="H10" s="149">
        <v>2</v>
      </c>
      <c r="I10" s="149">
        <v>2</v>
      </c>
      <c r="J10" s="149">
        <v>2</v>
      </c>
      <c r="K10" s="149">
        <v>2</v>
      </c>
      <c r="L10" s="149">
        <v>2</v>
      </c>
      <c r="M10" s="149">
        <v>0</v>
      </c>
      <c r="N10" s="149">
        <v>0</v>
      </c>
      <c r="O10" s="149">
        <v>1</v>
      </c>
      <c r="P10" s="149">
        <v>4</v>
      </c>
      <c r="Q10" s="149">
        <v>3</v>
      </c>
      <c r="R10" s="149">
        <v>2</v>
      </c>
      <c r="S10" s="149">
        <v>0</v>
      </c>
      <c r="T10" s="149">
        <v>0</v>
      </c>
      <c r="U10" s="209" t="s">
        <v>816</v>
      </c>
      <c r="V10" s="209" t="s">
        <v>816</v>
      </c>
      <c r="W10" s="209" t="s">
        <v>816</v>
      </c>
      <c r="X10" s="209" t="s">
        <v>816</v>
      </c>
      <c r="Y10" s="209" t="s">
        <v>816</v>
      </c>
      <c r="Z10" s="209" t="s">
        <v>816</v>
      </c>
      <c r="AA10" s="209" t="s">
        <v>816</v>
      </c>
      <c r="AB10" s="209" t="s">
        <v>816</v>
      </c>
      <c r="AC10" s="150" t="s">
        <v>1831</v>
      </c>
      <c r="AD10" s="257" t="s">
        <v>1832</v>
      </c>
      <c r="AE10" s="257" t="s">
        <v>494</v>
      </c>
      <c r="AF10" s="257" t="s">
        <v>494</v>
      </c>
      <c r="AG10" s="149" t="s">
        <v>702</v>
      </c>
      <c r="AH10" s="149">
        <v>3</v>
      </c>
      <c r="AI10" s="149" t="s">
        <v>1833</v>
      </c>
      <c r="AJ10" s="150" t="s">
        <v>816</v>
      </c>
      <c r="AK10" s="149">
        <v>6</v>
      </c>
      <c r="AL10" s="150" t="s">
        <v>816</v>
      </c>
      <c r="AM10" s="149" t="s">
        <v>720</v>
      </c>
      <c r="AN10" s="149">
        <v>2</v>
      </c>
      <c r="AO10" s="149" t="s">
        <v>1834</v>
      </c>
      <c r="AP10" s="149">
        <v>0</v>
      </c>
      <c r="AQ10" s="149">
        <v>5</v>
      </c>
      <c r="AR10" s="150" t="s">
        <v>816</v>
      </c>
      <c r="AS10" s="149" t="s">
        <v>721</v>
      </c>
      <c r="AT10" s="149">
        <v>4</v>
      </c>
      <c r="AU10" s="149" t="s">
        <v>1833</v>
      </c>
      <c r="AV10" s="149">
        <v>2</v>
      </c>
      <c r="AW10" s="149">
        <v>4</v>
      </c>
      <c r="AX10" s="150" t="s">
        <v>816</v>
      </c>
      <c r="AY10" s="209" t="s">
        <v>816</v>
      </c>
      <c r="AZ10" s="209" t="s">
        <v>816</v>
      </c>
      <c r="BA10" s="209" t="s">
        <v>816</v>
      </c>
      <c r="BB10" s="209" t="s">
        <v>816</v>
      </c>
      <c r="BC10" s="209" t="s">
        <v>816</v>
      </c>
      <c r="BD10" s="209" t="s">
        <v>816</v>
      </c>
      <c r="BE10" s="209" t="s">
        <v>816</v>
      </c>
      <c r="BF10" s="209" t="s">
        <v>816</v>
      </c>
      <c r="BG10" s="209" t="s">
        <v>816</v>
      </c>
      <c r="BH10" s="209" t="s">
        <v>816</v>
      </c>
      <c r="BI10" s="209" t="s">
        <v>816</v>
      </c>
      <c r="BJ10" s="209" t="s">
        <v>816</v>
      </c>
      <c r="BK10" s="209" t="s">
        <v>816</v>
      </c>
      <c r="BL10" s="209" t="s">
        <v>816</v>
      </c>
      <c r="BM10" s="209" t="s">
        <v>816</v>
      </c>
      <c r="BN10" s="209" t="s">
        <v>816</v>
      </c>
      <c r="BO10" s="209" t="s">
        <v>816</v>
      </c>
      <c r="BP10" s="209" t="s">
        <v>816</v>
      </c>
      <c r="BQ10" s="209" t="s">
        <v>816</v>
      </c>
      <c r="BR10" s="209" t="s">
        <v>816</v>
      </c>
      <c r="BS10" s="209" t="s">
        <v>816</v>
      </c>
      <c r="BT10" s="209" t="s">
        <v>816</v>
      </c>
      <c r="BU10" s="209" t="s">
        <v>816</v>
      </c>
      <c r="BV10" s="209" t="s">
        <v>816</v>
      </c>
      <c r="BZ10" s="149" t="s">
        <v>1999</v>
      </c>
      <c r="CB10" s="149" t="s">
        <v>1909</v>
      </c>
      <c r="CC10" s="149" t="s">
        <v>1943</v>
      </c>
      <c r="CD10" s="197" t="str">
        <f>IF('House Rules'!B4="Available","10 Red Branch Knights (Modern)","")</f>
        <v>10 Red Branch Knights (Modern)</v>
      </c>
      <c r="CE10" s="149" t="str">
        <f>IF('House Rules'!B4="Available","15 Fianna (Medieval)","")</f>
        <v>15 Fianna (Medieval)</v>
      </c>
    </row>
    <row r="11" spans="1:84" x14ac:dyDescent="0.25">
      <c r="A11" s="149" t="s">
        <v>1852</v>
      </c>
      <c r="B11" s="149" t="s">
        <v>2247</v>
      </c>
      <c r="D11" s="149">
        <v>2</v>
      </c>
      <c r="E11" s="149">
        <v>3</v>
      </c>
      <c r="F11" s="149">
        <v>2</v>
      </c>
      <c r="G11" s="149">
        <v>2</v>
      </c>
      <c r="H11" s="149">
        <v>2</v>
      </c>
      <c r="I11" s="149">
        <v>2</v>
      </c>
      <c r="J11" s="149">
        <v>2</v>
      </c>
      <c r="K11" s="149">
        <v>2</v>
      </c>
      <c r="L11" s="149">
        <v>2</v>
      </c>
      <c r="M11" s="149">
        <v>0</v>
      </c>
      <c r="N11" s="149">
        <v>0</v>
      </c>
      <c r="O11" s="149">
        <v>2</v>
      </c>
      <c r="P11" s="149">
        <v>4</v>
      </c>
      <c r="Q11" s="149">
        <v>4</v>
      </c>
      <c r="R11" s="149">
        <v>4</v>
      </c>
      <c r="S11" s="149">
        <v>2</v>
      </c>
      <c r="T11" s="149">
        <v>2</v>
      </c>
      <c r="U11" s="209" t="s">
        <v>816</v>
      </c>
      <c r="V11" s="209" t="s">
        <v>816</v>
      </c>
      <c r="W11" s="209" t="s">
        <v>816</v>
      </c>
      <c r="X11" s="209" t="s">
        <v>816</v>
      </c>
      <c r="Y11" s="209" t="s">
        <v>816</v>
      </c>
      <c r="Z11" s="209" t="s">
        <v>816</v>
      </c>
      <c r="AA11" s="209" t="s">
        <v>816</v>
      </c>
      <c r="AB11" s="209" t="s">
        <v>816</v>
      </c>
      <c r="AC11" s="150" t="s">
        <v>1831</v>
      </c>
      <c r="AD11" s="257" t="s">
        <v>1857</v>
      </c>
      <c r="AE11" s="257" t="s">
        <v>494</v>
      </c>
      <c r="AF11" s="257" t="s">
        <v>1901</v>
      </c>
      <c r="AG11" s="149" t="s">
        <v>702</v>
      </c>
      <c r="AH11" s="149">
        <v>5</v>
      </c>
      <c r="AI11" s="149" t="s">
        <v>1833</v>
      </c>
      <c r="AJ11" s="150" t="s">
        <v>816</v>
      </c>
      <c r="AK11" s="149">
        <v>6</v>
      </c>
      <c r="AL11" s="150" t="s">
        <v>816</v>
      </c>
      <c r="AM11" s="149" t="s">
        <v>720</v>
      </c>
      <c r="AN11" s="149">
        <v>4</v>
      </c>
      <c r="AO11" s="149" t="s">
        <v>1834</v>
      </c>
      <c r="AP11" s="149">
        <v>1</v>
      </c>
      <c r="AQ11" s="149">
        <v>5</v>
      </c>
      <c r="AR11" s="150" t="s">
        <v>816</v>
      </c>
      <c r="AS11" s="149" t="s">
        <v>721</v>
      </c>
      <c r="AT11" s="149">
        <v>6</v>
      </c>
      <c r="AU11" s="149" t="s">
        <v>1833</v>
      </c>
      <c r="AV11" s="149">
        <v>3</v>
      </c>
      <c r="AW11" s="149">
        <v>4</v>
      </c>
      <c r="AX11" s="150" t="s">
        <v>816</v>
      </c>
      <c r="AY11" s="150" t="s">
        <v>1858</v>
      </c>
      <c r="AZ11" s="149">
        <v>5</v>
      </c>
      <c r="BA11" s="149" t="s">
        <v>1859</v>
      </c>
      <c r="BB11" s="150">
        <v>2</v>
      </c>
      <c r="BC11" s="149">
        <v>4</v>
      </c>
      <c r="BD11" s="150" t="s">
        <v>816</v>
      </c>
      <c r="BE11" s="149" t="s">
        <v>732</v>
      </c>
      <c r="BF11" s="149">
        <v>7</v>
      </c>
      <c r="BG11" s="149" t="s">
        <v>1843</v>
      </c>
      <c r="BH11" s="150" t="s">
        <v>816</v>
      </c>
      <c r="BI11" s="149">
        <v>4</v>
      </c>
      <c r="BJ11" s="150">
        <v>20</v>
      </c>
      <c r="BK11" s="209" t="s">
        <v>816</v>
      </c>
      <c r="BL11" s="209" t="s">
        <v>816</v>
      </c>
      <c r="BM11" s="209" t="s">
        <v>816</v>
      </c>
      <c r="BN11" s="209" t="s">
        <v>816</v>
      </c>
      <c r="BO11" s="209" t="s">
        <v>816</v>
      </c>
      <c r="BP11" s="209" t="s">
        <v>816</v>
      </c>
      <c r="BQ11" s="209" t="s">
        <v>816</v>
      </c>
      <c r="BR11" s="209" t="s">
        <v>816</v>
      </c>
      <c r="BS11" s="209" t="s">
        <v>816</v>
      </c>
      <c r="BT11" s="209" t="s">
        <v>816</v>
      </c>
      <c r="BU11" s="209" t="s">
        <v>816</v>
      </c>
      <c r="BV11" s="209" t="s">
        <v>816</v>
      </c>
      <c r="BZ11" s="149" t="s">
        <v>2000</v>
      </c>
      <c r="CB11" s="149" t="s">
        <v>1905</v>
      </c>
      <c r="CC11" s="149" t="s">
        <v>1960</v>
      </c>
      <c r="CD11" s="149" t="s">
        <v>1887</v>
      </c>
      <c r="CE11" s="149" t="str">
        <f>IF('House Rules'!B4="Available","15 Fianna (Modern)","")</f>
        <v>15 Fianna (Modern)</v>
      </c>
    </row>
    <row r="12" spans="1:84" x14ac:dyDescent="0.25">
      <c r="A12" s="149" t="s">
        <v>1924</v>
      </c>
      <c r="B12" s="149" t="s">
        <v>2247</v>
      </c>
      <c r="D12" s="149">
        <v>2</v>
      </c>
      <c r="E12" s="149">
        <v>2</v>
      </c>
      <c r="F12" s="149">
        <v>2</v>
      </c>
      <c r="G12" s="149">
        <v>2</v>
      </c>
      <c r="H12" s="149">
        <v>2</v>
      </c>
      <c r="I12" s="149">
        <v>2</v>
      </c>
      <c r="J12" s="149">
        <v>2</v>
      </c>
      <c r="K12" s="149">
        <v>2</v>
      </c>
      <c r="L12" s="149">
        <v>2</v>
      </c>
      <c r="M12" s="149">
        <v>0</v>
      </c>
      <c r="N12" s="149">
        <v>0</v>
      </c>
      <c r="O12" s="149">
        <v>1</v>
      </c>
      <c r="P12" s="149">
        <v>6</v>
      </c>
      <c r="Q12" s="149">
        <v>3</v>
      </c>
      <c r="R12" s="149">
        <v>2</v>
      </c>
      <c r="S12" s="149">
        <v>0</v>
      </c>
      <c r="T12" s="149">
        <v>0</v>
      </c>
      <c r="U12" s="149" t="s">
        <v>169</v>
      </c>
      <c r="V12" s="149">
        <v>2</v>
      </c>
      <c r="W12" s="149" t="s">
        <v>171</v>
      </c>
      <c r="X12" s="149">
        <v>2</v>
      </c>
      <c r="Y12" s="149" t="s">
        <v>176</v>
      </c>
      <c r="Z12" s="149">
        <v>4</v>
      </c>
      <c r="AA12" s="149" t="s">
        <v>173</v>
      </c>
      <c r="AB12" s="149">
        <v>1</v>
      </c>
      <c r="AC12" s="150" t="s">
        <v>1831</v>
      </c>
      <c r="AD12" s="257" t="s">
        <v>1832</v>
      </c>
      <c r="AE12" s="258" t="s">
        <v>1929</v>
      </c>
      <c r="AF12" s="257" t="s">
        <v>494</v>
      </c>
      <c r="AG12" s="149" t="s">
        <v>702</v>
      </c>
      <c r="AH12" s="149">
        <v>3</v>
      </c>
      <c r="AI12" s="149" t="s">
        <v>1833</v>
      </c>
      <c r="AJ12" s="150" t="s">
        <v>816</v>
      </c>
      <c r="AK12" s="149">
        <v>6</v>
      </c>
      <c r="AL12" s="150" t="s">
        <v>816</v>
      </c>
      <c r="AM12" s="149" t="s">
        <v>720</v>
      </c>
      <c r="AN12" s="149">
        <v>2</v>
      </c>
      <c r="AO12" s="149" t="s">
        <v>1834</v>
      </c>
      <c r="AP12" s="149">
        <v>0</v>
      </c>
      <c r="AQ12" s="149">
        <v>5</v>
      </c>
      <c r="AR12" s="150" t="s">
        <v>816</v>
      </c>
      <c r="AS12" s="149" t="s">
        <v>721</v>
      </c>
      <c r="AT12" s="149">
        <v>4</v>
      </c>
      <c r="AU12" s="149" t="s">
        <v>1833</v>
      </c>
      <c r="AV12" s="149">
        <v>2</v>
      </c>
      <c r="AW12" s="149">
        <v>4</v>
      </c>
      <c r="AX12" s="150" t="s">
        <v>816</v>
      </c>
      <c r="AY12" s="209" t="s">
        <v>816</v>
      </c>
      <c r="AZ12" s="209" t="s">
        <v>816</v>
      </c>
      <c r="BA12" s="209" t="s">
        <v>816</v>
      </c>
      <c r="BB12" s="209" t="s">
        <v>816</v>
      </c>
      <c r="BC12" s="209" t="s">
        <v>816</v>
      </c>
      <c r="BD12" s="209" t="s">
        <v>816</v>
      </c>
      <c r="BE12" s="209" t="s">
        <v>816</v>
      </c>
      <c r="BF12" s="209" t="s">
        <v>816</v>
      </c>
      <c r="BG12" s="209" t="s">
        <v>816</v>
      </c>
      <c r="BH12" s="209" t="s">
        <v>816</v>
      </c>
      <c r="BI12" s="209" t="s">
        <v>816</v>
      </c>
      <c r="BJ12" s="209" t="s">
        <v>816</v>
      </c>
      <c r="BK12" s="209" t="s">
        <v>816</v>
      </c>
      <c r="BL12" s="209" t="s">
        <v>816</v>
      </c>
      <c r="BM12" s="209" t="s">
        <v>816</v>
      </c>
      <c r="BN12" s="209" t="s">
        <v>816</v>
      </c>
      <c r="BO12" s="209" t="s">
        <v>816</v>
      </c>
      <c r="BP12" s="209" t="s">
        <v>816</v>
      </c>
      <c r="BQ12" s="209" t="s">
        <v>816</v>
      </c>
      <c r="BR12" s="209" t="s">
        <v>816</v>
      </c>
      <c r="BS12" s="209" t="s">
        <v>816</v>
      </c>
      <c r="BT12" s="209" t="s">
        <v>816</v>
      </c>
      <c r="BU12" s="209" t="s">
        <v>816</v>
      </c>
      <c r="BV12" s="209" t="s">
        <v>816</v>
      </c>
      <c r="BZ12" s="149" t="s">
        <v>2001</v>
      </c>
      <c r="CB12" s="149" t="s">
        <v>1917</v>
      </c>
      <c r="CC12" s="149" t="s">
        <v>1845</v>
      </c>
      <c r="CD12" s="149" t="s">
        <v>1956</v>
      </c>
      <c r="CE12" s="149" t="str">
        <f>IF('House Rules'!B4="Available","15 Ghilan","")</f>
        <v>15 Ghilan</v>
      </c>
    </row>
    <row r="13" spans="1:84" x14ac:dyDescent="0.25">
      <c r="A13" s="149" t="s">
        <v>1835</v>
      </c>
      <c r="B13" s="149" t="s">
        <v>2247</v>
      </c>
      <c r="D13" s="149">
        <v>2</v>
      </c>
      <c r="E13" s="149">
        <v>3</v>
      </c>
      <c r="F13" s="149">
        <v>2</v>
      </c>
      <c r="G13" s="149">
        <v>2</v>
      </c>
      <c r="H13" s="149">
        <v>2</v>
      </c>
      <c r="I13" s="149">
        <v>2</v>
      </c>
      <c r="J13" s="149">
        <v>2</v>
      </c>
      <c r="K13" s="149">
        <v>2</v>
      </c>
      <c r="L13" s="149">
        <v>2</v>
      </c>
      <c r="M13" s="149">
        <v>0</v>
      </c>
      <c r="N13" s="149">
        <v>0</v>
      </c>
      <c r="O13" s="149">
        <v>2</v>
      </c>
      <c r="P13" s="149">
        <v>4</v>
      </c>
      <c r="Q13" s="149">
        <v>4</v>
      </c>
      <c r="R13" s="149">
        <v>4</v>
      </c>
      <c r="S13" s="149">
        <v>0</v>
      </c>
      <c r="T13" s="149">
        <v>0</v>
      </c>
      <c r="U13" s="209" t="s">
        <v>816</v>
      </c>
      <c r="V13" s="209" t="s">
        <v>816</v>
      </c>
      <c r="W13" s="209" t="s">
        <v>816</v>
      </c>
      <c r="X13" s="209" t="s">
        <v>816</v>
      </c>
      <c r="Y13" s="209" t="s">
        <v>816</v>
      </c>
      <c r="Z13" s="209" t="s">
        <v>816</v>
      </c>
      <c r="AA13" s="209" t="s">
        <v>816</v>
      </c>
      <c r="AB13" s="209" t="s">
        <v>816</v>
      </c>
      <c r="AC13" s="150" t="s">
        <v>1831</v>
      </c>
      <c r="AD13" s="257" t="s">
        <v>1840</v>
      </c>
      <c r="AE13" s="257" t="s">
        <v>494</v>
      </c>
      <c r="AF13" s="257" t="s">
        <v>494</v>
      </c>
      <c r="AG13" s="149" t="s">
        <v>702</v>
      </c>
      <c r="AH13" s="149">
        <v>5</v>
      </c>
      <c r="AI13" s="149" t="s">
        <v>1833</v>
      </c>
      <c r="AJ13" s="150" t="s">
        <v>816</v>
      </c>
      <c r="AK13" s="149">
        <v>6</v>
      </c>
      <c r="AL13" s="150" t="s">
        <v>816</v>
      </c>
      <c r="AM13" s="149" t="s">
        <v>720</v>
      </c>
      <c r="AN13" s="149">
        <v>4</v>
      </c>
      <c r="AO13" s="149" t="s">
        <v>1834</v>
      </c>
      <c r="AP13" s="149">
        <v>1</v>
      </c>
      <c r="AQ13" s="149">
        <v>5</v>
      </c>
      <c r="AR13" s="150" t="s">
        <v>816</v>
      </c>
      <c r="AS13" s="149" t="s">
        <v>721</v>
      </c>
      <c r="AT13" s="149">
        <v>6</v>
      </c>
      <c r="AU13" s="149" t="s">
        <v>1833</v>
      </c>
      <c r="AV13" s="149">
        <v>3</v>
      </c>
      <c r="AW13" s="149">
        <v>4</v>
      </c>
      <c r="AX13" s="150" t="s">
        <v>816</v>
      </c>
      <c r="AY13" s="150" t="s">
        <v>1841</v>
      </c>
      <c r="AZ13" s="149">
        <v>5</v>
      </c>
      <c r="BA13" s="149" t="s">
        <v>1843</v>
      </c>
      <c r="BB13" s="150" t="s">
        <v>816</v>
      </c>
      <c r="BC13" s="149">
        <v>4</v>
      </c>
      <c r="BD13" s="149">
        <v>20</v>
      </c>
      <c r="BE13" s="149" t="s">
        <v>1842</v>
      </c>
      <c r="BF13" s="149">
        <v>5</v>
      </c>
      <c r="BG13" s="149" t="s">
        <v>1843</v>
      </c>
      <c r="BH13" s="149">
        <v>2</v>
      </c>
      <c r="BI13" s="149">
        <v>4</v>
      </c>
      <c r="BJ13" s="150" t="s">
        <v>816</v>
      </c>
      <c r="BK13" s="209" t="s">
        <v>816</v>
      </c>
      <c r="BL13" s="209" t="s">
        <v>816</v>
      </c>
      <c r="BM13" s="209" t="s">
        <v>816</v>
      </c>
      <c r="BN13" s="209" t="s">
        <v>816</v>
      </c>
      <c r="BO13" s="209" t="s">
        <v>816</v>
      </c>
      <c r="BP13" s="209" t="s">
        <v>816</v>
      </c>
      <c r="BQ13" s="209" t="s">
        <v>816</v>
      </c>
      <c r="BR13" s="209" t="s">
        <v>816</v>
      </c>
      <c r="BS13" s="209" t="s">
        <v>816</v>
      </c>
      <c r="BT13" s="209" t="s">
        <v>816</v>
      </c>
      <c r="BU13" s="209" t="s">
        <v>816</v>
      </c>
      <c r="BV13" s="209" t="s">
        <v>816</v>
      </c>
      <c r="BZ13" s="149" t="s">
        <v>2002</v>
      </c>
      <c r="CB13" s="149" t="s">
        <v>1913</v>
      </c>
      <c r="CC13" s="149" t="s">
        <v>1947</v>
      </c>
      <c r="CD13" s="149" t="s">
        <v>1899</v>
      </c>
      <c r="CE13" s="149" t="str">
        <f>IF('House Rules'!B4="Available","15 Red Branch Knights (Medieval)","")</f>
        <v>15 Red Branch Knights (Medieval)</v>
      </c>
    </row>
    <row r="14" spans="1:84" x14ac:dyDescent="0.25">
      <c r="A14" s="149" t="s">
        <v>2193</v>
      </c>
      <c r="B14" s="149" t="s">
        <v>2247</v>
      </c>
      <c r="D14" s="149">
        <v>1</v>
      </c>
      <c r="E14" s="149">
        <v>4</v>
      </c>
      <c r="F14" s="149">
        <v>1</v>
      </c>
      <c r="G14" s="149">
        <v>2</v>
      </c>
      <c r="H14" s="149">
        <v>1</v>
      </c>
      <c r="I14" s="149">
        <v>2</v>
      </c>
      <c r="J14" s="149">
        <v>3</v>
      </c>
      <c r="K14" s="149">
        <v>2</v>
      </c>
      <c r="L14" s="149">
        <v>3</v>
      </c>
      <c r="M14" s="149">
        <v>1</v>
      </c>
      <c r="N14" s="149">
        <v>1</v>
      </c>
      <c r="O14" s="149">
        <v>3</v>
      </c>
      <c r="P14" s="149">
        <v>6</v>
      </c>
      <c r="Q14" s="149">
        <v>6</v>
      </c>
      <c r="R14" s="149">
        <v>1</v>
      </c>
      <c r="S14" s="149">
        <v>0</v>
      </c>
      <c r="T14" s="149">
        <v>0</v>
      </c>
      <c r="U14" s="149" t="s">
        <v>159</v>
      </c>
      <c r="V14" s="149">
        <v>5</v>
      </c>
      <c r="W14" s="209" t="s">
        <v>816</v>
      </c>
      <c r="X14" s="209" t="s">
        <v>816</v>
      </c>
      <c r="Y14" s="209" t="s">
        <v>816</v>
      </c>
      <c r="Z14" s="209" t="s">
        <v>816</v>
      </c>
      <c r="AA14" s="209" t="s">
        <v>816</v>
      </c>
      <c r="AB14" s="209" t="s">
        <v>816</v>
      </c>
      <c r="AC14" s="150" t="s">
        <v>2198</v>
      </c>
      <c r="AD14" s="257" t="s">
        <v>2199</v>
      </c>
      <c r="AE14" s="257" t="s">
        <v>2200</v>
      </c>
      <c r="AF14" s="257" t="s">
        <v>2201</v>
      </c>
      <c r="AG14" s="149" t="s">
        <v>721</v>
      </c>
      <c r="AH14" s="149">
        <v>4</v>
      </c>
      <c r="AI14" s="149" t="s">
        <v>2202</v>
      </c>
      <c r="AJ14" s="149">
        <v>3</v>
      </c>
      <c r="AK14" s="149">
        <v>4</v>
      </c>
      <c r="AL14" s="150" t="s">
        <v>816</v>
      </c>
      <c r="AM14" s="209" t="s">
        <v>816</v>
      </c>
      <c r="AN14" s="209" t="s">
        <v>816</v>
      </c>
      <c r="AO14" s="209" t="s">
        <v>816</v>
      </c>
      <c r="AP14" s="209" t="s">
        <v>816</v>
      </c>
      <c r="AQ14" s="209" t="s">
        <v>816</v>
      </c>
      <c r="AR14" s="209" t="s">
        <v>816</v>
      </c>
      <c r="AS14" s="209" t="s">
        <v>816</v>
      </c>
      <c r="AT14" s="209" t="s">
        <v>816</v>
      </c>
      <c r="AU14" s="209" t="s">
        <v>816</v>
      </c>
      <c r="AV14" s="209" t="s">
        <v>816</v>
      </c>
      <c r="AW14" s="209" t="s">
        <v>816</v>
      </c>
      <c r="AX14" s="209" t="s">
        <v>816</v>
      </c>
      <c r="AY14" s="209" t="s">
        <v>816</v>
      </c>
      <c r="AZ14" s="209" t="s">
        <v>816</v>
      </c>
      <c r="BA14" s="209" t="s">
        <v>816</v>
      </c>
      <c r="BB14" s="209" t="s">
        <v>816</v>
      </c>
      <c r="BC14" s="209" t="s">
        <v>816</v>
      </c>
      <c r="BD14" s="209" t="s">
        <v>816</v>
      </c>
      <c r="BE14" s="209" t="s">
        <v>816</v>
      </c>
      <c r="BF14" s="209" t="s">
        <v>816</v>
      </c>
      <c r="BG14" s="209" t="s">
        <v>816</v>
      </c>
      <c r="BH14" s="209" t="s">
        <v>816</v>
      </c>
      <c r="BI14" s="209" t="s">
        <v>816</v>
      </c>
      <c r="BJ14" s="209" t="s">
        <v>816</v>
      </c>
      <c r="BK14" s="209" t="s">
        <v>816</v>
      </c>
      <c r="BL14" s="209" t="s">
        <v>816</v>
      </c>
      <c r="BM14" s="209" t="s">
        <v>816</v>
      </c>
      <c r="BN14" s="209" t="s">
        <v>816</v>
      </c>
      <c r="BO14" s="209" t="s">
        <v>816</v>
      </c>
      <c r="BP14" s="209" t="s">
        <v>816</v>
      </c>
      <c r="BQ14" s="209" t="s">
        <v>816</v>
      </c>
      <c r="BR14" s="209" t="s">
        <v>816</v>
      </c>
      <c r="BS14" s="209" t="s">
        <v>816</v>
      </c>
      <c r="BT14" s="209" t="s">
        <v>816</v>
      </c>
      <c r="BU14" s="209" t="s">
        <v>816</v>
      </c>
      <c r="BV14" s="209" t="s">
        <v>816</v>
      </c>
      <c r="BZ14" s="149" t="s">
        <v>2003</v>
      </c>
      <c r="CB14" s="149" t="s">
        <v>1848</v>
      </c>
      <c r="CC14" s="149" t="s">
        <v>1861</v>
      </c>
      <c r="CD14" s="149" t="s">
        <v>1895</v>
      </c>
      <c r="CE14" s="149" t="str">
        <f>IF('House Rules'!B4="Available","15 Red Branch Knights (Modern)","")</f>
        <v>15 Red Branch Knights (Modern)</v>
      </c>
    </row>
    <row r="15" spans="1:84" x14ac:dyDescent="0.25">
      <c r="A15" s="149" t="s">
        <v>2230</v>
      </c>
      <c r="B15" s="149" t="s">
        <v>2247</v>
      </c>
      <c r="D15" s="149">
        <v>4</v>
      </c>
      <c r="E15" s="149">
        <v>4</v>
      </c>
      <c r="F15" s="149">
        <v>4</v>
      </c>
      <c r="G15" s="149">
        <v>3</v>
      </c>
      <c r="H15" s="149">
        <v>2</v>
      </c>
      <c r="I15" s="149">
        <v>3</v>
      </c>
      <c r="J15" s="149">
        <v>3</v>
      </c>
      <c r="K15" s="149">
        <v>3</v>
      </c>
      <c r="L15" s="149">
        <v>4</v>
      </c>
      <c r="M15" s="149">
        <v>0</v>
      </c>
      <c r="N15" s="149">
        <v>0</v>
      </c>
      <c r="O15" s="149">
        <v>4</v>
      </c>
      <c r="P15" s="149">
        <v>6</v>
      </c>
      <c r="Q15" s="149">
        <v>7</v>
      </c>
      <c r="R15" s="149">
        <v>6</v>
      </c>
      <c r="S15" s="149">
        <v>2</v>
      </c>
      <c r="T15" s="149">
        <v>2</v>
      </c>
      <c r="U15" s="209" t="s">
        <v>816</v>
      </c>
      <c r="V15" s="209" t="s">
        <v>816</v>
      </c>
      <c r="W15" s="209" t="s">
        <v>816</v>
      </c>
      <c r="X15" s="209" t="s">
        <v>816</v>
      </c>
      <c r="Y15" s="209" t="s">
        <v>816</v>
      </c>
      <c r="Z15" s="209" t="s">
        <v>816</v>
      </c>
      <c r="AA15" s="209" t="s">
        <v>816</v>
      </c>
      <c r="AB15" s="209" t="s">
        <v>816</v>
      </c>
      <c r="AC15" s="150" t="s">
        <v>1831</v>
      </c>
      <c r="AD15" s="257" t="s">
        <v>1876</v>
      </c>
      <c r="AE15" s="257" t="s">
        <v>2236</v>
      </c>
      <c r="AF15" s="257" t="s">
        <v>2233</v>
      </c>
      <c r="AG15" s="149" t="s">
        <v>702</v>
      </c>
      <c r="AH15" s="149">
        <v>8</v>
      </c>
      <c r="AI15" s="149" t="s">
        <v>1878</v>
      </c>
      <c r="AJ15" s="150" t="s">
        <v>816</v>
      </c>
      <c r="AK15" s="149">
        <v>6</v>
      </c>
      <c r="AL15" s="150" t="s">
        <v>816</v>
      </c>
      <c r="AM15" s="149" t="s">
        <v>720</v>
      </c>
      <c r="AN15" s="149">
        <v>7</v>
      </c>
      <c r="AO15" s="149" t="s">
        <v>1877</v>
      </c>
      <c r="AP15" s="149">
        <v>3</v>
      </c>
      <c r="AQ15" s="149">
        <v>5</v>
      </c>
      <c r="AR15" s="150" t="s">
        <v>816</v>
      </c>
      <c r="AS15" s="149" t="s">
        <v>721</v>
      </c>
      <c r="AT15" s="149">
        <v>9</v>
      </c>
      <c r="AU15" s="149" t="s">
        <v>1878</v>
      </c>
      <c r="AV15" s="149">
        <v>4</v>
      </c>
      <c r="AW15" s="149">
        <v>4</v>
      </c>
      <c r="AX15" s="150" t="s">
        <v>816</v>
      </c>
      <c r="AY15" s="149" t="s">
        <v>719</v>
      </c>
      <c r="AZ15" s="150">
        <v>8</v>
      </c>
      <c r="BA15" s="150" t="s">
        <v>1939</v>
      </c>
      <c r="BB15" s="150">
        <v>5</v>
      </c>
      <c r="BC15" s="149">
        <v>5</v>
      </c>
      <c r="BD15" s="150" t="s">
        <v>816</v>
      </c>
      <c r="BE15" s="209" t="s">
        <v>816</v>
      </c>
      <c r="BF15" s="209" t="s">
        <v>816</v>
      </c>
      <c r="BG15" s="209" t="s">
        <v>816</v>
      </c>
      <c r="BH15" s="209" t="s">
        <v>816</v>
      </c>
      <c r="BI15" s="209" t="s">
        <v>816</v>
      </c>
      <c r="BJ15" s="209" t="s">
        <v>816</v>
      </c>
      <c r="BK15" s="209" t="s">
        <v>816</v>
      </c>
      <c r="BL15" s="209" t="s">
        <v>816</v>
      </c>
      <c r="BM15" s="209" t="s">
        <v>816</v>
      </c>
      <c r="BN15" s="209" t="s">
        <v>816</v>
      </c>
      <c r="BO15" s="209" t="s">
        <v>816</v>
      </c>
      <c r="BP15" s="209" t="s">
        <v>816</v>
      </c>
      <c r="BQ15" s="209" t="s">
        <v>816</v>
      </c>
      <c r="BR15" s="209" t="s">
        <v>816</v>
      </c>
      <c r="BS15" s="209" t="s">
        <v>816</v>
      </c>
      <c r="BT15" s="209" t="s">
        <v>816</v>
      </c>
      <c r="BU15" s="209" t="s">
        <v>816</v>
      </c>
      <c r="BV15" s="209" t="s">
        <v>816</v>
      </c>
      <c r="BZ15" s="149" t="s">
        <v>1117</v>
      </c>
      <c r="CB15" s="149" t="s">
        <v>1942</v>
      </c>
      <c r="CC15" s="149" t="s">
        <v>1963</v>
      </c>
      <c r="CD15" s="149" t="s">
        <v>1891</v>
      </c>
      <c r="CE15" s="149" t="s">
        <v>1888</v>
      </c>
    </row>
    <row r="16" spans="1:84" x14ac:dyDescent="0.25">
      <c r="A16" s="149" t="s">
        <v>2231</v>
      </c>
      <c r="B16" s="149" t="s">
        <v>2247</v>
      </c>
      <c r="D16" s="149">
        <v>3</v>
      </c>
      <c r="E16" s="149">
        <v>3</v>
      </c>
      <c r="F16" s="149">
        <v>3</v>
      </c>
      <c r="G16" s="149">
        <v>2</v>
      </c>
      <c r="H16" s="149">
        <v>2</v>
      </c>
      <c r="I16" s="149">
        <v>2</v>
      </c>
      <c r="J16" s="149">
        <v>3</v>
      </c>
      <c r="K16" s="149">
        <v>2</v>
      </c>
      <c r="L16" s="149">
        <v>3</v>
      </c>
      <c r="M16" s="149">
        <v>0</v>
      </c>
      <c r="N16" s="149">
        <v>0</v>
      </c>
      <c r="O16" s="149">
        <v>3</v>
      </c>
      <c r="P16" s="149">
        <v>5</v>
      </c>
      <c r="Q16" s="149">
        <v>6</v>
      </c>
      <c r="R16" s="149">
        <v>5</v>
      </c>
      <c r="S16" s="149">
        <v>2</v>
      </c>
      <c r="T16" s="149">
        <v>2</v>
      </c>
      <c r="U16" s="209" t="s">
        <v>816</v>
      </c>
      <c r="V16" s="209" t="s">
        <v>816</v>
      </c>
      <c r="W16" s="209" t="s">
        <v>816</v>
      </c>
      <c r="X16" s="209" t="s">
        <v>816</v>
      </c>
      <c r="Y16" s="209" t="s">
        <v>816</v>
      </c>
      <c r="Z16" s="209" t="s">
        <v>816</v>
      </c>
      <c r="AA16" s="209" t="s">
        <v>816</v>
      </c>
      <c r="AB16" s="209" t="s">
        <v>816</v>
      </c>
      <c r="AC16" s="150" t="s">
        <v>1831</v>
      </c>
      <c r="AD16" s="257" t="s">
        <v>1875</v>
      </c>
      <c r="AE16" s="257" t="s">
        <v>2236</v>
      </c>
      <c r="AF16" s="257" t="s">
        <v>2234</v>
      </c>
      <c r="AG16" s="149" t="s">
        <v>702</v>
      </c>
      <c r="AH16" s="149">
        <v>6</v>
      </c>
      <c r="AI16" s="149" t="s">
        <v>1859</v>
      </c>
      <c r="AJ16" s="150" t="s">
        <v>816</v>
      </c>
      <c r="AK16" s="149">
        <v>6</v>
      </c>
      <c r="AL16" s="150" t="s">
        <v>816</v>
      </c>
      <c r="AM16" s="149" t="s">
        <v>720</v>
      </c>
      <c r="AN16" s="149">
        <v>5</v>
      </c>
      <c r="AO16" s="149" t="s">
        <v>1864</v>
      </c>
      <c r="AP16" s="149">
        <v>2</v>
      </c>
      <c r="AQ16" s="149">
        <v>5</v>
      </c>
      <c r="AR16" s="150" t="s">
        <v>816</v>
      </c>
      <c r="AS16" s="149" t="s">
        <v>721</v>
      </c>
      <c r="AT16" s="149">
        <v>7</v>
      </c>
      <c r="AU16" s="149" t="s">
        <v>1859</v>
      </c>
      <c r="AV16" s="149">
        <v>3</v>
      </c>
      <c r="AW16" s="149">
        <v>4</v>
      </c>
      <c r="AX16" s="150" t="s">
        <v>816</v>
      </c>
      <c r="AY16" s="149" t="s">
        <v>704</v>
      </c>
      <c r="AZ16" s="150">
        <v>6</v>
      </c>
      <c r="BA16" s="150" t="s">
        <v>1923</v>
      </c>
      <c r="BB16" s="150">
        <v>2</v>
      </c>
      <c r="BC16" s="149">
        <v>5</v>
      </c>
      <c r="BD16" s="150" t="s">
        <v>816</v>
      </c>
      <c r="BE16" s="209" t="s">
        <v>816</v>
      </c>
      <c r="BF16" s="209" t="s">
        <v>816</v>
      </c>
      <c r="BG16" s="209" t="s">
        <v>816</v>
      </c>
      <c r="BH16" s="209" t="s">
        <v>816</v>
      </c>
      <c r="BI16" s="209" t="s">
        <v>816</v>
      </c>
      <c r="BJ16" s="209" t="s">
        <v>816</v>
      </c>
      <c r="BK16" s="209" t="s">
        <v>816</v>
      </c>
      <c r="BL16" s="209" t="s">
        <v>816</v>
      </c>
      <c r="BM16" s="209" t="s">
        <v>816</v>
      </c>
      <c r="BN16" s="209" t="s">
        <v>816</v>
      </c>
      <c r="BO16" s="209" t="s">
        <v>816</v>
      </c>
      <c r="BP16" s="209" t="s">
        <v>816</v>
      </c>
      <c r="BQ16" s="209" t="s">
        <v>816</v>
      </c>
      <c r="BR16" s="209" t="s">
        <v>816</v>
      </c>
      <c r="BS16" s="209" t="s">
        <v>816</v>
      </c>
      <c r="BT16" s="209" t="s">
        <v>816</v>
      </c>
      <c r="BU16" s="209" t="s">
        <v>816</v>
      </c>
      <c r="BV16" s="209" t="s">
        <v>816</v>
      </c>
      <c r="BZ16" s="149" t="s">
        <v>2004</v>
      </c>
      <c r="CB16" s="149" t="s">
        <v>1959</v>
      </c>
      <c r="CC16" s="149" t="s">
        <v>1854</v>
      </c>
      <c r="CD16" s="149" t="s">
        <v>1911</v>
      </c>
      <c r="CE16" s="149" t="s">
        <v>1957</v>
      </c>
    </row>
    <row r="17" spans="1:83" x14ac:dyDescent="0.25">
      <c r="A17" s="149" t="s">
        <v>2229</v>
      </c>
      <c r="B17" s="149" t="s">
        <v>2247</v>
      </c>
      <c r="D17" s="149">
        <v>13</v>
      </c>
      <c r="E17" s="149">
        <v>2</v>
      </c>
      <c r="F17" s="149">
        <v>10</v>
      </c>
      <c r="G17" s="149">
        <v>0</v>
      </c>
      <c r="H17" s="149">
        <v>0</v>
      </c>
      <c r="I17" s="149">
        <v>2</v>
      </c>
      <c r="J17" s="149">
        <v>2</v>
      </c>
      <c r="K17" s="149">
        <v>1</v>
      </c>
      <c r="L17" s="149">
        <v>2</v>
      </c>
      <c r="M17" s="149">
        <v>2</v>
      </c>
      <c r="N17" s="149">
        <v>4</v>
      </c>
      <c r="O17" s="149">
        <v>1</v>
      </c>
      <c r="P17" s="149">
        <v>3</v>
      </c>
      <c r="Q17" s="149">
        <v>4</v>
      </c>
      <c r="R17" s="149">
        <v>10</v>
      </c>
      <c r="S17" s="149">
        <v>5</v>
      </c>
      <c r="T17" s="149">
        <v>0</v>
      </c>
      <c r="U17" s="209" t="s">
        <v>816</v>
      </c>
      <c r="V17" s="209" t="s">
        <v>816</v>
      </c>
      <c r="W17" s="209" t="s">
        <v>816</v>
      </c>
      <c r="X17" s="209" t="s">
        <v>816</v>
      </c>
      <c r="Y17" s="209" t="s">
        <v>816</v>
      </c>
      <c r="Z17" s="209" t="s">
        <v>816</v>
      </c>
      <c r="AA17" s="209" t="s">
        <v>816</v>
      </c>
      <c r="AB17" s="209" t="s">
        <v>816</v>
      </c>
      <c r="AC17" s="150" t="s">
        <v>2091</v>
      </c>
      <c r="AD17" s="257" t="s">
        <v>2092</v>
      </c>
      <c r="AE17" s="257" t="s">
        <v>2235</v>
      </c>
      <c r="AF17" s="257" t="s">
        <v>2237</v>
      </c>
      <c r="AG17" s="149" t="s">
        <v>1979</v>
      </c>
      <c r="AH17" s="149">
        <v>7</v>
      </c>
      <c r="AI17" s="149" t="s">
        <v>2093</v>
      </c>
      <c r="AJ17" s="150">
        <v>6</v>
      </c>
      <c r="AK17" s="149">
        <v>6</v>
      </c>
      <c r="AL17" s="150" t="s">
        <v>816</v>
      </c>
      <c r="AM17" s="149" t="s">
        <v>1986</v>
      </c>
      <c r="AN17" s="149">
        <v>5</v>
      </c>
      <c r="AO17" s="149" t="s">
        <v>2094</v>
      </c>
      <c r="AP17" s="150" t="s">
        <v>816</v>
      </c>
      <c r="AQ17" s="149">
        <v>6</v>
      </c>
      <c r="AR17" s="150" t="s">
        <v>816</v>
      </c>
      <c r="AS17" s="209" t="s">
        <v>816</v>
      </c>
      <c r="AT17" s="209" t="s">
        <v>816</v>
      </c>
      <c r="AU17" s="209" t="s">
        <v>816</v>
      </c>
      <c r="AV17" s="209" t="s">
        <v>816</v>
      </c>
      <c r="AW17" s="209" t="s">
        <v>816</v>
      </c>
      <c r="AX17" s="209" t="s">
        <v>816</v>
      </c>
      <c r="AY17" s="209" t="s">
        <v>816</v>
      </c>
      <c r="AZ17" s="209" t="s">
        <v>816</v>
      </c>
      <c r="BA17" s="209" t="s">
        <v>816</v>
      </c>
      <c r="BB17" s="209" t="s">
        <v>816</v>
      </c>
      <c r="BC17" s="209" t="s">
        <v>816</v>
      </c>
      <c r="BD17" s="209" t="s">
        <v>816</v>
      </c>
      <c r="BE17" s="209" t="s">
        <v>816</v>
      </c>
      <c r="BF17" s="209" t="s">
        <v>816</v>
      </c>
      <c r="BG17" s="209" t="s">
        <v>816</v>
      </c>
      <c r="BH17" s="209" t="s">
        <v>816</v>
      </c>
      <c r="BI17" s="209" t="s">
        <v>816</v>
      </c>
      <c r="BJ17" s="209" t="s">
        <v>816</v>
      </c>
      <c r="BK17" s="209" t="s">
        <v>816</v>
      </c>
      <c r="BL17" s="209" t="s">
        <v>816</v>
      </c>
      <c r="BM17" s="209" t="s">
        <v>816</v>
      </c>
      <c r="BN17" s="209" t="s">
        <v>816</v>
      </c>
      <c r="BO17" s="209" t="s">
        <v>816</v>
      </c>
      <c r="BP17" s="209" t="s">
        <v>816</v>
      </c>
      <c r="BQ17" s="209" t="s">
        <v>816</v>
      </c>
      <c r="BR17" s="209" t="s">
        <v>816</v>
      </c>
      <c r="BS17" s="209" t="s">
        <v>816</v>
      </c>
      <c r="BT17" s="209" t="s">
        <v>816</v>
      </c>
      <c r="BU17" s="209" t="s">
        <v>816</v>
      </c>
      <c r="BV17" s="209" t="s">
        <v>816</v>
      </c>
      <c r="BZ17" s="149" t="s">
        <v>2005</v>
      </c>
      <c r="CB17" s="149" t="s">
        <v>1844</v>
      </c>
      <c r="CC17" s="149" t="s">
        <v>1926</v>
      </c>
      <c r="CD17" s="149" t="s">
        <v>1907</v>
      </c>
      <c r="CE17" s="149" t="s">
        <v>1900</v>
      </c>
    </row>
    <row r="18" spans="1:83" x14ac:dyDescent="0.25">
      <c r="A18" s="149" t="s">
        <v>1993</v>
      </c>
      <c r="B18" s="149" t="s">
        <v>2239</v>
      </c>
      <c r="D18" s="149">
        <v>7</v>
      </c>
      <c r="E18" s="149">
        <v>2</v>
      </c>
      <c r="F18" s="149">
        <v>6</v>
      </c>
      <c r="G18" s="149">
        <v>0</v>
      </c>
      <c r="H18" s="149">
        <v>0</v>
      </c>
      <c r="I18" s="149">
        <v>2</v>
      </c>
      <c r="J18" s="149">
        <v>2</v>
      </c>
      <c r="K18" s="149">
        <v>2</v>
      </c>
      <c r="L18" s="149">
        <v>2</v>
      </c>
      <c r="M18" s="149">
        <v>0</v>
      </c>
      <c r="N18" s="149">
        <v>0</v>
      </c>
      <c r="O18" s="149">
        <v>2</v>
      </c>
      <c r="P18" s="149">
        <v>3</v>
      </c>
      <c r="Q18" s="149">
        <v>4</v>
      </c>
      <c r="R18" s="149">
        <v>6</v>
      </c>
      <c r="S18" s="149">
        <v>3</v>
      </c>
      <c r="T18" s="149">
        <v>0</v>
      </c>
      <c r="U18" s="209" t="s">
        <v>816</v>
      </c>
      <c r="V18" s="209" t="s">
        <v>816</v>
      </c>
      <c r="W18" s="209" t="s">
        <v>816</v>
      </c>
      <c r="X18" s="209" t="s">
        <v>816</v>
      </c>
      <c r="Y18" s="209" t="s">
        <v>816</v>
      </c>
      <c r="Z18" s="209" t="s">
        <v>816</v>
      </c>
      <c r="AA18" s="209" t="s">
        <v>816</v>
      </c>
      <c r="AB18" s="209" t="s">
        <v>816</v>
      </c>
      <c r="AC18" s="150" t="s">
        <v>2009</v>
      </c>
      <c r="AD18" s="257" t="s">
        <v>2010</v>
      </c>
      <c r="AE18" s="257" t="s">
        <v>494</v>
      </c>
      <c r="AF18" s="257" t="s">
        <v>494</v>
      </c>
      <c r="AG18" s="149" t="s">
        <v>1974</v>
      </c>
      <c r="AH18" s="149">
        <v>6</v>
      </c>
      <c r="AI18" s="149" t="s">
        <v>1939</v>
      </c>
      <c r="AJ18" s="150" t="s">
        <v>816</v>
      </c>
      <c r="AK18" s="149">
        <v>4</v>
      </c>
      <c r="AL18" s="150" t="s">
        <v>816</v>
      </c>
      <c r="AM18" s="149" t="s">
        <v>2011</v>
      </c>
      <c r="AN18" s="149">
        <v>5</v>
      </c>
      <c r="AO18" s="149" t="s">
        <v>1923</v>
      </c>
      <c r="AP18" s="150" t="s">
        <v>816</v>
      </c>
      <c r="AQ18" s="149">
        <v>5</v>
      </c>
      <c r="AR18" s="150" t="s">
        <v>816</v>
      </c>
      <c r="AS18" s="209" t="s">
        <v>816</v>
      </c>
      <c r="AT18" s="209" t="s">
        <v>816</v>
      </c>
      <c r="AU18" s="209" t="s">
        <v>816</v>
      </c>
      <c r="AV18" s="209" t="s">
        <v>816</v>
      </c>
      <c r="AW18" s="209" t="s">
        <v>816</v>
      </c>
      <c r="AX18" s="209" t="s">
        <v>816</v>
      </c>
      <c r="AY18" s="209" t="s">
        <v>816</v>
      </c>
      <c r="AZ18" s="209" t="s">
        <v>816</v>
      </c>
      <c r="BA18" s="209" t="s">
        <v>816</v>
      </c>
      <c r="BB18" s="209" t="s">
        <v>816</v>
      </c>
      <c r="BC18" s="209" t="s">
        <v>816</v>
      </c>
      <c r="BD18" s="209" t="s">
        <v>816</v>
      </c>
      <c r="BE18" s="209" t="s">
        <v>816</v>
      </c>
      <c r="BF18" s="209" t="s">
        <v>816</v>
      </c>
      <c r="BG18" s="209" t="s">
        <v>816</v>
      </c>
      <c r="BH18" s="209" t="s">
        <v>816</v>
      </c>
      <c r="BI18" s="209" t="s">
        <v>816</v>
      </c>
      <c r="BJ18" s="209" t="s">
        <v>816</v>
      </c>
      <c r="BK18" s="209" t="s">
        <v>816</v>
      </c>
      <c r="BL18" s="209" t="s">
        <v>816</v>
      </c>
      <c r="BM18" s="209" t="s">
        <v>816</v>
      </c>
      <c r="BN18" s="209" t="s">
        <v>816</v>
      </c>
      <c r="BO18" s="209" t="s">
        <v>816</v>
      </c>
      <c r="BP18" s="209" t="s">
        <v>816</v>
      </c>
      <c r="BQ18" s="209" t="s">
        <v>816</v>
      </c>
      <c r="BR18" s="209" t="s">
        <v>816</v>
      </c>
      <c r="BS18" s="209" t="s">
        <v>816</v>
      </c>
      <c r="BT18" s="209" t="s">
        <v>816</v>
      </c>
      <c r="BU18" s="209" t="s">
        <v>816</v>
      </c>
      <c r="BV18" s="209" t="s">
        <v>816</v>
      </c>
      <c r="BZ18" s="149" t="s">
        <v>2006</v>
      </c>
      <c r="CB18" s="149" t="s">
        <v>1946</v>
      </c>
      <c r="CC18" s="149" t="s">
        <v>1837</v>
      </c>
      <c r="CD18" s="149" t="s">
        <v>1919</v>
      </c>
      <c r="CE18" s="149" t="s">
        <v>1896</v>
      </c>
    </row>
    <row r="19" spans="1:83" x14ac:dyDescent="0.25">
      <c r="A19" s="149" t="s">
        <v>1995</v>
      </c>
      <c r="B19" s="149" t="s">
        <v>2239</v>
      </c>
      <c r="D19" s="149">
        <v>3</v>
      </c>
      <c r="E19" s="149">
        <v>2</v>
      </c>
      <c r="F19" s="149">
        <v>4</v>
      </c>
      <c r="G19" s="149">
        <v>0</v>
      </c>
      <c r="H19" s="149">
        <v>0</v>
      </c>
      <c r="I19" s="149" t="s">
        <v>819</v>
      </c>
      <c r="J19" s="149">
        <v>3</v>
      </c>
      <c r="K19" s="149">
        <v>3</v>
      </c>
      <c r="L19" s="149">
        <v>3</v>
      </c>
      <c r="M19" s="149">
        <v>0</v>
      </c>
      <c r="N19" s="149">
        <v>0</v>
      </c>
      <c r="O19" s="149">
        <v>2</v>
      </c>
      <c r="P19" s="149">
        <v>6</v>
      </c>
      <c r="Q19" s="149">
        <v>7</v>
      </c>
      <c r="R19" s="149">
        <v>4</v>
      </c>
      <c r="S19" s="149">
        <v>2</v>
      </c>
      <c r="T19" s="149">
        <v>0</v>
      </c>
      <c r="U19" s="209" t="s">
        <v>816</v>
      </c>
      <c r="V19" s="209" t="s">
        <v>816</v>
      </c>
      <c r="W19" s="209" t="s">
        <v>816</v>
      </c>
      <c r="X19" s="209" t="s">
        <v>816</v>
      </c>
      <c r="Y19" s="209" t="s">
        <v>816</v>
      </c>
      <c r="Z19" s="209" t="s">
        <v>816</v>
      </c>
      <c r="AA19" s="209" t="s">
        <v>816</v>
      </c>
      <c r="AB19" s="209" t="s">
        <v>816</v>
      </c>
      <c r="AC19" s="150" t="s">
        <v>1831</v>
      </c>
      <c r="AD19" s="257" t="s">
        <v>2017</v>
      </c>
      <c r="AE19" s="257" t="s">
        <v>494</v>
      </c>
      <c r="AF19" s="257" t="s">
        <v>2018</v>
      </c>
      <c r="AG19" s="149" t="s">
        <v>1974</v>
      </c>
      <c r="AH19" s="149">
        <v>5</v>
      </c>
      <c r="AI19" s="149" t="s">
        <v>1879</v>
      </c>
      <c r="AJ19" s="150" t="s">
        <v>816</v>
      </c>
      <c r="AK19" s="149">
        <v>5</v>
      </c>
      <c r="AL19" s="150" t="s">
        <v>816</v>
      </c>
      <c r="AM19" s="149" t="s">
        <v>2019</v>
      </c>
      <c r="AN19" s="149">
        <v>7</v>
      </c>
      <c r="AO19" s="149" t="s">
        <v>1865</v>
      </c>
      <c r="AP19" s="150" t="s">
        <v>816</v>
      </c>
      <c r="AQ19" s="149">
        <v>5</v>
      </c>
      <c r="AR19" s="150" t="s">
        <v>816</v>
      </c>
      <c r="AS19" s="209" t="s">
        <v>816</v>
      </c>
      <c r="AT19" s="209" t="s">
        <v>816</v>
      </c>
      <c r="AU19" s="209" t="s">
        <v>816</v>
      </c>
      <c r="AV19" s="209" t="s">
        <v>816</v>
      </c>
      <c r="AW19" s="209" t="s">
        <v>816</v>
      </c>
      <c r="AX19" s="209" t="s">
        <v>816</v>
      </c>
      <c r="AY19" s="209" t="s">
        <v>816</v>
      </c>
      <c r="AZ19" s="209" t="s">
        <v>816</v>
      </c>
      <c r="BA19" s="209" t="s">
        <v>816</v>
      </c>
      <c r="BB19" s="209" t="s">
        <v>816</v>
      </c>
      <c r="BC19" s="209" t="s">
        <v>816</v>
      </c>
      <c r="BD19" s="209" t="s">
        <v>816</v>
      </c>
      <c r="BE19" s="209" t="s">
        <v>816</v>
      </c>
      <c r="BF19" s="209" t="s">
        <v>816</v>
      </c>
      <c r="BG19" s="209" t="s">
        <v>816</v>
      </c>
      <c r="BH19" s="209" t="s">
        <v>816</v>
      </c>
      <c r="BI19" s="209" t="s">
        <v>816</v>
      </c>
      <c r="BJ19" s="209" t="s">
        <v>816</v>
      </c>
      <c r="BK19" s="209" t="s">
        <v>816</v>
      </c>
      <c r="BL19" s="209" t="s">
        <v>816</v>
      </c>
      <c r="BM19" s="209" t="s">
        <v>816</v>
      </c>
      <c r="BN19" s="209" t="s">
        <v>816</v>
      </c>
      <c r="BO19" s="209" t="s">
        <v>816</v>
      </c>
      <c r="BP19" s="209" t="s">
        <v>816</v>
      </c>
      <c r="BQ19" s="209" t="s">
        <v>816</v>
      </c>
      <c r="BR19" s="209" t="s">
        <v>816</v>
      </c>
      <c r="BS19" s="209" t="s">
        <v>816</v>
      </c>
      <c r="BT19" s="209" t="s">
        <v>816</v>
      </c>
      <c r="BU19" s="209" t="s">
        <v>816</v>
      </c>
      <c r="BV19" s="209" t="s">
        <v>816</v>
      </c>
      <c r="BZ19" s="149" t="s">
        <v>2007</v>
      </c>
      <c r="CB19" s="149" t="s">
        <v>1860</v>
      </c>
      <c r="CC19" s="149" t="str">
        <f>IF('House Rules'!B4="Available","15 Sprites","")</f>
        <v>15 Sprites</v>
      </c>
      <c r="CD19" s="149" t="s">
        <v>1915</v>
      </c>
      <c r="CE19" s="149" t="s">
        <v>1892</v>
      </c>
    </row>
    <row r="20" spans="1:83" x14ac:dyDescent="0.25">
      <c r="A20" s="149" t="s">
        <v>1996</v>
      </c>
      <c r="B20" s="149" t="s">
        <v>2239</v>
      </c>
      <c r="D20" s="149">
        <v>4</v>
      </c>
      <c r="E20" s="149">
        <v>3</v>
      </c>
      <c r="F20" s="149">
        <v>4</v>
      </c>
      <c r="G20" s="149">
        <v>0</v>
      </c>
      <c r="H20" s="149">
        <v>0</v>
      </c>
      <c r="I20" s="149">
        <v>1</v>
      </c>
      <c r="J20" s="149">
        <v>2</v>
      </c>
      <c r="K20" s="149">
        <v>1</v>
      </c>
      <c r="L20" s="149">
        <v>3</v>
      </c>
      <c r="M20" s="149">
        <v>0</v>
      </c>
      <c r="N20" s="149">
        <v>0</v>
      </c>
      <c r="O20" s="149">
        <v>3</v>
      </c>
      <c r="P20" s="149">
        <v>3</v>
      </c>
      <c r="Q20" s="149">
        <v>4</v>
      </c>
      <c r="R20" s="149">
        <v>4</v>
      </c>
      <c r="S20" s="149">
        <v>2</v>
      </c>
      <c r="T20" s="149">
        <v>0</v>
      </c>
      <c r="U20" s="209" t="s">
        <v>816</v>
      </c>
      <c r="V20" s="209" t="s">
        <v>816</v>
      </c>
      <c r="W20" s="209" t="s">
        <v>816</v>
      </c>
      <c r="X20" s="209" t="s">
        <v>816</v>
      </c>
      <c r="Y20" s="209" t="s">
        <v>816</v>
      </c>
      <c r="Z20" s="209" t="s">
        <v>816</v>
      </c>
      <c r="AA20" s="209" t="s">
        <v>816</v>
      </c>
      <c r="AB20" s="209" t="s">
        <v>816</v>
      </c>
      <c r="AC20" s="150" t="s">
        <v>1831</v>
      </c>
      <c r="AD20" s="257" t="s">
        <v>2020</v>
      </c>
      <c r="AE20" s="257" t="s">
        <v>494</v>
      </c>
      <c r="AF20" s="257" t="s">
        <v>494</v>
      </c>
      <c r="AG20" s="149" t="s">
        <v>1979</v>
      </c>
      <c r="AH20" s="149">
        <v>6</v>
      </c>
      <c r="AI20" s="149" t="s">
        <v>1879</v>
      </c>
      <c r="AJ20" s="149">
        <v>6</v>
      </c>
      <c r="AK20" s="149">
        <v>6</v>
      </c>
      <c r="AL20" s="150" t="s">
        <v>816</v>
      </c>
      <c r="AM20" s="209" t="s">
        <v>816</v>
      </c>
      <c r="AN20" s="209" t="s">
        <v>816</v>
      </c>
      <c r="AO20" s="209" t="s">
        <v>816</v>
      </c>
      <c r="AP20" s="209" t="s">
        <v>816</v>
      </c>
      <c r="AQ20" s="209" t="s">
        <v>816</v>
      </c>
      <c r="AR20" s="209" t="s">
        <v>816</v>
      </c>
      <c r="AS20" s="209" t="s">
        <v>816</v>
      </c>
      <c r="AT20" s="209" t="s">
        <v>816</v>
      </c>
      <c r="AU20" s="209" t="s">
        <v>816</v>
      </c>
      <c r="AV20" s="209" t="s">
        <v>816</v>
      </c>
      <c r="AW20" s="209" t="s">
        <v>816</v>
      </c>
      <c r="AX20" s="209" t="s">
        <v>816</v>
      </c>
      <c r="AY20" s="209" t="s">
        <v>816</v>
      </c>
      <c r="AZ20" s="209" t="s">
        <v>816</v>
      </c>
      <c r="BA20" s="209" t="s">
        <v>816</v>
      </c>
      <c r="BB20" s="209" t="s">
        <v>816</v>
      </c>
      <c r="BC20" s="209" t="s">
        <v>816</v>
      </c>
      <c r="BD20" s="209" t="s">
        <v>816</v>
      </c>
      <c r="BE20" s="209" t="s">
        <v>816</v>
      </c>
      <c r="BF20" s="209" t="s">
        <v>816</v>
      </c>
      <c r="BG20" s="209" t="s">
        <v>816</v>
      </c>
      <c r="BH20" s="209" t="s">
        <v>816</v>
      </c>
      <c r="BI20" s="209" t="s">
        <v>816</v>
      </c>
      <c r="BJ20" s="209" t="s">
        <v>816</v>
      </c>
      <c r="BK20" s="209" t="s">
        <v>816</v>
      </c>
      <c r="BL20" s="209" t="s">
        <v>816</v>
      </c>
      <c r="BM20" s="209" t="s">
        <v>816</v>
      </c>
      <c r="BN20" s="209" t="s">
        <v>816</v>
      </c>
      <c r="BO20" s="209" t="s">
        <v>816</v>
      </c>
      <c r="BP20" s="209" t="s">
        <v>816</v>
      </c>
      <c r="BQ20" s="209" t="s">
        <v>816</v>
      </c>
      <c r="BR20" s="209" t="s">
        <v>816</v>
      </c>
      <c r="BS20" s="209" t="s">
        <v>816</v>
      </c>
      <c r="BT20" s="209" t="s">
        <v>816</v>
      </c>
      <c r="BU20" s="209" t="s">
        <v>816</v>
      </c>
      <c r="BV20" s="209" t="s">
        <v>816</v>
      </c>
      <c r="BZ20" s="150" t="s">
        <v>2305</v>
      </c>
      <c r="CB20" s="149" t="s">
        <v>1825</v>
      </c>
      <c r="CC20" s="149" t="s">
        <v>1828</v>
      </c>
      <c r="CD20" s="149" t="s">
        <v>1867</v>
      </c>
      <c r="CE20" s="149" t="s">
        <v>1912</v>
      </c>
    </row>
    <row r="21" spans="1:83" x14ac:dyDescent="0.25">
      <c r="A21" s="149" t="s">
        <v>1997</v>
      </c>
      <c r="B21" s="149" t="s">
        <v>2239</v>
      </c>
      <c r="D21" s="149">
        <v>6</v>
      </c>
      <c r="E21" s="149">
        <v>3</v>
      </c>
      <c r="F21" s="149">
        <v>5</v>
      </c>
      <c r="G21" s="149">
        <v>0</v>
      </c>
      <c r="H21" s="149">
        <v>0</v>
      </c>
      <c r="I21" s="149">
        <v>2</v>
      </c>
      <c r="J21" s="149">
        <v>3</v>
      </c>
      <c r="K21" s="149">
        <v>1</v>
      </c>
      <c r="L21" s="149">
        <v>3</v>
      </c>
      <c r="M21" s="149">
        <v>0</v>
      </c>
      <c r="N21" s="149">
        <v>0</v>
      </c>
      <c r="O21" s="149">
        <v>3</v>
      </c>
      <c r="P21" s="149">
        <v>5</v>
      </c>
      <c r="Q21" s="149">
        <v>6</v>
      </c>
      <c r="R21" s="149">
        <v>5</v>
      </c>
      <c r="S21" s="149">
        <v>2</v>
      </c>
      <c r="T21" s="149">
        <v>0</v>
      </c>
      <c r="U21" s="209" t="s">
        <v>816</v>
      </c>
      <c r="V21" s="209" t="s">
        <v>816</v>
      </c>
      <c r="W21" s="209" t="s">
        <v>816</v>
      </c>
      <c r="X21" s="209" t="s">
        <v>816</v>
      </c>
      <c r="Y21" s="209" t="s">
        <v>816</v>
      </c>
      <c r="Z21" s="209" t="s">
        <v>816</v>
      </c>
      <c r="AA21" s="209" t="s">
        <v>816</v>
      </c>
      <c r="AB21" s="209" t="s">
        <v>816</v>
      </c>
      <c r="AC21" s="150" t="s">
        <v>1831</v>
      </c>
      <c r="AD21" s="257" t="s">
        <v>2021</v>
      </c>
      <c r="AE21" s="257" t="s">
        <v>494</v>
      </c>
      <c r="AF21" s="257" t="s">
        <v>494</v>
      </c>
      <c r="AG21" s="149" t="s">
        <v>1974</v>
      </c>
      <c r="AH21" s="149">
        <v>6</v>
      </c>
      <c r="AI21" s="149" t="s">
        <v>1923</v>
      </c>
      <c r="AJ21" s="150" t="s">
        <v>816</v>
      </c>
      <c r="AK21" s="149">
        <v>6</v>
      </c>
      <c r="AL21" s="150" t="s">
        <v>816</v>
      </c>
      <c r="AM21" s="149" t="s">
        <v>2011</v>
      </c>
      <c r="AN21" s="149">
        <v>7</v>
      </c>
      <c r="AO21" s="149" t="s">
        <v>1865</v>
      </c>
      <c r="AP21" s="150" t="s">
        <v>816</v>
      </c>
      <c r="AQ21" s="149">
        <v>4</v>
      </c>
      <c r="AR21" s="150" t="s">
        <v>816</v>
      </c>
      <c r="AS21" s="209" t="s">
        <v>816</v>
      </c>
      <c r="AT21" s="209" t="s">
        <v>816</v>
      </c>
      <c r="AU21" s="209" t="s">
        <v>816</v>
      </c>
      <c r="AV21" s="209" t="s">
        <v>816</v>
      </c>
      <c r="AW21" s="209" t="s">
        <v>816</v>
      </c>
      <c r="AX21" s="209" t="s">
        <v>816</v>
      </c>
      <c r="AY21" s="209" t="s">
        <v>816</v>
      </c>
      <c r="AZ21" s="209" t="s">
        <v>816</v>
      </c>
      <c r="BA21" s="209" t="s">
        <v>816</v>
      </c>
      <c r="BB21" s="209" t="s">
        <v>816</v>
      </c>
      <c r="BC21" s="209" t="s">
        <v>816</v>
      </c>
      <c r="BD21" s="209" t="s">
        <v>816</v>
      </c>
      <c r="BE21" s="209" t="s">
        <v>816</v>
      </c>
      <c r="BF21" s="209" t="s">
        <v>816</v>
      </c>
      <c r="BG21" s="209" t="s">
        <v>816</v>
      </c>
      <c r="BH21" s="209" t="s">
        <v>816</v>
      </c>
      <c r="BI21" s="209" t="s">
        <v>816</v>
      </c>
      <c r="BJ21" s="209" t="s">
        <v>816</v>
      </c>
      <c r="BK21" s="209" t="s">
        <v>816</v>
      </c>
      <c r="BL21" s="209" t="s">
        <v>816</v>
      </c>
      <c r="BM21" s="209" t="s">
        <v>816</v>
      </c>
      <c r="BN21" s="209" t="s">
        <v>816</v>
      </c>
      <c r="BO21" s="209" t="s">
        <v>816</v>
      </c>
      <c r="BP21" s="209" t="s">
        <v>816</v>
      </c>
      <c r="BQ21" s="209" t="s">
        <v>816</v>
      </c>
      <c r="BR21" s="209" t="s">
        <v>816</v>
      </c>
      <c r="BS21" s="209" t="s">
        <v>816</v>
      </c>
      <c r="BT21" s="209" t="s">
        <v>816</v>
      </c>
      <c r="BU21" s="209" t="s">
        <v>816</v>
      </c>
      <c r="BV21" s="209" t="s">
        <v>816</v>
      </c>
      <c r="BZ21" s="149" t="s">
        <v>1968</v>
      </c>
      <c r="CB21" s="149" t="str">
        <f>IF('House Rules'!B5="Prohibited","","Cult of Mithra - 5 Cultists")</f>
        <v>Cult of Mithra - 5 Cultists</v>
      </c>
      <c r="CC21" s="149" t="s">
        <v>1880</v>
      </c>
      <c r="CD21" s="149" t="s">
        <v>1850</v>
      </c>
      <c r="CE21" s="149" t="s">
        <v>1908</v>
      </c>
    </row>
    <row r="22" spans="1:83" x14ac:dyDescent="0.25">
      <c r="A22" s="149" t="s">
        <v>2220</v>
      </c>
      <c r="B22" s="149" t="s">
        <v>2239</v>
      </c>
      <c r="D22" s="149">
        <v>2</v>
      </c>
      <c r="E22" s="149">
        <v>1</v>
      </c>
      <c r="F22" s="149">
        <v>9</v>
      </c>
      <c r="G22" s="149">
        <v>1</v>
      </c>
      <c r="H22" s="149">
        <v>2</v>
      </c>
      <c r="I22" s="149">
        <v>1</v>
      </c>
      <c r="J22" s="149">
        <v>3</v>
      </c>
      <c r="K22" s="149">
        <v>2</v>
      </c>
      <c r="L22" s="149">
        <v>2</v>
      </c>
      <c r="M22" s="149">
        <v>2</v>
      </c>
      <c r="N22" s="149">
        <v>4</v>
      </c>
      <c r="O22" s="149">
        <v>1</v>
      </c>
      <c r="P22" s="149">
        <v>5</v>
      </c>
      <c r="Q22" s="149">
        <v>3</v>
      </c>
      <c r="R22" s="149">
        <v>27</v>
      </c>
      <c r="S22" s="149">
        <v>14</v>
      </c>
      <c r="T22" s="149">
        <v>6</v>
      </c>
      <c r="U22" s="149" t="s">
        <v>157</v>
      </c>
      <c r="V22" s="149">
        <v>2</v>
      </c>
      <c r="W22" s="149" t="s">
        <v>169</v>
      </c>
      <c r="X22" s="149">
        <v>3</v>
      </c>
      <c r="Y22" s="149" t="s">
        <v>163</v>
      </c>
      <c r="Z22" s="149">
        <v>1</v>
      </c>
      <c r="AA22" s="149" t="s">
        <v>171</v>
      </c>
      <c r="AB22" s="149">
        <v>2</v>
      </c>
      <c r="AC22" s="150" t="s">
        <v>2221</v>
      </c>
      <c r="AD22" s="257" t="s">
        <v>2223</v>
      </c>
      <c r="AE22" s="257" t="s">
        <v>2224</v>
      </c>
      <c r="AF22" s="257" t="s">
        <v>2330</v>
      </c>
      <c r="AG22" s="149" t="s">
        <v>1974</v>
      </c>
      <c r="AH22" s="149">
        <v>5</v>
      </c>
      <c r="AI22" s="149" t="s">
        <v>1833</v>
      </c>
      <c r="AJ22" s="150" t="s">
        <v>816</v>
      </c>
      <c r="AK22" s="149">
        <v>5</v>
      </c>
      <c r="AL22" s="150" t="s">
        <v>816</v>
      </c>
      <c r="AM22" s="209" t="s">
        <v>816</v>
      </c>
      <c r="AN22" s="209" t="s">
        <v>816</v>
      </c>
      <c r="AO22" s="209" t="s">
        <v>816</v>
      </c>
      <c r="AP22" s="209" t="s">
        <v>816</v>
      </c>
      <c r="AQ22" s="209" t="s">
        <v>816</v>
      </c>
      <c r="AR22" s="209" t="s">
        <v>816</v>
      </c>
      <c r="AS22" s="209" t="s">
        <v>816</v>
      </c>
      <c r="AT22" s="209" t="s">
        <v>816</v>
      </c>
      <c r="AU22" s="209" t="s">
        <v>816</v>
      </c>
      <c r="AV22" s="209" t="s">
        <v>816</v>
      </c>
      <c r="AW22" s="209" t="s">
        <v>816</v>
      </c>
      <c r="AX22" s="209" t="s">
        <v>816</v>
      </c>
      <c r="AY22" s="209" t="s">
        <v>816</v>
      </c>
      <c r="AZ22" s="209" t="s">
        <v>816</v>
      </c>
      <c r="BA22" s="209" t="s">
        <v>816</v>
      </c>
      <c r="BB22" s="209" t="s">
        <v>816</v>
      </c>
      <c r="BC22" s="209" t="s">
        <v>816</v>
      </c>
      <c r="BD22" s="209" t="s">
        <v>816</v>
      </c>
      <c r="BE22" s="209" t="s">
        <v>816</v>
      </c>
      <c r="BF22" s="209" t="s">
        <v>816</v>
      </c>
      <c r="BG22" s="209" t="s">
        <v>816</v>
      </c>
      <c r="BH22" s="209" t="s">
        <v>816</v>
      </c>
      <c r="BI22" s="209" t="s">
        <v>816</v>
      </c>
      <c r="BJ22" s="209" t="s">
        <v>816</v>
      </c>
      <c r="BK22" s="209" t="s">
        <v>816</v>
      </c>
      <c r="BL22" s="209" t="s">
        <v>816</v>
      </c>
      <c r="BM22" s="209" t="s">
        <v>816</v>
      </c>
      <c r="BN22" s="209" t="s">
        <v>816</v>
      </c>
      <c r="BO22" s="209" t="s">
        <v>816</v>
      </c>
      <c r="BP22" s="209" t="s">
        <v>816</v>
      </c>
      <c r="BQ22" s="209" t="s">
        <v>816</v>
      </c>
      <c r="BR22" s="209" t="s">
        <v>816</v>
      </c>
      <c r="BS22" s="209" t="s">
        <v>816</v>
      </c>
      <c r="BT22" s="209" t="s">
        <v>816</v>
      </c>
      <c r="BU22" s="209" t="s">
        <v>816</v>
      </c>
      <c r="BV22" s="209" t="s">
        <v>816</v>
      </c>
      <c r="BZ22" s="149" t="str">
        <f>IF('House Rules'!B4="Available","Chukwa","")</f>
        <v>Chukwa</v>
      </c>
      <c r="CC22" s="149" t="str">
        <f>IF('House Rules'!B4="Available","5 Anauša (Medieval)","")</f>
        <v>5 Anauša (Medieval)</v>
      </c>
      <c r="CD22" s="149" t="s">
        <v>1944</v>
      </c>
      <c r="CE22" s="149" t="s">
        <v>1920</v>
      </c>
    </row>
    <row r="23" spans="1:83" x14ac:dyDescent="0.25">
      <c r="A23" s="149" t="s">
        <v>2000</v>
      </c>
      <c r="B23" s="149" t="s">
        <v>2239</v>
      </c>
      <c r="D23" s="149">
        <v>5</v>
      </c>
      <c r="E23" s="149">
        <v>2</v>
      </c>
      <c r="F23" s="149">
        <v>5</v>
      </c>
      <c r="G23" s="149">
        <v>0</v>
      </c>
      <c r="H23" s="149">
        <v>0</v>
      </c>
      <c r="I23" s="149">
        <v>2</v>
      </c>
      <c r="J23" s="149">
        <v>1</v>
      </c>
      <c r="K23" s="149">
        <v>1</v>
      </c>
      <c r="L23" s="149">
        <v>2</v>
      </c>
      <c r="M23" s="149">
        <v>0</v>
      </c>
      <c r="N23" s="149">
        <v>0</v>
      </c>
      <c r="O23" s="149">
        <v>3</v>
      </c>
      <c r="P23" s="149">
        <v>3</v>
      </c>
      <c r="Q23" s="149">
        <v>3</v>
      </c>
      <c r="R23" s="149">
        <v>7</v>
      </c>
      <c r="S23" s="149">
        <v>4</v>
      </c>
      <c r="T23" s="149">
        <v>0</v>
      </c>
      <c r="U23" s="209" t="s">
        <v>816</v>
      </c>
      <c r="V23" s="209" t="s">
        <v>816</v>
      </c>
      <c r="W23" s="209" t="s">
        <v>816</v>
      </c>
      <c r="X23" s="209" t="s">
        <v>816</v>
      </c>
      <c r="Y23" s="209" t="s">
        <v>816</v>
      </c>
      <c r="Z23" s="209" t="s">
        <v>816</v>
      </c>
      <c r="AA23" s="209" t="s">
        <v>816</v>
      </c>
      <c r="AB23" s="209" t="s">
        <v>816</v>
      </c>
      <c r="AC23" s="150" t="s">
        <v>2022</v>
      </c>
      <c r="AD23" s="257" t="s">
        <v>2031</v>
      </c>
      <c r="AE23" s="257" t="s">
        <v>494</v>
      </c>
      <c r="AF23" s="257" t="s">
        <v>494</v>
      </c>
      <c r="AG23" s="149" t="s">
        <v>1974</v>
      </c>
      <c r="AH23" s="149">
        <v>9</v>
      </c>
      <c r="AI23" s="149" t="s">
        <v>1939</v>
      </c>
      <c r="AJ23" s="150" t="s">
        <v>816</v>
      </c>
      <c r="AK23" s="149">
        <v>5</v>
      </c>
      <c r="AL23" s="150" t="s">
        <v>816</v>
      </c>
      <c r="AM23" s="149" t="s">
        <v>2032</v>
      </c>
      <c r="AN23" s="149">
        <v>6</v>
      </c>
      <c r="AO23" s="149" t="s">
        <v>1834</v>
      </c>
      <c r="AP23" s="150" t="s">
        <v>816</v>
      </c>
      <c r="AQ23" s="149">
        <v>6</v>
      </c>
      <c r="AR23" s="150" t="s">
        <v>816</v>
      </c>
      <c r="AS23" s="209" t="s">
        <v>816</v>
      </c>
      <c r="AT23" s="209" t="s">
        <v>816</v>
      </c>
      <c r="AU23" s="209" t="s">
        <v>816</v>
      </c>
      <c r="AV23" s="209" t="s">
        <v>816</v>
      </c>
      <c r="AW23" s="209" t="s">
        <v>816</v>
      </c>
      <c r="AX23" s="209" t="s">
        <v>816</v>
      </c>
      <c r="AY23" s="209" t="s">
        <v>816</v>
      </c>
      <c r="AZ23" s="209" t="s">
        <v>816</v>
      </c>
      <c r="BA23" s="209" t="s">
        <v>816</v>
      </c>
      <c r="BB23" s="209" t="s">
        <v>816</v>
      </c>
      <c r="BC23" s="209" t="s">
        <v>816</v>
      </c>
      <c r="BD23" s="209" t="s">
        <v>816</v>
      </c>
      <c r="BE23" s="209" t="s">
        <v>816</v>
      </c>
      <c r="BF23" s="209" t="s">
        <v>816</v>
      </c>
      <c r="BG23" s="209" t="s">
        <v>816</v>
      </c>
      <c r="BH23" s="209" t="s">
        <v>816</v>
      </c>
      <c r="BI23" s="209" t="s">
        <v>816</v>
      </c>
      <c r="BJ23" s="209" t="s">
        <v>816</v>
      </c>
      <c r="BK23" s="209" t="s">
        <v>816</v>
      </c>
      <c r="BL23" s="209" t="s">
        <v>816</v>
      </c>
      <c r="BM23" s="209" t="s">
        <v>816</v>
      </c>
      <c r="BN23" s="209" t="s">
        <v>816</v>
      </c>
      <c r="BO23" s="209" t="s">
        <v>816</v>
      </c>
      <c r="BP23" s="209" t="s">
        <v>816</v>
      </c>
      <c r="BQ23" s="209" t="s">
        <v>816</v>
      </c>
      <c r="BR23" s="209" t="s">
        <v>816</v>
      </c>
      <c r="BS23" s="209" t="s">
        <v>816</v>
      </c>
      <c r="BT23" s="209" t="s">
        <v>816</v>
      </c>
      <c r="BU23" s="209" t="s">
        <v>816</v>
      </c>
      <c r="BV23" s="209" t="s">
        <v>816</v>
      </c>
      <c r="BZ23" s="149" t="s">
        <v>1969</v>
      </c>
      <c r="CC23" s="149" t="s">
        <v>1883</v>
      </c>
      <c r="CD23" s="149" t="s">
        <v>1870</v>
      </c>
      <c r="CE23" s="149" t="s">
        <v>1916</v>
      </c>
    </row>
    <row r="24" spans="1:83" x14ac:dyDescent="0.25">
      <c r="A24" s="149" t="s">
        <v>2002</v>
      </c>
      <c r="B24" s="149" t="s">
        <v>2239</v>
      </c>
      <c r="D24" s="149">
        <v>4</v>
      </c>
      <c r="E24" s="149">
        <v>4</v>
      </c>
      <c r="F24" s="149">
        <v>3</v>
      </c>
      <c r="G24" s="149">
        <v>0</v>
      </c>
      <c r="H24" s="149">
        <v>0</v>
      </c>
      <c r="I24" s="149">
        <v>2</v>
      </c>
      <c r="J24" s="149">
        <v>3</v>
      </c>
      <c r="K24" s="149">
        <v>2</v>
      </c>
      <c r="L24" s="149">
        <v>3</v>
      </c>
      <c r="M24" s="149">
        <v>0</v>
      </c>
      <c r="N24" s="149">
        <v>0</v>
      </c>
      <c r="O24" s="149">
        <v>4</v>
      </c>
      <c r="P24" s="149">
        <v>3</v>
      </c>
      <c r="Q24" s="149">
        <v>6</v>
      </c>
      <c r="R24" s="149">
        <v>3</v>
      </c>
      <c r="S24" s="149">
        <v>1</v>
      </c>
      <c r="T24" s="149">
        <v>4</v>
      </c>
      <c r="U24" s="209" t="s">
        <v>816</v>
      </c>
      <c r="V24" s="209" t="s">
        <v>816</v>
      </c>
      <c r="W24" s="209" t="s">
        <v>816</v>
      </c>
      <c r="X24" s="209" t="s">
        <v>816</v>
      </c>
      <c r="Y24" s="209" t="s">
        <v>816</v>
      </c>
      <c r="Z24" s="209" t="s">
        <v>816</v>
      </c>
      <c r="AA24" s="209" t="s">
        <v>816</v>
      </c>
      <c r="AB24" s="209" t="s">
        <v>816</v>
      </c>
      <c r="AC24" s="150" t="s">
        <v>2022</v>
      </c>
      <c r="AD24" s="257" t="s">
        <v>2035</v>
      </c>
      <c r="AE24" s="257" t="s">
        <v>494</v>
      </c>
      <c r="AF24" s="257" t="s">
        <v>494</v>
      </c>
      <c r="AG24" s="149" t="s">
        <v>2036</v>
      </c>
      <c r="AH24" s="149">
        <v>7</v>
      </c>
      <c r="AI24" s="149" t="s">
        <v>1834</v>
      </c>
      <c r="AJ24" s="150" t="s">
        <v>816</v>
      </c>
      <c r="AK24" s="149">
        <v>5</v>
      </c>
      <c r="AL24" s="150" t="s">
        <v>816</v>
      </c>
      <c r="AM24" s="209" t="s">
        <v>816</v>
      </c>
      <c r="AN24" s="209" t="s">
        <v>816</v>
      </c>
      <c r="AO24" s="209" t="s">
        <v>816</v>
      </c>
      <c r="AP24" s="209" t="s">
        <v>816</v>
      </c>
      <c r="AQ24" s="209" t="s">
        <v>816</v>
      </c>
      <c r="AR24" s="209" t="s">
        <v>816</v>
      </c>
      <c r="AS24" s="209" t="s">
        <v>816</v>
      </c>
      <c r="AT24" s="209" t="s">
        <v>816</v>
      </c>
      <c r="AU24" s="209" t="s">
        <v>816</v>
      </c>
      <c r="AV24" s="209" t="s">
        <v>816</v>
      </c>
      <c r="AW24" s="209" t="s">
        <v>816</v>
      </c>
      <c r="AX24" s="209" t="s">
        <v>816</v>
      </c>
      <c r="AY24" s="209" t="s">
        <v>816</v>
      </c>
      <c r="AZ24" s="209" t="s">
        <v>816</v>
      </c>
      <c r="BA24" s="209" t="s">
        <v>816</v>
      </c>
      <c r="BB24" s="209" t="s">
        <v>816</v>
      </c>
      <c r="BC24" s="209" t="s">
        <v>816</v>
      </c>
      <c r="BD24" s="209" t="s">
        <v>816</v>
      </c>
      <c r="BE24" s="209" t="s">
        <v>816</v>
      </c>
      <c r="BF24" s="209" t="s">
        <v>816</v>
      </c>
      <c r="BG24" s="209" t="s">
        <v>816</v>
      </c>
      <c r="BH24" s="209" t="s">
        <v>816</v>
      </c>
      <c r="BI24" s="209" t="s">
        <v>816</v>
      </c>
      <c r="BJ24" s="209" t="s">
        <v>816</v>
      </c>
      <c r="BK24" s="209" t="s">
        <v>816</v>
      </c>
      <c r="BL24" s="209" t="s">
        <v>816</v>
      </c>
      <c r="BM24" s="209" t="s">
        <v>816</v>
      </c>
      <c r="BN24" s="209" t="s">
        <v>816</v>
      </c>
      <c r="BO24" s="209" t="s">
        <v>816</v>
      </c>
      <c r="BP24" s="209" t="s">
        <v>816</v>
      </c>
      <c r="BQ24" s="209" t="s">
        <v>816</v>
      </c>
      <c r="BR24" s="209" t="s">
        <v>816</v>
      </c>
      <c r="BS24" s="209" t="s">
        <v>816</v>
      </c>
      <c r="BT24" s="209" t="s">
        <v>816</v>
      </c>
      <c r="BU24" s="209" t="s">
        <v>816</v>
      </c>
      <c r="BV24" s="209" t="s">
        <v>816</v>
      </c>
      <c r="BZ24" s="149" t="str">
        <f>IF('House Rules'!B4="Available","Dub Sainglend","")</f>
        <v>Dub Sainglend</v>
      </c>
      <c r="CC24" s="149" t="s">
        <v>1866</v>
      </c>
      <c r="CD24" s="149" t="s">
        <v>1961</v>
      </c>
      <c r="CE24" s="149" t="s">
        <v>1868</v>
      </c>
    </row>
    <row r="25" spans="1:83" x14ac:dyDescent="0.25">
      <c r="A25" s="149" t="s">
        <v>2003</v>
      </c>
      <c r="B25" s="149" t="s">
        <v>2239</v>
      </c>
      <c r="D25" s="149">
        <v>13</v>
      </c>
      <c r="E25" s="149">
        <v>2</v>
      </c>
      <c r="F25" s="149">
        <v>10</v>
      </c>
      <c r="G25" s="149">
        <v>0</v>
      </c>
      <c r="H25" s="149">
        <v>0</v>
      </c>
      <c r="I25" s="149">
        <v>2</v>
      </c>
      <c r="J25" s="149">
        <v>2</v>
      </c>
      <c r="K25" s="149">
        <v>1</v>
      </c>
      <c r="L25" s="149">
        <v>2</v>
      </c>
      <c r="M25" s="149">
        <v>0</v>
      </c>
      <c r="N25" s="149">
        <v>0</v>
      </c>
      <c r="O25" s="149">
        <v>1</v>
      </c>
      <c r="P25" s="149">
        <v>3</v>
      </c>
      <c r="Q25" s="149">
        <v>4</v>
      </c>
      <c r="R25" s="149">
        <v>10</v>
      </c>
      <c r="S25" s="149">
        <v>5</v>
      </c>
      <c r="T25" s="149">
        <v>0</v>
      </c>
      <c r="U25" s="209" t="s">
        <v>816</v>
      </c>
      <c r="V25" s="209" t="s">
        <v>816</v>
      </c>
      <c r="W25" s="209" t="s">
        <v>816</v>
      </c>
      <c r="X25" s="209" t="s">
        <v>816</v>
      </c>
      <c r="Y25" s="209" t="s">
        <v>816</v>
      </c>
      <c r="Z25" s="209" t="s">
        <v>816</v>
      </c>
      <c r="AA25" s="209" t="s">
        <v>816</v>
      </c>
      <c r="AB25" s="209" t="s">
        <v>816</v>
      </c>
      <c r="AC25" s="150" t="s">
        <v>2091</v>
      </c>
      <c r="AD25" s="257" t="s">
        <v>2092</v>
      </c>
      <c r="AE25" s="257" t="s">
        <v>494</v>
      </c>
      <c r="AF25" s="257" t="s">
        <v>494</v>
      </c>
      <c r="AG25" s="149" t="s">
        <v>1979</v>
      </c>
      <c r="AH25" s="149">
        <v>7</v>
      </c>
      <c r="AI25" s="149" t="s">
        <v>2093</v>
      </c>
      <c r="AJ25" s="150">
        <v>6</v>
      </c>
      <c r="AK25" s="149">
        <v>6</v>
      </c>
      <c r="AL25" s="150" t="s">
        <v>816</v>
      </c>
      <c r="AM25" s="149" t="s">
        <v>1986</v>
      </c>
      <c r="AN25" s="149">
        <v>5</v>
      </c>
      <c r="AO25" s="149" t="s">
        <v>2094</v>
      </c>
      <c r="AP25" s="150" t="s">
        <v>816</v>
      </c>
      <c r="AQ25" s="149">
        <v>6</v>
      </c>
      <c r="AR25" s="150" t="s">
        <v>816</v>
      </c>
      <c r="AS25" s="209" t="s">
        <v>816</v>
      </c>
      <c r="AT25" s="209" t="s">
        <v>816</v>
      </c>
      <c r="AU25" s="209" t="s">
        <v>816</v>
      </c>
      <c r="AV25" s="209" t="s">
        <v>816</v>
      </c>
      <c r="AW25" s="209" t="s">
        <v>816</v>
      </c>
      <c r="AX25" s="209" t="s">
        <v>816</v>
      </c>
      <c r="AY25" s="209" t="s">
        <v>816</v>
      </c>
      <c r="AZ25" s="209" t="s">
        <v>816</v>
      </c>
      <c r="BA25" s="209" t="s">
        <v>816</v>
      </c>
      <c r="BB25" s="209" t="s">
        <v>816</v>
      </c>
      <c r="BC25" s="209" t="s">
        <v>816</v>
      </c>
      <c r="BD25" s="209" t="s">
        <v>816</v>
      </c>
      <c r="BE25" s="209" t="s">
        <v>816</v>
      </c>
      <c r="BF25" s="209" t="s">
        <v>816</v>
      </c>
      <c r="BG25" s="209" t="s">
        <v>816</v>
      </c>
      <c r="BH25" s="209" t="s">
        <v>816</v>
      </c>
      <c r="BI25" s="209" t="s">
        <v>816</v>
      </c>
      <c r="BJ25" s="209" t="s">
        <v>816</v>
      </c>
      <c r="BK25" s="209" t="s">
        <v>816</v>
      </c>
      <c r="BL25" s="209" t="s">
        <v>816</v>
      </c>
      <c r="BM25" s="209" t="s">
        <v>816</v>
      </c>
      <c r="BN25" s="209" t="s">
        <v>816</v>
      </c>
      <c r="BO25" s="209" t="s">
        <v>816</v>
      </c>
      <c r="BP25" s="209" t="s">
        <v>816</v>
      </c>
      <c r="BQ25" s="209" t="s">
        <v>816</v>
      </c>
      <c r="BR25" s="209" t="s">
        <v>816</v>
      </c>
      <c r="BS25" s="209" t="s">
        <v>816</v>
      </c>
      <c r="BT25" s="209" t="s">
        <v>816</v>
      </c>
      <c r="BU25" s="209" t="s">
        <v>816</v>
      </c>
      <c r="BV25" s="209" t="s">
        <v>816</v>
      </c>
      <c r="BZ25" s="149" t="str">
        <f>IF('House Rules'!B4="Available","Garuda","")</f>
        <v>Garuda</v>
      </c>
      <c r="CC25" s="149" t="str">
        <f>IF('House Rules'!B4="Available","5 Fianna (Medieval)","")</f>
        <v>5 Fianna (Medieval)</v>
      </c>
      <c r="CD25" s="149" t="s">
        <v>1846</v>
      </c>
      <c r="CE25" s="149" t="s">
        <v>1851</v>
      </c>
    </row>
    <row r="26" spans="1:83" x14ac:dyDescent="0.25">
      <c r="A26" s="149" t="s">
        <v>1117</v>
      </c>
      <c r="B26" s="149" t="s">
        <v>2239</v>
      </c>
      <c r="D26" s="149">
        <v>4</v>
      </c>
      <c r="E26" s="149">
        <v>3</v>
      </c>
      <c r="F26" s="149">
        <v>3</v>
      </c>
      <c r="G26" s="149">
        <v>0</v>
      </c>
      <c r="H26" s="149">
        <v>0</v>
      </c>
      <c r="I26" s="149">
        <v>2</v>
      </c>
      <c r="J26" s="149">
        <v>2</v>
      </c>
      <c r="K26" s="149">
        <v>2</v>
      </c>
      <c r="L26" s="149">
        <v>3</v>
      </c>
      <c r="M26" s="149">
        <v>0</v>
      </c>
      <c r="N26" s="149">
        <v>0</v>
      </c>
      <c r="O26" s="149">
        <v>3</v>
      </c>
      <c r="P26" s="149">
        <v>3</v>
      </c>
      <c r="Q26" s="149">
        <v>5</v>
      </c>
      <c r="R26" s="149">
        <v>3</v>
      </c>
      <c r="S26" s="149">
        <v>0</v>
      </c>
      <c r="T26" s="149">
        <v>0</v>
      </c>
      <c r="U26" s="209" t="s">
        <v>816</v>
      </c>
      <c r="V26" s="209" t="s">
        <v>816</v>
      </c>
      <c r="W26" s="209" t="s">
        <v>816</v>
      </c>
      <c r="X26" s="209" t="s">
        <v>816</v>
      </c>
      <c r="Y26" s="209" t="s">
        <v>816</v>
      </c>
      <c r="Z26" s="209" t="s">
        <v>816</v>
      </c>
      <c r="AA26" s="209" t="s">
        <v>816</v>
      </c>
      <c r="AB26" s="209" t="s">
        <v>816</v>
      </c>
      <c r="AC26" s="150" t="s">
        <v>1831</v>
      </c>
      <c r="AD26" s="257" t="s">
        <v>2095</v>
      </c>
      <c r="AE26" s="257" t="s">
        <v>494</v>
      </c>
      <c r="AF26" s="257" t="s">
        <v>494</v>
      </c>
      <c r="AG26" s="149" t="s">
        <v>1974</v>
      </c>
      <c r="AH26" s="149">
        <v>5</v>
      </c>
      <c r="AI26" s="149" t="s">
        <v>2024</v>
      </c>
      <c r="AJ26" s="150" t="s">
        <v>816</v>
      </c>
      <c r="AK26" s="149">
        <v>5</v>
      </c>
      <c r="AL26" s="150" t="s">
        <v>816</v>
      </c>
      <c r="AM26" s="149" t="s">
        <v>2096</v>
      </c>
      <c r="AN26" s="149">
        <v>2</v>
      </c>
      <c r="AO26" s="149" t="s">
        <v>1834</v>
      </c>
      <c r="AP26" s="150" t="s">
        <v>816</v>
      </c>
      <c r="AQ26" s="149">
        <v>2</v>
      </c>
      <c r="AR26" s="150" t="s">
        <v>816</v>
      </c>
      <c r="AS26" s="209" t="s">
        <v>816</v>
      </c>
      <c r="AT26" s="209" t="s">
        <v>816</v>
      </c>
      <c r="AU26" s="209" t="s">
        <v>816</v>
      </c>
      <c r="AV26" s="209" t="s">
        <v>816</v>
      </c>
      <c r="AW26" s="209" t="s">
        <v>816</v>
      </c>
      <c r="AX26" s="209" t="s">
        <v>816</v>
      </c>
      <c r="AY26" s="209" t="s">
        <v>816</v>
      </c>
      <c r="AZ26" s="209" t="s">
        <v>816</v>
      </c>
      <c r="BA26" s="209" t="s">
        <v>816</v>
      </c>
      <c r="BB26" s="209" t="s">
        <v>816</v>
      </c>
      <c r="BC26" s="209" t="s">
        <v>816</v>
      </c>
      <c r="BD26" s="209" t="s">
        <v>816</v>
      </c>
      <c r="BE26" s="209" t="s">
        <v>816</v>
      </c>
      <c r="BF26" s="209" t="s">
        <v>816</v>
      </c>
      <c r="BG26" s="209" t="s">
        <v>816</v>
      </c>
      <c r="BH26" s="209" t="s">
        <v>816</v>
      </c>
      <c r="BI26" s="209" t="s">
        <v>816</v>
      </c>
      <c r="BJ26" s="209" t="s">
        <v>816</v>
      </c>
      <c r="BK26" s="209" t="s">
        <v>816</v>
      </c>
      <c r="BL26" s="209" t="s">
        <v>816</v>
      </c>
      <c r="BM26" s="209" t="s">
        <v>816</v>
      </c>
      <c r="BN26" s="209" t="s">
        <v>816</v>
      </c>
      <c r="BO26" s="209" t="s">
        <v>816</v>
      </c>
      <c r="BP26" s="209" t="s">
        <v>816</v>
      </c>
      <c r="BQ26" s="209" t="s">
        <v>816</v>
      </c>
      <c r="BR26" s="209" t="s">
        <v>816</v>
      </c>
      <c r="BS26" s="209" t="s">
        <v>816</v>
      </c>
      <c r="BT26" s="209" t="s">
        <v>816</v>
      </c>
      <c r="BU26" s="209" t="s">
        <v>816</v>
      </c>
      <c r="BV26" s="209" t="s">
        <v>816</v>
      </c>
      <c r="BZ26" s="149" t="str">
        <f>IF('House Rules'!B2="Prohibited","No","Griffin")</f>
        <v>Griffin</v>
      </c>
      <c r="CC26" s="149" t="str">
        <f>IF('House Rules'!B4="Available","5 Fianna (Modern)","")</f>
        <v>5 Fianna (Modern)</v>
      </c>
      <c r="CD26" s="149" t="s">
        <v>1948</v>
      </c>
      <c r="CE26" s="149" t="s">
        <v>1945</v>
      </c>
    </row>
    <row r="27" spans="1:83" x14ac:dyDescent="0.25">
      <c r="A27" s="149" t="s">
        <v>2175</v>
      </c>
      <c r="B27" s="149" t="s">
        <v>2239</v>
      </c>
      <c r="D27" s="149">
        <v>7</v>
      </c>
      <c r="E27" s="149">
        <v>2</v>
      </c>
      <c r="F27" s="149">
        <v>5</v>
      </c>
      <c r="G27" s="149">
        <v>0</v>
      </c>
      <c r="H27" s="149">
        <v>0</v>
      </c>
      <c r="I27" s="149">
        <v>1</v>
      </c>
      <c r="J27" s="149">
        <v>2</v>
      </c>
      <c r="K27" s="149">
        <v>1</v>
      </c>
      <c r="L27" s="149">
        <v>1</v>
      </c>
      <c r="M27" s="149">
        <v>1</v>
      </c>
      <c r="N27" s="149">
        <v>1</v>
      </c>
      <c r="O27" s="149">
        <v>3</v>
      </c>
      <c r="P27" s="149">
        <v>3</v>
      </c>
      <c r="Q27" s="149">
        <v>3</v>
      </c>
      <c r="R27" s="149">
        <v>5</v>
      </c>
      <c r="S27" s="149">
        <v>2</v>
      </c>
      <c r="T27" s="149">
        <v>0</v>
      </c>
      <c r="U27" s="149" t="s">
        <v>167</v>
      </c>
      <c r="V27" s="149">
        <v>1</v>
      </c>
      <c r="W27" s="149" t="s">
        <v>156</v>
      </c>
      <c r="X27" s="149">
        <v>3</v>
      </c>
      <c r="Y27" s="149" t="s">
        <v>162</v>
      </c>
      <c r="Z27" s="149">
        <v>3</v>
      </c>
      <c r="AA27" s="149" t="s">
        <v>159</v>
      </c>
      <c r="AB27" s="149">
        <v>3</v>
      </c>
      <c r="AC27" s="150" t="s">
        <v>2009</v>
      </c>
      <c r="AD27" s="257" t="s">
        <v>2176</v>
      </c>
      <c r="AE27" s="257" t="s">
        <v>2177</v>
      </c>
      <c r="AF27" s="257" t="s">
        <v>494</v>
      </c>
      <c r="AG27" s="149" t="s">
        <v>1974</v>
      </c>
      <c r="AH27" s="149">
        <v>5</v>
      </c>
      <c r="AI27" s="149" t="s">
        <v>1939</v>
      </c>
      <c r="AJ27" s="150" t="s">
        <v>816</v>
      </c>
      <c r="AK27" s="149">
        <v>5</v>
      </c>
      <c r="AL27" s="150" t="s">
        <v>816</v>
      </c>
      <c r="AM27" s="209" t="s">
        <v>816</v>
      </c>
      <c r="AN27" s="209" t="s">
        <v>816</v>
      </c>
      <c r="AO27" s="209" t="s">
        <v>816</v>
      </c>
      <c r="AP27" s="209" t="s">
        <v>816</v>
      </c>
      <c r="AQ27" s="209" t="s">
        <v>816</v>
      </c>
      <c r="AR27" s="209" t="s">
        <v>816</v>
      </c>
      <c r="AS27" s="209" t="s">
        <v>816</v>
      </c>
      <c r="AT27" s="209" t="s">
        <v>816</v>
      </c>
      <c r="AU27" s="209" t="s">
        <v>816</v>
      </c>
      <c r="AV27" s="209" t="s">
        <v>816</v>
      </c>
      <c r="AW27" s="209" t="s">
        <v>816</v>
      </c>
      <c r="AX27" s="209" t="s">
        <v>816</v>
      </c>
      <c r="AY27" s="209" t="s">
        <v>816</v>
      </c>
      <c r="AZ27" s="209" t="s">
        <v>816</v>
      </c>
      <c r="BA27" s="209" t="s">
        <v>816</v>
      </c>
      <c r="BB27" s="209" t="s">
        <v>816</v>
      </c>
      <c r="BC27" s="209" t="s">
        <v>816</v>
      </c>
      <c r="BD27" s="209" t="s">
        <v>816</v>
      </c>
      <c r="BE27" s="209" t="s">
        <v>816</v>
      </c>
      <c r="BF27" s="209" t="s">
        <v>816</v>
      </c>
      <c r="BG27" s="209" t="s">
        <v>816</v>
      </c>
      <c r="BH27" s="209" t="s">
        <v>816</v>
      </c>
      <c r="BI27" s="209" t="s">
        <v>816</v>
      </c>
      <c r="BJ27" s="209" t="s">
        <v>816</v>
      </c>
      <c r="BK27" s="209" t="s">
        <v>816</v>
      </c>
      <c r="BL27" s="209" t="s">
        <v>816</v>
      </c>
      <c r="BM27" s="209" t="s">
        <v>816</v>
      </c>
      <c r="BN27" s="209" t="s">
        <v>816</v>
      </c>
      <c r="BO27" s="209" t="s">
        <v>816</v>
      </c>
      <c r="BP27" s="209" t="s">
        <v>816</v>
      </c>
      <c r="BQ27" s="209" t="s">
        <v>816</v>
      </c>
      <c r="BR27" s="209" t="s">
        <v>816</v>
      </c>
      <c r="BS27" s="209" t="s">
        <v>816</v>
      </c>
      <c r="BT27" s="209" t="s">
        <v>816</v>
      </c>
      <c r="BU27" s="209" t="s">
        <v>816</v>
      </c>
      <c r="BV27" s="209" t="s">
        <v>816</v>
      </c>
      <c r="BZ27" s="149" t="str">
        <f>IF('House Rules'!B5="Prohibited","","Hadhayosh")</f>
        <v>Hadhayosh</v>
      </c>
      <c r="CC27" s="149" t="str">
        <f>IF('House Rules'!B4="Available","5 Ghilan","")</f>
        <v>5 Ghilan</v>
      </c>
      <c r="CD27" s="149" t="s">
        <v>1873</v>
      </c>
      <c r="CE27" s="149" t="s">
        <v>1871</v>
      </c>
    </row>
    <row r="28" spans="1:83" x14ac:dyDescent="0.25">
      <c r="A28" s="149" t="s">
        <v>2119</v>
      </c>
      <c r="B28" s="149" t="s">
        <v>2239</v>
      </c>
      <c r="D28" s="149">
        <v>2</v>
      </c>
      <c r="E28" s="149">
        <v>2</v>
      </c>
      <c r="F28" s="149">
        <v>2</v>
      </c>
      <c r="G28" s="149">
        <v>2</v>
      </c>
      <c r="H28" s="149">
        <v>2</v>
      </c>
      <c r="I28" s="149">
        <v>2</v>
      </c>
      <c r="J28" s="149">
        <v>2</v>
      </c>
      <c r="K28" s="149">
        <v>2</v>
      </c>
      <c r="L28" s="149">
        <v>2</v>
      </c>
      <c r="M28" s="149">
        <v>1</v>
      </c>
      <c r="N28" s="149">
        <v>1</v>
      </c>
      <c r="O28" s="149">
        <v>1</v>
      </c>
      <c r="P28" s="149">
        <v>5</v>
      </c>
      <c r="Q28" s="149">
        <v>3</v>
      </c>
      <c r="R28" s="149">
        <v>2</v>
      </c>
      <c r="S28" s="149">
        <v>1</v>
      </c>
      <c r="T28" s="149">
        <v>0</v>
      </c>
      <c r="U28" s="149" t="s">
        <v>167</v>
      </c>
      <c r="V28" s="149">
        <v>2</v>
      </c>
      <c r="W28" s="149" t="s">
        <v>169</v>
      </c>
      <c r="X28" s="149">
        <v>2</v>
      </c>
      <c r="Y28" s="149" t="s">
        <v>171</v>
      </c>
      <c r="Z28" s="149">
        <v>3</v>
      </c>
      <c r="AA28" s="149" t="s">
        <v>176</v>
      </c>
      <c r="AB28" s="149">
        <v>3</v>
      </c>
      <c r="AC28" s="150" t="s">
        <v>2123</v>
      </c>
      <c r="AD28" s="257" t="s">
        <v>2120</v>
      </c>
      <c r="AE28" s="257" t="s">
        <v>494</v>
      </c>
      <c r="AF28" s="257" t="s">
        <v>2121</v>
      </c>
      <c r="AG28" s="209" t="s">
        <v>816</v>
      </c>
      <c r="AH28" s="209" t="s">
        <v>816</v>
      </c>
      <c r="AI28" s="209" t="s">
        <v>816</v>
      </c>
      <c r="AJ28" s="209" t="s">
        <v>816</v>
      </c>
      <c r="AK28" s="209" t="s">
        <v>816</v>
      </c>
      <c r="AL28" s="209" t="s">
        <v>816</v>
      </c>
      <c r="AM28" s="209" t="s">
        <v>816</v>
      </c>
      <c r="AN28" s="209" t="s">
        <v>816</v>
      </c>
      <c r="AO28" s="209" t="s">
        <v>816</v>
      </c>
      <c r="AP28" s="209" t="s">
        <v>816</v>
      </c>
      <c r="AQ28" s="209" t="s">
        <v>816</v>
      </c>
      <c r="AR28" s="209" t="s">
        <v>816</v>
      </c>
      <c r="AS28" s="209" t="s">
        <v>816</v>
      </c>
      <c r="AT28" s="209" t="s">
        <v>816</v>
      </c>
      <c r="AU28" s="209" t="s">
        <v>816</v>
      </c>
      <c r="AV28" s="209" t="s">
        <v>816</v>
      </c>
      <c r="AW28" s="209" t="s">
        <v>816</v>
      </c>
      <c r="AX28" s="209" t="s">
        <v>816</v>
      </c>
      <c r="AY28" s="209" t="s">
        <v>816</v>
      </c>
      <c r="AZ28" s="209" t="s">
        <v>816</v>
      </c>
      <c r="BA28" s="209" t="s">
        <v>816</v>
      </c>
      <c r="BB28" s="209" t="s">
        <v>816</v>
      </c>
      <c r="BC28" s="209" t="s">
        <v>816</v>
      </c>
      <c r="BD28" s="209" t="s">
        <v>816</v>
      </c>
      <c r="BE28" s="209" t="s">
        <v>816</v>
      </c>
      <c r="BF28" s="209" t="s">
        <v>816</v>
      </c>
      <c r="BG28" s="209" t="s">
        <v>816</v>
      </c>
      <c r="BH28" s="209" t="s">
        <v>816</v>
      </c>
      <c r="BI28" s="209" t="s">
        <v>816</v>
      </c>
      <c r="BJ28" s="209" t="s">
        <v>816</v>
      </c>
      <c r="BK28" s="209" t="s">
        <v>816</v>
      </c>
      <c r="BL28" s="209" t="s">
        <v>816</v>
      </c>
      <c r="BM28" s="209" t="s">
        <v>816</v>
      </c>
      <c r="BN28" s="209" t="s">
        <v>816</v>
      </c>
      <c r="BO28" s="209" t="s">
        <v>816</v>
      </c>
      <c r="BP28" s="209" t="s">
        <v>816</v>
      </c>
      <c r="BQ28" s="209" t="s">
        <v>816</v>
      </c>
      <c r="BR28" s="209" t="s">
        <v>816</v>
      </c>
      <c r="BS28" s="209" t="s">
        <v>816</v>
      </c>
      <c r="BT28" s="209" t="s">
        <v>816</v>
      </c>
      <c r="BU28" s="209" t="s">
        <v>816</v>
      </c>
      <c r="BV28" s="209" t="s">
        <v>816</v>
      </c>
      <c r="BZ28" s="149" t="str">
        <f>IF('House Rules'!B5="Prohibited","","Huma")</f>
        <v>Huma</v>
      </c>
      <c r="CC28" s="149" t="s">
        <v>1869</v>
      </c>
      <c r="CD28" s="149" t="s">
        <v>1862</v>
      </c>
      <c r="CE28" s="149" t="s">
        <v>1962</v>
      </c>
    </row>
    <row r="29" spans="1:83" x14ac:dyDescent="0.25">
      <c r="A29" s="149" t="s">
        <v>2006</v>
      </c>
      <c r="B29" s="149" t="s">
        <v>2239</v>
      </c>
      <c r="D29" s="149">
        <v>5</v>
      </c>
      <c r="E29" s="149">
        <v>3</v>
      </c>
      <c r="F29" s="149">
        <v>5</v>
      </c>
      <c r="G29" s="149">
        <v>0</v>
      </c>
      <c r="H29" s="149">
        <v>0</v>
      </c>
      <c r="I29" s="149">
        <v>2</v>
      </c>
      <c r="J29" s="149">
        <v>3</v>
      </c>
      <c r="K29" s="149">
        <v>1</v>
      </c>
      <c r="L29" s="149">
        <v>3</v>
      </c>
      <c r="M29" s="149">
        <v>0</v>
      </c>
      <c r="N29" s="149">
        <v>0</v>
      </c>
      <c r="O29" s="149">
        <v>4</v>
      </c>
      <c r="P29" s="149">
        <v>3</v>
      </c>
      <c r="Q29" s="149">
        <v>6</v>
      </c>
      <c r="R29" s="149">
        <v>5</v>
      </c>
      <c r="S29" s="149">
        <v>2</v>
      </c>
      <c r="T29" s="149">
        <v>0</v>
      </c>
      <c r="U29" s="209" t="s">
        <v>816</v>
      </c>
      <c r="V29" s="209" t="s">
        <v>816</v>
      </c>
      <c r="W29" s="209" t="s">
        <v>816</v>
      </c>
      <c r="X29" s="209" t="s">
        <v>816</v>
      </c>
      <c r="Y29" s="209" t="s">
        <v>816</v>
      </c>
      <c r="Z29" s="209" t="s">
        <v>816</v>
      </c>
      <c r="AA29" s="209" t="s">
        <v>816</v>
      </c>
      <c r="AB29" s="209" t="s">
        <v>816</v>
      </c>
      <c r="AC29" s="150" t="s">
        <v>2100</v>
      </c>
      <c r="AD29" s="257" t="s">
        <v>2101</v>
      </c>
      <c r="AE29" s="257" t="s">
        <v>494</v>
      </c>
      <c r="AF29" s="257" t="s">
        <v>494</v>
      </c>
      <c r="AG29" s="149" t="s">
        <v>1974</v>
      </c>
      <c r="AH29" s="149">
        <v>9</v>
      </c>
      <c r="AI29" s="149" t="s">
        <v>1940</v>
      </c>
      <c r="AJ29" s="150" t="s">
        <v>816</v>
      </c>
      <c r="AK29" s="149">
        <v>5</v>
      </c>
      <c r="AL29" s="150" t="s">
        <v>816</v>
      </c>
      <c r="AM29" s="209" t="s">
        <v>816</v>
      </c>
      <c r="AN29" s="209" t="s">
        <v>816</v>
      </c>
      <c r="AO29" s="209" t="s">
        <v>816</v>
      </c>
      <c r="AP29" s="209" t="s">
        <v>816</v>
      </c>
      <c r="AQ29" s="209" t="s">
        <v>816</v>
      </c>
      <c r="AR29" s="209" t="s">
        <v>816</v>
      </c>
      <c r="AS29" s="209" t="s">
        <v>816</v>
      </c>
      <c r="AT29" s="209" t="s">
        <v>816</v>
      </c>
      <c r="AU29" s="209" t="s">
        <v>816</v>
      </c>
      <c r="AV29" s="209" t="s">
        <v>816</v>
      </c>
      <c r="AW29" s="209" t="s">
        <v>816</v>
      </c>
      <c r="AX29" s="209" t="s">
        <v>816</v>
      </c>
      <c r="AY29" s="209" t="s">
        <v>816</v>
      </c>
      <c r="AZ29" s="209" t="s">
        <v>816</v>
      </c>
      <c r="BA29" s="209" t="s">
        <v>816</v>
      </c>
      <c r="BB29" s="209" t="s">
        <v>816</v>
      </c>
      <c r="BC29" s="209" t="s">
        <v>816</v>
      </c>
      <c r="BD29" s="209" t="s">
        <v>816</v>
      </c>
      <c r="BE29" s="209" t="s">
        <v>816</v>
      </c>
      <c r="BF29" s="209" t="s">
        <v>816</v>
      </c>
      <c r="BG29" s="209" t="s">
        <v>816</v>
      </c>
      <c r="BH29" s="209" t="s">
        <v>816</v>
      </c>
      <c r="BI29" s="209" t="s">
        <v>816</v>
      </c>
      <c r="BJ29" s="209" t="s">
        <v>816</v>
      </c>
      <c r="BK29" s="209" t="s">
        <v>816</v>
      </c>
      <c r="BL29" s="209" t="s">
        <v>816</v>
      </c>
      <c r="BM29" s="209" t="s">
        <v>816</v>
      </c>
      <c r="BN29" s="209" t="s">
        <v>816</v>
      </c>
      <c r="BO29" s="209" t="s">
        <v>816</v>
      </c>
      <c r="BP29" s="209" t="s">
        <v>816</v>
      </c>
      <c r="BQ29" s="209" t="s">
        <v>816</v>
      </c>
      <c r="BR29" s="209" t="s">
        <v>816</v>
      </c>
      <c r="BS29" s="209" t="s">
        <v>816</v>
      </c>
      <c r="BT29" s="209" t="s">
        <v>816</v>
      </c>
      <c r="BU29" s="209" t="s">
        <v>816</v>
      </c>
      <c r="BV29" s="209" t="s">
        <v>816</v>
      </c>
      <c r="BZ29" s="149" t="str">
        <f>IF('House Rules'!B4="Available","Kerit","")</f>
        <v>Kerit</v>
      </c>
      <c r="CC29" s="149" t="str">
        <f>IF('House Rules'!B4="Available","5 Red Branch Knights (Medieval)","")</f>
        <v>5 Red Branch Knights (Medieval)</v>
      </c>
      <c r="CD29" s="149" t="s">
        <v>1964</v>
      </c>
      <c r="CE29" s="149" t="s">
        <v>1847</v>
      </c>
    </row>
    <row r="30" spans="1:83" x14ac:dyDescent="0.25">
      <c r="A30" s="149" t="s">
        <v>2151</v>
      </c>
      <c r="B30" s="149" t="s">
        <v>2239</v>
      </c>
      <c r="D30" s="149">
        <v>1</v>
      </c>
      <c r="E30" s="149">
        <v>3</v>
      </c>
      <c r="F30" s="149">
        <v>1</v>
      </c>
      <c r="G30" s="149">
        <v>0</v>
      </c>
      <c r="H30" s="149">
        <v>0</v>
      </c>
      <c r="I30" s="149">
        <v>3</v>
      </c>
      <c r="J30" s="149">
        <v>2</v>
      </c>
      <c r="K30" s="149">
        <v>3</v>
      </c>
      <c r="L30" s="149">
        <v>3</v>
      </c>
      <c r="M30" s="149">
        <v>3</v>
      </c>
      <c r="N30" s="149">
        <v>9</v>
      </c>
      <c r="O30" s="149">
        <v>3</v>
      </c>
      <c r="P30" s="149">
        <v>5</v>
      </c>
      <c r="Q30" s="149">
        <v>6</v>
      </c>
      <c r="R30" s="149">
        <v>1</v>
      </c>
      <c r="S30" s="149">
        <v>0</v>
      </c>
      <c r="T30" s="149">
        <v>0</v>
      </c>
      <c r="U30" s="149" t="s">
        <v>156</v>
      </c>
      <c r="V30" s="149">
        <v>2</v>
      </c>
      <c r="W30" s="149" t="s">
        <v>158</v>
      </c>
      <c r="X30" s="149">
        <v>2</v>
      </c>
      <c r="Y30" s="149" t="s">
        <v>163</v>
      </c>
      <c r="Z30" s="149">
        <v>3</v>
      </c>
      <c r="AA30" s="149" t="s">
        <v>176</v>
      </c>
      <c r="AB30" s="149">
        <v>2</v>
      </c>
      <c r="AC30" s="150" t="s">
        <v>2012</v>
      </c>
      <c r="AD30" s="257" t="s">
        <v>2013</v>
      </c>
      <c r="AE30" s="257" t="s">
        <v>2152</v>
      </c>
      <c r="AF30" s="257" t="s">
        <v>2308</v>
      </c>
      <c r="AG30" s="149" t="s">
        <v>2014</v>
      </c>
      <c r="AH30" s="149">
        <v>4</v>
      </c>
      <c r="AI30" s="149" t="s">
        <v>2015</v>
      </c>
      <c r="AJ30" s="150" t="s">
        <v>816</v>
      </c>
      <c r="AK30" s="149">
        <v>6</v>
      </c>
      <c r="AL30" s="150" t="s">
        <v>816</v>
      </c>
      <c r="AM30" s="209" t="s">
        <v>816</v>
      </c>
      <c r="AN30" s="209" t="s">
        <v>816</v>
      </c>
      <c r="AO30" s="209" t="s">
        <v>816</v>
      </c>
      <c r="AP30" s="209" t="s">
        <v>816</v>
      </c>
      <c r="AQ30" s="209" t="s">
        <v>816</v>
      </c>
      <c r="AR30" s="209" t="s">
        <v>816</v>
      </c>
      <c r="AS30" s="209" t="s">
        <v>816</v>
      </c>
      <c r="AT30" s="209" t="s">
        <v>816</v>
      </c>
      <c r="AU30" s="209" t="s">
        <v>816</v>
      </c>
      <c r="AV30" s="209" t="s">
        <v>816</v>
      </c>
      <c r="AW30" s="209" t="s">
        <v>816</v>
      </c>
      <c r="AX30" s="209" t="s">
        <v>816</v>
      </c>
      <c r="AY30" s="209" t="s">
        <v>816</v>
      </c>
      <c r="AZ30" s="209" t="s">
        <v>816</v>
      </c>
      <c r="BA30" s="209" t="s">
        <v>816</v>
      </c>
      <c r="BB30" s="209" t="s">
        <v>816</v>
      </c>
      <c r="BC30" s="209" t="s">
        <v>816</v>
      </c>
      <c r="BD30" s="209" t="s">
        <v>816</v>
      </c>
      <c r="BE30" s="209" t="s">
        <v>816</v>
      </c>
      <c r="BF30" s="209" t="s">
        <v>816</v>
      </c>
      <c r="BG30" s="209" t="s">
        <v>816</v>
      </c>
      <c r="BH30" s="209" t="s">
        <v>816</v>
      </c>
      <c r="BI30" s="209" t="s">
        <v>816</v>
      </c>
      <c r="BJ30" s="209" t="s">
        <v>816</v>
      </c>
      <c r="BK30" s="209" t="s">
        <v>816</v>
      </c>
      <c r="BL30" s="209" t="s">
        <v>816</v>
      </c>
      <c r="BM30" s="209" t="s">
        <v>816</v>
      </c>
      <c r="BN30" s="209" t="s">
        <v>816</v>
      </c>
      <c r="BO30" s="209" t="s">
        <v>816</v>
      </c>
      <c r="BP30" s="209" t="s">
        <v>816</v>
      </c>
      <c r="BQ30" s="209" t="s">
        <v>816</v>
      </c>
      <c r="BR30" s="209" t="s">
        <v>816</v>
      </c>
      <c r="BS30" s="209" t="s">
        <v>816</v>
      </c>
      <c r="BT30" s="209" t="s">
        <v>816</v>
      </c>
      <c r="BU30" s="209" t="s">
        <v>816</v>
      </c>
      <c r="BV30" s="209" t="s">
        <v>816</v>
      </c>
      <c r="BZ30" s="149" t="s">
        <v>1975</v>
      </c>
      <c r="CC30" s="149" t="str">
        <f>IF('House Rules'!B4="Available","5 Red Branch Knights (Modern)","")</f>
        <v>5 Red Branch Knights (Modern)</v>
      </c>
      <c r="CD30" s="149" t="s">
        <v>1855</v>
      </c>
      <c r="CE30" s="149" t="s">
        <v>1949</v>
      </c>
    </row>
    <row r="31" spans="1:83" x14ac:dyDescent="0.25">
      <c r="A31" s="149" t="s">
        <v>2108</v>
      </c>
      <c r="B31" s="149" t="s">
        <v>2239</v>
      </c>
      <c r="D31" s="149">
        <v>3</v>
      </c>
      <c r="E31" s="149">
        <v>3</v>
      </c>
      <c r="F31" s="149">
        <v>5</v>
      </c>
      <c r="G31" s="149">
        <v>5</v>
      </c>
      <c r="H31" s="149">
        <v>5</v>
      </c>
      <c r="I31" s="149">
        <v>5</v>
      </c>
      <c r="J31" s="149">
        <v>3</v>
      </c>
      <c r="K31" s="149">
        <v>2</v>
      </c>
      <c r="L31" s="149">
        <v>2</v>
      </c>
      <c r="M31" s="149">
        <v>5</v>
      </c>
      <c r="N31" s="149">
        <v>25</v>
      </c>
      <c r="O31" s="149">
        <v>5</v>
      </c>
      <c r="P31" s="149">
        <v>6</v>
      </c>
      <c r="Q31" s="149">
        <v>5</v>
      </c>
      <c r="R31" s="149">
        <v>10</v>
      </c>
      <c r="S31" s="149">
        <v>10</v>
      </c>
      <c r="T31" s="149">
        <v>5</v>
      </c>
      <c r="U31" s="209" t="s">
        <v>816</v>
      </c>
      <c r="V31" s="209" t="s">
        <v>816</v>
      </c>
      <c r="W31" s="209" t="s">
        <v>816</v>
      </c>
      <c r="X31" s="209" t="s">
        <v>816</v>
      </c>
      <c r="Y31" s="209" t="s">
        <v>816</v>
      </c>
      <c r="Z31" s="209" t="s">
        <v>816</v>
      </c>
      <c r="AA31" s="209" t="s">
        <v>816</v>
      </c>
      <c r="AB31" s="209" t="s">
        <v>816</v>
      </c>
      <c r="AC31" s="150" t="s">
        <v>2109</v>
      </c>
      <c r="AD31" s="257" t="s">
        <v>2110</v>
      </c>
      <c r="AE31" s="257" t="s">
        <v>2111</v>
      </c>
      <c r="AF31" s="257" t="s">
        <v>2112</v>
      </c>
      <c r="AG31" s="149" t="s">
        <v>2113</v>
      </c>
      <c r="AH31" s="149">
        <v>3</v>
      </c>
      <c r="AI31" s="149" t="s">
        <v>1879</v>
      </c>
      <c r="AJ31" s="150" t="s">
        <v>816</v>
      </c>
      <c r="AK31" s="149">
        <v>5</v>
      </c>
      <c r="AL31" s="150" t="s">
        <v>816</v>
      </c>
      <c r="AM31" s="149" t="s">
        <v>2114</v>
      </c>
      <c r="AN31" s="149">
        <v>4</v>
      </c>
      <c r="AO31" s="149" t="s">
        <v>1865</v>
      </c>
      <c r="AP31" s="149">
        <v>2</v>
      </c>
      <c r="AQ31" s="149">
        <v>5</v>
      </c>
      <c r="AR31" s="150" t="s">
        <v>816</v>
      </c>
      <c r="AS31" s="149" t="s">
        <v>2115</v>
      </c>
      <c r="AT31" s="149">
        <v>6</v>
      </c>
      <c r="AU31" s="149" t="s">
        <v>1864</v>
      </c>
      <c r="AV31" s="149">
        <v>3</v>
      </c>
      <c r="AW31" s="149">
        <v>5</v>
      </c>
      <c r="AX31" s="150" t="s">
        <v>816</v>
      </c>
      <c r="AY31" s="149" t="s">
        <v>2116</v>
      </c>
      <c r="AZ31" s="149">
        <v>4</v>
      </c>
      <c r="BA31" s="149" t="s">
        <v>1985</v>
      </c>
      <c r="BB31" s="149">
        <v>2</v>
      </c>
      <c r="BC31" s="149">
        <v>5</v>
      </c>
      <c r="BD31" s="150" t="s">
        <v>816</v>
      </c>
      <c r="BE31" s="149" t="s">
        <v>2117</v>
      </c>
      <c r="BF31" s="149">
        <v>2</v>
      </c>
      <c r="BG31" s="149" t="s">
        <v>1843</v>
      </c>
      <c r="BH31" s="149">
        <v>3</v>
      </c>
      <c r="BI31" s="149">
        <v>4</v>
      </c>
      <c r="BJ31" s="150" t="s">
        <v>816</v>
      </c>
      <c r="BK31" s="209" t="s">
        <v>816</v>
      </c>
      <c r="BL31" s="209" t="s">
        <v>816</v>
      </c>
      <c r="BM31" s="209" t="s">
        <v>816</v>
      </c>
      <c r="BN31" s="209" t="s">
        <v>816</v>
      </c>
      <c r="BO31" s="209" t="s">
        <v>816</v>
      </c>
      <c r="BP31" s="209" t="s">
        <v>816</v>
      </c>
      <c r="BQ31" s="209" t="s">
        <v>816</v>
      </c>
      <c r="BR31" s="209" t="s">
        <v>816</v>
      </c>
      <c r="BS31" s="209" t="s">
        <v>816</v>
      </c>
      <c r="BT31" s="209" t="s">
        <v>816</v>
      </c>
      <c r="BU31" s="209" t="s">
        <v>816</v>
      </c>
      <c r="BV31" s="209" t="s">
        <v>816</v>
      </c>
      <c r="BZ31" s="149" t="str">
        <f>IF('House Rules'!B4="Available","Liath Macha","")</f>
        <v>Liath Macha</v>
      </c>
      <c r="CC31" s="149" t="s">
        <v>1886</v>
      </c>
      <c r="CD31" s="149" t="s">
        <v>1927</v>
      </c>
      <c r="CE31" s="149" t="s">
        <v>1872</v>
      </c>
    </row>
    <row r="32" spans="1:83" x14ac:dyDescent="0.25">
      <c r="A32" s="149" t="s">
        <v>2007</v>
      </c>
      <c r="B32" s="149" t="s">
        <v>2239</v>
      </c>
      <c r="D32" s="149">
        <v>4</v>
      </c>
      <c r="E32" s="149">
        <v>3</v>
      </c>
      <c r="F32" s="149">
        <v>4</v>
      </c>
      <c r="G32" s="149">
        <v>0</v>
      </c>
      <c r="H32" s="149">
        <v>0</v>
      </c>
      <c r="I32" s="149">
        <v>2</v>
      </c>
      <c r="J32" s="149">
        <v>4</v>
      </c>
      <c r="K32" s="149">
        <v>2</v>
      </c>
      <c r="L32" s="149">
        <v>3</v>
      </c>
      <c r="M32" s="149">
        <v>0</v>
      </c>
      <c r="N32" s="149">
        <v>0</v>
      </c>
      <c r="O32" s="149">
        <v>2</v>
      </c>
      <c r="P32" s="149">
        <v>5</v>
      </c>
      <c r="Q32" s="149">
        <v>5</v>
      </c>
      <c r="R32" s="149">
        <v>4</v>
      </c>
      <c r="S32" s="149">
        <v>2</v>
      </c>
      <c r="T32" s="149">
        <v>2</v>
      </c>
      <c r="U32" s="209" t="s">
        <v>816</v>
      </c>
      <c r="V32" s="209" t="s">
        <v>816</v>
      </c>
      <c r="W32" s="209" t="s">
        <v>816</v>
      </c>
      <c r="X32" s="209" t="s">
        <v>816</v>
      </c>
      <c r="Y32" s="209" t="s">
        <v>816</v>
      </c>
      <c r="Z32" s="209" t="s">
        <v>816</v>
      </c>
      <c r="AA32" s="209" t="s">
        <v>816</v>
      </c>
      <c r="AB32" s="209" t="s">
        <v>816</v>
      </c>
      <c r="AC32" s="150" t="s">
        <v>1831</v>
      </c>
      <c r="AD32" s="257" t="s">
        <v>2102</v>
      </c>
      <c r="AE32" s="257" t="s">
        <v>494</v>
      </c>
      <c r="AF32" s="257" t="s">
        <v>494</v>
      </c>
      <c r="AG32" s="149" t="s">
        <v>1974</v>
      </c>
      <c r="AH32" s="149">
        <v>7</v>
      </c>
      <c r="AI32" s="149" t="s">
        <v>1865</v>
      </c>
      <c r="AJ32" s="150" t="s">
        <v>816</v>
      </c>
      <c r="AK32" s="149">
        <v>5</v>
      </c>
      <c r="AL32" s="150" t="s">
        <v>816</v>
      </c>
      <c r="AM32" s="209" t="s">
        <v>816</v>
      </c>
      <c r="AN32" s="209" t="s">
        <v>816</v>
      </c>
      <c r="AO32" s="209" t="s">
        <v>816</v>
      </c>
      <c r="AP32" s="209" t="s">
        <v>816</v>
      </c>
      <c r="AQ32" s="209" t="s">
        <v>816</v>
      </c>
      <c r="AR32" s="209" t="s">
        <v>816</v>
      </c>
      <c r="AS32" s="209" t="s">
        <v>816</v>
      </c>
      <c r="AT32" s="209" t="s">
        <v>816</v>
      </c>
      <c r="AU32" s="209" t="s">
        <v>816</v>
      </c>
      <c r="AV32" s="209" t="s">
        <v>816</v>
      </c>
      <c r="AW32" s="209" t="s">
        <v>816</v>
      </c>
      <c r="AX32" s="209" t="s">
        <v>816</v>
      </c>
      <c r="AY32" s="209" t="s">
        <v>816</v>
      </c>
      <c r="AZ32" s="209" t="s">
        <v>816</v>
      </c>
      <c r="BA32" s="209" t="s">
        <v>816</v>
      </c>
      <c r="BB32" s="209" t="s">
        <v>816</v>
      </c>
      <c r="BC32" s="209" t="s">
        <v>816</v>
      </c>
      <c r="BD32" s="209" t="s">
        <v>816</v>
      </c>
      <c r="BE32" s="209" t="s">
        <v>816</v>
      </c>
      <c r="BF32" s="209" t="s">
        <v>816</v>
      </c>
      <c r="BG32" s="209" t="s">
        <v>816</v>
      </c>
      <c r="BH32" s="209" t="s">
        <v>816</v>
      </c>
      <c r="BI32" s="209" t="s">
        <v>816</v>
      </c>
      <c r="BJ32" s="209" t="s">
        <v>816</v>
      </c>
      <c r="BK32" s="209" t="s">
        <v>816</v>
      </c>
      <c r="BL32" s="209" t="s">
        <v>816</v>
      </c>
      <c r="BM32" s="209" t="s">
        <v>816</v>
      </c>
      <c r="BN32" s="209" t="s">
        <v>816</v>
      </c>
      <c r="BO32" s="209" t="s">
        <v>816</v>
      </c>
      <c r="BP32" s="209" t="s">
        <v>816</v>
      </c>
      <c r="BQ32" s="209" t="s">
        <v>816</v>
      </c>
      <c r="BR32" s="209" t="s">
        <v>816</v>
      </c>
      <c r="BS32" s="209" t="s">
        <v>816</v>
      </c>
      <c r="BT32" s="209" t="s">
        <v>816</v>
      </c>
      <c r="BU32" s="209" t="s">
        <v>816</v>
      </c>
      <c r="BV32" s="209" t="s">
        <v>816</v>
      </c>
      <c r="BZ32" s="149" t="str">
        <f>IF('House Rules'!B4="Available","Mushhushshu","")</f>
        <v>Mushhushshu</v>
      </c>
      <c r="CC32" s="149" t="s">
        <v>1955</v>
      </c>
      <c r="CD32" s="149" t="s">
        <v>1838</v>
      </c>
      <c r="CE32" s="149" t="s">
        <v>1863</v>
      </c>
    </row>
    <row r="33" spans="1:83" x14ac:dyDescent="0.25">
      <c r="A33" s="149" t="s">
        <v>1853</v>
      </c>
      <c r="B33" s="149" t="s">
        <v>2246</v>
      </c>
      <c r="D33" s="149">
        <v>2</v>
      </c>
      <c r="E33" s="149">
        <v>3</v>
      </c>
      <c r="F33" s="149">
        <v>2</v>
      </c>
      <c r="G33" s="149">
        <v>2</v>
      </c>
      <c r="H33" s="149">
        <v>2</v>
      </c>
      <c r="I33" s="149">
        <v>2</v>
      </c>
      <c r="J33" s="149">
        <v>2</v>
      </c>
      <c r="K33" s="149">
        <v>2</v>
      </c>
      <c r="L33" s="149">
        <v>2</v>
      </c>
      <c r="M33" s="149">
        <v>0</v>
      </c>
      <c r="N33" s="149">
        <v>0</v>
      </c>
      <c r="O33" s="149">
        <v>2</v>
      </c>
      <c r="P33" s="149">
        <v>4</v>
      </c>
      <c r="Q33" s="149">
        <v>4</v>
      </c>
      <c r="R33" s="149">
        <v>4</v>
      </c>
      <c r="S33" s="149">
        <v>2</v>
      </c>
      <c r="T33" s="149">
        <v>2</v>
      </c>
      <c r="U33" s="209" t="s">
        <v>816</v>
      </c>
      <c r="V33" s="209" t="s">
        <v>816</v>
      </c>
      <c r="W33" s="209" t="s">
        <v>816</v>
      </c>
      <c r="X33" s="209" t="s">
        <v>816</v>
      </c>
      <c r="Y33" s="209" t="s">
        <v>816</v>
      </c>
      <c r="Z33" s="209" t="s">
        <v>816</v>
      </c>
      <c r="AA33" s="209" t="s">
        <v>816</v>
      </c>
      <c r="AB33" s="209" t="s">
        <v>816</v>
      </c>
      <c r="AC33" s="150" t="s">
        <v>1831</v>
      </c>
      <c r="AD33" s="257" t="s">
        <v>1857</v>
      </c>
      <c r="AE33" s="257" t="s">
        <v>494</v>
      </c>
      <c r="AF33" s="257" t="s">
        <v>1901</v>
      </c>
      <c r="AG33" s="149" t="s">
        <v>702</v>
      </c>
      <c r="AH33" s="149">
        <v>5</v>
      </c>
      <c r="AI33" s="149" t="s">
        <v>1833</v>
      </c>
      <c r="AJ33" s="150" t="s">
        <v>816</v>
      </c>
      <c r="AK33" s="149">
        <v>6</v>
      </c>
      <c r="AL33" s="150" t="s">
        <v>816</v>
      </c>
      <c r="AM33" s="149" t="s">
        <v>720</v>
      </c>
      <c r="AN33" s="149">
        <v>4</v>
      </c>
      <c r="AO33" s="149" t="s">
        <v>1834</v>
      </c>
      <c r="AP33" s="149">
        <v>1</v>
      </c>
      <c r="AQ33" s="149">
        <v>5</v>
      </c>
      <c r="AR33" s="150" t="s">
        <v>816</v>
      </c>
      <c r="AS33" s="149" t="s">
        <v>721</v>
      </c>
      <c r="AT33" s="149">
        <v>6</v>
      </c>
      <c r="AU33" s="149" t="s">
        <v>1833</v>
      </c>
      <c r="AV33" s="149">
        <v>3</v>
      </c>
      <c r="AW33" s="149">
        <v>4</v>
      </c>
      <c r="AX33" s="150" t="s">
        <v>816</v>
      </c>
      <c r="AY33" s="150" t="s">
        <v>1858</v>
      </c>
      <c r="AZ33" s="149">
        <v>5</v>
      </c>
      <c r="BA33" s="149" t="s">
        <v>1859</v>
      </c>
      <c r="BB33" s="150">
        <v>2</v>
      </c>
      <c r="BC33" s="149">
        <v>4</v>
      </c>
      <c r="BD33" s="150" t="s">
        <v>816</v>
      </c>
      <c r="BE33" s="149" t="s">
        <v>732</v>
      </c>
      <c r="BF33" s="149">
        <v>7</v>
      </c>
      <c r="BG33" s="149" t="s">
        <v>1843</v>
      </c>
      <c r="BH33" s="150" t="s">
        <v>816</v>
      </c>
      <c r="BI33" s="149">
        <v>4</v>
      </c>
      <c r="BJ33" s="150">
        <v>20</v>
      </c>
      <c r="BK33" s="209" t="s">
        <v>816</v>
      </c>
      <c r="BL33" s="209" t="s">
        <v>816</v>
      </c>
      <c r="BM33" s="209" t="s">
        <v>816</v>
      </c>
      <c r="BN33" s="209" t="s">
        <v>816</v>
      </c>
      <c r="BO33" s="209" t="s">
        <v>816</v>
      </c>
      <c r="BP33" s="209" t="s">
        <v>816</v>
      </c>
      <c r="BQ33" s="209" t="s">
        <v>816</v>
      </c>
      <c r="BR33" s="209" t="s">
        <v>816</v>
      </c>
      <c r="BS33" s="209" t="s">
        <v>816</v>
      </c>
      <c r="BT33" s="209" t="s">
        <v>816</v>
      </c>
      <c r="BU33" s="209" t="s">
        <v>816</v>
      </c>
      <c r="BV33" s="209" t="s">
        <v>816</v>
      </c>
      <c r="BZ33" s="149" t="s">
        <v>1980</v>
      </c>
      <c r="CC33" s="149" t="s">
        <v>1874</v>
      </c>
      <c r="CD33" s="149" t="str">
        <f>IF('House Rules'!B4="Available","20 Sprites","")</f>
        <v>20 Sprites</v>
      </c>
      <c r="CE33" s="149" t="s">
        <v>1965</v>
      </c>
    </row>
    <row r="34" spans="1:83" x14ac:dyDescent="0.25">
      <c r="A34" s="149" t="s">
        <v>1925</v>
      </c>
      <c r="B34" s="149" t="s">
        <v>2246</v>
      </c>
      <c r="D34" s="149">
        <v>2</v>
      </c>
      <c r="E34" s="149">
        <v>2</v>
      </c>
      <c r="F34" s="149">
        <v>2</v>
      </c>
      <c r="G34" s="149">
        <v>2</v>
      </c>
      <c r="H34" s="149">
        <v>2</v>
      </c>
      <c r="I34" s="149">
        <v>2</v>
      </c>
      <c r="J34" s="149">
        <v>2</v>
      </c>
      <c r="K34" s="149">
        <v>2</v>
      </c>
      <c r="L34" s="149">
        <v>2</v>
      </c>
      <c r="M34" s="149">
        <v>0</v>
      </c>
      <c r="N34" s="149">
        <v>0</v>
      </c>
      <c r="O34" s="149">
        <v>1</v>
      </c>
      <c r="P34" s="149">
        <v>6</v>
      </c>
      <c r="Q34" s="149">
        <v>3</v>
      </c>
      <c r="R34" s="149">
        <v>2</v>
      </c>
      <c r="S34" s="149">
        <v>0</v>
      </c>
      <c r="T34" s="149">
        <v>0</v>
      </c>
      <c r="U34" s="149" t="s">
        <v>169</v>
      </c>
      <c r="V34" s="149">
        <v>2</v>
      </c>
      <c r="W34" s="149" t="s">
        <v>171</v>
      </c>
      <c r="X34" s="149">
        <v>2</v>
      </c>
      <c r="Y34" s="149" t="s">
        <v>176</v>
      </c>
      <c r="Z34" s="149">
        <v>4</v>
      </c>
      <c r="AA34" s="149" t="s">
        <v>173</v>
      </c>
      <c r="AB34" s="149">
        <v>1</v>
      </c>
      <c r="AC34" s="150" t="s">
        <v>1831</v>
      </c>
      <c r="AD34" s="257" t="s">
        <v>1832</v>
      </c>
      <c r="AE34" s="258" t="s">
        <v>1929</v>
      </c>
      <c r="AF34" s="257" t="s">
        <v>494</v>
      </c>
      <c r="AG34" s="149" t="s">
        <v>702</v>
      </c>
      <c r="AH34" s="149">
        <v>3</v>
      </c>
      <c r="AI34" s="149" t="s">
        <v>1833</v>
      </c>
      <c r="AJ34" s="150" t="s">
        <v>816</v>
      </c>
      <c r="AK34" s="149">
        <v>6</v>
      </c>
      <c r="AL34" s="150" t="s">
        <v>816</v>
      </c>
      <c r="AM34" s="149" t="s">
        <v>720</v>
      </c>
      <c r="AN34" s="149">
        <v>2</v>
      </c>
      <c r="AO34" s="149" t="s">
        <v>1834</v>
      </c>
      <c r="AP34" s="149">
        <v>0</v>
      </c>
      <c r="AQ34" s="149">
        <v>5</v>
      </c>
      <c r="AR34" s="150" t="s">
        <v>816</v>
      </c>
      <c r="AS34" s="149" t="s">
        <v>721</v>
      </c>
      <c r="AT34" s="149">
        <v>4</v>
      </c>
      <c r="AU34" s="149" t="s">
        <v>1833</v>
      </c>
      <c r="AV34" s="149">
        <v>2</v>
      </c>
      <c r="AW34" s="149">
        <v>4</v>
      </c>
      <c r="AX34" s="150" t="s">
        <v>816</v>
      </c>
      <c r="AY34" s="209" t="s">
        <v>816</v>
      </c>
      <c r="AZ34" s="209" t="s">
        <v>816</v>
      </c>
      <c r="BA34" s="209" t="s">
        <v>816</v>
      </c>
      <c r="BB34" s="209" t="s">
        <v>816</v>
      </c>
      <c r="BC34" s="209" t="s">
        <v>816</v>
      </c>
      <c r="BD34" s="209" t="s">
        <v>816</v>
      </c>
      <c r="BE34" s="209" t="s">
        <v>816</v>
      </c>
      <c r="BF34" s="209" t="s">
        <v>816</v>
      </c>
      <c r="BG34" s="209" t="s">
        <v>816</v>
      </c>
      <c r="BH34" s="209" t="s">
        <v>816</v>
      </c>
      <c r="BI34" s="209" t="s">
        <v>816</v>
      </c>
      <c r="BJ34" s="209" t="s">
        <v>816</v>
      </c>
      <c r="BK34" s="209" t="s">
        <v>816</v>
      </c>
      <c r="BL34" s="209" t="s">
        <v>816</v>
      </c>
      <c r="BM34" s="209" t="s">
        <v>816</v>
      </c>
      <c r="BN34" s="209" t="s">
        <v>816</v>
      </c>
      <c r="BO34" s="209" t="s">
        <v>816</v>
      </c>
      <c r="BP34" s="209" t="s">
        <v>816</v>
      </c>
      <c r="BQ34" s="209" t="s">
        <v>816</v>
      </c>
      <c r="BR34" s="209" t="s">
        <v>816</v>
      </c>
      <c r="BS34" s="209" t="s">
        <v>816</v>
      </c>
      <c r="BT34" s="209" t="s">
        <v>816</v>
      </c>
      <c r="BU34" s="209" t="s">
        <v>816</v>
      </c>
      <c r="BV34" s="209" t="s">
        <v>816</v>
      </c>
      <c r="BZ34" s="149" t="s">
        <v>2105</v>
      </c>
      <c r="CC34" s="149" t="str">
        <f>IF('House Rules'!B5="Prohibited","","Cult of Mithra - 10 Cultists")</f>
        <v>Cult of Mithra - 10 Cultists</v>
      </c>
      <c r="CD34" s="149" t="s">
        <v>1829</v>
      </c>
      <c r="CE34" s="149" t="s">
        <v>1856</v>
      </c>
    </row>
    <row r="35" spans="1:83" x14ac:dyDescent="0.25">
      <c r="A35" s="149" t="s">
        <v>1836</v>
      </c>
      <c r="B35" s="149" t="s">
        <v>2246</v>
      </c>
      <c r="D35" s="149">
        <v>2</v>
      </c>
      <c r="E35" s="149">
        <v>3</v>
      </c>
      <c r="F35" s="149">
        <v>2</v>
      </c>
      <c r="G35" s="149">
        <v>2</v>
      </c>
      <c r="H35" s="149">
        <v>2</v>
      </c>
      <c r="I35" s="149">
        <v>2</v>
      </c>
      <c r="J35" s="149">
        <v>2</v>
      </c>
      <c r="K35" s="149">
        <v>2</v>
      </c>
      <c r="L35" s="149">
        <v>2</v>
      </c>
      <c r="M35" s="149">
        <v>0</v>
      </c>
      <c r="N35" s="149">
        <v>0</v>
      </c>
      <c r="O35" s="149">
        <v>2</v>
      </c>
      <c r="P35" s="149">
        <v>4</v>
      </c>
      <c r="Q35" s="149">
        <v>4</v>
      </c>
      <c r="R35" s="149">
        <v>4</v>
      </c>
      <c r="S35" s="149">
        <v>0</v>
      </c>
      <c r="T35" s="149">
        <v>0</v>
      </c>
      <c r="U35" s="209" t="s">
        <v>816</v>
      </c>
      <c r="V35" s="209" t="s">
        <v>816</v>
      </c>
      <c r="W35" s="209" t="s">
        <v>816</v>
      </c>
      <c r="X35" s="209" t="s">
        <v>816</v>
      </c>
      <c r="Y35" s="209" t="s">
        <v>816</v>
      </c>
      <c r="Z35" s="209" t="s">
        <v>816</v>
      </c>
      <c r="AA35" s="209" t="s">
        <v>816</v>
      </c>
      <c r="AB35" s="209" t="s">
        <v>816</v>
      </c>
      <c r="AC35" s="150" t="s">
        <v>1831</v>
      </c>
      <c r="AD35" s="257" t="s">
        <v>1840</v>
      </c>
      <c r="AE35" s="257" t="s">
        <v>494</v>
      </c>
      <c r="AF35" s="257" t="s">
        <v>494</v>
      </c>
      <c r="AG35" s="149" t="s">
        <v>702</v>
      </c>
      <c r="AH35" s="149">
        <v>5</v>
      </c>
      <c r="AI35" s="149" t="s">
        <v>1833</v>
      </c>
      <c r="AJ35" s="150" t="s">
        <v>816</v>
      </c>
      <c r="AK35" s="149">
        <v>6</v>
      </c>
      <c r="AL35" s="150" t="s">
        <v>816</v>
      </c>
      <c r="AM35" s="149" t="s">
        <v>720</v>
      </c>
      <c r="AN35" s="149">
        <v>4</v>
      </c>
      <c r="AO35" s="149" t="s">
        <v>1834</v>
      </c>
      <c r="AP35" s="149">
        <v>1</v>
      </c>
      <c r="AQ35" s="149">
        <v>5</v>
      </c>
      <c r="AR35" s="150" t="s">
        <v>816</v>
      </c>
      <c r="AS35" s="149" t="s">
        <v>721</v>
      </c>
      <c r="AT35" s="149">
        <v>6</v>
      </c>
      <c r="AU35" s="149" t="s">
        <v>1833</v>
      </c>
      <c r="AV35" s="149">
        <v>3</v>
      </c>
      <c r="AW35" s="149">
        <v>4</v>
      </c>
      <c r="AX35" s="150" t="s">
        <v>816</v>
      </c>
      <c r="AY35" s="150" t="s">
        <v>1841</v>
      </c>
      <c r="AZ35" s="149">
        <v>5</v>
      </c>
      <c r="BA35" s="149" t="s">
        <v>1843</v>
      </c>
      <c r="BB35" s="150" t="s">
        <v>816</v>
      </c>
      <c r="BC35" s="149">
        <v>4</v>
      </c>
      <c r="BD35" s="149">
        <v>20</v>
      </c>
      <c r="BE35" s="149" t="s">
        <v>1842</v>
      </c>
      <c r="BF35" s="149">
        <v>5</v>
      </c>
      <c r="BG35" s="149" t="s">
        <v>1843</v>
      </c>
      <c r="BH35" s="149">
        <v>2</v>
      </c>
      <c r="BI35" s="149">
        <v>4</v>
      </c>
      <c r="BJ35" s="150" t="s">
        <v>816</v>
      </c>
      <c r="BK35" s="209" t="s">
        <v>816</v>
      </c>
      <c r="BL35" s="209" t="s">
        <v>816</v>
      </c>
      <c r="BM35" s="209" t="s">
        <v>816</v>
      </c>
      <c r="BN35" s="209" t="s">
        <v>816</v>
      </c>
      <c r="BO35" s="209" t="s">
        <v>816</v>
      </c>
      <c r="BP35" s="209" t="s">
        <v>816</v>
      </c>
      <c r="BQ35" s="209" t="s">
        <v>816</v>
      </c>
      <c r="BR35" s="209" t="s">
        <v>816</v>
      </c>
      <c r="BS35" s="209" t="s">
        <v>816</v>
      </c>
      <c r="BT35" s="209" t="s">
        <v>816</v>
      </c>
      <c r="BU35" s="209" t="s">
        <v>816</v>
      </c>
      <c r="BV35" s="209" t="s">
        <v>816</v>
      </c>
      <c r="BZ35" s="149" t="str">
        <f>IF('House Rules'!B4="Available","Qiongqi","")</f>
        <v>Qiongqi</v>
      </c>
      <c r="CC35" s="149" t="str">
        <f>IF('House Rules'!B3="Prohibited","","The Hidden Folk (soldier version)")</f>
        <v>The Hidden Folk (soldier version)</v>
      </c>
      <c r="CD35" s="149" t="str">
        <f>IF('House Rules'!B4="Available","5 Anauša (Modern)","")</f>
        <v>5 Anauša (Modern)</v>
      </c>
      <c r="CE35" s="149" t="s">
        <v>1928</v>
      </c>
    </row>
    <row r="36" spans="1:83" x14ac:dyDescent="0.25">
      <c r="A36" s="149" t="s">
        <v>2194</v>
      </c>
      <c r="B36" s="149" t="s">
        <v>2246</v>
      </c>
      <c r="D36" s="149">
        <v>1</v>
      </c>
      <c r="E36" s="149">
        <v>4</v>
      </c>
      <c r="F36" s="149">
        <v>1</v>
      </c>
      <c r="G36" s="149">
        <v>2</v>
      </c>
      <c r="H36" s="149">
        <v>1</v>
      </c>
      <c r="I36" s="149">
        <v>2</v>
      </c>
      <c r="J36" s="149">
        <v>3</v>
      </c>
      <c r="K36" s="149">
        <v>2</v>
      </c>
      <c r="L36" s="149">
        <v>3</v>
      </c>
      <c r="M36" s="149">
        <v>1</v>
      </c>
      <c r="N36" s="149">
        <v>1</v>
      </c>
      <c r="O36" s="149">
        <v>3</v>
      </c>
      <c r="P36" s="149">
        <v>6</v>
      </c>
      <c r="Q36" s="149">
        <v>6</v>
      </c>
      <c r="R36" s="149">
        <v>1</v>
      </c>
      <c r="S36" s="149">
        <v>0</v>
      </c>
      <c r="T36" s="149">
        <v>0</v>
      </c>
      <c r="U36" s="149" t="s">
        <v>159</v>
      </c>
      <c r="V36" s="149">
        <v>5</v>
      </c>
      <c r="W36" s="209" t="s">
        <v>816</v>
      </c>
      <c r="X36" s="209" t="s">
        <v>816</v>
      </c>
      <c r="Y36" s="209" t="s">
        <v>816</v>
      </c>
      <c r="Z36" s="209" t="s">
        <v>816</v>
      </c>
      <c r="AA36" s="209" t="s">
        <v>816</v>
      </c>
      <c r="AB36" s="209" t="s">
        <v>816</v>
      </c>
      <c r="AC36" s="150" t="s">
        <v>2198</v>
      </c>
      <c r="AD36" s="257" t="s">
        <v>2199</v>
      </c>
      <c r="AE36" s="257" t="s">
        <v>2200</v>
      </c>
      <c r="AF36" s="257" t="s">
        <v>2201</v>
      </c>
      <c r="AG36" s="149" t="s">
        <v>721</v>
      </c>
      <c r="AH36" s="149">
        <v>4</v>
      </c>
      <c r="AI36" s="149" t="s">
        <v>2202</v>
      </c>
      <c r="AJ36" s="149">
        <v>3</v>
      </c>
      <c r="AK36" s="149">
        <v>4</v>
      </c>
      <c r="AL36" s="150" t="s">
        <v>816</v>
      </c>
      <c r="AM36" s="209" t="s">
        <v>816</v>
      </c>
      <c r="AN36" s="209" t="s">
        <v>816</v>
      </c>
      <c r="AO36" s="209" t="s">
        <v>816</v>
      </c>
      <c r="AP36" s="209" t="s">
        <v>816</v>
      </c>
      <c r="AQ36" s="209" t="s">
        <v>816</v>
      </c>
      <c r="AR36" s="209" t="s">
        <v>816</v>
      </c>
      <c r="AS36" s="209" t="s">
        <v>816</v>
      </c>
      <c r="AT36" s="209" t="s">
        <v>816</v>
      </c>
      <c r="AU36" s="209" t="s">
        <v>816</v>
      </c>
      <c r="AV36" s="209" t="s">
        <v>816</v>
      </c>
      <c r="AW36" s="209" t="s">
        <v>816</v>
      </c>
      <c r="AX36" s="209" t="s">
        <v>816</v>
      </c>
      <c r="AY36" s="209" t="s">
        <v>816</v>
      </c>
      <c r="AZ36" s="209" t="s">
        <v>816</v>
      </c>
      <c r="BA36" s="209" t="s">
        <v>816</v>
      </c>
      <c r="BB36" s="209" t="s">
        <v>816</v>
      </c>
      <c r="BC36" s="209" t="s">
        <v>816</v>
      </c>
      <c r="BD36" s="209" t="s">
        <v>816</v>
      </c>
      <c r="BE36" s="209" t="s">
        <v>816</v>
      </c>
      <c r="BF36" s="209" t="s">
        <v>816</v>
      </c>
      <c r="BG36" s="209" t="s">
        <v>816</v>
      </c>
      <c r="BH36" s="209" t="s">
        <v>816</v>
      </c>
      <c r="BI36" s="209" t="s">
        <v>816</v>
      </c>
      <c r="BJ36" s="209" t="s">
        <v>816</v>
      </c>
      <c r="BK36" s="209" t="s">
        <v>816</v>
      </c>
      <c r="BL36" s="209" t="s">
        <v>816</v>
      </c>
      <c r="BM36" s="209" t="s">
        <v>816</v>
      </c>
      <c r="BN36" s="209" t="s">
        <v>816</v>
      </c>
      <c r="BO36" s="209" t="s">
        <v>816</v>
      </c>
      <c r="BP36" s="209" t="s">
        <v>816</v>
      </c>
      <c r="BQ36" s="209" t="s">
        <v>816</v>
      </c>
      <c r="BR36" s="209" t="s">
        <v>816</v>
      </c>
      <c r="BS36" s="209" t="s">
        <v>816</v>
      </c>
      <c r="BT36" s="209" t="s">
        <v>816</v>
      </c>
      <c r="BU36" s="209" t="s">
        <v>816</v>
      </c>
      <c r="BV36" s="209" t="s">
        <v>816</v>
      </c>
      <c r="BZ36" s="149" t="str">
        <f>IF('House Rules'!B2="Prohibited","No","Serpopard")</f>
        <v>Serpopard</v>
      </c>
      <c r="CC36" s="149" t="str">
        <f>IF('House Rules'!B3="Prohibited","","The Hidden Folk (thug version)")</f>
        <v>The Hidden Folk (thug version)</v>
      </c>
      <c r="CD36" s="149" t="s">
        <v>1930</v>
      </c>
      <c r="CE36" s="149" t="s">
        <v>1839</v>
      </c>
    </row>
    <row r="37" spans="1:83" x14ac:dyDescent="0.25">
      <c r="A37" s="149" t="s">
        <v>1826</v>
      </c>
      <c r="B37" s="149" t="s">
        <v>2246</v>
      </c>
      <c r="D37" s="149">
        <v>2</v>
      </c>
      <c r="E37" s="149">
        <v>2</v>
      </c>
      <c r="F37" s="149">
        <v>2</v>
      </c>
      <c r="G37" s="149">
        <v>2</v>
      </c>
      <c r="H37" s="149">
        <v>2</v>
      </c>
      <c r="I37" s="149">
        <v>2</v>
      </c>
      <c r="J37" s="149">
        <v>2</v>
      </c>
      <c r="K37" s="149">
        <v>2</v>
      </c>
      <c r="L37" s="149">
        <v>2</v>
      </c>
      <c r="M37" s="149">
        <v>0</v>
      </c>
      <c r="N37" s="149">
        <v>0</v>
      </c>
      <c r="O37" s="149">
        <v>1</v>
      </c>
      <c r="P37" s="149">
        <v>4</v>
      </c>
      <c r="Q37" s="149">
        <v>3</v>
      </c>
      <c r="R37" s="149">
        <v>2</v>
      </c>
      <c r="S37" s="149">
        <v>0</v>
      </c>
      <c r="T37" s="149">
        <v>0</v>
      </c>
      <c r="U37" s="209" t="s">
        <v>816</v>
      </c>
      <c r="V37" s="209" t="s">
        <v>816</v>
      </c>
      <c r="W37" s="209" t="s">
        <v>816</v>
      </c>
      <c r="X37" s="209" t="s">
        <v>816</v>
      </c>
      <c r="Y37" s="209" t="s">
        <v>816</v>
      </c>
      <c r="Z37" s="209" t="s">
        <v>816</v>
      </c>
      <c r="AA37" s="209" t="s">
        <v>816</v>
      </c>
      <c r="AB37" s="209" t="s">
        <v>816</v>
      </c>
      <c r="AC37" s="150" t="s">
        <v>1831</v>
      </c>
      <c r="AD37" s="257" t="s">
        <v>1832</v>
      </c>
      <c r="AE37" s="257" t="s">
        <v>494</v>
      </c>
      <c r="AF37" s="257" t="s">
        <v>494</v>
      </c>
      <c r="AG37" s="149" t="s">
        <v>702</v>
      </c>
      <c r="AH37" s="149">
        <v>3</v>
      </c>
      <c r="AI37" s="149" t="s">
        <v>1833</v>
      </c>
      <c r="AJ37" s="150" t="s">
        <v>816</v>
      </c>
      <c r="AK37" s="149">
        <v>6</v>
      </c>
      <c r="AL37" s="150" t="s">
        <v>816</v>
      </c>
      <c r="AM37" s="149" t="s">
        <v>720</v>
      </c>
      <c r="AN37" s="149">
        <v>2</v>
      </c>
      <c r="AO37" s="149" t="s">
        <v>1834</v>
      </c>
      <c r="AP37" s="149">
        <v>0</v>
      </c>
      <c r="AQ37" s="149">
        <v>5</v>
      </c>
      <c r="AR37" s="150" t="s">
        <v>816</v>
      </c>
      <c r="AS37" s="149" t="s">
        <v>721</v>
      </c>
      <c r="AT37" s="149">
        <v>4</v>
      </c>
      <c r="AU37" s="149" t="s">
        <v>1833</v>
      </c>
      <c r="AV37" s="149">
        <v>2</v>
      </c>
      <c r="AW37" s="149">
        <v>4</v>
      </c>
      <c r="AX37" s="150" t="s">
        <v>816</v>
      </c>
      <c r="AY37" s="209" t="s">
        <v>816</v>
      </c>
      <c r="AZ37" s="209" t="s">
        <v>816</v>
      </c>
      <c r="BA37" s="209" t="s">
        <v>816</v>
      </c>
      <c r="BB37" s="209" t="s">
        <v>816</v>
      </c>
      <c r="BC37" s="209" t="s">
        <v>816</v>
      </c>
      <c r="BD37" s="209" t="s">
        <v>816</v>
      </c>
      <c r="BE37" s="209" t="s">
        <v>816</v>
      </c>
      <c r="BF37" s="209" t="s">
        <v>816</v>
      </c>
      <c r="BG37" s="209" t="s">
        <v>816</v>
      </c>
      <c r="BH37" s="209" t="s">
        <v>816</v>
      </c>
      <c r="BI37" s="209" t="s">
        <v>816</v>
      </c>
      <c r="BJ37" s="209" t="s">
        <v>816</v>
      </c>
      <c r="BK37" s="209" t="s">
        <v>816</v>
      </c>
      <c r="BL37" s="209" t="s">
        <v>816</v>
      </c>
      <c r="BM37" s="209" t="s">
        <v>816</v>
      </c>
      <c r="BN37" s="209" t="s">
        <v>816</v>
      </c>
      <c r="BO37" s="209" t="s">
        <v>816</v>
      </c>
      <c r="BP37" s="209" t="s">
        <v>816</v>
      </c>
      <c r="BQ37" s="209" t="s">
        <v>816</v>
      </c>
      <c r="BR37" s="209" t="s">
        <v>816</v>
      </c>
      <c r="BS37" s="209" t="s">
        <v>816</v>
      </c>
      <c r="BT37" s="209" t="s">
        <v>816</v>
      </c>
      <c r="BU37" s="209" t="s">
        <v>816</v>
      </c>
      <c r="BV37" s="209" t="s">
        <v>816</v>
      </c>
      <c r="BZ37" s="149" t="str">
        <f>IF('House Rules'!B1="Prohibited","No","Shabti (larger)")</f>
        <v>Shabti (larger)</v>
      </c>
      <c r="CD37" s="149" t="s">
        <v>1932</v>
      </c>
      <c r="CE37" s="149" t="s">
        <v>2196</v>
      </c>
    </row>
    <row r="38" spans="1:83" x14ac:dyDescent="0.25">
      <c r="A38" s="149" t="s">
        <v>1897</v>
      </c>
      <c r="B38" s="149" t="s">
        <v>2246</v>
      </c>
      <c r="D38" s="149">
        <v>3</v>
      </c>
      <c r="E38" s="149">
        <v>3</v>
      </c>
      <c r="F38" s="149">
        <v>3</v>
      </c>
      <c r="G38" s="149">
        <v>2</v>
      </c>
      <c r="H38" s="149">
        <v>2</v>
      </c>
      <c r="I38" s="149">
        <v>2</v>
      </c>
      <c r="J38" s="149">
        <v>2</v>
      </c>
      <c r="K38" s="149">
        <v>2</v>
      </c>
      <c r="L38" s="149">
        <v>2</v>
      </c>
      <c r="M38" s="149">
        <v>1</v>
      </c>
      <c r="N38" s="149">
        <v>1</v>
      </c>
      <c r="O38" s="149">
        <v>3</v>
      </c>
      <c r="P38" s="149">
        <v>7</v>
      </c>
      <c r="Q38" s="149">
        <v>4</v>
      </c>
      <c r="R38" s="149">
        <f t="shared" ref="R38:R44" si="0">F38</f>
        <v>3</v>
      </c>
      <c r="S38" s="149">
        <f t="shared" ref="S38:S44" si="1">ROUNDUP(R38/2,0)</f>
        <v>2</v>
      </c>
      <c r="T38" s="149">
        <v>0</v>
      </c>
      <c r="U38" s="149" t="s">
        <v>156</v>
      </c>
      <c r="V38" s="149">
        <v>3</v>
      </c>
      <c r="W38" s="149" t="s">
        <v>157</v>
      </c>
      <c r="X38" s="149">
        <v>2</v>
      </c>
      <c r="Y38" s="149" t="s">
        <v>158</v>
      </c>
      <c r="Z38" s="149">
        <v>1</v>
      </c>
      <c r="AA38" s="149" t="s">
        <v>159</v>
      </c>
      <c r="AB38" s="149">
        <v>4</v>
      </c>
      <c r="AC38" s="150" t="s">
        <v>1831</v>
      </c>
      <c r="AD38" s="257" t="s">
        <v>1840</v>
      </c>
      <c r="AE38" s="257" t="s">
        <v>1904</v>
      </c>
      <c r="AF38" s="257" t="s">
        <v>494</v>
      </c>
      <c r="AG38" s="149" t="s">
        <v>702</v>
      </c>
      <c r="AH38" s="149">
        <v>5</v>
      </c>
      <c r="AI38" s="149" t="s">
        <v>1859</v>
      </c>
      <c r="AJ38" s="150" t="s">
        <v>816</v>
      </c>
      <c r="AK38" s="149">
        <v>6</v>
      </c>
      <c r="AL38" s="150" t="s">
        <v>816</v>
      </c>
      <c r="AM38" s="149" t="s">
        <v>720</v>
      </c>
      <c r="AN38" s="149">
        <v>4</v>
      </c>
      <c r="AO38" s="149" t="s">
        <v>1864</v>
      </c>
      <c r="AP38" s="149">
        <v>1</v>
      </c>
      <c r="AQ38" s="149">
        <v>5</v>
      </c>
      <c r="AR38" s="150" t="s">
        <v>816</v>
      </c>
      <c r="AS38" s="149" t="s">
        <v>721</v>
      </c>
      <c r="AT38" s="149">
        <v>6</v>
      </c>
      <c r="AU38" s="149" t="s">
        <v>1859</v>
      </c>
      <c r="AV38" s="149">
        <v>3</v>
      </c>
      <c r="AW38" s="149">
        <v>4</v>
      </c>
      <c r="AX38" s="150" t="s">
        <v>816</v>
      </c>
      <c r="AY38" s="150" t="s">
        <v>1841</v>
      </c>
      <c r="AZ38" s="149">
        <v>5</v>
      </c>
      <c r="BA38" s="149" t="s">
        <v>1843</v>
      </c>
      <c r="BB38" s="150" t="s">
        <v>816</v>
      </c>
      <c r="BC38" s="149">
        <v>4</v>
      </c>
      <c r="BD38" s="149">
        <v>20</v>
      </c>
      <c r="BE38" s="149" t="s">
        <v>1842</v>
      </c>
      <c r="BF38" s="149">
        <v>5</v>
      </c>
      <c r="BG38" s="149" t="s">
        <v>1879</v>
      </c>
      <c r="BH38" s="149">
        <v>2</v>
      </c>
      <c r="BI38" s="149">
        <v>4</v>
      </c>
      <c r="BJ38" s="150" t="s">
        <v>816</v>
      </c>
      <c r="BK38" s="209" t="s">
        <v>816</v>
      </c>
      <c r="BL38" s="209" t="s">
        <v>816</v>
      </c>
      <c r="BM38" s="209" t="s">
        <v>816</v>
      </c>
      <c r="BN38" s="209" t="s">
        <v>816</v>
      </c>
      <c r="BO38" s="209" t="s">
        <v>816</v>
      </c>
      <c r="BP38" s="209" t="s">
        <v>816</v>
      </c>
      <c r="BQ38" s="209" t="s">
        <v>816</v>
      </c>
      <c r="BR38" s="209" t="s">
        <v>816</v>
      </c>
      <c r="BS38" s="209" t="s">
        <v>816</v>
      </c>
      <c r="BT38" s="209" t="s">
        <v>816</v>
      </c>
      <c r="BU38" s="209" t="s">
        <v>816</v>
      </c>
      <c r="BV38" s="209" t="s">
        <v>816</v>
      </c>
      <c r="BZ38" s="149" t="str">
        <f>IF('House Rules'!B1="Prohibited","No","Shabti (Small)")</f>
        <v>Shabti (Small)</v>
      </c>
      <c r="CD38" s="149" t="str">
        <f>IF('House Rules'!B4="Available","5 Horsefaces/Oxheads","")</f>
        <v>5 Horsefaces/Oxheads</v>
      </c>
      <c r="CE38" s="149" t="s">
        <v>1934</v>
      </c>
    </row>
    <row r="39" spans="1:83" x14ac:dyDescent="0.25">
      <c r="A39" s="149" t="s">
        <v>1893</v>
      </c>
      <c r="B39" s="149" t="s">
        <v>2246</v>
      </c>
      <c r="D39" s="149">
        <v>2</v>
      </c>
      <c r="E39" s="149">
        <v>3</v>
      </c>
      <c r="F39" s="149">
        <v>4</v>
      </c>
      <c r="G39" s="149">
        <v>2</v>
      </c>
      <c r="H39" s="149">
        <v>2</v>
      </c>
      <c r="I39" s="149">
        <v>2</v>
      </c>
      <c r="J39" s="149">
        <v>2</v>
      </c>
      <c r="K39" s="149">
        <v>2</v>
      </c>
      <c r="L39" s="149">
        <v>2</v>
      </c>
      <c r="M39" s="149">
        <v>1</v>
      </c>
      <c r="N39" s="149">
        <v>1</v>
      </c>
      <c r="O39" s="149">
        <v>3</v>
      </c>
      <c r="P39" s="149">
        <v>7</v>
      </c>
      <c r="Q39" s="149">
        <v>4</v>
      </c>
      <c r="R39" s="149">
        <f t="shared" si="0"/>
        <v>4</v>
      </c>
      <c r="S39" s="149">
        <f t="shared" si="1"/>
        <v>2</v>
      </c>
      <c r="T39" s="149">
        <v>0</v>
      </c>
      <c r="U39" s="149" t="s">
        <v>156</v>
      </c>
      <c r="V39" s="149">
        <v>3</v>
      </c>
      <c r="W39" s="149" t="s">
        <v>157</v>
      </c>
      <c r="X39" s="149">
        <v>2</v>
      </c>
      <c r="Y39" s="149" t="s">
        <v>158</v>
      </c>
      <c r="Z39" s="149">
        <v>1</v>
      </c>
      <c r="AA39" s="149" t="s">
        <v>159</v>
      </c>
      <c r="AB39" s="149">
        <v>4</v>
      </c>
      <c r="AC39" s="150" t="s">
        <v>1831</v>
      </c>
      <c r="AD39" s="257" t="s">
        <v>1840</v>
      </c>
      <c r="AE39" s="257" t="s">
        <v>1904</v>
      </c>
      <c r="AF39" s="257" t="s">
        <v>494</v>
      </c>
      <c r="AG39" s="149" t="s">
        <v>702</v>
      </c>
      <c r="AH39" s="149">
        <v>5</v>
      </c>
      <c r="AI39" s="149" t="s">
        <v>1833</v>
      </c>
      <c r="AJ39" s="150" t="s">
        <v>816</v>
      </c>
      <c r="AK39" s="149">
        <v>6</v>
      </c>
      <c r="AL39" s="150" t="s">
        <v>816</v>
      </c>
      <c r="AM39" s="149" t="s">
        <v>720</v>
      </c>
      <c r="AN39" s="149">
        <v>4</v>
      </c>
      <c r="AO39" s="149" t="s">
        <v>1834</v>
      </c>
      <c r="AP39" s="149">
        <v>1</v>
      </c>
      <c r="AQ39" s="149">
        <v>5</v>
      </c>
      <c r="AR39" s="150" t="s">
        <v>816</v>
      </c>
      <c r="AS39" s="149" t="s">
        <v>721</v>
      </c>
      <c r="AT39" s="149">
        <v>6</v>
      </c>
      <c r="AU39" s="149" t="s">
        <v>1833</v>
      </c>
      <c r="AV39" s="149">
        <v>3</v>
      </c>
      <c r="AW39" s="149">
        <v>4</v>
      </c>
      <c r="AX39" s="150" t="s">
        <v>816</v>
      </c>
      <c r="AY39" s="150" t="s">
        <v>1841</v>
      </c>
      <c r="AZ39" s="149">
        <v>5</v>
      </c>
      <c r="BA39" s="149" t="s">
        <v>1843</v>
      </c>
      <c r="BB39" s="150" t="s">
        <v>816</v>
      </c>
      <c r="BC39" s="149">
        <v>4</v>
      </c>
      <c r="BD39" s="149">
        <v>20</v>
      </c>
      <c r="BE39" s="149" t="s">
        <v>1842</v>
      </c>
      <c r="BF39" s="149">
        <v>5</v>
      </c>
      <c r="BG39" s="149" t="s">
        <v>1843</v>
      </c>
      <c r="BH39" s="149">
        <v>2</v>
      </c>
      <c r="BI39" s="149">
        <v>4</v>
      </c>
      <c r="BJ39" s="150" t="s">
        <v>816</v>
      </c>
      <c r="BK39" s="209" t="s">
        <v>816</v>
      </c>
      <c r="BL39" s="209" t="s">
        <v>816</v>
      </c>
      <c r="BM39" s="209" t="s">
        <v>816</v>
      </c>
      <c r="BN39" s="209" t="s">
        <v>816</v>
      </c>
      <c r="BO39" s="209" t="s">
        <v>816</v>
      </c>
      <c r="BP39" s="209" t="s">
        <v>816</v>
      </c>
      <c r="BQ39" s="209" t="s">
        <v>816</v>
      </c>
      <c r="BR39" s="209" t="s">
        <v>816</v>
      </c>
      <c r="BS39" s="209" t="s">
        <v>816</v>
      </c>
      <c r="BT39" s="209" t="s">
        <v>816</v>
      </c>
      <c r="BU39" s="209" t="s">
        <v>816</v>
      </c>
      <c r="BV39" s="209" t="s">
        <v>816</v>
      </c>
      <c r="BZ39" s="149" t="str">
        <f>IF('House Rules'!B4="Available","Surabhi","")</f>
        <v>Surabhi</v>
      </c>
      <c r="CD39" s="149" t="s">
        <v>1952</v>
      </c>
      <c r="CE39" s="149" t="s">
        <v>1830</v>
      </c>
    </row>
    <row r="40" spans="1:83" x14ac:dyDescent="0.25">
      <c r="A40" s="149" t="s">
        <v>1889</v>
      </c>
      <c r="B40" s="149" t="s">
        <v>2246</v>
      </c>
      <c r="D40" s="149">
        <v>4</v>
      </c>
      <c r="E40" s="149">
        <v>3</v>
      </c>
      <c r="F40" s="149">
        <v>2</v>
      </c>
      <c r="G40" s="149">
        <v>2</v>
      </c>
      <c r="H40" s="149">
        <v>2</v>
      </c>
      <c r="I40" s="149">
        <v>2</v>
      </c>
      <c r="J40" s="149">
        <v>2</v>
      </c>
      <c r="K40" s="149">
        <v>2</v>
      </c>
      <c r="L40" s="149">
        <v>2</v>
      </c>
      <c r="M40" s="149">
        <v>1</v>
      </c>
      <c r="N40" s="149">
        <v>1</v>
      </c>
      <c r="O40" s="149">
        <v>3</v>
      </c>
      <c r="P40" s="149">
        <v>7</v>
      </c>
      <c r="Q40" s="149">
        <v>4</v>
      </c>
      <c r="R40" s="149">
        <f t="shared" si="0"/>
        <v>2</v>
      </c>
      <c r="S40" s="149">
        <f t="shared" si="1"/>
        <v>1</v>
      </c>
      <c r="T40" s="149">
        <v>0</v>
      </c>
      <c r="U40" s="149" t="s">
        <v>156</v>
      </c>
      <c r="V40" s="149">
        <v>3</v>
      </c>
      <c r="W40" s="149" t="s">
        <v>157</v>
      </c>
      <c r="X40" s="149">
        <v>2</v>
      </c>
      <c r="Y40" s="149" t="s">
        <v>158</v>
      </c>
      <c r="Z40" s="149">
        <v>1</v>
      </c>
      <c r="AA40" s="149" t="s">
        <v>159</v>
      </c>
      <c r="AB40" s="149">
        <v>4</v>
      </c>
      <c r="AC40" s="150" t="s">
        <v>1831</v>
      </c>
      <c r="AD40" s="257" t="s">
        <v>1840</v>
      </c>
      <c r="AE40" s="257" t="s">
        <v>1904</v>
      </c>
      <c r="AF40" s="257" t="s">
        <v>494</v>
      </c>
      <c r="AG40" s="149" t="s">
        <v>702</v>
      </c>
      <c r="AH40" s="149">
        <v>5</v>
      </c>
      <c r="AI40" s="149" t="s">
        <v>1878</v>
      </c>
      <c r="AJ40" s="150" t="s">
        <v>816</v>
      </c>
      <c r="AK40" s="149">
        <v>6</v>
      </c>
      <c r="AL40" s="150" t="s">
        <v>816</v>
      </c>
      <c r="AM40" s="149" t="s">
        <v>720</v>
      </c>
      <c r="AN40" s="149">
        <v>4</v>
      </c>
      <c r="AO40" s="149" t="s">
        <v>1877</v>
      </c>
      <c r="AP40" s="149">
        <v>1</v>
      </c>
      <c r="AQ40" s="149">
        <v>5</v>
      </c>
      <c r="AR40" s="150" t="s">
        <v>816</v>
      </c>
      <c r="AS40" s="149" t="s">
        <v>721</v>
      </c>
      <c r="AT40" s="149">
        <v>6</v>
      </c>
      <c r="AU40" s="149" t="s">
        <v>1878</v>
      </c>
      <c r="AV40" s="149">
        <v>3</v>
      </c>
      <c r="AW40" s="149">
        <v>4</v>
      </c>
      <c r="AX40" s="150" t="s">
        <v>816</v>
      </c>
      <c r="AY40" s="150" t="s">
        <v>1841</v>
      </c>
      <c r="AZ40" s="149">
        <v>5</v>
      </c>
      <c r="BA40" s="149" t="s">
        <v>1843</v>
      </c>
      <c r="BB40" s="150" t="s">
        <v>816</v>
      </c>
      <c r="BC40" s="149">
        <v>4</v>
      </c>
      <c r="BD40" s="149">
        <v>20</v>
      </c>
      <c r="BE40" s="149" t="s">
        <v>1842</v>
      </c>
      <c r="BF40" s="149">
        <v>5</v>
      </c>
      <c r="BG40" s="149" t="s">
        <v>1865</v>
      </c>
      <c r="BH40" s="149">
        <v>2</v>
      </c>
      <c r="BI40" s="149">
        <v>4</v>
      </c>
      <c r="BJ40" s="150" t="s">
        <v>816</v>
      </c>
      <c r="BK40" s="209" t="s">
        <v>816</v>
      </c>
      <c r="BL40" s="209" t="s">
        <v>816</v>
      </c>
      <c r="BM40" s="209" t="s">
        <v>816</v>
      </c>
      <c r="BN40" s="209" t="s">
        <v>816</v>
      </c>
      <c r="BO40" s="209" t="s">
        <v>816</v>
      </c>
      <c r="BP40" s="209" t="s">
        <v>816</v>
      </c>
      <c r="BQ40" s="209" t="s">
        <v>816</v>
      </c>
      <c r="BR40" s="209" t="s">
        <v>816</v>
      </c>
      <c r="BS40" s="209" t="s">
        <v>816</v>
      </c>
      <c r="BT40" s="209" t="s">
        <v>816</v>
      </c>
      <c r="BU40" s="209" t="s">
        <v>816</v>
      </c>
      <c r="BV40" s="209" t="s">
        <v>816</v>
      </c>
      <c r="BZ40" s="149" t="s">
        <v>1981</v>
      </c>
      <c r="CD40" s="149" t="str">
        <f>IF('House Rules'!B5="Prohibited","","Cult of Mithra - 15 Cultists")</f>
        <v>Cult of Mithra - 15 Cultists</v>
      </c>
      <c r="CE40" s="149" t="str">
        <f>IF('House Rules'!B5="Prohibited","","Cult of Mithra - 20 Cultists")</f>
        <v>Cult of Mithra - 20 Cultists</v>
      </c>
    </row>
    <row r="41" spans="1:83" x14ac:dyDescent="0.25">
      <c r="A41" s="149" t="s">
        <v>1909</v>
      </c>
      <c r="B41" s="149" t="s">
        <v>2246</v>
      </c>
      <c r="D41" s="149">
        <v>2</v>
      </c>
      <c r="E41" s="149">
        <v>3</v>
      </c>
      <c r="F41" s="149">
        <v>5</v>
      </c>
      <c r="G41" s="149">
        <v>2</v>
      </c>
      <c r="H41" s="149">
        <v>2</v>
      </c>
      <c r="I41" s="149">
        <v>2</v>
      </c>
      <c r="J41" s="149">
        <v>2</v>
      </c>
      <c r="K41" s="149">
        <v>2</v>
      </c>
      <c r="L41" s="149">
        <v>2</v>
      </c>
      <c r="M41" s="149">
        <v>1</v>
      </c>
      <c r="N41" s="149">
        <v>1</v>
      </c>
      <c r="O41" s="149">
        <v>3</v>
      </c>
      <c r="P41" s="149">
        <v>7</v>
      </c>
      <c r="Q41" s="149">
        <v>4</v>
      </c>
      <c r="R41" s="149">
        <f t="shared" si="0"/>
        <v>5</v>
      </c>
      <c r="S41" s="149">
        <f t="shared" si="1"/>
        <v>3</v>
      </c>
      <c r="T41" s="149">
        <v>0</v>
      </c>
      <c r="U41" s="149" t="s">
        <v>156</v>
      </c>
      <c r="V41" s="149">
        <v>3</v>
      </c>
      <c r="W41" s="149" t="s">
        <v>157</v>
      </c>
      <c r="X41" s="149">
        <v>2</v>
      </c>
      <c r="Y41" s="149" t="s">
        <v>158</v>
      </c>
      <c r="Z41" s="149">
        <v>1</v>
      </c>
      <c r="AA41" s="149" t="s">
        <v>159</v>
      </c>
      <c r="AB41" s="149">
        <v>4</v>
      </c>
      <c r="AC41" s="150" t="s">
        <v>1831</v>
      </c>
      <c r="AD41" s="257" t="s">
        <v>1840</v>
      </c>
      <c r="AE41" s="257" t="s">
        <v>1921</v>
      </c>
      <c r="AF41" s="257" t="s">
        <v>494</v>
      </c>
      <c r="AG41" s="149" t="s">
        <v>702</v>
      </c>
      <c r="AH41" s="149">
        <v>5</v>
      </c>
      <c r="AI41" s="149" t="s">
        <v>1833</v>
      </c>
      <c r="AJ41" s="150" t="s">
        <v>816</v>
      </c>
      <c r="AK41" s="149">
        <v>6</v>
      </c>
      <c r="AL41" s="150" t="s">
        <v>816</v>
      </c>
      <c r="AM41" s="149" t="s">
        <v>720</v>
      </c>
      <c r="AN41" s="149">
        <v>4</v>
      </c>
      <c r="AO41" s="149" t="s">
        <v>1834</v>
      </c>
      <c r="AP41" s="149">
        <v>1</v>
      </c>
      <c r="AQ41" s="149">
        <v>5</v>
      </c>
      <c r="AR41" s="150" t="s">
        <v>816</v>
      </c>
      <c r="AS41" s="149" t="s">
        <v>721</v>
      </c>
      <c r="AT41" s="149">
        <v>6</v>
      </c>
      <c r="AU41" s="149" t="s">
        <v>1833</v>
      </c>
      <c r="AV41" s="149">
        <v>3</v>
      </c>
      <c r="AW41" s="149">
        <v>4</v>
      </c>
      <c r="AX41" s="150" t="s">
        <v>816</v>
      </c>
      <c r="AY41" s="150" t="s">
        <v>1841</v>
      </c>
      <c r="AZ41" s="149">
        <v>5</v>
      </c>
      <c r="BA41" s="149" t="s">
        <v>1843</v>
      </c>
      <c r="BB41" s="150" t="s">
        <v>816</v>
      </c>
      <c r="BC41" s="149">
        <v>4</v>
      </c>
      <c r="BD41" s="149">
        <v>20</v>
      </c>
      <c r="BE41" s="149" t="s">
        <v>1842</v>
      </c>
      <c r="BF41" s="149">
        <v>5</v>
      </c>
      <c r="BG41" s="149" t="s">
        <v>1843</v>
      </c>
      <c r="BH41" s="149">
        <v>2</v>
      </c>
      <c r="BI41" s="149">
        <v>4</v>
      </c>
      <c r="BJ41" s="150" t="s">
        <v>816</v>
      </c>
      <c r="BK41" s="209" t="s">
        <v>816</v>
      </c>
      <c r="BL41" s="209" t="s">
        <v>816</v>
      </c>
      <c r="BM41" s="209" t="s">
        <v>816</v>
      </c>
      <c r="BN41" s="209" t="s">
        <v>816</v>
      </c>
      <c r="BO41" s="209" t="s">
        <v>816</v>
      </c>
      <c r="BP41" s="209" t="s">
        <v>816</v>
      </c>
      <c r="BQ41" s="209" t="s">
        <v>816</v>
      </c>
      <c r="BR41" s="209" t="s">
        <v>816</v>
      </c>
      <c r="BS41" s="209" t="s">
        <v>816</v>
      </c>
      <c r="BT41" s="209" t="s">
        <v>816</v>
      </c>
      <c r="BU41" s="209" t="s">
        <v>816</v>
      </c>
      <c r="BV41" s="209" t="s">
        <v>816</v>
      </c>
      <c r="BZ41" s="149" t="str">
        <f>IF('House Rules'!B4="Available","The Flocks of Morrigan","")</f>
        <v>The Flocks of Morrigan</v>
      </c>
      <c r="CE41" s="149" t="str">
        <f>IF('House Rules'!B1="Prohibited","No","Minotaur")</f>
        <v>Minotaur</v>
      </c>
    </row>
    <row r="42" spans="1:83" x14ac:dyDescent="0.25">
      <c r="A42" s="149" t="s">
        <v>1905</v>
      </c>
      <c r="B42" s="149" t="s">
        <v>2246</v>
      </c>
      <c r="D42" s="149">
        <v>5</v>
      </c>
      <c r="E42" s="149">
        <v>3</v>
      </c>
      <c r="F42" s="149">
        <v>2</v>
      </c>
      <c r="G42" s="149">
        <v>2</v>
      </c>
      <c r="H42" s="149">
        <v>2</v>
      </c>
      <c r="I42" s="149">
        <v>2</v>
      </c>
      <c r="J42" s="149">
        <v>2</v>
      </c>
      <c r="K42" s="149">
        <v>2</v>
      </c>
      <c r="L42" s="149">
        <v>2</v>
      </c>
      <c r="M42" s="149">
        <v>1</v>
      </c>
      <c r="N42" s="149">
        <v>1</v>
      </c>
      <c r="O42" s="149">
        <v>3</v>
      </c>
      <c r="P42" s="149">
        <v>7</v>
      </c>
      <c r="Q42" s="149">
        <v>4</v>
      </c>
      <c r="R42" s="149">
        <f t="shared" si="0"/>
        <v>2</v>
      </c>
      <c r="S42" s="149">
        <f t="shared" si="1"/>
        <v>1</v>
      </c>
      <c r="T42" s="149">
        <v>0</v>
      </c>
      <c r="U42" s="149" t="s">
        <v>156</v>
      </c>
      <c r="V42" s="149">
        <v>3</v>
      </c>
      <c r="W42" s="149" t="s">
        <v>157</v>
      </c>
      <c r="X42" s="149">
        <v>2</v>
      </c>
      <c r="Y42" s="149" t="s">
        <v>158</v>
      </c>
      <c r="Z42" s="149">
        <v>1</v>
      </c>
      <c r="AA42" s="149" t="s">
        <v>159</v>
      </c>
      <c r="AB42" s="149">
        <v>4</v>
      </c>
      <c r="AC42" s="150" t="s">
        <v>1831</v>
      </c>
      <c r="AD42" s="257" t="s">
        <v>1840</v>
      </c>
      <c r="AE42" s="257" t="s">
        <v>1921</v>
      </c>
      <c r="AF42" s="257" t="s">
        <v>494</v>
      </c>
      <c r="AG42" s="149" t="s">
        <v>702</v>
      </c>
      <c r="AH42" s="149">
        <v>5</v>
      </c>
      <c r="AI42" s="149" t="s">
        <v>1834</v>
      </c>
      <c r="AJ42" s="150" t="s">
        <v>816</v>
      </c>
      <c r="AK42" s="149">
        <v>6</v>
      </c>
      <c r="AL42" s="150" t="s">
        <v>816</v>
      </c>
      <c r="AM42" s="149" t="s">
        <v>720</v>
      </c>
      <c r="AN42" s="149">
        <v>4</v>
      </c>
      <c r="AO42" s="149" t="s">
        <v>1922</v>
      </c>
      <c r="AP42" s="149">
        <v>1</v>
      </c>
      <c r="AQ42" s="149">
        <v>5</v>
      </c>
      <c r="AR42" s="150" t="s">
        <v>816</v>
      </c>
      <c r="AS42" s="149" t="s">
        <v>721</v>
      </c>
      <c r="AT42" s="149">
        <v>6</v>
      </c>
      <c r="AU42" s="149" t="s">
        <v>1834</v>
      </c>
      <c r="AV42" s="149">
        <v>3</v>
      </c>
      <c r="AW42" s="149">
        <v>4</v>
      </c>
      <c r="AX42" s="150" t="s">
        <v>816</v>
      </c>
      <c r="AY42" s="150" t="s">
        <v>1841</v>
      </c>
      <c r="AZ42" s="149">
        <v>5</v>
      </c>
      <c r="BA42" s="149" t="s">
        <v>1843</v>
      </c>
      <c r="BB42" s="150" t="s">
        <v>816</v>
      </c>
      <c r="BC42" s="149">
        <v>4</v>
      </c>
      <c r="BD42" s="149">
        <v>20</v>
      </c>
      <c r="BE42" s="149" t="s">
        <v>1842</v>
      </c>
      <c r="BF42" s="149">
        <v>5</v>
      </c>
      <c r="BG42" s="149" t="s">
        <v>1923</v>
      </c>
      <c r="BH42" s="149">
        <v>2</v>
      </c>
      <c r="BI42" s="149">
        <v>4</v>
      </c>
      <c r="BJ42" s="150" t="s">
        <v>816</v>
      </c>
      <c r="BK42" s="209" t="s">
        <v>816</v>
      </c>
      <c r="BL42" s="209" t="s">
        <v>816</v>
      </c>
      <c r="BM42" s="209" t="s">
        <v>816</v>
      </c>
      <c r="BN42" s="209" t="s">
        <v>816</v>
      </c>
      <c r="BO42" s="209" t="s">
        <v>816</v>
      </c>
      <c r="BP42" s="209" t="s">
        <v>816</v>
      </c>
      <c r="BQ42" s="209" t="s">
        <v>816</v>
      </c>
      <c r="BR42" s="209" t="s">
        <v>816</v>
      </c>
      <c r="BS42" s="209" t="s">
        <v>816</v>
      </c>
      <c r="BT42" s="209" t="s">
        <v>816</v>
      </c>
      <c r="BU42" s="209" t="s">
        <v>816</v>
      </c>
      <c r="BV42" s="209" t="s">
        <v>816</v>
      </c>
      <c r="BZ42" s="149" t="str">
        <f>IF('House Rules'!B1="Prohibited","No","The Golden Servant of Hephaestus")</f>
        <v>The Golden Servant of Hephaestus</v>
      </c>
    </row>
    <row r="43" spans="1:83" x14ac:dyDescent="0.25">
      <c r="A43" s="149" t="s">
        <v>1917</v>
      </c>
      <c r="B43" s="149" t="s">
        <v>2246</v>
      </c>
      <c r="D43" s="149">
        <v>3</v>
      </c>
      <c r="E43" s="149">
        <v>3</v>
      </c>
      <c r="F43" s="149">
        <v>4</v>
      </c>
      <c r="G43" s="149">
        <v>2</v>
      </c>
      <c r="H43" s="149">
        <v>2</v>
      </c>
      <c r="I43" s="149">
        <v>2</v>
      </c>
      <c r="J43" s="149">
        <v>2</v>
      </c>
      <c r="K43" s="149">
        <v>2</v>
      </c>
      <c r="L43" s="149">
        <v>2</v>
      </c>
      <c r="M43" s="149">
        <v>1</v>
      </c>
      <c r="N43" s="149">
        <v>1</v>
      </c>
      <c r="O43" s="149">
        <v>3</v>
      </c>
      <c r="P43" s="149">
        <v>7</v>
      </c>
      <c r="Q43" s="149">
        <v>4</v>
      </c>
      <c r="R43" s="149">
        <f t="shared" si="0"/>
        <v>4</v>
      </c>
      <c r="S43" s="149">
        <f t="shared" si="1"/>
        <v>2</v>
      </c>
      <c r="T43" s="149">
        <v>0</v>
      </c>
      <c r="U43" s="149" t="s">
        <v>156</v>
      </c>
      <c r="V43" s="149">
        <v>3</v>
      </c>
      <c r="W43" s="149" t="s">
        <v>157</v>
      </c>
      <c r="X43" s="149">
        <v>2</v>
      </c>
      <c r="Y43" s="149" t="s">
        <v>158</v>
      </c>
      <c r="Z43" s="149">
        <v>1</v>
      </c>
      <c r="AA43" s="149" t="s">
        <v>159</v>
      </c>
      <c r="AB43" s="149">
        <v>4</v>
      </c>
      <c r="AC43" s="150" t="s">
        <v>1831</v>
      </c>
      <c r="AD43" s="257" t="s">
        <v>1840</v>
      </c>
      <c r="AE43" s="257" t="s">
        <v>1921</v>
      </c>
      <c r="AF43" s="257" t="s">
        <v>494</v>
      </c>
      <c r="AG43" s="149" t="s">
        <v>702</v>
      </c>
      <c r="AH43" s="149">
        <v>5</v>
      </c>
      <c r="AI43" s="149" t="s">
        <v>1859</v>
      </c>
      <c r="AJ43" s="150" t="s">
        <v>816</v>
      </c>
      <c r="AK43" s="149">
        <v>6</v>
      </c>
      <c r="AL43" s="150" t="s">
        <v>816</v>
      </c>
      <c r="AM43" s="149" t="s">
        <v>720</v>
      </c>
      <c r="AN43" s="149">
        <v>4</v>
      </c>
      <c r="AO43" s="149" t="s">
        <v>1864</v>
      </c>
      <c r="AP43" s="149">
        <v>1</v>
      </c>
      <c r="AQ43" s="149">
        <v>5</v>
      </c>
      <c r="AR43" s="150" t="s">
        <v>816</v>
      </c>
      <c r="AS43" s="149" t="s">
        <v>721</v>
      </c>
      <c r="AT43" s="149">
        <v>6</v>
      </c>
      <c r="AU43" s="149" t="s">
        <v>1859</v>
      </c>
      <c r="AV43" s="149">
        <v>3</v>
      </c>
      <c r="AW43" s="149">
        <v>4</v>
      </c>
      <c r="AX43" s="150" t="s">
        <v>816</v>
      </c>
      <c r="AY43" s="150" t="s">
        <v>1841</v>
      </c>
      <c r="AZ43" s="149">
        <v>5</v>
      </c>
      <c r="BA43" s="149" t="s">
        <v>1843</v>
      </c>
      <c r="BB43" s="150" t="s">
        <v>816</v>
      </c>
      <c r="BC43" s="149">
        <v>4</v>
      </c>
      <c r="BD43" s="149">
        <v>20</v>
      </c>
      <c r="BE43" s="149" t="s">
        <v>1842</v>
      </c>
      <c r="BF43" s="149">
        <v>5</v>
      </c>
      <c r="BG43" s="149" t="s">
        <v>1879</v>
      </c>
      <c r="BH43" s="149">
        <v>2</v>
      </c>
      <c r="BI43" s="149">
        <v>4</v>
      </c>
      <c r="BJ43" s="150" t="s">
        <v>816</v>
      </c>
      <c r="BK43" s="209" t="s">
        <v>816</v>
      </c>
      <c r="BL43" s="209" t="s">
        <v>816</v>
      </c>
      <c r="BM43" s="209" t="s">
        <v>816</v>
      </c>
      <c r="BN43" s="209" t="s">
        <v>816</v>
      </c>
      <c r="BO43" s="209" t="s">
        <v>816</v>
      </c>
      <c r="BP43" s="209" t="s">
        <v>816</v>
      </c>
      <c r="BQ43" s="209" t="s">
        <v>816</v>
      </c>
      <c r="BR43" s="209" t="s">
        <v>816</v>
      </c>
      <c r="BS43" s="209" t="s">
        <v>816</v>
      </c>
      <c r="BT43" s="209" t="s">
        <v>816</v>
      </c>
      <c r="BU43" s="209" t="s">
        <v>816</v>
      </c>
      <c r="BV43" s="209" t="s">
        <v>816</v>
      </c>
      <c r="BZ43" s="149" t="str">
        <f>IF('House Rules'!B4="Available","The Hound of Lugh","")</f>
        <v>The Hound of Lugh</v>
      </c>
    </row>
    <row r="44" spans="1:83" x14ac:dyDescent="0.25">
      <c r="A44" s="149" t="s">
        <v>1913</v>
      </c>
      <c r="B44" s="149" t="s">
        <v>2246</v>
      </c>
      <c r="D44" s="149">
        <v>4</v>
      </c>
      <c r="E44" s="149">
        <v>3</v>
      </c>
      <c r="F44" s="149">
        <v>3</v>
      </c>
      <c r="G44" s="149">
        <v>2</v>
      </c>
      <c r="H44" s="149">
        <v>2</v>
      </c>
      <c r="I44" s="149">
        <v>2</v>
      </c>
      <c r="J44" s="149">
        <v>2</v>
      </c>
      <c r="K44" s="149">
        <v>2</v>
      </c>
      <c r="L44" s="149">
        <v>2</v>
      </c>
      <c r="M44" s="149">
        <v>1</v>
      </c>
      <c r="N44" s="149">
        <v>1</v>
      </c>
      <c r="O44" s="149">
        <v>3</v>
      </c>
      <c r="P44" s="149">
        <v>7</v>
      </c>
      <c r="Q44" s="149">
        <v>4</v>
      </c>
      <c r="R44" s="149">
        <f t="shared" si="0"/>
        <v>3</v>
      </c>
      <c r="S44" s="149">
        <f t="shared" si="1"/>
        <v>2</v>
      </c>
      <c r="T44" s="149">
        <v>0</v>
      </c>
      <c r="U44" s="149" t="s">
        <v>156</v>
      </c>
      <c r="V44" s="149">
        <v>3</v>
      </c>
      <c r="W44" s="149" t="s">
        <v>157</v>
      </c>
      <c r="X44" s="149">
        <v>2</v>
      </c>
      <c r="Y44" s="149" t="s">
        <v>158</v>
      </c>
      <c r="Z44" s="149">
        <v>1</v>
      </c>
      <c r="AA44" s="149" t="s">
        <v>159</v>
      </c>
      <c r="AB44" s="149">
        <v>4</v>
      </c>
      <c r="AC44" s="150" t="s">
        <v>1831</v>
      </c>
      <c r="AD44" s="257" t="s">
        <v>1840</v>
      </c>
      <c r="AE44" s="257" t="s">
        <v>1921</v>
      </c>
      <c r="AF44" s="257" t="s">
        <v>494</v>
      </c>
      <c r="AG44" s="149" t="s">
        <v>702</v>
      </c>
      <c r="AH44" s="149">
        <v>5</v>
      </c>
      <c r="AI44" s="149" t="s">
        <v>1878</v>
      </c>
      <c r="AJ44" s="150" t="s">
        <v>816</v>
      </c>
      <c r="AK44" s="149">
        <v>6</v>
      </c>
      <c r="AL44" s="150" t="s">
        <v>816</v>
      </c>
      <c r="AM44" s="149" t="s">
        <v>720</v>
      </c>
      <c r="AN44" s="149">
        <v>4</v>
      </c>
      <c r="AO44" s="149" t="s">
        <v>1877</v>
      </c>
      <c r="AP44" s="149">
        <v>1</v>
      </c>
      <c r="AQ44" s="149">
        <v>5</v>
      </c>
      <c r="AR44" s="150" t="s">
        <v>816</v>
      </c>
      <c r="AS44" s="149" t="s">
        <v>721</v>
      </c>
      <c r="AT44" s="149">
        <v>6</v>
      </c>
      <c r="AU44" s="149" t="s">
        <v>1878</v>
      </c>
      <c r="AV44" s="149">
        <v>3</v>
      </c>
      <c r="AW44" s="149">
        <v>4</v>
      </c>
      <c r="AX44" s="150" t="s">
        <v>816</v>
      </c>
      <c r="AY44" s="150" t="s">
        <v>1841</v>
      </c>
      <c r="AZ44" s="149">
        <v>5</v>
      </c>
      <c r="BA44" s="149" t="s">
        <v>1843</v>
      </c>
      <c r="BB44" s="150" t="s">
        <v>816</v>
      </c>
      <c r="BC44" s="149">
        <v>4</v>
      </c>
      <c r="BD44" s="149">
        <v>20</v>
      </c>
      <c r="BE44" s="149" t="s">
        <v>1842</v>
      </c>
      <c r="BF44" s="149">
        <v>5</v>
      </c>
      <c r="BG44" s="149" t="s">
        <v>1865</v>
      </c>
      <c r="BH44" s="149">
        <v>2</v>
      </c>
      <c r="BI44" s="149">
        <v>4</v>
      </c>
      <c r="BJ44" s="150" t="s">
        <v>816</v>
      </c>
      <c r="BK44" s="209" t="s">
        <v>816</v>
      </c>
      <c r="BL44" s="209" t="s">
        <v>816</v>
      </c>
      <c r="BM44" s="209" t="s">
        <v>816</v>
      </c>
      <c r="BN44" s="209" t="s">
        <v>816</v>
      </c>
      <c r="BO44" s="209" t="s">
        <v>816</v>
      </c>
      <c r="BP44" s="209" t="s">
        <v>816</v>
      </c>
      <c r="BQ44" s="209" t="s">
        <v>816</v>
      </c>
      <c r="BR44" s="209" t="s">
        <v>816</v>
      </c>
      <c r="BS44" s="209" t="s">
        <v>816</v>
      </c>
      <c r="BT44" s="209" t="s">
        <v>816</v>
      </c>
      <c r="BU44" s="209" t="s">
        <v>816</v>
      </c>
      <c r="BV44" s="209" t="s">
        <v>816</v>
      </c>
      <c r="BZ44" s="149" t="str">
        <f>IF('House Rules'!B4="Available","Thunderbird","")</f>
        <v>Thunderbird</v>
      </c>
    </row>
    <row r="45" spans="1:83" x14ac:dyDescent="0.25">
      <c r="A45" s="149" t="s">
        <v>1848</v>
      </c>
      <c r="B45" s="149" t="s">
        <v>2246</v>
      </c>
      <c r="D45" s="149">
        <v>3</v>
      </c>
      <c r="E45" s="149">
        <v>3</v>
      </c>
      <c r="F45" s="149">
        <v>3</v>
      </c>
      <c r="G45" s="149">
        <v>2</v>
      </c>
      <c r="H45" s="149">
        <v>2</v>
      </c>
      <c r="I45" s="149">
        <v>2</v>
      </c>
      <c r="J45" s="149">
        <v>3</v>
      </c>
      <c r="K45" s="149">
        <v>2</v>
      </c>
      <c r="L45" s="149">
        <v>3</v>
      </c>
      <c r="M45" s="149">
        <v>0</v>
      </c>
      <c r="N45" s="149">
        <v>0</v>
      </c>
      <c r="O45" s="149">
        <v>3</v>
      </c>
      <c r="P45" s="149">
        <v>5</v>
      </c>
      <c r="Q45" s="149">
        <v>6</v>
      </c>
      <c r="R45" s="149">
        <v>5</v>
      </c>
      <c r="S45" s="149">
        <v>2</v>
      </c>
      <c r="T45" s="149">
        <v>2</v>
      </c>
      <c r="U45" s="209" t="s">
        <v>816</v>
      </c>
      <c r="V45" s="209" t="s">
        <v>816</v>
      </c>
      <c r="W45" s="209" t="s">
        <v>816</v>
      </c>
      <c r="X45" s="209" t="s">
        <v>816</v>
      </c>
      <c r="Y45" s="209" t="s">
        <v>816</v>
      </c>
      <c r="Z45" s="209" t="s">
        <v>816</v>
      </c>
      <c r="AA45" s="209" t="s">
        <v>816</v>
      </c>
      <c r="AB45" s="209" t="s">
        <v>816</v>
      </c>
      <c r="AC45" s="150" t="s">
        <v>1831</v>
      </c>
      <c r="AD45" s="257" t="s">
        <v>1875</v>
      </c>
      <c r="AE45" s="257" t="s">
        <v>494</v>
      </c>
      <c r="AF45" s="257" t="s">
        <v>1903</v>
      </c>
      <c r="AG45" s="149" t="s">
        <v>702</v>
      </c>
      <c r="AH45" s="149">
        <v>6</v>
      </c>
      <c r="AI45" s="149" t="s">
        <v>1859</v>
      </c>
      <c r="AJ45" s="150" t="s">
        <v>816</v>
      </c>
      <c r="AK45" s="149">
        <v>6</v>
      </c>
      <c r="AL45" s="150" t="s">
        <v>816</v>
      </c>
      <c r="AM45" s="149" t="s">
        <v>720</v>
      </c>
      <c r="AN45" s="149">
        <v>5</v>
      </c>
      <c r="AO45" s="149" t="s">
        <v>1864</v>
      </c>
      <c r="AP45" s="149">
        <v>2</v>
      </c>
      <c r="AQ45" s="149">
        <v>5</v>
      </c>
      <c r="AR45" s="150" t="s">
        <v>816</v>
      </c>
      <c r="AS45" s="149" t="s">
        <v>721</v>
      </c>
      <c r="AT45" s="149">
        <v>7</v>
      </c>
      <c r="AU45" s="149" t="s">
        <v>1859</v>
      </c>
      <c r="AV45" s="149">
        <v>3</v>
      </c>
      <c r="AW45" s="149">
        <v>4</v>
      </c>
      <c r="AX45" s="150" t="s">
        <v>816</v>
      </c>
      <c r="AY45" s="150" t="s">
        <v>738</v>
      </c>
      <c r="AZ45" s="149">
        <v>6</v>
      </c>
      <c r="BA45" s="149" t="s">
        <v>1865</v>
      </c>
      <c r="BB45" s="150" t="s">
        <v>816</v>
      </c>
      <c r="BC45" s="149">
        <v>5</v>
      </c>
      <c r="BD45" s="150">
        <v>150</v>
      </c>
      <c r="BE45" s="149" t="s">
        <v>732</v>
      </c>
      <c r="BF45" s="149">
        <v>7</v>
      </c>
      <c r="BG45" s="149" t="s">
        <v>1843</v>
      </c>
      <c r="BH45" s="150" t="s">
        <v>816</v>
      </c>
      <c r="BI45" s="149">
        <v>4</v>
      </c>
      <c r="BJ45" s="150">
        <v>20</v>
      </c>
      <c r="BK45" s="209" t="s">
        <v>816</v>
      </c>
      <c r="BL45" s="209" t="s">
        <v>816</v>
      </c>
      <c r="BM45" s="209" t="s">
        <v>816</v>
      </c>
      <c r="BN45" s="209" t="s">
        <v>816</v>
      </c>
      <c r="BO45" s="209" t="s">
        <v>816</v>
      </c>
      <c r="BP45" s="209" t="s">
        <v>816</v>
      </c>
      <c r="BQ45" s="209" t="s">
        <v>816</v>
      </c>
      <c r="BR45" s="209" t="s">
        <v>816</v>
      </c>
      <c r="BS45" s="209" t="s">
        <v>816</v>
      </c>
      <c r="BT45" s="209" t="s">
        <v>816</v>
      </c>
      <c r="BU45" s="209" t="s">
        <v>816</v>
      </c>
      <c r="BV45" s="209" t="s">
        <v>816</v>
      </c>
      <c r="BZ45" s="149" t="s">
        <v>1987</v>
      </c>
    </row>
    <row r="46" spans="1:83" x14ac:dyDescent="0.25">
      <c r="A46" s="149" t="s">
        <v>1942</v>
      </c>
      <c r="B46" s="149" t="s">
        <v>2246</v>
      </c>
      <c r="D46" s="149">
        <v>3</v>
      </c>
      <c r="E46" s="149">
        <v>3</v>
      </c>
      <c r="F46" s="149">
        <v>2</v>
      </c>
      <c r="G46" s="149">
        <v>2</v>
      </c>
      <c r="H46" s="149">
        <v>2</v>
      </c>
      <c r="I46" s="149">
        <v>2</v>
      </c>
      <c r="J46" s="149">
        <v>2</v>
      </c>
      <c r="K46" s="149">
        <v>2</v>
      </c>
      <c r="L46" s="149">
        <v>2</v>
      </c>
      <c r="M46" s="149">
        <v>1</v>
      </c>
      <c r="N46" s="149">
        <v>1</v>
      </c>
      <c r="O46" s="149">
        <v>3</v>
      </c>
      <c r="P46" s="149">
        <v>4</v>
      </c>
      <c r="Q46" s="149">
        <v>3</v>
      </c>
      <c r="R46" s="149">
        <v>2</v>
      </c>
      <c r="S46" s="149">
        <v>1</v>
      </c>
      <c r="T46" s="149">
        <v>0</v>
      </c>
      <c r="U46" s="209" t="s">
        <v>816</v>
      </c>
      <c r="V46" s="209" t="s">
        <v>816</v>
      </c>
      <c r="W46" s="209" t="s">
        <v>816</v>
      </c>
      <c r="X46" s="209" t="s">
        <v>816</v>
      </c>
      <c r="Y46" s="209" t="s">
        <v>816</v>
      </c>
      <c r="Z46" s="209" t="s">
        <v>816</v>
      </c>
      <c r="AA46" s="209" t="s">
        <v>816</v>
      </c>
      <c r="AB46" s="209" t="s">
        <v>816</v>
      </c>
      <c r="AC46" s="150" t="s">
        <v>1950</v>
      </c>
      <c r="AD46" s="257" t="s">
        <v>1832</v>
      </c>
      <c r="AE46" s="258" t="s">
        <v>2322</v>
      </c>
      <c r="AF46" s="257" t="s">
        <v>2324</v>
      </c>
      <c r="AG46" s="149" t="s">
        <v>702</v>
      </c>
      <c r="AH46" s="149">
        <v>4</v>
      </c>
      <c r="AI46" s="149" t="s">
        <v>1859</v>
      </c>
      <c r="AJ46" s="150" t="s">
        <v>816</v>
      </c>
      <c r="AK46" s="149">
        <v>6</v>
      </c>
      <c r="AL46" s="150" t="s">
        <v>816</v>
      </c>
      <c r="AM46" s="149" t="s">
        <v>720</v>
      </c>
      <c r="AN46" s="149">
        <v>3</v>
      </c>
      <c r="AO46" s="149" t="s">
        <v>1864</v>
      </c>
      <c r="AP46" s="149">
        <v>0</v>
      </c>
      <c r="AQ46" s="149">
        <v>5</v>
      </c>
      <c r="AR46" s="150" t="s">
        <v>816</v>
      </c>
      <c r="AS46" s="149" t="s">
        <v>721</v>
      </c>
      <c r="AT46" s="149">
        <v>5</v>
      </c>
      <c r="AU46" s="149" t="s">
        <v>1859</v>
      </c>
      <c r="AV46" s="149">
        <v>2</v>
      </c>
      <c r="AW46" s="149">
        <v>4</v>
      </c>
      <c r="AX46" s="150" t="s">
        <v>816</v>
      </c>
      <c r="AY46" s="209" t="s">
        <v>816</v>
      </c>
      <c r="AZ46" s="209" t="s">
        <v>816</v>
      </c>
      <c r="BA46" s="209" t="s">
        <v>816</v>
      </c>
      <c r="BB46" s="209" t="s">
        <v>816</v>
      </c>
      <c r="BC46" s="209" t="s">
        <v>816</v>
      </c>
      <c r="BD46" s="209" t="s">
        <v>816</v>
      </c>
      <c r="BE46" s="209" t="s">
        <v>816</v>
      </c>
      <c r="BF46" s="209" t="s">
        <v>816</v>
      </c>
      <c r="BG46" s="209" t="s">
        <v>816</v>
      </c>
      <c r="BH46" s="209" t="s">
        <v>816</v>
      </c>
      <c r="BI46" s="209" t="s">
        <v>816</v>
      </c>
      <c r="BJ46" s="209" t="s">
        <v>816</v>
      </c>
      <c r="BK46" s="209" t="s">
        <v>816</v>
      </c>
      <c r="BL46" s="209" t="s">
        <v>816</v>
      </c>
      <c r="BM46" s="209" t="s">
        <v>816</v>
      </c>
      <c r="BN46" s="209" t="s">
        <v>816</v>
      </c>
      <c r="BO46" s="209" t="s">
        <v>816</v>
      </c>
      <c r="BP46" s="209" t="s">
        <v>816</v>
      </c>
      <c r="BQ46" s="209" t="s">
        <v>816</v>
      </c>
      <c r="BR46" s="209" t="s">
        <v>816</v>
      </c>
      <c r="BS46" s="209" t="s">
        <v>816</v>
      </c>
      <c r="BT46" s="209" t="s">
        <v>816</v>
      </c>
      <c r="BU46" s="209" t="s">
        <v>816</v>
      </c>
      <c r="BV46" s="209" t="s">
        <v>816</v>
      </c>
      <c r="BZ46" s="149" t="str">
        <f>IF('House Rules'!B4="Available","Zouwu","")</f>
        <v>Zouwu</v>
      </c>
    </row>
    <row r="47" spans="1:83" x14ac:dyDescent="0.25">
      <c r="A47" s="149" t="s">
        <v>1959</v>
      </c>
      <c r="B47" s="149" t="s">
        <v>2246</v>
      </c>
      <c r="D47" s="149">
        <v>5</v>
      </c>
      <c r="E47" s="149">
        <v>1</v>
      </c>
      <c r="F47" s="149">
        <v>6</v>
      </c>
      <c r="G47" s="149">
        <v>1</v>
      </c>
      <c r="H47" s="149">
        <v>1</v>
      </c>
      <c r="I47" s="149">
        <v>0</v>
      </c>
      <c r="J47" s="149">
        <v>2</v>
      </c>
      <c r="K47" s="149">
        <v>1</v>
      </c>
      <c r="L47" s="149">
        <v>1</v>
      </c>
      <c r="M47" s="149">
        <v>1</v>
      </c>
      <c r="N47" s="149">
        <v>1</v>
      </c>
      <c r="O47" s="149">
        <v>1</v>
      </c>
      <c r="P47" s="149">
        <v>3</v>
      </c>
      <c r="Q47" s="149">
        <v>3</v>
      </c>
      <c r="R47" s="149">
        <v>6</v>
      </c>
      <c r="S47" s="149">
        <v>6</v>
      </c>
      <c r="T47" s="149">
        <v>0</v>
      </c>
      <c r="U47" s="209" t="s">
        <v>816</v>
      </c>
      <c r="V47" s="209" t="s">
        <v>816</v>
      </c>
      <c r="W47" s="209" t="s">
        <v>816</v>
      </c>
      <c r="X47" s="209" t="s">
        <v>816</v>
      </c>
      <c r="Y47" s="209" t="s">
        <v>816</v>
      </c>
      <c r="Z47" s="209" t="s">
        <v>816</v>
      </c>
      <c r="AA47" s="209" t="s">
        <v>816</v>
      </c>
      <c r="AB47" s="209" t="s">
        <v>816</v>
      </c>
      <c r="AC47" s="150" t="s">
        <v>1966</v>
      </c>
      <c r="AD47" s="257" t="s">
        <v>1967</v>
      </c>
      <c r="AE47" s="257" t="s">
        <v>494</v>
      </c>
      <c r="AF47" s="257" t="s">
        <v>2323</v>
      </c>
      <c r="AG47" s="149" t="s">
        <v>702</v>
      </c>
      <c r="AH47" s="149">
        <v>4</v>
      </c>
      <c r="AI47" s="149" t="s">
        <v>1834</v>
      </c>
      <c r="AJ47" s="150" t="s">
        <v>816</v>
      </c>
      <c r="AK47" s="149">
        <v>6</v>
      </c>
      <c r="AL47" s="150" t="s">
        <v>816</v>
      </c>
      <c r="AM47" s="149" t="s">
        <v>720</v>
      </c>
      <c r="AN47" s="149">
        <v>3</v>
      </c>
      <c r="AO47" s="149" t="s">
        <v>1922</v>
      </c>
      <c r="AP47" s="149">
        <v>1</v>
      </c>
      <c r="AQ47" s="149">
        <v>5</v>
      </c>
      <c r="AR47" s="150" t="s">
        <v>816</v>
      </c>
      <c r="AS47" s="149" t="s">
        <v>721</v>
      </c>
      <c r="AT47" s="149">
        <v>5</v>
      </c>
      <c r="AU47" s="149" t="s">
        <v>1834</v>
      </c>
      <c r="AV47" s="149">
        <v>2</v>
      </c>
      <c r="AW47" s="149">
        <v>4</v>
      </c>
      <c r="AX47" s="150" t="s">
        <v>816</v>
      </c>
      <c r="AY47" s="209" t="s">
        <v>816</v>
      </c>
      <c r="AZ47" s="209" t="s">
        <v>816</v>
      </c>
      <c r="BA47" s="209" t="s">
        <v>816</v>
      </c>
      <c r="BB47" s="209" t="s">
        <v>816</v>
      </c>
      <c r="BC47" s="209" t="s">
        <v>816</v>
      </c>
      <c r="BD47" s="209" t="s">
        <v>816</v>
      </c>
      <c r="BE47" s="209" t="s">
        <v>816</v>
      </c>
      <c r="BF47" s="209" t="s">
        <v>816</v>
      </c>
      <c r="BG47" s="209" t="s">
        <v>816</v>
      </c>
      <c r="BH47" s="209" t="s">
        <v>816</v>
      </c>
      <c r="BI47" s="209" t="s">
        <v>816</v>
      </c>
      <c r="BJ47" s="209" t="s">
        <v>816</v>
      </c>
      <c r="BK47" s="209" t="s">
        <v>816</v>
      </c>
      <c r="BL47" s="209" t="s">
        <v>816</v>
      </c>
      <c r="BM47" s="209" t="s">
        <v>816</v>
      </c>
      <c r="BN47" s="209" t="s">
        <v>816</v>
      </c>
      <c r="BO47" s="209" t="s">
        <v>816</v>
      </c>
      <c r="BP47" s="209" t="s">
        <v>816</v>
      </c>
      <c r="BQ47" s="209" t="s">
        <v>816</v>
      </c>
      <c r="BR47" s="209" t="s">
        <v>816</v>
      </c>
      <c r="BS47" s="209" t="s">
        <v>816</v>
      </c>
      <c r="BT47" s="209" t="s">
        <v>816</v>
      </c>
      <c r="BU47" s="209" t="s">
        <v>816</v>
      </c>
      <c r="BV47" s="209" t="s">
        <v>816</v>
      </c>
    </row>
    <row r="48" spans="1:83" x14ac:dyDescent="0.25">
      <c r="A48" s="149" t="s">
        <v>1844</v>
      </c>
      <c r="B48" s="149" t="s">
        <v>2246</v>
      </c>
      <c r="D48" s="149">
        <v>3</v>
      </c>
      <c r="E48" s="149">
        <v>3</v>
      </c>
      <c r="F48" s="149">
        <v>3</v>
      </c>
      <c r="G48" s="149">
        <v>2</v>
      </c>
      <c r="H48" s="149">
        <v>2</v>
      </c>
      <c r="I48" s="149">
        <v>2</v>
      </c>
      <c r="J48" s="149">
        <v>3</v>
      </c>
      <c r="K48" s="149">
        <v>2</v>
      </c>
      <c r="L48" s="149">
        <v>3</v>
      </c>
      <c r="M48" s="149">
        <v>0</v>
      </c>
      <c r="N48" s="149">
        <v>0</v>
      </c>
      <c r="O48" s="149">
        <v>3</v>
      </c>
      <c r="P48" s="149">
        <v>5</v>
      </c>
      <c r="Q48" s="149">
        <v>6</v>
      </c>
      <c r="R48" s="149">
        <v>5</v>
      </c>
      <c r="S48" s="149">
        <v>2</v>
      </c>
      <c r="T48" s="149">
        <v>2</v>
      </c>
      <c r="U48" s="209" t="s">
        <v>816</v>
      </c>
      <c r="V48" s="209" t="s">
        <v>816</v>
      </c>
      <c r="W48" s="209" t="s">
        <v>816</v>
      </c>
      <c r="X48" s="209" t="s">
        <v>816</v>
      </c>
      <c r="Y48" s="209" t="s">
        <v>816</v>
      </c>
      <c r="Z48" s="209" t="s">
        <v>816</v>
      </c>
      <c r="AA48" s="209" t="s">
        <v>816</v>
      </c>
      <c r="AB48" s="209" t="s">
        <v>816</v>
      </c>
      <c r="AC48" s="150" t="s">
        <v>1831</v>
      </c>
      <c r="AD48" s="257" t="s">
        <v>1875</v>
      </c>
      <c r="AE48" s="257" t="s">
        <v>494</v>
      </c>
      <c r="AF48" s="257" t="s">
        <v>1901</v>
      </c>
      <c r="AG48" s="149" t="s">
        <v>702</v>
      </c>
      <c r="AH48" s="149">
        <v>6</v>
      </c>
      <c r="AI48" s="149" t="s">
        <v>1859</v>
      </c>
      <c r="AJ48" s="150" t="s">
        <v>816</v>
      </c>
      <c r="AK48" s="149">
        <v>6</v>
      </c>
      <c r="AL48" s="150" t="s">
        <v>816</v>
      </c>
      <c r="AM48" s="149" t="s">
        <v>720</v>
      </c>
      <c r="AN48" s="149">
        <v>5</v>
      </c>
      <c r="AO48" s="149" t="s">
        <v>1864</v>
      </c>
      <c r="AP48" s="149">
        <v>2</v>
      </c>
      <c r="AQ48" s="149">
        <v>5</v>
      </c>
      <c r="AR48" s="150" t="s">
        <v>816</v>
      </c>
      <c r="AS48" s="149" t="s">
        <v>721</v>
      </c>
      <c r="AT48" s="149">
        <v>7</v>
      </c>
      <c r="AU48" s="149" t="s">
        <v>1859</v>
      </c>
      <c r="AV48" s="149">
        <v>3</v>
      </c>
      <c r="AW48" s="149">
        <v>4</v>
      </c>
      <c r="AX48" s="150" t="s">
        <v>816</v>
      </c>
      <c r="AY48" s="150" t="s">
        <v>1858</v>
      </c>
      <c r="AZ48" s="149">
        <v>6</v>
      </c>
      <c r="BA48" s="149" t="s">
        <v>1859</v>
      </c>
      <c r="BB48" s="150">
        <v>3</v>
      </c>
      <c r="BC48" s="149">
        <v>4</v>
      </c>
      <c r="BD48" s="150" t="s">
        <v>816</v>
      </c>
      <c r="BE48" s="149" t="s">
        <v>732</v>
      </c>
      <c r="BF48" s="149">
        <v>7</v>
      </c>
      <c r="BG48" s="149" t="s">
        <v>1843</v>
      </c>
      <c r="BH48" s="150" t="s">
        <v>816</v>
      </c>
      <c r="BI48" s="149">
        <v>4</v>
      </c>
      <c r="BJ48" s="150">
        <v>20</v>
      </c>
      <c r="BK48" s="209" t="s">
        <v>816</v>
      </c>
      <c r="BL48" s="209" t="s">
        <v>816</v>
      </c>
      <c r="BM48" s="209" t="s">
        <v>816</v>
      </c>
      <c r="BN48" s="209" t="s">
        <v>816</v>
      </c>
      <c r="BO48" s="209" t="s">
        <v>816</v>
      </c>
      <c r="BP48" s="209" t="s">
        <v>816</v>
      </c>
      <c r="BQ48" s="209" t="s">
        <v>816</v>
      </c>
      <c r="BR48" s="209" t="s">
        <v>816</v>
      </c>
      <c r="BS48" s="209" t="s">
        <v>816</v>
      </c>
      <c r="BT48" s="209" t="s">
        <v>816</v>
      </c>
      <c r="BU48" s="209" t="s">
        <v>816</v>
      </c>
      <c r="BV48" s="209" t="s">
        <v>816</v>
      </c>
    </row>
    <row r="49" spans="1:74" x14ac:dyDescent="0.25">
      <c r="A49" s="149" t="s">
        <v>1946</v>
      </c>
      <c r="B49" s="149" t="s">
        <v>2246</v>
      </c>
      <c r="D49" s="149">
        <v>3</v>
      </c>
      <c r="E49" s="149">
        <v>3</v>
      </c>
      <c r="F49" s="149">
        <v>2</v>
      </c>
      <c r="G49" s="149">
        <v>2</v>
      </c>
      <c r="H49" s="149">
        <v>2</v>
      </c>
      <c r="I49" s="149">
        <v>2</v>
      </c>
      <c r="J49" s="149">
        <v>2</v>
      </c>
      <c r="K49" s="149">
        <v>2</v>
      </c>
      <c r="L49" s="149">
        <v>2</v>
      </c>
      <c r="M49" s="149">
        <v>1</v>
      </c>
      <c r="N49" s="149">
        <v>1</v>
      </c>
      <c r="O49" s="149">
        <v>3</v>
      </c>
      <c r="P49" s="149">
        <v>4</v>
      </c>
      <c r="Q49" s="149">
        <v>3</v>
      </c>
      <c r="R49" s="149">
        <v>2</v>
      </c>
      <c r="S49" s="149">
        <v>1</v>
      </c>
      <c r="T49" s="149">
        <v>0</v>
      </c>
      <c r="U49" s="209" t="s">
        <v>816</v>
      </c>
      <c r="V49" s="209" t="s">
        <v>816</v>
      </c>
      <c r="W49" s="209" t="s">
        <v>816</v>
      </c>
      <c r="X49" s="209" t="s">
        <v>816</v>
      </c>
      <c r="Y49" s="209" t="s">
        <v>816</v>
      </c>
      <c r="Z49" s="209" t="s">
        <v>816</v>
      </c>
      <c r="AA49" s="209" t="s">
        <v>816</v>
      </c>
      <c r="AB49" s="209" t="s">
        <v>816</v>
      </c>
      <c r="AC49" s="150" t="s">
        <v>1950</v>
      </c>
      <c r="AD49" s="257" t="s">
        <v>1832</v>
      </c>
      <c r="AE49" s="258" t="s">
        <v>1951</v>
      </c>
      <c r="AF49" s="257" t="s">
        <v>2324</v>
      </c>
      <c r="AG49" s="149" t="s">
        <v>702</v>
      </c>
      <c r="AH49" s="149">
        <v>4</v>
      </c>
      <c r="AI49" s="149" t="s">
        <v>1859</v>
      </c>
      <c r="AJ49" s="150" t="s">
        <v>816</v>
      </c>
      <c r="AK49" s="149">
        <v>6</v>
      </c>
      <c r="AL49" s="150" t="s">
        <v>816</v>
      </c>
      <c r="AM49" s="149" t="s">
        <v>720</v>
      </c>
      <c r="AN49" s="149">
        <v>3</v>
      </c>
      <c r="AO49" s="149" t="s">
        <v>1864</v>
      </c>
      <c r="AP49" s="149">
        <v>0</v>
      </c>
      <c r="AQ49" s="149">
        <v>5</v>
      </c>
      <c r="AR49" s="150" t="s">
        <v>816</v>
      </c>
      <c r="AS49" s="149" t="s">
        <v>721</v>
      </c>
      <c r="AT49" s="149">
        <v>5</v>
      </c>
      <c r="AU49" s="149" t="s">
        <v>1859</v>
      </c>
      <c r="AV49" s="149">
        <v>2</v>
      </c>
      <c r="AW49" s="149">
        <v>4</v>
      </c>
      <c r="AX49" s="150" t="s">
        <v>816</v>
      </c>
      <c r="AY49" s="209" t="s">
        <v>816</v>
      </c>
      <c r="AZ49" s="209" t="s">
        <v>816</v>
      </c>
      <c r="BA49" s="209" t="s">
        <v>816</v>
      </c>
      <c r="BB49" s="209" t="s">
        <v>816</v>
      </c>
      <c r="BC49" s="209" t="s">
        <v>816</v>
      </c>
      <c r="BD49" s="209" t="s">
        <v>816</v>
      </c>
      <c r="BE49" s="209" t="s">
        <v>816</v>
      </c>
      <c r="BF49" s="209" t="s">
        <v>816</v>
      </c>
      <c r="BG49" s="209" t="s">
        <v>816</v>
      </c>
      <c r="BH49" s="209" t="s">
        <v>816</v>
      </c>
      <c r="BI49" s="209" t="s">
        <v>816</v>
      </c>
      <c r="BJ49" s="209" t="s">
        <v>816</v>
      </c>
      <c r="BK49" s="209" t="s">
        <v>816</v>
      </c>
      <c r="BL49" s="209" t="s">
        <v>816</v>
      </c>
      <c r="BM49" s="209" t="s">
        <v>816</v>
      </c>
      <c r="BN49" s="209" t="s">
        <v>816</v>
      </c>
      <c r="BO49" s="209" t="s">
        <v>816</v>
      </c>
      <c r="BP49" s="209" t="s">
        <v>816</v>
      </c>
      <c r="BQ49" s="209" t="s">
        <v>816</v>
      </c>
      <c r="BR49" s="209" t="s">
        <v>816</v>
      </c>
      <c r="BS49" s="209" t="s">
        <v>816</v>
      </c>
      <c r="BT49" s="209" t="s">
        <v>816</v>
      </c>
      <c r="BU49" s="209" t="s">
        <v>816</v>
      </c>
      <c r="BV49" s="209" t="s">
        <v>816</v>
      </c>
    </row>
    <row r="50" spans="1:74" x14ac:dyDescent="0.25">
      <c r="A50" s="149" t="s">
        <v>1860</v>
      </c>
      <c r="B50" s="149" t="s">
        <v>2246</v>
      </c>
      <c r="D50" s="149">
        <v>3</v>
      </c>
      <c r="E50" s="149">
        <v>3</v>
      </c>
      <c r="F50" s="149">
        <v>3</v>
      </c>
      <c r="G50" s="149">
        <v>2</v>
      </c>
      <c r="H50" s="149">
        <v>2</v>
      </c>
      <c r="I50" s="149">
        <v>2</v>
      </c>
      <c r="J50" s="149">
        <v>3</v>
      </c>
      <c r="K50" s="149">
        <v>2</v>
      </c>
      <c r="L50" s="149">
        <v>3</v>
      </c>
      <c r="M50" s="149">
        <v>0</v>
      </c>
      <c r="N50" s="149">
        <v>0</v>
      </c>
      <c r="O50" s="149">
        <v>3</v>
      </c>
      <c r="P50" s="149">
        <v>5</v>
      </c>
      <c r="Q50" s="149">
        <v>6</v>
      </c>
      <c r="R50" s="149">
        <v>5</v>
      </c>
      <c r="S50" s="149">
        <v>2</v>
      </c>
      <c r="T50" s="149">
        <v>2</v>
      </c>
      <c r="U50" s="209" t="s">
        <v>816</v>
      </c>
      <c r="V50" s="209" t="s">
        <v>816</v>
      </c>
      <c r="W50" s="209" t="s">
        <v>816</v>
      </c>
      <c r="X50" s="209" t="s">
        <v>816</v>
      </c>
      <c r="Y50" s="209" t="s">
        <v>816</v>
      </c>
      <c r="Z50" s="209" t="s">
        <v>816</v>
      </c>
      <c r="AA50" s="209" t="s">
        <v>816</v>
      </c>
      <c r="AB50" s="209" t="s">
        <v>816</v>
      </c>
      <c r="AC50" s="150" t="s">
        <v>1831</v>
      </c>
      <c r="AD50" s="257" t="s">
        <v>1875</v>
      </c>
      <c r="AE50" s="257" t="s">
        <v>494</v>
      </c>
      <c r="AF50" s="257" t="s">
        <v>1902</v>
      </c>
      <c r="AG50" s="149" t="s">
        <v>702</v>
      </c>
      <c r="AH50" s="149">
        <v>6</v>
      </c>
      <c r="AI50" s="149" t="s">
        <v>1859</v>
      </c>
      <c r="AJ50" s="150" t="s">
        <v>816</v>
      </c>
      <c r="AK50" s="149">
        <v>6</v>
      </c>
      <c r="AL50" s="150" t="s">
        <v>816</v>
      </c>
      <c r="AM50" s="149" t="s">
        <v>720</v>
      </c>
      <c r="AN50" s="149">
        <v>5</v>
      </c>
      <c r="AO50" s="149" t="s">
        <v>1864</v>
      </c>
      <c r="AP50" s="149">
        <v>2</v>
      </c>
      <c r="AQ50" s="149">
        <v>5</v>
      </c>
      <c r="AR50" s="150" t="s">
        <v>816</v>
      </c>
      <c r="AS50" s="149" t="s">
        <v>721</v>
      </c>
      <c r="AT50" s="149">
        <v>7</v>
      </c>
      <c r="AU50" s="149" t="s">
        <v>1859</v>
      </c>
      <c r="AV50" s="149">
        <v>3</v>
      </c>
      <c r="AW50" s="149">
        <v>4</v>
      </c>
      <c r="AX50" s="150" t="s">
        <v>816</v>
      </c>
      <c r="AY50" s="150" t="s">
        <v>738</v>
      </c>
      <c r="AZ50" s="149">
        <v>6</v>
      </c>
      <c r="BA50" s="149" t="s">
        <v>1865</v>
      </c>
      <c r="BB50" s="150" t="s">
        <v>816</v>
      </c>
      <c r="BC50" s="149">
        <v>5</v>
      </c>
      <c r="BD50" s="150">
        <v>150</v>
      </c>
      <c r="BE50" s="150" t="s">
        <v>1858</v>
      </c>
      <c r="BF50" s="149">
        <v>6</v>
      </c>
      <c r="BG50" s="149" t="s">
        <v>1859</v>
      </c>
      <c r="BH50" s="150">
        <v>3</v>
      </c>
      <c r="BI50" s="149">
        <v>4</v>
      </c>
      <c r="BJ50" s="150" t="s">
        <v>816</v>
      </c>
      <c r="BK50" s="149" t="s">
        <v>732</v>
      </c>
      <c r="BL50" s="149">
        <v>7</v>
      </c>
      <c r="BM50" s="149" t="s">
        <v>1843</v>
      </c>
      <c r="BN50" s="150" t="s">
        <v>816</v>
      </c>
      <c r="BO50" s="149">
        <v>4</v>
      </c>
      <c r="BP50" s="150">
        <v>20</v>
      </c>
      <c r="BQ50" s="209" t="s">
        <v>816</v>
      </c>
      <c r="BR50" s="209" t="s">
        <v>816</v>
      </c>
      <c r="BS50" s="209" t="s">
        <v>816</v>
      </c>
      <c r="BT50" s="209" t="s">
        <v>816</v>
      </c>
      <c r="BU50" s="209" t="s">
        <v>816</v>
      </c>
      <c r="BV50" s="209" t="s">
        <v>816</v>
      </c>
    </row>
    <row r="51" spans="1:74" x14ac:dyDescent="0.25">
      <c r="A51" s="149" t="s">
        <v>1825</v>
      </c>
      <c r="B51" s="149" t="s">
        <v>2246</v>
      </c>
      <c r="D51" s="149">
        <v>5</v>
      </c>
      <c r="E51" s="149">
        <v>1</v>
      </c>
      <c r="F51" s="149">
        <v>6</v>
      </c>
      <c r="G51" s="149">
        <v>1</v>
      </c>
      <c r="H51" s="149">
        <v>1</v>
      </c>
      <c r="I51" s="149">
        <v>0</v>
      </c>
      <c r="J51" s="149">
        <v>2</v>
      </c>
      <c r="K51" s="149">
        <v>1</v>
      </c>
      <c r="L51" s="149">
        <v>1</v>
      </c>
      <c r="M51" s="149">
        <v>1</v>
      </c>
      <c r="N51" s="149">
        <v>1</v>
      </c>
      <c r="O51" s="149">
        <v>1</v>
      </c>
      <c r="P51" s="149">
        <v>3</v>
      </c>
      <c r="Q51" s="149">
        <v>3</v>
      </c>
      <c r="R51" s="149">
        <v>6</v>
      </c>
      <c r="S51" s="149">
        <v>6</v>
      </c>
      <c r="T51" s="149">
        <v>0</v>
      </c>
      <c r="U51" s="209" t="s">
        <v>816</v>
      </c>
      <c r="V51" s="209" t="s">
        <v>816</v>
      </c>
      <c r="W51" s="209" t="s">
        <v>816</v>
      </c>
      <c r="X51" s="209" t="s">
        <v>816</v>
      </c>
      <c r="Y51" s="209" t="s">
        <v>816</v>
      </c>
      <c r="Z51" s="209" t="s">
        <v>816</v>
      </c>
      <c r="AA51" s="209" t="s">
        <v>816</v>
      </c>
      <c r="AB51" s="209" t="s">
        <v>816</v>
      </c>
      <c r="AC51" s="150" t="s">
        <v>1966</v>
      </c>
      <c r="AD51" s="257" t="s">
        <v>1967</v>
      </c>
      <c r="AE51" s="257" t="s">
        <v>494</v>
      </c>
      <c r="AF51" s="257" t="s">
        <v>2323</v>
      </c>
      <c r="AG51" s="149" t="s">
        <v>702</v>
      </c>
      <c r="AH51" s="149">
        <v>4</v>
      </c>
      <c r="AI51" s="149" t="s">
        <v>1834</v>
      </c>
      <c r="AJ51" s="150" t="s">
        <v>816</v>
      </c>
      <c r="AK51" s="149">
        <v>6</v>
      </c>
      <c r="AL51" s="150" t="s">
        <v>816</v>
      </c>
      <c r="AM51" s="149" t="s">
        <v>720</v>
      </c>
      <c r="AN51" s="149">
        <v>3</v>
      </c>
      <c r="AO51" s="149" t="s">
        <v>1922</v>
      </c>
      <c r="AP51" s="149">
        <v>1</v>
      </c>
      <c r="AQ51" s="149">
        <v>5</v>
      </c>
      <c r="AR51" s="150" t="s">
        <v>816</v>
      </c>
      <c r="AS51" s="149" t="s">
        <v>721</v>
      </c>
      <c r="AT51" s="149">
        <v>5</v>
      </c>
      <c r="AU51" s="149" t="s">
        <v>1834</v>
      </c>
      <c r="AV51" s="149">
        <v>2</v>
      </c>
      <c r="AW51" s="149">
        <v>4</v>
      </c>
      <c r="AX51" s="150" t="s">
        <v>816</v>
      </c>
      <c r="AY51" s="209" t="s">
        <v>816</v>
      </c>
      <c r="AZ51" s="209" t="s">
        <v>816</v>
      </c>
      <c r="BA51" s="209" t="s">
        <v>816</v>
      </c>
      <c r="BB51" s="209" t="s">
        <v>816</v>
      </c>
      <c r="BC51" s="209" t="s">
        <v>816</v>
      </c>
      <c r="BD51" s="209" t="s">
        <v>816</v>
      </c>
      <c r="BE51" s="209" t="s">
        <v>816</v>
      </c>
      <c r="BF51" s="209" t="s">
        <v>816</v>
      </c>
      <c r="BG51" s="209" t="s">
        <v>816</v>
      </c>
      <c r="BH51" s="209" t="s">
        <v>816</v>
      </c>
      <c r="BI51" s="209" t="s">
        <v>816</v>
      </c>
      <c r="BJ51" s="209" t="s">
        <v>816</v>
      </c>
      <c r="BK51" s="209" t="s">
        <v>816</v>
      </c>
      <c r="BL51" s="209" t="s">
        <v>816</v>
      </c>
      <c r="BM51" s="209" t="s">
        <v>816</v>
      </c>
      <c r="BN51" s="209" t="s">
        <v>816</v>
      </c>
      <c r="BO51" s="209" t="s">
        <v>816</v>
      </c>
      <c r="BP51" s="209" t="s">
        <v>816</v>
      </c>
      <c r="BQ51" s="209" t="s">
        <v>816</v>
      </c>
      <c r="BR51" s="209" t="s">
        <v>816</v>
      </c>
      <c r="BS51" s="209" t="s">
        <v>816</v>
      </c>
      <c r="BT51" s="209" t="s">
        <v>816</v>
      </c>
      <c r="BU51" s="209" t="s">
        <v>816</v>
      </c>
      <c r="BV51" s="209" t="s">
        <v>816</v>
      </c>
    </row>
    <row r="52" spans="1:74" x14ac:dyDescent="0.25">
      <c r="A52" s="149" t="s">
        <v>3553</v>
      </c>
      <c r="B52" s="149" t="s">
        <v>2246</v>
      </c>
      <c r="D52" s="149">
        <v>3</v>
      </c>
      <c r="E52" s="149">
        <v>3</v>
      </c>
      <c r="F52" s="149">
        <v>3</v>
      </c>
      <c r="G52" s="149">
        <v>2</v>
      </c>
      <c r="H52" s="149">
        <v>2</v>
      </c>
      <c r="I52" s="149">
        <v>2</v>
      </c>
      <c r="J52" s="149">
        <v>3</v>
      </c>
      <c r="K52" s="149">
        <v>2</v>
      </c>
      <c r="L52" s="149">
        <v>3</v>
      </c>
      <c r="M52" s="149">
        <v>0</v>
      </c>
      <c r="N52" s="149">
        <v>0</v>
      </c>
      <c r="O52" s="149">
        <v>3</v>
      </c>
      <c r="P52" s="149">
        <v>5</v>
      </c>
      <c r="Q52" s="149">
        <v>6</v>
      </c>
      <c r="R52" s="149">
        <v>5</v>
      </c>
      <c r="S52" s="149">
        <v>2</v>
      </c>
      <c r="T52" s="149">
        <v>2</v>
      </c>
      <c r="U52" s="209" t="s">
        <v>816</v>
      </c>
      <c r="V52" s="209" t="s">
        <v>816</v>
      </c>
      <c r="W52" s="209" t="s">
        <v>816</v>
      </c>
      <c r="X52" s="209" t="s">
        <v>816</v>
      </c>
      <c r="Y52" s="209" t="s">
        <v>816</v>
      </c>
      <c r="Z52" s="209" t="s">
        <v>816</v>
      </c>
      <c r="AA52" s="209" t="s">
        <v>816</v>
      </c>
      <c r="AB52" s="209" t="s">
        <v>816</v>
      </c>
      <c r="AC52" s="150" t="s">
        <v>1831</v>
      </c>
      <c r="AD52" s="257" t="s">
        <v>2144</v>
      </c>
      <c r="AE52" s="257" t="s">
        <v>494</v>
      </c>
      <c r="AF52" s="257" t="s">
        <v>2309</v>
      </c>
      <c r="AG52" s="149" t="s">
        <v>702</v>
      </c>
      <c r="AH52" s="149">
        <v>6</v>
      </c>
      <c r="AI52" s="149" t="s">
        <v>1859</v>
      </c>
      <c r="AJ52" s="150" t="s">
        <v>816</v>
      </c>
      <c r="AK52" s="149">
        <v>6</v>
      </c>
      <c r="AL52" s="150" t="s">
        <v>816</v>
      </c>
      <c r="AM52" s="149" t="s">
        <v>720</v>
      </c>
      <c r="AN52" s="149">
        <v>5</v>
      </c>
      <c r="AO52" s="149" t="s">
        <v>1864</v>
      </c>
      <c r="AP52" s="149">
        <v>2</v>
      </c>
      <c r="AQ52" s="149">
        <v>5</v>
      </c>
      <c r="AR52" s="150" t="s">
        <v>816</v>
      </c>
      <c r="AS52" s="149" t="s">
        <v>721</v>
      </c>
      <c r="AT52" s="149">
        <v>7</v>
      </c>
      <c r="AU52" s="149" t="s">
        <v>1859</v>
      </c>
      <c r="AV52" s="149">
        <v>3</v>
      </c>
      <c r="AW52" s="149">
        <v>4</v>
      </c>
      <c r="AX52" s="150" t="s">
        <v>816</v>
      </c>
      <c r="AY52" s="150" t="s">
        <v>738</v>
      </c>
      <c r="AZ52" s="149">
        <v>6</v>
      </c>
      <c r="BA52" s="149" t="s">
        <v>1865</v>
      </c>
      <c r="BB52" s="150" t="s">
        <v>816</v>
      </c>
      <c r="BC52" s="149">
        <v>5</v>
      </c>
      <c r="BD52" s="150">
        <v>150</v>
      </c>
      <c r="BE52" s="149" t="s">
        <v>732</v>
      </c>
      <c r="BF52" s="149">
        <v>7</v>
      </c>
      <c r="BG52" s="149" t="s">
        <v>1843</v>
      </c>
      <c r="BH52" s="150" t="s">
        <v>816</v>
      </c>
      <c r="BI52" s="149">
        <v>4</v>
      </c>
      <c r="BJ52" s="150">
        <v>20</v>
      </c>
      <c r="BK52" s="149" t="s">
        <v>704</v>
      </c>
      <c r="BL52" s="150">
        <v>7</v>
      </c>
      <c r="BM52" s="150" t="s">
        <v>1923</v>
      </c>
      <c r="BN52" s="150">
        <v>3</v>
      </c>
      <c r="BO52" s="149">
        <v>5</v>
      </c>
      <c r="BP52" s="150" t="s">
        <v>816</v>
      </c>
      <c r="BQ52" s="149" t="s">
        <v>724</v>
      </c>
      <c r="BR52" s="150">
        <v>7</v>
      </c>
      <c r="BS52" s="150" t="s">
        <v>1923</v>
      </c>
      <c r="BT52" s="150">
        <v>3</v>
      </c>
      <c r="BU52" s="149">
        <v>4</v>
      </c>
      <c r="BV52" s="150" t="s">
        <v>816</v>
      </c>
    </row>
    <row r="53" spans="1:74" x14ac:dyDescent="0.25">
      <c r="A53" s="149" t="s">
        <v>1969</v>
      </c>
      <c r="B53" s="149" t="s">
        <v>2240</v>
      </c>
      <c r="D53" s="149">
        <v>7</v>
      </c>
      <c r="E53" s="149">
        <v>6</v>
      </c>
      <c r="F53" s="149">
        <v>7</v>
      </c>
      <c r="G53" s="149">
        <v>3</v>
      </c>
      <c r="H53" s="149">
        <v>2</v>
      </c>
      <c r="I53" s="149">
        <v>2</v>
      </c>
      <c r="J53" s="149">
        <v>3</v>
      </c>
      <c r="K53" s="149">
        <v>2</v>
      </c>
      <c r="L53" s="149">
        <v>3</v>
      </c>
      <c r="M53" s="149">
        <v>2</v>
      </c>
      <c r="N53" s="149">
        <v>4</v>
      </c>
      <c r="O53" s="149">
        <v>6</v>
      </c>
      <c r="P53" s="149">
        <v>7</v>
      </c>
      <c r="Q53" s="149">
        <v>5</v>
      </c>
      <c r="R53" s="149">
        <v>9</v>
      </c>
      <c r="S53" s="149">
        <v>6</v>
      </c>
      <c r="T53" s="149">
        <v>0</v>
      </c>
      <c r="U53" s="149" t="s">
        <v>167</v>
      </c>
      <c r="V53" s="149">
        <v>2</v>
      </c>
      <c r="W53" s="149" t="s">
        <v>156</v>
      </c>
      <c r="X53" s="149">
        <v>3</v>
      </c>
      <c r="Y53" s="149" t="s">
        <v>162</v>
      </c>
      <c r="Z53" s="149">
        <v>2</v>
      </c>
      <c r="AA53" s="149" t="s">
        <v>159</v>
      </c>
      <c r="AB53" s="149">
        <v>3</v>
      </c>
      <c r="AC53" s="150" t="s">
        <v>1970</v>
      </c>
      <c r="AD53" s="257" t="s">
        <v>1971</v>
      </c>
      <c r="AE53" s="257" t="s">
        <v>1972</v>
      </c>
      <c r="AF53" s="257" t="s">
        <v>1973</v>
      </c>
      <c r="AG53" s="149" t="s">
        <v>1974</v>
      </c>
      <c r="AH53" s="149">
        <v>8</v>
      </c>
      <c r="AI53" s="149" t="s">
        <v>1940</v>
      </c>
      <c r="AJ53" s="149">
        <v>4</v>
      </c>
      <c r="AK53" s="149">
        <v>5</v>
      </c>
      <c r="AL53" s="150" t="s">
        <v>816</v>
      </c>
      <c r="AM53" s="149" t="s">
        <v>702</v>
      </c>
      <c r="AN53" s="149">
        <v>8</v>
      </c>
      <c r="AO53" s="149" t="s">
        <v>1877</v>
      </c>
      <c r="AP53" s="150" t="s">
        <v>816</v>
      </c>
      <c r="AQ53" s="149">
        <v>5</v>
      </c>
      <c r="AR53" s="150" t="s">
        <v>816</v>
      </c>
      <c r="AS53" s="209" t="s">
        <v>816</v>
      </c>
      <c r="AT53" s="209" t="s">
        <v>816</v>
      </c>
      <c r="AU53" s="209" t="s">
        <v>816</v>
      </c>
      <c r="AV53" s="209" t="s">
        <v>816</v>
      </c>
      <c r="AW53" s="209" t="s">
        <v>816</v>
      </c>
      <c r="AX53" s="209" t="s">
        <v>816</v>
      </c>
      <c r="AY53" s="209" t="s">
        <v>816</v>
      </c>
      <c r="AZ53" s="209" t="s">
        <v>816</v>
      </c>
      <c r="BA53" s="209" t="s">
        <v>816</v>
      </c>
      <c r="BB53" s="209" t="s">
        <v>816</v>
      </c>
      <c r="BC53" s="209" t="s">
        <v>816</v>
      </c>
      <c r="BD53" s="209" t="s">
        <v>816</v>
      </c>
      <c r="BE53" s="209" t="s">
        <v>816</v>
      </c>
      <c r="BF53" s="209" t="s">
        <v>816</v>
      </c>
      <c r="BG53" s="209" t="s">
        <v>816</v>
      </c>
      <c r="BH53" s="209" t="s">
        <v>816</v>
      </c>
      <c r="BI53" s="209" t="s">
        <v>816</v>
      </c>
      <c r="BJ53" s="209" t="s">
        <v>816</v>
      </c>
      <c r="BK53" s="209" t="s">
        <v>816</v>
      </c>
      <c r="BL53" s="209" t="s">
        <v>816</v>
      </c>
      <c r="BM53" s="209" t="s">
        <v>816</v>
      </c>
      <c r="BN53" s="209" t="s">
        <v>816</v>
      </c>
      <c r="BO53" s="209" t="s">
        <v>816</v>
      </c>
      <c r="BP53" s="209" t="s">
        <v>816</v>
      </c>
      <c r="BQ53" s="209" t="s">
        <v>816</v>
      </c>
      <c r="BR53" s="209" t="s">
        <v>816</v>
      </c>
      <c r="BS53" s="209" t="s">
        <v>816</v>
      </c>
      <c r="BT53" s="209" t="s">
        <v>816</v>
      </c>
      <c r="BU53" s="209" t="s">
        <v>816</v>
      </c>
      <c r="BV53" s="209" t="s">
        <v>816</v>
      </c>
    </row>
    <row r="54" spans="1:74" x14ac:dyDescent="0.25">
      <c r="A54" s="149" t="s">
        <v>2146</v>
      </c>
      <c r="B54" s="149" t="s">
        <v>2240</v>
      </c>
      <c r="D54" s="149">
        <v>4</v>
      </c>
      <c r="E54" s="149">
        <v>3</v>
      </c>
      <c r="F54" s="149">
        <v>3</v>
      </c>
      <c r="G54" s="149">
        <v>0</v>
      </c>
      <c r="H54" s="149">
        <v>0</v>
      </c>
      <c r="I54" s="149">
        <v>2</v>
      </c>
      <c r="J54" s="149">
        <v>2</v>
      </c>
      <c r="K54" s="149">
        <v>2</v>
      </c>
      <c r="L54" s="149">
        <v>3</v>
      </c>
      <c r="M54" s="149">
        <v>1</v>
      </c>
      <c r="N54" s="149">
        <v>1</v>
      </c>
      <c r="O54" s="149">
        <v>3</v>
      </c>
      <c r="P54" s="149">
        <v>5</v>
      </c>
      <c r="Q54" s="149">
        <v>5</v>
      </c>
      <c r="R54" s="149">
        <v>4</v>
      </c>
      <c r="S54" s="149">
        <v>3</v>
      </c>
      <c r="T54" s="149">
        <v>0</v>
      </c>
      <c r="U54" s="149" t="s">
        <v>156</v>
      </c>
      <c r="V54" s="149">
        <v>3</v>
      </c>
      <c r="W54" s="149" t="s">
        <v>158</v>
      </c>
      <c r="X54" s="149">
        <v>1</v>
      </c>
      <c r="Y54" s="149" t="s">
        <v>163</v>
      </c>
      <c r="Z54" s="149">
        <v>2</v>
      </c>
      <c r="AA54" s="149" t="s">
        <v>176</v>
      </c>
      <c r="AB54" s="149">
        <v>2</v>
      </c>
      <c r="AC54" s="150" t="s">
        <v>2091</v>
      </c>
      <c r="AD54" s="257" t="s">
        <v>2095</v>
      </c>
      <c r="AE54" s="257" t="s">
        <v>2150</v>
      </c>
      <c r="AF54" s="257" t="s">
        <v>2148</v>
      </c>
      <c r="AG54" s="149" t="s">
        <v>1974</v>
      </c>
      <c r="AH54" s="149">
        <v>5</v>
      </c>
      <c r="AI54" s="149" t="s">
        <v>2024</v>
      </c>
      <c r="AJ54" s="150" t="s">
        <v>816</v>
      </c>
      <c r="AK54" s="149">
        <v>5</v>
      </c>
      <c r="AL54" s="150" t="s">
        <v>816</v>
      </c>
      <c r="AM54" s="149" t="s">
        <v>2096</v>
      </c>
      <c r="AN54" s="149">
        <v>2</v>
      </c>
      <c r="AO54" s="149" t="s">
        <v>1834</v>
      </c>
      <c r="AP54" s="150" t="s">
        <v>816</v>
      </c>
      <c r="AQ54" s="149">
        <v>2</v>
      </c>
      <c r="AR54" s="150" t="s">
        <v>816</v>
      </c>
      <c r="AS54" s="209" t="s">
        <v>816</v>
      </c>
      <c r="AT54" s="209" t="s">
        <v>816</v>
      </c>
      <c r="AU54" s="209" t="s">
        <v>816</v>
      </c>
      <c r="AV54" s="209" t="s">
        <v>816</v>
      </c>
      <c r="AW54" s="209" t="s">
        <v>816</v>
      </c>
      <c r="AX54" s="209" t="s">
        <v>816</v>
      </c>
      <c r="AY54" s="209" t="s">
        <v>816</v>
      </c>
      <c r="AZ54" s="209" t="s">
        <v>816</v>
      </c>
      <c r="BA54" s="209" t="s">
        <v>816</v>
      </c>
      <c r="BB54" s="209" t="s">
        <v>816</v>
      </c>
      <c r="BC54" s="209" t="s">
        <v>816</v>
      </c>
      <c r="BD54" s="209" t="s">
        <v>816</v>
      </c>
      <c r="BE54" s="209" t="s">
        <v>816</v>
      </c>
      <c r="BF54" s="209" t="s">
        <v>816</v>
      </c>
      <c r="BG54" s="209" t="s">
        <v>816</v>
      </c>
      <c r="BH54" s="209" t="s">
        <v>816</v>
      </c>
      <c r="BI54" s="209" t="s">
        <v>816</v>
      </c>
      <c r="BJ54" s="209" t="s">
        <v>816</v>
      </c>
      <c r="BK54" s="209" t="s">
        <v>816</v>
      </c>
      <c r="BL54" s="209" t="s">
        <v>816</v>
      </c>
      <c r="BM54" s="209" t="s">
        <v>816</v>
      </c>
      <c r="BN54" s="209" t="s">
        <v>816</v>
      </c>
      <c r="BO54" s="209" t="s">
        <v>816</v>
      </c>
      <c r="BP54" s="209" t="s">
        <v>816</v>
      </c>
      <c r="BQ54" s="209" t="s">
        <v>816</v>
      </c>
      <c r="BR54" s="209" t="s">
        <v>816</v>
      </c>
      <c r="BS54" s="209" t="s">
        <v>816</v>
      </c>
      <c r="BT54" s="209" t="s">
        <v>816</v>
      </c>
      <c r="BU54" s="209" t="s">
        <v>816</v>
      </c>
      <c r="BV54" s="209" t="s">
        <v>816</v>
      </c>
    </row>
    <row r="55" spans="1:74" x14ac:dyDescent="0.25">
      <c r="A55" s="149" t="s">
        <v>2142</v>
      </c>
      <c r="B55" s="149" t="s">
        <v>2240</v>
      </c>
      <c r="D55" s="149">
        <v>3</v>
      </c>
      <c r="E55" s="149">
        <v>2</v>
      </c>
      <c r="F55" s="149">
        <v>4</v>
      </c>
      <c r="G55" s="149">
        <v>0</v>
      </c>
      <c r="H55" s="149">
        <v>0</v>
      </c>
      <c r="I55" s="149">
        <v>4</v>
      </c>
      <c r="J55" s="149">
        <v>3</v>
      </c>
      <c r="K55" s="149">
        <v>3</v>
      </c>
      <c r="L55" s="149">
        <v>3</v>
      </c>
      <c r="M55" s="149">
        <v>2</v>
      </c>
      <c r="N55" s="149">
        <v>4</v>
      </c>
      <c r="O55" s="149">
        <v>2</v>
      </c>
      <c r="P55" s="149">
        <v>6</v>
      </c>
      <c r="Q55" s="149">
        <v>7</v>
      </c>
      <c r="R55" s="149">
        <v>4</v>
      </c>
      <c r="S55" s="149">
        <v>2</v>
      </c>
      <c r="T55" s="149">
        <v>0</v>
      </c>
      <c r="U55" s="149" t="s">
        <v>167</v>
      </c>
      <c r="V55" s="149">
        <v>3</v>
      </c>
      <c r="W55" s="149" t="s">
        <v>162</v>
      </c>
      <c r="X55" s="149">
        <v>2</v>
      </c>
      <c r="Y55" s="149" t="s">
        <v>158</v>
      </c>
      <c r="Z55" s="149">
        <v>3</v>
      </c>
      <c r="AA55" s="149" t="s">
        <v>164</v>
      </c>
      <c r="AB55" s="149">
        <v>2</v>
      </c>
      <c r="AC55" s="150" t="s">
        <v>2091</v>
      </c>
      <c r="AD55" s="257" t="s">
        <v>2017</v>
      </c>
      <c r="AE55" s="257" t="s">
        <v>2143</v>
      </c>
      <c r="AF55" s="257" t="s">
        <v>2310</v>
      </c>
      <c r="AG55" s="149" t="s">
        <v>1974</v>
      </c>
      <c r="AH55" s="149">
        <v>5</v>
      </c>
      <c r="AI55" s="149" t="s">
        <v>1879</v>
      </c>
      <c r="AJ55" s="150" t="s">
        <v>816</v>
      </c>
      <c r="AK55" s="149">
        <v>5</v>
      </c>
      <c r="AL55" s="150" t="s">
        <v>816</v>
      </c>
      <c r="AM55" s="149" t="s">
        <v>2019</v>
      </c>
      <c r="AN55" s="149">
        <v>7</v>
      </c>
      <c r="AO55" s="149" t="s">
        <v>1865</v>
      </c>
      <c r="AP55" s="150" t="s">
        <v>816</v>
      </c>
      <c r="AQ55" s="149">
        <v>5</v>
      </c>
      <c r="AR55" s="150" t="s">
        <v>816</v>
      </c>
      <c r="AS55" s="209" t="s">
        <v>816</v>
      </c>
      <c r="AT55" s="209" t="s">
        <v>816</v>
      </c>
      <c r="AU55" s="209" t="s">
        <v>816</v>
      </c>
      <c r="AV55" s="209" t="s">
        <v>816</v>
      </c>
      <c r="AW55" s="209" t="s">
        <v>816</v>
      </c>
      <c r="AX55" s="209" t="s">
        <v>816</v>
      </c>
      <c r="AY55" s="209" t="s">
        <v>816</v>
      </c>
      <c r="AZ55" s="209" t="s">
        <v>816</v>
      </c>
      <c r="BA55" s="209" t="s">
        <v>816</v>
      </c>
      <c r="BB55" s="209" t="s">
        <v>816</v>
      </c>
      <c r="BC55" s="209" t="s">
        <v>816</v>
      </c>
      <c r="BD55" s="209" t="s">
        <v>816</v>
      </c>
      <c r="BE55" s="209" t="s">
        <v>816</v>
      </c>
      <c r="BF55" s="209" t="s">
        <v>816</v>
      </c>
      <c r="BG55" s="209" t="s">
        <v>816</v>
      </c>
      <c r="BH55" s="209" t="s">
        <v>816</v>
      </c>
      <c r="BI55" s="209" t="s">
        <v>816</v>
      </c>
      <c r="BJ55" s="209" t="s">
        <v>816</v>
      </c>
      <c r="BK55" s="209" t="s">
        <v>816</v>
      </c>
      <c r="BL55" s="209" t="s">
        <v>816</v>
      </c>
      <c r="BM55" s="209" t="s">
        <v>816</v>
      </c>
      <c r="BN55" s="209" t="s">
        <v>816</v>
      </c>
      <c r="BO55" s="209" t="s">
        <v>816</v>
      </c>
      <c r="BP55" s="209" t="s">
        <v>816</v>
      </c>
      <c r="BQ55" s="209" t="s">
        <v>816</v>
      </c>
      <c r="BR55" s="209" t="s">
        <v>816</v>
      </c>
      <c r="BS55" s="209" t="s">
        <v>816</v>
      </c>
      <c r="BT55" s="209" t="s">
        <v>816</v>
      </c>
      <c r="BU55" s="209" t="s">
        <v>816</v>
      </c>
      <c r="BV55" s="209" t="s">
        <v>816</v>
      </c>
    </row>
    <row r="56" spans="1:74" x14ac:dyDescent="0.25">
      <c r="A56" s="149" t="s">
        <v>2168</v>
      </c>
      <c r="B56" s="149" t="s">
        <v>2240</v>
      </c>
      <c r="D56" s="149">
        <v>6</v>
      </c>
      <c r="E56" s="149">
        <v>3</v>
      </c>
      <c r="F56" s="149">
        <v>6</v>
      </c>
      <c r="G56" s="149">
        <v>0</v>
      </c>
      <c r="H56" s="149">
        <v>0</v>
      </c>
      <c r="I56" s="149">
        <v>2</v>
      </c>
      <c r="J56" s="149">
        <v>3</v>
      </c>
      <c r="K56" s="149">
        <v>2</v>
      </c>
      <c r="L56" s="149">
        <v>3</v>
      </c>
      <c r="M56" s="149">
        <v>1</v>
      </c>
      <c r="N56" s="149">
        <v>1</v>
      </c>
      <c r="O56" s="149">
        <v>4</v>
      </c>
      <c r="P56" s="149">
        <v>4</v>
      </c>
      <c r="Q56" s="149">
        <v>5</v>
      </c>
      <c r="R56" s="149">
        <v>6</v>
      </c>
      <c r="S56" s="149">
        <v>3</v>
      </c>
      <c r="T56" s="149">
        <v>0</v>
      </c>
      <c r="U56" s="149" t="s">
        <v>169</v>
      </c>
      <c r="V56" s="149">
        <v>3</v>
      </c>
      <c r="W56" s="149" t="s">
        <v>171</v>
      </c>
      <c r="X56" s="149">
        <v>2</v>
      </c>
      <c r="Y56" s="149" t="s">
        <v>176</v>
      </c>
      <c r="Z56" s="149">
        <v>2</v>
      </c>
      <c r="AA56" s="149" t="s">
        <v>173</v>
      </c>
      <c r="AB56" s="149">
        <v>3</v>
      </c>
      <c r="AC56" s="150" t="s">
        <v>2009</v>
      </c>
      <c r="AD56" s="257" t="s">
        <v>2173</v>
      </c>
      <c r="AE56" s="257" t="s">
        <v>2174</v>
      </c>
      <c r="AF56" s="257" t="s">
        <v>494</v>
      </c>
      <c r="AG56" s="149" t="s">
        <v>1974</v>
      </c>
      <c r="AH56" s="149">
        <v>7</v>
      </c>
      <c r="AI56" s="149" t="s">
        <v>1923</v>
      </c>
      <c r="AJ56" s="150" t="s">
        <v>816</v>
      </c>
      <c r="AK56" s="149">
        <v>4</v>
      </c>
      <c r="AL56" s="150" t="s">
        <v>816</v>
      </c>
      <c r="AM56" s="149" t="s">
        <v>2011</v>
      </c>
      <c r="AN56" s="149">
        <v>6</v>
      </c>
      <c r="AO56" s="149" t="s">
        <v>1865</v>
      </c>
      <c r="AP56" s="150" t="s">
        <v>816</v>
      </c>
      <c r="AQ56" s="149">
        <v>5</v>
      </c>
      <c r="AR56" s="150" t="s">
        <v>816</v>
      </c>
      <c r="AS56" s="149" t="s">
        <v>702</v>
      </c>
      <c r="AT56" s="149">
        <v>6</v>
      </c>
      <c r="AU56" s="149" t="s">
        <v>1864</v>
      </c>
      <c r="AV56" s="150" t="s">
        <v>816</v>
      </c>
      <c r="AW56" s="149">
        <v>6</v>
      </c>
      <c r="AX56" s="150" t="s">
        <v>816</v>
      </c>
      <c r="AY56" s="209" t="s">
        <v>816</v>
      </c>
      <c r="AZ56" s="209" t="s">
        <v>816</v>
      </c>
      <c r="BA56" s="209" t="s">
        <v>816</v>
      </c>
      <c r="BB56" s="209" t="s">
        <v>816</v>
      </c>
      <c r="BC56" s="209" t="s">
        <v>816</v>
      </c>
      <c r="BD56" s="209" t="s">
        <v>816</v>
      </c>
      <c r="BE56" s="209" t="s">
        <v>816</v>
      </c>
      <c r="BF56" s="209" t="s">
        <v>816</v>
      </c>
      <c r="BG56" s="209" t="s">
        <v>816</v>
      </c>
      <c r="BH56" s="209" t="s">
        <v>816</v>
      </c>
      <c r="BI56" s="209" t="s">
        <v>816</v>
      </c>
      <c r="BJ56" s="209" t="s">
        <v>816</v>
      </c>
      <c r="BK56" s="209" t="s">
        <v>816</v>
      </c>
      <c r="BL56" s="209" t="s">
        <v>816</v>
      </c>
      <c r="BM56" s="209" t="s">
        <v>816</v>
      </c>
      <c r="BN56" s="209" t="s">
        <v>816</v>
      </c>
      <c r="BO56" s="209" t="s">
        <v>816</v>
      </c>
      <c r="BP56" s="209" t="s">
        <v>816</v>
      </c>
      <c r="BQ56" s="209" t="s">
        <v>816</v>
      </c>
      <c r="BR56" s="209" t="s">
        <v>816</v>
      </c>
      <c r="BS56" s="209" t="s">
        <v>816</v>
      </c>
      <c r="BT56" s="209" t="s">
        <v>816</v>
      </c>
      <c r="BU56" s="209" t="s">
        <v>816</v>
      </c>
      <c r="BV56" s="209" t="s">
        <v>816</v>
      </c>
    </row>
    <row r="57" spans="1:74" x14ac:dyDescent="0.25">
      <c r="A57" s="149" t="s">
        <v>2145</v>
      </c>
      <c r="B57" s="149" t="s">
        <v>2240</v>
      </c>
      <c r="D57" s="149">
        <v>4</v>
      </c>
      <c r="E57" s="149">
        <v>3</v>
      </c>
      <c r="F57" s="149">
        <v>3</v>
      </c>
      <c r="G57" s="149">
        <v>0</v>
      </c>
      <c r="H57" s="149">
        <v>0</v>
      </c>
      <c r="I57" s="149">
        <v>2</v>
      </c>
      <c r="J57" s="149">
        <v>2</v>
      </c>
      <c r="K57" s="149">
        <v>2</v>
      </c>
      <c r="L57" s="149">
        <v>3</v>
      </c>
      <c r="M57" s="149">
        <v>2</v>
      </c>
      <c r="N57" s="149">
        <v>4</v>
      </c>
      <c r="O57" s="149">
        <v>3</v>
      </c>
      <c r="P57" s="149">
        <v>7</v>
      </c>
      <c r="Q57" s="149">
        <v>5</v>
      </c>
      <c r="R57" s="149">
        <v>3</v>
      </c>
      <c r="S57" s="149">
        <v>2</v>
      </c>
      <c r="T57" s="149">
        <v>0</v>
      </c>
      <c r="U57" s="149" t="s">
        <v>156</v>
      </c>
      <c r="V57" s="149">
        <v>4</v>
      </c>
      <c r="W57" s="149" t="s">
        <v>158</v>
      </c>
      <c r="X57" s="149">
        <v>1</v>
      </c>
      <c r="Y57" s="149" t="s">
        <v>163</v>
      </c>
      <c r="Z57" s="149">
        <v>3</v>
      </c>
      <c r="AA57" s="149" t="s">
        <v>176</v>
      </c>
      <c r="AB57" s="149">
        <v>3</v>
      </c>
      <c r="AC57" s="150" t="s">
        <v>2147</v>
      </c>
      <c r="AD57" s="257" t="s">
        <v>2095</v>
      </c>
      <c r="AE57" s="257" t="s">
        <v>2149</v>
      </c>
      <c r="AF57" s="257" t="s">
        <v>2148</v>
      </c>
      <c r="AG57" s="149" t="s">
        <v>1974</v>
      </c>
      <c r="AH57" s="149">
        <v>5</v>
      </c>
      <c r="AI57" s="149" t="s">
        <v>2024</v>
      </c>
      <c r="AJ57" s="150" t="s">
        <v>816</v>
      </c>
      <c r="AK57" s="149">
        <v>5</v>
      </c>
      <c r="AL57" s="150" t="s">
        <v>816</v>
      </c>
      <c r="AM57" s="149" t="s">
        <v>2096</v>
      </c>
      <c r="AN57" s="149">
        <v>2</v>
      </c>
      <c r="AO57" s="149" t="s">
        <v>1834</v>
      </c>
      <c r="AP57" s="150" t="s">
        <v>816</v>
      </c>
      <c r="AQ57" s="149">
        <v>2</v>
      </c>
      <c r="AR57" s="150" t="s">
        <v>816</v>
      </c>
      <c r="AS57" s="209" t="s">
        <v>816</v>
      </c>
      <c r="AT57" s="209" t="s">
        <v>816</v>
      </c>
      <c r="AU57" s="209" t="s">
        <v>816</v>
      </c>
      <c r="AV57" s="209" t="s">
        <v>816</v>
      </c>
      <c r="AW57" s="209" t="s">
        <v>816</v>
      </c>
      <c r="AX57" s="209" t="s">
        <v>816</v>
      </c>
      <c r="AY57" s="209" t="s">
        <v>816</v>
      </c>
      <c r="AZ57" s="209" t="s">
        <v>816</v>
      </c>
      <c r="BA57" s="209" t="s">
        <v>816</v>
      </c>
      <c r="BB57" s="209" t="s">
        <v>816</v>
      </c>
      <c r="BC57" s="209" t="s">
        <v>816</v>
      </c>
      <c r="BD57" s="209" t="s">
        <v>816</v>
      </c>
      <c r="BE57" s="209" t="s">
        <v>816</v>
      </c>
      <c r="BF57" s="209" t="s">
        <v>816</v>
      </c>
      <c r="BG57" s="209" t="s">
        <v>816</v>
      </c>
      <c r="BH57" s="209" t="s">
        <v>816</v>
      </c>
      <c r="BI57" s="209" t="s">
        <v>816</v>
      </c>
      <c r="BJ57" s="209" t="s">
        <v>816</v>
      </c>
      <c r="BK57" s="209" t="s">
        <v>816</v>
      </c>
      <c r="BL57" s="209" t="s">
        <v>816</v>
      </c>
      <c r="BM57" s="209" t="s">
        <v>816</v>
      </c>
      <c r="BN57" s="209" t="s">
        <v>816</v>
      </c>
      <c r="BO57" s="209" t="s">
        <v>816</v>
      </c>
      <c r="BP57" s="209" t="s">
        <v>816</v>
      </c>
      <c r="BQ57" s="209" t="s">
        <v>816</v>
      </c>
      <c r="BR57" s="209" t="s">
        <v>816</v>
      </c>
      <c r="BS57" s="209" t="s">
        <v>816</v>
      </c>
      <c r="BT57" s="209" t="s">
        <v>816</v>
      </c>
      <c r="BU57" s="209" t="s">
        <v>816</v>
      </c>
      <c r="BV57" s="209" t="s">
        <v>816</v>
      </c>
    </row>
    <row r="58" spans="1:74" x14ac:dyDescent="0.25">
      <c r="A58" s="149" t="s">
        <v>1980</v>
      </c>
      <c r="B58" s="149" t="s">
        <v>2240</v>
      </c>
      <c r="D58" s="149">
        <v>4</v>
      </c>
      <c r="E58" s="149">
        <v>3</v>
      </c>
      <c r="F58" s="149">
        <v>3</v>
      </c>
      <c r="G58" s="149">
        <v>0</v>
      </c>
      <c r="H58" s="149">
        <v>0</v>
      </c>
      <c r="I58" s="149">
        <v>2</v>
      </c>
      <c r="J58" s="149">
        <v>2</v>
      </c>
      <c r="K58" s="149">
        <v>2</v>
      </c>
      <c r="L58" s="149">
        <v>3</v>
      </c>
      <c r="M58" s="149">
        <v>3</v>
      </c>
      <c r="N58" s="149">
        <v>9</v>
      </c>
      <c r="O58" s="149">
        <v>3</v>
      </c>
      <c r="P58" s="149">
        <v>8</v>
      </c>
      <c r="Q58" s="149">
        <v>5</v>
      </c>
      <c r="R58" s="149">
        <v>3</v>
      </c>
      <c r="S58" s="149">
        <v>0</v>
      </c>
      <c r="T58" s="149">
        <v>0</v>
      </c>
      <c r="U58" s="149" t="s">
        <v>158</v>
      </c>
      <c r="V58" s="149">
        <v>1</v>
      </c>
      <c r="W58" s="149" t="s">
        <v>163</v>
      </c>
      <c r="X58" s="149">
        <v>1</v>
      </c>
      <c r="Y58" s="149" t="s">
        <v>164</v>
      </c>
      <c r="Z58" s="149">
        <v>4</v>
      </c>
      <c r="AA58" s="149" t="s">
        <v>173</v>
      </c>
      <c r="AB58" s="149">
        <v>4</v>
      </c>
      <c r="AC58" s="150" t="s">
        <v>1831</v>
      </c>
      <c r="AD58" s="257" t="s">
        <v>2095</v>
      </c>
      <c r="AE58" s="257" t="s">
        <v>2107</v>
      </c>
      <c r="AF58" s="257" t="s">
        <v>494</v>
      </c>
      <c r="AG58" s="149" t="s">
        <v>1974</v>
      </c>
      <c r="AH58" s="149">
        <v>5</v>
      </c>
      <c r="AI58" s="149" t="s">
        <v>2024</v>
      </c>
      <c r="AJ58" s="150" t="s">
        <v>816</v>
      </c>
      <c r="AK58" s="149">
        <v>5</v>
      </c>
      <c r="AL58" s="150" t="s">
        <v>816</v>
      </c>
      <c r="AM58" s="149" t="s">
        <v>2096</v>
      </c>
      <c r="AN58" s="149">
        <v>2</v>
      </c>
      <c r="AO58" s="149" t="s">
        <v>1834</v>
      </c>
      <c r="AP58" s="150" t="s">
        <v>816</v>
      </c>
      <c r="AQ58" s="149">
        <v>2</v>
      </c>
      <c r="AR58" s="150" t="s">
        <v>816</v>
      </c>
      <c r="AS58" s="209" t="s">
        <v>816</v>
      </c>
      <c r="AT58" s="209" t="s">
        <v>816</v>
      </c>
      <c r="AU58" s="209" t="s">
        <v>816</v>
      </c>
      <c r="AV58" s="209" t="s">
        <v>816</v>
      </c>
      <c r="AW58" s="209" t="s">
        <v>816</v>
      </c>
      <c r="AX58" s="209" t="s">
        <v>816</v>
      </c>
      <c r="AY58" s="209" t="s">
        <v>816</v>
      </c>
      <c r="AZ58" s="209" t="s">
        <v>816</v>
      </c>
      <c r="BA58" s="209" t="s">
        <v>816</v>
      </c>
      <c r="BB58" s="209" t="s">
        <v>816</v>
      </c>
      <c r="BC58" s="209" t="s">
        <v>816</v>
      </c>
      <c r="BD58" s="209" t="s">
        <v>816</v>
      </c>
      <c r="BE58" s="209" t="s">
        <v>816</v>
      </c>
      <c r="BF58" s="209" t="s">
        <v>816</v>
      </c>
      <c r="BG58" s="209" t="s">
        <v>816</v>
      </c>
      <c r="BH58" s="209" t="s">
        <v>816</v>
      </c>
      <c r="BI58" s="209" t="s">
        <v>816</v>
      </c>
      <c r="BJ58" s="209" t="s">
        <v>816</v>
      </c>
      <c r="BK58" s="209" t="s">
        <v>816</v>
      </c>
      <c r="BL58" s="209" t="s">
        <v>816</v>
      </c>
      <c r="BM58" s="209" t="s">
        <v>816</v>
      </c>
      <c r="BN58" s="209" t="s">
        <v>816</v>
      </c>
      <c r="BO58" s="209" t="s">
        <v>816</v>
      </c>
      <c r="BP58" s="209" t="s">
        <v>816</v>
      </c>
      <c r="BQ58" s="209" t="s">
        <v>816</v>
      </c>
      <c r="BR58" s="209" t="s">
        <v>816</v>
      </c>
      <c r="BS58" s="209" t="s">
        <v>816</v>
      </c>
      <c r="BT58" s="209" t="s">
        <v>816</v>
      </c>
      <c r="BU58" s="209" t="s">
        <v>816</v>
      </c>
      <c r="BV58" s="209" t="s">
        <v>816</v>
      </c>
    </row>
    <row r="59" spans="1:74" x14ac:dyDescent="0.25">
      <c r="A59" s="149" t="s">
        <v>2361</v>
      </c>
      <c r="B59" s="149" t="s">
        <v>2240</v>
      </c>
      <c r="D59" s="149">
        <v>4</v>
      </c>
      <c r="E59" s="149">
        <v>4</v>
      </c>
      <c r="F59" s="149">
        <v>4</v>
      </c>
      <c r="G59" s="149">
        <v>1</v>
      </c>
      <c r="H59" s="149">
        <v>1</v>
      </c>
      <c r="I59" s="149">
        <v>2</v>
      </c>
      <c r="J59" s="149">
        <v>4</v>
      </c>
      <c r="K59" s="149">
        <v>1</v>
      </c>
      <c r="L59" s="149">
        <v>3</v>
      </c>
      <c r="M59" s="149">
        <v>3</v>
      </c>
      <c r="N59" s="149">
        <v>9</v>
      </c>
      <c r="O59" s="149">
        <v>5</v>
      </c>
      <c r="P59" s="149">
        <v>4</v>
      </c>
      <c r="Q59" s="149">
        <v>6</v>
      </c>
      <c r="R59" s="149">
        <v>8</v>
      </c>
      <c r="S59" s="149">
        <v>6</v>
      </c>
      <c r="T59" s="149">
        <v>0</v>
      </c>
      <c r="U59" s="149" t="s">
        <v>167</v>
      </c>
      <c r="V59" s="149">
        <v>2</v>
      </c>
      <c r="W59" s="149" t="s">
        <v>169</v>
      </c>
      <c r="X59" s="149">
        <v>2</v>
      </c>
      <c r="Y59" s="149" t="s">
        <v>171</v>
      </c>
      <c r="Z59" s="149">
        <v>2</v>
      </c>
      <c r="AA59" s="149" t="s">
        <v>176</v>
      </c>
      <c r="AB59" s="149">
        <v>2</v>
      </c>
      <c r="AC59" s="150" t="s">
        <v>1831</v>
      </c>
      <c r="AD59" s="257" t="s">
        <v>2138</v>
      </c>
      <c r="AE59" s="257" t="s">
        <v>2362</v>
      </c>
      <c r="AF59" s="257" t="s">
        <v>494</v>
      </c>
      <c r="AG59" s="149" t="s">
        <v>2139</v>
      </c>
      <c r="AH59" s="149">
        <v>7</v>
      </c>
      <c r="AI59" s="149" t="s">
        <v>1985</v>
      </c>
      <c r="AJ59" s="149">
        <v>3</v>
      </c>
      <c r="AK59" s="149">
        <v>5</v>
      </c>
      <c r="AL59" s="150" t="s">
        <v>816</v>
      </c>
      <c r="AM59" s="149" t="s">
        <v>1974</v>
      </c>
      <c r="AN59" s="149">
        <v>9</v>
      </c>
      <c r="AO59" s="149" t="s">
        <v>1923</v>
      </c>
      <c r="AP59" s="149">
        <v>5</v>
      </c>
      <c r="AQ59" s="149">
        <v>4</v>
      </c>
      <c r="AR59" s="150" t="s">
        <v>816</v>
      </c>
      <c r="AS59" s="209" t="s">
        <v>816</v>
      </c>
      <c r="AT59" s="209" t="s">
        <v>816</v>
      </c>
      <c r="AU59" s="209" t="s">
        <v>816</v>
      </c>
      <c r="AV59" s="209" t="s">
        <v>816</v>
      </c>
      <c r="AW59" s="209" t="s">
        <v>816</v>
      </c>
      <c r="AX59" s="209" t="s">
        <v>816</v>
      </c>
      <c r="AY59" s="209" t="s">
        <v>816</v>
      </c>
      <c r="AZ59" s="209" t="s">
        <v>816</v>
      </c>
      <c r="BA59" s="209" t="s">
        <v>816</v>
      </c>
      <c r="BB59" s="209" t="s">
        <v>816</v>
      </c>
      <c r="BC59" s="209" t="s">
        <v>816</v>
      </c>
      <c r="BD59" s="209" t="s">
        <v>816</v>
      </c>
      <c r="BE59" s="209" t="s">
        <v>816</v>
      </c>
      <c r="BF59" s="209" t="s">
        <v>816</v>
      </c>
      <c r="BG59" s="209" t="s">
        <v>816</v>
      </c>
      <c r="BH59" s="209" t="s">
        <v>816</v>
      </c>
      <c r="BI59" s="209" t="s">
        <v>816</v>
      </c>
      <c r="BJ59" s="209" t="s">
        <v>816</v>
      </c>
      <c r="BK59" s="209" t="s">
        <v>816</v>
      </c>
      <c r="BL59" s="209" t="s">
        <v>816</v>
      </c>
      <c r="BM59" s="209" t="s">
        <v>816</v>
      </c>
      <c r="BN59" s="209" t="s">
        <v>816</v>
      </c>
      <c r="BO59" s="209" t="s">
        <v>816</v>
      </c>
      <c r="BP59" s="209" t="s">
        <v>816</v>
      </c>
      <c r="BQ59" s="209" t="s">
        <v>816</v>
      </c>
      <c r="BR59" s="209" t="s">
        <v>816</v>
      </c>
      <c r="BS59" s="209" t="s">
        <v>816</v>
      </c>
      <c r="BT59" s="209" t="s">
        <v>816</v>
      </c>
      <c r="BU59" s="209" t="s">
        <v>816</v>
      </c>
      <c r="BV59" s="209" t="s">
        <v>816</v>
      </c>
    </row>
    <row r="60" spans="1:74" x14ac:dyDescent="0.25">
      <c r="A60" s="149" t="s">
        <v>2225</v>
      </c>
      <c r="B60" s="149" t="s">
        <v>2240</v>
      </c>
      <c r="D60" s="149">
        <v>3</v>
      </c>
      <c r="E60" s="149">
        <v>2</v>
      </c>
      <c r="F60" s="149">
        <v>5</v>
      </c>
      <c r="G60" s="149">
        <v>1</v>
      </c>
      <c r="H60" s="149">
        <v>1</v>
      </c>
      <c r="I60" s="149">
        <v>4</v>
      </c>
      <c r="J60" s="149">
        <v>4</v>
      </c>
      <c r="K60" s="149">
        <v>2</v>
      </c>
      <c r="L60" s="149">
        <v>4</v>
      </c>
      <c r="M60" s="149">
        <v>4</v>
      </c>
      <c r="N60" s="149">
        <v>16</v>
      </c>
      <c r="O60" s="149">
        <v>3</v>
      </c>
      <c r="P60" s="149">
        <v>6</v>
      </c>
      <c r="Q60" s="149">
        <v>8</v>
      </c>
      <c r="R60" s="149">
        <v>12</v>
      </c>
      <c r="S60" s="149">
        <v>10</v>
      </c>
      <c r="T60" s="149">
        <v>4</v>
      </c>
      <c r="U60" s="149" t="s">
        <v>157</v>
      </c>
      <c r="V60" s="149">
        <v>3</v>
      </c>
      <c r="W60" s="149" t="s">
        <v>169</v>
      </c>
      <c r="X60" s="149">
        <v>2</v>
      </c>
      <c r="Y60" s="149" t="s">
        <v>163</v>
      </c>
      <c r="Z60" s="149">
        <v>2</v>
      </c>
      <c r="AA60" s="149" t="s">
        <v>171</v>
      </c>
      <c r="AB60" s="149">
        <v>3</v>
      </c>
      <c r="AC60" s="150" t="s">
        <v>2226</v>
      </c>
      <c r="AD60" s="257" t="s">
        <v>2227</v>
      </c>
      <c r="AE60" s="257" t="s">
        <v>2311</v>
      </c>
      <c r="AF60" s="257" t="s">
        <v>2232</v>
      </c>
      <c r="AG60" s="149" t="s">
        <v>1979</v>
      </c>
      <c r="AH60" s="149">
        <v>8</v>
      </c>
      <c r="AI60" s="149" t="s">
        <v>1865</v>
      </c>
      <c r="AJ60" s="149">
        <v>4</v>
      </c>
      <c r="AK60" s="149">
        <v>5</v>
      </c>
      <c r="AL60" s="150" t="s">
        <v>816</v>
      </c>
      <c r="AM60" s="149" t="s">
        <v>2228</v>
      </c>
      <c r="AN60" s="149">
        <v>8</v>
      </c>
      <c r="AO60" s="149" t="s">
        <v>1877</v>
      </c>
      <c r="AP60" s="149">
        <v>4</v>
      </c>
      <c r="AQ60" s="149">
        <v>4</v>
      </c>
      <c r="AR60" s="150" t="s">
        <v>816</v>
      </c>
      <c r="AS60" s="149" t="s">
        <v>1974</v>
      </c>
      <c r="AT60" s="149">
        <v>7</v>
      </c>
      <c r="AU60" s="149" t="s">
        <v>2024</v>
      </c>
      <c r="AV60" s="150" t="s">
        <v>816</v>
      </c>
      <c r="AW60" s="149">
        <v>4</v>
      </c>
      <c r="AX60" s="150" t="s">
        <v>816</v>
      </c>
      <c r="AY60" s="209" t="s">
        <v>816</v>
      </c>
      <c r="AZ60" s="209" t="s">
        <v>816</v>
      </c>
      <c r="BA60" s="209" t="s">
        <v>816</v>
      </c>
      <c r="BB60" s="209" t="s">
        <v>816</v>
      </c>
      <c r="BC60" s="209" t="s">
        <v>816</v>
      </c>
      <c r="BD60" s="209" t="s">
        <v>816</v>
      </c>
      <c r="BE60" s="209" t="s">
        <v>816</v>
      </c>
      <c r="BF60" s="209" t="s">
        <v>816</v>
      </c>
      <c r="BG60" s="209" t="s">
        <v>816</v>
      </c>
      <c r="BH60" s="209" t="s">
        <v>816</v>
      </c>
      <c r="BI60" s="209" t="s">
        <v>816</v>
      </c>
      <c r="BJ60" s="209" t="s">
        <v>816</v>
      </c>
      <c r="BK60" s="209" t="s">
        <v>816</v>
      </c>
      <c r="BL60" s="209" t="s">
        <v>816</v>
      </c>
      <c r="BM60" s="209" t="s">
        <v>816</v>
      </c>
      <c r="BN60" s="209" t="s">
        <v>816</v>
      </c>
      <c r="BO60" s="209" t="s">
        <v>816</v>
      </c>
      <c r="BP60" s="209" t="s">
        <v>816</v>
      </c>
      <c r="BQ60" s="209" t="s">
        <v>816</v>
      </c>
      <c r="BR60" s="209" t="s">
        <v>816</v>
      </c>
      <c r="BS60" s="209" t="s">
        <v>816</v>
      </c>
      <c r="BT60" s="209" t="s">
        <v>816</v>
      </c>
      <c r="BU60" s="209" t="s">
        <v>816</v>
      </c>
      <c r="BV60" s="209" t="s">
        <v>816</v>
      </c>
    </row>
    <row r="61" spans="1:74" x14ac:dyDescent="0.25">
      <c r="A61" s="149" t="s">
        <v>2203</v>
      </c>
      <c r="B61" s="149" t="s">
        <v>2240</v>
      </c>
      <c r="D61" s="149">
        <v>4</v>
      </c>
      <c r="E61" s="149">
        <v>3</v>
      </c>
      <c r="F61" s="149">
        <v>3</v>
      </c>
      <c r="G61" s="149">
        <v>0</v>
      </c>
      <c r="H61" s="149">
        <v>0</v>
      </c>
      <c r="I61" s="149">
        <v>2</v>
      </c>
      <c r="J61" s="149">
        <v>2</v>
      </c>
      <c r="K61" s="149">
        <v>2</v>
      </c>
      <c r="L61" s="149">
        <v>3</v>
      </c>
      <c r="M61" s="149">
        <v>3</v>
      </c>
      <c r="N61" s="149">
        <v>9</v>
      </c>
      <c r="O61" s="149">
        <v>3</v>
      </c>
      <c r="P61" s="149">
        <v>3</v>
      </c>
      <c r="Q61" s="149">
        <v>5</v>
      </c>
      <c r="R61" s="149">
        <v>3</v>
      </c>
      <c r="S61" s="149">
        <v>0</v>
      </c>
      <c r="T61" s="149">
        <v>0</v>
      </c>
      <c r="U61" s="209" t="s">
        <v>816</v>
      </c>
      <c r="V61" s="209" t="s">
        <v>816</v>
      </c>
      <c r="W61" s="209" t="s">
        <v>816</v>
      </c>
      <c r="X61" s="209" t="s">
        <v>816</v>
      </c>
      <c r="Y61" s="209" t="s">
        <v>816</v>
      </c>
      <c r="Z61" s="209" t="s">
        <v>816</v>
      </c>
      <c r="AA61" s="209" t="s">
        <v>816</v>
      </c>
      <c r="AB61" s="209" t="s">
        <v>816</v>
      </c>
      <c r="AC61" s="150" t="s">
        <v>1831</v>
      </c>
      <c r="AD61" s="257" t="s">
        <v>2095</v>
      </c>
      <c r="AE61" s="257" t="s">
        <v>2204</v>
      </c>
      <c r="AF61" s="257" t="s">
        <v>2205</v>
      </c>
      <c r="AG61" s="149" t="s">
        <v>1974</v>
      </c>
      <c r="AH61" s="149">
        <v>5</v>
      </c>
      <c r="AI61" s="149" t="s">
        <v>2024</v>
      </c>
      <c r="AJ61" s="150" t="s">
        <v>816</v>
      </c>
      <c r="AK61" s="149">
        <v>5</v>
      </c>
      <c r="AL61" s="150" t="s">
        <v>816</v>
      </c>
      <c r="AM61" s="149" t="s">
        <v>2096</v>
      </c>
      <c r="AN61" s="149">
        <v>2</v>
      </c>
      <c r="AO61" s="149" t="s">
        <v>1834</v>
      </c>
      <c r="AP61" s="150" t="s">
        <v>816</v>
      </c>
      <c r="AQ61" s="149">
        <v>2</v>
      </c>
      <c r="AR61" s="150" t="s">
        <v>816</v>
      </c>
      <c r="AS61" s="209" t="s">
        <v>816</v>
      </c>
      <c r="AT61" s="209" t="s">
        <v>816</v>
      </c>
      <c r="AU61" s="209" t="s">
        <v>816</v>
      </c>
      <c r="AV61" s="209" t="s">
        <v>816</v>
      </c>
      <c r="AW61" s="209" t="s">
        <v>816</v>
      </c>
      <c r="AX61" s="209" t="s">
        <v>816</v>
      </c>
      <c r="AY61" s="209" t="s">
        <v>816</v>
      </c>
      <c r="AZ61" s="209" t="s">
        <v>816</v>
      </c>
      <c r="BA61" s="209" t="s">
        <v>816</v>
      </c>
      <c r="BB61" s="209" t="s">
        <v>816</v>
      </c>
      <c r="BC61" s="209" t="s">
        <v>816</v>
      </c>
      <c r="BD61" s="209" t="s">
        <v>816</v>
      </c>
      <c r="BE61" s="209" t="s">
        <v>816</v>
      </c>
      <c r="BF61" s="209" t="s">
        <v>816</v>
      </c>
      <c r="BG61" s="209" t="s">
        <v>816</v>
      </c>
      <c r="BH61" s="209" t="s">
        <v>816</v>
      </c>
      <c r="BI61" s="209" t="s">
        <v>816</v>
      </c>
      <c r="BJ61" s="209" t="s">
        <v>816</v>
      </c>
      <c r="BK61" s="209" t="s">
        <v>816</v>
      </c>
      <c r="BL61" s="209" t="s">
        <v>816</v>
      </c>
      <c r="BM61" s="209" t="s">
        <v>816</v>
      </c>
      <c r="BN61" s="209" t="s">
        <v>816</v>
      </c>
      <c r="BO61" s="209" t="s">
        <v>816</v>
      </c>
      <c r="BP61" s="209" t="s">
        <v>816</v>
      </c>
      <c r="BQ61" s="209" t="s">
        <v>816</v>
      </c>
      <c r="BR61" s="209" t="s">
        <v>816</v>
      </c>
      <c r="BS61" s="209" t="s">
        <v>816</v>
      </c>
      <c r="BT61" s="209" t="s">
        <v>816</v>
      </c>
      <c r="BU61" s="209" t="s">
        <v>816</v>
      </c>
      <c r="BV61" s="209" t="s">
        <v>816</v>
      </c>
    </row>
    <row r="62" spans="1:74" x14ac:dyDescent="0.25">
      <c r="A62" s="149" t="s">
        <v>1898</v>
      </c>
      <c r="B62" s="149" t="s">
        <v>2245</v>
      </c>
      <c r="D62" s="149">
        <v>3</v>
      </c>
      <c r="E62" s="149">
        <v>3</v>
      </c>
      <c r="F62" s="149">
        <v>3</v>
      </c>
      <c r="G62" s="149">
        <v>2</v>
      </c>
      <c r="H62" s="149">
        <v>2</v>
      </c>
      <c r="I62" s="149">
        <v>2</v>
      </c>
      <c r="J62" s="149">
        <v>2</v>
      </c>
      <c r="K62" s="149">
        <v>2</v>
      </c>
      <c r="L62" s="149">
        <v>2</v>
      </c>
      <c r="M62" s="149">
        <v>1</v>
      </c>
      <c r="N62" s="149">
        <v>1</v>
      </c>
      <c r="O62" s="149">
        <v>3</v>
      </c>
      <c r="P62" s="149">
        <v>7</v>
      </c>
      <c r="Q62" s="149">
        <v>4</v>
      </c>
      <c r="R62" s="149">
        <f t="shared" ref="R62:R68" si="2">F62</f>
        <v>3</v>
      </c>
      <c r="S62" s="149">
        <f t="shared" ref="S62:S68" si="3">ROUNDUP(R62/2,0)</f>
        <v>2</v>
      </c>
      <c r="T62" s="149">
        <v>0</v>
      </c>
      <c r="U62" s="149" t="s">
        <v>156</v>
      </c>
      <c r="V62" s="149">
        <v>3</v>
      </c>
      <c r="W62" s="149" t="s">
        <v>157</v>
      </c>
      <c r="X62" s="149">
        <v>2</v>
      </c>
      <c r="Y62" s="149" t="s">
        <v>158</v>
      </c>
      <c r="Z62" s="149">
        <v>1</v>
      </c>
      <c r="AA62" s="149" t="s">
        <v>159</v>
      </c>
      <c r="AB62" s="149">
        <v>4</v>
      </c>
      <c r="AC62" s="150" t="s">
        <v>1831</v>
      </c>
      <c r="AD62" s="257" t="s">
        <v>1840</v>
      </c>
      <c r="AE62" s="257" t="s">
        <v>1904</v>
      </c>
      <c r="AF62" s="257" t="s">
        <v>494</v>
      </c>
      <c r="AG62" s="149" t="s">
        <v>702</v>
      </c>
      <c r="AH62" s="149">
        <v>5</v>
      </c>
      <c r="AI62" s="149" t="s">
        <v>1859</v>
      </c>
      <c r="AJ62" s="150" t="s">
        <v>816</v>
      </c>
      <c r="AK62" s="149">
        <v>6</v>
      </c>
      <c r="AL62" s="150" t="s">
        <v>816</v>
      </c>
      <c r="AM62" s="149" t="s">
        <v>720</v>
      </c>
      <c r="AN62" s="149">
        <v>4</v>
      </c>
      <c r="AO62" s="149" t="s">
        <v>1864</v>
      </c>
      <c r="AP62" s="149">
        <v>1</v>
      </c>
      <c r="AQ62" s="149">
        <v>5</v>
      </c>
      <c r="AR62" s="150" t="s">
        <v>816</v>
      </c>
      <c r="AS62" s="149" t="s">
        <v>721</v>
      </c>
      <c r="AT62" s="149">
        <v>6</v>
      </c>
      <c r="AU62" s="149" t="s">
        <v>1859</v>
      </c>
      <c r="AV62" s="149">
        <v>3</v>
      </c>
      <c r="AW62" s="149">
        <v>4</v>
      </c>
      <c r="AX62" s="150" t="s">
        <v>816</v>
      </c>
      <c r="AY62" s="150" t="s">
        <v>1841</v>
      </c>
      <c r="AZ62" s="149">
        <v>5</v>
      </c>
      <c r="BA62" s="149" t="s">
        <v>1843</v>
      </c>
      <c r="BB62" s="150" t="s">
        <v>816</v>
      </c>
      <c r="BC62" s="149">
        <v>4</v>
      </c>
      <c r="BD62" s="149">
        <v>20</v>
      </c>
      <c r="BE62" s="149" t="s">
        <v>1842</v>
      </c>
      <c r="BF62" s="149">
        <v>5</v>
      </c>
      <c r="BG62" s="149" t="s">
        <v>1879</v>
      </c>
      <c r="BH62" s="149">
        <v>2</v>
      </c>
      <c r="BI62" s="149">
        <v>4</v>
      </c>
      <c r="BJ62" s="150" t="s">
        <v>816</v>
      </c>
      <c r="BK62" s="209" t="s">
        <v>816</v>
      </c>
      <c r="BL62" s="209" t="s">
        <v>816</v>
      </c>
      <c r="BM62" s="209" t="s">
        <v>816</v>
      </c>
      <c r="BN62" s="209" t="s">
        <v>816</v>
      </c>
      <c r="BO62" s="209" t="s">
        <v>816</v>
      </c>
      <c r="BP62" s="209" t="s">
        <v>816</v>
      </c>
      <c r="BQ62" s="209" t="s">
        <v>816</v>
      </c>
      <c r="BR62" s="209" t="s">
        <v>816</v>
      </c>
      <c r="BS62" s="209" t="s">
        <v>816</v>
      </c>
      <c r="BT62" s="209" t="s">
        <v>816</v>
      </c>
      <c r="BU62" s="209" t="s">
        <v>816</v>
      </c>
      <c r="BV62" s="209" t="s">
        <v>816</v>
      </c>
    </row>
    <row r="63" spans="1:74" x14ac:dyDescent="0.25">
      <c r="A63" s="149" t="s">
        <v>1894</v>
      </c>
      <c r="B63" s="149" t="s">
        <v>2245</v>
      </c>
      <c r="D63" s="149">
        <v>2</v>
      </c>
      <c r="E63" s="149">
        <v>3</v>
      </c>
      <c r="F63" s="149">
        <v>4</v>
      </c>
      <c r="G63" s="149">
        <v>2</v>
      </c>
      <c r="H63" s="149">
        <v>2</v>
      </c>
      <c r="I63" s="149">
        <v>2</v>
      </c>
      <c r="J63" s="149">
        <v>2</v>
      </c>
      <c r="K63" s="149">
        <v>2</v>
      </c>
      <c r="L63" s="149">
        <v>2</v>
      </c>
      <c r="M63" s="149">
        <v>1</v>
      </c>
      <c r="N63" s="149">
        <v>1</v>
      </c>
      <c r="O63" s="149">
        <v>3</v>
      </c>
      <c r="P63" s="149">
        <v>7</v>
      </c>
      <c r="Q63" s="149">
        <v>4</v>
      </c>
      <c r="R63" s="149">
        <f t="shared" si="2"/>
        <v>4</v>
      </c>
      <c r="S63" s="149">
        <f t="shared" si="3"/>
        <v>2</v>
      </c>
      <c r="T63" s="149">
        <v>0</v>
      </c>
      <c r="U63" s="149" t="s">
        <v>156</v>
      </c>
      <c r="V63" s="149">
        <v>3</v>
      </c>
      <c r="W63" s="149" t="s">
        <v>157</v>
      </c>
      <c r="X63" s="149">
        <v>2</v>
      </c>
      <c r="Y63" s="149" t="s">
        <v>158</v>
      </c>
      <c r="Z63" s="149">
        <v>1</v>
      </c>
      <c r="AA63" s="149" t="s">
        <v>159</v>
      </c>
      <c r="AB63" s="149">
        <v>4</v>
      </c>
      <c r="AC63" s="150" t="s">
        <v>1831</v>
      </c>
      <c r="AD63" s="257" t="s">
        <v>1840</v>
      </c>
      <c r="AE63" s="257" t="s">
        <v>1904</v>
      </c>
      <c r="AF63" s="257" t="s">
        <v>494</v>
      </c>
      <c r="AG63" s="149" t="s">
        <v>702</v>
      </c>
      <c r="AH63" s="149">
        <v>5</v>
      </c>
      <c r="AI63" s="149" t="s">
        <v>1833</v>
      </c>
      <c r="AJ63" s="150" t="s">
        <v>816</v>
      </c>
      <c r="AK63" s="149">
        <v>6</v>
      </c>
      <c r="AL63" s="150" t="s">
        <v>816</v>
      </c>
      <c r="AM63" s="149" t="s">
        <v>720</v>
      </c>
      <c r="AN63" s="149">
        <v>4</v>
      </c>
      <c r="AO63" s="149" t="s">
        <v>1834</v>
      </c>
      <c r="AP63" s="149">
        <v>1</v>
      </c>
      <c r="AQ63" s="149">
        <v>5</v>
      </c>
      <c r="AR63" s="150" t="s">
        <v>816</v>
      </c>
      <c r="AS63" s="149" t="s">
        <v>721</v>
      </c>
      <c r="AT63" s="149">
        <v>6</v>
      </c>
      <c r="AU63" s="149" t="s">
        <v>1833</v>
      </c>
      <c r="AV63" s="149">
        <v>3</v>
      </c>
      <c r="AW63" s="149">
        <v>4</v>
      </c>
      <c r="AX63" s="150" t="s">
        <v>816</v>
      </c>
      <c r="AY63" s="150" t="s">
        <v>1841</v>
      </c>
      <c r="AZ63" s="149">
        <v>5</v>
      </c>
      <c r="BA63" s="149" t="s">
        <v>1843</v>
      </c>
      <c r="BB63" s="150" t="s">
        <v>816</v>
      </c>
      <c r="BC63" s="149">
        <v>4</v>
      </c>
      <c r="BD63" s="149">
        <v>20</v>
      </c>
      <c r="BE63" s="149" t="s">
        <v>1842</v>
      </c>
      <c r="BF63" s="149">
        <v>5</v>
      </c>
      <c r="BG63" s="149" t="s">
        <v>1843</v>
      </c>
      <c r="BH63" s="149">
        <v>2</v>
      </c>
      <c r="BI63" s="149">
        <v>4</v>
      </c>
      <c r="BJ63" s="150" t="s">
        <v>816</v>
      </c>
      <c r="BK63" s="209" t="s">
        <v>816</v>
      </c>
      <c r="BL63" s="209" t="s">
        <v>816</v>
      </c>
      <c r="BM63" s="209" t="s">
        <v>816</v>
      </c>
      <c r="BN63" s="209" t="s">
        <v>816</v>
      </c>
      <c r="BO63" s="209" t="s">
        <v>816</v>
      </c>
      <c r="BP63" s="209" t="s">
        <v>816</v>
      </c>
      <c r="BQ63" s="209" t="s">
        <v>816</v>
      </c>
      <c r="BR63" s="209" t="s">
        <v>816</v>
      </c>
      <c r="BS63" s="209" t="s">
        <v>816</v>
      </c>
      <c r="BT63" s="209" t="s">
        <v>816</v>
      </c>
      <c r="BU63" s="209" t="s">
        <v>816</v>
      </c>
      <c r="BV63" s="209" t="s">
        <v>816</v>
      </c>
    </row>
    <row r="64" spans="1:74" x14ac:dyDescent="0.25">
      <c r="A64" s="149" t="s">
        <v>1890</v>
      </c>
      <c r="B64" s="149" t="s">
        <v>2245</v>
      </c>
      <c r="D64" s="149">
        <v>4</v>
      </c>
      <c r="E64" s="149">
        <v>3</v>
      </c>
      <c r="F64" s="149">
        <v>2</v>
      </c>
      <c r="G64" s="149">
        <v>2</v>
      </c>
      <c r="H64" s="149">
        <v>2</v>
      </c>
      <c r="I64" s="149">
        <v>2</v>
      </c>
      <c r="J64" s="149">
        <v>2</v>
      </c>
      <c r="K64" s="149">
        <v>2</v>
      </c>
      <c r="L64" s="149">
        <v>2</v>
      </c>
      <c r="M64" s="149">
        <v>1</v>
      </c>
      <c r="N64" s="149">
        <v>1</v>
      </c>
      <c r="O64" s="149">
        <v>3</v>
      </c>
      <c r="P64" s="149">
        <v>7</v>
      </c>
      <c r="Q64" s="149">
        <v>4</v>
      </c>
      <c r="R64" s="149">
        <f t="shared" si="2"/>
        <v>2</v>
      </c>
      <c r="S64" s="149">
        <f t="shared" si="3"/>
        <v>1</v>
      </c>
      <c r="T64" s="149">
        <v>0</v>
      </c>
      <c r="U64" s="149" t="s">
        <v>156</v>
      </c>
      <c r="V64" s="149">
        <v>3</v>
      </c>
      <c r="W64" s="149" t="s">
        <v>157</v>
      </c>
      <c r="X64" s="149">
        <v>2</v>
      </c>
      <c r="Y64" s="149" t="s">
        <v>158</v>
      </c>
      <c r="Z64" s="149">
        <v>1</v>
      </c>
      <c r="AA64" s="149" t="s">
        <v>159</v>
      </c>
      <c r="AB64" s="149">
        <v>4</v>
      </c>
      <c r="AC64" s="150" t="s">
        <v>1831</v>
      </c>
      <c r="AD64" s="257" t="s">
        <v>1840</v>
      </c>
      <c r="AE64" s="257" t="s">
        <v>1904</v>
      </c>
      <c r="AF64" s="257" t="s">
        <v>494</v>
      </c>
      <c r="AG64" s="149" t="s">
        <v>702</v>
      </c>
      <c r="AH64" s="149">
        <v>5</v>
      </c>
      <c r="AI64" s="149" t="s">
        <v>1878</v>
      </c>
      <c r="AJ64" s="150" t="s">
        <v>816</v>
      </c>
      <c r="AK64" s="149">
        <v>6</v>
      </c>
      <c r="AL64" s="150" t="s">
        <v>816</v>
      </c>
      <c r="AM64" s="149" t="s">
        <v>720</v>
      </c>
      <c r="AN64" s="149">
        <v>4</v>
      </c>
      <c r="AO64" s="149" t="s">
        <v>1877</v>
      </c>
      <c r="AP64" s="149">
        <v>1</v>
      </c>
      <c r="AQ64" s="149">
        <v>5</v>
      </c>
      <c r="AR64" s="150" t="s">
        <v>816</v>
      </c>
      <c r="AS64" s="149" t="s">
        <v>721</v>
      </c>
      <c r="AT64" s="149">
        <v>6</v>
      </c>
      <c r="AU64" s="149" t="s">
        <v>1878</v>
      </c>
      <c r="AV64" s="149">
        <v>3</v>
      </c>
      <c r="AW64" s="149">
        <v>4</v>
      </c>
      <c r="AX64" s="150" t="s">
        <v>816</v>
      </c>
      <c r="AY64" s="150" t="s">
        <v>1841</v>
      </c>
      <c r="AZ64" s="149">
        <v>5</v>
      </c>
      <c r="BA64" s="149" t="s">
        <v>1843</v>
      </c>
      <c r="BB64" s="150" t="s">
        <v>816</v>
      </c>
      <c r="BC64" s="149">
        <v>4</v>
      </c>
      <c r="BD64" s="149">
        <v>20</v>
      </c>
      <c r="BE64" s="149" t="s">
        <v>1842</v>
      </c>
      <c r="BF64" s="149">
        <v>5</v>
      </c>
      <c r="BG64" s="149" t="s">
        <v>1865</v>
      </c>
      <c r="BH64" s="149">
        <v>2</v>
      </c>
      <c r="BI64" s="149">
        <v>4</v>
      </c>
      <c r="BJ64" s="150" t="s">
        <v>816</v>
      </c>
      <c r="BK64" s="209" t="s">
        <v>816</v>
      </c>
      <c r="BL64" s="209" t="s">
        <v>816</v>
      </c>
      <c r="BM64" s="209" t="s">
        <v>816</v>
      </c>
      <c r="BN64" s="209" t="s">
        <v>816</v>
      </c>
      <c r="BO64" s="209" t="s">
        <v>816</v>
      </c>
      <c r="BP64" s="209" t="s">
        <v>816</v>
      </c>
      <c r="BQ64" s="209" t="s">
        <v>816</v>
      </c>
      <c r="BR64" s="209" t="s">
        <v>816</v>
      </c>
      <c r="BS64" s="209" t="s">
        <v>816</v>
      </c>
      <c r="BT64" s="209" t="s">
        <v>816</v>
      </c>
      <c r="BU64" s="209" t="s">
        <v>816</v>
      </c>
      <c r="BV64" s="209" t="s">
        <v>816</v>
      </c>
    </row>
    <row r="65" spans="1:74" x14ac:dyDescent="0.25">
      <c r="A65" s="149" t="s">
        <v>1910</v>
      </c>
      <c r="B65" s="149" t="s">
        <v>2245</v>
      </c>
      <c r="D65" s="149">
        <v>2</v>
      </c>
      <c r="E65" s="149">
        <v>3</v>
      </c>
      <c r="F65" s="149">
        <v>5</v>
      </c>
      <c r="G65" s="149">
        <v>2</v>
      </c>
      <c r="H65" s="149">
        <v>2</v>
      </c>
      <c r="I65" s="149">
        <v>2</v>
      </c>
      <c r="J65" s="149">
        <v>2</v>
      </c>
      <c r="K65" s="149">
        <v>2</v>
      </c>
      <c r="L65" s="149">
        <v>2</v>
      </c>
      <c r="M65" s="149">
        <v>1</v>
      </c>
      <c r="N65" s="149">
        <v>1</v>
      </c>
      <c r="O65" s="149">
        <v>3</v>
      </c>
      <c r="P65" s="149">
        <v>7</v>
      </c>
      <c r="Q65" s="149">
        <v>4</v>
      </c>
      <c r="R65" s="149">
        <f t="shared" si="2"/>
        <v>5</v>
      </c>
      <c r="S65" s="149">
        <f t="shared" si="3"/>
        <v>3</v>
      </c>
      <c r="T65" s="149">
        <v>0</v>
      </c>
      <c r="U65" s="149" t="s">
        <v>156</v>
      </c>
      <c r="V65" s="149">
        <v>3</v>
      </c>
      <c r="W65" s="149" t="s">
        <v>157</v>
      </c>
      <c r="X65" s="149">
        <v>2</v>
      </c>
      <c r="Y65" s="149" t="s">
        <v>158</v>
      </c>
      <c r="Z65" s="149">
        <v>1</v>
      </c>
      <c r="AA65" s="149" t="s">
        <v>159</v>
      </c>
      <c r="AB65" s="149">
        <v>4</v>
      </c>
      <c r="AC65" s="150" t="s">
        <v>1831</v>
      </c>
      <c r="AD65" s="257" t="s">
        <v>1840</v>
      </c>
      <c r="AE65" s="257" t="s">
        <v>1921</v>
      </c>
      <c r="AF65" s="257" t="s">
        <v>494</v>
      </c>
      <c r="AG65" s="149" t="s">
        <v>702</v>
      </c>
      <c r="AH65" s="149">
        <v>5</v>
      </c>
      <c r="AI65" s="149" t="s">
        <v>1833</v>
      </c>
      <c r="AJ65" s="150" t="s">
        <v>816</v>
      </c>
      <c r="AK65" s="149">
        <v>6</v>
      </c>
      <c r="AL65" s="150" t="s">
        <v>816</v>
      </c>
      <c r="AM65" s="149" t="s">
        <v>720</v>
      </c>
      <c r="AN65" s="149">
        <v>4</v>
      </c>
      <c r="AO65" s="149" t="s">
        <v>1834</v>
      </c>
      <c r="AP65" s="149">
        <v>1</v>
      </c>
      <c r="AQ65" s="149">
        <v>5</v>
      </c>
      <c r="AR65" s="150" t="s">
        <v>816</v>
      </c>
      <c r="AS65" s="149" t="s">
        <v>721</v>
      </c>
      <c r="AT65" s="149">
        <v>6</v>
      </c>
      <c r="AU65" s="149" t="s">
        <v>1833</v>
      </c>
      <c r="AV65" s="149">
        <v>3</v>
      </c>
      <c r="AW65" s="149">
        <v>4</v>
      </c>
      <c r="AX65" s="150" t="s">
        <v>816</v>
      </c>
      <c r="AY65" s="150" t="s">
        <v>1841</v>
      </c>
      <c r="AZ65" s="149">
        <v>5</v>
      </c>
      <c r="BA65" s="149" t="s">
        <v>1843</v>
      </c>
      <c r="BB65" s="150" t="s">
        <v>816</v>
      </c>
      <c r="BC65" s="149">
        <v>4</v>
      </c>
      <c r="BD65" s="149">
        <v>20</v>
      </c>
      <c r="BE65" s="149" t="s">
        <v>1842</v>
      </c>
      <c r="BF65" s="149">
        <v>5</v>
      </c>
      <c r="BG65" s="149" t="s">
        <v>1843</v>
      </c>
      <c r="BH65" s="149">
        <v>2</v>
      </c>
      <c r="BI65" s="149">
        <v>4</v>
      </c>
      <c r="BJ65" s="150" t="s">
        <v>816</v>
      </c>
      <c r="BK65" s="209" t="s">
        <v>816</v>
      </c>
      <c r="BL65" s="209" t="s">
        <v>816</v>
      </c>
      <c r="BM65" s="209" t="s">
        <v>816</v>
      </c>
      <c r="BN65" s="209" t="s">
        <v>816</v>
      </c>
      <c r="BO65" s="209" t="s">
        <v>816</v>
      </c>
      <c r="BP65" s="209" t="s">
        <v>816</v>
      </c>
      <c r="BQ65" s="209" t="s">
        <v>816</v>
      </c>
      <c r="BR65" s="209" t="s">
        <v>816</v>
      </c>
      <c r="BS65" s="209" t="s">
        <v>816</v>
      </c>
      <c r="BT65" s="209" t="s">
        <v>816</v>
      </c>
      <c r="BU65" s="209" t="s">
        <v>816</v>
      </c>
      <c r="BV65" s="209" t="s">
        <v>816</v>
      </c>
    </row>
    <row r="66" spans="1:74" x14ac:dyDescent="0.25">
      <c r="A66" s="149" t="s">
        <v>1906</v>
      </c>
      <c r="B66" s="149" t="s">
        <v>2245</v>
      </c>
      <c r="D66" s="149">
        <v>5</v>
      </c>
      <c r="E66" s="149">
        <v>3</v>
      </c>
      <c r="F66" s="149">
        <v>2</v>
      </c>
      <c r="G66" s="149">
        <v>2</v>
      </c>
      <c r="H66" s="149">
        <v>2</v>
      </c>
      <c r="I66" s="149">
        <v>2</v>
      </c>
      <c r="J66" s="149">
        <v>2</v>
      </c>
      <c r="K66" s="149">
        <v>2</v>
      </c>
      <c r="L66" s="149">
        <v>2</v>
      </c>
      <c r="M66" s="149">
        <v>1</v>
      </c>
      <c r="N66" s="149">
        <v>1</v>
      </c>
      <c r="O66" s="149">
        <v>3</v>
      </c>
      <c r="P66" s="149">
        <v>7</v>
      </c>
      <c r="Q66" s="149">
        <v>4</v>
      </c>
      <c r="R66" s="149">
        <f t="shared" si="2"/>
        <v>2</v>
      </c>
      <c r="S66" s="149">
        <f t="shared" si="3"/>
        <v>1</v>
      </c>
      <c r="T66" s="149">
        <v>0</v>
      </c>
      <c r="U66" s="149" t="s">
        <v>156</v>
      </c>
      <c r="V66" s="149">
        <v>3</v>
      </c>
      <c r="W66" s="149" t="s">
        <v>157</v>
      </c>
      <c r="X66" s="149">
        <v>2</v>
      </c>
      <c r="Y66" s="149" t="s">
        <v>158</v>
      </c>
      <c r="Z66" s="149">
        <v>1</v>
      </c>
      <c r="AA66" s="149" t="s">
        <v>159</v>
      </c>
      <c r="AB66" s="149">
        <v>4</v>
      </c>
      <c r="AC66" s="150" t="s">
        <v>1831</v>
      </c>
      <c r="AD66" s="257" t="s">
        <v>1840</v>
      </c>
      <c r="AE66" s="257" t="s">
        <v>1921</v>
      </c>
      <c r="AF66" s="257" t="s">
        <v>494</v>
      </c>
      <c r="AG66" s="149" t="s">
        <v>702</v>
      </c>
      <c r="AH66" s="149">
        <v>5</v>
      </c>
      <c r="AI66" s="149" t="s">
        <v>1834</v>
      </c>
      <c r="AJ66" s="150" t="s">
        <v>816</v>
      </c>
      <c r="AK66" s="149">
        <v>6</v>
      </c>
      <c r="AL66" s="150" t="s">
        <v>816</v>
      </c>
      <c r="AM66" s="149" t="s">
        <v>720</v>
      </c>
      <c r="AN66" s="149">
        <v>4</v>
      </c>
      <c r="AO66" s="149" t="s">
        <v>1922</v>
      </c>
      <c r="AP66" s="149">
        <v>1</v>
      </c>
      <c r="AQ66" s="149">
        <v>5</v>
      </c>
      <c r="AR66" s="150" t="s">
        <v>816</v>
      </c>
      <c r="AS66" s="149" t="s">
        <v>721</v>
      </c>
      <c r="AT66" s="149">
        <v>6</v>
      </c>
      <c r="AU66" s="149" t="s">
        <v>1834</v>
      </c>
      <c r="AV66" s="149">
        <v>3</v>
      </c>
      <c r="AW66" s="149">
        <v>4</v>
      </c>
      <c r="AX66" s="150" t="s">
        <v>816</v>
      </c>
      <c r="AY66" s="150" t="s">
        <v>1841</v>
      </c>
      <c r="AZ66" s="149">
        <v>5</v>
      </c>
      <c r="BA66" s="149" t="s">
        <v>1843</v>
      </c>
      <c r="BB66" s="150" t="s">
        <v>816</v>
      </c>
      <c r="BC66" s="149">
        <v>4</v>
      </c>
      <c r="BD66" s="149">
        <v>20</v>
      </c>
      <c r="BE66" s="149" t="s">
        <v>1842</v>
      </c>
      <c r="BF66" s="149">
        <v>5</v>
      </c>
      <c r="BG66" s="149" t="s">
        <v>1923</v>
      </c>
      <c r="BH66" s="149">
        <v>2</v>
      </c>
      <c r="BI66" s="149">
        <v>4</v>
      </c>
      <c r="BJ66" s="150" t="s">
        <v>816</v>
      </c>
      <c r="BK66" s="209" t="s">
        <v>816</v>
      </c>
      <c r="BL66" s="209" t="s">
        <v>816</v>
      </c>
      <c r="BM66" s="209" t="s">
        <v>816</v>
      </c>
      <c r="BN66" s="209" t="s">
        <v>816</v>
      </c>
      <c r="BO66" s="209" t="s">
        <v>816</v>
      </c>
      <c r="BP66" s="209" t="s">
        <v>816</v>
      </c>
      <c r="BQ66" s="209" t="s">
        <v>816</v>
      </c>
      <c r="BR66" s="209" t="s">
        <v>816</v>
      </c>
      <c r="BS66" s="209" t="s">
        <v>816</v>
      </c>
      <c r="BT66" s="209" t="s">
        <v>816</v>
      </c>
      <c r="BU66" s="209" t="s">
        <v>816</v>
      </c>
      <c r="BV66" s="209" t="s">
        <v>816</v>
      </c>
    </row>
    <row r="67" spans="1:74" x14ac:dyDescent="0.25">
      <c r="A67" s="149" t="s">
        <v>1918</v>
      </c>
      <c r="B67" s="149" t="s">
        <v>2245</v>
      </c>
      <c r="D67" s="149">
        <v>3</v>
      </c>
      <c r="E67" s="149">
        <v>3</v>
      </c>
      <c r="F67" s="149">
        <v>4</v>
      </c>
      <c r="G67" s="149">
        <v>2</v>
      </c>
      <c r="H67" s="149">
        <v>2</v>
      </c>
      <c r="I67" s="149">
        <v>2</v>
      </c>
      <c r="J67" s="149">
        <v>2</v>
      </c>
      <c r="K67" s="149">
        <v>2</v>
      </c>
      <c r="L67" s="149">
        <v>2</v>
      </c>
      <c r="M67" s="149">
        <v>1</v>
      </c>
      <c r="N67" s="149">
        <v>1</v>
      </c>
      <c r="O67" s="149">
        <v>3</v>
      </c>
      <c r="P67" s="149">
        <v>7</v>
      </c>
      <c r="Q67" s="149">
        <v>4</v>
      </c>
      <c r="R67" s="149">
        <f t="shared" si="2"/>
        <v>4</v>
      </c>
      <c r="S67" s="149">
        <f t="shared" si="3"/>
        <v>2</v>
      </c>
      <c r="T67" s="149">
        <v>0</v>
      </c>
      <c r="U67" s="149" t="s">
        <v>156</v>
      </c>
      <c r="V67" s="149">
        <v>3</v>
      </c>
      <c r="W67" s="149" t="s">
        <v>157</v>
      </c>
      <c r="X67" s="149">
        <v>2</v>
      </c>
      <c r="Y67" s="149" t="s">
        <v>158</v>
      </c>
      <c r="Z67" s="149">
        <v>1</v>
      </c>
      <c r="AA67" s="149" t="s">
        <v>159</v>
      </c>
      <c r="AB67" s="149">
        <v>4</v>
      </c>
      <c r="AC67" s="150" t="s">
        <v>1831</v>
      </c>
      <c r="AD67" s="257" t="s">
        <v>1840</v>
      </c>
      <c r="AE67" s="257" t="s">
        <v>1921</v>
      </c>
      <c r="AF67" s="257" t="s">
        <v>494</v>
      </c>
      <c r="AG67" s="149" t="s">
        <v>702</v>
      </c>
      <c r="AH67" s="149">
        <v>5</v>
      </c>
      <c r="AI67" s="149" t="s">
        <v>1859</v>
      </c>
      <c r="AJ67" s="150" t="s">
        <v>816</v>
      </c>
      <c r="AK67" s="149">
        <v>6</v>
      </c>
      <c r="AL67" s="150" t="s">
        <v>816</v>
      </c>
      <c r="AM67" s="149" t="s">
        <v>720</v>
      </c>
      <c r="AN67" s="149">
        <v>4</v>
      </c>
      <c r="AO67" s="149" t="s">
        <v>1864</v>
      </c>
      <c r="AP67" s="149">
        <v>1</v>
      </c>
      <c r="AQ67" s="149">
        <v>5</v>
      </c>
      <c r="AR67" s="150" t="s">
        <v>816</v>
      </c>
      <c r="AS67" s="149" t="s">
        <v>721</v>
      </c>
      <c r="AT67" s="149">
        <v>6</v>
      </c>
      <c r="AU67" s="149" t="s">
        <v>1859</v>
      </c>
      <c r="AV67" s="149">
        <v>3</v>
      </c>
      <c r="AW67" s="149">
        <v>4</v>
      </c>
      <c r="AX67" s="150" t="s">
        <v>816</v>
      </c>
      <c r="AY67" s="150" t="s">
        <v>1841</v>
      </c>
      <c r="AZ67" s="149">
        <v>5</v>
      </c>
      <c r="BA67" s="149" t="s">
        <v>1843</v>
      </c>
      <c r="BB67" s="150" t="s">
        <v>816</v>
      </c>
      <c r="BC67" s="149">
        <v>4</v>
      </c>
      <c r="BD67" s="149">
        <v>20</v>
      </c>
      <c r="BE67" s="149" t="s">
        <v>1842</v>
      </c>
      <c r="BF67" s="149">
        <v>5</v>
      </c>
      <c r="BG67" s="149" t="s">
        <v>1879</v>
      </c>
      <c r="BH67" s="149">
        <v>2</v>
      </c>
      <c r="BI67" s="149">
        <v>4</v>
      </c>
      <c r="BJ67" s="150" t="s">
        <v>816</v>
      </c>
      <c r="BK67" s="209" t="s">
        <v>816</v>
      </c>
      <c r="BL67" s="209" t="s">
        <v>816</v>
      </c>
      <c r="BM67" s="209" t="s">
        <v>816</v>
      </c>
      <c r="BN67" s="209" t="s">
        <v>816</v>
      </c>
      <c r="BO67" s="209" t="s">
        <v>816</v>
      </c>
      <c r="BP67" s="209" t="s">
        <v>816</v>
      </c>
      <c r="BQ67" s="209" t="s">
        <v>816</v>
      </c>
      <c r="BR67" s="209" t="s">
        <v>816</v>
      </c>
      <c r="BS67" s="209" t="s">
        <v>816</v>
      </c>
      <c r="BT67" s="209" t="s">
        <v>816</v>
      </c>
      <c r="BU67" s="209" t="s">
        <v>816</v>
      </c>
      <c r="BV67" s="209" t="s">
        <v>816</v>
      </c>
    </row>
    <row r="68" spans="1:74" x14ac:dyDescent="0.25">
      <c r="A68" s="149" t="s">
        <v>1914</v>
      </c>
      <c r="B68" s="149" t="s">
        <v>2245</v>
      </c>
      <c r="D68" s="149">
        <v>4</v>
      </c>
      <c r="E68" s="149">
        <v>3</v>
      </c>
      <c r="F68" s="149">
        <v>3</v>
      </c>
      <c r="G68" s="149">
        <v>2</v>
      </c>
      <c r="H68" s="149">
        <v>2</v>
      </c>
      <c r="I68" s="149">
        <v>2</v>
      </c>
      <c r="J68" s="149">
        <v>2</v>
      </c>
      <c r="K68" s="149">
        <v>2</v>
      </c>
      <c r="L68" s="149">
        <v>2</v>
      </c>
      <c r="M68" s="149">
        <v>1</v>
      </c>
      <c r="N68" s="149">
        <v>1</v>
      </c>
      <c r="O68" s="149">
        <v>3</v>
      </c>
      <c r="P68" s="149">
        <v>7</v>
      </c>
      <c r="Q68" s="149">
        <v>4</v>
      </c>
      <c r="R68" s="149">
        <f t="shared" si="2"/>
        <v>3</v>
      </c>
      <c r="S68" s="149">
        <f t="shared" si="3"/>
        <v>2</v>
      </c>
      <c r="T68" s="149">
        <v>0</v>
      </c>
      <c r="U68" s="149" t="s">
        <v>156</v>
      </c>
      <c r="V68" s="149">
        <v>3</v>
      </c>
      <c r="W68" s="149" t="s">
        <v>157</v>
      </c>
      <c r="X68" s="149">
        <v>2</v>
      </c>
      <c r="Y68" s="149" t="s">
        <v>158</v>
      </c>
      <c r="Z68" s="149">
        <v>1</v>
      </c>
      <c r="AA68" s="149" t="s">
        <v>159</v>
      </c>
      <c r="AB68" s="149">
        <v>4</v>
      </c>
      <c r="AC68" s="150" t="s">
        <v>1831</v>
      </c>
      <c r="AD68" s="257" t="s">
        <v>1840</v>
      </c>
      <c r="AE68" s="257" t="s">
        <v>1921</v>
      </c>
      <c r="AF68" s="257" t="s">
        <v>494</v>
      </c>
      <c r="AG68" s="149" t="s">
        <v>702</v>
      </c>
      <c r="AH68" s="149">
        <v>5</v>
      </c>
      <c r="AI68" s="149" t="s">
        <v>1878</v>
      </c>
      <c r="AJ68" s="150" t="s">
        <v>816</v>
      </c>
      <c r="AK68" s="149">
        <v>6</v>
      </c>
      <c r="AL68" s="150" t="s">
        <v>816</v>
      </c>
      <c r="AM68" s="149" t="s">
        <v>720</v>
      </c>
      <c r="AN68" s="149">
        <v>4</v>
      </c>
      <c r="AO68" s="149" t="s">
        <v>1877</v>
      </c>
      <c r="AP68" s="149">
        <v>1</v>
      </c>
      <c r="AQ68" s="149">
        <v>5</v>
      </c>
      <c r="AR68" s="150" t="s">
        <v>816</v>
      </c>
      <c r="AS68" s="149" t="s">
        <v>721</v>
      </c>
      <c r="AT68" s="149">
        <v>6</v>
      </c>
      <c r="AU68" s="149" t="s">
        <v>1878</v>
      </c>
      <c r="AV68" s="149">
        <v>3</v>
      </c>
      <c r="AW68" s="149">
        <v>4</v>
      </c>
      <c r="AX68" s="150" t="s">
        <v>816</v>
      </c>
      <c r="AY68" s="150" t="s">
        <v>1841</v>
      </c>
      <c r="AZ68" s="149">
        <v>5</v>
      </c>
      <c r="BA68" s="149" t="s">
        <v>1843</v>
      </c>
      <c r="BB68" s="150" t="s">
        <v>816</v>
      </c>
      <c r="BC68" s="149">
        <v>4</v>
      </c>
      <c r="BD68" s="149">
        <v>20</v>
      </c>
      <c r="BE68" s="149" t="s">
        <v>1842</v>
      </c>
      <c r="BF68" s="149">
        <v>5</v>
      </c>
      <c r="BG68" s="149" t="s">
        <v>1865</v>
      </c>
      <c r="BH68" s="149">
        <v>2</v>
      </c>
      <c r="BI68" s="149">
        <v>4</v>
      </c>
      <c r="BJ68" s="150" t="s">
        <v>816</v>
      </c>
      <c r="BK68" s="209" t="s">
        <v>816</v>
      </c>
      <c r="BL68" s="209" t="s">
        <v>816</v>
      </c>
      <c r="BM68" s="209" t="s">
        <v>816</v>
      </c>
      <c r="BN68" s="209" t="s">
        <v>816</v>
      </c>
      <c r="BO68" s="209" t="s">
        <v>816</v>
      </c>
      <c r="BP68" s="209" t="s">
        <v>816</v>
      </c>
      <c r="BQ68" s="209" t="s">
        <v>816</v>
      </c>
      <c r="BR68" s="209" t="s">
        <v>816</v>
      </c>
      <c r="BS68" s="209" t="s">
        <v>816</v>
      </c>
      <c r="BT68" s="209" t="s">
        <v>816</v>
      </c>
      <c r="BU68" s="209" t="s">
        <v>816</v>
      </c>
      <c r="BV68" s="209" t="s">
        <v>816</v>
      </c>
    </row>
    <row r="69" spans="1:74" x14ac:dyDescent="0.25">
      <c r="A69" s="149" t="s">
        <v>1849</v>
      </c>
      <c r="B69" s="149" t="s">
        <v>2245</v>
      </c>
      <c r="D69" s="149">
        <v>3</v>
      </c>
      <c r="E69" s="149">
        <v>3</v>
      </c>
      <c r="F69" s="149">
        <v>3</v>
      </c>
      <c r="G69" s="149">
        <v>2</v>
      </c>
      <c r="H69" s="149">
        <v>2</v>
      </c>
      <c r="I69" s="149">
        <v>2</v>
      </c>
      <c r="J69" s="149">
        <v>3</v>
      </c>
      <c r="K69" s="149">
        <v>2</v>
      </c>
      <c r="L69" s="149">
        <v>3</v>
      </c>
      <c r="M69" s="149">
        <v>0</v>
      </c>
      <c r="N69" s="149">
        <v>0</v>
      </c>
      <c r="O69" s="149">
        <v>3</v>
      </c>
      <c r="P69" s="149">
        <v>5</v>
      </c>
      <c r="Q69" s="149">
        <v>6</v>
      </c>
      <c r="R69" s="149">
        <v>5</v>
      </c>
      <c r="S69" s="149">
        <v>2</v>
      </c>
      <c r="T69" s="149">
        <v>2</v>
      </c>
      <c r="U69" s="209" t="s">
        <v>816</v>
      </c>
      <c r="V69" s="209" t="s">
        <v>816</v>
      </c>
      <c r="W69" s="209" t="s">
        <v>816</v>
      </c>
      <c r="X69" s="209" t="s">
        <v>816</v>
      </c>
      <c r="Y69" s="209" t="s">
        <v>816</v>
      </c>
      <c r="Z69" s="209" t="s">
        <v>816</v>
      </c>
      <c r="AA69" s="209" t="s">
        <v>816</v>
      </c>
      <c r="AB69" s="209" t="s">
        <v>816</v>
      </c>
      <c r="AC69" s="150" t="s">
        <v>1831</v>
      </c>
      <c r="AD69" s="257" t="s">
        <v>1875</v>
      </c>
      <c r="AE69" s="257" t="s">
        <v>494</v>
      </c>
      <c r="AF69" s="257" t="s">
        <v>1903</v>
      </c>
      <c r="AG69" s="149" t="s">
        <v>702</v>
      </c>
      <c r="AH69" s="149">
        <v>6</v>
      </c>
      <c r="AI69" s="149" t="s">
        <v>1859</v>
      </c>
      <c r="AJ69" s="150" t="s">
        <v>816</v>
      </c>
      <c r="AK69" s="149">
        <v>6</v>
      </c>
      <c r="AL69" s="150" t="s">
        <v>816</v>
      </c>
      <c r="AM69" s="149" t="s">
        <v>720</v>
      </c>
      <c r="AN69" s="149">
        <v>5</v>
      </c>
      <c r="AO69" s="149" t="s">
        <v>1864</v>
      </c>
      <c r="AP69" s="149">
        <v>2</v>
      </c>
      <c r="AQ69" s="149">
        <v>5</v>
      </c>
      <c r="AR69" s="150" t="s">
        <v>816</v>
      </c>
      <c r="AS69" s="149" t="s">
        <v>721</v>
      </c>
      <c r="AT69" s="149">
        <v>7</v>
      </c>
      <c r="AU69" s="149" t="s">
        <v>1859</v>
      </c>
      <c r="AV69" s="149">
        <v>3</v>
      </c>
      <c r="AW69" s="149">
        <v>4</v>
      </c>
      <c r="AX69" s="150" t="s">
        <v>816</v>
      </c>
      <c r="AY69" s="150" t="s">
        <v>738</v>
      </c>
      <c r="AZ69" s="149">
        <v>6</v>
      </c>
      <c r="BA69" s="149" t="s">
        <v>1865</v>
      </c>
      <c r="BB69" s="150" t="s">
        <v>816</v>
      </c>
      <c r="BC69" s="149">
        <v>5</v>
      </c>
      <c r="BD69" s="150">
        <v>150</v>
      </c>
      <c r="BE69" s="149" t="s">
        <v>732</v>
      </c>
      <c r="BF69" s="149">
        <v>7</v>
      </c>
      <c r="BG69" s="149" t="s">
        <v>1843</v>
      </c>
      <c r="BH69" s="150" t="s">
        <v>816</v>
      </c>
      <c r="BI69" s="149">
        <v>4</v>
      </c>
      <c r="BJ69" s="150">
        <v>20</v>
      </c>
      <c r="BK69" s="209" t="s">
        <v>816</v>
      </c>
      <c r="BL69" s="209" t="s">
        <v>816</v>
      </c>
      <c r="BM69" s="209" t="s">
        <v>816</v>
      </c>
      <c r="BN69" s="209" t="s">
        <v>816</v>
      </c>
      <c r="BO69" s="209" t="s">
        <v>816</v>
      </c>
      <c r="BP69" s="209" t="s">
        <v>816</v>
      </c>
      <c r="BQ69" s="209" t="s">
        <v>816</v>
      </c>
      <c r="BR69" s="209" t="s">
        <v>816</v>
      </c>
      <c r="BS69" s="209" t="s">
        <v>816</v>
      </c>
      <c r="BT69" s="209" t="s">
        <v>816</v>
      </c>
      <c r="BU69" s="209" t="s">
        <v>816</v>
      </c>
      <c r="BV69" s="209" t="s">
        <v>816</v>
      </c>
    </row>
    <row r="70" spans="1:74" x14ac:dyDescent="0.25">
      <c r="A70" s="149" t="s">
        <v>1943</v>
      </c>
      <c r="B70" s="149" t="s">
        <v>2245</v>
      </c>
      <c r="D70" s="149">
        <v>3</v>
      </c>
      <c r="E70" s="149">
        <v>3</v>
      </c>
      <c r="F70" s="149">
        <v>2</v>
      </c>
      <c r="G70" s="149">
        <v>2</v>
      </c>
      <c r="H70" s="149">
        <v>2</v>
      </c>
      <c r="I70" s="149">
        <v>2</v>
      </c>
      <c r="J70" s="149">
        <v>2</v>
      </c>
      <c r="K70" s="149">
        <v>2</v>
      </c>
      <c r="L70" s="149">
        <v>2</v>
      </c>
      <c r="M70" s="149">
        <v>1</v>
      </c>
      <c r="N70" s="149">
        <v>1</v>
      </c>
      <c r="O70" s="149">
        <v>3</v>
      </c>
      <c r="P70" s="149">
        <v>4</v>
      </c>
      <c r="Q70" s="149">
        <v>3</v>
      </c>
      <c r="R70" s="149">
        <v>2</v>
      </c>
      <c r="S70" s="149">
        <v>1</v>
      </c>
      <c r="T70" s="149">
        <v>0</v>
      </c>
      <c r="U70" s="209" t="s">
        <v>816</v>
      </c>
      <c r="V70" s="209" t="s">
        <v>816</v>
      </c>
      <c r="W70" s="209" t="s">
        <v>816</v>
      </c>
      <c r="X70" s="209" t="s">
        <v>816</v>
      </c>
      <c r="Y70" s="209" t="s">
        <v>816</v>
      </c>
      <c r="Z70" s="209" t="s">
        <v>816</v>
      </c>
      <c r="AA70" s="209" t="s">
        <v>816</v>
      </c>
      <c r="AB70" s="209" t="s">
        <v>816</v>
      </c>
      <c r="AC70" s="150" t="s">
        <v>1950</v>
      </c>
      <c r="AD70" s="257" t="s">
        <v>1832</v>
      </c>
      <c r="AE70" s="258" t="s">
        <v>2322</v>
      </c>
      <c r="AF70" s="257" t="s">
        <v>2324</v>
      </c>
      <c r="AG70" s="149" t="s">
        <v>702</v>
      </c>
      <c r="AH70" s="149">
        <v>4</v>
      </c>
      <c r="AI70" s="149" t="s">
        <v>1859</v>
      </c>
      <c r="AJ70" s="150" t="s">
        <v>816</v>
      </c>
      <c r="AK70" s="149">
        <v>6</v>
      </c>
      <c r="AL70" s="150" t="s">
        <v>816</v>
      </c>
      <c r="AM70" s="149" t="s">
        <v>720</v>
      </c>
      <c r="AN70" s="149">
        <v>3</v>
      </c>
      <c r="AO70" s="149" t="s">
        <v>1864</v>
      </c>
      <c r="AP70" s="149">
        <v>0</v>
      </c>
      <c r="AQ70" s="149">
        <v>5</v>
      </c>
      <c r="AR70" s="150" t="s">
        <v>816</v>
      </c>
      <c r="AS70" s="149" t="s">
        <v>721</v>
      </c>
      <c r="AT70" s="149">
        <v>5</v>
      </c>
      <c r="AU70" s="149" t="s">
        <v>1859</v>
      </c>
      <c r="AV70" s="149">
        <v>2</v>
      </c>
      <c r="AW70" s="149">
        <v>4</v>
      </c>
      <c r="AX70" s="150" t="s">
        <v>816</v>
      </c>
      <c r="AY70" s="209" t="s">
        <v>816</v>
      </c>
      <c r="AZ70" s="209" t="s">
        <v>816</v>
      </c>
      <c r="BA70" s="209" t="s">
        <v>816</v>
      </c>
      <c r="BB70" s="209" t="s">
        <v>816</v>
      </c>
      <c r="BC70" s="209" t="s">
        <v>816</v>
      </c>
      <c r="BD70" s="209" t="s">
        <v>816</v>
      </c>
      <c r="BE70" s="209" t="s">
        <v>816</v>
      </c>
      <c r="BF70" s="209" t="s">
        <v>816</v>
      </c>
      <c r="BG70" s="209" t="s">
        <v>816</v>
      </c>
      <c r="BH70" s="209" t="s">
        <v>816</v>
      </c>
      <c r="BI70" s="209" t="s">
        <v>816</v>
      </c>
      <c r="BJ70" s="209" t="s">
        <v>816</v>
      </c>
      <c r="BK70" s="209" t="s">
        <v>816</v>
      </c>
      <c r="BL70" s="209" t="s">
        <v>816</v>
      </c>
      <c r="BM70" s="209" t="s">
        <v>816</v>
      </c>
      <c r="BN70" s="209" t="s">
        <v>816</v>
      </c>
      <c r="BO70" s="209" t="s">
        <v>816</v>
      </c>
      <c r="BP70" s="209" t="s">
        <v>816</v>
      </c>
      <c r="BQ70" s="209" t="s">
        <v>816</v>
      </c>
      <c r="BR70" s="209" t="s">
        <v>816</v>
      </c>
      <c r="BS70" s="209" t="s">
        <v>816</v>
      </c>
      <c r="BT70" s="209" t="s">
        <v>816</v>
      </c>
      <c r="BU70" s="209" t="s">
        <v>816</v>
      </c>
      <c r="BV70" s="209" t="s">
        <v>816</v>
      </c>
    </row>
    <row r="71" spans="1:74" x14ac:dyDescent="0.25">
      <c r="A71" s="149" t="s">
        <v>1960</v>
      </c>
      <c r="B71" s="149" t="s">
        <v>2245</v>
      </c>
      <c r="D71" s="149">
        <v>5</v>
      </c>
      <c r="E71" s="149">
        <v>1</v>
      </c>
      <c r="F71" s="149">
        <v>6</v>
      </c>
      <c r="G71" s="149">
        <v>1</v>
      </c>
      <c r="H71" s="149">
        <v>1</v>
      </c>
      <c r="I71" s="149">
        <v>0</v>
      </c>
      <c r="J71" s="149">
        <v>2</v>
      </c>
      <c r="K71" s="149">
        <v>1</v>
      </c>
      <c r="L71" s="149">
        <v>1</v>
      </c>
      <c r="M71" s="149">
        <v>1</v>
      </c>
      <c r="N71" s="149">
        <v>1</v>
      </c>
      <c r="O71" s="149">
        <v>1</v>
      </c>
      <c r="P71" s="149">
        <v>3</v>
      </c>
      <c r="Q71" s="149">
        <v>3</v>
      </c>
      <c r="R71" s="149">
        <v>6</v>
      </c>
      <c r="S71" s="149">
        <v>6</v>
      </c>
      <c r="T71" s="149">
        <v>0</v>
      </c>
      <c r="U71" s="209" t="s">
        <v>816</v>
      </c>
      <c r="V71" s="209" t="s">
        <v>816</v>
      </c>
      <c r="W71" s="209" t="s">
        <v>816</v>
      </c>
      <c r="X71" s="209" t="s">
        <v>816</v>
      </c>
      <c r="Y71" s="209" t="s">
        <v>816</v>
      </c>
      <c r="Z71" s="209" t="s">
        <v>816</v>
      </c>
      <c r="AA71" s="209" t="s">
        <v>816</v>
      </c>
      <c r="AB71" s="209" t="s">
        <v>816</v>
      </c>
      <c r="AC71" s="150" t="s">
        <v>1966</v>
      </c>
      <c r="AD71" s="257" t="s">
        <v>1967</v>
      </c>
      <c r="AE71" s="257" t="s">
        <v>494</v>
      </c>
      <c r="AF71" s="257" t="s">
        <v>2323</v>
      </c>
      <c r="AG71" s="149" t="s">
        <v>702</v>
      </c>
      <c r="AH71" s="149">
        <v>4</v>
      </c>
      <c r="AI71" s="149" t="s">
        <v>1834</v>
      </c>
      <c r="AJ71" s="150" t="s">
        <v>816</v>
      </c>
      <c r="AK71" s="149">
        <v>6</v>
      </c>
      <c r="AL71" s="150" t="s">
        <v>816</v>
      </c>
      <c r="AM71" s="149" t="s">
        <v>720</v>
      </c>
      <c r="AN71" s="149">
        <v>3</v>
      </c>
      <c r="AO71" s="149" t="s">
        <v>1922</v>
      </c>
      <c r="AP71" s="149">
        <v>1</v>
      </c>
      <c r="AQ71" s="149">
        <v>5</v>
      </c>
      <c r="AR71" s="150" t="s">
        <v>816</v>
      </c>
      <c r="AS71" s="149" t="s">
        <v>721</v>
      </c>
      <c r="AT71" s="149">
        <v>5</v>
      </c>
      <c r="AU71" s="149" t="s">
        <v>1834</v>
      </c>
      <c r="AV71" s="149">
        <v>2</v>
      </c>
      <c r="AW71" s="149">
        <v>4</v>
      </c>
      <c r="AX71" s="150" t="s">
        <v>816</v>
      </c>
      <c r="AY71" s="209" t="s">
        <v>816</v>
      </c>
      <c r="AZ71" s="209" t="s">
        <v>816</v>
      </c>
      <c r="BA71" s="209" t="s">
        <v>816</v>
      </c>
      <c r="BB71" s="209" t="s">
        <v>816</v>
      </c>
      <c r="BC71" s="209" t="s">
        <v>816</v>
      </c>
      <c r="BD71" s="209" t="s">
        <v>816</v>
      </c>
      <c r="BE71" s="209" t="s">
        <v>816</v>
      </c>
      <c r="BF71" s="209" t="s">
        <v>816</v>
      </c>
      <c r="BG71" s="209" t="s">
        <v>816</v>
      </c>
      <c r="BH71" s="209" t="s">
        <v>816</v>
      </c>
      <c r="BI71" s="209" t="s">
        <v>816</v>
      </c>
      <c r="BJ71" s="209" t="s">
        <v>816</v>
      </c>
      <c r="BK71" s="209" t="s">
        <v>816</v>
      </c>
      <c r="BL71" s="209" t="s">
        <v>816</v>
      </c>
      <c r="BM71" s="209" t="s">
        <v>816</v>
      </c>
      <c r="BN71" s="209" t="s">
        <v>816</v>
      </c>
      <c r="BO71" s="209" t="s">
        <v>816</v>
      </c>
      <c r="BP71" s="209" t="s">
        <v>816</v>
      </c>
      <c r="BQ71" s="209" t="s">
        <v>816</v>
      </c>
      <c r="BR71" s="209" t="s">
        <v>816</v>
      </c>
      <c r="BS71" s="209" t="s">
        <v>816</v>
      </c>
      <c r="BT71" s="209" t="s">
        <v>816</v>
      </c>
      <c r="BU71" s="209" t="s">
        <v>816</v>
      </c>
      <c r="BV71" s="209" t="s">
        <v>816</v>
      </c>
    </row>
    <row r="72" spans="1:74" x14ac:dyDescent="0.25">
      <c r="A72" s="149" t="s">
        <v>1845</v>
      </c>
      <c r="B72" s="149" t="s">
        <v>2245</v>
      </c>
      <c r="D72" s="149">
        <v>3</v>
      </c>
      <c r="E72" s="149">
        <v>3</v>
      </c>
      <c r="F72" s="149">
        <v>3</v>
      </c>
      <c r="G72" s="149">
        <v>2</v>
      </c>
      <c r="H72" s="149">
        <v>2</v>
      </c>
      <c r="I72" s="149">
        <v>2</v>
      </c>
      <c r="J72" s="149">
        <v>3</v>
      </c>
      <c r="K72" s="149">
        <v>2</v>
      </c>
      <c r="L72" s="149">
        <v>3</v>
      </c>
      <c r="M72" s="149">
        <v>0</v>
      </c>
      <c r="N72" s="149">
        <v>0</v>
      </c>
      <c r="O72" s="149">
        <v>3</v>
      </c>
      <c r="P72" s="149">
        <v>5</v>
      </c>
      <c r="Q72" s="149">
        <v>6</v>
      </c>
      <c r="R72" s="149">
        <v>5</v>
      </c>
      <c r="S72" s="149">
        <v>2</v>
      </c>
      <c r="T72" s="149">
        <v>2</v>
      </c>
      <c r="U72" s="209" t="s">
        <v>816</v>
      </c>
      <c r="V72" s="209" t="s">
        <v>816</v>
      </c>
      <c r="W72" s="209" t="s">
        <v>816</v>
      </c>
      <c r="X72" s="209" t="s">
        <v>816</v>
      </c>
      <c r="Y72" s="209" t="s">
        <v>816</v>
      </c>
      <c r="Z72" s="209" t="s">
        <v>816</v>
      </c>
      <c r="AA72" s="209" t="s">
        <v>816</v>
      </c>
      <c r="AB72" s="209" t="s">
        <v>816</v>
      </c>
      <c r="AC72" s="150" t="s">
        <v>1831</v>
      </c>
      <c r="AD72" s="257" t="s">
        <v>1875</v>
      </c>
      <c r="AE72" s="257" t="s">
        <v>494</v>
      </c>
      <c r="AF72" s="257" t="s">
        <v>1901</v>
      </c>
      <c r="AG72" s="149" t="s">
        <v>702</v>
      </c>
      <c r="AH72" s="149">
        <v>6</v>
      </c>
      <c r="AI72" s="149" t="s">
        <v>1859</v>
      </c>
      <c r="AJ72" s="150" t="s">
        <v>816</v>
      </c>
      <c r="AK72" s="149">
        <v>6</v>
      </c>
      <c r="AL72" s="150" t="s">
        <v>816</v>
      </c>
      <c r="AM72" s="149" t="s">
        <v>720</v>
      </c>
      <c r="AN72" s="149">
        <v>5</v>
      </c>
      <c r="AO72" s="149" t="s">
        <v>1864</v>
      </c>
      <c r="AP72" s="149">
        <v>2</v>
      </c>
      <c r="AQ72" s="149">
        <v>5</v>
      </c>
      <c r="AR72" s="150" t="s">
        <v>816</v>
      </c>
      <c r="AS72" s="149" t="s">
        <v>721</v>
      </c>
      <c r="AT72" s="149">
        <v>7</v>
      </c>
      <c r="AU72" s="149" t="s">
        <v>1859</v>
      </c>
      <c r="AV72" s="149">
        <v>3</v>
      </c>
      <c r="AW72" s="149">
        <v>4</v>
      </c>
      <c r="AX72" s="150" t="s">
        <v>816</v>
      </c>
      <c r="AY72" s="150" t="s">
        <v>1858</v>
      </c>
      <c r="AZ72" s="149">
        <v>6</v>
      </c>
      <c r="BA72" s="149" t="s">
        <v>1859</v>
      </c>
      <c r="BB72" s="150">
        <v>3</v>
      </c>
      <c r="BC72" s="149">
        <v>4</v>
      </c>
      <c r="BD72" s="150" t="s">
        <v>816</v>
      </c>
      <c r="BE72" s="149" t="s">
        <v>732</v>
      </c>
      <c r="BF72" s="149">
        <v>7</v>
      </c>
      <c r="BG72" s="149" t="s">
        <v>1843</v>
      </c>
      <c r="BH72" s="150" t="s">
        <v>816</v>
      </c>
      <c r="BI72" s="149">
        <v>4</v>
      </c>
      <c r="BJ72" s="150">
        <v>20</v>
      </c>
      <c r="BK72" s="209" t="s">
        <v>816</v>
      </c>
      <c r="BL72" s="209" t="s">
        <v>816</v>
      </c>
      <c r="BM72" s="209" t="s">
        <v>816</v>
      </c>
      <c r="BN72" s="209" t="s">
        <v>816</v>
      </c>
      <c r="BO72" s="209" t="s">
        <v>816</v>
      </c>
      <c r="BP72" s="209" t="s">
        <v>816</v>
      </c>
      <c r="BQ72" s="209" t="s">
        <v>816</v>
      </c>
      <c r="BR72" s="209" t="s">
        <v>816</v>
      </c>
      <c r="BS72" s="209" t="s">
        <v>816</v>
      </c>
      <c r="BT72" s="209" t="s">
        <v>816</v>
      </c>
      <c r="BU72" s="209" t="s">
        <v>816</v>
      </c>
      <c r="BV72" s="209" t="s">
        <v>816</v>
      </c>
    </row>
    <row r="73" spans="1:74" x14ac:dyDescent="0.25">
      <c r="A73" s="149" t="s">
        <v>1947</v>
      </c>
      <c r="B73" s="149" t="s">
        <v>2245</v>
      </c>
      <c r="D73" s="149">
        <v>3</v>
      </c>
      <c r="E73" s="149">
        <v>3</v>
      </c>
      <c r="F73" s="149">
        <v>2</v>
      </c>
      <c r="G73" s="149">
        <v>2</v>
      </c>
      <c r="H73" s="149">
        <v>2</v>
      </c>
      <c r="I73" s="149">
        <v>2</v>
      </c>
      <c r="J73" s="149">
        <v>2</v>
      </c>
      <c r="K73" s="149">
        <v>2</v>
      </c>
      <c r="L73" s="149">
        <v>2</v>
      </c>
      <c r="M73" s="149">
        <v>1</v>
      </c>
      <c r="N73" s="149">
        <v>1</v>
      </c>
      <c r="O73" s="149">
        <v>3</v>
      </c>
      <c r="P73" s="149">
        <v>4</v>
      </c>
      <c r="Q73" s="149">
        <v>3</v>
      </c>
      <c r="R73" s="149">
        <v>2</v>
      </c>
      <c r="S73" s="149">
        <v>1</v>
      </c>
      <c r="T73" s="149">
        <v>0</v>
      </c>
      <c r="U73" s="209" t="s">
        <v>816</v>
      </c>
      <c r="V73" s="209" t="s">
        <v>816</v>
      </c>
      <c r="W73" s="209" t="s">
        <v>816</v>
      </c>
      <c r="X73" s="209" t="s">
        <v>816</v>
      </c>
      <c r="Y73" s="209" t="s">
        <v>816</v>
      </c>
      <c r="Z73" s="209" t="s">
        <v>816</v>
      </c>
      <c r="AA73" s="209" t="s">
        <v>816</v>
      </c>
      <c r="AB73" s="209" t="s">
        <v>816</v>
      </c>
      <c r="AC73" s="150" t="s">
        <v>1950</v>
      </c>
      <c r="AD73" s="257" t="s">
        <v>1832</v>
      </c>
      <c r="AE73" s="258" t="s">
        <v>1951</v>
      </c>
      <c r="AF73" s="257" t="s">
        <v>2324</v>
      </c>
      <c r="AG73" s="149" t="s">
        <v>702</v>
      </c>
      <c r="AH73" s="149">
        <v>4</v>
      </c>
      <c r="AI73" s="149" t="s">
        <v>1859</v>
      </c>
      <c r="AJ73" s="150" t="s">
        <v>816</v>
      </c>
      <c r="AK73" s="149">
        <v>6</v>
      </c>
      <c r="AL73" s="150" t="s">
        <v>816</v>
      </c>
      <c r="AM73" s="149" t="s">
        <v>720</v>
      </c>
      <c r="AN73" s="149">
        <v>3</v>
      </c>
      <c r="AO73" s="149" t="s">
        <v>1864</v>
      </c>
      <c r="AP73" s="149">
        <v>0</v>
      </c>
      <c r="AQ73" s="149">
        <v>5</v>
      </c>
      <c r="AR73" s="150" t="s">
        <v>816</v>
      </c>
      <c r="AS73" s="149" t="s">
        <v>721</v>
      </c>
      <c r="AT73" s="149">
        <v>5</v>
      </c>
      <c r="AU73" s="149" t="s">
        <v>1859</v>
      </c>
      <c r="AV73" s="149">
        <v>2</v>
      </c>
      <c r="AW73" s="149">
        <v>4</v>
      </c>
      <c r="AX73" s="150" t="s">
        <v>816</v>
      </c>
      <c r="AY73" s="209" t="s">
        <v>816</v>
      </c>
      <c r="AZ73" s="209" t="s">
        <v>816</v>
      </c>
      <c r="BA73" s="209" t="s">
        <v>816</v>
      </c>
      <c r="BB73" s="209" t="s">
        <v>816</v>
      </c>
      <c r="BC73" s="209" t="s">
        <v>816</v>
      </c>
      <c r="BD73" s="209" t="s">
        <v>816</v>
      </c>
      <c r="BE73" s="209" t="s">
        <v>816</v>
      </c>
      <c r="BF73" s="209" t="s">
        <v>816</v>
      </c>
      <c r="BG73" s="209" t="s">
        <v>816</v>
      </c>
      <c r="BH73" s="209" t="s">
        <v>816</v>
      </c>
      <c r="BI73" s="209" t="s">
        <v>816</v>
      </c>
      <c r="BJ73" s="209" t="s">
        <v>816</v>
      </c>
      <c r="BK73" s="209" t="s">
        <v>816</v>
      </c>
      <c r="BL73" s="209" t="s">
        <v>816</v>
      </c>
      <c r="BM73" s="209" t="s">
        <v>816</v>
      </c>
      <c r="BN73" s="209" t="s">
        <v>816</v>
      </c>
      <c r="BO73" s="209" t="s">
        <v>816</v>
      </c>
      <c r="BP73" s="209" t="s">
        <v>816</v>
      </c>
      <c r="BQ73" s="209" t="s">
        <v>816</v>
      </c>
      <c r="BR73" s="209" t="s">
        <v>816</v>
      </c>
      <c r="BS73" s="209" t="s">
        <v>816</v>
      </c>
      <c r="BT73" s="209" t="s">
        <v>816</v>
      </c>
      <c r="BU73" s="209" t="s">
        <v>816</v>
      </c>
      <c r="BV73" s="209" t="s">
        <v>816</v>
      </c>
    </row>
    <row r="74" spans="1:74" x14ac:dyDescent="0.25">
      <c r="A74" s="149" t="s">
        <v>1861</v>
      </c>
      <c r="B74" s="149" t="s">
        <v>2245</v>
      </c>
      <c r="D74" s="149">
        <v>3</v>
      </c>
      <c r="E74" s="149">
        <v>3</v>
      </c>
      <c r="F74" s="149">
        <v>3</v>
      </c>
      <c r="G74" s="149">
        <v>2</v>
      </c>
      <c r="H74" s="149">
        <v>2</v>
      </c>
      <c r="I74" s="149">
        <v>2</v>
      </c>
      <c r="J74" s="149">
        <v>3</v>
      </c>
      <c r="K74" s="149">
        <v>2</v>
      </c>
      <c r="L74" s="149">
        <v>3</v>
      </c>
      <c r="M74" s="149">
        <v>0</v>
      </c>
      <c r="N74" s="149">
        <v>0</v>
      </c>
      <c r="O74" s="149">
        <v>3</v>
      </c>
      <c r="P74" s="149">
        <v>5</v>
      </c>
      <c r="Q74" s="149">
        <v>6</v>
      </c>
      <c r="R74" s="149">
        <v>5</v>
      </c>
      <c r="S74" s="149">
        <v>2</v>
      </c>
      <c r="T74" s="149">
        <v>2</v>
      </c>
      <c r="U74" s="209" t="s">
        <v>816</v>
      </c>
      <c r="V74" s="209" t="s">
        <v>816</v>
      </c>
      <c r="W74" s="209" t="s">
        <v>816</v>
      </c>
      <c r="X74" s="209" t="s">
        <v>816</v>
      </c>
      <c r="Y74" s="209" t="s">
        <v>816</v>
      </c>
      <c r="Z74" s="209" t="s">
        <v>816</v>
      </c>
      <c r="AA74" s="209" t="s">
        <v>816</v>
      </c>
      <c r="AB74" s="209" t="s">
        <v>816</v>
      </c>
      <c r="AC74" s="150" t="s">
        <v>1831</v>
      </c>
      <c r="AD74" s="257" t="s">
        <v>1875</v>
      </c>
      <c r="AE74" s="257" t="s">
        <v>494</v>
      </c>
      <c r="AF74" s="257" t="s">
        <v>1902</v>
      </c>
      <c r="AG74" s="149" t="s">
        <v>702</v>
      </c>
      <c r="AH74" s="149">
        <v>6</v>
      </c>
      <c r="AI74" s="149" t="s">
        <v>1859</v>
      </c>
      <c r="AJ74" s="150" t="s">
        <v>816</v>
      </c>
      <c r="AK74" s="149">
        <v>6</v>
      </c>
      <c r="AL74" s="150" t="s">
        <v>816</v>
      </c>
      <c r="AM74" s="149" t="s">
        <v>720</v>
      </c>
      <c r="AN74" s="149">
        <v>5</v>
      </c>
      <c r="AO74" s="149" t="s">
        <v>1864</v>
      </c>
      <c r="AP74" s="149">
        <v>2</v>
      </c>
      <c r="AQ74" s="149">
        <v>5</v>
      </c>
      <c r="AR74" s="150" t="s">
        <v>816</v>
      </c>
      <c r="AS74" s="149" t="s">
        <v>721</v>
      </c>
      <c r="AT74" s="149">
        <v>7</v>
      </c>
      <c r="AU74" s="149" t="s">
        <v>1859</v>
      </c>
      <c r="AV74" s="149">
        <v>3</v>
      </c>
      <c r="AW74" s="149">
        <v>4</v>
      </c>
      <c r="AX74" s="150" t="s">
        <v>816</v>
      </c>
      <c r="AY74" s="150" t="s">
        <v>738</v>
      </c>
      <c r="AZ74" s="149">
        <v>6</v>
      </c>
      <c r="BA74" s="149" t="s">
        <v>1865</v>
      </c>
      <c r="BB74" s="150" t="s">
        <v>816</v>
      </c>
      <c r="BC74" s="149">
        <v>5</v>
      </c>
      <c r="BD74" s="150">
        <v>150</v>
      </c>
      <c r="BE74" s="150" t="s">
        <v>1858</v>
      </c>
      <c r="BF74" s="149">
        <v>6</v>
      </c>
      <c r="BG74" s="149" t="s">
        <v>1859</v>
      </c>
      <c r="BH74" s="150">
        <v>3</v>
      </c>
      <c r="BI74" s="149">
        <v>4</v>
      </c>
      <c r="BJ74" s="150" t="s">
        <v>816</v>
      </c>
      <c r="BK74" s="149" t="s">
        <v>732</v>
      </c>
      <c r="BL74" s="149">
        <v>7</v>
      </c>
      <c r="BM74" s="149" t="s">
        <v>1843</v>
      </c>
      <c r="BN74" s="150" t="s">
        <v>816</v>
      </c>
      <c r="BO74" s="149">
        <v>4</v>
      </c>
      <c r="BP74" s="150">
        <v>20</v>
      </c>
      <c r="BQ74" s="209" t="s">
        <v>816</v>
      </c>
      <c r="BR74" s="209" t="s">
        <v>816</v>
      </c>
      <c r="BS74" s="209" t="s">
        <v>816</v>
      </c>
      <c r="BT74" s="209" t="s">
        <v>816</v>
      </c>
      <c r="BU74" s="209" t="s">
        <v>816</v>
      </c>
      <c r="BV74" s="209" t="s">
        <v>816</v>
      </c>
    </row>
    <row r="75" spans="1:74" x14ac:dyDescent="0.25">
      <c r="A75" s="149" t="s">
        <v>1963</v>
      </c>
      <c r="B75" s="149" t="s">
        <v>2245</v>
      </c>
      <c r="D75" s="149">
        <v>5</v>
      </c>
      <c r="E75" s="149">
        <v>1</v>
      </c>
      <c r="F75" s="149">
        <v>6</v>
      </c>
      <c r="G75" s="149">
        <v>1</v>
      </c>
      <c r="H75" s="149">
        <v>1</v>
      </c>
      <c r="I75" s="149">
        <v>0</v>
      </c>
      <c r="J75" s="149">
        <v>2</v>
      </c>
      <c r="K75" s="149">
        <v>1</v>
      </c>
      <c r="L75" s="149">
        <v>1</v>
      </c>
      <c r="M75" s="149">
        <v>1</v>
      </c>
      <c r="N75" s="149">
        <v>1</v>
      </c>
      <c r="O75" s="149">
        <v>1</v>
      </c>
      <c r="P75" s="149">
        <v>3</v>
      </c>
      <c r="Q75" s="149">
        <v>3</v>
      </c>
      <c r="R75" s="149">
        <v>6</v>
      </c>
      <c r="S75" s="149">
        <v>6</v>
      </c>
      <c r="T75" s="149">
        <v>0</v>
      </c>
      <c r="U75" s="209" t="s">
        <v>816</v>
      </c>
      <c r="V75" s="209" t="s">
        <v>816</v>
      </c>
      <c r="W75" s="209" t="s">
        <v>816</v>
      </c>
      <c r="X75" s="209" t="s">
        <v>816</v>
      </c>
      <c r="Y75" s="209" t="s">
        <v>816</v>
      </c>
      <c r="Z75" s="209" t="s">
        <v>816</v>
      </c>
      <c r="AA75" s="209" t="s">
        <v>816</v>
      </c>
      <c r="AB75" s="209" t="s">
        <v>816</v>
      </c>
      <c r="AC75" s="150" t="s">
        <v>1966</v>
      </c>
      <c r="AD75" s="257" t="s">
        <v>1967</v>
      </c>
      <c r="AE75" s="257" t="s">
        <v>494</v>
      </c>
      <c r="AF75" s="257" t="s">
        <v>2323</v>
      </c>
      <c r="AG75" s="149" t="s">
        <v>702</v>
      </c>
      <c r="AH75" s="149">
        <v>4</v>
      </c>
      <c r="AI75" s="149" t="s">
        <v>1834</v>
      </c>
      <c r="AJ75" s="150" t="s">
        <v>816</v>
      </c>
      <c r="AK75" s="149">
        <v>6</v>
      </c>
      <c r="AL75" s="150" t="s">
        <v>816</v>
      </c>
      <c r="AM75" s="149" t="s">
        <v>720</v>
      </c>
      <c r="AN75" s="149">
        <v>3</v>
      </c>
      <c r="AO75" s="149" t="s">
        <v>1922</v>
      </c>
      <c r="AP75" s="149">
        <v>1</v>
      </c>
      <c r="AQ75" s="149">
        <v>5</v>
      </c>
      <c r="AR75" s="150" t="s">
        <v>816</v>
      </c>
      <c r="AS75" s="149" t="s">
        <v>721</v>
      </c>
      <c r="AT75" s="149">
        <v>5</v>
      </c>
      <c r="AU75" s="149" t="s">
        <v>1834</v>
      </c>
      <c r="AV75" s="149">
        <v>2</v>
      </c>
      <c r="AW75" s="149">
        <v>4</v>
      </c>
      <c r="AX75" s="150" t="s">
        <v>816</v>
      </c>
      <c r="AY75" s="209" t="s">
        <v>816</v>
      </c>
      <c r="AZ75" s="209" t="s">
        <v>816</v>
      </c>
      <c r="BA75" s="209" t="s">
        <v>816</v>
      </c>
      <c r="BB75" s="209" t="s">
        <v>816</v>
      </c>
      <c r="BC75" s="209" t="s">
        <v>816</v>
      </c>
      <c r="BD75" s="209" t="s">
        <v>816</v>
      </c>
      <c r="BE75" s="209" t="s">
        <v>816</v>
      </c>
      <c r="BF75" s="209" t="s">
        <v>816</v>
      </c>
      <c r="BG75" s="209" t="s">
        <v>816</v>
      </c>
      <c r="BH75" s="209" t="s">
        <v>816</v>
      </c>
      <c r="BI75" s="209" t="s">
        <v>816</v>
      </c>
      <c r="BJ75" s="209" t="s">
        <v>816</v>
      </c>
      <c r="BK75" s="209" t="s">
        <v>816</v>
      </c>
      <c r="BL75" s="209" t="s">
        <v>816</v>
      </c>
      <c r="BM75" s="209" t="s">
        <v>816</v>
      </c>
      <c r="BN75" s="209" t="s">
        <v>816</v>
      </c>
      <c r="BO75" s="209" t="s">
        <v>816</v>
      </c>
      <c r="BP75" s="209" t="s">
        <v>816</v>
      </c>
      <c r="BQ75" s="209" t="s">
        <v>816</v>
      </c>
      <c r="BR75" s="209" t="s">
        <v>816</v>
      </c>
      <c r="BS75" s="209" t="s">
        <v>816</v>
      </c>
      <c r="BT75" s="209" t="s">
        <v>816</v>
      </c>
      <c r="BU75" s="209" t="s">
        <v>816</v>
      </c>
      <c r="BV75" s="209" t="s">
        <v>816</v>
      </c>
    </row>
    <row r="76" spans="1:74" x14ac:dyDescent="0.25">
      <c r="A76" s="149" t="s">
        <v>1854</v>
      </c>
      <c r="B76" s="149" t="s">
        <v>2245</v>
      </c>
      <c r="D76" s="149">
        <v>2</v>
      </c>
      <c r="E76" s="149">
        <v>3</v>
      </c>
      <c r="F76" s="149">
        <v>2</v>
      </c>
      <c r="G76" s="149">
        <v>2</v>
      </c>
      <c r="H76" s="149">
        <v>2</v>
      </c>
      <c r="I76" s="149">
        <v>2</v>
      </c>
      <c r="J76" s="149">
        <v>2</v>
      </c>
      <c r="K76" s="149">
        <v>2</v>
      </c>
      <c r="L76" s="149">
        <v>2</v>
      </c>
      <c r="M76" s="149">
        <v>0</v>
      </c>
      <c r="N76" s="149">
        <v>0</v>
      </c>
      <c r="O76" s="149">
        <v>2</v>
      </c>
      <c r="P76" s="149">
        <v>4</v>
      </c>
      <c r="Q76" s="149">
        <v>4</v>
      </c>
      <c r="R76" s="149">
        <v>4</v>
      </c>
      <c r="S76" s="149">
        <v>2</v>
      </c>
      <c r="T76" s="149">
        <v>2</v>
      </c>
      <c r="U76" s="209" t="s">
        <v>816</v>
      </c>
      <c r="V76" s="209" t="s">
        <v>816</v>
      </c>
      <c r="W76" s="209" t="s">
        <v>816</v>
      </c>
      <c r="X76" s="209" t="s">
        <v>816</v>
      </c>
      <c r="Y76" s="209" t="s">
        <v>816</v>
      </c>
      <c r="Z76" s="209" t="s">
        <v>816</v>
      </c>
      <c r="AA76" s="209" t="s">
        <v>816</v>
      </c>
      <c r="AB76" s="209" t="s">
        <v>816</v>
      </c>
      <c r="AC76" s="150" t="s">
        <v>1831</v>
      </c>
      <c r="AD76" s="257" t="s">
        <v>1857</v>
      </c>
      <c r="AE76" s="257" t="s">
        <v>494</v>
      </c>
      <c r="AF76" s="257" t="s">
        <v>1901</v>
      </c>
      <c r="AG76" s="149" t="s">
        <v>702</v>
      </c>
      <c r="AH76" s="149">
        <v>5</v>
      </c>
      <c r="AI76" s="149" t="s">
        <v>1833</v>
      </c>
      <c r="AJ76" s="150" t="s">
        <v>816</v>
      </c>
      <c r="AK76" s="149">
        <v>6</v>
      </c>
      <c r="AL76" s="150" t="s">
        <v>816</v>
      </c>
      <c r="AM76" s="149" t="s">
        <v>720</v>
      </c>
      <c r="AN76" s="149">
        <v>4</v>
      </c>
      <c r="AO76" s="149" t="s">
        <v>1834</v>
      </c>
      <c r="AP76" s="149">
        <v>1</v>
      </c>
      <c r="AQ76" s="149">
        <v>5</v>
      </c>
      <c r="AR76" s="150" t="s">
        <v>816</v>
      </c>
      <c r="AS76" s="149" t="s">
        <v>721</v>
      </c>
      <c r="AT76" s="149">
        <v>6</v>
      </c>
      <c r="AU76" s="149" t="s">
        <v>1833</v>
      </c>
      <c r="AV76" s="149">
        <v>3</v>
      </c>
      <c r="AW76" s="149">
        <v>4</v>
      </c>
      <c r="AX76" s="150" t="s">
        <v>816</v>
      </c>
      <c r="AY76" s="150" t="s">
        <v>1858</v>
      </c>
      <c r="AZ76" s="149">
        <v>5</v>
      </c>
      <c r="BA76" s="149" t="s">
        <v>1859</v>
      </c>
      <c r="BB76" s="150">
        <v>2</v>
      </c>
      <c r="BC76" s="149">
        <v>4</v>
      </c>
      <c r="BD76" s="150" t="s">
        <v>816</v>
      </c>
      <c r="BE76" s="149" t="s">
        <v>732</v>
      </c>
      <c r="BF76" s="149">
        <v>7</v>
      </c>
      <c r="BG76" s="149" t="s">
        <v>1843</v>
      </c>
      <c r="BH76" s="150" t="s">
        <v>816</v>
      </c>
      <c r="BI76" s="149">
        <v>4</v>
      </c>
      <c r="BJ76" s="150">
        <v>20</v>
      </c>
      <c r="BK76" s="209" t="s">
        <v>816</v>
      </c>
      <c r="BL76" s="209" t="s">
        <v>816</v>
      </c>
      <c r="BM76" s="209" t="s">
        <v>816</v>
      </c>
      <c r="BN76" s="209" t="s">
        <v>816</v>
      </c>
      <c r="BO76" s="209" t="s">
        <v>816</v>
      </c>
      <c r="BP76" s="209" t="s">
        <v>816</v>
      </c>
      <c r="BQ76" s="209" t="s">
        <v>816</v>
      </c>
      <c r="BR76" s="209" t="s">
        <v>816</v>
      </c>
      <c r="BS76" s="209" t="s">
        <v>816</v>
      </c>
      <c r="BT76" s="209" t="s">
        <v>816</v>
      </c>
      <c r="BU76" s="209" t="s">
        <v>816</v>
      </c>
      <c r="BV76" s="209" t="s">
        <v>816</v>
      </c>
    </row>
    <row r="77" spans="1:74" x14ac:dyDescent="0.25">
      <c r="A77" s="149" t="s">
        <v>1926</v>
      </c>
      <c r="B77" s="149" t="s">
        <v>2245</v>
      </c>
      <c r="D77" s="149">
        <v>2</v>
      </c>
      <c r="E77" s="149">
        <v>2</v>
      </c>
      <c r="F77" s="149">
        <v>2</v>
      </c>
      <c r="G77" s="149">
        <v>2</v>
      </c>
      <c r="H77" s="149">
        <v>2</v>
      </c>
      <c r="I77" s="149">
        <v>2</v>
      </c>
      <c r="J77" s="149">
        <v>2</v>
      </c>
      <c r="K77" s="149">
        <v>2</v>
      </c>
      <c r="L77" s="149">
        <v>2</v>
      </c>
      <c r="M77" s="149">
        <v>0</v>
      </c>
      <c r="N77" s="149">
        <v>0</v>
      </c>
      <c r="O77" s="149">
        <v>1</v>
      </c>
      <c r="P77" s="149">
        <v>6</v>
      </c>
      <c r="Q77" s="149">
        <v>3</v>
      </c>
      <c r="R77" s="149">
        <v>2</v>
      </c>
      <c r="S77" s="149">
        <v>0</v>
      </c>
      <c r="T77" s="149">
        <v>0</v>
      </c>
      <c r="U77" s="149" t="s">
        <v>169</v>
      </c>
      <c r="V77" s="149">
        <v>2</v>
      </c>
      <c r="W77" s="149" t="s">
        <v>171</v>
      </c>
      <c r="X77" s="149">
        <v>2</v>
      </c>
      <c r="Y77" s="149" t="s">
        <v>176</v>
      </c>
      <c r="Z77" s="149">
        <v>4</v>
      </c>
      <c r="AA77" s="149" t="s">
        <v>173</v>
      </c>
      <c r="AB77" s="149">
        <v>1</v>
      </c>
      <c r="AC77" s="150" t="s">
        <v>1831</v>
      </c>
      <c r="AD77" s="257" t="s">
        <v>1832</v>
      </c>
      <c r="AE77" s="258" t="s">
        <v>1929</v>
      </c>
      <c r="AF77" s="257" t="s">
        <v>494</v>
      </c>
      <c r="AG77" s="149" t="s">
        <v>702</v>
      </c>
      <c r="AH77" s="149">
        <v>3</v>
      </c>
      <c r="AI77" s="149" t="s">
        <v>1833</v>
      </c>
      <c r="AJ77" s="150" t="s">
        <v>816</v>
      </c>
      <c r="AK77" s="149">
        <v>6</v>
      </c>
      <c r="AL77" s="150" t="s">
        <v>816</v>
      </c>
      <c r="AM77" s="149" t="s">
        <v>720</v>
      </c>
      <c r="AN77" s="149">
        <v>2</v>
      </c>
      <c r="AO77" s="149" t="s">
        <v>1834</v>
      </c>
      <c r="AP77" s="149">
        <v>0</v>
      </c>
      <c r="AQ77" s="149">
        <v>5</v>
      </c>
      <c r="AR77" s="150" t="s">
        <v>816</v>
      </c>
      <c r="AS77" s="149" t="s">
        <v>721</v>
      </c>
      <c r="AT77" s="149">
        <v>4</v>
      </c>
      <c r="AU77" s="149" t="s">
        <v>1833</v>
      </c>
      <c r="AV77" s="149">
        <v>2</v>
      </c>
      <c r="AW77" s="149">
        <v>4</v>
      </c>
      <c r="AX77" s="150" t="s">
        <v>816</v>
      </c>
      <c r="AY77" s="209" t="s">
        <v>816</v>
      </c>
      <c r="AZ77" s="209" t="s">
        <v>816</v>
      </c>
      <c r="BA77" s="209" t="s">
        <v>816</v>
      </c>
      <c r="BB77" s="209" t="s">
        <v>816</v>
      </c>
      <c r="BC77" s="209" t="s">
        <v>816</v>
      </c>
      <c r="BD77" s="209" t="s">
        <v>816</v>
      </c>
      <c r="BE77" s="209" t="s">
        <v>816</v>
      </c>
      <c r="BF77" s="209" t="s">
        <v>816</v>
      </c>
      <c r="BG77" s="209" t="s">
        <v>816</v>
      </c>
      <c r="BH77" s="209" t="s">
        <v>816</v>
      </c>
      <c r="BI77" s="209" t="s">
        <v>816</v>
      </c>
      <c r="BJ77" s="209" t="s">
        <v>816</v>
      </c>
      <c r="BK77" s="209" t="s">
        <v>816</v>
      </c>
      <c r="BL77" s="209" t="s">
        <v>816</v>
      </c>
      <c r="BM77" s="209" t="s">
        <v>816</v>
      </c>
      <c r="BN77" s="209" t="s">
        <v>816</v>
      </c>
      <c r="BO77" s="209" t="s">
        <v>816</v>
      </c>
      <c r="BP77" s="209" t="s">
        <v>816</v>
      </c>
      <c r="BQ77" s="209" t="s">
        <v>816</v>
      </c>
      <c r="BR77" s="209" t="s">
        <v>816</v>
      </c>
      <c r="BS77" s="209" t="s">
        <v>816</v>
      </c>
      <c r="BT77" s="209" t="s">
        <v>816</v>
      </c>
      <c r="BU77" s="209" t="s">
        <v>816</v>
      </c>
      <c r="BV77" s="209" t="s">
        <v>816</v>
      </c>
    </row>
    <row r="78" spans="1:74" x14ac:dyDescent="0.25">
      <c r="A78" s="149" t="s">
        <v>1837</v>
      </c>
      <c r="B78" s="149" t="s">
        <v>2245</v>
      </c>
      <c r="D78" s="149">
        <v>2</v>
      </c>
      <c r="E78" s="149">
        <v>3</v>
      </c>
      <c r="F78" s="149">
        <v>2</v>
      </c>
      <c r="G78" s="149">
        <v>2</v>
      </c>
      <c r="H78" s="149">
        <v>2</v>
      </c>
      <c r="I78" s="149">
        <v>2</v>
      </c>
      <c r="J78" s="149">
        <v>2</v>
      </c>
      <c r="K78" s="149">
        <v>2</v>
      </c>
      <c r="L78" s="149">
        <v>2</v>
      </c>
      <c r="M78" s="149">
        <v>0</v>
      </c>
      <c r="N78" s="149">
        <v>0</v>
      </c>
      <c r="O78" s="149">
        <v>2</v>
      </c>
      <c r="P78" s="149">
        <v>4</v>
      </c>
      <c r="Q78" s="149">
        <v>4</v>
      </c>
      <c r="R78" s="149">
        <v>4</v>
      </c>
      <c r="S78" s="149">
        <v>0</v>
      </c>
      <c r="T78" s="149">
        <v>0</v>
      </c>
      <c r="U78" s="209" t="s">
        <v>816</v>
      </c>
      <c r="V78" s="209" t="s">
        <v>816</v>
      </c>
      <c r="W78" s="209" t="s">
        <v>816</v>
      </c>
      <c r="X78" s="209" t="s">
        <v>816</v>
      </c>
      <c r="Y78" s="209" t="s">
        <v>816</v>
      </c>
      <c r="Z78" s="209" t="s">
        <v>816</v>
      </c>
      <c r="AA78" s="209" t="s">
        <v>816</v>
      </c>
      <c r="AB78" s="209" t="s">
        <v>816</v>
      </c>
      <c r="AC78" s="150" t="s">
        <v>1831</v>
      </c>
      <c r="AD78" s="257" t="s">
        <v>1840</v>
      </c>
      <c r="AE78" s="257" t="s">
        <v>494</v>
      </c>
      <c r="AF78" s="257" t="s">
        <v>494</v>
      </c>
      <c r="AG78" s="149" t="s">
        <v>702</v>
      </c>
      <c r="AH78" s="149">
        <v>5</v>
      </c>
      <c r="AI78" s="149" t="s">
        <v>1833</v>
      </c>
      <c r="AJ78" s="150" t="s">
        <v>816</v>
      </c>
      <c r="AK78" s="149">
        <v>6</v>
      </c>
      <c r="AL78" s="150" t="s">
        <v>816</v>
      </c>
      <c r="AM78" s="149" t="s">
        <v>720</v>
      </c>
      <c r="AN78" s="149">
        <v>4</v>
      </c>
      <c r="AO78" s="149" t="s">
        <v>1834</v>
      </c>
      <c r="AP78" s="149">
        <v>1</v>
      </c>
      <c r="AQ78" s="149">
        <v>5</v>
      </c>
      <c r="AR78" s="150" t="s">
        <v>816</v>
      </c>
      <c r="AS78" s="149" t="s">
        <v>721</v>
      </c>
      <c r="AT78" s="149">
        <v>6</v>
      </c>
      <c r="AU78" s="149" t="s">
        <v>1833</v>
      </c>
      <c r="AV78" s="149">
        <v>3</v>
      </c>
      <c r="AW78" s="149">
        <v>4</v>
      </c>
      <c r="AX78" s="150" t="s">
        <v>816</v>
      </c>
      <c r="AY78" s="150" t="s">
        <v>1841</v>
      </c>
      <c r="AZ78" s="149">
        <v>5</v>
      </c>
      <c r="BA78" s="149" t="s">
        <v>1843</v>
      </c>
      <c r="BB78" s="150" t="s">
        <v>816</v>
      </c>
      <c r="BC78" s="149">
        <v>4</v>
      </c>
      <c r="BD78" s="149">
        <v>20</v>
      </c>
      <c r="BE78" s="149" t="s">
        <v>1842</v>
      </c>
      <c r="BF78" s="149">
        <v>5</v>
      </c>
      <c r="BG78" s="149" t="s">
        <v>1843</v>
      </c>
      <c r="BH78" s="149">
        <v>2</v>
      </c>
      <c r="BI78" s="149">
        <v>4</v>
      </c>
      <c r="BJ78" s="150" t="s">
        <v>816</v>
      </c>
      <c r="BK78" s="209" t="s">
        <v>816</v>
      </c>
      <c r="BL78" s="209" t="s">
        <v>816</v>
      </c>
      <c r="BM78" s="209" t="s">
        <v>816</v>
      </c>
      <c r="BN78" s="209" t="s">
        <v>816</v>
      </c>
      <c r="BO78" s="209" t="s">
        <v>816</v>
      </c>
      <c r="BP78" s="209" t="s">
        <v>816</v>
      </c>
      <c r="BQ78" s="209" t="s">
        <v>816</v>
      </c>
      <c r="BR78" s="209" t="s">
        <v>816</v>
      </c>
      <c r="BS78" s="209" t="s">
        <v>816</v>
      </c>
      <c r="BT78" s="209" t="s">
        <v>816</v>
      </c>
      <c r="BU78" s="209" t="s">
        <v>816</v>
      </c>
      <c r="BV78" s="209" t="s">
        <v>816</v>
      </c>
    </row>
    <row r="79" spans="1:74" x14ac:dyDescent="0.25">
      <c r="A79" s="149" t="s">
        <v>2195</v>
      </c>
      <c r="B79" s="149" t="s">
        <v>2245</v>
      </c>
      <c r="D79" s="149">
        <v>1</v>
      </c>
      <c r="E79" s="149">
        <v>4</v>
      </c>
      <c r="F79" s="149">
        <v>1</v>
      </c>
      <c r="G79" s="149">
        <v>2</v>
      </c>
      <c r="H79" s="149">
        <v>1</v>
      </c>
      <c r="I79" s="149">
        <v>2</v>
      </c>
      <c r="J79" s="149">
        <v>3</v>
      </c>
      <c r="K79" s="149">
        <v>2</v>
      </c>
      <c r="L79" s="149">
        <v>3</v>
      </c>
      <c r="M79" s="149">
        <v>1</v>
      </c>
      <c r="N79" s="149">
        <v>1</v>
      </c>
      <c r="O79" s="149">
        <v>3</v>
      </c>
      <c r="P79" s="149">
        <v>6</v>
      </c>
      <c r="Q79" s="149">
        <v>6</v>
      </c>
      <c r="R79" s="149">
        <v>1</v>
      </c>
      <c r="S79" s="149">
        <v>0</v>
      </c>
      <c r="T79" s="149">
        <v>0</v>
      </c>
      <c r="U79" s="149" t="s">
        <v>159</v>
      </c>
      <c r="V79" s="149">
        <v>5</v>
      </c>
      <c r="W79" s="209" t="s">
        <v>816</v>
      </c>
      <c r="X79" s="209" t="s">
        <v>816</v>
      </c>
      <c r="Y79" s="209" t="s">
        <v>816</v>
      </c>
      <c r="Z79" s="209" t="s">
        <v>816</v>
      </c>
      <c r="AA79" s="209" t="s">
        <v>816</v>
      </c>
      <c r="AB79" s="209" t="s">
        <v>816</v>
      </c>
      <c r="AC79" s="150" t="s">
        <v>2198</v>
      </c>
      <c r="AD79" s="257" t="s">
        <v>2199</v>
      </c>
      <c r="AE79" s="257" t="s">
        <v>2200</v>
      </c>
      <c r="AF79" s="257" t="s">
        <v>2201</v>
      </c>
      <c r="AG79" s="149" t="s">
        <v>721</v>
      </c>
      <c r="AH79" s="149">
        <v>4</v>
      </c>
      <c r="AI79" s="149" t="s">
        <v>2202</v>
      </c>
      <c r="AJ79" s="149">
        <v>3</v>
      </c>
      <c r="AK79" s="149">
        <v>4</v>
      </c>
      <c r="AL79" s="150" t="s">
        <v>816</v>
      </c>
      <c r="AM79" s="209" t="s">
        <v>816</v>
      </c>
      <c r="AN79" s="209" t="s">
        <v>816</v>
      </c>
      <c r="AO79" s="209" t="s">
        <v>816</v>
      </c>
      <c r="AP79" s="209" t="s">
        <v>816</v>
      </c>
      <c r="AQ79" s="209" t="s">
        <v>816</v>
      </c>
      <c r="AR79" s="209" t="s">
        <v>816</v>
      </c>
      <c r="AS79" s="209" t="s">
        <v>816</v>
      </c>
      <c r="AT79" s="209" t="s">
        <v>816</v>
      </c>
      <c r="AU79" s="209" t="s">
        <v>816</v>
      </c>
      <c r="AV79" s="209" t="s">
        <v>816</v>
      </c>
      <c r="AW79" s="209" t="s">
        <v>816</v>
      </c>
      <c r="AX79" s="209" t="s">
        <v>816</v>
      </c>
      <c r="AY79" s="209" t="s">
        <v>816</v>
      </c>
      <c r="AZ79" s="209" t="s">
        <v>816</v>
      </c>
      <c r="BA79" s="209" t="s">
        <v>816</v>
      </c>
      <c r="BB79" s="209" t="s">
        <v>816</v>
      </c>
      <c r="BC79" s="209" t="s">
        <v>816</v>
      </c>
      <c r="BD79" s="209" t="s">
        <v>816</v>
      </c>
      <c r="BE79" s="209" t="s">
        <v>816</v>
      </c>
      <c r="BF79" s="209" t="s">
        <v>816</v>
      </c>
      <c r="BG79" s="209" t="s">
        <v>816</v>
      </c>
      <c r="BH79" s="209" t="s">
        <v>816</v>
      </c>
      <c r="BI79" s="209" t="s">
        <v>816</v>
      </c>
      <c r="BJ79" s="209" t="s">
        <v>816</v>
      </c>
      <c r="BK79" s="209" t="s">
        <v>816</v>
      </c>
      <c r="BL79" s="209" t="s">
        <v>816</v>
      </c>
      <c r="BM79" s="209" t="s">
        <v>816</v>
      </c>
      <c r="BN79" s="209" t="s">
        <v>816</v>
      </c>
      <c r="BO79" s="209" t="s">
        <v>816</v>
      </c>
      <c r="BP79" s="209" t="s">
        <v>816</v>
      </c>
      <c r="BQ79" s="209" t="s">
        <v>816</v>
      </c>
      <c r="BR79" s="209" t="s">
        <v>816</v>
      </c>
      <c r="BS79" s="209" t="s">
        <v>816</v>
      </c>
      <c r="BT79" s="209" t="s">
        <v>816</v>
      </c>
      <c r="BU79" s="209" t="s">
        <v>816</v>
      </c>
      <c r="BV79" s="209" t="s">
        <v>816</v>
      </c>
    </row>
    <row r="80" spans="1:74" x14ac:dyDescent="0.25">
      <c r="A80" s="149" t="s">
        <v>1828</v>
      </c>
      <c r="B80" s="149" t="s">
        <v>2245</v>
      </c>
      <c r="D80" s="149">
        <v>2</v>
      </c>
      <c r="E80" s="149">
        <v>2</v>
      </c>
      <c r="F80" s="149">
        <v>2</v>
      </c>
      <c r="G80" s="149">
        <v>2</v>
      </c>
      <c r="H80" s="149">
        <v>2</v>
      </c>
      <c r="I80" s="149">
        <v>2</v>
      </c>
      <c r="J80" s="149">
        <v>2</v>
      </c>
      <c r="K80" s="149">
        <v>2</v>
      </c>
      <c r="L80" s="149">
        <v>2</v>
      </c>
      <c r="M80" s="149">
        <v>0</v>
      </c>
      <c r="N80" s="149">
        <v>0</v>
      </c>
      <c r="O80" s="149">
        <v>1</v>
      </c>
      <c r="P80" s="149">
        <v>4</v>
      </c>
      <c r="Q80" s="149">
        <v>3</v>
      </c>
      <c r="R80" s="149">
        <v>2</v>
      </c>
      <c r="S80" s="149">
        <v>0</v>
      </c>
      <c r="T80" s="149">
        <v>0</v>
      </c>
      <c r="U80" s="209" t="s">
        <v>816</v>
      </c>
      <c r="V80" s="209" t="s">
        <v>816</v>
      </c>
      <c r="W80" s="209" t="s">
        <v>816</v>
      </c>
      <c r="X80" s="209" t="s">
        <v>816</v>
      </c>
      <c r="Y80" s="209" t="s">
        <v>816</v>
      </c>
      <c r="Z80" s="209" t="s">
        <v>816</v>
      </c>
      <c r="AA80" s="209" t="s">
        <v>816</v>
      </c>
      <c r="AB80" s="209" t="s">
        <v>816</v>
      </c>
      <c r="AC80" s="150" t="s">
        <v>1831</v>
      </c>
      <c r="AD80" s="257" t="s">
        <v>1832</v>
      </c>
      <c r="AE80" s="256" t="s">
        <v>494</v>
      </c>
      <c r="AF80" s="257" t="s">
        <v>494</v>
      </c>
      <c r="AG80" s="149" t="s">
        <v>702</v>
      </c>
      <c r="AH80" s="149">
        <v>3</v>
      </c>
      <c r="AI80" s="149" t="s">
        <v>1833</v>
      </c>
      <c r="AJ80" s="150" t="s">
        <v>816</v>
      </c>
      <c r="AK80" s="149">
        <v>6</v>
      </c>
      <c r="AL80" s="150" t="s">
        <v>816</v>
      </c>
      <c r="AM80" s="149" t="s">
        <v>720</v>
      </c>
      <c r="AN80" s="149">
        <v>2</v>
      </c>
      <c r="AO80" s="149" t="s">
        <v>1834</v>
      </c>
      <c r="AP80" s="149">
        <v>0</v>
      </c>
      <c r="AQ80" s="149">
        <v>5</v>
      </c>
      <c r="AR80" s="150" t="s">
        <v>816</v>
      </c>
      <c r="AS80" s="149" t="s">
        <v>721</v>
      </c>
      <c r="AT80" s="149">
        <v>4</v>
      </c>
      <c r="AU80" s="149" t="s">
        <v>1833</v>
      </c>
      <c r="AV80" s="149">
        <v>2</v>
      </c>
      <c r="AW80" s="149">
        <v>4</v>
      </c>
      <c r="AX80" s="150" t="s">
        <v>816</v>
      </c>
      <c r="AY80" s="209" t="s">
        <v>816</v>
      </c>
      <c r="AZ80" s="209" t="s">
        <v>816</v>
      </c>
      <c r="BA80" s="209" t="s">
        <v>816</v>
      </c>
      <c r="BB80" s="209" t="s">
        <v>816</v>
      </c>
      <c r="BC80" s="209" t="s">
        <v>816</v>
      </c>
      <c r="BD80" s="209" t="s">
        <v>816</v>
      </c>
      <c r="BE80" s="209" t="s">
        <v>816</v>
      </c>
      <c r="BF80" s="209" t="s">
        <v>816</v>
      </c>
      <c r="BG80" s="209" t="s">
        <v>816</v>
      </c>
      <c r="BH80" s="209" t="s">
        <v>816</v>
      </c>
      <c r="BI80" s="209" t="s">
        <v>816</v>
      </c>
      <c r="BJ80" s="209" t="s">
        <v>816</v>
      </c>
      <c r="BK80" s="209" t="s">
        <v>816</v>
      </c>
      <c r="BL80" s="209" t="s">
        <v>816</v>
      </c>
      <c r="BM80" s="209" t="s">
        <v>816</v>
      </c>
      <c r="BN80" s="209" t="s">
        <v>816</v>
      </c>
      <c r="BO80" s="209" t="s">
        <v>816</v>
      </c>
      <c r="BP80" s="209" t="s">
        <v>816</v>
      </c>
      <c r="BQ80" s="209" t="s">
        <v>816</v>
      </c>
      <c r="BR80" s="209" t="s">
        <v>816</v>
      </c>
      <c r="BS80" s="209" t="s">
        <v>816</v>
      </c>
      <c r="BT80" s="209" t="s">
        <v>816</v>
      </c>
      <c r="BU80" s="209" t="s">
        <v>816</v>
      </c>
      <c r="BV80" s="209" t="s">
        <v>816</v>
      </c>
    </row>
    <row r="81" spans="1:74" x14ac:dyDescent="0.25">
      <c r="A81" s="149" t="s">
        <v>1880</v>
      </c>
      <c r="B81" s="149" t="s">
        <v>2245</v>
      </c>
      <c r="D81" s="149">
        <v>5</v>
      </c>
      <c r="E81" s="149">
        <v>5</v>
      </c>
      <c r="F81" s="149">
        <v>5</v>
      </c>
      <c r="G81" s="149">
        <v>3</v>
      </c>
      <c r="H81" s="149">
        <v>2</v>
      </c>
      <c r="I81" s="149">
        <v>5</v>
      </c>
      <c r="J81" s="149">
        <v>3</v>
      </c>
      <c r="K81" s="149">
        <v>3</v>
      </c>
      <c r="L81" s="149">
        <v>4</v>
      </c>
      <c r="M81" s="149">
        <v>1</v>
      </c>
      <c r="N81" s="149">
        <v>1</v>
      </c>
      <c r="O81" s="149">
        <v>5</v>
      </c>
      <c r="P81" s="149">
        <v>6</v>
      </c>
      <c r="Q81" s="149">
        <v>7</v>
      </c>
      <c r="R81" s="149">
        <v>6</v>
      </c>
      <c r="S81" s="149">
        <v>2</v>
      </c>
      <c r="T81" s="149">
        <v>2</v>
      </c>
      <c r="U81" s="149" t="s">
        <v>158</v>
      </c>
      <c r="V81" s="149">
        <v>2</v>
      </c>
      <c r="W81" s="149" t="s">
        <v>163</v>
      </c>
      <c r="X81" s="149">
        <v>2</v>
      </c>
      <c r="Y81" s="149" t="s">
        <v>164</v>
      </c>
      <c r="Z81" s="149">
        <v>4</v>
      </c>
      <c r="AA81" s="149" t="s">
        <v>173</v>
      </c>
      <c r="AB81" s="149">
        <v>1</v>
      </c>
      <c r="AC81" s="150" t="s">
        <v>1831</v>
      </c>
      <c r="AD81" s="257" t="s">
        <v>1876</v>
      </c>
      <c r="AE81" s="257" t="s">
        <v>494</v>
      </c>
      <c r="AF81" s="257" t="s">
        <v>2312</v>
      </c>
      <c r="AG81" s="149" t="s">
        <v>720</v>
      </c>
      <c r="AH81" s="150">
        <v>8</v>
      </c>
      <c r="AI81" s="150" t="s">
        <v>1877</v>
      </c>
      <c r="AJ81" s="150">
        <v>4</v>
      </c>
      <c r="AK81" s="149">
        <v>5</v>
      </c>
      <c r="AL81" s="150" t="s">
        <v>816</v>
      </c>
      <c r="AM81" s="149" t="s">
        <v>721</v>
      </c>
      <c r="AN81" s="150">
        <v>10</v>
      </c>
      <c r="AO81" s="150" t="s">
        <v>1834</v>
      </c>
      <c r="AP81" s="150">
        <v>5</v>
      </c>
      <c r="AQ81" s="149">
        <v>4</v>
      </c>
      <c r="AR81" s="150" t="s">
        <v>816</v>
      </c>
      <c r="AS81" s="149" t="s">
        <v>739</v>
      </c>
      <c r="AT81" s="150">
        <v>8</v>
      </c>
      <c r="AU81" s="150" t="s">
        <v>1865</v>
      </c>
      <c r="AV81" s="150" t="s">
        <v>816</v>
      </c>
      <c r="AW81" s="149">
        <v>5</v>
      </c>
      <c r="AX81" s="149">
        <v>125</v>
      </c>
      <c r="AY81" s="150" t="s">
        <v>738</v>
      </c>
      <c r="AZ81" s="150">
        <v>9</v>
      </c>
      <c r="BA81" s="149" t="s">
        <v>1865</v>
      </c>
      <c r="BB81" s="150" t="s">
        <v>816</v>
      </c>
      <c r="BC81" s="149">
        <v>5</v>
      </c>
      <c r="BD81" s="149">
        <v>150</v>
      </c>
      <c r="BE81" s="149" t="s">
        <v>731</v>
      </c>
      <c r="BF81" s="150">
        <v>10</v>
      </c>
      <c r="BG81" s="149" t="s">
        <v>1843</v>
      </c>
      <c r="BH81" s="150" t="s">
        <v>816</v>
      </c>
      <c r="BI81" s="149">
        <v>4</v>
      </c>
      <c r="BJ81" s="149">
        <v>20</v>
      </c>
      <c r="BK81" s="149" t="s">
        <v>733</v>
      </c>
      <c r="BL81" s="150">
        <v>9</v>
      </c>
      <c r="BM81" s="149" t="s">
        <v>1865</v>
      </c>
      <c r="BN81" s="150" t="s">
        <v>816</v>
      </c>
      <c r="BO81" s="149">
        <v>5</v>
      </c>
      <c r="BP81" s="149">
        <v>50</v>
      </c>
      <c r="BQ81" s="149" t="s">
        <v>734</v>
      </c>
      <c r="BR81" s="150">
        <v>11</v>
      </c>
      <c r="BS81" s="149" t="s">
        <v>1879</v>
      </c>
      <c r="BT81" s="150" t="s">
        <v>816</v>
      </c>
      <c r="BU81" s="149">
        <v>5</v>
      </c>
      <c r="BV81" s="149">
        <v>20</v>
      </c>
    </row>
    <row r="82" spans="1:74" x14ac:dyDescent="0.25">
      <c r="A82" s="149" t="s">
        <v>2182</v>
      </c>
      <c r="B82" s="149" t="s">
        <v>2245</v>
      </c>
      <c r="D82" s="149">
        <v>4</v>
      </c>
      <c r="E82" s="149">
        <v>4</v>
      </c>
      <c r="F82" s="149">
        <v>4</v>
      </c>
      <c r="G82" s="149">
        <v>3</v>
      </c>
      <c r="H82" s="149">
        <v>2</v>
      </c>
      <c r="I82" s="149">
        <v>3</v>
      </c>
      <c r="J82" s="149">
        <v>3</v>
      </c>
      <c r="K82" s="149">
        <v>3</v>
      </c>
      <c r="L82" s="149">
        <v>4</v>
      </c>
      <c r="M82" s="149">
        <v>0</v>
      </c>
      <c r="N82" s="149">
        <v>0</v>
      </c>
      <c r="O82" s="149">
        <v>4</v>
      </c>
      <c r="P82" s="149">
        <v>6</v>
      </c>
      <c r="Q82" s="149">
        <v>7</v>
      </c>
      <c r="R82" s="149">
        <v>7</v>
      </c>
      <c r="S82" s="149">
        <v>3</v>
      </c>
      <c r="T82" s="149">
        <v>1</v>
      </c>
      <c r="U82" s="149" t="str">
        <f>CharacterSheet!$G$40</f>
        <v/>
      </c>
      <c r="V82" s="149">
        <v>1</v>
      </c>
      <c r="W82" s="149" t="str">
        <f>CharacterSheet!$G$41</f>
        <v/>
      </c>
      <c r="X82" s="149">
        <v>3</v>
      </c>
      <c r="Y82" s="149" t="str">
        <f>CharacterSheet!$M$40</f>
        <v/>
      </c>
      <c r="Z82" s="149">
        <v>2</v>
      </c>
      <c r="AA82" s="149" t="str">
        <f>CharacterSheet!$M$41</f>
        <v/>
      </c>
      <c r="AB82" s="149">
        <v>3</v>
      </c>
      <c r="AC82" s="150" t="s">
        <v>1831</v>
      </c>
      <c r="AD82" s="257" t="s">
        <v>1876</v>
      </c>
      <c r="AE82" s="257" t="s">
        <v>2187</v>
      </c>
      <c r="AF82" s="257" t="s">
        <v>2188</v>
      </c>
      <c r="AG82" s="149" t="s">
        <v>702</v>
      </c>
      <c r="AH82" s="150">
        <v>8</v>
      </c>
      <c r="AI82" s="150" t="s">
        <v>1878</v>
      </c>
      <c r="AJ82" s="150" t="s">
        <v>816</v>
      </c>
      <c r="AK82" s="149">
        <v>6</v>
      </c>
      <c r="AL82" s="150" t="s">
        <v>816</v>
      </c>
      <c r="AM82" s="149" t="s">
        <v>720</v>
      </c>
      <c r="AN82" s="150">
        <v>7</v>
      </c>
      <c r="AO82" s="150" t="s">
        <v>1877</v>
      </c>
      <c r="AP82" s="150">
        <v>3</v>
      </c>
      <c r="AQ82" s="149">
        <v>5</v>
      </c>
      <c r="AR82" s="150" t="s">
        <v>816</v>
      </c>
      <c r="AS82" s="149" t="s">
        <v>721</v>
      </c>
      <c r="AT82" s="150">
        <v>9</v>
      </c>
      <c r="AU82" s="150" t="s">
        <v>1878</v>
      </c>
      <c r="AV82" s="150">
        <v>5</v>
      </c>
      <c r="AW82" s="149">
        <v>4</v>
      </c>
      <c r="AX82" s="150" t="s">
        <v>816</v>
      </c>
      <c r="AY82" s="149" t="s">
        <v>716</v>
      </c>
      <c r="AZ82" s="150">
        <v>9</v>
      </c>
      <c r="BA82" s="149" t="s">
        <v>1940</v>
      </c>
      <c r="BB82" s="150">
        <v>5</v>
      </c>
      <c r="BC82" s="149">
        <v>4</v>
      </c>
      <c r="BD82" s="150" t="s">
        <v>816</v>
      </c>
      <c r="BE82" s="149" t="s">
        <v>715</v>
      </c>
      <c r="BF82" s="150">
        <v>9</v>
      </c>
      <c r="BG82" s="150" t="s">
        <v>1941</v>
      </c>
      <c r="BH82" s="150">
        <v>4</v>
      </c>
      <c r="BI82" s="149">
        <v>5</v>
      </c>
      <c r="BJ82" s="150" t="s">
        <v>816</v>
      </c>
      <c r="BK82" s="149" t="s">
        <v>1935</v>
      </c>
      <c r="BL82" s="150">
        <v>8</v>
      </c>
      <c r="BM82" s="150" t="s">
        <v>1843</v>
      </c>
      <c r="BN82" s="150" t="s">
        <v>816</v>
      </c>
      <c r="BO82" s="149">
        <v>6</v>
      </c>
      <c r="BP82" s="149">
        <v>40</v>
      </c>
      <c r="BQ82" s="149" t="s">
        <v>1936</v>
      </c>
      <c r="BR82" s="150">
        <v>9</v>
      </c>
      <c r="BS82" s="150" t="s">
        <v>1923</v>
      </c>
      <c r="BT82" s="149">
        <v>4</v>
      </c>
      <c r="BU82" s="149">
        <v>4</v>
      </c>
      <c r="BV82" s="150" t="s">
        <v>816</v>
      </c>
    </row>
    <row r="83" spans="1:74" x14ac:dyDescent="0.25">
      <c r="A83" s="149" t="s">
        <v>1883</v>
      </c>
      <c r="B83" s="149" t="s">
        <v>2245</v>
      </c>
      <c r="D83" s="149">
        <v>5</v>
      </c>
      <c r="E83" s="149">
        <v>5</v>
      </c>
      <c r="F83" s="149">
        <v>5</v>
      </c>
      <c r="G83" s="149">
        <v>3</v>
      </c>
      <c r="H83" s="149">
        <v>2</v>
      </c>
      <c r="I83" s="149">
        <v>5</v>
      </c>
      <c r="J83" s="149">
        <v>3</v>
      </c>
      <c r="K83" s="149">
        <v>3</v>
      </c>
      <c r="L83" s="149">
        <v>4</v>
      </c>
      <c r="M83" s="149">
        <v>1</v>
      </c>
      <c r="N83" s="149">
        <v>1</v>
      </c>
      <c r="O83" s="149">
        <v>5</v>
      </c>
      <c r="P83" s="149">
        <v>6</v>
      </c>
      <c r="Q83" s="149">
        <v>7</v>
      </c>
      <c r="R83" s="149">
        <v>6</v>
      </c>
      <c r="S83" s="149">
        <v>2</v>
      </c>
      <c r="T83" s="149">
        <v>2</v>
      </c>
      <c r="U83" s="149" t="s">
        <v>169</v>
      </c>
      <c r="V83" s="149">
        <v>2</v>
      </c>
      <c r="W83" s="149" t="s">
        <v>171</v>
      </c>
      <c r="X83" s="149">
        <v>2</v>
      </c>
      <c r="Y83" s="149" t="s">
        <v>176</v>
      </c>
      <c r="Z83" s="149">
        <v>4</v>
      </c>
      <c r="AA83" s="149" t="s">
        <v>173</v>
      </c>
      <c r="AB83" s="149">
        <v>1</v>
      </c>
      <c r="AC83" s="150" t="s">
        <v>1831</v>
      </c>
      <c r="AD83" s="257" t="s">
        <v>1876</v>
      </c>
      <c r="AE83" s="257" t="s">
        <v>494</v>
      </c>
      <c r="AF83" s="257" t="s">
        <v>2312</v>
      </c>
      <c r="AG83" s="149" t="s">
        <v>720</v>
      </c>
      <c r="AH83" s="150">
        <v>8</v>
      </c>
      <c r="AI83" s="150" t="s">
        <v>1877</v>
      </c>
      <c r="AJ83" s="150">
        <v>4</v>
      </c>
      <c r="AK83" s="149">
        <v>5</v>
      </c>
      <c r="AL83" s="150" t="s">
        <v>816</v>
      </c>
      <c r="AM83" s="149" t="s">
        <v>721</v>
      </c>
      <c r="AN83" s="150">
        <v>10</v>
      </c>
      <c r="AO83" s="150" t="s">
        <v>1834</v>
      </c>
      <c r="AP83" s="150">
        <v>5</v>
      </c>
      <c r="AQ83" s="149">
        <v>4</v>
      </c>
      <c r="AR83" s="150" t="s">
        <v>816</v>
      </c>
      <c r="AS83" s="149" t="s">
        <v>739</v>
      </c>
      <c r="AT83" s="150">
        <v>8</v>
      </c>
      <c r="AU83" s="150" t="s">
        <v>1865</v>
      </c>
      <c r="AV83" s="150" t="s">
        <v>816</v>
      </c>
      <c r="AW83" s="149">
        <v>5</v>
      </c>
      <c r="AX83" s="149">
        <v>125</v>
      </c>
      <c r="AY83" s="150" t="s">
        <v>738</v>
      </c>
      <c r="AZ83" s="150">
        <v>9</v>
      </c>
      <c r="BA83" s="149" t="s">
        <v>1865</v>
      </c>
      <c r="BB83" s="150" t="s">
        <v>816</v>
      </c>
      <c r="BC83" s="149">
        <v>5</v>
      </c>
      <c r="BD83" s="149">
        <v>150</v>
      </c>
      <c r="BE83" s="149" t="s">
        <v>731</v>
      </c>
      <c r="BF83" s="150">
        <v>10</v>
      </c>
      <c r="BG83" s="149" t="s">
        <v>1843</v>
      </c>
      <c r="BH83" s="150" t="s">
        <v>816</v>
      </c>
      <c r="BI83" s="149">
        <v>4</v>
      </c>
      <c r="BJ83" s="149">
        <v>20</v>
      </c>
      <c r="BK83" s="149" t="s">
        <v>733</v>
      </c>
      <c r="BL83" s="150">
        <v>9</v>
      </c>
      <c r="BM83" s="149" t="s">
        <v>1865</v>
      </c>
      <c r="BN83" s="150" t="s">
        <v>816</v>
      </c>
      <c r="BO83" s="149">
        <v>5</v>
      </c>
      <c r="BP83" s="149">
        <v>50</v>
      </c>
      <c r="BQ83" s="149" t="s">
        <v>734</v>
      </c>
      <c r="BR83" s="150">
        <v>11</v>
      </c>
      <c r="BS83" s="149" t="s">
        <v>1879</v>
      </c>
      <c r="BT83" s="150" t="s">
        <v>816</v>
      </c>
      <c r="BU83" s="149">
        <v>5</v>
      </c>
      <c r="BV83" s="149">
        <v>20</v>
      </c>
    </row>
    <row r="84" spans="1:74" x14ac:dyDescent="0.25">
      <c r="A84" s="149" t="s">
        <v>1866</v>
      </c>
      <c r="B84" s="149" t="s">
        <v>2245</v>
      </c>
      <c r="D84" s="149">
        <v>4</v>
      </c>
      <c r="E84" s="149">
        <v>4</v>
      </c>
      <c r="F84" s="149">
        <v>4</v>
      </c>
      <c r="G84" s="149">
        <v>3</v>
      </c>
      <c r="H84" s="149">
        <v>2</v>
      </c>
      <c r="I84" s="149">
        <v>3</v>
      </c>
      <c r="J84" s="149">
        <v>3</v>
      </c>
      <c r="K84" s="149">
        <v>3</v>
      </c>
      <c r="L84" s="149">
        <v>4</v>
      </c>
      <c r="M84" s="149">
        <v>0</v>
      </c>
      <c r="N84" s="149">
        <v>0</v>
      </c>
      <c r="O84" s="149">
        <v>4</v>
      </c>
      <c r="P84" s="149">
        <v>6</v>
      </c>
      <c r="Q84" s="149">
        <v>7</v>
      </c>
      <c r="R84" s="149">
        <v>6</v>
      </c>
      <c r="S84" s="149">
        <v>2</v>
      </c>
      <c r="T84" s="149">
        <v>2</v>
      </c>
      <c r="U84" s="209" t="s">
        <v>816</v>
      </c>
      <c r="V84" s="209" t="s">
        <v>816</v>
      </c>
      <c r="W84" s="209" t="s">
        <v>816</v>
      </c>
      <c r="X84" s="209" t="s">
        <v>816</v>
      </c>
      <c r="Y84" s="209" t="s">
        <v>816</v>
      </c>
      <c r="Z84" s="209" t="s">
        <v>816</v>
      </c>
      <c r="AA84" s="209" t="s">
        <v>816</v>
      </c>
      <c r="AB84" s="209" t="s">
        <v>816</v>
      </c>
      <c r="AC84" s="150" t="s">
        <v>1831</v>
      </c>
      <c r="AD84" s="257" t="s">
        <v>1876</v>
      </c>
      <c r="AE84" s="257" t="s">
        <v>494</v>
      </c>
      <c r="AF84" s="257" t="s">
        <v>2313</v>
      </c>
      <c r="AG84" s="149" t="s">
        <v>720</v>
      </c>
      <c r="AH84" s="149">
        <v>7</v>
      </c>
      <c r="AI84" s="149" t="s">
        <v>1877</v>
      </c>
      <c r="AJ84" s="149">
        <v>3</v>
      </c>
      <c r="AK84" s="149">
        <v>5</v>
      </c>
      <c r="AL84" s="150" t="s">
        <v>816</v>
      </c>
      <c r="AM84" s="149" t="s">
        <v>721</v>
      </c>
      <c r="AN84" s="149">
        <v>9</v>
      </c>
      <c r="AO84" s="149" t="s">
        <v>1878</v>
      </c>
      <c r="AP84" s="149">
        <v>4</v>
      </c>
      <c r="AQ84" s="149">
        <v>4</v>
      </c>
      <c r="AR84" s="150" t="s">
        <v>816</v>
      </c>
      <c r="AS84" s="149" t="s">
        <v>739</v>
      </c>
      <c r="AT84" s="149">
        <v>7</v>
      </c>
      <c r="AU84" s="149" t="s">
        <v>1865</v>
      </c>
      <c r="AV84" s="150" t="s">
        <v>816</v>
      </c>
      <c r="AW84" s="149">
        <v>5</v>
      </c>
      <c r="AX84" s="149">
        <v>125</v>
      </c>
      <c r="AY84" s="150" t="s">
        <v>738</v>
      </c>
      <c r="AZ84" s="149">
        <v>8</v>
      </c>
      <c r="BA84" s="149" t="s">
        <v>1865</v>
      </c>
      <c r="BB84" s="150" t="s">
        <v>816</v>
      </c>
      <c r="BC84" s="149">
        <v>5</v>
      </c>
      <c r="BD84" s="149">
        <v>150</v>
      </c>
      <c r="BE84" s="149" t="s">
        <v>731</v>
      </c>
      <c r="BF84" s="149">
        <v>9</v>
      </c>
      <c r="BG84" s="149" t="s">
        <v>1843</v>
      </c>
      <c r="BH84" s="150" t="s">
        <v>816</v>
      </c>
      <c r="BI84" s="149">
        <v>4</v>
      </c>
      <c r="BJ84" s="149">
        <v>20</v>
      </c>
      <c r="BK84" s="149" t="s">
        <v>733</v>
      </c>
      <c r="BL84" s="149">
        <v>8</v>
      </c>
      <c r="BM84" s="149" t="s">
        <v>1865</v>
      </c>
      <c r="BN84" s="150" t="s">
        <v>816</v>
      </c>
      <c r="BO84" s="149">
        <v>5</v>
      </c>
      <c r="BP84" s="149">
        <v>50</v>
      </c>
      <c r="BQ84" s="149" t="s">
        <v>734</v>
      </c>
      <c r="BR84" s="149">
        <v>10</v>
      </c>
      <c r="BS84" s="149" t="s">
        <v>1879</v>
      </c>
      <c r="BT84" s="150" t="s">
        <v>816</v>
      </c>
      <c r="BU84" s="149">
        <v>5</v>
      </c>
      <c r="BV84" s="149">
        <v>20</v>
      </c>
    </row>
    <row r="85" spans="1:74" x14ac:dyDescent="0.25">
      <c r="A85" s="149" t="s">
        <v>2165</v>
      </c>
      <c r="B85" s="149" t="s">
        <v>2245</v>
      </c>
      <c r="D85" s="149">
        <v>4</v>
      </c>
      <c r="E85" s="149">
        <v>4</v>
      </c>
      <c r="F85" s="149">
        <v>4</v>
      </c>
      <c r="G85" s="149">
        <v>3</v>
      </c>
      <c r="H85" s="149">
        <v>2</v>
      </c>
      <c r="I85" s="149">
        <v>3</v>
      </c>
      <c r="J85" s="149">
        <v>3</v>
      </c>
      <c r="K85" s="149">
        <v>3</v>
      </c>
      <c r="L85" s="149">
        <v>4</v>
      </c>
      <c r="M85" s="149">
        <v>0</v>
      </c>
      <c r="N85" s="149">
        <v>0</v>
      </c>
      <c r="O85" s="149">
        <v>4</v>
      </c>
      <c r="P85" s="149">
        <v>7</v>
      </c>
      <c r="Q85" s="149">
        <v>7</v>
      </c>
      <c r="R85" s="149">
        <v>7</v>
      </c>
      <c r="S85" s="149">
        <v>3</v>
      </c>
      <c r="T85" s="149">
        <v>1</v>
      </c>
      <c r="U85" s="149" t="s">
        <v>156</v>
      </c>
      <c r="V85" s="149">
        <v>4</v>
      </c>
      <c r="W85" s="149" t="s">
        <v>158</v>
      </c>
      <c r="X85" s="149">
        <v>1</v>
      </c>
      <c r="Y85" s="149" t="s">
        <v>163</v>
      </c>
      <c r="Z85" s="149">
        <v>1</v>
      </c>
      <c r="AA85" s="149" t="s">
        <v>176</v>
      </c>
      <c r="AB85" s="149">
        <v>3</v>
      </c>
      <c r="AC85" s="150" t="s">
        <v>1831</v>
      </c>
      <c r="AD85" s="257" t="s">
        <v>1876</v>
      </c>
      <c r="AE85" s="257" t="s">
        <v>2170</v>
      </c>
      <c r="AF85" s="257" t="s">
        <v>2172</v>
      </c>
      <c r="AG85" s="149" t="s">
        <v>702</v>
      </c>
      <c r="AH85" s="150">
        <v>8</v>
      </c>
      <c r="AI85" s="150" t="s">
        <v>1878</v>
      </c>
      <c r="AJ85" s="150" t="s">
        <v>816</v>
      </c>
      <c r="AK85" s="149">
        <v>6</v>
      </c>
      <c r="AL85" s="150" t="s">
        <v>816</v>
      </c>
      <c r="AM85" s="149" t="s">
        <v>720</v>
      </c>
      <c r="AN85" s="150">
        <v>7</v>
      </c>
      <c r="AO85" s="150" t="s">
        <v>1877</v>
      </c>
      <c r="AP85" s="150">
        <v>3</v>
      </c>
      <c r="AQ85" s="149">
        <v>5</v>
      </c>
      <c r="AR85" s="150" t="s">
        <v>816</v>
      </c>
      <c r="AS85" s="149" t="s">
        <v>721</v>
      </c>
      <c r="AT85" s="150">
        <v>9</v>
      </c>
      <c r="AU85" s="150" t="s">
        <v>1878</v>
      </c>
      <c r="AV85" s="150">
        <v>5</v>
      </c>
      <c r="AW85" s="149">
        <v>4</v>
      </c>
      <c r="AX85" s="150" t="s">
        <v>816</v>
      </c>
      <c r="AY85" s="149" t="s">
        <v>716</v>
      </c>
      <c r="AZ85" s="150">
        <v>9</v>
      </c>
      <c r="BA85" s="149" t="s">
        <v>1940</v>
      </c>
      <c r="BB85" s="150">
        <v>5</v>
      </c>
      <c r="BC85" s="149">
        <v>4</v>
      </c>
      <c r="BD85" s="150" t="s">
        <v>816</v>
      </c>
      <c r="BE85" s="149" t="s">
        <v>715</v>
      </c>
      <c r="BF85" s="150">
        <v>9</v>
      </c>
      <c r="BG85" s="150" t="s">
        <v>1941</v>
      </c>
      <c r="BH85" s="150">
        <v>4</v>
      </c>
      <c r="BI85" s="149">
        <v>5</v>
      </c>
      <c r="BJ85" s="150" t="s">
        <v>816</v>
      </c>
      <c r="BK85" s="149" t="s">
        <v>1935</v>
      </c>
      <c r="BL85" s="150">
        <v>8</v>
      </c>
      <c r="BM85" s="150" t="s">
        <v>1843</v>
      </c>
      <c r="BN85" s="150" t="s">
        <v>816</v>
      </c>
      <c r="BO85" s="149">
        <v>6</v>
      </c>
      <c r="BP85" s="149">
        <v>40</v>
      </c>
      <c r="BQ85" s="149" t="s">
        <v>1936</v>
      </c>
      <c r="BR85" s="150">
        <v>9</v>
      </c>
      <c r="BS85" s="150" t="s">
        <v>1923</v>
      </c>
      <c r="BT85" s="149">
        <v>4</v>
      </c>
      <c r="BU85" s="149">
        <v>4</v>
      </c>
      <c r="BV85" s="150" t="s">
        <v>816</v>
      </c>
    </row>
    <row r="86" spans="1:74" x14ac:dyDescent="0.25">
      <c r="A86" s="149" t="s">
        <v>2159</v>
      </c>
      <c r="B86" s="149" t="s">
        <v>2245</v>
      </c>
      <c r="D86" s="149">
        <v>4</v>
      </c>
      <c r="E86" s="149">
        <v>4</v>
      </c>
      <c r="F86" s="149">
        <v>4</v>
      </c>
      <c r="G86" s="149">
        <v>3</v>
      </c>
      <c r="H86" s="149">
        <v>2</v>
      </c>
      <c r="I86" s="149">
        <v>3</v>
      </c>
      <c r="J86" s="149">
        <v>3</v>
      </c>
      <c r="K86" s="149">
        <v>3</v>
      </c>
      <c r="L86" s="149">
        <v>4</v>
      </c>
      <c r="M86" s="149">
        <v>0</v>
      </c>
      <c r="N86" s="149">
        <v>0</v>
      </c>
      <c r="O86" s="149">
        <v>4</v>
      </c>
      <c r="P86" s="149">
        <v>7</v>
      </c>
      <c r="Q86" s="149">
        <v>7</v>
      </c>
      <c r="R86" s="149">
        <v>6</v>
      </c>
      <c r="S86" s="149">
        <v>2</v>
      </c>
      <c r="T86" s="149">
        <v>2</v>
      </c>
      <c r="U86" s="149" t="s">
        <v>156</v>
      </c>
      <c r="V86" s="149">
        <v>5</v>
      </c>
      <c r="W86" s="149" t="s">
        <v>158</v>
      </c>
      <c r="X86" s="149">
        <v>1</v>
      </c>
      <c r="Y86" s="149" t="s">
        <v>163</v>
      </c>
      <c r="Z86" s="149">
        <v>1</v>
      </c>
      <c r="AA86" s="149" t="s">
        <v>176</v>
      </c>
      <c r="AB86" s="149">
        <v>2</v>
      </c>
      <c r="AC86" s="150" t="s">
        <v>1831</v>
      </c>
      <c r="AD86" s="257" t="s">
        <v>1876</v>
      </c>
      <c r="AE86" s="257" t="s">
        <v>2169</v>
      </c>
      <c r="AF86" s="257" t="s">
        <v>2314</v>
      </c>
      <c r="AG86" s="149" t="s">
        <v>720</v>
      </c>
      <c r="AH86" s="149">
        <v>7</v>
      </c>
      <c r="AI86" s="149" t="s">
        <v>1877</v>
      </c>
      <c r="AJ86" s="149">
        <v>3</v>
      </c>
      <c r="AK86" s="149">
        <v>5</v>
      </c>
      <c r="AL86" s="150" t="s">
        <v>816</v>
      </c>
      <c r="AM86" s="149" t="s">
        <v>721</v>
      </c>
      <c r="AN86" s="149">
        <v>9</v>
      </c>
      <c r="AO86" s="149" t="s">
        <v>1878</v>
      </c>
      <c r="AP86" s="149">
        <v>4</v>
      </c>
      <c r="AQ86" s="149">
        <v>4</v>
      </c>
      <c r="AR86" s="150" t="s">
        <v>816</v>
      </c>
      <c r="AS86" s="149" t="s">
        <v>739</v>
      </c>
      <c r="AT86" s="149">
        <v>7</v>
      </c>
      <c r="AU86" s="149" t="s">
        <v>1865</v>
      </c>
      <c r="AV86" s="150" t="s">
        <v>816</v>
      </c>
      <c r="AW86" s="149">
        <v>5</v>
      </c>
      <c r="AX86" s="149">
        <v>125</v>
      </c>
      <c r="AY86" s="150" t="s">
        <v>738</v>
      </c>
      <c r="AZ86" s="149">
        <v>8</v>
      </c>
      <c r="BA86" s="149" t="s">
        <v>1865</v>
      </c>
      <c r="BB86" s="150" t="s">
        <v>816</v>
      </c>
      <c r="BC86" s="149">
        <v>5</v>
      </c>
      <c r="BD86" s="149">
        <v>150</v>
      </c>
      <c r="BE86" s="149" t="s">
        <v>731</v>
      </c>
      <c r="BF86" s="149">
        <v>9</v>
      </c>
      <c r="BG86" s="149" t="s">
        <v>1843</v>
      </c>
      <c r="BH86" s="150" t="s">
        <v>816</v>
      </c>
      <c r="BI86" s="149">
        <v>4</v>
      </c>
      <c r="BJ86" s="149">
        <v>20</v>
      </c>
      <c r="BK86" s="149" t="s">
        <v>733</v>
      </c>
      <c r="BL86" s="149">
        <v>8</v>
      </c>
      <c r="BM86" s="149" t="s">
        <v>1865</v>
      </c>
      <c r="BN86" s="150" t="s">
        <v>816</v>
      </c>
      <c r="BO86" s="149">
        <v>5</v>
      </c>
      <c r="BP86" s="149">
        <v>50</v>
      </c>
      <c r="BQ86" s="149" t="s">
        <v>734</v>
      </c>
      <c r="BR86" s="149">
        <v>10</v>
      </c>
      <c r="BS86" s="149" t="s">
        <v>1879</v>
      </c>
      <c r="BT86" s="150" t="s">
        <v>816</v>
      </c>
      <c r="BU86" s="149">
        <v>5</v>
      </c>
      <c r="BV86" s="149">
        <v>20</v>
      </c>
    </row>
    <row r="87" spans="1:74" x14ac:dyDescent="0.25">
      <c r="A87" s="149" t="s">
        <v>2190</v>
      </c>
      <c r="B87" s="149" t="s">
        <v>2245</v>
      </c>
      <c r="D87" s="149">
        <v>4</v>
      </c>
      <c r="E87" s="149">
        <v>4</v>
      </c>
      <c r="F87" s="149">
        <v>3</v>
      </c>
      <c r="G87" s="149">
        <v>1</v>
      </c>
      <c r="H87" s="149">
        <v>1</v>
      </c>
      <c r="I87" s="149">
        <v>1</v>
      </c>
      <c r="J87" s="149">
        <v>2</v>
      </c>
      <c r="K87" s="149">
        <v>2</v>
      </c>
      <c r="L87" s="149">
        <v>3</v>
      </c>
      <c r="M87" s="149">
        <v>2</v>
      </c>
      <c r="N87" s="149">
        <v>5</v>
      </c>
      <c r="O87" s="149">
        <v>5</v>
      </c>
      <c r="P87" s="149">
        <v>5</v>
      </c>
      <c r="Q87" s="149">
        <v>6</v>
      </c>
      <c r="R87" s="149">
        <v>3</v>
      </c>
      <c r="S87" s="149">
        <v>2</v>
      </c>
      <c r="T87" s="149">
        <v>0</v>
      </c>
      <c r="U87" s="149" t="s">
        <v>2125</v>
      </c>
      <c r="V87" s="149">
        <v>3</v>
      </c>
      <c r="W87" s="209" t="s">
        <v>816</v>
      </c>
      <c r="X87" s="209" t="s">
        <v>816</v>
      </c>
      <c r="Y87" s="209" t="s">
        <v>816</v>
      </c>
      <c r="Z87" s="209" t="s">
        <v>816</v>
      </c>
      <c r="AA87" s="209" t="s">
        <v>816</v>
      </c>
      <c r="AB87" s="209" t="s">
        <v>816</v>
      </c>
      <c r="AC87" s="150" t="s">
        <v>1976</v>
      </c>
      <c r="AD87" s="257" t="s">
        <v>2189</v>
      </c>
      <c r="AE87" s="257" t="s">
        <v>2315</v>
      </c>
      <c r="AF87" s="257" t="s">
        <v>494</v>
      </c>
      <c r="AG87" s="149" t="s">
        <v>702</v>
      </c>
      <c r="AH87" s="149">
        <v>6</v>
      </c>
      <c r="AI87" s="149" t="s">
        <v>1878</v>
      </c>
      <c r="AJ87" s="150" t="s">
        <v>816</v>
      </c>
      <c r="AK87" s="149">
        <v>6</v>
      </c>
      <c r="AL87" s="150" t="s">
        <v>816</v>
      </c>
      <c r="AM87" s="149" t="s">
        <v>720</v>
      </c>
      <c r="AN87" s="149">
        <v>5</v>
      </c>
      <c r="AO87" s="149" t="s">
        <v>1877</v>
      </c>
      <c r="AP87" s="149">
        <v>2</v>
      </c>
      <c r="AQ87" s="149">
        <v>5</v>
      </c>
      <c r="AR87" s="150" t="s">
        <v>816</v>
      </c>
      <c r="AS87" s="149" t="s">
        <v>721</v>
      </c>
      <c r="AT87" s="149">
        <v>7</v>
      </c>
      <c r="AU87" s="149" t="s">
        <v>1878</v>
      </c>
      <c r="AV87" s="149">
        <v>4</v>
      </c>
      <c r="AW87" s="149">
        <v>4</v>
      </c>
      <c r="AX87" s="150" t="s">
        <v>816</v>
      </c>
      <c r="AY87" s="209" t="s">
        <v>816</v>
      </c>
      <c r="AZ87" s="209" t="s">
        <v>816</v>
      </c>
      <c r="BA87" s="209" t="s">
        <v>816</v>
      </c>
      <c r="BB87" s="209" t="s">
        <v>816</v>
      </c>
      <c r="BC87" s="209" t="s">
        <v>816</v>
      </c>
      <c r="BD87" s="209" t="s">
        <v>816</v>
      </c>
      <c r="BE87" s="209" t="s">
        <v>816</v>
      </c>
      <c r="BF87" s="209" t="s">
        <v>816</v>
      </c>
      <c r="BG87" s="209" t="s">
        <v>816</v>
      </c>
      <c r="BH87" s="209" t="s">
        <v>816</v>
      </c>
      <c r="BI87" s="209" t="s">
        <v>816</v>
      </c>
      <c r="BJ87" s="209" t="s">
        <v>816</v>
      </c>
      <c r="BK87" s="209" t="s">
        <v>816</v>
      </c>
      <c r="BL87" s="209" t="s">
        <v>816</v>
      </c>
      <c r="BM87" s="209" t="s">
        <v>816</v>
      </c>
      <c r="BN87" s="209" t="s">
        <v>816</v>
      </c>
      <c r="BO87" s="209" t="s">
        <v>816</v>
      </c>
      <c r="BP87" s="209" t="s">
        <v>816</v>
      </c>
      <c r="BQ87" s="209" t="s">
        <v>816</v>
      </c>
      <c r="BR87" s="209" t="s">
        <v>816</v>
      </c>
      <c r="BS87" s="209" t="s">
        <v>816</v>
      </c>
      <c r="BT87" s="209" t="s">
        <v>816</v>
      </c>
      <c r="BU87" s="209" t="s">
        <v>816</v>
      </c>
      <c r="BV87" s="209" t="s">
        <v>816</v>
      </c>
    </row>
    <row r="88" spans="1:74" x14ac:dyDescent="0.25">
      <c r="A88" s="149" t="s">
        <v>1869</v>
      </c>
      <c r="B88" s="149" t="s">
        <v>2245</v>
      </c>
      <c r="D88" s="149">
        <v>4</v>
      </c>
      <c r="E88" s="149">
        <v>4</v>
      </c>
      <c r="F88" s="149">
        <v>4</v>
      </c>
      <c r="G88" s="149">
        <v>3</v>
      </c>
      <c r="H88" s="149">
        <v>2</v>
      </c>
      <c r="I88" s="149">
        <v>3</v>
      </c>
      <c r="J88" s="149">
        <v>3</v>
      </c>
      <c r="K88" s="149">
        <v>3</v>
      </c>
      <c r="L88" s="149">
        <v>4</v>
      </c>
      <c r="M88" s="149">
        <v>0</v>
      </c>
      <c r="N88" s="149">
        <v>0</v>
      </c>
      <c r="O88" s="149">
        <v>4</v>
      </c>
      <c r="P88" s="149">
        <v>6</v>
      </c>
      <c r="Q88" s="149">
        <v>7</v>
      </c>
      <c r="R88" s="149">
        <v>6</v>
      </c>
      <c r="S88" s="149">
        <v>2</v>
      </c>
      <c r="T88" s="149">
        <v>2</v>
      </c>
      <c r="U88" s="209" t="s">
        <v>816</v>
      </c>
      <c r="V88" s="209" t="s">
        <v>816</v>
      </c>
      <c r="W88" s="209" t="s">
        <v>816</v>
      </c>
      <c r="X88" s="209" t="s">
        <v>816</v>
      </c>
      <c r="Y88" s="209" t="s">
        <v>816</v>
      </c>
      <c r="Z88" s="209" t="s">
        <v>816</v>
      </c>
      <c r="AA88" s="209" t="s">
        <v>816</v>
      </c>
      <c r="AB88" s="209" t="s">
        <v>816</v>
      </c>
      <c r="AC88" s="150" t="s">
        <v>1831</v>
      </c>
      <c r="AD88" s="257" t="s">
        <v>1876</v>
      </c>
      <c r="AE88" s="257" t="s">
        <v>494</v>
      </c>
      <c r="AF88" s="257" t="s">
        <v>2316</v>
      </c>
      <c r="AG88" s="149" t="s">
        <v>720</v>
      </c>
      <c r="AH88" s="149">
        <v>7</v>
      </c>
      <c r="AI88" s="149" t="s">
        <v>1877</v>
      </c>
      <c r="AJ88" s="149">
        <v>3</v>
      </c>
      <c r="AK88" s="149">
        <v>5</v>
      </c>
      <c r="AL88" s="150" t="s">
        <v>816</v>
      </c>
      <c r="AM88" s="149" t="s">
        <v>721</v>
      </c>
      <c r="AN88" s="149">
        <v>9</v>
      </c>
      <c r="AO88" s="149" t="s">
        <v>1878</v>
      </c>
      <c r="AP88" s="149">
        <v>4</v>
      </c>
      <c r="AQ88" s="149">
        <v>4</v>
      </c>
      <c r="AR88" s="150" t="s">
        <v>816</v>
      </c>
      <c r="AS88" s="149" t="s">
        <v>739</v>
      </c>
      <c r="AT88" s="149">
        <v>7</v>
      </c>
      <c r="AU88" s="149" t="s">
        <v>1865</v>
      </c>
      <c r="AV88" s="150" t="s">
        <v>816</v>
      </c>
      <c r="AW88" s="149">
        <v>5</v>
      </c>
      <c r="AX88" s="149">
        <v>125</v>
      </c>
      <c r="AY88" s="150" t="s">
        <v>738</v>
      </c>
      <c r="AZ88" s="149">
        <v>8</v>
      </c>
      <c r="BA88" s="149" t="s">
        <v>1865</v>
      </c>
      <c r="BB88" s="150" t="s">
        <v>816</v>
      </c>
      <c r="BC88" s="149">
        <v>5</v>
      </c>
      <c r="BD88" s="149">
        <v>150</v>
      </c>
      <c r="BE88" s="149" t="s">
        <v>731</v>
      </c>
      <c r="BF88" s="149">
        <v>9</v>
      </c>
      <c r="BG88" s="149" t="s">
        <v>1843</v>
      </c>
      <c r="BH88" s="150" t="s">
        <v>816</v>
      </c>
      <c r="BI88" s="149">
        <v>4</v>
      </c>
      <c r="BJ88" s="149">
        <v>20</v>
      </c>
      <c r="BK88" s="149" t="s">
        <v>733</v>
      </c>
      <c r="BL88" s="149">
        <v>8</v>
      </c>
      <c r="BM88" s="149" t="s">
        <v>1865</v>
      </c>
      <c r="BN88" s="150" t="s">
        <v>816</v>
      </c>
      <c r="BO88" s="149">
        <v>5</v>
      </c>
      <c r="BP88" s="149">
        <v>50</v>
      </c>
      <c r="BQ88" s="149" t="s">
        <v>734</v>
      </c>
      <c r="BR88" s="149">
        <v>10</v>
      </c>
      <c r="BS88" s="149" t="s">
        <v>1879</v>
      </c>
      <c r="BT88" s="150" t="s">
        <v>816</v>
      </c>
      <c r="BU88" s="149">
        <v>5</v>
      </c>
      <c r="BV88" s="149">
        <v>20</v>
      </c>
    </row>
    <row r="89" spans="1:74" x14ac:dyDescent="0.25">
      <c r="A89" s="149" t="s">
        <v>2162</v>
      </c>
      <c r="B89" s="149" t="s">
        <v>2245</v>
      </c>
      <c r="D89" s="149">
        <v>4</v>
      </c>
      <c r="E89" s="149">
        <v>4</v>
      </c>
      <c r="F89" s="149">
        <v>4</v>
      </c>
      <c r="G89" s="149">
        <v>3</v>
      </c>
      <c r="H89" s="149">
        <v>2</v>
      </c>
      <c r="I89" s="149">
        <v>3</v>
      </c>
      <c r="J89" s="149">
        <v>3</v>
      </c>
      <c r="K89" s="149">
        <v>3</v>
      </c>
      <c r="L89" s="149">
        <v>4</v>
      </c>
      <c r="M89" s="149">
        <v>0</v>
      </c>
      <c r="N89" s="149">
        <v>0</v>
      </c>
      <c r="O89" s="149">
        <v>4</v>
      </c>
      <c r="P89" s="149">
        <v>7</v>
      </c>
      <c r="Q89" s="149">
        <v>7</v>
      </c>
      <c r="R89" s="149">
        <v>7</v>
      </c>
      <c r="S89" s="149">
        <v>3</v>
      </c>
      <c r="T89" s="149">
        <v>1</v>
      </c>
      <c r="U89" s="149" t="s">
        <v>156</v>
      </c>
      <c r="V89" s="149">
        <v>4</v>
      </c>
      <c r="W89" s="149" t="s">
        <v>158</v>
      </c>
      <c r="X89" s="149">
        <v>1</v>
      </c>
      <c r="Y89" s="149" t="s">
        <v>163</v>
      </c>
      <c r="Z89" s="149">
        <v>1</v>
      </c>
      <c r="AA89" s="149" t="s">
        <v>176</v>
      </c>
      <c r="AB89" s="149">
        <v>3</v>
      </c>
      <c r="AC89" s="150" t="s">
        <v>1831</v>
      </c>
      <c r="AD89" s="257" t="s">
        <v>1876</v>
      </c>
      <c r="AE89" s="257" t="s">
        <v>2170</v>
      </c>
      <c r="AF89" s="257" t="s">
        <v>2171</v>
      </c>
      <c r="AG89" s="149" t="s">
        <v>702</v>
      </c>
      <c r="AH89" s="150">
        <v>8</v>
      </c>
      <c r="AI89" s="150" t="s">
        <v>1878</v>
      </c>
      <c r="AJ89" s="150" t="s">
        <v>816</v>
      </c>
      <c r="AK89" s="149">
        <v>6</v>
      </c>
      <c r="AL89" s="150" t="s">
        <v>816</v>
      </c>
      <c r="AM89" s="149" t="s">
        <v>720</v>
      </c>
      <c r="AN89" s="150">
        <v>7</v>
      </c>
      <c r="AO89" s="150" t="s">
        <v>1877</v>
      </c>
      <c r="AP89" s="150">
        <v>3</v>
      </c>
      <c r="AQ89" s="149">
        <v>5</v>
      </c>
      <c r="AR89" s="150" t="s">
        <v>816</v>
      </c>
      <c r="AS89" s="149" t="s">
        <v>721</v>
      </c>
      <c r="AT89" s="150">
        <v>9</v>
      </c>
      <c r="AU89" s="150" t="s">
        <v>1878</v>
      </c>
      <c r="AV89" s="150">
        <v>5</v>
      </c>
      <c r="AW89" s="149">
        <v>4</v>
      </c>
      <c r="AX89" s="150" t="s">
        <v>816</v>
      </c>
      <c r="AY89" s="149" t="s">
        <v>716</v>
      </c>
      <c r="AZ89" s="150">
        <v>9</v>
      </c>
      <c r="BA89" s="149" t="s">
        <v>1940</v>
      </c>
      <c r="BB89" s="150">
        <v>5</v>
      </c>
      <c r="BC89" s="149">
        <v>4</v>
      </c>
      <c r="BD89" s="150" t="s">
        <v>816</v>
      </c>
      <c r="BE89" s="149" t="s">
        <v>715</v>
      </c>
      <c r="BF89" s="150">
        <v>9</v>
      </c>
      <c r="BG89" s="150" t="s">
        <v>1941</v>
      </c>
      <c r="BH89" s="150">
        <v>4</v>
      </c>
      <c r="BI89" s="149">
        <v>5</v>
      </c>
      <c r="BJ89" s="150" t="s">
        <v>816</v>
      </c>
      <c r="BK89" s="149" t="s">
        <v>1935</v>
      </c>
      <c r="BL89" s="150">
        <v>8</v>
      </c>
      <c r="BM89" s="150" t="s">
        <v>1843</v>
      </c>
      <c r="BN89" s="150" t="s">
        <v>816</v>
      </c>
      <c r="BO89" s="149">
        <v>6</v>
      </c>
      <c r="BP89" s="149">
        <v>40</v>
      </c>
      <c r="BQ89" s="149" t="s">
        <v>1936</v>
      </c>
      <c r="BR89" s="150">
        <v>9</v>
      </c>
      <c r="BS89" s="150" t="s">
        <v>1923</v>
      </c>
      <c r="BT89" s="149">
        <v>4</v>
      </c>
      <c r="BU89" s="149">
        <v>4</v>
      </c>
      <c r="BV89" s="150" t="s">
        <v>816</v>
      </c>
    </row>
    <row r="90" spans="1:74" x14ac:dyDescent="0.25">
      <c r="A90" s="149" t="s">
        <v>2156</v>
      </c>
      <c r="B90" s="149" t="s">
        <v>2245</v>
      </c>
      <c r="D90" s="149">
        <v>4</v>
      </c>
      <c r="E90" s="149">
        <v>4</v>
      </c>
      <c r="F90" s="149">
        <v>4</v>
      </c>
      <c r="G90" s="149">
        <v>3</v>
      </c>
      <c r="H90" s="149">
        <v>2</v>
      </c>
      <c r="I90" s="149">
        <v>3</v>
      </c>
      <c r="J90" s="149">
        <v>3</v>
      </c>
      <c r="K90" s="149">
        <v>3</v>
      </c>
      <c r="L90" s="149">
        <v>4</v>
      </c>
      <c r="M90" s="149">
        <v>0</v>
      </c>
      <c r="N90" s="149">
        <v>0</v>
      </c>
      <c r="O90" s="149">
        <v>4</v>
      </c>
      <c r="P90" s="149">
        <v>7</v>
      </c>
      <c r="Q90" s="149">
        <v>7</v>
      </c>
      <c r="R90" s="149">
        <v>6</v>
      </c>
      <c r="S90" s="149">
        <v>2</v>
      </c>
      <c r="T90" s="149">
        <v>2</v>
      </c>
      <c r="U90" s="149" t="s">
        <v>156</v>
      </c>
      <c r="V90" s="149">
        <v>5</v>
      </c>
      <c r="W90" s="149" t="s">
        <v>158</v>
      </c>
      <c r="X90" s="149">
        <v>1</v>
      </c>
      <c r="Y90" s="149" t="s">
        <v>163</v>
      </c>
      <c r="Z90" s="149">
        <v>1</v>
      </c>
      <c r="AA90" s="149" t="s">
        <v>176</v>
      </c>
      <c r="AB90" s="149">
        <v>2</v>
      </c>
      <c r="AC90" s="150" t="s">
        <v>1831</v>
      </c>
      <c r="AD90" s="257" t="s">
        <v>1876</v>
      </c>
      <c r="AE90" s="257" t="s">
        <v>2169</v>
      </c>
      <c r="AF90" s="257" t="s">
        <v>2326</v>
      </c>
      <c r="AG90" s="149" t="s">
        <v>720</v>
      </c>
      <c r="AH90" s="149">
        <v>7</v>
      </c>
      <c r="AI90" s="149" t="s">
        <v>1877</v>
      </c>
      <c r="AJ90" s="149">
        <v>3</v>
      </c>
      <c r="AK90" s="149">
        <v>5</v>
      </c>
      <c r="AL90" s="150" t="s">
        <v>816</v>
      </c>
      <c r="AM90" s="149" t="s">
        <v>721</v>
      </c>
      <c r="AN90" s="149">
        <v>9</v>
      </c>
      <c r="AO90" s="149" t="s">
        <v>1878</v>
      </c>
      <c r="AP90" s="149">
        <v>4</v>
      </c>
      <c r="AQ90" s="149">
        <v>4</v>
      </c>
      <c r="AR90" s="150" t="s">
        <v>816</v>
      </c>
      <c r="AS90" s="149" t="s">
        <v>739</v>
      </c>
      <c r="AT90" s="149">
        <v>7</v>
      </c>
      <c r="AU90" s="149" t="s">
        <v>1865</v>
      </c>
      <c r="AV90" s="150" t="s">
        <v>816</v>
      </c>
      <c r="AW90" s="149">
        <v>5</v>
      </c>
      <c r="AX90" s="149">
        <v>125</v>
      </c>
      <c r="AY90" s="150" t="s">
        <v>738</v>
      </c>
      <c r="AZ90" s="149">
        <v>8</v>
      </c>
      <c r="BA90" s="149" t="s">
        <v>1865</v>
      </c>
      <c r="BB90" s="150" t="s">
        <v>816</v>
      </c>
      <c r="BC90" s="149">
        <v>5</v>
      </c>
      <c r="BD90" s="149">
        <v>150</v>
      </c>
      <c r="BE90" s="149" t="s">
        <v>731</v>
      </c>
      <c r="BF90" s="149">
        <v>9</v>
      </c>
      <c r="BG90" s="149" t="s">
        <v>1843</v>
      </c>
      <c r="BH90" s="150" t="s">
        <v>816</v>
      </c>
      <c r="BI90" s="149">
        <v>4</v>
      </c>
      <c r="BJ90" s="149">
        <v>20</v>
      </c>
      <c r="BK90" s="149" t="s">
        <v>733</v>
      </c>
      <c r="BL90" s="149">
        <v>8</v>
      </c>
      <c r="BM90" s="149" t="s">
        <v>1865</v>
      </c>
      <c r="BN90" s="150" t="s">
        <v>816</v>
      </c>
      <c r="BO90" s="149">
        <v>5</v>
      </c>
      <c r="BP90" s="149">
        <v>50</v>
      </c>
      <c r="BQ90" s="149" t="s">
        <v>734</v>
      </c>
      <c r="BR90" s="149">
        <v>10</v>
      </c>
      <c r="BS90" s="149" t="s">
        <v>1879</v>
      </c>
      <c r="BT90" s="150" t="s">
        <v>816</v>
      </c>
      <c r="BU90" s="149">
        <v>5</v>
      </c>
      <c r="BV90" s="149">
        <v>20</v>
      </c>
    </row>
    <row r="91" spans="1:74" x14ac:dyDescent="0.25">
      <c r="A91" s="149" t="s">
        <v>1886</v>
      </c>
      <c r="B91" s="149" t="s">
        <v>2245</v>
      </c>
      <c r="D91" s="149">
        <v>5</v>
      </c>
      <c r="E91" s="149">
        <v>5</v>
      </c>
      <c r="F91" s="149">
        <v>5</v>
      </c>
      <c r="G91" s="149">
        <v>3</v>
      </c>
      <c r="H91" s="149">
        <v>2</v>
      </c>
      <c r="I91" s="149">
        <v>5</v>
      </c>
      <c r="J91" s="149">
        <v>3</v>
      </c>
      <c r="K91" s="149">
        <v>3</v>
      </c>
      <c r="L91" s="149">
        <v>4</v>
      </c>
      <c r="M91" s="149">
        <v>1</v>
      </c>
      <c r="N91" s="149">
        <v>1</v>
      </c>
      <c r="O91" s="149">
        <v>5</v>
      </c>
      <c r="P91" s="149">
        <v>6</v>
      </c>
      <c r="Q91" s="149">
        <v>7</v>
      </c>
      <c r="R91" s="149">
        <v>6</v>
      </c>
      <c r="S91" s="149">
        <v>2</v>
      </c>
      <c r="T91" s="149">
        <v>2</v>
      </c>
      <c r="U91" s="149" t="s">
        <v>156</v>
      </c>
      <c r="V91" s="149">
        <v>3</v>
      </c>
      <c r="W91" s="149" t="s">
        <v>157</v>
      </c>
      <c r="X91" s="149">
        <v>2</v>
      </c>
      <c r="Y91" s="149" t="s">
        <v>158</v>
      </c>
      <c r="Z91" s="149">
        <v>1</v>
      </c>
      <c r="AA91" s="149" t="s">
        <v>159</v>
      </c>
      <c r="AB91" s="149">
        <v>3</v>
      </c>
      <c r="AC91" s="150" t="s">
        <v>1831</v>
      </c>
      <c r="AD91" s="257" t="s">
        <v>1876</v>
      </c>
      <c r="AE91" s="257" t="s">
        <v>494</v>
      </c>
      <c r="AF91" s="257" t="s">
        <v>2312</v>
      </c>
      <c r="AG91" s="149" t="s">
        <v>720</v>
      </c>
      <c r="AH91" s="150">
        <v>8</v>
      </c>
      <c r="AI91" s="150" t="s">
        <v>1877</v>
      </c>
      <c r="AJ91" s="150">
        <v>4</v>
      </c>
      <c r="AK91" s="149">
        <v>5</v>
      </c>
      <c r="AL91" s="150" t="s">
        <v>816</v>
      </c>
      <c r="AM91" s="149" t="s">
        <v>721</v>
      </c>
      <c r="AN91" s="150">
        <v>10</v>
      </c>
      <c r="AO91" s="150" t="s">
        <v>1834</v>
      </c>
      <c r="AP91" s="150">
        <v>5</v>
      </c>
      <c r="AQ91" s="149">
        <v>4</v>
      </c>
      <c r="AR91" s="150" t="s">
        <v>816</v>
      </c>
      <c r="AS91" s="149" t="s">
        <v>739</v>
      </c>
      <c r="AT91" s="150">
        <v>8</v>
      </c>
      <c r="AU91" s="150" t="s">
        <v>1865</v>
      </c>
      <c r="AV91" s="150" t="s">
        <v>816</v>
      </c>
      <c r="AW91" s="149">
        <v>5</v>
      </c>
      <c r="AX91" s="149">
        <v>125</v>
      </c>
      <c r="AY91" s="150" t="s">
        <v>738</v>
      </c>
      <c r="AZ91" s="150">
        <v>9</v>
      </c>
      <c r="BA91" s="149" t="s">
        <v>1865</v>
      </c>
      <c r="BB91" s="150" t="s">
        <v>816</v>
      </c>
      <c r="BC91" s="149">
        <v>5</v>
      </c>
      <c r="BD91" s="149">
        <v>150</v>
      </c>
      <c r="BE91" s="149" t="s">
        <v>731</v>
      </c>
      <c r="BF91" s="150">
        <v>10</v>
      </c>
      <c r="BG91" s="149" t="s">
        <v>1843</v>
      </c>
      <c r="BH91" s="150" t="s">
        <v>816</v>
      </c>
      <c r="BI91" s="149">
        <v>4</v>
      </c>
      <c r="BJ91" s="149">
        <v>20</v>
      </c>
      <c r="BK91" s="149" t="s">
        <v>733</v>
      </c>
      <c r="BL91" s="150">
        <v>9</v>
      </c>
      <c r="BM91" s="149" t="s">
        <v>1865</v>
      </c>
      <c r="BN91" s="150" t="s">
        <v>816</v>
      </c>
      <c r="BO91" s="149">
        <v>5</v>
      </c>
      <c r="BP91" s="149">
        <v>50</v>
      </c>
      <c r="BQ91" s="149" t="s">
        <v>734</v>
      </c>
      <c r="BR91" s="150">
        <v>11</v>
      </c>
      <c r="BS91" s="149" t="s">
        <v>1879</v>
      </c>
      <c r="BT91" s="150" t="s">
        <v>816</v>
      </c>
      <c r="BU91" s="149">
        <v>5</v>
      </c>
      <c r="BV91" s="149">
        <v>20</v>
      </c>
    </row>
    <row r="92" spans="1:74" x14ac:dyDescent="0.25">
      <c r="A92" s="149" t="s">
        <v>1955</v>
      </c>
      <c r="B92" s="149" t="s">
        <v>2245</v>
      </c>
      <c r="D92" s="149">
        <v>3</v>
      </c>
      <c r="E92" s="149">
        <v>3</v>
      </c>
      <c r="F92" s="149">
        <v>3</v>
      </c>
      <c r="G92" s="149">
        <v>2</v>
      </c>
      <c r="H92" s="149">
        <v>2</v>
      </c>
      <c r="I92" s="149">
        <v>2</v>
      </c>
      <c r="J92" s="149">
        <v>3</v>
      </c>
      <c r="K92" s="149">
        <v>2</v>
      </c>
      <c r="L92" s="149">
        <v>3</v>
      </c>
      <c r="M92" s="149">
        <v>1</v>
      </c>
      <c r="N92" s="149">
        <v>1</v>
      </c>
      <c r="O92" s="149">
        <v>4</v>
      </c>
      <c r="P92" s="149">
        <v>5</v>
      </c>
      <c r="Q92" s="149">
        <v>6</v>
      </c>
      <c r="R92" s="149">
        <v>5</v>
      </c>
      <c r="S92" s="149">
        <v>6</v>
      </c>
      <c r="T92" s="149">
        <v>4</v>
      </c>
      <c r="U92" s="149" t="s">
        <v>164</v>
      </c>
      <c r="V92" s="149">
        <v>4</v>
      </c>
      <c r="W92" s="209" t="s">
        <v>816</v>
      </c>
      <c r="X92" s="209" t="s">
        <v>816</v>
      </c>
      <c r="Y92" s="209" t="s">
        <v>816</v>
      </c>
      <c r="Z92" s="209" t="s">
        <v>816</v>
      </c>
      <c r="AA92" s="209" t="s">
        <v>816</v>
      </c>
      <c r="AB92" s="209" t="s">
        <v>816</v>
      </c>
      <c r="AC92" s="150" t="s">
        <v>1831</v>
      </c>
      <c r="AD92" s="257" t="s">
        <v>1958</v>
      </c>
      <c r="AE92" s="257" t="s">
        <v>494</v>
      </c>
      <c r="AF92" s="257" t="s">
        <v>1903</v>
      </c>
      <c r="AG92" s="149" t="s">
        <v>702</v>
      </c>
      <c r="AH92" s="149">
        <v>7</v>
      </c>
      <c r="AI92" s="149" t="s">
        <v>1859</v>
      </c>
      <c r="AJ92" s="150" t="s">
        <v>816</v>
      </c>
      <c r="AK92" s="149">
        <v>6</v>
      </c>
      <c r="AL92" s="150" t="s">
        <v>816</v>
      </c>
      <c r="AM92" s="149" t="s">
        <v>720</v>
      </c>
      <c r="AN92" s="149">
        <v>6</v>
      </c>
      <c r="AO92" s="149" t="s">
        <v>1864</v>
      </c>
      <c r="AP92" s="149">
        <v>3</v>
      </c>
      <c r="AQ92" s="149">
        <v>5</v>
      </c>
      <c r="AR92" s="150" t="s">
        <v>816</v>
      </c>
      <c r="AS92" s="149" t="s">
        <v>721</v>
      </c>
      <c r="AT92" s="149">
        <v>8</v>
      </c>
      <c r="AU92" s="149" t="s">
        <v>1859</v>
      </c>
      <c r="AV92" s="149">
        <v>4</v>
      </c>
      <c r="AW92" s="149">
        <v>4</v>
      </c>
      <c r="AX92" s="150" t="s">
        <v>816</v>
      </c>
      <c r="AY92" s="150" t="s">
        <v>724</v>
      </c>
      <c r="AZ92" s="149">
        <v>7</v>
      </c>
      <c r="BA92" s="149" t="s">
        <v>1923</v>
      </c>
      <c r="BB92" s="150">
        <v>5</v>
      </c>
      <c r="BC92" s="149">
        <v>4</v>
      </c>
      <c r="BD92" s="150" t="s">
        <v>816</v>
      </c>
      <c r="BE92" s="209" t="s">
        <v>816</v>
      </c>
      <c r="BF92" s="209" t="s">
        <v>816</v>
      </c>
      <c r="BG92" s="209" t="s">
        <v>816</v>
      </c>
      <c r="BH92" s="209" t="s">
        <v>816</v>
      </c>
      <c r="BI92" s="209" t="s">
        <v>816</v>
      </c>
      <c r="BJ92" s="209" t="s">
        <v>816</v>
      </c>
      <c r="BK92" s="209" t="s">
        <v>816</v>
      </c>
      <c r="BL92" s="209" t="s">
        <v>816</v>
      </c>
      <c r="BM92" s="209" t="s">
        <v>816</v>
      </c>
      <c r="BN92" s="209" t="s">
        <v>816</v>
      </c>
      <c r="BO92" s="209" t="s">
        <v>816</v>
      </c>
      <c r="BP92" s="209" t="s">
        <v>816</v>
      </c>
      <c r="BQ92" s="209" t="s">
        <v>816</v>
      </c>
      <c r="BR92" s="209" t="s">
        <v>816</v>
      </c>
      <c r="BS92" s="209" t="s">
        <v>816</v>
      </c>
      <c r="BT92" s="209" t="s">
        <v>816</v>
      </c>
      <c r="BU92" s="209" t="s">
        <v>816</v>
      </c>
      <c r="BV92" s="209" t="s">
        <v>816</v>
      </c>
    </row>
    <row r="93" spans="1:74" x14ac:dyDescent="0.25">
      <c r="A93" s="149" t="s">
        <v>1874</v>
      </c>
      <c r="B93" s="149" t="s">
        <v>2245</v>
      </c>
      <c r="D93" s="149">
        <v>4</v>
      </c>
      <c r="E93" s="149">
        <v>4</v>
      </c>
      <c r="F93" s="149">
        <v>4</v>
      </c>
      <c r="G93" s="149">
        <v>3</v>
      </c>
      <c r="H93" s="149">
        <v>2</v>
      </c>
      <c r="I93" s="149">
        <v>3</v>
      </c>
      <c r="J93" s="149">
        <v>3</v>
      </c>
      <c r="K93" s="149">
        <v>3</v>
      </c>
      <c r="L93" s="149">
        <v>4</v>
      </c>
      <c r="M93" s="149">
        <v>0</v>
      </c>
      <c r="N93" s="149">
        <v>0</v>
      </c>
      <c r="O93" s="149">
        <v>4</v>
      </c>
      <c r="P93" s="149">
        <v>6</v>
      </c>
      <c r="Q93" s="149">
        <v>7</v>
      </c>
      <c r="R93" s="149">
        <v>6</v>
      </c>
      <c r="S93" s="149">
        <v>2</v>
      </c>
      <c r="T93" s="149">
        <v>2</v>
      </c>
      <c r="U93" s="209" t="s">
        <v>816</v>
      </c>
      <c r="V93" s="209" t="s">
        <v>816</v>
      </c>
      <c r="W93" s="209" t="s">
        <v>816</v>
      </c>
      <c r="X93" s="209" t="s">
        <v>816</v>
      </c>
      <c r="Y93" s="209" t="s">
        <v>816</v>
      </c>
      <c r="Z93" s="209" t="s">
        <v>816</v>
      </c>
      <c r="AA93" s="209" t="s">
        <v>816</v>
      </c>
      <c r="AB93" s="209" t="s">
        <v>816</v>
      </c>
      <c r="AC93" s="150" t="s">
        <v>1831</v>
      </c>
      <c r="AD93" s="257" t="s">
        <v>1876</v>
      </c>
      <c r="AE93" s="257" t="s">
        <v>494</v>
      </c>
      <c r="AF93" s="257" t="s">
        <v>2327</v>
      </c>
      <c r="AG93" s="149" t="s">
        <v>720</v>
      </c>
      <c r="AH93" s="149">
        <v>7</v>
      </c>
      <c r="AI93" s="149" t="s">
        <v>1877</v>
      </c>
      <c r="AJ93" s="149">
        <v>3</v>
      </c>
      <c r="AK93" s="149">
        <v>5</v>
      </c>
      <c r="AL93" s="150" t="s">
        <v>816</v>
      </c>
      <c r="AM93" s="149" t="s">
        <v>721</v>
      </c>
      <c r="AN93" s="149">
        <v>9</v>
      </c>
      <c r="AO93" s="149" t="s">
        <v>1878</v>
      </c>
      <c r="AP93" s="149">
        <v>4</v>
      </c>
      <c r="AQ93" s="149">
        <v>4</v>
      </c>
      <c r="AR93" s="150" t="s">
        <v>816</v>
      </c>
      <c r="AS93" s="149" t="s">
        <v>739</v>
      </c>
      <c r="AT93" s="149">
        <v>7</v>
      </c>
      <c r="AU93" s="149" t="s">
        <v>1865</v>
      </c>
      <c r="AV93" s="150" t="s">
        <v>816</v>
      </c>
      <c r="AW93" s="149">
        <v>5</v>
      </c>
      <c r="AX93" s="149">
        <v>125</v>
      </c>
      <c r="AY93" s="150" t="s">
        <v>738</v>
      </c>
      <c r="AZ93" s="149">
        <v>8</v>
      </c>
      <c r="BA93" s="149" t="s">
        <v>1865</v>
      </c>
      <c r="BB93" s="150" t="s">
        <v>816</v>
      </c>
      <c r="BC93" s="149">
        <v>5</v>
      </c>
      <c r="BD93" s="149">
        <v>150</v>
      </c>
      <c r="BE93" s="149" t="s">
        <v>731</v>
      </c>
      <c r="BF93" s="149">
        <v>9</v>
      </c>
      <c r="BG93" s="149" t="s">
        <v>1843</v>
      </c>
      <c r="BH93" s="150" t="s">
        <v>816</v>
      </c>
      <c r="BI93" s="149">
        <v>4</v>
      </c>
      <c r="BJ93" s="149">
        <v>20</v>
      </c>
      <c r="BK93" s="149" t="s">
        <v>733</v>
      </c>
      <c r="BL93" s="149">
        <v>8</v>
      </c>
      <c r="BM93" s="149" t="s">
        <v>1865</v>
      </c>
      <c r="BN93" s="150" t="s">
        <v>816</v>
      </c>
      <c r="BO93" s="149">
        <v>5</v>
      </c>
      <c r="BP93" s="149">
        <v>50</v>
      </c>
      <c r="BQ93" s="149" t="s">
        <v>734</v>
      </c>
      <c r="BR93" s="149">
        <v>10</v>
      </c>
      <c r="BS93" s="149" t="s">
        <v>1879</v>
      </c>
      <c r="BT93" s="150" t="s">
        <v>816</v>
      </c>
      <c r="BU93" s="149">
        <v>5</v>
      </c>
      <c r="BV93" s="149">
        <v>20</v>
      </c>
    </row>
    <row r="94" spans="1:74" x14ac:dyDescent="0.25">
      <c r="A94" s="149" t="s">
        <v>3554</v>
      </c>
      <c r="B94" s="149" t="s">
        <v>2245</v>
      </c>
      <c r="D94" s="149">
        <v>3</v>
      </c>
      <c r="E94" s="149">
        <v>3</v>
      </c>
      <c r="F94" s="149">
        <v>3</v>
      </c>
      <c r="G94" s="149">
        <v>2</v>
      </c>
      <c r="H94" s="149">
        <v>2</v>
      </c>
      <c r="I94" s="149">
        <v>2</v>
      </c>
      <c r="J94" s="149">
        <v>3</v>
      </c>
      <c r="K94" s="149">
        <v>2</v>
      </c>
      <c r="L94" s="149">
        <v>3</v>
      </c>
      <c r="M94" s="149">
        <v>0</v>
      </c>
      <c r="N94" s="149">
        <v>0</v>
      </c>
      <c r="O94" s="149">
        <v>3</v>
      </c>
      <c r="P94" s="149">
        <v>5</v>
      </c>
      <c r="Q94" s="149">
        <v>6</v>
      </c>
      <c r="R94" s="149">
        <v>5</v>
      </c>
      <c r="S94" s="149">
        <v>2</v>
      </c>
      <c r="T94" s="149">
        <v>2</v>
      </c>
      <c r="U94" s="209" t="s">
        <v>816</v>
      </c>
      <c r="V94" s="209" t="s">
        <v>816</v>
      </c>
      <c r="W94" s="209" t="s">
        <v>816</v>
      </c>
      <c r="X94" s="209" t="s">
        <v>816</v>
      </c>
      <c r="Y94" s="209" t="s">
        <v>816</v>
      </c>
      <c r="Z94" s="209" t="s">
        <v>816</v>
      </c>
      <c r="AA94" s="209" t="s">
        <v>816</v>
      </c>
      <c r="AB94" s="209" t="s">
        <v>816</v>
      </c>
      <c r="AC94" s="150" t="s">
        <v>1831</v>
      </c>
      <c r="AD94" s="257" t="s">
        <v>2144</v>
      </c>
      <c r="AE94" s="257" t="s">
        <v>494</v>
      </c>
      <c r="AF94" s="257" t="s">
        <v>2309</v>
      </c>
      <c r="AG94" s="149" t="s">
        <v>702</v>
      </c>
      <c r="AH94" s="149">
        <v>6</v>
      </c>
      <c r="AI94" s="149" t="s">
        <v>1859</v>
      </c>
      <c r="AJ94" s="150" t="s">
        <v>816</v>
      </c>
      <c r="AK94" s="149">
        <v>6</v>
      </c>
      <c r="AL94" s="150" t="s">
        <v>816</v>
      </c>
      <c r="AM94" s="149" t="s">
        <v>720</v>
      </c>
      <c r="AN94" s="149">
        <v>5</v>
      </c>
      <c r="AO94" s="149" t="s">
        <v>1864</v>
      </c>
      <c r="AP94" s="149">
        <v>2</v>
      </c>
      <c r="AQ94" s="149">
        <v>5</v>
      </c>
      <c r="AR94" s="150" t="s">
        <v>816</v>
      </c>
      <c r="AS94" s="149" t="s">
        <v>721</v>
      </c>
      <c r="AT94" s="149">
        <v>7</v>
      </c>
      <c r="AU94" s="149" t="s">
        <v>1859</v>
      </c>
      <c r="AV94" s="149">
        <v>3</v>
      </c>
      <c r="AW94" s="149">
        <v>4</v>
      </c>
      <c r="AX94" s="150" t="s">
        <v>816</v>
      </c>
      <c r="AY94" s="150" t="s">
        <v>738</v>
      </c>
      <c r="AZ94" s="149">
        <v>6</v>
      </c>
      <c r="BA94" s="149" t="s">
        <v>1865</v>
      </c>
      <c r="BB94" s="150" t="s">
        <v>816</v>
      </c>
      <c r="BC94" s="149">
        <v>5</v>
      </c>
      <c r="BD94" s="150">
        <v>150</v>
      </c>
      <c r="BE94" s="149" t="s">
        <v>732</v>
      </c>
      <c r="BF94" s="149">
        <v>7</v>
      </c>
      <c r="BG94" s="149" t="s">
        <v>1843</v>
      </c>
      <c r="BH94" s="150" t="s">
        <v>816</v>
      </c>
      <c r="BI94" s="149">
        <v>4</v>
      </c>
      <c r="BJ94" s="150">
        <v>20</v>
      </c>
      <c r="BK94" s="149" t="s">
        <v>704</v>
      </c>
      <c r="BL94" s="150">
        <v>7</v>
      </c>
      <c r="BM94" s="150" t="s">
        <v>1923</v>
      </c>
      <c r="BN94" s="150">
        <v>3</v>
      </c>
      <c r="BO94" s="149">
        <v>5</v>
      </c>
      <c r="BP94" s="150" t="s">
        <v>816</v>
      </c>
      <c r="BQ94" s="149" t="s">
        <v>724</v>
      </c>
      <c r="BR94" s="150">
        <v>7</v>
      </c>
      <c r="BS94" s="150" t="s">
        <v>1923</v>
      </c>
      <c r="BT94" s="150">
        <v>3</v>
      </c>
      <c r="BU94" s="149">
        <v>4</v>
      </c>
      <c r="BV94" s="150" t="s">
        <v>816</v>
      </c>
    </row>
    <row r="95" spans="1:74" x14ac:dyDescent="0.25">
      <c r="A95" s="149" t="s">
        <v>2297</v>
      </c>
      <c r="B95" s="149" t="s">
        <v>2245</v>
      </c>
      <c r="D95" s="149">
        <v>3</v>
      </c>
      <c r="E95" s="149">
        <v>3</v>
      </c>
      <c r="F95" s="149">
        <v>3</v>
      </c>
      <c r="G95" s="149">
        <v>2</v>
      </c>
      <c r="H95" s="149">
        <v>2</v>
      </c>
      <c r="I95" s="149">
        <v>2</v>
      </c>
      <c r="J95" s="149">
        <v>3</v>
      </c>
      <c r="K95" s="149">
        <v>2</v>
      </c>
      <c r="L95" s="149">
        <v>3</v>
      </c>
      <c r="M95" s="149">
        <v>3</v>
      </c>
      <c r="N95" s="149">
        <v>9</v>
      </c>
      <c r="O95" s="149">
        <v>3</v>
      </c>
      <c r="P95" s="149">
        <v>5</v>
      </c>
      <c r="Q95" s="149">
        <v>6</v>
      </c>
      <c r="R95" s="149">
        <v>5</v>
      </c>
      <c r="S95" s="149">
        <v>2</v>
      </c>
      <c r="T95" s="149">
        <v>2</v>
      </c>
      <c r="U95" s="209" t="s">
        <v>816</v>
      </c>
      <c r="V95" s="209" t="s">
        <v>816</v>
      </c>
      <c r="W95" s="209" t="s">
        <v>816</v>
      </c>
      <c r="X95" s="209" t="s">
        <v>816</v>
      </c>
      <c r="Y95" s="209" t="s">
        <v>816</v>
      </c>
      <c r="Z95" s="209" t="s">
        <v>816</v>
      </c>
      <c r="AA95" s="209" t="s">
        <v>816</v>
      </c>
      <c r="AB95" s="209" t="s">
        <v>816</v>
      </c>
      <c r="AC95" s="150" t="s">
        <v>1831</v>
      </c>
      <c r="AD95" s="257" t="s">
        <v>2298</v>
      </c>
      <c r="AE95" s="257" t="s">
        <v>2300</v>
      </c>
      <c r="AF95" s="257" t="s">
        <v>2301</v>
      </c>
      <c r="AG95" s="149" t="s">
        <v>702</v>
      </c>
      <c r="AH95" s="149">
        <v>6</v>
      </c>
      <c r="AI95" s="149" t="s">
        <v>1859</v>
      </c>
      <c r="AJ95" s="150" t="s">
        <v>816</v>
      </c>
      <c r="AK95" s="149">
        <v>6</v>
      </c>
      <c r="AL95" s="150" t="s">
        <v>816</v>
      </c>
      <c r="AM95" s="149" t="s">
        <v>720</v>
      </c>
      <c r="AN95" s="149">
        <v>5</v>
      </c>
      <c r="AO95" s="149" t="s">
        <v>1864</v>
      </c>
      <c r="AP95" s="149">
        <v>2</v>
      </c>
      <c r="AQ95" s="149">
        <v>5</v>
      </c>
      <c r="AR95" s="150" t="s">
        <v>816</v>
      </c>
      <c r="AS95" s="149" t="s">
        <v>721</v>
      </c>
      <c r="AT95" s="149">
        <v>7</v>
      </c>
      <c r="AU95" s="149" t="s">
        <v>1859</v>
      </c>
      <c r="AV95" s="149">
        <v>3</v>
      </c>
      <c r="AW95" s="149">
        <v>4</v>
      </c>
      <c r="AX95" s="150" t="s">
        <v>816</v>
      </c>
      <c r="AY95" s="149" t="s">
        <v>732</v>
      </c>
      <c r="AZ95" s="149">
        <v>7</v>
      </c>
      <c r="BA95" s="149" t="s">
        <v>1843</v>
      </c>
      <c r="BB95" s="150" t="s">
        <v>816</v>
      </c>
      <c r="BC95" s="149">
        <v>4</v>
      </c>
      <c r="BD95" s="150">
        <v>20</v>
      </c>
      <c r="BE95" s="209" t="s">
        <v>816</v>
      </c>
      <c r="BF95" s="209" t="s">
        <v>816</v>
      </c>
      <c r="BG95" s="209" t="s">
        <v>816</v>
      </c>
      <c r="BH95" s="209" t="s">
        <v>816</v>
      </c>
      <c r="BI95" s="209" t="s">
        <v>816</v>
      </c>
      <c r="BJ95" s="209" t="s">
        <v>816</v>
      </c>
      <c r="BK95" s="209" t="s">
        <v>816</v>
      </c>
      <c r="BL95" s="209" t="s">
        <v>816</v>
      </c>
      <c r="BM95" s="209" t="s">
        <v>816</v>
      </c>
      <c r="BN95" s="209" t="s">
        <v>816</v>
      </c>
      <c r="BO95" s="209" t="s">
        <v>816</v>
      </c>
      <c r="BP95" s="209" t="s">
        <v>816</v>
      </c>
      <c r="BQ95" s="209" t="s">
        <v>816</v>
      </c>
      <c r="BR95" s="209" t="s">
        <v>816</v>
      </c>
      <c r="BS95" s="209" t="s">
        <v>816</v>
      </c>
      <c r="BT95" s="209" t="s">
        <v>816</v>
      </c>
      <c r="BU95" s="209" t="s">
        <v>816</v>
      </c>
      <c r="BV95" s="209" t="s">
        <v>816</v>
      </c>
    </row>
    <row r="96" spans="1:74" x14ac:dyDescent="0.25">
      <c r="A96" s="149" t="s">
        <v>2296</v>
      </c>
      <c r="B96" s="149" t="s">
        <v>2245</v>
      </c>
      <c r="D96" s="149">
        <v>2</v>
      </c>
      <c r="E96" s="149">
        <v>3</v>
      </c>
      <c r="F96" s="149">
        <v>2</v>
      </c>
      <c r="G96" s="149">
        <v>2</v>
      </c>
      <c r="H96" s="149">
        <v>2</v>
      </c>
      <c r="I96" s="149">
        <v>2</v>
      </c>
      <c r="J96" s="149">
        <v>2</v>
      </c>
      <c r="K96" s="149">
        <v>2</v>
      </c>
      <c r="L96" s="149">
        <v>2</v>
      </c>
      <c r="M96" s="149">
        <v>3</v>
      </c>
      <c r="N96" s="149">
        <v>9</v>
      </c>
      <c r="O96" s="149">
        <v>2</v>
      </c>
      <c r="P96" s="149">
        <v>4</v>
      </c>
      <c r="Q96" s="149">
        <v>4</v>
      </c>
      <c r="R96" s="149">
        <v>4</v>
      </c>
      <c r="S96" s="149">
        <v>0</v>
      </c>
      <c r="T96" s="149">
        <v>0</v>
      </c>
      <c r="U96" s="209" t="s">
        <v>816</v>
      </c>
      <c r="V96" s="209" t="s">
        <v>816</v>
      </c>
      <c r="W96" s="209" t="s">
        <v>816</v>
      </c>
      <c r="X96" s="209" t="s">
        <v>816</v>
      </c>
      <c r="Y96" s="209" t="s">
        <v>816</v>
      </c>
      <c r="Z96" s="209" t="s">
        <v>816</v>
      </c>
      <c r="AA96" s="209" t="s">
        <v>816</v>
      </c>
      <c r="AB96" s="209" t="s">
        <v>816</v>
      </c>
      <c r="AC96" s="150" t="s">
        <v>1831</v>
      </c>
      <c r="AD96" s="257" t="s">
        <v>2299</v>
      </c>
      <c r="AE96" s="257" t="s">
        <v>2300</v>
      </c>
      <c r="AF96" s="257" t="s">
        <v>2301</v>
      </c>
      <c r="AG96" s="149" t="s">
        <v>702</v>
      </c>
      <c r="AH96" s="149">
        <v>5</v>
      </c>
      <c r="AI96" s="149" t="s">
        <v>1833</v>
      </c>
      <c r="AJ96" s="150" t="s">
        <v>816</v>
      </c>
      <c r="AK96" s="149">
        <v>6</v>
      </c>
      <c r="AL96" s="150" t="s">
        <v>816</v>
      </c>
      <c r="AM96" s="149" t="s">
        <v>720</v>
      </c>
      <c r="AN96" s="149">
        <v>4</v>
      </c>
      <c r="AO96" s="149" t="s">
        <v>1834</v>
      </c>
      <c r="AP96" s="149">
        <v>1</v>
      </c>
      <c r="AQ96" s="149">
        <v>5</v>
      </c>
      <c r="AR96" s="150" t="s">
        <v>816</v>
      </c>
      <c r="AS96" s="149" t="s">
        <v>721</v>
      </c>
      <c r="AT96" s="149">
        <v>6</v>
      </c>
      <c r="AU96" s="149" t="s">
        <v>1833</v>
      </c>
      <c r="AV96" s="149">
        <v>3</v>
      </c>
      <c r="AW96" s="149">
        <v>4</v>
      </c>
      <c r="AX96" s="150" t="s">
        <v>816</v>
      </c>
      <c r="AY96" s="150" t="s">
        <v>1841</v>
      </c>
      <c r="AZ96" s="149">
        <v>5</v>
      </c>
      <c r="BA96" s="149" t="s">
        <v>1843</v>
      </c>
      <c r="BB96" s="150" t="s">
        <v>816</v>
      </c>
      <c r="BC96" s="149">
        <v>4</v>
      </c>
      <c r="BD96" s="149">
        <v>20</v>
      </c>
      <c r="BE96" s="149" t="s">
        <v>1842</v>
      </c>
      <c r="BF96" s="149">
        <v>5</v>
      </c>
      <c r="BG96" s="149" t="s">
        <v>1843</v>
      </c>
      <c r="BH96" s="149">
        <v>2</v>
      </c>
      <c r="BI96" s="149">
        <v>4</v>
      </c>
      <c r="BJ96" s="150" t="s">
        <v>816</v>
      </c>
      <c r="BK96" s="209" t="s">
        <v>816</v>
      </c>
      <c r="BL96" s="209" t="s">
        <v>816</v>
      </c>
      <c r="BM96" s="209" t="s">
        <v>816</v>
      </c>
      <c r="BN96" s="209" t="s">
        <v>816</v>
      </c>
      <c r="BO96" s="209" t="s">
        <v>816</v>
      </c>
      <c r="BP96" s="209" t="s">
        <v>816</v>
      </c>
      <c r="BQ96" s="209" t="s">
        <v>816</v>
      </c>
      <c r="BR96" s="209" t="s">
        <v>816</v>
      </c>
      <c r="BS96" s="209" t="s">
        <v>816</v>
      </c>
      <c r="BT96" s="209" t="s">
        <v>816</v>
      </c>
      <c r="BU96" s="209" t="s">
        <v>816</v>
      </c>
      <c r="BV96" s="209" t="s">
        <v>816</v>
      </c>
    </row>
    <row r="97" spans="1:74" x14ac:dyDescent="0.25">
      <c r="A97" s="149" t="s">
        <v>1968</v>
      </c>
      <c r="B97" s="149" t="s">
        <v>2241</v>
      </c>
      <c r="D97" s="149">
        <v>3</v>
      </c>
      <c r="E97" s="149">
        <v>2</v>
      </c>
      <c r="F97" s="149">
        <v>4</v>
      </c>
      <c r="G97" s="149">
        <v>0</v>
      </c>
      <c r="H97" s="149">
        <v>0</v>
      </c>
      <c r="I97" s="149">
        <v>4</v>
      </c>
      <c r="J97" s="149">
        <v>3</v>
      </c>
      <c r="K97" s="149">
        <v>3</v>
      </c>
      <c r="L97" s="149">
        <v>3</v>
      </c>
      <c r="M97" s="149">
        <v>2</v>
      </c>
      <c r="N97" s="149">
        <v>4</v>
      </c>
      <c r="O97" s="149">
        <v>3</v>
      </c>
      <c r="P97" s="149">
        <v>6</v>
      </c>
      <c r="Q97" s="149">
        <v>7</v>
      </c>
      <c r="R97" s="149">
        <v>4</v>
      </c>
      <c r="S97" s="149">
        <v>2</v>
      </c>
      <c r="T97" s="149">
        <v>0</v>
      </c>
      <c r="U97" s="149" t="s">
        <v>167</v>
      </c>
      <c r="V97" s="149">
        <v>3</v>
      </c>
      <c r="W97" s="149" t="s">
        <v>169</v>
      </c>
      <c r="X97" s="149">
        <v>3</v>
      </c>
      <c r="Y97" s="149" t="s">
        <v>171</v>
      </c>
      <c r="Z97" s="149">
        <v>2</v>
      </c>
      <c r="AA97" s="149" t="s">
        <v>176</v>
      </c>
      <c r="AB97" s="149">
        <v>2</v>
      </c>
      <c r="AC97" s="150" t="s">
        <v>2091</v>
      </c>
      <c r="AD97" s="257" t="s">
        <v>2017</v>
      </c>
      <c r="AE97" s="257" t="s">
        <v>2103</v>
      </c>
      <c r="AF97" s="257" t="s">
        <v>2104</v>
      </c>
      <c r="AG97" s="149" t="s">
        <v>1974</v>
      </c>
      <c r="AH97" s="149">
        <v>5</v>
      </c>
      <c r="AI97" s="149" t="s">
        <v>1879</v>
      </c>
      <c r="AJ97" s="150" t="s">
        <v>816</v>
      </c>
      <c r="AK97" s="149">
        <v>5</v>
      </c>
      <c r="AL97" s="150" t="s">
        <v>816</v>
      </c>
      <c r="AM97" s="149" t="s">
        <v>2019</v>
      </c>
      <c r="AN97" s="149">
        <v>7</v>
      </c>
      <c r="AO97" s="149" t="s">
        <v>1865</v>
      </c>
      <c r="AP97" s="150" t="s">
        <v>816</v>
      </c>
      <c r="AQ97" s="149">
        <v>5</v>
      </c>
      <c r="AR97" s="150" t="s">
        <v>816</v>
      </c>
      <c r="AS97" s="209" t="s">
        <v>816</v>
      </c>
      <c r="AT97" s="209" t="s">
        <v>816</v>
      </c>
      <c r="AU97" s="209" t="s">
        <v>816</v>
      </c>
      <c r="AV97" s="209" t="s">
        <v>816</v>
      </c>
      <c r="AW97" s="209" t="s">
        <v>816</v>
      </c>
      <c r="AX97" s="209" t="s">
        <v>816</v>
      </c>
      <c r="AY97" s="209" t="s">
        <v>816</v>
      </c>
      <c r="AZ97" s="209" t="s">
        <v>816</v>
      </c>
      <c r="BA97" s="209" t="s">
        <v>816</v>
      </c>
      <c r="BB97" s="209" t="s">
        <v>816</v>
      </c>
      <c r="BC97" s="209" t="s">
        <v>816</v>
      </c>
      <c r="BD97" s="209" t="s">
        <v>816</v>
      </c>
      <c r="BE97" s="209" t="s">
        <v>816</v>
      </c>
      <c r="BF97" s="209" t="s">
        <v>816</v>
      </c>
      <c r="BG97" s="209" t="s">
        <v>816</v>
      </c>
      <c r="BH97" s="209" t="s">
        <v>816</v>
      </c>
      <c r="BI97" s="209" t="s">
        <v>816</v>
      </c>
      <c r="BJ97" s="209" t="s">
        <v>816</v>
      </c>
      <c r="BK97" s="209" t="s">
        <v>816</v>
      </c>
      <c r="BL97" s="209" t="s">
        <v>816</v>
      </c>
      <c r="BM97" s="209" t="s">
        <v>816</v>
      </c>
      <c r="BN97" s="209" t="s">
        <v>816</v>
      </c>
      <c r="BO97" s="209" t="s">
        <v>816</v>
      </c>
      <c r="BP97" s="209" t="s">
        <v>816</v>
      </c>
      <c r="BQ97" s="209" t="s">
        <v>816</v>
      </c>
      <c r="BR97" s="209" t="s">
        <v>816</v>
      </c>
      <c r="BS97" s="209" t="s">
        <v>816</v>
      </c>
      <c r="BT97" s="209" t="s">
        <v>816</v>
      </c>
      <c r="BU97" s="209" t="s">
        <v>816</v>
      </c>
      <c r="BV97" s="209" t="s">
        <v>816</v>
      </c>
    </row>
    <row r="98" spans="1:74" x14ac:dyDescent="0.25">
      <c r="A98" s="149" t="s">
        <v>2216</v>
      </c>
      <c r="B98" s="149" t="s">
        <v>2241</v>
      </c>
      <c r="D98" s="149">
        <v>4</v>
      </c>
      <c r="E98" s="149">
        <v>6</v>
      </c>
      <c r="F98" s="149">
        <v>3</v>
      </c>
      <c r="G98" s="149">
        <v>2</v>
      </c>
      <c r="H98" s="149">
        <v>2</v>
      </c>
      <c r="I98" s="149">
        <v>2</v>
      </c>
      <c r="J98" s="149">
        <v>3</v>
      </c>
      <c r="K98" s="149">
        <v>3</v>
      </c>
      <c r="L98" s="149">
        <v>3</v>
      </c>
      <c r="M98" s="149">
        <v>3</v>
      </c>
      <c r="N98" s="149">
        <v>9</v>
      </c>
      <c r="O98" s="149">
        <v>7</v>
      </c>
      <c r="P98" s="149">
        <v>7</v>
      </c>
      <c r="Q98" s="149">
        <v>6</v>
      </c>
      <c r="R98" s="149">
        <v>3</v>
      </c>
      <c r="S98" s="149">
        <v>2</v>
      </c>
      <c r="T98" s="149">
        <v>0</v>
      </c>
      <c r="U98" s="149" t="s">
        <v>157</v>
      </c>
      <c r="V98" s="149">
        <v>4</v>
      </c>
      <c r="W98" s="149" t="s">
        <v>169</v>
      </c>
      <c r="X98" s="149">
        <v>3</v>
      </c>
      <c r="Y98" s="149" t="s">
        <v>163</v>
      </c>
      <c r="Z98" s="149">
        <v>1</v>
      </c>
      <c r="AA98" s="149" t="s">
        <v>171</v>
      </c>
      <c r="AB98" s="149">
        <v>1</v>
      </c>
      <c r="AC98" s="150" t="s">
        <v>2222</v>
      </c>
      <c r="AD98" s="257" t="s">
        <v>2217</v>
      </c>
      <c r="AE98" s="257" t="s">
        <v>2331</v>
      </c>
      <c r="AF98" s="257" t="s">
        <v>2332</v>
      </c>
      <c r="AG98" s="149" t="s">
        <v>702</v>
      </c>
      <c r="AH98" s="149">
        <v>12</v>
      </c>
      <c r="AI98" s="149" t="s">
        <v>1833</v>
      </c>
      <c r="AJ98" s="150" t="s">
        <v>816</v>
      </c>
      <c r="AK98" s="149">
        <v>5</v>
      </c>
      <c r="AL98" s="150" t="s">
        <v>816</v>
      </c>
      <c r="AM98" s="149" t="s">
        <v>2011</v>
      </c>
      <c r="AN98" s="149">
        <v>14</v>
      </c>
      <c r="AO98" s="149" t="s">
        <v>1879</v>
      </c>
      <c r="AP98" s="149">
        <v>6</v>
      </c>
      <c r="AQ98" s="149">
        <v>4</v>
      </c>
      <c r="AR98" s="150" t="s">
        <v>816</v>
      </c>
      <c r="AS98" s="149" t="s">
        <v>2019</v>
      </c>
      <c r="AT98" s="149">
        <v>11</v>
      </c>
      <c r="AU98" s="149" t="s">
        <v>2024</v>
      </c>
      <c r="AV98" s="149">
        <v>6</v>
      </c>
      <c r="AW98" s="149">
        <v>5</v>
      </c>
      <c r="AX98" s="150" t="s">
        <v>816</v>
      </c>
      <c r="AY98" s="149" t="s">
        <v>2218</v>
      </c>
      <c r="AZ98" s="149">
        <v>12</v>
      </c>
      <c r="BA98" s="149" t="s">
        <v>2219</v>
      </c>
      <c r="BB98" s="149">
        <v>6</v>
      </c>
      <c r="BC98" s="149">
        <v>5</v>
      </c>
      <c r="BD98" s="150" t="s">
        <v>816</v>
      </c>
      <c r="BE98" s="209" t="s">
        <v>816</v>
      </c>
      <c r="BF98" s="209" t="s">
        <v>816</v>
      </c>
      <c r="BG98" s="209" t="s">
        <v>816</v>
      </c>
      <c r="BH98" s="209" t="s">
        <v>816</v>
      </c>
      <c r="BI98" s="209" t="s">
        <v>816</v>
      </c>
      <c r="BJ98" s="209" t="s">
        <v>816</v>
      </c>
      <c r="BK98" s="209" t="s">
        <v>816</v>
      </c>
      <c r="BL98" s="209" t="s">
        <v>816</v>
      </c>
      <c r="BM98" s="209" t="s">
        <v>816</v>
      </c>
      <c r="BN98" s="209" t="s">
        <v>816</v>
      </c>
      <c r="BO98" s="209" t="s">
        <v>816</v>
      </c>
      <c r="BP98" s="209" t="s">
        <v>816</v>
      </c>
      <c r="BQ98" s="209" t="s">
        <v>816</v>
      </c>
      <c r="BR98" s="209" t="s">
        <v>816</v>
      </c>
      <c r="BS98" s="209" t="s">
        <v>816</v>
      </c>
      <c r="BT98" s="209" t="s">
        <v>816</v>
      </c>
      <c r="BU98" s="209" t="s">
        <v>816</v>
      </c>
      <c r="BV98" s="209" t="s">
        <v>816</v>
      </c>
    </row>
    <row r="99" spans="1:74" x14ac:dyDescent="0.25">
      <c r="A99" s="149" t="s">
        <v>2132</v>
      </c>
      <c r="B99" s="149" t="s">
        <v>2241</v>
      </c>
      <c r="D99" s="149">
        <v>5</v>
      </c>
      <c r="E99" s="149">
        <v>5</v>
      </c>
      <c r="F99" s="149">
        <v>5</v>
      </c>
      <c r="G99" s="149">
        <v>2</v>
      </c>
      <c r="H99" s="149">
        <v>2</v>
      </c>
      <c r="I99" s="149">
        <v>2</v>
      </c>
      <c r="J99" s="149">
        <v>3</v>
      </c>
      <c r="K99" s="149">
        <v>1</v>
      </c>
      <c r="L99" s="149">
        <v>3</v>
      </c>
      <c r="M99" s="149">
        <v>3</v>
      </c>
      <c r="N99" s="149">
        <v>9</v>
      </c>
      <c r="O99" s="149">
        <v>8</v>
      </c>
      <c r="P99" s="149">
        <f>IF(CharacterSheet!V31&lt;5,5,CharacterSheet!V31)</f>
        <v>5</v>
      </c>
      <c r="Q99" s="149">
        <v>6</v>
      </c>
      <c r="R99" s="149">
        <v>14</v>
      </c>
      <c r="S99" s="149">
        <v>10</v>
      </c>
      <c r="T99" s="149">
        <v>2</v>
      </c>
      <c r="U99" s="149" t="str">
        <f>CharacterSheet!$G$40</f>
        <v/>
      </c>
      <c r="V99" s="149">
        <f>CharacterSheet!$L$40</f>
        <v>1</v>
      </c>
      <c r="W99" s="149" t="str">
        <f>CharacterSheet!$G$41</f>
        <v/>
      </c>
      <c r="X99" s="149">
        <f>CharacterSheet!$L$41</f>
        <v>1</v>
      </c>
      <c r="Y99" s="149" t="str">
        <f>CharacterSheet!$M$40</f>
        <v/>
      </c>
      <c r="Z99" s="149">
        <f>CharacterSheet!$R$40</f>
        <v>1</v>
      </c>
      <c r="AA99" s="149" t="str">
        <f>CharacterSheet!$M$41</f>
        <v/>
      </c>
      <c r="AB99" s="149">
        <f>CharacterSheet!$R$41</f>
        <v>1</v>
      </c>
      <c r="AC99" s="150" t="s">
        <v>2133</v>
      </c>
      <c r="AD99" s="257" t="s">
        <v>2134</v>
      </c>
      <c r="AE99" s="257" t="s">
        <v>2135</v>
      </c>
      <c r="AF99" s="257" t="s">
        <v>2136</v>
      </c>
      <c r="AG99" s="149" t="s">
        <v>1974</v>
      </c>
      <c r="AH99" s="149">
        <v>11</v>
      </c>
      <c r="AI99" s="149" t="s">
        <v>1939</v>
      </c>
      <c r="AJ99" s="149">
        <v>8</v>
      </c>
      <c r="AK99" s="149">
        <v>4</v>
      </c>
      <c r="AL99" s="150" t="s">
        <v>816</v>
      </c>
      <c r="AM99" s="149" t="s">
        <v>2137</v>
      </c>
      <c r="AN99" s="149">
        <v>9</v>
      </c>
      <c r="AO99" s="149" t="s">
        <v>1941</v>
      </c>
      <c r="AP99" s="149">
        <v>6</v>
      </c>
      <c r="AQ99" s="149">
        <v>5</v>
      </c>
      <c r="AR99" s="150" t="s">
        <v>816</v>
      </c>
      <c r="AS99" s="209" t="s">
        <v>816</v>
      </c>
      <c r="AT99" s="209" t="s">
        <v>816</v>
      </c>
      <c r="AU99" s="209" t="s">
        <v>816</v>
      </c>
      <c r="AV99" s="209" t="s">
        <v>816</v>
      </c>
      <c r="AW99" s="209" t="s">
        <v>816</v>
      </c>
      <c r="AX99" s="209" t="s">
        <v>816</v>
      </c>
      <c r="AY99" s="209" t="s">
        <v>816</v>
      </c>
      <c r="AZ99" s="209" t="s">
        <v>816</v>
      </c>
      <c r="BA99" s="209" t="s">
        <v>816</v>
      </c>
      <c r="BB99" s="209" t="s">
        <v>816</v>
      </c>
      <c r="BC99" s="209" t="s">
        <v>816</v>
      </c>
      <c r="BD99" s="209" t="s">
        <v>816</v>
      </c>
      <c r="BE99" s="209" t="s">
        <v>816</v>
      </c>
      <c r="BF99" s="209" t="s">
        <v>816</v>
      </c>
      <c r="BG99" s="209" t="s">
        <v>816</v>
      </c>
      <c r="BH99" s="209" t="s">
        <v>816</v>
      </c>
      <c r="BI99" s="209" t="s">
        <v>816</v>
      </c>
      <c r="BJ99" s="209" t="s">
        <v>816</v>
      </c>
      <c r="BK99" s="209" t="s">
        <v>816</v>
      </c>
      <c r="BL99" s="209" t="s">
        <v>816</v>
      </c>
      <c r="BM99" s="209" t="s">
        <v>816</v>
      </c>
      <c r="BN99" s="209" t="s">
        <v>816</v>
      </c>
      <c r="BO99" s="209" t="s">
        <v>816</v>
      </c>
      <c r="BP99" s="209" t="s">
        <v>816</v>
      </c>
      <c r="BQ99" s="209" t="s">
        <v>816</v>
      </c>
      <c r="BR99" s="209" t="s">
        <v>816</v>
      </c>
      <c r="BS99" s="209" t="s">
        <v>816</v>
      </c>
      <c r="BT99" s="209" t="s">
        <v>816</v>
      </c>
      <c r="BU99" s="209" t="s">
        <v>816</v>
      </c>
      <c r="BV99" s="209" t="s">
        <v>816</v>
      </c>
    </row>
    <row r="100" spans="1:74" x14ac:dyDescent="0.25">
      <c r="A100" s="149" t="s">
        <v>2140</v>
      </c>
      <c r="B100" s="149" t="s">
        <v>2241</v>
      </c>
      <c r="D100" s="149">
        <v>7</v>
      </c>
      <c r="E100" s="149">
        <v>4</v>
      </c>
      <c r="F100" s="149">
        <v>7</v>
      </c>
      <c r="G100" s="149">
        <v>1</v>
      </c>
      <c r="H100" s="149">
        <v>1</v>
      </c>
      <c r="I100" s="149">
        <v>2</v>
      </c>
      <c r="J100" s="149">
        <v>2</v>
      </c>
      <c r="K100" s="149">
        <v>2</v>
      </c>
      <c r="L100" s="149">
        <v>2</v>
      </c>
      <c r="M100" s="149">
        <v>3</v>
      </c>
      <c r="N100" s="149">
        <v>9</v>
      </c>
      <c r="O100" s="149">
        <v>5</v>
      </c>
      <c r="P100" s="149">
        <v>6</v>
      </c>
      <c r="Q100" s="149">
        <v>5</v>
      </c>
      <c r="R100" s="149">
        <v>10</v>
      </c>
      <c r="S100" s="149">
        <v>7</v>
      </c>
      <c r="T100" s="149">
        <v>3</v>
      </c>
      <c r="U100" s="149" t="s">
        <v>167</v>
      </c>
      <c r="V100" s="149">
        <v>1</v>
      </c>
      <c r="W100" s="149" t="s">
        <v>162</v>
      </c>
      <c r="X100" s="149">
        <v>3</v>
      </c>
      <c r="Y100" s="149" t="s">
        <v>158</v>
      </c>
      <c r="Z100" s="149">
        <v>1</v>
      </c>
      <c r="AA100" s="149" t="s">
        <v>164</v>
      </c>
      <c r="AB100" s="149">
        <v>3</v>
      </c>
      <c r="AC100" s="150" t="s">
        <v>1976</v>
      </c>
      <c r="AD100" s="257" t="s">
        <v>2141</v>
      </c>
      <c r="AE100" s="257" t="s">
        <v>2333</v>
      </c>
      <c r="AF100" s="257" t="s">
        <v>2334</v>
      </c>
      <c r="AG100" s="149" t="s">
        <v>1979</v>
      </c>
      <c r="AH100" s="149">
        <v>7</v>
      </c>
      <c r="AI100" s="149" t="s">
        <v>1985</v>
      </c>
      <c r="AJ100" s="149">
        <v>7</v>
      </c>
      <c r="AK100" s="149">
        <v>5</v>
      </c>
      <c r="AL100" s="150" t="s">
        <v>816</v>
      </c>
      <c r="AM100" s="149" t="s">
        <v>1986</v>
      </c>
      <c r="AN100" s="149">
        <v>8</v>
      </c>
      <c r="AO100" s="149" t="s">
        <v>1939</v>
      </c>
      <c r="AP100" s="150" t="s">
        <v>816</v>
      </c>
      <c r="AQ100" s="149">
        <v>3</v>
      </c>
      <c r="AR100" s="150" t="s">
        <v>816</v>
      </c>
      <c r="AS100" s="209" t="s">
        <v>816</v>
      </c>
      <c r="AT100" s="209" t="s">
        <v>816</v>
      </c>
      <c r="AU100" s="209" t="s">
        <v>816</v>
      </c>
      <c r="AV100" s="209" t="s">
        <v>816</v>
      </c>
      <c r="AW100" s="209" t="s">
        <v>816</v>
      </c>
      <c r="AX100" s="209" t="s">
        <v>816</v>
      </c>
      <c r="AY100" s="209" t="s">
        <v>816</v>
      </c>
      <c r="AZ100" s="209" t="s">
        <v>816</v>
      </c>
      <c r="BA100" s="209" t="s">
        <v>816</v>
      </c>
      <c r="BB100" s="209" t="s">
        <v>816</v>
      </c>
      <c r="BC100" s="209" t="s">
        <v>816</v>
      </c>
      <c r="BD100" s="209" t="s">
        <v>816</v>
      </c>
      <c r="BE100" s="209" t="s">
        <v>816</v>
      </c>
      <c r="BF100" s="209" t="s">
        <v>816</v>
      </c>
      <c r="BG100" s="209" t="s">
        <v>816</v>
      </c>
      <c r="BH100" s="209" t="s">
        <v>816</v>
      </c>
      <c r="BI100" s="209" t="s">
        <v>816</v>
      </c>
      <c r="BJ100" s="209" t="s">
        <v>816</v>
      </c>
      <c r="BK100" s="209" t="s">
        <v>816</v>
      </c>
      <c r="BL100" s="209" t="s">
        <v>816</v>
      </c>
      <c r="BM100" s="209" t="s">
        <v>816</v>
      </c>
      <c r="BN100" s="209" t="s">
        <v>816</v>
      </c>
      <c r="BO100" s="209" t="s">
        <v>816</v>
      </c>
      <c r="BP100" s="209" t="s">
        <v>816</v>
      </c>
      <c r="BQ100" s="209" t="s">
        <v>816</v>
      </c>
      <c r="BR100" s="209" t="s">
        <v>816</v>
      </c>
      <c r="BS100" s="209" t="s">
        <v>816</v>
      </c>
      <c r="BT100" s="209" t="s">
        <v>816</v>
      </c>
      <c r="BU100" s="209" t="s">
        <v>816</v>
      </c>
      <c r="BV100" s="209" t="s">
        <v>816</v>
      </c>
    </row>
    <row r="101" spans="1:74" x14ac:dyDescent="0.25">
      <c r="A101" s="149" t="s">
        <v>2105</v>
      </c>
      <c r="B101" s="149" t="s">
        <v>2241</v>
      </c>
      <c r="D101" s="149">
        <v>3</v>
      </c>
      <c r="E101" s="149">
        <v>2</v>
      </c>
      <c r="F101" s="149">
        <v>4</v>
      </c>
      <c r="G101" s="149">
        <v>0</v>
      </c>
      <c r="H101" s="149">
        <v>0</v>
      </c>
      <c r="I101" s="149">
        <v>4</v>
      </c>
      <c r="J101" s="149">
        <v>3</v>
      </c>
      <c r="K101" s="149">
        <v>3</v>
      </c>
      <c r="L101" s="149">
        <v>3</v>
      </c>
      <c r="M101" s="149">
        <v>2</v>
      </c>
      <c r="N101" s="149">
        <v>4</v>
      </c>
      <c r="O101" s="149">
        <v>3</v>
      </c>
      <c r="P101" s="149">
        <v>7</v>
      </c>
      <c r="Q101" s="149">
        <v>7</v>
      </c>
      <c r="R101" s="149">
        <v>4</v>
      </c>
      <c r="S101" s="149">
        <v>2</v>
      </c>
      <c r="T101" s="149">
        <v>0</v>
      </c>
      <c r="U101" s="149" t="s">
        <v>158</v>
      </c>
      <c r="V101" s="149">
        <v>2</v>
      </c>
      <c r="W101" s="149" t="s">
        <v>163</v>
      </c>
      <c r="X101" s="149">
        <v>3</v>
      </c>
      <c r="Y101" s="149" t="s">
        <v>164</v>
      </c>
      <c r="Z101" s="149">
        <v>4</v>
      </c>
      <c r="AA101" s="149" t="s">
        <v>173</v>
      </c>
      <c r="AB101" s="149">
        <v>1</v>
      </c>
      <c r="AC101" s="150" t="s">
        <v>2091</v>
      </c>
      <c r="AD101" s="257" t="s">
        <v>2017</v>
      </c>
      <c r="AE101" s="257" t="s">
        <v>2103</v>
      </c>
      <c r="AF101" s="257" t="s">
        <v>2106</v>
      </c>
      <c r="AG101" s="149" t="s">
        <v>1974</v>
      </c>
      <c r="AH101" s="149">
        <v>5</v>
      </c>
      <c r="AI101" s="149" t="s">
        <v>1879</v>
      </c>
      <c r="AJ101" s="150" t="s">
        <v>816</v>
      </c>
      <c r="AK101" s="149">
        <v>5</v>
      </c>
      <c r="AL101" s="150" t="s">
        <v>816</v>
      </c>
      <c r="AM101" s="149" t="s">
        <v>2019</v>
      </c>
      <c r="AN101" s="149">
        <v>7</v>
      </c>
      <c r="AO101" s="149" t="s">
        <v>1865</v>
      </c>
      <c r="AP101" s="150" t="s">
        <v>816</v>
      </c>
      <c r="AQ101" s="149">
        <v>5</v>
      </c>
      <c r="AR101" s="150" t="s">
        <v>816</v>
      </c>
      <c r="AS101" s="209" t="s">
        <v>816</v>
      </c>
      <c r="AT101" s="209" t="s">
        <v>816</v>
      </c>
      <c r="AU101" s="209" t="s">
        <v>816</v>
      </c>
      <c r="AV101" s="209" t="s">
        <v>816</v>
      </c>
      <c r="AW101" s="209" t="s">
        <v>816</v>
      </c>
      <c r="AX101" s="209" t="s">
        <v>816</v>
      </c>
      <c r="AY101" s="209" t="s">
        <v>816</v>
      </c>
      <c r="AZ101" s="209" t="s">
        <v>816</v>
      </c>
      <c r="BA101" s="209" t="s">
        <v>816</v>
      </c>
      <c r="BB101" s="209" t="s">
        <v>816</v>
      </c>
      <c r="BC101" s="209" t="s">
        <v>816</v>
      </c>
      <c r="BD101" s="209" t="s">
        <v>816</v>
      </c>
      <c r="BE101" s="209" t="s">
        <v>816</v>
      </c>
      <c r="BF101" s="209" t="s">
        <v>816</v>
      </c>
      <c r="BG101" s="209" t="s">
        <v>816</v>
      </c>
      <c r="BH101" s="209" t="s">
        <v>816</v>
      </c>
      <c r="BI101" s="209" t="s">
        <v>816</v>
      </c>
      <c r="BJ101" s="209" t="s">
        <v>816</v>
      </c>
      <c r="BK101" s="209" t="s">
        <v>816</v>
      </c>
      <c r="BL101" s="209" t="s">
        <v>816</v>
      </c>
      <c r="BM101" s="209" t="s">
        <v>816</v>
      </c>
      <c r="BN101" s="209" t="s">
        <v>816</v>
      </c>
      <c r="BO101" s="209" t="s">
        <v>816</v>
      </c>
      <c r="BP101" s="209" t="s">
        <v>816</v>
      </c>
      <c r="BQ101" s="209" t="s">
        <v>816</v>
      </c>
      <c r="BR101" s="209" t="s">
        <v>816</v>
      </c>
      <c r="BS101" s="209" t="s">
        <v>816</v>
      </c>
      <c r="BT101" s="209" t="s">
        <v>816</v>
      </c>
      <c r="BU101" s="209" t="s">
        <v>816</v>
      </c>
      <c r="BV101" s="209" t="s">
        <v>816</v>
      </c>
    </row>
    <row r="102" spans="1:74" x14ac:dyDescent="0.25">
      <c r="A102" s="149" t="s">
        <v>2211</v>
      </c>
      <c r="B102" s="149" t="s">
        <v>2241</v>
      </c>
      <c r="D102" s="149">
        <v>6</v>
      </c>
      <c r="E102" s="149">
        <v>3</v>
      </c>
      <c r="F102" s="149">
        <v>6</v>
      </c>
      <c r="G102" s="149">
        <v>2</v>
      </c>
      <c r="H102" s="149">
        <v>4</v>
      </c>
      <c r="I102" s="149">
        <v>1</v>
      </c>
      <c r="J102" s="149">
        <v>4</v>
      </c>
      <c r="K102" s="149">
        <v>2</v>
      </c>
      <c r="L102" s="149">
        <v>4</v>
      </c>
      <c r="M102" s="149">
        <v>2</v>
      </c>
      <c r="N102" s="149">
        <v>4</v>
      </c>
      <c r="O102" s="149">
        <v>4</v>
      </c>
      <c r="P102" s="149">
        <v>6</v>
      </c>
      <c r="Q102" s="149">
        <v>9</v>
      </c>
      <c r="R102" s="149">
        <v>6</v>
      </c>
      <c r="S102" s="149">
        <v>3</v>
      </c>
      <c r="T102" s="149">
        <v>0</v>
      </c>
      <c r="U102" s="149" t="s">
        <v>2212</v>
      </c>
      <c r="V102" s="149">
        <v>1</v>
      </c>
      <c r="W102" s="149" t="s">
        <v>2213</v>
      </c>
      <c r="X102" s="149">
        <v>3</v>
      </c>
      <c r="Y102" s="149" t="s">
        <v>2125</v>
      </c>
      <c r="Z102" s="149">
        <v>3</v>
      </c>
      <c r="AA102" s="149" t="s">
        <v>2214</v>
      </c>
      <c r="AB102" s="149">
        <v>2</v>
      </c>
      <c r="AC102" s="150" t="s">
        <v>1831</v>
      </c>
      <c r="AD102" s="257" t="s">
        <v>2215</v>
      </c>
      <c r="AE102" s="257" t="s">
        <v>2336</v>
      </c>
      <c r="AF102" s="257" t="s">
        <v>2337</v>
      </c>
      <c r="AG102" s="149" t="s">
        <v>702</v>
      </c>
      <c r="AH102" s="149">
        <v>6</v>
      </c>
      <c r="AI102" s="149" t="s">
        <v>1834</v>
      </c>
      <c r="AJ102" s="150" t="s">
        <v>816</v>
      </c>
      <c r="AK102" s="149">
        <v>6</v>
      </c>
      <c r="AL102" s="150" t="s">
        <v>816</v>
      </c>
      <c r="AM102" s="149" t="s">
        <v>1974</v>
      </c>
      <c r="AN102" s="149">
        <v>6</v>
      </c>
      <c r="AO102" s="149" t="s">
        <v>1923</v>
      </c>
      <c r="AP102" s="150" t="s">
        <v>816</v>
      </c>
      <c r="AQ102" s="149">
        <v>6</v>
      </c>
      <c r="AR102" s="150" t="s">
        <v>816</v>
      </c>
      <c r="AS102" s="149" t="s">
        <v>2011</v>
      </c>
      <c r="AT102" s="149">
        <v>7</v>
      </c>
      <c r="AU102" s="149" t="s">
        <v>1865</v>
      </c>
      <c r="AV102" s="149">
        <v>3</v>
      </c>
      <c r="AW102" s="149">
        <v>4</v>
      </c>
      <c r="AX102" s="150" t="s">
        <v>816</v>
      </c>
      <c r="AY102" s="209" t="s">
        <v>816</v>
      </c>
      <c r="AZ102" s="209" t="s">
        <v>816</v>
      </c>
      <c r="BA102" s="209" t="s">
        <v>816</v>
      </c>
      <c r="BB102" s="209" t="s">
        <v>816</v>
      </c>
      <c r="BC102" s="209" t="s">
        <v>816</v>
      </c>
      <c r="BD102" s="209" t="s">
        <v>816</v>
      </c>
      <c r="BE102" s="209" t="s">
        <v>816</v>
      </c>
      <c r="BF102" s="209" t="s">
        <v>816</v>
      </c>
      <c r="BG102" s="209" t="s">
        <v>816</v>
      </c>
      <c r="BH102" s="209" t="s">
        <v>816</v>
      </c>
      <c r="BI102" s="209" t="s">
        <v>816</v>
      </c>
      <c r="BJ102" s="209" t="s">
        <v>816</v>
      </c>
      <c r="BK102" s="209" t="s">
        <v>816</v>
      </c>
      <c r="BL102" s="209" t="s">
        <v>816</v>
      </c>
      <c r="BM102" s="209" t="s">
        <v>816</v>
      </c>
      <c r="BN102" s="209" t="s">
        <v>816</v>
      </c>
      <c r="BO102" s="209" t="s">
        <v>816</v>
      </c>
      <c r="BP102" s="209" t="s">
        <v>816</v>
      </c>
      <c r="BQ102" s="209" t="s">
        <v>816</v>
      </c>
      <c r="BR102" s="209" t="s">
        <v>816</v>
      </c>
      <c r="BS102" s="209" t="s">
        <v>816</v>
      </c>
      <c r="BT102" s="209" t="s">
        <v>816</v>
      </c>
      <c r="BU102" s="209" t="s">
        <v>816</v>
      </c>
      <c r="BV102" s="209" t="s">
        <v>816</v>
      </c>
    </row>
    <row r="103" spans="1:74" x14ac:dyDescent="0.25">
      <c r="A103" s="149" t="s">
        <v>1981</v>
      </c>
      <c r="B103" s="149" t="s">
        <v>2241</v>
      </c>
      <c r="D103" s="149">
        <v>7</v>
      </c>
      <c r="E103" s="149">
        <v>3</v>
      </c>
      <c r="F103" s="149">
        <v>9</v>
      </c>
      <c r="G103" s="149">
        <v>1</v>
      </c>
      <c r="H103" s="149">
        <v>1</v>
      </c>
      <c r="I103" s="149">
        <v>2</v>
      </c>
      <c r="J103" s="149">
        <v>2</v>
      </c>
      <c r="K103" s="149">
        <v>2</v>
      </c>
      <c r="L103" s="149">
        <v>2</v>
      </c>
      <c r="M103" s="149">
        <v>3</v>
      </c>
      <c r="N103" s="149">
        <v>9</v>
      </c>
      <c r="O103" s="149">
        <v>5</v>
      </c>
      <c r="P103" s="149">
        <v>6</v>
      </c>
      <c r="Q103" s="149">
        <v>5</v>
      </c>
      <c r="R103" s="149">
        <v>12</v>
      </c>
      <c r="S103" s="149">
        <v>8</v>
      </c>
      <c r="T103" s="149">
        <v>3</v>
      </c>
      <c r="U103" s="149" t="s">
        <v>169</v>
      </c>
      <c r="V103" s="149">
        <v>2</v>
      </c>
      <c r="W103" s="149" t="s">
        <v>171</v>
      </c>
      <c r="X103" s="149">
        <v>1</v>
      </c>
      <c r="Y103" s="149" t="s">
        <v>176</v>
      </c>
      <c r="Z103" s="149">
        <v>2</v>
      </c>
      <c r="AA103" s="149" t="s">
        <v>173</v>
      </c>
      <c r="AB103" s="149">
        <v>4</v>
      </c>
      <c r="AC103" s="150" t="s">
        <v>1976</v>
      </c>
      <c r="AD103" s="257" t="s">
        <v>1982</v>
      </c>
      <c r="AE103" s="257" t="s">
        <v>1983</v>
      </c>
      <c r="AF103" s="257" t="s">
        <v>1984</v>
      </c>
      <c r="AG103" s="149" t="s">
        <v>1979</v>
      </c>
      <c r="AH103" s="149">
        <v>7</v>
      </c>
      <c r="AI103" s="149" t="s">
        <v>1985</v>
      </c>
      <c r="AJ103" s="149">
        <v>7</v>
      </c>
      <c r="AK103" s="149">
        <v>5</v>
      </c>
      <c r="AL103" s="150" t="s">
        <v>816</v>
      </c>
      <c r="AM103" s="149" t="s">
        <v>1986</v>
      </c>
      <c r="AN103" s="149">
        <v>8</v>
      </c>
      <c r="AO103" s="149" t="s">
        <v>1939</v>
      </c>
      <c r="AP103" s="150" t="s">
        <v>816</v>
      </c>
      <c r="AQ103" s="149">
        <v>3</v>
      </c>
      <c r="AR103" s="150" t="s">
        <v>816</v>
      </c>
      <c r="AS103" s="209" t="s">
        <v>816</v>
      </c>
      <c r="AT103" s="209" t="s">
        <v>816</v>
      </c>
      <c r="AU103" s="209" t="s">
        <v>816</v>
      </c>
      <c r="AV103" s="209" t="s">
        <v>816</v>
      </c>
      <c r="AW103" s="209" t="s">
        <v>816</v>
      </c>
      <c r="AX103" s="209" t="s">
        <v>816</v>
      </c>
      <c r="AY103" s="209" t="s">
        <v>816</v>
      </c>
      <c r="AZ103" s="209" t="s">
        <v>816</v>
      </c>
      <c r="BA103" s="209" t="s">
        <v>816</v>
      </c>
      <c r="BB103" s="209" t="s">
        <v>816</v>
      </c>
      <c r="BC103" s="209" t="s">
        <v>816</v>
      </c>
      <c r="BD103" s="209" t="s">
        <v>816</v>
      </c>
      <c r="BE103" s="209" t="s">
        <v>816</v>
      </c>
      <c r="BF103" s="209" t="s">
        <v>816</v>
      </c>
      <c r="BG103" s="209" t="s">
        <v>816</v>
      </c>
      <c r="BH103" s="209" t="s">
        <v>816</v>
      </c>
      <c r="BI103" s="209" t="s">
        <v>816</v>
      </c>
      <c r="BJ103" s="209" t="s">
        <v>816</v>
      </c>
      <c r="BK103" s="209" t="s">
        <v>816</v>
      </c>
      <c r="BL103" s="209" t="s">
        <v>816</v>
      </c>
      <c r="BM103" s="209" t="s">
        <v>816</v>
      </c>
      <c r="BN103" s="209" t="s">
        <v>816</v>
      </c>
      <c r="BO103" s="209" t="s">
        <v>816</v>
      </c>
      <c r="BP103" s="209" t="s">
        <v>816</v>
      </c>
      <c r="BQ103" s="209" t="s">
        <v>816</v>
      </c>
      <c r="BR103" s="209" t="s">
        <v>816</v>
      </c>
      <c r="BS103" s="209" t="s">
        <v>816</v>
      </c>
      <c r="BT103" s="209" t="s">
        <v>816</v>
      </c>
      <c r="BU103" s="209" t="s">
        <v>816</v>
      </c>
      <c r="BV103" s="209" t="s">
        <v>816</v>
      </c>
    </row>
    <row r="104" spans="1:74" x14ac:dyDescent="0.25">
      <c r="A104" s="149" t="s">
        <v>2153</v>
      </c>
      <c r="B104" s="149" t="s">
        <v>2241</v>
      </c>
      <c r="D104" s="149">
        <v>3</v>
      </c>
      <c r="E104" s="149">
        <v>3</v>
      </c>
      <c r="F104" s="149">
        <v>3</v>
      </c>
      <c r="G104" s="149">
        <v>0</v>
      </c>
      <c r="H104" s="149">
        <v>0</v>
      </c>
      <c r="I104" s="149">
        <v>2</v>
      </c>
      <c r="J104" s="149">
        <v>2</v>
      </c>
      <c r="K104" s="149">
        <v>2</v>
      </c>
      <c r="L104" s="149">
        <v>3</v>
      </c>
      <c r="M104" s="149">
        <v>2</v>
      </c>
      <c r="N104" s="149">
        <v>5</v>
      </c>
      <c r="O104" s="149">
        <v>2</v>
      </c>
      <c r="P104" s="149">
        <v>3</v>
      </c>
      <c r="Q104" s="149">
        <v>6</v>
      </c>
      <c r="R104" s="149">
        <v>3</v>
      </c>
      <c r="S104" s="149">
        <v>2</v>
      </c>
      <c r="T104" s="149">
        <v>0</v>
      </c>
      <c r="U104" s="149" t="s">
        <v>156</v>
      </c>
      <c r="V104" s="149">
        <v>5</v>
      </c>
      <c r="W104" s="149" t="s">
        <v>158</v>
      </c>
      <c r="X104" s="149">
        <v>1</v>
      </c>
      <c r="Y104" s="149" t="s">
        <v>163</v>
      </c>
      <c r="Z104" s="149">
        <v>2</v>
      </c>
      <c r="AA104" s="149" t="s">
        <v>176</v>
      </c>
      <c r="AB104" s="149">
        <v>1</v>
      </c>
      <c r="AC104" s="150" t="s">
        <v>2154</v>
      </c>
      <c r="AD104" s="257" t="s">
        <v>2034</v>
      </c>
      <c r="AE104" s="257" t="s">
        <v>2155</v>
      </c>
      <c r="AF104" s="257" t="s">
        <v>494</v>
      </c>
      <c r="AG104" s="149" t="s">
        <v>1974</v>
      </c>
      <c r="AH104" s="149">
        <v>5</v>
      </c>
      <c r="AI104" s="149" t="s">
        <v>1843</v>
      </c>
      <c r="AJ104" s="150" t="s">
        <v>816</v>
      </c>
      <c r="AK104" s="149">
        <v>5</v>
      </c>
      <c r="AL104" s="150" t="s">
        <v>816</v>
      </c>
      <c r="AM104" s="209" t="s">
        <v>816</v>
      </c>
      <c r="AN104" s="209" t="s">
        <v>816</v>
      </c>
      <c r="AO104" s="209" t="s">
        <v>816</v>
      </c>
      <c r="AP104" s="209" t="s">
        <v>816</v>
      </c>
      <c r="AQ104" s="209" t="s">
        <v>816</v>
      </c>
      <c r="AR104" s="209" t="s">
        <v>816</v>
      </c>
      <c r="AS104" s="209" t="s">
        <v>816</v>
      </c>
      <c r="AT104" s="209" t="s">
        <v>816</v>
      </c>
      <c r="AU104" s="209" t="s">
        <v>816</v>
      </c>
      <c r="AV104" s="209" t="s">
        <v>816</v>
      </c>
      <c r="AW104" s="209" t="s">
        <v>816</v>
      </c>
      <c r="AX104" s="209" t="s">
        <v>816</v>
      </c>
      <c r="AY104" s="209" t="s">
        <v>816</v>
      </c>
      <c r="AZ104" s="209" t="s">
        <v>816</v>
      </c>
      <c r="BA104" s="209" t="s">
        <v>816</v>
      </c>
      <c r="BB104" s="209" t="s">
        <v>816</v>
      </c>
      <c r="BC104" s="209" t="s">
        <v>816</v>
      </c>
      <c r="BD104" s="209" t="s">
        <v>816</v>
      </c>
      <c r="BE104" s="209" t="s">
        <v>816</v>
      </c>
      <c r="BF104" s="209" t="s">
        <v>816</v>
      </c>
      <c r="BG104" s="209" t="s">
        <v>816</v>
      </c>
      <c r="BH104" s="209" t="s">
        <v>816</v>
      </c>
      <c r="BI104" s="209" t="s">
        <v>816</v>
      </c>
      <c r="BJ104" s="209" t="s">
        <v>816</v>
      </c>
      <c r="BK104" s="209" t="s">
        <v>816</v>
      </c>
      <c r="BL104" s="209" t="s">
        <v>816</v>
      </c>
      <c r="BM104" s="209" t="s">
        <v>816</v>
      </c>
      <c r="BN104" s="209" t="s">
        <v>816</v>
      </c>
      <c r="BO104" s="209" t="s">
        <v>816</v>
      </c>
      <c r="BP104" s="209" t="s">
        <v>816</v>
      </c>
      <c r="BQ104" s="209" t="s">
        <v>816</v>
      </c>
      <c r="BR104" s="209" t="s">
        <v>816</v>
      </c>
      <c r="BS104" s="209" t="s">
        <v>816</v>
      </c>
      <c r="BT104" s="209" t="s">
        <v>816</v>
      </c>
      <c r="BU104" s="209" t="s">
        <v>816</v>
      </c>
      <c r="BV104" s="209" t="s">
        <v>816</v>
      </c>
    </row>
    <row r="105" spans="1:74" x14ac:dyDescent="0.25">
      <c r="A105" s="149" t="s">
        <v>1987</v>
      </c>
      <c r="B105" s="149" t="s">
        <v>2241</v>
      </c>
      <c r="D105" s="149">
        <v>5</v>
      </c>
      <c r="E105" s="149">
        <v>3</v>
      </c>
      <c r="F105" s="149">
        <v>5</v>
      </c>
      <c r="G105" s="149">
        <v>2</v>
      </c>
      <c r="H105" s="149">
        <v>1</v>
      </c>
      <c r="I105" s="149">
        <v>3</v>
      </c>
      <c r="J105" s="149">
        <v>4</v>
      </c>
      <c r="K105" s="149">
        <v>2</v>
      </c>
      <c r="L105" s="149">
        <v>3</v>
      </c>
      <c r="M105" s="149">
        <v>3</v>
      </c>
      <c r="N105" s="149">
        <v>9</v>
      </c>
      <c r="O105" s="149">
        <v>5</v>
      </c>
      <c r="P105" s="149">
        <v>6</v>
      </c>
      <c r="Q105" s="149">
        <v>5</v>
      </c>
      <c r="R105" s="149">
        <v>5</v>
      </c>
      <c r="S105" s="149">
        <v>3</v>
      </c>
      <c r="T105" s="149">
        <v>0</v>
      </c>
      <c r="U105" s="149" t="s">
        <v>156</v>
      </c>
      <c r="V105" s="149">
        <v>3</v>
      </c>
      <c r="W105" s="149" t="s">
        <v>157</v>
      </c>
      <c r="X105" s="149">
        <v>2</v>
      </c>
      <c r="Y105" s="149" t="s">
        <v>158</v>
      </c>
      <c r="Z105" s="149">
        <v>1</v>
      </c>
      <c r="AA105" s="149" t="s">
        <v>159</v>
      </c>
      <c r="AB105" s="149">
        <v>3</v>
      </c>
      <c r="AC105" s="150" t="s">
        <v>1988</v>
      </c>
      <c r="AD105" s="257" t="s">
        <v>1990</v>
      </c>
      <c r="AE105" s="257" t="s">
        <v>1989</v>
      </c>
      <c r="AF105" s="257" t="s">
        <v>1991</v>
      </c>
      <c r="AG105" s="149" t="s">
        <v>1974</v>
      </c>
      <c r="AH105" s="149">
        <v>11</v>
      </c>
      <c r="AI105" s="149" t="s">
        <v>1923</v>
      </c>
      <c r="AJ105" s="150" t="s">
        <v>816</v>
      </c>
      <c r="AK105" s="149">
        <v>5</v>
      </c>
      <c r="AL105" s="150" t="s">
        <v>816</v>
      </c>
      <c r="AM105" s="209" t="s">
        <v>816</v>
      </c>
      <c r="AN105" s="209" t="s">
        <v>816</v>
      </c>
      <c r="AO105" s="209" t="s">
        <v>816</v>
      </c>
      <c r="AP105" s="209" t="s">
        <v>816</v>
      </c>
      <c r="AQ105" s="209" t="s">
        <v>816</v>
      </c>
      <c r="AR105" s="209" t="s">
        <v>816</v>
      </c>
      <c r="AS105" s="209" t="s">
        <v>816</v>
      </c>
      <c r="AT105" s="209" t="s">
        <v>816</v>
      </c>
      <c r="AU105" s="209" t="s">
        <v>816</v>
      </c>
      <c r="AV105" s="209" t="s">
        <v>816</v>
      </c>
      <c r="AW105" s="209" t="s">
        <v>816</v>
      </c>
      <c r="AX105" s="209" t="s">
        <v>816</v>
      </c>
      <c r="AY105" s="209" t="s">
        <v>816</v>
      </c>
      <c r="AZ105" s="209" t="s">
        <v>816</v>
      </c>
      <c r="BA105" s="209" t="s">
        <v>816</v>
      </c>
      <c r="BB105" s="209" t="s">
        <v>816</v>
      </c>
      <c r="BC105" s="209" t="s">
        <v>816</v>
      </c>
      <c r="BD105" s="209" t="s">
        <v>816</v>
      </c>
      <c r="BE105" s="209" t="s">
        <v>816</v>
      </c>
      <c r="BF105" s="209" t="s">
        <v>816</v>
      </c>
      <c r="BG105" s="209" t="s">
        <v>816</v>
      </c>
      <c r="BH105" s="209" t="s">
        <v>816</v>
      </c>
      <c r="BI105" s="209" t="s">
        <v>816</v>
      </c>
      <c r="BJ105" s="209" t="s">
        <v>816</v>
      </c>
      <c r="BK105" s="209" t="s">
        <v>816</v>
      </c>
      <c r="BL105" s="209" t="s">
        <v>816</v>
      </c>
      <c r="BM105" s="209" t="s">
        <v>816</v>
      </c>
      <c r="BN105" s="209" t="s">
        <v>816</v>
      </c>
      <c r="BO105" s="209" t="s">
        <v>816</v>
      </c>
      <c r="BP105" s="209" t="s">
        <v>816</v>
      </c>
      <c r="BQ105" s="209" t="s">
        <v>816</v>
      </c>
      <c r="BR105" s="209" t="s">
        <v>816</v>
      </c>
      <c r="BS105" s="209" t="s">
        <v>816</v>
      </c>
      <c r="BT105" s="209" t="s">
        <v>816</v>
      </c>
      <c r="BU105" s="209" t="s">
        <v>816</v>
      </c>
      <c r="BV105" s="209" t="s">
        <v>816</v>
      </c>
    </row>
    <row r="106" spans="1:74" x14ac:dyDescent="0.25">
      <c r="A106" s="149" t="s">
        <v>2360</v>
      </c>
      <c r="B106" s="149" t="s">
        <v>2244</v>
      </c>
      <c r="D106" s="149">
        <v>4</v>
      </c>
      <c r="E106" s="149">
        <v>2</v>
      </c>
      <c r="F106" s="149">
        <v>5</v>
      </c>
      <c r="G106" s="149">
        <v>2</v>
      </c>
      <c r="H106" s="149">
        <v>2</v>
      </c>
      <c r="I106" s="149">
        <v>1</v>
      </c>
      <c r="J106" s="149">
        <v>3</v>
      </c>
      <c r="K106" s="149">
        <v>2</v>
      </c>
      <c r="L106" s="149">
        <v>3</v>
      </c>
      <c r="M106" s="149">
        <v>2</v>
      </c>
      <c r="N106" s="149">
        <v>4</v>
      </c>
      <c r="O106" s="149">
        <v>3</v>
      </c>
      <c r="P106" s="149">
        <v>7</v>
      </c>
      <c r="Q106" s="149">
        <v>6</v>
      </c>
      <c r="R106" s="149">
        <v>6</v>
      </c>
      <c r="S106" s="149">
        <v>4</v>
      </c>
      <c r="T106" s="149">
        <v>1</v>
      </c>
      <c r="U106" s="149" t="s">
        <v>162</v>
      </c>
      <c r="V106" s="149">
        <v>4</v>
      </c>
      <c r="W106" s="149" t="s">
        <v>169</v>
      </c>
      <c r="X106" s="149">
        <v>1</v>
      </c>
      <c r="Y106" s="149" t="s">
        <v>163</v>
      </c>
      <c r="Z106" s="149">
        <v>1</v>
      </c>
      <c r="AA106" s="149" t="s">
        <v>164</v>
      </c>
      <c r="AB106" s="149">
        <v>3</v>
      </c>
      <c r="AC106" s="150" t="s">
        <v>2209</v>
      </c>
      <c r="AD106" s="257" t="s">
        <v>2210</v>
      </c>
      <c r="AE106" s="257" t="s">
        <v>2329</v>
      </c>
      <c r="AF106" s="257" t="s">
        <v>2328</v>
      </c>
      <c r="AG106" s="149" t="s">
        <v>702</v>
      </c>
      <c r="AH106" s="149">
        <v>5</v>
      </c>
      <c r="AI106" s="149" t="s">
        <v>1859</v>
      </c>
      <c r="AJ106" s="150" t="s">
        <v>816</v>
      </c>
      <c r="AK106" s="149">
        <v>6</v>
      </c>
      <c r="AL106" s="150" t="s">
        <v>816</v>
      </c>
      <c r="AM106" s="149" t="s">
        <v>720</v>
      </c>
      <c r="AN106" s="149">
        <v>4</v>
      </c>
      <c r="AO106" s="149" t="s">
        <v>1864</v>
      </c>
      <c r="AP106" s="149">
        <v>2</v>
      </c>
      <c r="AQ106" s="149">
        <v>5</v>
      </c>
      <c r="AR106" s="150" t="s">
        <v>816</v>
      </c>
      <c r="AS106" s="149" t="s">
        <v>721</v>
      </c>
      <c r="AT106" s="149">
        <v>6</v>
      </c>
      <c r="AU106" s="149" t="s">
        <v>1859</v>
      </c>
      <c r="AV106" s="149">
        <v>3</v>
      </c>
      <c r="AW106" s="149">
        <v>4</v>
      </c>
      <c r="AX106" s="150" t="s">
        <v>816</v>
      </c>
      <c r="AY106" s="149" t="s">
        <v>724</v>
      </c>
      <c r="AZ106" s="149">
        <v>6</v>
      </c>
      <c r="BA106" s="149" t="s">
        <v>1923</v>
      </c>
      <c r="BB106" s="149">
        <v>3</v>
      </c>
      <c r="BC106" s="149">
        <v>4</v>
      </c>
      <c r="BD106" s="150" t="s">
        <v>816</v>
      </c>
      <c r="BE106" s="149" t="s">
        <v>728</v>
      </c>
      <c r="BF106" s="149">
        <v>6</v>
      </c>
      <c r="BG106" s="149" t="s">
        <v>1865</v>
      </c>
      <c r="BH106" s="150" t="s">
        <v>816</v>
      </c>
      <c r="BI106" s="149">
        <v>5</v>
      </c>
      <c r="BJ106" s="149">
        <v>30</v>
      </c>
      <c r="BK106" s="209" t="s">
        <v>816</v>
      </c>
      <c r="BL106" s="209" t="s">
        <v>816</v>
      </c>
      <c r="BM106" s="209" t="s">
        <v>816</v>
      </c>
      <c r="BN106" s="209" t="s">
        <v>816</v>
      </c>
      <c r="BO106" s="209" t="s">
        <v>816</v>
      </c>
      <c r="BP106" s="209" t="s">
        <v>816</v>
      </c>
      <c r="BQ106" s="209" t="s">
        <v>816</v>
      </c>
      <c r="BR106" s="209" t="s">
        <v>816</v>
      </c>
      <c r="BS106" s="209" t="s">
        <v>816</v>
      </c>
      <c r="BT106" s="209" t="s">
        <v>816</v>
      </c>
      <c r="BU106" s="209" t="s">
        <v>816</v>
      </c>
      <c r="BV106" s="209" t="s">
        <v>816</v>
      </c>
    </row>
    <row r="107" spans="1:74" x14ac:dyDescent="0.25">
      <c r="A107" s="149" t="s">
        <v>1881</v>
      </c>
      <c r="B107" s="149" t="s">
        <v>2244</v>
      </c>
      <c r="D107" s="149">
        <v>5</v>
      </c>
      <c r="E107" s="149">
        <v>5</v>
      </c>
      <c r="F107" s="149">
        <v>5</v>
      </c>
      <c r="G107" s="149">
        <v>3</v>
      </c>
      <c r="H107" s="149">
        <v>2</v>
      </c>
      <c r="I107" s="149">
        <v>5</v>
      </c>
      <c r="J107" s="149">
        <v>3</v>
      </c>
      <c r="K107" s="149">
        <v>3</v>
      </c>
      <c r="L107" s="149">
        <v>4</v>
      </c>
      <c r="M107" s="149">
        <v>1</v>
      </c>
      <c r="N107" s="149">
        <v>1</v>
      </c>
      <c r="O107" s="149">
        <v>5</v>
      </c>
      <c r="P107" s="149">
        <v>6</v>
      </c>
      <c r="Q107" s="149">
        <v>7</v>
      </c>
      <c r="R107" s="149">
        <v>6</v>
      </c>
      <c r="S107" s="149">
        <v>2</v>
      </c>
      <c r="T107" s="149">
        <v>2</v>
      </c>
      <c r="U107" s="149" t="s">
        <v>158</v>
      </c>
      <c r="V107" s="149">
        <v>2</v>
      </c>
      <c r="W107" s="149" t="s">
        <v>163</v>
      </c>
      <c r="X107" s="149">
        <v>2</v>
      </c>
      <c r="Y107" s="149" t="s">
        <v>164</v>
      </c>
      <c r="Z107" s="149">
        <v>4</v>
      </c>
      <c r="AA107" s="149" t="s">
        <v>173</v>
      </c>
      <c r="AB107" s="149">
        <v>1</v>
      </c>
      <c r="AC107" s="150" t="s">
        <v>1831</v>
      </c>
      <c r="AD107" s="257" t="s">
        <v>1876</v>
      </c>
      <c r="AE107" s="257" t="s">
        <v>494</v>
      </c>
      <c r="AF107" s="257" t="s">
        <v>2312</v>
      </c>
      <c r="AG107" s="149" t="s">
        <v>720</v>
      </c>
      <c r="AH107" s="150">
        <v>8</v>
      </c>
      <c r="AI107" s="150" t="s">
        <v>1877</v>
      </c>
      <c r="AJ107" s="150">
        <v>4</v>
      </c>
      <c r="AK107" s="149">
        <v>5</v>
      </c>
      <c r="AL107" s="150" t="s">
        <v>816</v>
      </c>
      <c r="AM107" s="149" t="s">
        <v>721</v>
      </c>
      <c r="AN107" s="150">
        <v>10</v>
      </c>
      <c r="AO107" s="150" t="s">
        <v>1834</v>
      </c>
      <c r="AP107" s="150">
        <v>5</v>
      </c>
      <c r="AQ107" s="149">
        <v>4</v>
      </c>
      <c r="AR107" s="150" t="s">
        <v>816</v>
      </c>
      <c r="AS107" s="149" t="s">
        <v>739</v>
      </c>
      <c r="AT107" s="150">
        <v>8</v>
      </c>
      <c r="AU107" s="150" t="s">
        <v>1865</v>
      </c>
      <c r="AV107" s="150" t="s">
        <v>816</v>
      </c>
      <c r="AW107" s="149">
        <v>5</v>
      </c>
      <c r="AX107" s="149">
        <v>125</v>
      </c>
      <c r="AY107" s="150" t="s">
        <v>738</v>
      </c>
      <c r="AZ107" s="150">
        <v>9</v>
      </c>
      <c r="BA107" s="149" t="s">
        <v>1865</v>
      </c>
      <c r="BB107" s="150" t="s">
        <v>816</v>
      </c>
      <c r="BC107" s="149">
        <v>5</v>
      </c>
      <c r="BD107" s="149">
        <v>150</v>
      </c>
      <c r="BE107" s="149" t="s">
        <v>731</v>
      </c>
      <c r="BF107" s="150">
        <v>10</v>
      </c>
      <c r="BG107" s="149" t="s">
        <v>1843</v>
      </c>
      <c r="BH107" s="150" t="s">
        <v>816</v>
      </c>
      <c r="BI107" s="149">
        <v>4</v>
      </c>
      <c r="BJ107" s="149">
        <v>20</v>
      </c>
      <c r="BK107" s="149" t="s">
        <v>733</v>
      </c>
      <c r="BL107" s="150">
        <v>9</v>
      </c>
      <c r="BM107" s="149" t="s">
        <v>1865</v>
      </c>
      <c r="BN107" s="150" t="s">
        <v>816</v>
      </c>
      <c r="BO107" s="149">
        <v>5</v>
      </c>
      <c r="BP107" s="149">
        <v>50</v>
      </c>
      <c r="BQ107" s="149" t="s">
        <v>734</v>
      </c>
      <c r="BR107" s="150">
        <v>11</v>
      </c>
      <c r="BS107" s="149" t="s">
        <v>1879</v>
      </c>
      <c r="BT107" s="150" t="s">
        <v>816</v>
      </c>
      <c r="BU107" s="149">
        <v>5</v>
      </c>
      <c r="BV107" s="149">
        <v>20</v>
      </c>
    </row>
    <row r="108" spans="1:74" x14ac:dyDescent="0.25">
      <c r="A108" s="149" t="s">
        <v>2183</v>
      </c>
      <c r="B108" s="149" t="s">
        <v>2244</v>
      </c>
      <c r="D108" s="149">
        <v>4</v>
      </c>
      <c r="E108" s="149">
        <v>4</v>
      </c>
      <c r="F108" s="149">
        <v>4</v>
      </c>
      <c r="G108" s="149">
        <v>3</v>
      </c>
      <c r="H108" s="149">
        <v>2</v>
      </c>
      <c r="I108" s="149">
        <v>3</v>
      </c>
      <c r="J108" s="149">
        <v>3</v>
      </c>
      <c r="K108" s="149">
        <v>3</v>
      </c>
      <c r="L108" s="149">
        <v>4</v>
      </c>
      <c r="M108" s="149">
        <v>0</v>
      </c>
      <c r="N108" s="149">
        <v>0</v>
      </c>
      <c r="O108" s="149">
        <v>4</v>
      </c>
      <c r="P108" s="149">
        <v>6</v>
      </c>
      <c r="Q108" s="149">
        <v>7</v>
      </c>
      <c r="R108" s="149">
        <v>7</v>
      </c>
      <c r="S108" s="149">
        <v>3</v>
      </c>
      <c r="T108" s="149">
        <v>1</v>
      </c>
      <c r="U108" s="149" t="str">
        <f>CharacterSheet!$G$40</f>
        <v/>
      </c>
      <c r="V108" s="149">
        <v>1</v>
      </c>
      <c r="W108" s="149" t="str">
        <f>CharacterSheet!$G$41</f>
        <v/>
      </c>
      <c r="X108" s="149">
        <v>3</v>
      </c>
      <c r="Y108" s="149" t="str">
        <f>CharacterSheet!$M$40</f>
        <v/>
      </c>
      <c r="Z108" s="149">
        <v>2</v>
      </c>
      <c r="AA108" s="149" t="str">
        <f>CharacterSheet!$M$41</f>
        <v/>
      </c>
      <c r="AB108" s="149">
        <v>3</v>
      </c>
      <c r="AC108" s="150" t="s">
        <v>1831</v>
      </c>
      <c r="AD108" s="257" t="s">
        <v>1876</v>
      </c>
      <c r="AE108" s="257" t="s">
        <v>2187</v>
      </c>
      <c r="AF108" s="257" t="s">
        <v>2188</v>
      </c>
      <c r="AG108" s="149" t="s">
        <v>702</v>
      </c>
      <c r="AH108" s="150">
        <v>8</v>
      </c>
      <c r="AI108" s="150" t="s">
        <v>1878</v>
      </c>
      <c r="AJ108" s="150" t="s">
        <v>816</v>
      </c>
      <c r="AK108" s="149">
        <v>6</v>
      </c>
      <c r="AL108" s="150" t="s">
        <v>816</v>
      </c>
      <c r="AM108" s="149" t="s">
        <v>720</v>
      </c>
      <c r="AN108" s="150">
        <v>7</v>
      </c>
      <c r="AO108" s="150" t="s">
        <v>1877</v>
      </c>
      <c r="AP108" s="150">
        <v>3</v>
      </c>
      <c r="AQ108" s="149">
        <v>5</v>
      </c>
      <c r="AR108" s="150" t="s">
        <v>816</v>
      </c>
      <c r="AS108" s="149" t="s">
        <v>721</v>
      </c>
      <c r="AT108" s="150">
        <v>9</v>
      </c>
      <c r="AU108" s="150" t="s">
        <v>1878</v>
      </c>
      <c r="AV108" s="150">
        <v>5</v>
      </c>
      <c r="AW108" s="149">
        <v>4</v>
      </c>
      <c r="AX108" s="150" t="s">
        <v>816</v>
      </c>
      <c r="AY108" s="149" t="s">
        <v>716</v>
      </c>
      <c r="AZ108" s="150">
        <v>9</v>
      </c>
      <c r="BA108" s="149" t="s">
        <v>1940</v>
      </c>
      <c r="BB108" s="150">
        <v>5</v>
      </c>
      <c r="BC108" s="149">
        <v>4</v>
      </c>
      <c r="BD108" s="150" t="s">
        <v>816</v>
      </c>
      <c r="BE108" s="149" t="s">
        <v>715</v>
      </c>
      <c r="BF108" s="150">
        <v>9</v>
      </c>
      <c r="BG108" s="150" t="s">
        <v>1941</v>
      </c>
      <c r="BH108" s="150">
        <v>4</v>
      </c>
      <c r="BI108" s="149">
        <v>5</v>
      </c>
      <c r="BJ108" s="150" t="s">
        <v>816</v>
      </c>
      <c r="BK108" s="149" t="s">
        <v>1935</v>
      </c>
      <c r="BL108" s="150">
        <v>8</v>
      </c>
      <c r="BM108" s="150" t="s">
        <v>1843</v>
      </c>
      <c r="BN108" s="150" t="s">
        <v>816</v>
      </c>
      <c r="BO108" s="149">
        <v>6</v>
      </c>
      <c r="BP108" s="149">
        <v>40</v>
      </c>
      <c r="BQ108" s="149" t="s">
        <v>1936</v>
      </c>
      <c r="BR108" s="150">
        <v>9</v>
      </c>
      <c r="BS108" s="150" t="s">
        <v>1923</v>
      </c>
      <c r="BT108" s="149">
        <v>4</v>
      </c>
      <c r="BU108" s="149">
        <v>4</v>
      </c>
      <c r="BV108" s="150" t="s">
        <v>816</v>
      </c>
    </row>
    <row r="109" spans="1:74" x14ac:dyDescent="0.25">
      <c r="A109" s="149" t="s">
        <v>1884</v>
      </c>
      <c r="B109" s="149" t="s">
        <v>2244</v>
      </c>
      <c r="D109" s="149">
        <v>5</v>
      </c>
      <c r="E109" s="149">
        <v>5</v>
      </c>
      <c r="F109" s="149">
        <v>5</v>
      </c>
      <c r="G109" s="149">
        <v>3</v>
      </c>
      <c r="H109" s="149">
        <v>2</v>
      </c>
      <c r="I109" s="149">
        <v>5</v>
      </c>
      <c r="J109" s="149">
        <v>3</v>
      </c>
      <c r="K109" s="149">
        <v>3</v>
      </c>
      <c r="L109" s="149">
        <v>4</v>
      </c>
      <c r="M109" s="149">
        <v>1</v>
      </c>
      <c r="N109" s="149">
        <v>1</v>
      </c>
      <c r="O109" s="149">
        <v>5</v>
      </c>
      <c r="P109" s="149">
        <v>6</v>
      </c>
      <c r="Q109" s="149">
        <v>7</v>
      </c>
      <c r="R109" s="149">
        <v>6</v>
      </c>
      <c r="S109" s="149">
        <v>2</v>
      </c>
      <c r="T109" s="149">
        <v>2</v>
      </c>
      <c r="U109" s="149" t="s">
        <v>169</v>
      </c>
      <c r="V109" s="149">
        <v>2</v>
      </c>
      <c r="W109" s="149" t="s">
        <v>171</v>
      </c>
      <c r="X109" s="149">
        <v>2</v>
      </c>
      <c r="Y109" s="149" t="s">
        <v>176</v>
      </c>
      <c r="Z109" s="149">
        <v>4</v>
      </c>
      <c r="AA109" s="149" t="s">
        <v>173</v>
      </c>
      <c r="AB109" s="149">
        <v>1</v>
      </c>
      <c r="AC109" s="150" t="s">
        <v>1831</v>
      </c>
      <c r="AD109" s="257" t="s">
        <v>1876</v>
      </c>
      <c r="AE109" s="257" t="s">
        <v>494</v>
      </c>
      <c r="AF109" s="257" t="s">
        <v>2312</v>
      </c>
      <c r="AG109" s="149" t="s">
        <v>720</v>
      </c>
      <c r="AH109" s="150">
        <v>8</v>
      </c>
      <c r="AI109" s="150" t="s">
        <v>1877</v>
      </c>
      <c r="AJ109" s="150">
        <v>4</v>
      </c>
      <c r="AK109" s="149">
        <v>5</v>
      </c>
      <c r="AL109" s="150" t="s">
        <v>816</v>
      </c>
      <c r="AM109" s="149" t="s">
        <v>721</v>
      </c>
      <c r="AN109" s="150">
        <v>10</v>
      </c>
      <c r="AO109" s="150" t="s">
        <v>1834</v>
      </c>
      <c r="AP109" s="150">
        <v>5</v>
      </c>
      <c r="AQ109" s="149">
        <v>4</v>
      </c>
      <c r="AR109" s="150" t="s">
        <v>816</v>
      </c>
      <c r="AS109" s="149" t="s">
        <v>739</v>
      </c>
      <c r="AT109" s="150">
        <v>8</v>
      </c>
      <c r="AU109" s="150" t="s">
        <v>1865</v>
      </c>
      <c r="AV109" s="150" t="s">
        <v>816</v>
      </c>
      <c r="AW109" s="149">
        <v>5</v>
      </c>
      <c r="AX109" s="149">
        <v>125</v>
      </c>
      <c r="AY109" s="150" t="s">
        <v>738</v>
      </c>
      <c r="AZ109" s="150">
        <v>9</v>
      </c>
      <c r="BA109" s="149" t="s">
        <v>1865</v>
      </c>
      <c r="BB109" s="150" t="s">
        <v>816</v>
      </c>
      <c r="BC109" s="149">
        <v>5</v>
      </c>
      <c r="BD109" s="149">
        <v>150</v>
      </c>
      <c r="BE109" s="149" t="s">
        <v>731</v>
      </c>
      <c r="BF109" s="150">
        <v>10</v>
      </c>
      <c r="BG109" s="149" t="s">
        <v>1843</v>
      </c>
      <c r="BH109" s="150" t="s">
        <v>816</v>
      </c>
      <c r="BI109" s="149">
        <v>4</v>
      </c>
      <c r="BJ109" s="149">
        <v>20</v>
      </c>
      <c r="BK109" s="149" t="s">
        <v>733</v>
      </c>
      <c r="BL109" s="150">
        <v>9</v>
      </c>
      <c r="BM109" s="149" t="s">
        <v>1865</v>
      </c>
      <c r="BN109" s="150" t="s">
        <v>816</v>
      </c>
      <c r="BO109" s="149">
        <v>5</v>
      </c>
      <c r="BP109" s="149">
        <v>50</v>
      </c>
      <c r="BQ109" s="149" t="s">
        <v>734</v>
      </c>
      <c r="BR109" s="150">
        <v>11</v>
      </c>
      <c r="BS109" s="149" t="s">
        <v>1879</v>
      </c>
      <c r="BT109" s="150" t="s">
        <v>816</v>
      </c>
      <c r="BU109" s="149">
        <v>5</v>
      </c>
      <c r="BV109" s="149">
        <v>20</v>
      </c>
    </row>
    <row r="110" spans="1:74" x14ac:dyDescent="0.25">
      <c r="A110" s="149" t="s">
        <v>2166</v>
      </c>
      <c r="B110" s="149" t="s">
        <v>2244</v>
      </c>
      <c r="D110" s="149">
        <v>4</v>
      </c>
      <c r="E110" s="149">
        <v>4</v>
      </c>
      <c r="F110" s="149">
        <v>4</v>
      </c>
      <c r="G110" s="149">
        <v>3</v>
      </c>
      <c r="H110" s="149">
        <v>2</v>
      </c>
      <c r="I110" s="149">
        <v>3</v>
      </c>
      <c r="J110" s="149">
        <v>3</v>
      </c>
      <c r="K110" s="149">
        <v>3</v>
      </c>
      <c r="L110" s="149">
        <v>4</v>
      </c>
      <c r="M110" s="149">
        <v>0</v>
      </c>
      <c r="N110" s="149">
        <v>0</v>
      </c>
      <c r="O110" s="149">
        <v>4</v>
      </c>
      <c r="P110" s="149">
        <v>7</v>
      </c>
      <c r="Q110" s="149">
        <v>7</v>
      </c>
      <c r="R110" s="149">
        <v>7</v>
      </c>
      <c r="S110" s="149">
        <v>3</v>
      </c>
      <c r="T110" s="149">
        <v>1</v>
      </c>
      <c r="U110" s="149" t="s">
        <v>156</v>
      </c>
      <c r="V110" s="149">
        <v>4</v>
      </c>
      <c r="W110" s="149" t="s">
        <v>158</v>
      </c>
      <c r="X110" s="149">
        <v>1</v>
      </c>
      <c r="Y110" s="149" t="s">
        <v>163</v>
      </c>
      <c r="Z110" s="149">
        <v>1</v>
      </c>
      <c r="AA110" s="149" t="s">
        <v>176</v>
      </c>
      <c r="AB110" s="149">
        <v>3</v>
      </c>
      <c r="AC110" s="150" t="s">
        <v>1831</v>
      </c>
      <c r="AD110" s="257" t="s">
        <v>1876</v>
      </c>
      <c r="AE110" s="257" t="s">
        <v>2170</v>
      </c>
      <c r="AF110" s="257" t="s">
        <v>2172</v>
      </c>
      <c r="AG110" s="149" t="s">
        <v>702</v>
      </c>
      <c r="AH110" s="150">
        <v>8</v>
      </c>
      <c r="AI110" s="150" t="s">
        <v>1878</v>
      </c>
      <c r="AJ110" s="150" t="s">
        <v>816</v>
      </c>
      <c r="AK110" s="149">
        <v>6</v>
      </c>
      <c r="AL110" s="150" t="s">
        <v>816</v>
      </c>
      <c r="AM110" s="149" t="s">
        <v>720</v>
      </c>
      <c r="AN110" s="150">
        <v>7</v>
      </c>
      <c r="AO110" s="150" t="s">
        <v>1877</v>
      </c>
      <c r="AP110" s="150">
        <v>3</v>
      </c>
      <c r="AQ110" s="149">
        <v>5</v>
      </c>
      <c r="AR110" s="150" t="s">
        <v>816</v>
      </c>
      <c r="AS110" s="149" t="s">
        <v>721</v>
      </c>
      <c r="AT110" s="150">
        <v>9</v>
      </c>
      <c r="AU110" s="150" t="s">
        <v>1878</v>
      </c>
      <c r="AV110" s="150">
        <v>5</v>
      </c>
      <c r="AW110" s="149">
        <v>4</v>
      </c>
      <c r="AX110" s="150" t="s">
        <v>816</v>
      </c>
      <c r="AY110" s="149" t="s">
        <v>716</v>
      </c>
      <c r="AZ110" s="150">
        <v>9</v>
      </c>
      <c r="BA110" s="149" t="s">
        <v>1940</v>
      </c>
      <c r="BB110" s="150">
        <v>5</v>
      </c>
      <c r="BC110" s="149">
        <v>4</v>
      </c>
      <c r="BD110" s="150" t="s">
        <v>816</v>
      </c>
      <c r="BE110" s="149" t="s">
        <v>715</v>
      </c>
      <c r="BF110" s="150">
        <v>9</v>
      </c>
      <c r="BG110" s="150" t="s">
        <v>1941</v>
      </c>
      <c r="BH110" s="150">
        <v>4</v>
      </c>
      <c r="BI110" s="149">
        <v>5</v>
      </c>
      <c r="BJ110" s="150" t="s">
        <v>816</v>
      </c>
      <c r="BK110" s="149" t="s">
        <v>1935</v>
      </c>
      <c r="BL110" s="150">
        <v>8</v>
      </c>
      <c r="BM110" s="150" t="s">
        <v>1843</v>
      </c>
      <c r="BN110" s="150" t="s">
        <v>816</v>
      </c>
      <c r="BO110" s="149">
        <v>6</v>
      </c>
      <c r="BP110" s="149">
        <v>40</v>
      </c>
      <c r="BQ110" s="149" t="s">
        <v>1936</v>
      </c>
      <c r="BR110" s="150">
        <v>9</v>
      </c>
      <c r="BS110" s="150" t="s">
        <v>1923</v>
      </c>
      <c r="BT110" s="149">
        <v>4</v>
      </c>
      <c r="BU110" s="149">
        <v>4</v>
      </c>
      <c r="BV110" s="150" t="s">
        <v>816</v>
      </c>
    </row>
    <row r="111" spans="1:74" x14ac:dyDescent="0.25">
      <c r="A111" s="149" t="s">
        <v>2160</v>
      </c>
      <c r="B111" s="149" t="s">
        <v>2244</v>
      </c>
      <c r="D111" s="149">
        <v>4</v>
      </c>
      <c r="E111" s="149">
        <v>4</v>
      </c>
      <c r="F111" s="149">
        <v>4</v>
      </c>
      <c r="G111" s="149">
        <v>3</v>
      </c>
      <c r="H111" s="149">
        <v>2</v>
      </c>
      <c r="I111" s="149">
        <v>3</v>
      </c>
      <c r="J111" s="149">
        <v>3</v>
      </c>
      <c r="K111" s="149">
        <v>3</v>
      </c>
      <c r="L111" s="149">
        <v>4</v>
      </c>
      <c r="M111" s="149">
        <v>0</v>
      </c>
      <c r="N111" s="149">
        <v>0</v>
      </c>
      <c r="O111" s="149">
        <v>4</v>
      </c>
      <c r="P111" s="149">
        <v>7</v>
      </c>
      <c r="Q111" s="149">
        <v>7</v>
      </c>
      <c r="R111" s="149">
        <v>6</v>
      </c>
      <c r="S111" s="149">
        <v>2</v>
      </c>
      <c r="T111" s="149">
        <v>2</v>
      </c>
      <c r="U111" s="149" t="s">
        <v>156</v>
      </c>
      <c r="V111" s="149">
        <v>5</v>
      </c>
      <c r="W111" s="149" t="s">
        <v>158</v>
      </c>
      <c r="X111" s="149">
        <v>1</v>
      </c>
      <c r="Y111" s="149" t="s">
        <v>163</v>
      </c>
      <c r="Z111" s="149">
        <v>1</v>
      </c>
      <c r="AA111" s="149" t="s">
        <v>176</v>
      </c>
      <c r="AB111" s="149">
        <v>2</v>
      </c>
      <c r="AC111" s="150" t="s">
        <v>1831</v>
      </c>
      <c r="AD111" s="257" t="s">
        <v>1876</v>
      </c>
      <c r="AE111" s="257" t="s">
        <v>2169</v>
      </c>
      <c r="AF111" s="257" t="s">
        <v>2314</v>
      </c>
      <c r="AG111" s="149" t="s">
        <v>720</v>
      </c>
      <c r="AH111" s="149">
        <v>7</v>
      </c>
      <c r="AI111" s="149" t="s">
        <v>1877</v>
      </c>
      <c r="AJ111" s="149">
        <v>3</v>
      </c>
      <c r="AK111" s="149">
        <v>5</v>
      </c>
      <c r="AL111" s="150" t="s">
        <v>816</v>
      </c>
      <c r="AM111" s="149" t="s">
        <v>721</v>
      </c>
      <c r="AN111" s="149">
        <v>9</v>
      </c>
      <c r="AO111" s="149" t="s">
        <v>1878</v>
      </c>
      <c r="AP111" s="149">
        <v>4</v>
      </c>
      <c r="AQ111" s="149">
        <v>4</v>
      </c>
      <c r="AR111" s="150" t="s">
        <v>816</v>
      </c>
      <c r="AS111" s="149" t="s">
        <v>739</v>
      </c>
      <c r="AT111" s="149">
        <v>7</v>
      </c>
      <c r="AU111" s="149" t="s">
        <v>1865</v>
      </c>
      <c r="AV111" s="150" t="s">
        <v>816</v>
      </c>
      <c r="AW111" s="149">
        <v>5</v>
      </c>
      <c r="AX111" s="149">
        <v>125</v>
      </c>
      <c r="AY111" s="150" t="s">
        <v>738</v>
      </c>
      <c r="AZ111" s="149">
        <v>8</v>
      </c>
      <c r="BA111" s="149" t="s">
        <v>1865</v>
      </c>
      <c r="BB111" s="150" t="s">
        <v>816</v>
      </c>
      <c r="BC111" s="149">
        <v>5</v>
      </c>
      <c r="BD111" s="149">
        <v>150</v>
      </c>
      <c r="BE111" s="149" t="s">
        <v>731</v>
      </c>
      <c r="BF111" s="149">
        <v>9</v>
      </c>
      <c r="BG111" s="149" t="s">
        <v>1843</v>
      </c>
      <c r="BH111" s="150" t="s">
        <v>816</v>
      </c>
      <c r="BI111" s="149">
        <v>4</v>
      </c>
      <c r="BJ111" s="149">
        <v>20</v>
      </c>
      <c r="BK111" s="149" t="s">
        <v>733</v>
      </c>
      <c r="BL111" s="149">
        <v>8</v>
      </c>
      <c r="BM111" s="149" t="s">
        <v>1865</v>
      </c>
      <c r="BN111" s="150" t="s">
        <v>816</v>
      </c>
      <c r="BO111" s="149">
        <v>5</v>
      </c>
      <c r="BP111" s="149">
        <v>50</v>
      </c>
      <c r="BQ111" s="149" t="s">
        <v>734</v>
      </c>
      <c r="BR111" s="149">
        <v>10</v>
      </c>
      <c r="BS111" s="149" t="s">
        <v>1879</v>
      </c>
      <c r="BT111" s="150" t="s">
        <v>816</v>
      </c>
      <c r="BU111" s="149">
        <v>5</v>
      </c>
      <c r="BV111" s="149">
        <v>20</v>
      </c>
    </row>
    <row r="112" spans="1:74" x14ac:dyDescent="0.25">
      <c r="A112" s="149" t="s">
        <v>2191</v>
      </c>
      <c r="B112" s="149" t="s">
        <v>2244</v>
      </c>
      <c r="D112" s="149">
        <v>4</v>
      </c>
      <c r="E112" s="149">
        <v>4</v>
      </c>
      <c r="F112" s="149">
        <v>3</v>
      </c>
      <c r="G112" s="149">
        <v>1</v>
      </c>
      <c r="H112" s="149">
        <v>1</v>
      </c>
      <c r="I112" s="149">
        <v>1</v>
      </c>
      <c r="J112" s="149">
        <v>2</v>
      </c>
      <c r="K112" s="149">
        <v>2</v>
      </c>
      <c r="L112" s="149">
        <v>3</v>
      </c>
      <c r="M112" s="149">
        <v>2</v>
      </c>
      <c r="N112" s="149">
        <v>5</v>
      </c>
      <c r="O112" s="149">
        <v>5</v>
      </c>
      <c r="P112" s="149">
        <v>5</v>
      </c>
      <c r="Q112" s="149">
        <v>6</v>
      </c>
      <c r="R112" s="149">
        <v>3</v>
      </c>
      <c r="S112" s="149">
        <v>2</v>
      </c>
      <c r="T112" s="149">
        <v>0</v>
      </c>
      <c r="U112" s="149" t="s">
        <v>2125</v>
      </c>
      <c r="V112" s="149">
        <v>3</v>
      </c>
      <c r="W112" s="209" t="s">
        <v>816</v>
      </c>
      <c r="X112" s="209" t="s">
        <v>816</v>
      </c>
      <c r="Y112" s="209" t="s">
        <v>816</v>
      </c>
      <c r="Z112" s="209" t="s">
        <v>816</v>
      </c>
      <c r="AA112" s="209" t="s">
        <v>816</v>
      </c>
      <c r="AB112" s="209" t="s">
        <v>816</v>
      </c>
      <c r="AC112" s="150" t="s">
        <v>1976</v>
      </c>
      <c r="AD112" s="257" t="s">
        <v>2189</v>
      </c>
      <c r="AE112" s="257" t="s">
        <v>2315</v>
      </c>
      <c r="AF112" s="257" t="s">
        <v>494</v>
      </c>
      <c r="AG112" s="149" t="s">
        <v>702</v>
      </c>
      <c r="AH112" s="149">
        <v>6</v>
      </c>
      <c r="AI112" s="149" t="s">
        <v>1878</v>
      </c>
      <c r="AJ112" s="150" t="s">
        <v>816</v>
      </c>
      <c r="AK112" s="149">
        <v>6</v>
      </c>
      <c r="AL112" s="150" t="s">
        <v>816</v>
      </c>
      <c r="AM112" s="149" t="s">
        <v>720</v>
      </c>
      <c r="AN112" s="149">
        <v>5</v>
      </c>
      <c r="AO112" s="149" t="s">
        <v>1877</v>
      </c>
      <c r="AP112" s="149">
        <v>2</v>
      </c>
      <c r="AQ112" s="149">
        <v>5</v>
      </c>
      <c r="AR112" s="150" t="s">
        <v>816</v>
      </c>
      <c r="AS112" s="149" t="s">
        <v>721</v>
      </c>
      <c r="AT112" s="149">
        <v>7</v>
      </c>
      <c r="AU112" s="149" t="s">
        <v>1878</v>
      </c>
      <c r="AV112" s="149">
        <v>4</v>
      </c>
      <c r="AW112" s="149">
        <v>4</v>
      </c>
      <c r="AX112" s="150" t="s">
        <v>816</v>
      </c>
      <c r="AY112" s="209" t="s">
        <v>816</v>
      </c>
      <c r="AZ112" s="209" t="s">
        <v>816</v>
      </c>
      <c r="BA112" s="209" t="s">
        <v>816</v>
      </c>
      <c r="BB112" s="209" t="s">
        <v>816</v>
      </c>
      <c r="BC112" s="209" t="s">
        <v>816</v>
      </c>
      <c r="BD112" s="209" t="s">
        <v>816</v>
      </c>
      <c r="BE112" s="209" t="s">
        <v>816</v>
      </c>
      <c r="BF112" s="209" t="s">
        <v>816</v>
      </c>
      <c r="BG112" s="209" t="s">
        <v>816</v>
      </c>
      <c r="BH112" s="209" t="s">
        <v>816</v>
      </c>
      <c r="BI112" s="209" t="s">
        <v>816</v>
      </c>
      <c r="BJ112" s="209" t="s">
        <v>816</v>
      </c>
      <c r="BK112" s="209" t="s">
        <v>816</v>
      </c>
      <c r="BL112" s="209" t="s">
        <v>816</v>
      </c>
      <c r="BM112" s="209" t="s">
        <v>816</v>
      </c>
      <c r="BN112" s="209" t="s">
        <v>816</v>
      </c>
      <c r="BO112" s="209" t="s">
        <v>816</v>
      </c>
      <c r="BP112" s="209" t="s">
        <v>816</v>
      </c>
      <c r="BQ112" s="209" t="s">
        <v>816</v>
      </c>
      <c r="BR112" s="209" t="s">
        <v>816</v>
      </c>
      <c r="BS112" s="209" t="s">
        <v>816</v>
      </c>
      <c r="BT112" s="209" t="s">
        <v>816</v>
      </c>
      <c r="BU112" s="209" t="s">
        <v>816</v>
      </c>
      <c r="BV112" s="209" t="s">
        <v>816</v>
      </c>
    </row>
    <row r="113" spans="1:74" x14ac:dyDescent="0.25">
      <c r="A113" s="149" t="s">
        <v>2163</v>
      </c>
      <c r="B113" s="149" t="s">
        <v>2244</v>
      </c>
      <c r="D113" s="149">
        <v>4</v>
      </c>
      <c r="E113" s="149">
        <v>4</v>
      </c>
      <c r="F113" s="149">
        <v>4</v>
      </c>
      <c r="G113" s="149">
        <v>3</v>
      </c>
      <c r="H113" s="149">
        <v>2</v>
      </c>
      <c r="I113" s="149">
        <v>3</v>
      </c>
      <c r="J113" s="149">
        <v>3</v>
      </c>
      <c r="K113" s="149">
        <v>3</v>
      </c>
      <c r="L113" s="149">
        <v>4</v>
      </c>
      <c r="M113" s="149">
        <v>0</v>
      </c>
      <c r="N113" s="149">
        <v>0</v>
      </c>
      <c r="O113" s="149">
        <v>4</v>
      </c>
      <c r="P113" s="149">
        <v>7</v>
      </c>
      <c r="Q113" s="149">
        <v>7</v>
      </c>
      <c r="R113" s="149">
        <v>7</v>
      </c>
      <c r="S113" s="149">
        <v>3</v>
      </c>
      <c r="T113" s="149">
        <v>1</v>
      </c>
      <c r="U113" s="149" t="s">
        <v>156</v>
      </c>
      <c r="V113" s="149">
        <v>4</v>
      </c>
      <c r="W113" s="149" t="s">
        <v>158</v>
      </c>
      <c r="X113" s="149">
        <v>1</v>
      </c>
      <c r="Y113" s="149" t="s">
        <v>163</v>
      </c>
      <c r="Z113" s="149">
        <v>1</v>
      </c>
      <c r="AA113" s="149" t="s">
        <v>176</v>
      </c>
      <c r="AB113" s="149">
        <v>3</v>
      </c>
      <c r="AC113" s="150" t="s">
        <v>1831</v>
      </c>
      <c r="AD113" s="257" t="s">
        <v>1876</v>
      </c>
      <c r="AE113" s="257" t="s">
        <v>2170</v>
      </c>
      <c r="AF113" s="257" t="s">
        <v>2171</v>
      </c>
      <c r="AG113" s="149" t="s">
        <v>702</v>
      </c>
      <c r="AH113" s="150">
        <v>8</v>
      </c>
      <c r="AI113" s="150" t="s">
        <v>1878</v>
      </c>
      <c r="AJ113" s="150" t="s">
        <v>816</v>
      </c>
      <c r="AK113" s="149">
        <v>6</v>
      </c>
      <c r="AL113" s="150" t="s">
        <v>816</v>
      </c>
      <c r="AM113" s="149" t="s">
        <v>720</v>
      </c>
      <c r="AN113" s="150">
        <v>7</v>
      </c>
      <c r="AO113" s="150" t="s">
        <v>1877</v>
      </c>
      <c r="AP113" s="150">
        <v>3</v>
      </c>
      <c r="AQ113" s="149">
        <v>5</v>
      </c>
      <c r="AR113" s="150" t="s">
        <v>816</v>
      </c>
      <c r="AS113" s="149" t="s">
        <v>721</v>
      </c>
      <c r="AT113" s="150">
        <v>9</v>
      </c>
      <c r="AU113" s="150" t="s">
        <v>1878</v>
      </c>
      <c r="AV113" s="150">
        <v>5</v>
      </c>
      <c r="AW113" s="149">
        <v>4</v>
      </c>
      <c r="AX113" s="150" t="s">
        <v>816</v>
      </c>
      <c r="AY113" s="149" t="s">
        <v>716</v>
      </c>
      <c r="AZ113" s="150">
        <v>9</v>
      </c>
      <c r="BA113" s="149" t="s">
        <v>1940</v>
      </c>
      <c r="BB113" s="150">
        <v>5</v>
      </c>
      <c r="BC113" s="149">
        <v>4</v>
      </c>
      <c r="BD113" s="150" t="s">
        <v>816</v>
      </c>
      <c r="BE113" s="149" t="s">
        <v>715</v>
      </c>
      <c r="BF113" s="150">
        <v>9</v>
      </c>
      <c r="BG113" s="150" t="s">
        <v>1941</v>
      </c>
      <c r="BH113" s="150">
        <v>4</v>
      </c>
      <c r="BI113" s="149">
        <v>5</v>
      </c>
      <c r="BJ113" s="150" t="s">
        <v>816</v>
      </c>
      <c r="BK113" s="149" t="s">
        <v>1935</v>
      </c>
      <c r="BL113" s="150">
        <v>8</v>
      </c>
      <c r="BM113" s="150" t="s">
        <v>1843</v>
      </c>
      <c r="BN113" s="150" t="s">
        <v>816</v>
      </c>
      <c r="BO113" s="149">
        <v>6</v>
      </c>
      <c r="BP113" s="149">
        <v>40</v>
      </c>
      <c r="BQ113" s="149" t="s">
        <v>1936</v>
      </c>
      <c r="BR113" s="150">
        <v>9</v>
      </c>
      <c r="BS113" s="150" t="s">
        <v>1923</v>
      </c>
      <c r="BT113" s="149">
        <v>4</v>
      </c>
      <c r="BU113" s="149">
        <v>4</v>
      </c>
      <c r="BV113" s="150" t="s">
        <v>816</v>
      </c>
    </row>
    <row r="114" spans="1:74" x14ac:dyDescent="0.25">
      <c r="A114" s="197" t="s">
        <v>2157</v>
      </c>
      <c r="B114" s="149" t="s">
        <v>2244</v>
      </c>
      <c r="D114" s="149">
        <v>4</v>
      </c>
      <c r="E114" s="149">
        <v>4</v>
      </c>
      <c r="F114" s="149">
        <v>4</v>
      </c>
      <c r="G114" s="149">
        <v>3</v>
      </c>
      <c r="H114" s="149">
        <v>2</v>
      </c>
      <c r="I114" s="149">
        <v>3</v>
      </c>
      <c r="J114" s="149">
        <v>3</v>
      </c>
      <c r="K114" s="149">
        <v>3</v>
      </c>
      <c r="L114" s="149">
        <v>4</v>
      </c>
      <c r="M114" s="149">
        <v>0</v>
      </c>
      <c r="N114" s="149">
        <v>0</v>
      </c>
      <c r="O114" s="149">
        <v>4</v>
      </c>
      <c r="P114" s="149">
        <v>7</v>
      </c>
      <c r="Q114" s="149">
        <v>7</v>
      </c>
      <c r="R114" s="149">
        <v>6</v>
      </c>
      <c r="S114" s="149">
        <v>2</v>
      </c>
      <c r="T114" s="149">
        <v>2</v>
      </c>
      <c r="U114" s="149" t="s">
        <v>156</v>
      </c>
      <c r="V114" s="149">
        <v>5</v>
      </c>
      <c r="W114" s="149" t="s">
        <v>158</v>
      </c>
      <c r="X114" s="149">
        <v>1</v>
      </c>
      <c r="Y114" s="149" t="s">
        <v>163</v>
      </c>
      <c r="Z114" s="149">
        <v>1</v>
      </c>
      <c r="AA114" s="149" t="s">
        <v>176</v>
      </c>
      <c r="AB114" s="149">
        <v>2</v>
      </c>
      <c r="AC114" s="150" t="s">
        <v>1831</v>
      </c>
      <c r="AD114" s="257" t="s">
        <v>1876</v>
      </c>
      <c r="AE114" s="257" t="s">
        <v>2169</v>
      </c>
      <c r="AF114" s="257" t="s">
        <v>2326</v>
      </c>
      <c r="AG114" s="149" t="s">
        <v>720</v>
      </c>
      <c r="AH114" s="149">
        <v>7</v>
      </c>
      <c r="AI114" s="149" t="s">
        <v>1877</v>
      </c>
      <c r="AJ114" s="149">
        <v>3</v>
      </c>
      <c r="AK114" s="149">
        <v>5</v>
      </c>
      <c r="AL114" s="150" t="s">
        <v>816</v>
      </c>
      <c r="AM114" s="149" t="s">
        <v>721</v>
      </c>
      <c r="AN114" s="149">
        <v>9</v>
      </c>
      <c r="AO114" s="149" t="s">
        <v>1878</v>
      </c>
      <c r="AP114" s="149">
        <v>4</v>
      </c>
      <c r="AQ114" s="149">
        <v>4</v>
      </c>
      <c r="AR114" s="150" t="s">
        <v>816</v>
      </c>
      <c r="AS114" s="149" t="s">
        <v>739</v>
      </c>
      <c r="AT114" s="149">
        <v>7</v>
      </c>
      <c r="AU114" s="149" t="s">
        <v>1865</v>
      </c>
      <c r="AV114" s="150" t="s">
        <v>816</v>
      </c>
      <c r="AW114" s="149">
        <v>5</v>
      </c>
      <c r="AX114" s="149">
        <v>125</v>
      </c>
      <c r="AY114" s="150" t="s">
        <v>738</v>
      </c>
      <c r="AZ114" s="149">
        <v>8</v>
      </c>
      <c r="BA114" s="149" t="s">
        <v>1865</v>
      </c>
      <c r="BB114" s="150" t="s">
        <v>816</v>
      </c>
      <c r="BC114" s="149">
        <v>5</v>
      </c>
      <c r="BD114" s="149">
        <v>150</v>
      </c>
      <c r="BE114" s="149" t="s">
        <v>731</v>
      </c>
      <c r="BF114" s="149">
        <v>9</v>
      </c>
      <c r="BG114" s="149" t="s">
        <v>1843</v>
      </c>
      <c r="BH114" s="150" t="s">
        <v>816</v>
      </c>
      <c r="BI114" s="149">
        <v>4</v>
      </c>
      <c r="BJ114" s="149">
        <v>20</v>
      </c>
      <c r="BK114" s="149" t="s">
        <v>733</v>
      </c>
      <c r="BL114" s="149">
        <v>8</v>
      </c>
      <c r="BM114" s="149" t="s">
        <v>1865</v>
      </c>
      <c r="BN114" s="150" t="s">
        <v>816</v>
      </c>
      <c r="BO114" s="149">
        <v>5</v>
      </c>
      <c r="BP114" s="149">
        <v>50</v>
      </c>
      <c r="BQ114" s="149" t="s">
        <v>734</v>
      </c>
      <c r="BR114" s="149">
        <v>10</v>
      </c>
      <c r="BS114" s="149" t="s">
        <v>1879</v>
      </c>
      <c r="BT114" s="150" t="s">
        <v>816</v>
      </c>
      <c r="BU114" s="149">
        <v>5</v>
      </c>
      <c r="BV114" s="149">
        <v>20</v>
      </c>
    </row>
    <row r="115" spans="1:74" x14ac:dyDescent="0.25">
      <c r="A115" s="149" t="s">
        <v>1887</v>
      </c>
      <c r="B115" s="149" t="s">
        <v>2244</v>
      </c>
      <c r="D115" s="149">
        <v>5</v>
      </c>
      <c r="E115" s="149">
        <v>5</v>
      </c>
      <c r="F115" s="149">
        <v>5</v>
      </c>
      <c r="G115" s="149">
        <v>3</v>
      </c>
      <c r="H115" s="149">
        <v>2</v>
      </c>
      <c r="I115" s="149">
        <v>5</v>
      </c>
      <c r="J115" s="149">
        <v>3</v>
      </c>
      <c r="K115" s="149">
        <v>3</v>
      </c>
      <c r="L115" s="149">
        <v>4</v>
      </c>
      <c r="M115" s="149">
        <v>1</v>
      </c>
      <c r="N115" s="149">
        <v>1</v>
      </c>
      <c r="O115" s="149">
        <v>5</v>
      </c>
      <c r="P115" s="149">
        <v>6</v>
      </c>
      <c r="Q115" s="149">
        <v>7</v>
      </c>
      <c r="R115" s="149">
        <v>6</v>
      </c>
      <c r="S115" s="149">
        <v>2</v>
      </c>
      <c r="T115" s="149">
        <v>2</v>
      </c>
      <c r="U115" s="149" t="s">
        <v>156</v>
      </c>
      <c r="V115" s="149">
        <v>3</v>
      </c>
      <c r="W115" s="149" t="s">
        <v>157</v>
      </c>
      <c r="X115" s="149">
        <v>2</v>
      </c>
      <c r="Y115" s="149" t="s">
        <v>158</v>
      </c>
      <c r="Z115" s="149">
        <v>1</v>
      </c>
      <c r="AA115" s="149" t="s">
        <v>159</v>
      </c>
      <c r="AB115" s="149">
        <v>3</v>
      </c>
      <c r="AC115" s="150" t="s">
        <v>1831</v>
      </c>
      <c r="AD115" s="257" t="s">
        <v>1876</v>
      </c>
      <c r="AE115" s="257" t="s">
        <v>494</v>
      </c>
      <c r="AF115" s="257" t="s">
        <v>2312</v>
      </c>
      <c r="AG115" s="149" t="s">
        <v>720</v>
      </c>
      <c r="AH115" s="150">
        <v>8</v>
      </c>
      <c r="AI115" s="150" t="s">
        <v>1877</v>
      </c>
      <c r="AJ115" s="150">
        <v>4</v>
      </c>
      <c r="AK115" s="149">
        <v>5</v>
      </c>
      <c r="AL115" s="150" t="s">
        <v>816</v>
      </c>
      <c r="AM115" s="149" t="s">
        <v>721</v>
      </c>
      <c r="AN115" s="150">
        <v>10</v>
      </c>
      <c r="AO115" s="150" t="s">
        <v>1834</v>
      </c>
      <c r="AP115" s="150">
        <v>5</v>
      </c>
      <c r="AQ115" s="149">
        <v>4</v>
      </c>
      <c r="AR115" s="150" t="s">
        <v>816</v>
      </c>
      <c r="AS115" s="149" t="s">
        <v>739</v>
      </c>
      <c r="AT115" s="150">
        <v>8</v>
      </c>
      <c r="AU115" s="150" t="s">
        <v>1865</v>
      </c>
      <c r="AV115" s="150" t="s">
        <v>816</v>
      </c>
      <c r="AW115" s="149">
        <v>5</v>
      </c>
      <c r="AX115" s="149">
        <v>125</v>
      </c>
      <c r="AY115" s="150" t="s">
        <v>738</v>
      </c>
      <c r="AZ115" s="150">
        <v>9</v>
      </c>
      <c r="BA115" s="149" t="s">
        <v>1865</v>
      </c>
      <c r="BB115" s="150" t="s">
        <v>816</v>
      </c>
      <c r="BC115" s="149">
        <v>5</v>
      </c>
      <c r="BD115" s="149">
        <v>150</v>
      </c>
      <c r="BE115" s="149" t="s">
        <v>731</v>
      </c>
      <c r="BF115" s="150">
        <v>10</v>
      </c>
      <c r="BG115" s="149" t="s">
        <v>1843</v>
      </c>
      <c r="BH115" s="150" t="s">
        <v>816</v>
      </c>
      <c r="BI115" s="149">
        <v>4</v>
      </c>
      <c r="BJ115" s="149">
        <v>20</v>
      </c>
      <c r="BK115" s="149" t="s">
        <v>733</v>
      </c>
      <c r="BL115" s="150">
        <v>9</v>
      </c>
      <c r="BM115" s="149" t="s">
        <v>1865</v>
      </c>
      <c r="BN115" s="150" t="s">
        <v>816</v>
      </c>
      <c r="BO115" s="149">
        <v>5</v>
      </c>
      <c r="BP115" s="149">
        <v>50</v>
      </c>
      <c r="BQ115" s="149" t="s">
        <v>734</v>
      </c>
      <c r="BR115" s="150">
        <v>11</v>
      </c>
      <c r="BS115" s="149" t="s">
        <v>1879</v>
      </c>
      <c r="BT115" s="150" t="s">
        <v>816</v>
      </c>
      <c r="BU115" s="149">
        <v>5</v>
      </c>
      <c r="BV115" s="149">
        <v>20</v>
      </c>
    </row>
    <row r="116" spans="1:74" x14ac:dyDescent="0.25">
      <c r="A116" s="149" t="s">
        <v>1956</v>
      </c>
      <c r="B116" s="149" t="s">
        <v>2244</v>
      </c>
      <c r="D116" s="149">
        <v>3</v>
      </c>
      <c r="E116" s="149">
        <v>3</v>
      </c>
      <c r="F116" s="149">
        <v>3</v>
      </c>
      <c r="G116" s="149">
        <v>2</v>
      </c>
      <c r="H116" s="149">
        <v>2</v>
      </c>
      <c r="I116" s="149">
        <v>2</v>
      </c>
      <c r="J116" s="149">
        <v>3</v>
      </c>
      <c r="K116" s="149">
        <v>2</v>
      </c>
      <c r="L116" s="149">
        <v>3</v>
      </c>
      <c r="M116" s="149">
        <v>1</v>
      </c>
      <c r="N116" s="149">
        <v>1</v>
      </c>
      <c r="O116" s="149">
        <v>4</v>
      </c>
      <c r="P116" s="149">
        <v>5</v>
      </c>
      <c r="Q116" s="149">
        <v>6</v>
      </c>
      <c r="R116" s="149">
        <v>5</v>
      </c>
      <c r="S116" s="149">
        <v>6</v>
      </c>
      <c r="T116" s="149">
        <v>4</v>
      </c>
      <c r="U116" s="149" t="s">
        <v>164</v>
      </c>
      <c r="V116" s="149">
        <v>4</v>
      </c>
      <c r="W116" s="209" t="s">
        <v>816</v>
      </c>
      <c r="X116" s="209" t="s">
        <v>816</v>
      </c>
      <c r="Y116" s="209" t="s">
        <v>816</v>
      </c>
      <c r="Z116" s="209" t="s">
        <v>816</v>
      </c>
      <c r="AA116" s="209" t="s">
        <v>816</v>
      </c>
      <c r="AB116" s="209" t="s">
        <v>816</v>
      </c>
      <c r="AC116" s="150" t="s">
        <v>1831</v>
      </c>
      <c r="AD116" s="257" t="s">
        <v>1958</v>
      </c>
      <c r="AE116" s="257" t="s">
        <v>494</v>
      </c>
      <c r="AF116" s="257" t="s">
        <v>1903</v>
      </c>
      <c r="AG116" s="149" t="s">
        <v>702</v>
      </c>
      <c r="AH116" s="149">
        <v>7</v>
      </c>
      <c r="AI116" s="149" t="s">
        <v>1859</v>
      </c>
      <c r="AJ116" s="150" t="s">
        <v>816</v>
      </c>
      <c r="AK116" s="149">
        <v>6</v>
      </c>
      <c r="AL116" s="150" t="s">
        <v>816</v>
      </c>
      <c r="AM116" s="149" t="s">
        <v>720</v>
      </c>
      <c r="AN116" s="149">
        <v>6</v>
      </c>
      <c r="AO116" s="149" t="s">
        <v>1864</v>
      </c>
      <c r="AP116" s="149">
        <v>3</v>
      </c>
      <c r="AQ116" s="149">
        <v>5</v>
      </c>
      <c r="AR116" s="150" t="s">
        <v>816</v>
      </c>
      <c r="AS116" s="149" t="s">
        <v>721</v>
      </c>
      <c r="AT116" s="149">
        <v>8</v>
      </c>
      <c r="AU116" s="149" t="s">
        <v>1859</v>
      </c>
      <c r="AV116" s="149">
        <v>4</v>
      </c>
      <c r="AW116" s="149">
        <v>4</v>
      </c>
      <c r="AX116" s="150" t="s">
        <v>816</v>
      </c>
      <c r="AY116" s="150" t="s">
        <v>724</v>
      </c>
      <c r="AZ116" s="149">
        <v>7</v>
      </c>
      <c r="BA116" s="149" t="s">
        <v>1923</v>
      </c>
      <c r="BB116" s="150">
        <v>5</v>
      </c>
      <c r="BC116" s="149">
        <v>4</v>
      </c>
      <c r="BD116" s="150" t="s">
        <v>816</v>
      </c>
      <c r="BE116" s="209" t="s">
        <v>816</v>
      </c>
      <c r="BF116" s="209" t="s">
        <v>816</v>
      </c>
      <c r="BG116" s="209" t="s">
        <v>816</v>
      </c>
      <c r="BH116" s="209" t="s">
        <v>816</v>
      </c>
      <c r="BI116" s="209" t="s">
        <v>816</v>
      </c>
      <c r="BJ116" s="209" t="s">
        <v>816</v>
      </c>
      <c r="BK116" s="209" t="s">
        <v>816</v>
      </c>
      <c r="BL116" s="209" t="s">
        <v>816</v>
      </c>
      <c r="BM116" s="209" t="s">
        <v>816</v>
      </c>
      <c r="BN116" s="209" t="s">
        <v>816</v>
      </c>
      <c r="BO116" s="209" t="s">
        <v>816</v>
      </c>
      <c r="BP116" s="209" t="s">
        <v>816</v>
      </c>
      <c r="BQ116" s="209" t="s">
        <v>816</v>
      </c>
      <c r="BR116" s="209" t="s">
        <v>816</v>
      </c>
      <c r="BS116" s="209" t="s">
        <v>816</v>
      </c>
      <c r="BT116" s="209" t="s">
        <v>816</v>
      </c>
      <c r="BU116" s="209" t="s">
        <v>816</v>
      </c>
      <c r="BV116" s="209" t="s">
        <v>816</v>
      </c>
    </row>
    <row r="117" spans="1:74" x14ac:dyDescent="0.25">
      <c r="A117" s="149" t="s">
        <v>1899</v>
      </c>
      <c r="B117" s="149" t="s">
        <v>2244</v>
      </c>
      <c r="D117" s="149">
        <v>3</v>
      </c>
      <c r="E117" s="149">
        <v>3</v>
      </c>
      <c r="F117" s="149">
        <v>3</v>
      </c>
      <c r="G117" s="149">
        <v>2</v>
      </c>
      <c r="H117" s="149">
        <v>2</v>
      </c>
      <c r="I117" s="149">
        <v>2</v>
      </c>
      <c r="J117" s="149">
        <v>2</v>
      </c>
      <c r="K117" s="149">
        <v>2</v>
      </c>
      <c r="L117" s="149">
        <v>2</v>
      </c>
      <c r="M117" s="149">
        <v>1</v>
      </c>
      <c r="N117" s="149">
        <v>1</v>
      </c>
      <c r="O117" s="149">
        <v>3</v>
      </c>
      <c r="P117" s="149">
        <v>7</v>
      </c>
      <c r="Q117" s="149">
        <v>4</v>
      </c>
      <c r="R117" s="149">
        <f t="shared" ref="R117:R123" si="4">F117</f>
        <v>3</v>
      </c>
      <c r="S117" s="149">
        <f t="shared" ref="S117:S123" si="5">ROUNDUP(R117/2,0)</f>
        <v>2</v>
      </c>
      <c r="T117" s="149">
        <v>0</v>
      </c>
      <c r="U117" s="149" t="s">
        <v>156</v>
      </c>
      <c r="V117" s="149">
        <v>3</v>
      </c>
      <c r="W117" s="149" t="s">
        <v>157</v>
      </c>
      <c r="X117" s="149">
        <v>2</v>
      </c>
      <c r="Y117" s="149" t="s">
        <v>158</v>
      </c>
      <c r="Z117" s="149">
        <v>1</v>
      </c>
      <c r="AA117" s="149" t="s">
        <v>159</v>
      </c>
      <c r="AB117" s="149">
        <v>4</v>
      </c>
      <c r="AC117" s="150" t="s">
        <v>1831</v>
      </c>
      <c r="AD117" s="257" t="s">
        <v>1840</v>
      </c>
      <c r="AE117" s="257" t="s">
        <v>1904</v>
      </c>
      <c r="AF117" s="257" t="s">
        <v>494</v>
      </c>
      <c r="AG117" s="149" t="s">
        <v>702</v>
      </c>
      <c r="AH117" s="149">
        <v>5</v>
      </c>
      <c r="AI117" s="149" t="s">
        <v>1859</v>
      </c>
      <c r="AJ117" s="150" t="s">
        <v>816</v>
      </c>
      <c r="AK117" s="149">
        <v>6</v>
      </c>
      <c r="AL117" s="150" t="s">
        <v>816</v>
      </c>
      <c r="AM117" s="149" t="s">
        <v>720</v>
      </c>
      <c r="AN117" s="149">
        <v>4</v>
      </c>
      <c r="AO117" s="149" t="s">
        <v>1864</v>
      </c>
      <c r="AP117" s="149">
        <v>1</v>
      </c>
      <c r="AQ117" s="149">
        <v>5</v>
      </c>
      <c r="AR117" s="150" t="s">
        <v>816</v>
      </c>
      <c r="AS117" s="149" t="s">
        <v>721</v>
      </c>
      <c r="AT117" s="149">
        <v>6</v>
      </c>
      <c r="AU117" s="149" t="s">
        <v>1859</v>
      </c>
      <c r="AV117" s="149">
        <v>3</v>
      </c>
      <c r="AW117" s="149">
        <v>4</v>
      </c>
      <c r="AX117" s="150" t="s">
        <v>816</v>
      </c>
      <c r="AY117" s="150" t="s">
        <v>1841</v>
      </c>
      <c r="AZ117" s="149">
        <v>5</v>
      </c>
      <c r="BA117" s="149" t="s">
        <v>1843</v>
      </c>
      <c r="BB117" s="150" t="s">
        <v>816</v>
      </c>
      <c r="BC117" s="149">
        <v>4</v>
      </c>
      <c r="BD117" s="149">
        <v>20</v>
      </c>
      <c r="BE117" s="149" t="s">
        <v>1842</v>
      </c>
      <c r="BF117" s="149">
        <v>5</v>
      </c>
      <c r="BG117" s="149" t="s">
        <v>1879</v>
      </c>
      <c r="BH117" s="149">
        <v>2</v>
      </c>
      <c r="BI117" s="149">
        <v>4</v>
      </c>
      <c r="BJ117" s="150" t="s">
        <v>816</v>
      </c>
      <c r="BK117" s="209" t="s">
        <v>816</v>
      </c>
      <c r="BL117" s="209" t="s">
        <v>816</v>
      </c>
      <c r="BM117" s="209" t="s">
        <v>816</v>
      </c>
      <c r="BN117" s="209" t="s">
        <v>816</v>
      </c>
      <c r="BO117" s="209" t="s">
        <v>816</v>
      </c>
      <c r="BP117" s="209" t="s">
        <v>816</v>
      </c>
      <c r="BQ117" s="209" t="s">
        <v>816</v>
      </c>
      <c r="BR117" s="209" t="s">
        <v>816</v>
      </c>
      <c r="BS117" s="209" t="s">
        <v>816</v>
      </c>
      <c r="BT117" s="209" t="s">
        <v>816</v>
      </c>
      <c r="BU117" s="209" t="s">
        <v>816</v>
      </c>
      <c r="BV117" s="209" t="s">
        <v>816</v>
      </c>
    </row>
    <row r="118" spans="1:74" x14ac:dyDescent="0.25">
      <c r="A118" s="149" t="s">
        <v>1895</v>
      </c>
      <c r="B118" s="149" t="s">
        <v>2244</v>
      </c>
      <c r="D118" s="149">
        <v>2</v>
      </c>
      <c r="E118" s="149">
        <v>3</v>
      </c>
      <c r="F118" s="149">
        <v>4</v>
      </c>
      <c r="G118" s="149">
        <v>2</v>
      </c>
      <c r="H118" s="149">
        <v>2</v>
      </c>
      <c r="I118" s="149">
        <v>2</v>
      </c>
      <c r="J118" s="149">
        <v>2</v>
      </c>
      <c r="K118" s="149">
        <v>2</v>
      </c>
      <c r="L118" s="149">
        <v>2</v>
      </c>
      <c r="M118" s="149">
        <v>1</v>
      </c>
      <c r="N118" s="149">
        <v>1</v>
      </c>
      <c r="O118" s="149">
        <v>3</v>
      </c>
      <c r="P118" s="149">
        <v>7</v>
      </c>
      <c r="Q118" s="149">
        <v>4</v>
      </c>
      <c r="R118" s="149">
        <f t="shared" si="4"/>
        <v>4</v>
      </c>
      <c r="S118" s="149">
        <f t="shared" si="5"/>
        <v>2</v>
      </c>
      <c r="T118" s="149">
        <v>0</v>
      </c>
      <c r="U118" s="149" t="s">
        <v>156</v>
      </c>
      <c r="V118" s="149">
        <v>3</v>
      </c>
      <c r="W118" s="149" t="s">
        <v>157</v>
      </c>
      <c r="X118" s="149">
        <v>2</v>
      </c>
      <c r="Y118" s="149" t="s">
        <v>158</v>
      </c>
      <c r="Z118" s="149">
        <v>1</v>
      </c>
      <c r="AA118" s="149" t="s">
        <v>159</v>
      </c>
      <c r="AB118" s="149">
        <v>4</v>
      </c>
      <c r="AC118" s="150" t="s">
        <v>1831</v>
      </c>
      <c r="AD118" s="257" t="s">
        <v>1840</v>
      </c>
      <c r="AE118" s="257" t="s">
        <v>1904</v>
      </c>
      <c r="AF118" s="257" t="s">
        <v>494</v>
      </c>
      <c r="AG118" s="149" t="s">
        <v>702</v>
      </c>
      <c r="AH118" s="149">
        <v>5</v>
      </c>
      <c r="AI118" s="149" t="s">
        <v>1833</v>
      </c>
      <c r="AJ118" s="150" t="s">
        <v>816</v>
      </c>
      <c r="AK118" s="149">
        <v>6</v>
      </c>
      <c r="AL118" s="150" t="s">
        <v>816</v>
      </c>
      <c r="AM118" s="149" t="s">
        <v>720</v>
      </c>
      <c r="AN118" s="149">
        <v>4</v>
      </c>
      <c r="AO118" s="149" t="s">
        <v>1834</v>
      </c>
      <c r="AP118" s="149">
        <v>1</v>
      </c>
      <c r="AQ118" s="149">
        <v>5</v>
      </c>
      <c r="AR118" s="150" t="s">
        <v>816</v>
      </c>
      <c r="AS118" s="149" t="s">
        <v>721</v>
      </c>
      <c r="AT118" s="149">
        <v>6</v>
      </c>
      <c r="AU118" s="149" t="s">
        <v>1833</v>
      </c>
      <c r="AV118" s="149">
        <v>3</v>
      </c>
      <c r="AW118" s="149">
        <v>4</v>
      </c>
      <c r="AX118" s="150" t="s">
        <v>816</v>
      </c>
      <c r="AY118" s="150" t="s">
        <v>1841</v>
      </c>
      <c r="AZ118" s="149">
        <v>5</v>
      </c>
      <c r="BA118" s="149" t="s">
        <v>1843</v>
      </c>
      <c r="BB118" s="150" t="s">
        <v>816</v>
      </c>
      <c r="BC118" s="149">
        <v>4</v>
      </c>
      <c r="BD118" s="149">
        <v>20</v>
      </c>
      <c r="BE118" s="149" t="s">
        <v>1842</v>
      </c>
      <c r="BF118" s="149">
        <v>5</v>
      </c>
      <c r="BG118" s="149" t="s">
        <v>1843</v>
      </c>
      <c r="BH118" s="149">
        <v>2</v>
      </c>
      <c r="BI118" s="149">
        <v>4</v>
      </c>
      <c r="BJ118" s="150" t="s">
        <v>816</v>
      </c>
      <c r="BK118" s="209" t="s">
        <v>816</v>
      </c>
      <c r="BL118" s="209" t="s">
        <v>816</v>
      </c>
      <c r="BM118" s="209" t="s">
        <v>816</v>
      </c>
      <c r="BN118" s="209" t="s">
        <v>816</v>
      </c>
      <c r="BO118" s="209" t="s">
        <v>816</v>
      </c>
      <c r="BP118" s="209" t="s">
        <v>816</v>
      </c>
      <c r="BQ118" s="209" t="s">
        <v>816</v>
      </c>
      <c r="BR118" s="209" t="s">
        <v>816</v>
      </c>
      <c r="BS118" s="209" t="s">
        <v>816</v>
      </c>
      <c r="BT118" s="209" t="s">
        <v>816</v>
      </c>
      <c r="BU118" s="209" t="s">
        <v>816</v>
      </c>
      <c r="BV118" s="209" t="s">
        <v>816</v>
      </c>
    </row>
    <row r="119" spans="1:74" x14ac:dyDescent="0.25">
      <c r="A119" s="149" t="s">
        <v>1891</v>
      </c>
      <c r="B119" s="149" t="s">
        <v>2244</v>
      </c>
      <c r="D119" s="149">
        <v>4</v>
      </c>
      <c r="E119" s="149">
        <v>3</v>
      </c>
      <c r="F119" s="149">
        <v>2</v>
      </c>
      <c r="G119" s="149">
        <v>2</v>
      </c>
      <c r="H119" s="149">
        <v>2</v>
      </c>
      <c r="I119" s="149">
        <v>2</v>
      </c>
      <c r="J119" s="149">
        <v>2</v>
      </c>
      <c r="K119" s="149">
        <v>2</v>
      </c>
      <c r="L119" s="149">
        <v>2</v>
      </c>
      <c r="M119" s="149">
        <v>1</v>
      </c>
      <c r="N119" s="149">
        <v>1</v>
      </c>
      <c r="O119" s="149">
        <v>3</v>
      </c>
      <c r="P119" s="149">
        <v>7</v>
      </c>
      <c r="Q119" s="149">
        <v>4</v>
      </c>
      <c r="R119" s="149">
        <f t="shared" si="4"/>
        <v>2</v>
      </c>
      <c r="S119" s="149">
        <f t="shared" si="5"/>
        <v>1</v>
      </c>
      <c r="T119" s="149">
        <v>0</v>
      </c>
      <c r="U119" s="149" t="s">
        <v>156</v>
      </c>
      <c r="V119" s="149">
        <v>3</v>
      </c>
      <c r="W119" s="149" t="s">
        <v>157</v>
      </c>
      <c r="X119" s="149">
        <v>2</v>
      </c>
      <c r="Y119" s="149" t="s">
        <v>158</v>
      </c>
      <c r="Z119" s="149">
        <v>1</v>
      </c>
      <c r="AA119" s="149" t="s">
        <v>159</v>
      </c>
      <c r="AB119" s="149">
        <v>4</v>
      </c>
      <c r="AC119" s="150" t="s">
        <v>1831</v>
      </c>
      <c r="AD119" s="257" t="s">
        <v>1840</v>
      </c>
      <c r="AE119" s="257" t="s">
        <v>1904</v>
      </c>
      <c r="AF119" s="257" t="s">
        <v>494</v>
      </c>
      <c r="AG119" s="149" t="s">
        <v>702</v>
      </c>
      <c r="AH119" s="149">
        <v>5</v>
      </c>
      <c r="AI119" s="149" t="s">
        <v>1878</v>
      </c>
      <c r="AJ119" s="150" t="s">
        <v>816</v>
      </c>
      <c r="AK119" s="149">
        <v>6</v>
      </c>
      <c r="AL119" s="150" t="s">
        <v>816</v>
      </c>
      <c r="AM119" s="149" t="s">
        <v>720</v>
      </c>
      <c r="AN119" s="149">
        <v>4</v>
      </c>
      <c r="AO119" s="149" t="s">
        <v>1877</v>
      </c>
      <c r="AP119" s="149">
        <v>1</v>
      </c>
      <c r="AQ119" s="149">
        <v>5</v>
      </c>
      <c r="AR119" s="150" t="s">
        <v>816</v>
      </c>
      <c r="AS119" s="149" t="s">
        <v>721</v>
      </c>
      <c r="AT119" s="149">
        <v>6</v>
      </c>
      <c r="AU119" s="149" t="s">
        <v>1878</v>
      </c>
      <c r="AV119" s="149">
        <v>3</v>
      </c>
      <c r="AW119" s="149">
        <v>4</v>
      </c>
      <c r="AX119" s="150" t="s">
        <v>816</v>
      </c>
      <c r="AY119" s="150" t="s">
        <v>1841</v>
      </c>
      <c r="AZ119" s="149">
        <v>5</v>
      </c>
      <c r="BA119" s="149" t="s">
        <v>1843</v>
      </c>
      <c r="BB119" s="150" t="s">
        <v>816</v>
      </c>
      <c r="BC119" s="149">
        <v>4</v>
      </c>
      <c r="BD119" s="149">
        <v>20</v>
      </c>
      <c r="BE119" s="149" t="s">
        <v>1842</v>
      </c>
      <c r="BF119" s="149">
        <v>5</v>
      </c>
      <c r="BG119" s="149" t="s">
        <v>1865</v>
      </c>
      <c r="BH119" s="149">
        <v>2</v>
      </c>
      <c r="BI119" s="149">
        <v>4</v>
      </c>
      <c r="BJ119" s="150" t="s">
        <v>816</v>
      </c>
      <c r="BK119" s="209" t="s">
        <v>816</v>
      </c>
      <c r="BL119" s="209" t="s">
        <v>816</v>
      </c>
      <c r="BM119" s="209" t="s">
        <v>816</v>
      </c>
      <c r="BN119" s="209" t="s">
        <v>816</v>
      </c>
      <c r="BO119" s="209" t="s">
        <v>816</v>
      </c>
      <c r="BP119" s="209" t="s">
        <v>816</v>
      </c>
      <c r="BQ119" s="209" t="s">
        <v>816</v>
      </c>
      <c r="BR119" s="209" t="s">
        <v>816</v>
      </c>
      <c r="BS119" s="209" t="s">
        <v>816</v>
      </c>
      <c r="BT119" s="209" t="s">
        <v>816</v>
      </c>
      <c r="BU119" s="209" t="s">
        <v>816</v>
      </c>
      <c r="BV119" s="209" t="s">
        <v>816</v>
      </c>
    </row>
    <row r="120" spans="1:74" x14ac:dyDescent="0.25">
      <c r="A120" s="149" t="s">
        <v>1911</v>
      </c>
      <c r="B120" s="149" t="s">
        <v>2244</v>
      </c>
      <c r="D120" s="149">
        <v>2</v>
      </c>
      <c r="E120" s="149">
        <v>3</v>
      </c>
      <c r="F120" s="149">
        <v>5</v>
      </c>
      <c r="G120" s="149">
        <v>2</v>
      </c>
      <c r="H120" s="149">
        <v>2</v>
      </c>
      <c r="I120" s="149">
        <v>2</v>
      </c>
      <c r="J120" s="149">
        <v>2</v>
      </c>
      <c r="K120" s="149">
        <v>2</v>
      </c>
      <c r="L120" s="149">
        <v>2</v>
      </c>
      <c r="M120" s="149">
        <v>1</v>
      </c>
      <c r="N120" s="149">
        <v>1</v>
      </c>
      <c r="O120" s="149">
        <v>3</v>
      </c>
      <c r="P120" s="149">
        <v>7</v>
      </c>
      <c r="Q120" s="149">
        <v>4</v>
      </c>
      <c r="R120" s="149">
        <f t="shared" si="4"/>
        <v>5</v>
      </c>
      <c r="S120" s="149">
        <f t="shared" si="5"/>
        <v>3</v>
      </c>
      <c r="T120" s="149">
        <v>0</v>
      </c>
      <c r="U120" s="149" t="s">
        <v>156</v>
      </c>
      <c r="V120" s="149">
        <v>3</v>
      </c>
      <c r="W120" s="149" t="s">
        <v>157</v>
      </c>
      <c r="X120" s="149">
        <v>2</v>
      </c>
      <c r="Y120" s="149" t="s">
        <v>158</v>
      </c>
      <c r="Z120" s="149">
        <v>1</v>
      </c>
      <c r="AA120" s="149" t="s">
        <v>159</v>
      </c>
      <c r="AB120" s="149">
        <v>4</v>
      </c>
      <c r="AC120" s="150" t="s">
        <v>1831</v>
      </c>
      <c r="AD120" s="257" t="s">
        <v>1840</v>
      </c>
      <c r="AE120" s="257" t="s">
        <v>1921</v>
      </c>
      <c r="AF120" s="257" t="s">
        <v>494</v>
      </c>
      <c r="AG120" s="149" t="s">
        <v>702</v>
      </c>
      <c r="AH120" s="149">
        <v>5</v>
      </c>
      <c r="AI120" s="149" t="s">
        <v>1833</v>
      </c>
      <c r="AJ120" s="150" t="s">
        <v>816</v>
      </c>
      <c r="AK120" s="149">
        <v>6</v>
      </c>
      <c r="AL120" s="150" t="s">
        <v>816</v>
      </c>
      <c r="AM120" s="149" t="s">
        <v>720</v>
      </c>
      <c r="AN120" s="149">
        <v>4</v>
      </c>
      <c r="AO120" s="149" t="s">
        <v>1834</v>
      </c>
      <c r="AP120" s="149">
        <v>1</v>
      </c>
      <c r="AQ120" s="149">
        <v>5</v>
      </c>
      <c r="AR120" s="150" t="s">
        <v>816</v>
      </c>
      <c r="AS120" s="149" t="s">
        <v>721</v>
      </c>
      <c r="AT120" s="149">
        <v>6</v>
      </c>
      <c r="AU120" s="149" t="s">
        <v>1833</v>
      </c>
      <c r="AV120" s="149">
        <v>3</v>
      </c>
      <c r="AW120" s="149">
        <v>4</v>
      </c>
      <c r="AX120" s="150" t="s">
        <v>816</v>
      </c>
      <c r="AY120" s="150" t="s">
        <v>1841</v>
      </c>
      <c r="AZ120" s="149">
        <v>5</v>
      </c>
      <c r="BA120" s="149" t="s">
        <v>1843</v>
      </c>
      <c r="BB120" s="150" t="s">
        <v>816</v>
      </c>
      <c r="BC120" s="149">
        <v>4</v>
      </c>
      <c r="BD120" s="149">
        <v>20</v>
      </c>
      <c r="BE120" s="149" t="s">
        <v>1842</v>
      </c>
      <c r="BF120" s="149">
        <v>5</v>
      </c>
      <c r="BG120" s="149" t="s">
        <v>1843</v>
      </c>
      <c r="BH120" s="149">
        <v>2</v>
      </c>
      <c r="BI120" s="149">
        <v>4</v>
      </c>
      <c r="BJ120" s="150" t="s">
        <v>816</v>
      </c>
      <c r="BK120" s="209" t="s">
        <v>816</v>
      </c>
      <c r="BL120" s="209" t="s">
        <v>816</v>
      </c>
      <c r="BM120" s="209" t="s">
        <v>816</v>
      </c>
      <c r="BN120" s="209" t="s">
        <v>816</v>
      </c>
      <c r="BO120" s="209" t="s">
        <v>816</v>
      </c>
      <c r="BP120" s="209" t="s">
        <v>816</v>
      </c>
      <c r="BQ120" s="209" t="s">
        <v>816</v>
      </c>
      <c r="BR120" s="209" t="s">
        <v>816</v>
      </c>
      <c r="BS120" s="209" t="s">
        <v>816</v>
      </c>
      <c r="BT120" s="209" t="s">
        <v>816</v>
      </c>
      <c r="BU120" s="209" t="s">
        <v>816</v>
      </c>
      <c r="BV120" s="209" t="s">
        <v>816</v>
      </c>
    </row>
    <row r="121" spans="1:74" x14ac:dyDescent="0.25">
      <c r="A121" s="149" t="s">
        <v>1907</v>
      </c>
      <c r="B121" s="149" t="s">
        <v>2244</v>
      </c>
      <c r="D121" s="149">
        <v>5</v>
      </c>
      <c r="E121" s="149">
        <v>3</v>
      </c>
      <c r="F121" s="149">
        <v>2</v>
      </c>
      <c r="G121" s="149">
        <v>2</v>
      </c>
      <c r="H121" s="149">
        <v>2</v>
      </c>
      <c r="I121" s="149">
        <v>2</v>
      </c>
      <c r="J121" s="149">
        <v>2</v>
      </c>
      <c r="K121" s="149">
        <v>2</v>
      </c>
      <c r="L121" s="149">
        <v>2</v>
      </c>
      <c r="M121" s="149">
        <v>1</v>
      </c>
      <c r="N121" s="149">
        <v>1</v>
      </c>
      <c r="O121" s="149">
        <v>3</v>
      </c>
      <c r="P121" s="149">
        <v>7</v>
      </c>
      <c r="Q121" s="149">
        <v>4</v>
      </c>
      <c r="R121" s="149">
        <f t="shared" si="4"/>
        <v>2</v>
      </c>
      <c r="S121" s="149">
        <f t="shared" si="5"/>
        <v>1</v>
      </c>
      <c r="T121" s="149">
        <v>0</v>
      </c>
      <c r="U121" s="149" t="s">
        <v>156</v>
      </c>
      <c r="V121" s="149">
        <v>3</v>
      </c>
      <c r="W121" s="149" t="s">
        <v>157</v>
      </c>
      <c r="X121" s="149">
        <v>2</v>
      </c>
      <c r="Y121" s="149" t="s">
        <v>158</v>
      </c>
      <c r="Z121" s="149">
        <v>1</v>
      </c>
      <c r="AA121" s="149" t="s">
        <v>159</v>
      </c>
      <c r="AB121" s="149">
        <v>4</v>
      </c>
      <c r="AC121" s="150" t="s">
        <v>1831</v>
      </c>
      <c r="AD121" s="257" t="s">
        <v>1840</v>
      </c>
      <c r="AE121" s="257" t="s">
        <v>1921</v>
      </c>
      <c r="AF121" s="257" t="s">
        <v>494</v>
      </c>
      <c r="AG121" s="149" t="s">
        <v>702</v>
      </c>
      <c r="AH121" s="149">
        <v>5</v>
      </c>
      <c r="AI121" s="149" t="s">
        <v>1834</v>
      </c>
      <c r="AJ121" s="150" t="s">
        <v>816</v>
      </c>
      <c r="AK121" s="149">
        <v>6</v>
      </c>
      <c r="AL121" s="150" t="s">
        <v>816</v>
      </c>
      <c r="AM121" s="149" t="s">
        <v>720</v>
      </c>
      <c r="AN121" s="149">
        <v>4</v>
      </c>
      <c r="AO121" s="149" t="s">
        <v>1922</v>
      </c>
      <c r="AP121" s="149">
        <v>1</v>
      </c>
      <c r="AQ121" s="149">
        <v>5</v>
      </c>
      <c r="AR121" s="150" t="s">
        <v>816</v>
      </c>
      <c r="AS121" s="149" t="s">
        <v>721</v>
      </c>
      <c r="AT121" s="149">
        <v>6</v>
      </c>
      <c r="AU121" s="149" t="s">
        <v>1834</v>
      </c>
      <c r="AV121" s="149">
        <v>3</v>
      </c>
      <c r="AW121" s="149">
        <v>4</v>
      </c>
      <c r="AX121" s="150" t="s">
        <v>816</v>
      </c>
      <c r="AY121" s="150" t="s">
        <v>1841</v>
      </c>
      <c r="AZ121" s="149">
        <v>5</v>
      </c>
      <c r="BA121" s="149" t="s">
        <v>1843</v>
      </c>
      <c r="BB121" s="150" t="s">
        <v>816</v>
      </c>
      <c r="BC121" s="149">
        <v>4</v>
      </c>
      <c r="BD121" s="149">
        <v>20</v>
      </c>
      <c r="BE121" s="149" t="s">
        <v>1842</v>
      </c>
      <c r="BF121" s="149">
        <v>5</v>
      </c>
      <c r="BG121" s="149" t="s">
        <v>1923</v>
      </c>
      <c r="BH121" s="149">
        <v>2</v>
      </c>
      <c r="BI121" s="149">
        <v>4</v>
      </c>
      <c r="BJ121" s="150" t="s">
        <v>816</v>
      </c>
      <c r="BK121" s="209" t="s">
        <v>816</v>
      </c>
      <c r="BL121" s="209" t="s">
        <v>816</v>
      </c>
      <c r="BM121" s="209" t="s">
        <v>816</v>
      </c>
      <c r="BN121" s="209" t="s">
        <v>816</v>
      </c>
      <c r="BO121" s="209" t="s">
        <v>816</v>
      </c>
      <c r="BP121" s="209" t="s">
        <v>816</v>
      </c>
      <c r="BQ121" s="209" t="s">
        <v>816</v>
      </c>
      <c r="BR121" s="209" t="s">
        <v>816</v>
      </c>
      <c r="BS121" s="209" t="s">
        <v>816</v>
      </c>
      <c r="BT121" s="209" t="s">
        <v>816</v>
      </c>
      <c r="BU121" s="209" t="s">
        <v>816</v>
      </c>
      <c r="BV121" s="209" t="s">
        <v>816</v>
      </c>
    </row>
    <row r="122" spans="1:74" x14ac:dyDescent="0.25">
      <c r="A122" s="149" t="s">
        <v>1919</v>
      </c>
      <c r="B122" s="149" t="s">
        <v>2244</v>
      </c>
      <c r="D122" s="149">
        <v>3</v>
      </c>
      <c r="E122" s="149">
        <v>3</v>
      </c>
      <c r="F122" s="149">
        <v>4</v>
      </c>
      <c r="G122" s="149">
        <v>2</v>
      </c>
      <c r="H122" s="149">
        <v>2</v>
      </c>
      <c r="I122" s="149">
        <v>2</v>
      </c>
      <c r="J122" s="149">
        <v>2</v>
      </c>
      <c r="K122" s="149">
        <v>2</v>
      </c>
      <c r="L122" s="149">
        <v>2</v>
      </c>
      <c r="M122" s="149">
        <v>1</v>
      </c>
      <c r="N122" s="149">
        <v>1</v>
      </c>
      <c r="O122" s="149">
        <v>3</v>
      </c>
      <c r="P122" s="149">
        <v>7</v>
      </c>
      <c r="Q122" s="149">
        <v>4</v>
      </c>
      <c r="R122" s="149">
        <f t="shared" si="4"/>
        <v>4</v>
      </c>
      <c r="S122" s="149">
        <f t="shared" si="5"/>
        <v>2</v>
      </c>
      <c r="T122" s="149">
        <v>0</v>
      </c>
      <c r="U122" s="149" t="s">
        <v>156</v>
      </c>
      <c r="V122" s="149">
        <v>3</v>
      </c>
      <c r="W122" s="149" t="s">
        <v>157</v>
      </c>
      <c r="X122" s="149">
        <v>2</v>
      </c>
      <c r="Y122" s="149" t="s">
        <v>158</v>
      </c>
      <c r="Z122" s="149">
        <v>1</v>
      </c>
      <c r="AA122" s="149" t="s">
        <v>159</v>
      </c>
      <c r="AB122" s="149">
        <v>4</v>
      </c>
      <c r="AC122" s="150" t="s">
        <v>1831</v>
      </c>
      <c r="AD122" s="257" t="s">
        <v>1840</v>
      </c>
      <c r="AE122" s="257" t="s">
        <v>1921</v>
      </c>
      <c r="AF122" s="257" t="s">
        <v>494</v>
      </c>
      <c r="AG122" s="149" t="s">
        <v>702</v>
      </c>
      <c r="AH122" s="149">
        <v>5</v>
      </c>
      <c r="AI122" s="149" t="s">
        <v>1859</v>
      </c>
      <c r="AJ122" s="150" t="s">
        <v>816</v>
      </c>
      <c r="AK122" s="149">
        <v>6</v>
      </c>
      <c r="AL122" s="150" t="s">
        <v>816</v>
      </c>
      <c r="AM122" s="149" t="s">
        <v>720</v>
      </c>
      <c r="AN122" s="149">
        <v>4</v>
      </c>
      <c r="AO122" s="149" t="s">
        <v>1864</v>
      </c>
      <c r="AP122" s="149">
        <v>1</v>
      </c>
      <c r="AQ122" s="149">
        <v>5</v>
      </c>
      <c r="AR122" s="150" t="s">
        <v>816</v>
      </c>
      <c r="AS122" s="149" t="s">
        <v>721</v>
      </c>
      <c r="AT122" s="149">
        <v>6</v>
      </c>
      <c r="AU122" s="149" t="s">
        <v>1859</v>
      </c>
      <c r="AV122" s="149">
        <v>3</v>
      </c>
      <c r="AW122" s="149">
        <v>4</v>
      </c>
      <c r="AX122" s="150" t="s">
        <v>816</v>
      </c>
      <c r="AY122" s="150" t="s">
        <v>1841</v>
      </c>
      <c r="AZ122" s="149">
        <v>5</v>
      </c>
      <c r="BA122" s="149" t="s">
        <v>1843</v>
      </c>
      <c r="BB122" s="150" t="s">
        <v>816</v>
      </c>
      <c r="BC122" s="149">
        <v>4</v>
      </c>
      <c r="BD122" s="149">
        <v>20</v>
      </c>
      <c r="BE122" s="149" t="s">
        <v>1842</v>
      </c>
      <c r="BF122" s="149">
        <v>5</v>
      </c>
      <c r="BG122" s="149" t="s">
        <v>1879</v>
      </c>
      <c r="BH122" s="149">
        <v>2</v>
      </c>
      <c r="BI122" s="149">
        <v>4</v>
      </c>
      <c r="BJ122" s="150" t="s">
        <v>816</v>
      </c>
      <c r="BK122" s="209" t="s">
        <v>816</v>
      </c>
      <c r="BL122" s="209" t="s">
        <v>816</v>
      </c>
      <c r="BM122" s="209" t="s">
        <v>816</v>
      </c>
      <c r="BN122" s="209" t="s">
        <v>816</v>
      </c>
      <c r="BO122" s="209" t="s">
        <v>816</v>
      </c>
      <c r="BP122" s="209" t="s">
        <v>816</v>
      </c>
      <c r="BQ122" s="209" t="s">
        <v>816</v>
      </c>
      <c r="BR122" s="209" t="s">
        <v>816</v>
      </c>
      <c r="BS122" s="209" t="s">
        <v>816</v>
      </c>
      <c r="BT122" s="209" t="s">
        <v>816</v>
      </c>
      <c r="BU122" s="209" t="s">
        <v>816</v>
      </c>
      <c r="BV122" s="209" t="s">
        <v>816</v>
      </c>
    </row>
    <row r="123" spans="1:74" x14ac:dyDescent="0.25">
      <c r="A123" s="149" t="s">
        <v>1915</v>
      </c>
      <c r="B123" s="149" t="s">
        <v>2244</v>
      </c>
      <c r="D123" s="149">
        <v>4</v>
      </c>
      <c r="E123" s="149">
        <v>3</v>
      </c>
      <c r="F123" s="149">
        <v>3</v>
      </c>
      <c r="G123" s="149">
        <v>2</v>
      </c>
      <c r="H123" s="149">
        <v>2</v>
      </c>
      <c r="I123" s="149">
        <v>2</v>
      </c>
      <c r="J123" s="149">
        <v>2</v>
      </c>
      <c r="K123" s="149">
        <v>2</v>
      </c>
      <c r="L123" s="149">
        <v>2</v>
      </c>
      <c r="M123" s="149">
        <v>1</v>
      </c>
      <c r="N123" s="149">
        <v>1</v>
      </c>
      <c r="O123" s="149">
        <v>3</v>
      </c>
      <c r="P123" s="149">
        <v>7</v>
      </c>
      <c r="Q123" s="149">
        <v>4</v>
      </c>
      <c r="R123" s="149">
        <f t="shared" si="4"/>
        <v>3</v>
      </c>
      <c r="S123" s="149">
        <f t="shared" si="5"/>
        <v>2</v>
      </c>
      <c r="T123" s="149">
        <v>0</v>
      </c>
      <c r="U123" s="149" t="s">
        <v>156</v>
      </c>
      <c r="V123" s="149">
        <v>3</v>
      </c>
      <c r="W123" s="149" t="s">
        <v>157</v>
      </c>
      <c r="X123" s="149">
        <v>2</v>
      </c>
      <c r="Y123" s="149" t="s">
        <v>158</v>
      </c>
      <c r="Z123" s="149">
        <v>1</v>
      </c>
      <c r="AA123" s="149" t="s">
        <v>159</v>
      </c>
      <c r="AB123" s="149">
        <v>4</v>
      </c>
      <c r="AC123" s="150" t="s">
        <v>1831</v>
      </c>
      <c r="AD123" s="257" t="s">
        <v>1840</v>
      </c>
      <c r="AE123" s="257" t="s">
        <v>1921</v>
      </c>
      <c r="AF123" s="257" t="s">
        <v>494</v>
      </c>
      <c r="AG123" s="149" t="s">
        <v>702</v>
      </c>
      <c r="AH123" s="149">
        <v>5</v>
      </c>
      <c r="AI123" s="149" t="s">
        <v>1878</v>
      </c>
      <c r="AJ123" s="150" t="s">
        <v>816</v>
      </c>
      <c r="AK123" s="149">
        <v>6</v>
      </c>
      <c r="AL123" s="150" t="s">
        <v>816</v>
      </c>
      <c r="AM123" s="149" t="s">
        <v>720</v>
      </c>
      <c r="AN123" s="149">
        <v>4</v>
      </c>
      <c r="AO123" s="149" t="s">
        <v>1877</v>
      </c>
      <c r="AP123" s="149">
        <v>1</v>
      </c>
      <c r="AQ123" s="149">
        <v>5</v>
      </c>
      <c r="AR123" s="150" t="s">
        <v>816</v>
      </c>
      <c r="AS123" s="149" t="s">
        <v>721</v>
      </c>
      <c r="AT123" s="149">
        <v>6</v>
      </c>
      <c r="AU123" s="149" t="s">
        <v>1878</v>
      </c>
      <c r="AV123" s="149">
        <v>3</v>
      </c>
      <c r="AW123" s="149">
        <v>4</v>
      </c>
      <c r="AX123" s="150" t="s">
        <v>816</v>
      </c>
      <c r="AY123" s="150" t="s">
        <v>1841</v>
      </c>
      <c r="AZ123" s="149">
        <v>5</v>
      </c>
      <c r="BA123" s="149" t="s">
        <v>1843</v>
      </c>
      <c r="BB123" s="150" t="s">
        <v>816</v>
      </c>
      <c r="BC123" s="149">
        <v>4</v>
      </c>
      <c r="BD123" s="149">
        <v>20</v>
      </c>
      <c r="BE123" s="149" t="s">
        <v>1842</v>
      </c>
      <c r="BF123" s="149">
        <v>5</v>
      </c>
      <c r="BG123" s="149" t="s">
        <v>1865</v>
      </c>
      <c r="BH123" s="149">
        <v>2</v>
      </c>
      <c r="BI123" s="149">
        <v>4</v>
      </c>
      <c r="BJ123" s="150" t="s">
        <v>816</v>
      </c>
      <c r="BK123" s="209" t="s">
        <v>816</v>
      </c>
      <c r="BL123" s="209" t="s">
        <v>816</v>
      </c>
      <c r="BM123" s="209" t="s">
        <v>816</v>
      </c>
      <c r="BN123" s="209" t="s">
        <v>816</v>
      </c>
      <c r="BO123" s="209" t="s">
        <v>816</v>
      </c>
      <c r="BP123" s="209" t="s">
        <v>816</v>
      </c>
      <c r="BQ123" s="209" t="s">
        <v>816</v>
      </c>
      <c r="BR123" s="209" t="s">
        <v>816</v>
      </c>
      <c r="BS123" s="209" t="s">
        <v>816</v>
      </c>
      <c r="BT123" s="209" t="s">
        <v>816</v>
      </c>
      <c r="BU123" s="209" t="s">
        <v>816</v>
      </c>
      <c r="BV123" s="209" t="s">
        <v>816</v>
      </c>
    </row>
    <row r="124" spans="1:74" x14ac:dyDescent="0.25">
      <c r="A124" s="149" t="s">
        <v>1867</v>
      </c>
      <c r="B124" s="149" t="s">
        <v>2244</v>
      </c>
      <c r="D124" s="149">
        <v>4</v>
      </c>
      <c r="E124" s="149">
        <v>4</v>
      </c>
      <c r="F124" s="149">
        <v>4</v>
      </c>
      <c r="G124" s="149">
        <v>3</v>
      </c>
      <c r="H124" s="149">
        <v>2</v>
      </c>
      <c r="I124" s="149">
        <v>3</v>
      </c>
      <c r="J124" s="149">
        <v>3</v>
      </c>
      <c r="K124" s="149">
        <v>3</v>
      </c>
      <c r="L124" s="149">
        <v>4</v>
      </c>
      <c r="M124" s="149">
        <v>0</v>
      </c>
      <c r="N124" s="149">
        <v>0</v>
      </c>
      <c r="O124" s="149">
        <v>4</v>
      </c>
      <c r="P124" s="149">
        <v>6</v>
      </c>
      <c r="Q124" s="149">
        <v>7</v>
      </c>
      <c r="R124" s="149">
        <v>6</v>
      </c>
      <c r="S124" s="149">
        <v>2</v>
      </c>
      <c r="T124" s="149">
        <v>2</v>
      </c>
      <c r="U124" s="209" t="s">
        <v>816</v>
      </c>
      <c r="V124" s="209" t="s">
        <v>816</v>
      </c>
      <c r="W124" s="209" t="s">
        <v>816</v>
      </c>
      <c r="X124" s="209" t="s">
        <v>816</v>
      </c>
      <c r="Y124" s="209" t="s">
        <v>816</v>
      </c>
      <c r="Z124" s="209" t="s">
        <v>816</v>
      </c>
      <c r="AA124" s="209" t="s">
        <v>816</v>
      </c>
      <c r="AB124" s="209" t="s">
        <v>816</v>
      </c>
      <c r="AC124" s="150" t="s">
        <v>1831</v>
      </c>
      <c r="AD124" s="257" t="s">
        <v>1876</v>
      </c>
      <c r="AE124" s="257" t="s">
        <v>494</v>
      </c>
      <c r="AF124" s="257" t="s">
        <v>2313</v>
      </c>
      <c r="AG124" s="149" t="s">
        <v>720</v>
      </c>
      <c r="AH124" s="149">
        <v>7</v>
      </c>
      <c r="AI124" s="149" t="s">
        <v>1877</v>
      </c>
      <c r="AJ124" s="149">
        <v>3</v>
      </c>
      <c r="AK124" s="149">
        <v>5</v>
      </c>
      <c r="AL124" s="150" t="s">
        <v>816</v>
      </c>
      <c r="AM124" s="149" t="s">
        <v>721</v>
      </c>
      <c r="AN124" s="149">
        <v>9</v>
      </c>
      <c r="AO124" s="149" t="s">
        <v>1878</v>
      </c>
      <c r="AP124" s="149">
        <v>4</v>
      </c>
      <c r="AQ124" s="149">
        <v>4</v>
      </c>
      <c r="AR124" s="150" t="s">
        <v>816</v>
      </c>
      <c r="AS124" s="149" t="s">
        <v>739</v>
      </c>
      <c r="AT124" s="149">
        <v>7</v>
      </c>
      <c r="AU124" s="149" t="s">
        <v>1865</v>
      </c>
      <c r="AV124" s="150" t="s">
        <v>816</v>
      </c>
      <c r="AW124" s="149">
        <v>5</v>
      </c>
      <c r="AX124" s="149">
        <v>125</v>
      </c>
      <c r="AY124" s="150" t="s">
        <v>738</v>
      </c>
      <c r="AZ124" s="149">
        <v>8</v>
      </c>
      <c r="BA124" s="149" t="s">
        <v>1865</v>
      </c>
      <c r="BB124" s="150" t="s">
        <v>816</v>
      </c>
      <c r="BC124" s="149">
        <v>5</v>
      </c>
      <c r="BD124" s="149">
        <v>150</v>
      </c>
      <c r="BE124" s="149" t="s">
        <v>731</v>
      </c>
      <c r="BF124" s="149">
        <v>9</v>
      </c>
      <c r="BG124" s="149" t="s">
        <v>1843</v>
      </c>
      <c r="BH124" s="150" t="s">
        <v>816</v>
      </c>
      <c r="BI124" s="149">
        <v>4</v>
      </c>
      <c r="BJ124" s="149">
        <v>20</v>
      </c>
      <c r="BK124" s="149" t="s">
        <v>733</v>
      </c>
      <c r="BL124" s="149">
        <v>8</v>
      </c>
      <c r="BM124" s="149" t="s">
        <v>1865</v>
      </c>
      <c r="BN124" s="150" t="s">
        <v>816</v>
      </c>
      <c r="BO124" s="149">
        <v>5</v>
      </c>
      <c r="BP124" s="149">
        <v>50</v>
      </c>
      <c r="BQ124" s="149" t="s">
        <v>734</v>
      </c>
      <c r="BR124" s="149">
        <v>10</v>
      </c>
      <c r="BS124" s="149" t="s">
        <v>1879</v>
      </c>
      <c r="BT124" s="150" t="s">
        <v>816</v>
      </c>
      <c r="BU124" s="149">
        <v>5</v>
      </c>
      <c r="BV124" s="149">
        <v>20</v>
      </c>
    </row>
    <row r="125" spans="1:74" x14ac:dyDescent="0.25">
      <c r="A125" s="149" t="s">
        <v>1850</v>
      </c>
      <c r="B125" s="149" t="s">
        <v>2244</v>
      </c>
      <c r="D125" s="149">
        <v>3</v>
      </c>
      <c r="E125" s="149">
        <v>3</v>
      </c>
      <c r="F125" s="149">
        <v>3</v>
      </c>
      <c r="G125" s="149">
        <v>2</v>
      </c>
      <c r="H125" s="149">
        <v>2</v>
      </c>
      <c r="I125" s="149">
        <v>2</v>
      </c>
      <c r="J125" s="149">
        <v>3</v>
      </c>
      <c r="K125" s="149">
        <v>2</v>
      </c>
      <c r="L125" s="149">
        <v>3</v>
      </c>
      <c r="M125" s="149">
        <v>0</v>
      </c>
      <c r="N125" s="149">
        <v>0</v>
      </c>
      <c r="O125" s="149">
        <v>3</v>
      </c>
      <c r="P125" s="149">
        <v>5</v>
      </c>
      <c r="Q125" s="149">
        <v>6</v>
      </c>
      <c r="R125" s="149">
        <v>5</v>
      </c>
      <c r="S125" s="149">
        <v>2</v>
      </c>
      <c r="T125" s="149">
        <v>2</v>
      </c>
      <c r="U125" s="209" t="s">
        <v>816</v>
      </c>
      <c r="V125" s="209" t="s">
        <v>816</v>
      </c>
      <c r="W125" s="209" t="s">
        <v>816</v>
      </c>
      <c r="X125" s="209" t="s">
        <v>816</v>
      </c>
      <c r="Y125" s="209" t="s">
        <v>816</v>
      </c>
      <c r="Z125" s="209" t="s">
        <v>816</v>
      </c>
      <c r="AA125" s="209" t="s">
        <v>816</v>
      </c>
      <c r="AB125" s="209" t="s">
        <v>816</v>
      </c>
      <c r="AC125" s="150" t="s">
        <v>1831</v>
      </c>
      <c r="AD125" s="257" t="s">
        <v>1875</v>
      </c>
      <c r="AE125" s="257" t="s">
        <v>494</v>
      </c>
      <c r="AF125" s="257" t="s">
        <v>1903</v>
      </c>
      <c r="AG125" s="149" t="s">
        <v>702</v>
      </c>
      <c r="AH125" s="149">
        <v>6</v>
      </c>
      <c r="AI125" s="149" t="s">
        <v>1859</v>
      </c>
      <c r="AJ125" s="150" t="s">
        <v>816</v>
      </c>
      <c r="AK125" s="149">
        <v>6</v>
      </c>
      <c r="AL125" s="150" t="s">
        <v>816</v>
      </c>
      <c r="AM125" s="149" t="s">
        <v>720</v>
      </c>
      <c r="AN125" s="149">
        <v>5</v>
      </c>
      <c r="AO125" s="149" t="s">
        <v>1864</v>
      </c>
      <c r="AP125" s="149">
        <v>2</v>
      </c>
      <c r="AQ125" s="149">
        <v>5</v>
      </c>
      <c r="AR125" s="150" t="s">
        <v>816</v>
      </c>
      <c r="AS125" s="149" t="s">
        <v>721</v>
      </c>
      <c r="AT125" s="149">
        <v>7</v>
      </c>
      <c r="AU125" s="149" t="s">
        <v>1859</v>
      </c>
      <c r="AV125" s="149">
        <v>3</v>
      </c>
      <c r="AW125" s="149">
        <v>4</v>
      </c>
      <c r="AX125" s="150" t="s">
        <v>816</v>
      </c>
      <c r="AY125" s="150" t="s">
        <v>738</v>
      </c>
      <c r="AZ125" s="149">
        <v>6</v>
      </c>
      <c r="BA125" s="149" t="s">
        <v>1865</v>
      </c>
      <c r="BB125" s="150" t="s">
        <v>816</v>
      </c>
      <c r="BC125" s="149">
        <v>5</v>
      </c>
      <c r="BD125" s="150">
        <v>150</v>
      </c>
      <c r="BE125" s="149" t="s">
        <v>732</v>
      </c>
      <c r="BF125" s="149">
        <v>7</v>
      </c>
      <c r="BG125" s="149" t="s">
        <v>1843</v>
      </c>
      <c r="BH125" s="150" t="s">
        <v>816</v>
      </c>
      <c r="BI125" s="149">
        <v>4</v>
      </c>
      <c r="BJ125" s="150">
        <v>20</v>
      </c>
      <c r="BK125" s="209" t="s">
        <v>816</v>
      </c>
      <c r="BL125" s="209" t="s">
        <v>816</v>
      </c>
      <c r="BM125" s="209" t="s">
        <v>816</v>
      </c>
      <c r="BN125" s="209" t="s">
        <v>816</v>
      </c>
      <c r="BO125" s="209" t="s">
        <v>816</v>
      </c>
      <c r="BP125" s="209" t="s">
        <v>816</v>
      </c>
      <c r="BQ125" s="209" t="s">
        <v>816</v>
      </c>
      <c r="BR125" s="209" t="s">
        <v>816</v>
      </c>
      <c r="BS125" s="209" t="s">
        <v>816</v>
      </c>
      <c r="BT125" s="209" t="s">
        <v>816</v>
      </c>
      <c r="BU125" s="209" t="s">
        <v>816</v>
      </c>
      <c r="BV125" s="209" t="s">
        <v>816</v>
      </c>
    </row>
    <row r="126" spans="1:74" x14ac:dyDescent="0.25">
      <c r="A126" s="149" t="s">
        <v>1944</v>
      </c>
      <c r="B126" s="149" t="s">
        <v>2244</v>
      </c>
      <c r="D126" s="149">
        <v>3</v>
      </c>
      <c r="E126" s="149">
        <v>3</v>
      </c>
      <c r="F126" s="149">
        <v>2</v>
      </c>
      <c r="G126" s="149">
        <v>2</v>
      </c>
      <c r="H126" s="149">
        <v>2</v>
      </c>
      <c r="I126" s="149">
        <v>2</v>
      </c>
      <c r="J126" s="149">
        <v>2</v>
      </c>
      <c r="K126" s="149">
        <v>2</v>
      </c>
      <c r="L126" s="149">
        <v>2</v>
      </c>
      <c r="M126" s="149">
        <v>1</v>
      </c>
      <c r="N126" s="149">
        <v>1</v>
      </c>
      <c r="O126" s="149">
        <v>3</v>
      </c>
      <c r="P126" s="149">
        <v>4</v>
      </c>
      <c r="Q126" s="149">
        <v>3</v>
      </c>
      <c r="R126" s="149">
        <v>2</v>
      </c>
      <c r="S126" s="149">
        <v>1</v>
      </c>
      <c r="T126" s="149">
        <v>0</v>
      </c>
      <c r="U126" s="209" t="s">
        <v>816</v>
      </c>
      <c r="V126" s="209" t="s">
        <v>816</v>
      </c>
      <c r="W126" s="209" t="s">
        <v>816</v>
      </c>
      <c r="X126" s="209" t="s">
        <v>816</v>
      </c>
      <c r="Y126" s="209" t="s">
        <v>816</v>
      </c>
      <c r="Z126" s="209" t="s">
        <v>816</v>
      </c>
      <c r="AA126" s="209" t="s">
        <v>816</v>
      </c>
      <c r="AB126" s="209" t="s">
        <v>816</v>
      </c>
      <c r="AC126" s="150" t="s">
        <v>1950</v>
      </c>
      <c r="AD126" s="257" t="s">
        <v>1832</v>
      </c>
      <c r="AE126" s="258" t="s">
        <v>2322</v>
      </c>
      <c r="AF126" s="257" t="s">
        <v>2324</v>
      </c>
      <c r="AG126" s="149" t="s">
        <v>702</v>
      </c>
      <c r="AH126" s="149">
        <v>4</v>
      </c>
      <c r="AI126" s="149" t="s">
        <v>1859</v>
      </c>
      <c r="AJ126" s="150" t="s">
        <v>816</v>
      </c>
      <c r="AK126" s="149">
        <v>6</v>
      </c>
      <c r="AL126" s="150" t="s">
        <v>816</v>
      </c>
      <c r="AM126" s="149" t="s">
        <v>720</v>
      </c>
      <c r="AN126" s="149">
        <v>3</v>
      </c>
      <c r="AO126" s="149" t="s">
        <v>1864</v>
      </c>
      <c r="AP126" s="149">
        <v>0</v>
      </c>
      <c r="AQ126" s="149">
        <v>5</v>
      </c>
      <c r="AR126" s="150" t="s">
        <v>816</v>
      </c>
      <c r="AS126" s="149" t="s">
        <v>721</v>
      </c>
      <c r="AT126" s="149">
        <v>5</v>
      </c>
      <c r="AU126" s="149" t="s">
        <v>1859</v>
      </c>
      <c r="AV126" s="149">
        <v>2</v>
      </c>
      <c r="AW126" s="149">
        <v>4</v>
      </c>
      <c r="AX126" s="150" t="s">
        <v>816</v>
      </c>
      <c r="AY126" s="209" t="s">
        <v>816</v>
      </c>
      <c r="AZ126" s="209" t="s">
        <v>816</v>
      </c>
      <c r="BA126" s="209" t="s">
        <v>816</v>
      </c>
      <c r="BB126" s="209" t="s">
        <v>816</v>
      </c>
      <c r="BC126" s="209" t="s">
        <v>816</v>
      </c>
      <c r="BD126" s="209" t="s">
        <v>816</v>
      </c>
      <c r="BE126" s="209" t="s">
        <v>816</v>
      </c>
      <c r="BF126" s="209" t="s">
        <v>816</v>
      </c>
      <c r="BG126" s="209" t="s">
        <v>816</v>
      </c>
      <c r="BH126" s="209" t="s">
        <v>816</v>
      </c>
      <c r="BI126" s="209" t="s">
        <v>816</v>
      </c>
      <c r="BJ126" s="209" t="s">
        <v>816</v>
      </c>
      <c r="BK126" s="209" t="s">
        <v>816</v>
      </c>
      <c r="BL126" s="209" t="s">
        <v>816</v>
      </c>
      <c r="BM126" s="209" t="s">
        <v>816</v>
      </c>
      <c r="BN126" s="209" t="s">
        <v>816</v>
      </c>
      <c r="BO126" s="209" t="s">
        <v>816</v>
      </c>
      <c r="BP126" s="209" t="s">
        <v>816</v>
      </c>
      <c r="BQ126" s="209" t="s">
        <v>816</v>
      </c>
      <c r="BR126" s="209" t="s">
        <v>816</v>
      </c>
      <c r="BS126" s="209" t="s">
        <v>816</v>
      </c>
      <c r="BT126" s="209" t="s">
        <v>816</v>
      </c>
      <c r="BU126" s="209" t="s">
        <v>816</v>
      </c>
      <c r="BV126" s="209" t="s">
        <v>816</v>
      </c>
    </row>
    <row r="127" spans="1:74" x14ac:dyDescent="0.25">
      <c r="A127" s="149" t="s">
        <v>1870</v>
      </c>
      <c r="B127" s="149" t="s">
        <v>2244</v>
      </c>
      <c r="D127" s="149">
        <v>4</v>
      </c>
      <c r="E127" s="149">
        <v>4</v>
      </c>
      <c r="F127" s="149">
        <v>4</v>
      </c>
      <c r="G127" s="149">
        <v>3</v>
      </c>
      <c r="H127" s="149">
        <v>2</v>
      </c>
      <c r="I127" s="149">
        <v>3</v>
      </c>
      <c r="J127" s="149">
        <v>3</v>
      </c>
      <c r="K127" s="149">
        <v>3</v>
      </c>
      <c r="L127" s="149">
        <v>4</v>
      </c>
      <c r="M127" s="149">
        <v>0</v>
      </c>
      <c r="N127" s="149">
        <v>0</v>
      </c>
      <c r="O127" s="149">
        <v>4</v>
      </c>
      <c r="P127" s="149">
        <v>6</v>
      </c>
      <c r="Q127" s="149">
        <v>7</v>
      </c>
      <c r="R127" s="149">
        <v>6</v>
      </c>
      <c r="S127" s="149">
        <v>2</v>
      </c>
      <c r="T127" s="149">
        <v>2</v>
      </c>
      <c r="U127" s="209" t="s">
        <v>816</v>
      </c>
      <c r="V127" s="209" t="s">
        <v>816</v>
      </c>
      <c r="W127" s="209" t="s">
        <v>816</v>
      </c>
      <c r="X127" s="209" t="s">
        <v>816</v>
      </c>
      <c r="Y127" s="209" t="s">
        <v>816</v>
      </c>
      <c r="Z127" s="209" t="s">
        <v>816</v>
      </c>
      <c r="AA127" s="209" t="s">
        <v>816</v>
      </c>
      <c r="AB127" s="209" t="s">
        <v>816</v>
      </c>
      <c r="AC127" s="150" t="s">
        <v>1831</v>
      </c>
      <c r="AD127" s="257" t="s">
        <v>1876</v>
      </c>
      <c r="AE127" s="257" t="s">
        <v>494</v>
      </c>
      <c r="AF127" s="257" t="s">
        <v>2316</v>
      </c>
      <c r="AG127" s="149" t="s">
        <v>720</v>
      </c>
      <c r="AH127" s="149">
        <v>7</v>
      </c>
      <c r="AI127" s="149" t="s">
        <v>1877</v>
      </c>
      <c r="AJ127" s="149">
        <v>3</v>
      </c>
      <c r="AK127" s="149">
        <v>5</v>
      </c>
      <c r="AL127" s="150" t="s">
        <v>816</v>
      </c>
      <c r="AM127" s="149" t="s">
        <v>721</v>
      </c>
      <c r="AN127" s="149">
        <v>9</v>
      </c>
      <c r="AO127" s="149" t="s">
        <v>1878</v>
      </c>
      <c r="AP127" s="149">
        <v>4</v>
      </c>
      <c r="AQ127" s="149">
        <v>4</v>
      </c>
      <c r="AR127" s="150" t="s">
        <v>816</v>
      </c>
      <c r="AS127" s="149" t="s">
        <v>739</v>
      </c>
      <c r="AT127" s="149">
        <v>7</v>
      </c>
      <c r="AU127" s="149" t="s">
        <v>1865</v>
      </c>
      <c r="AV127" s="150" t="s">
        <v>816</v>
      </c>
      <c r="AW127" s="149">
        <v>5</v>
      </c>
      <c r="AX127" s="149">
        <v>125</v>
      </c>
      <c r="AY127" s="150" t="s">
        <v>738</v>
      </c>
      <c r="AZ127" s="149">
        <v>8</v>
      </c>
      <c r="BA127" s="149" t="s">
        <v>1865</v>
      </c>
      <c r="BB127" s="150" t="s">
        <v>816</v>
      </c>
      <c r="BC127" s="149">
        <v>5</v>
      </c>
      <c r="BD127" s="149">
        <v>150</v>
      </c>
      <c r="BE127" s="149" t="s">
        <v>731</v>
      </c>
      <c r="BF127" s="149">
        <v>9</v>
      </c>
      <c r="BG127" s="149" t="s">
        <v>1843</v>
      </c>
      <c r="BH127" s="150" t="s">
        <v>816</v>
      </c>
      <c r="BI127" s="149">
        <v>4</v>
      </c>
      <c r="BJ127" s="149">
        <v>20</v>
      </c>
      <c r="BK127" s="149" t="s">
        <v>733</v>
      </c>
      <c r="BL127" s="149">
        <v>8</v>
      </c>
      <c r="BM127" s="149" t="s">
        <v>1865</v>
      </c>
      <c r="BN127" s="150" t="s">
        <v>816</v>
      </c>
      <c r="BO127" s="149">
        <v>5</v>
      </c>
      <c r="BP127" s="149">
        <v>50</v>
      </c>
      <c r="BQ127" s="149" t="s">
        <v>734</v>
      </c>
      <c r="BR127" s="149">
        <v>10</v>
      </c>
      <c r="BS127" s="149" t="s">
        <v>1879</v>
      </c>
      <c r="BT127" s="150" t="s">
        <v>816</v>
      </c>
      <c r="BU127" s="149">
        <v>5</v>
      </c>
      <c r="BV127" s="149">
        <v>20</v>
      </c>
    </row>
    <row r="128" spans="1:74" x14ac:dyDescent="0.25">
      <c r="A128" s="149" t="s">
        <v>1961</v>
      </c>
      <c r="B128" s="149" t="s">
        <v>2244</v>
      </c>
      <c r="D128" s="149">
        <v>5</v>
      </c>
      <c r="E128" s="149">
        <v>1</v>
      </c>
      <c r="F128" s="149">
        <v>6</v>
      </c>
      <c r="G128" s="149">
        <v>1</v>
      </c>
      <c r="H128" s="149">
        <v>1</v>
      </c>
      <c r="I128" s="149">
        <v>0</v>
      </c>
      <c r="J128" s="149">
        <v>2</v>
      </c>
      <c r="K128" s="149">
        <v>1</v>
      </c>
      <c r="L128" s="149">
        <v>1</v>
      </c>
      <c r="M128" s="149">
        <v>1</v>
      </c>
      <c r="N128" s="149">
        <v>1</v>
      </c>
      <c r="O128" s="149">
        <v>1</v>
      </c>
      <c r="P128" s="149">
        <v>3</v>
      </c>
      <c r="Q128" s="149">
        <v>3</v>
      </c>
      <c r="R128" s="149">
        <v>6</v>
      </c>
      <c r="S128" s="149">
        <v>6</v>
      </c>
      <c r="T128" s="149">
        <v>0</v>
      </c>
      <c r="U128" s="209" t="s">
        <v>816</v>
      </c>
      <c r="V128" s="209" t="s">
        <v>816</v>
      </c>
      <c r="W128" s="209" t="s">
        <v>816</v>
      </c>
      <c r="X128" s="209" t="s">
        <v>816</v>
      </c>
      <c r="Y128" s="209" t="s">
        <v>816</v>
      </c>
      <c r="Z128" s="209" t="s">
        <v>816</v>
      </c>
      <c r="AA128" s="209" t="s">
        <v>816</v>
      </c>
      <c r="AB128" s="209" t="s">
        <v>816</v>
      </c>
      <c r="AC128" s="150" t="s">
        <v>1966</v>
      </c>
      <c r="AD128" s="257" t="s">
        <v>1967</v>
      </c>
      <c r="AE128" s="257" t="s">
        <v>494</v>
      </c>
      <c r="AF128" s="257" t="s">
        <v>2323</v>
      </c>
      <c r="AG128" s="149" t="s">
        <v>702</v>
      </c>
      <c r="AH128" s="149">
        <v>4</v>
      </c>
      <c r="AI128" s="149" t="s">
        <v>1834</v>
      </c>
      <c r="AJ128" s="150" t="s">
        <v>816</v>
      </c>
      <c r="AK128" s="149">
        <v>6</v>
      </c>
      <c r="AL128" s="150" t="s">
        <v>816</v>
      </c>
      <c r="AM128" s="149" t="s">
        <v>720</v>
      </c>
      <c r="AN128" s="149">
        <v>3</v>
      </c>
      <c r="AO128" s="149" t="s">
        <v>1922</v>
      </c>
      <c r="AP128" s="149">
        <v>1</v>
      </c>
      <c r="AQ128" s="149">
        <v>5</v>
      </c>
      <c r="AR128" s="150" t="s">
        <v>816</v>
      </c>
      <c r="AS128" s="149" t="s">
        <v>721</v>
      </c>
      <c r="AT128" s="149">
        <v>5</v>
      </c>
      <c r="AU128" s="149" t="s">
        <v>1834</v>
      </c>
      <c r="AV128" s="149">
        <v>2</v>
      </c>
      <c r="AW128" s="149">
        <v>4</v>
      </c>
      <c r="AX128" s="150" t="s">
        <v>816</v>
      </c>
      <c r="AY128" s="209" t="s">
        <v>816</v>
      </c>
      <c r="AZ128" s="209" t="s">
        <v>816</v>
      </c>
      <c r="BA128" s="209" t="s">
        <v>816</v>
      </c>
      <c r="BB128" s="209" t="s">
        <v>816</v>
      </c>
      <c r="BC128" s="209" t="s">
        <v>816</v>
      </c>
      <c r="BD128" s="209" t="s">
        <v>816</v>
      </c>
      <c r="BE128" s="209" t="s">
        <v>816</v>
      </c>
      <c r="BF128" s="209" t="s">
        <v>816</v>
      </c>
      <c r="BG128" s="209" t="s">
        <v>816</v>
      </c>
      <c r="BH128" s="209" t="s">
        <v>816</v>
      </c>
      <c r="BI128" s="209" t="s">
        <v>816</v>
      </c>
      <c r="BJ128" s="209" t="s">
        <v>816</v>
      </c>
      <c r="BK128" s="209" t="s">
        <v>816</v>
      </c>
      <c r="BL128" s="209" t="s">
        <v>816</v>
      </c>
      <c r="BM128" s="209" t="s">
        <v>816</v>
      </c>
      <c r="BN128" s="209" t="s">
        <v>816</v>
      </c>
      <c r="BO128" s="209" t="s">
        <v>816</v>
      </c>
      <c r="BP128" s="209" t="s">
        <v>816</v>
      </c>
      <c r="BQ128" s="209" t="s">
        <v>816</v>
      </c>
      <c r="BR128" s="209" t="s">
        <v>816</v>
      </c>
      <c r="BS128" s="209" t="s">
        <v>816</v>
      </c>
      <c r="BT128" s="209" t="s">
        <v>816</v>
      </c>
      <c r="BU128" s="209" t="s">
        <v>816</v>
      </c>
      <c r="BV128" s="209" t="s">
        <v>816</v>
      </c>
    </row>
    <row r="129" spans="1:74" x14ac:dyDescent="0.25">
      <c r="A129" s="149" t="s">
        <v>1846</v>
      </c>
      <c r="B129" s="149" t="s">
        <v>2244</v>
      </c>
      <c r="D129" s="149">
        <v>3</v>
      </c>
      <c r="E129" s="149">
        <v>3</v>
      </c>
      <c r="F129" s="149">
        <v>3</v>
      </c>
      <c r="G129" s="149">
        <v>2</v>
      </c>
      <c r="H129" s="149">
        <v>2</v>
      </c>
      <c r="I129" s="149">
        <v>2</v>
      </c>
      <c r="J129" s="149">
        <v>3</v>
      </c>
      <c r="K129" s="149">
        <v>2</v>
      </c>
      <c r="L129" s="149">
        <v>3</v>
      </c>
      <c r="M129" s="149">
        <v>0</v>
      </c>
      <c r="N129" s="149">
        <v>0</v>
      </c>
      <c r="O129" s="149">
        <v>3</v>
      </c>
      <c r="P129" s="149">
        <v>5</v>
      </c>
      <c r="Q129" s="149">
        <v>6</v>
      </c>
      <c r="R129" s="149">
        <v>5</v>
      </c>
      <c r="S129" s="149">
        <v>2</v>
      </c>
      <c r="T129" s="149">
        <v>2</v>
      </c>
      <c r="U129" s="209" t="s">
        <v>816</v>
      </c>
      <c r="V129" s="209" t="s">
        <v>816</v>
      </c>
      <c r="W129" s="209" t="s">
        <v>816</v>
      </c>
      <c r="X129" s="209" t="s">
        <v>816</v>
      </c>
      <c r="Y129" s="209" t="s">
        <v>816</v>
      </c>
      <c r="Z129" s="209" t="s">
        <v>816</v>
      </c>
      <c r="AA129" s="209" t="s">
        <v>816</v>
      </c>
      <c r="AB129" s="209" t="s">
        <v>816</v>
      </c>
      <c r="AC129" s="150" t="s">
        <v>1831</v>
      </c>
      <c r="AD129" s="257" t="s">
        <v>1875</v>
      </c>
      <c r="AE129" s="257" t="s">
        <v>494</v>
      </c>
      <c r="AF129" s="257" t="s">
        <v>1901</v>
      </c>
      <c r="AG129" s="149" t="s">
        <v>702</v>
      </c>
      <c r="AH129" s="149">
        <v>6</v>
      </c>
      <c r="AI129" s="149" t="s">
        <v>1859</v>
      </c>
      <c r="AJ129" s="150" t="s">
        <v>816</v>
      </c>
      <c r="AK129" s="149">
        <v>6</v>
      </c>
      <c r="AL129" s="150" t="s">
        <v>816</v>
      </c>
      <c r="AM129" s="149" t="s">
        <v>720</v>
      </c>
      <c r="AN129" s="149">
        <v>5</v>
      </c>
      <c r="AO129" s="149" t="s">
        <v>1864</v>
      </c>
      <c r="AP129" s="149">
        <v>2</v>
      </c>
      <c r="AQ129" s="149">
        <v>5</v>
      </c>
      <c r="AR129" s="150" t="s">
        <v>816</v>
      </c>
      <c r="AS129" s="149" t="s">
        <v>721</v>
      </c>
      <c r="AT129" s="149">
        <v>7</v>
      </c>
      <c r="AU129" s="149" t="s">
        <v>1859</v>
      </c>
      <c r="AV129" s="149">
        <v>3</v>
      </c>
      <c r="AW129" s="149">
        <v>4</v>
      </c>
      <c r="AX129" s="150" t="s">
        <v>816</v>
      </c>
      <c r="AY129" s="150" t="s">
        <v>1858</v>
      </c>
      <c r="AZ129" s="149">
        <v>6</v>
      </c>
      <c r="BA129" s="149" t="s">
        <v>1859</v>
      </c>
      <c r="BB129" s="150">
        <v>3</v>
      </c>
      <c r="BC129" s="149">
        <v>4</v>
      </c>
      <c r="BD129" s="150" t="s">
        <v>816</v>
      </c>
      <c r="BE129" s="149" t="s">
        <v>732</v>
      </c>
      <c r="BF129" s="149">
        <v>7</v>
      </c>
      <c r="BG129" s="149" t="s">
        <v>1843</v>
      </c>
      <c r="BH129" s="150" t="s">
        <v>816</v>
      </c>
      <c r="BI129" s="149">
        <v>4</v>
      </c>
      <c r="BJ129" s="150">
        <v>20</v>
      </c>
      <c r="BK129" s="209" t="s">
        <v>816</v>
      </c>
      <c r="BL129" s="209" t="s">
        <v>816</v>
      </c>
      <c r="BM129" s="209" t="s">
        <v>816</v>
      </c>
      <c r="BN129" s="209" t="s">
        <v>816</v>
      </c>
      <c r="BO129" s="209" t="s">
        <v>816</v>
      </c>
      <c r="BP129" s="209" t="s">
        <v>816</v>
      </c>
      <c r="BQ129" s="209" t="s">
        <v>816</v>
      </c>
      <c r="BR129" s="209" t="s">
        <v>816</v>
      </c>
      <c r="BS129" s="209" t="s">
        <v>816</v>
      </c>
      <c r="BT129" s="209" t="s">
        <v>816</v>
      </c>
      <c r="BU129" s="209" t="s">
        <v>816</v>
      </c>
      <c r="BV129" s="209" t="s">
        <v>816</v>
      </c>
    </row>
    <row r="130" spans="1:74" x14ac:dyDescent="0.25">
      <c r="A130" s="149" t="s">
        <v>1948</v>
      </c>
      <c r="B130" s="149" t="s">
        <v>2244</v>
      </c>
      <c r="D130" s="149">
        <v>3</v>
      </c>
      <c r="E130" s="149">
        <v>3</v>
      </c>
      <c r="F130" s="149">
        <v>2</v>
      </c>
      <c r="G130" s="149">
        <v>2</v>
      </c>
      <c r="H130" s="149">
        <v>2</v>
      </c>
      <c r="I130" s="149">
        <v>2</v>
      </c>
      <c r="J130" s="149">
        <v>2</v>
      </c>
      <c r="K130" s="149">
        <v>2</v>
      </c>
      <c r="L130" s="149">
        <v>2</v>
      </c>
      <c r="M130" s="149">
        <v>1</v>
      </c>
      <c r="N130" s="149">
        <v>1</v>
      </c>
      <c r="O130" s="149">
        <v>3</v>
      </c>
      <c r="P130" s="149">
        <v>4</v>
      </c>
      <c r="Q130" s="149">
        <v>3</v>
      </c>
      <c r="R130" s="149">
        <v>2</v>
      </c>
      <c r="S130" s="149">
        <v>1</v>
      </c>
      <c r="T130" s="149">
        <v>0</v>
      </c>
      <c r="U130" s="209" t="s">
        <v>816</v>
      </c>
      <c r="V130" s="209" t="s">
        <v>816</v>
      </c>
      <c r="W130" s="209" t="s">
        <v>816</v>
      </c>
      <c r="X130" s="209" t="s">
        <v>816</v>
      </c>
      <c r="Y130" s="209" t="s">
        <v>816</v>
      </c>
      <c r="Z130" s="209" t="s">
        <v>816</v>
      </c>
      <c r="AA130" s="209" t="s">
        <v>816</v>
      </c>
      <c r="AB130" s="209" t="s">
        <v>816</v>
      </c>
      <c r="AC130" s="150" t="s">
        <v>1950</v>
      </c>
      <c r="AD130" s="257" t="s">
        <v>1832</v>
      </c>
      <c r="AE130" s="258" t="s">
        <v>1951</v>
      </c>
      <c r="AF130" s="257" t="s">
        <v>2324</v>
      </c>
      <c r="AG130" s="149" t="s">
        <v>702</v>
      </c>
      <c r="AH130" s="149">
        <v>4</v>
      </c>
      <c r="AI130" s="149" t="s">
        <v>1859</v>
      </c>
      <c r="AJ130" s="150" t="s">
        <v>816</v>
      </c>
      <c r="AK130" s="149">
        <v>6</v>
      </c>
      <c r="AL130" s="150" t="s">
        <v>816</v>
      </c>
      <c r="AM130" s="149" t="s">
        <v>720</v>
      </c>
      <c r="AN130" s="149">
        <v>3</v>
      </c>
      <c r="AO130" s="149" t="s">
        <v>1864</v>
      </c>
      <c r="AP130" s="149">
        <v>0</v>
      </c>
      <c r="AQ130" s="149">
        <v>5</v>
      </c>
      <c r="AR130" s="150" t="s">
        <v>816</v>
      </c>
      <c r="AS130" s="149" t="s">
        <v>721</v>
      </c>
      <c r="AT130" s="149">
        <v>5</v>
      </c>
      <c r="AU130" s="149" t="s">
        <v>1859</v>
      </c>
      <c r="AV130" s="149">
        <v>2</v>
      </c>
      <c r="AW130" s="149">
        <v>4</v>
      </c>
      <c r="AX130" s="150" t="s">
        <v>816</v>
      </c>
      <c r="AY130" s="209" t="s">
        <v>816</v>
      </c>
      <c r="AZ130" s="209" t="s">
        <v>816</v>
      </c>
      <c r="BA130" s="209" t="s">
        <v>816</v>
      </c>
      <c r="BB130" s="209" t="s">
        <v>816</v>
      </c>
      <c r="BC130" s="209" t="s">
        <v>816</v>
      </c>
      <c r="BD130" s="209" t="s">
        <v>816</v>
      </c>
      <c r="BE130" s="209" t="s">
        <v>816</v>
      </c>
      <c r="BF130" s="209" t="s">
        <v>816</v>
      </c>
      <c r="BG130" s="209" t="s">
        <v>816</v>
      </c>
      <c r="BH130" s="209" t="s">
        <v>816</v>
      </c>
      <c r="BI130" s="209" t="s">
        <v>816</v>
      </c>
      <c r="BJ130" s="209" t="s">
        <v>816</v>
      </c>
      <c r="BK130" s="209" t="s">
        <v>816</v>
      </c>
      <c r="BL130" s="209" t="s">
        <v>816</v>
      </c>
      <c r="BM130" s="209" t="s">
        <v>816</v>
      </c>
      <c r="BN130" s="209" t="s">
        <v>816</v>
      </c>
      <c r="BO130" s="209" t="s">
        <v>816</v>
      </c>
      <c r="BP130" s="209" t="s">
        <v>816</v>
      </c>
      <c r="BQ130" s="209" t="s">
        <v>816</v>
      </c>
      <c r="BR130" s="209" t="s">
        <v>816</v>
      </c>
      <c r="BS130" s="209" t="s">
        <v>816</v>
      </c>
      <c r="BT130" s="209" t="s">
        <v>816</v>
      </c>
      <c r="BU130" s="209" t="s">
        <v>816</v>
      </c>
      <c r="BV130" s="209" t="s">
        <v>816</v>
      </c>
    </row>
    <row r="131" spans="1:74" x14ac:dyDescent="0.25">
      <c r="A131" s="149" t="s">
        <v>1873</v>
      </c>
      <c r="B131" s="149" t="s">
        <v>2244</v>
      </c>
      <c r="D131" s="149">
        <v>4</v>
      </c>
      <c r="E131" s="149">
        <v>4</v>
      </c>
      <c r="F131" s="149">
        <v>4</v>
      </c>
      <c r="G131" s="149">
        <v>3</v>
      </c>
      <c r="H131" s="149">
        <v>2</v>
      </c>
      <c r="I131" s="149">
        <v>3</v>
      </c>
      <c r="J131" s="149">
        <v>3</v>
      </c>
      <c r="K131" s="149">
        <v>3</v>
      </c>
      <c r="L131" s="149">
        <v>4</v>
      </c>
      <c r="M131" s="149">
        <v>0</v>
      </c>
      <c r="N131" s="149">
        <v>0</v>
      </c>
      <c r="O131" s="149">
        <v>4</v>
      </c>
      <c r="P131" s="149">
        <v>6</v>
      </c>
      <c r="Q131" s="149">
        <v>7</v>
      </c>
      <c r="R131" s="149">
        <v>6</v>
      </c>
      <c r="S131" s="149">
        <v>2</v>
      </c>
      <c r="T131" s="149">
        <v>2</v>
      </c>
      <c r="U131" s="209" t="s">
        <v>816</v>
      </c>
      <c r="V131" s="209" t="s">
        <v>816</v>
      </c>
      <c r="W131" s="209" t="s">
        <v>816</v>
      </c>
      <c r="X131" s="209" t="s">
        <v>816</v>
      </c>
      <c r="Y131" s="209" t="s">
        <v>816</v>
      </c>
      <c r="Z131" s="209" t="s">
        <v>816</v>
      </c>
      <c r="AA131" s="209" t="s">
        <v>816</v>
      </c>
      <c r="AB131" s="209" t="s">
        <v>816</v>
      </c>
      <c r="AC131" s="150" t="s">
        <v>1831</v>
      </c>
      <c r="AD131" s="257" t="s">
        <v>1876</v>
      </c>
      <c r="AE131" s="257" t="s">
        <v>494</v>
      </c>
      <c r="AF131" s="257" t="s">
        <v>2327</v>
      </c>
      <c r="AG131" s="149" t="s">
        <v>720</v>
      </c>
      <c r="AH131" s="149">
        <v>7</v>
      </c>
      <c r="AI131" s="149" t="s">
        <v>1877</v>
      </c>
      <c r="AJ131" s="149">
        <v>3</v>
      </c>
      <c r="AK131" s="149">
        <v>5</v>
      </c>
      <c r="AL131" s="150" t="s">
        <v>816</v>
      </c>
      <c r="AM131" s="149" t="s">
        <v>721</v>
      </c>
      <c r="AN131" s="149">
        <v>9</v>
      </c>
      <c r="AO131" s="149" t="s">
        <v>1878</v>
      </c>
      <c r="AP131" s="149">
        <v>4</v>
      </c>
      <c r="AQ131" s="149">
        <v>4</v>
      </c>
      <c r="AR131" s="150" t="s">
        <v>816</v>
      </c>
      <c r="AS131" s="149" t="s">
        <v>739</v>
      </c>
      <c r="AT131" s="149">
        <v>7</v>
      </c>
      <c r="AU131" s="149" t="s">
        <v>1865</v>
      </c>
      <c r="AV131" s="150" t="s">
        <v>816</v>
      </c>
      <c r="AW131" s="149">
        <v>5</v>
      </c>
      <c r="AX131" s="149">
        <v>125</v>
      </c>
      <c r="AY131" s="150" t="s">
        <v>738</v>
      </c>
      <c r="AZ131" s="149">
        <v>8</v>
      </c>
      <c r="BA131" s="149" t="s">
        <v>1865</v>
      </c>
      <c r="BB131" s="150" t="s">
        <v>816</v>
      </c>
      <c r="BC131" s="149">
        <v>5</v>
      </c>
      <c r="BD131" s="149">
        <v>150</v>
      </c>
      <c r="BE131" s="149" t="s">
        <v>731</v>
      </c>
      <c r="BF131" s="149">
        <v>9</v>
      </c>
      <c r="BG131" s="149" t="s">
        <v>1843</v>
      </c>
      <c r="BH131" s="150" t="s">
        <v>816</v>
      </c>
      <c r="BI131" s="149">
        <v>4</v>
      </c>
      <c r="BJ131" s="149">
        <v>20</v>
      </c>
      <c r="BK131" s="149" t="s">
        <v>733</v>
      </c>
      <c r="BL131" s="149">
        <v>8</v>
      </c>
      <c r="BM131" s="149" t="s">
        <v>1865</v>
      </c>
      <c r="BN131" s="150" t="s">
        <v>816</v>
      </c>
      <c r="BO131" s="149">
        <v>5</v>
      </c>
      <c r="BP131" s="149">
        <v>50</v>
      </c>
      <c r="BQ131" s="149" t="s">
        <v>734</v>
      </c>
      <c r="BR131" s="149">
        <v>10</v>
      </c>
      <c r="BS131" s="149" t="s">
        <v>1879</v>
      </c>
      <c r="BT131" s="150" t="s">
        <v>816</v>
      </c>
      <c r="BU131" s="149">
        <v>5</v>
      </c>
      <c r="BV131" s="149">
        <v>20</v>
      </c>
    </row>
    <row r="132" spans="1:74" x14ac:dyDescent="0.25">
      <c r="A132" s="149" t="s">
        <v>1862</v>
      </c>
      <c r="B132" s="149" t="s">
        <v>2244</v>
      </c>
      <c r="D132" s="149">
        <v>3</v>
      </c>
      <c r="E132" s="149">
        <v>3</v>
      </c>
      <c r="F132" s="149">
        <v>3</v>
      </c>
      <c r="G132" s="149">
        <v>2</v>
      </c>
      <c r="H132" s="149">
        <v>2</v>
      </c>
      <c r="I132" s="149">
        <v>2</v>
      </c>
      <c r="J132" s="149">
        <v>3</v>
      </c>
      <c r="K132" s="149">
        <v>2</v>
      </c>
      <c r="L132" s="149">
        <v>3</v>
      </c>
      <c r="M132" s="149">
        <v>0</v>
      </c>
      <c r="N132" s="149">
        <v>0</v>
      </c>
      <c r="O132" s="149">
        <v>3</v>
      </c>
      <c r="P132" s="149">
        <v>5</v>
      </c>
      <c r="Q132" s="149">
        <v>6</v>
      </c>
      <c r="R132" s="149">
        <v>5</v>
      </c>
      <c r="S132" s="149">
        <v>2</v>
      </c>
      <c r="T132" s="149">
        <v>2</v>
      </c>
      <c r="U132" s="209" t="s">
        <v>816</v>
      </c>
      <c r="V132" s="209" t="s">
        <v>816</v>
      </c>
      <c r="W132" s="209" t="s">
        <v>816</v>
      </c>
      <c r="X132" s="209" t="s">
        <v>816</v>
      </c>
      <c r="Y132" s="209" t="s">
        <v>816</v>
      </c>
      <c r="Z132" s="209" t="s">
        <v>816</v>
      </c>
      <c r="AA132" s="209" t="s">
        <v>816</v>
      </c>
      <c r="AB132" s="209" t="s">
        <v>816</v>
      </c>
      <c r="AC132" s="150" t="s">
        <v>1831</v>
      </c>
      <c r="AD132" s="257" t="s">
        <v>1875</v>
      </c>
      <c r="AE132" s="257" t="s">
        <v>494</v>
      </c>
      <c r="AF132" s="257" t="s">
        <v>1902</v>
      </c>
      <c r="AG132" s="149" t="s">
        <v>702</v>
      </c>
      <c r="AH132" s="149">
        <v>6</v>
      </c>
      <c r="AI132" s="149" t="s">
        <v>1859</v>
      </c>
      <c r="AJ132" s="150" t="s">
        <v>816</v>
      </c>
      <c r="AK132" s="149">
        <v>6</v>
      </c>
      <c r="AL132" s="150" t="s">
        <v>816</v>
      </c>
      <c r="AM132" s="149" t="s">
        <v>720</v>
      </c>
      <c r="AN132" s="149">
        <v>5</v>
      </c>
      <c r="AO132" s="149" t="s">
        <v>1864</v>
      </c>
      <c r="AP132" s="149">
        <v>2</v>
      </c>
      <c r="AQ132" s="149">
        <v>5</v>
      </c>
      <c r="AR132" s="150" t="s">
        <v>816</v>
      </c>
      <c r="AS132" s="149" t="s">
        <v>721</v>
      </c>
      <c r="AT132" s="149">
        <v>7</v>
      </c>
      <c r="AU132" s="149" t="s">
        <v>1859</v>
      </c>
      <c r="AV132" s="149">
        <v>3</v>
      </c>
      <c r="AW132" s="149">
        <v>4</v>
      </c>
      <c r="AX132" s="150" t="s">
        <v>816</v>
      </c>
      <c r="AY132" s="150" t="s">
        <v>738</v>
      </c>
      <c r="AZ132" s="149">
        <v>6</v>
      </c>
      <c r="BA132" s="149" t="s">
        <v>1865</v>
      </c>
      <c r="BB132" s="150" t="s">
        <v>816</v>
      </c>
      <c r="BC132" s="149">
        <v>5</v>
      </c>
      <c r="BD132" s="150">
        <v>150</v>
      </c>
      <c r="BE132" s="150" t="s">
        <v>1858</v>
      </c>
      <c r="BF132" s="149">
        <v>6</v>
      </c>
      <c r="BG132" s="149" t="s">
        <v>1859</v>
      </c>
      <c r="BH132" s="150">
        <v>3</v>
      </c>
      <c r="BI132" s="149">
        <v>4</v>
      </c>
      <c r="BJ132" s="150" t="s">
        <v>816</v>
      </c>
      <c r="BK132" s="149" t="s">
        <v>732</v>
      </c>
      <c r="BL132" s="149">
        <v>7</v>
      </c>
      <c r="BM132" s="149" t="s">
        <v>1843</v>
      </c>
      <c r="BN132" s="150" t="s">
        <v>816</v>
      </c>
      <c r="BO132" s="149">
        <v>4</v>
      </c>
      <c r="BP132" s="150">
        <v>20</v>
      </c>
      <c r="BQ132" s="209" t="s">
        <v>816</v>
      </c>
      <c r="BR132" s="209" t="s">
        <v>816</v>
      </c>
      <c r="BS132" s="209" t="s">
        <v>816</v>
      </c>
      <c r="BT132" s="209" t="s">
        <v>816</v>
      </c>
      <c r="BU132" s="209" t="s">
        <v>816</v>
      </c>
      <c r="BV132" s="209" t="s">
        <v>816</v>
      </c>
    </row>
    <row r="133" spans="1:74" x14ac:dyDescent="0.25">
      <c r="A133" s="149" t="s">
        <v>1964</v>
      </c>
      <c r="B133" s="149" t="s">
        <v>2244</v>
      </c>
      <c r="D133" s="149">
        <v>5</v>
      </c>
      <c r="E133" s="149">
        <v>1</v>
      </c>
      <c r="F133" s="149">
        <v>6</v>
      </c>
      <c r="G133" s="149">
        <v>1</v>
      </c>
      <c r="H133" s="149">
        <v>1</v>
      </c>
      <c r="I133" s="149">
        <v>0</v>
      </c>
      <c r="J133" s="149">
        <v>2</v>
      </c>
      <c r="K133" s="149">
        <v>1</v>
      </c>
      <c r="L133" s="149">
        <v>1</v>
      </c>
      <c r="M133" s="149">
        <v>1</v>
      </c>
      <c r="N133" s="149">
        <v>1</v>
      </c>
      <c r="O133" s="149">
        <v>1</v>
      </c>
      <c r="P133" s="149">
        <v>3</v>
      </c>
      <c r="Q133" s="149">
        <v>3</v>
      </c>
      <c r="R133" s="149">
        <v>6</v>
      </c>
      <c r="S133" s="149">
        <v>6</v>
      </c>
      <c r="T133" s="149">
        <v>0</v>
      </c>
      <c r="U133" s="209" t="s">
        <v>816</v>
      </c>
      <c r="V133" s="209" t="s">
        <v>816</v>
      </c>
      <c r="W133" s="209" t="s">
        <v>816</v>
      </c>
      <c r="X133" s="209" t="s">
        <v>816</v>
      </c>
      <c r="Y133" s="209" t="s">
        <v>816</v>
      </c>
      <c r="Z133" s="209" t="s">
        <v>816</v>
      </c>
      <c r="AA133" s="209" t="s">
        <v>816</v>
      </c>
      <c r="AB133" s="209" t="s">
        <v>816</v>
      </c>
      <c r="AC133" s="150" t="s">
        <v>1966</v>
      </c>
      <c r="AD133" s="257" t="s">
        <v>1967</v>
      </c>
      <c r="AE133" s="257" t="s">
        <v>494</v>
      </c>
      <c r="AF133" s="257" t="s">
        <v>2323</v>
      </c>
      <c r="AG133" s="149" t="s">
        <v>702</v>
      </c>
      <c r="AH133" s="149">
        <v>4</v>
      </c>
      <c r="AI133" s="149" t="s">
        <v>1834</v>
      </c>
      <c r="AJ133" s="150" t="s">
        <v>816</v>
      </c>
      <c r="AK133" s="149">
        <v>6</v>
      </c>
      <c r="AL133" s="150" t="s">
        <v>816</v>
      </c>
      <c r="AM133" s="149" t="s">
        <v>720</v>
      </c>
      <c r="AN133" s="149">
        <v>3</v>
      </c>
      <c r="AO133" s="149" t="s">
        <v>1922</v>
      </c>
      <c r="AP133" s="149">
        <v>1</v>
      </c>
      <c r="AQ133" s="149">
        <v>5</v>
      </c>
      <c r="AR133" s="150" t="s">
        <v>816</v>
      </c>
      <c r="AS133" s="149" t="s">
        <v>721</v>
      </c>
      <c r="AT133" s="149">
        <v>5</v>
      </c>
      <c r="AU133" s="149" t="s">
        <v>1834</v>
      </c>
      <c r="AV133" s="149">
        <v>2</v>
      </c>
      <c r="AW133" s="149">
        <v>4</v>
      </c>
      <c r="AX133" s="150" t="s">
        <v>816</v>
      </c>
      <c r="AY133" s="209" t="s">
        <v>816</v>
      </c>
      <c r="AZ133" s="209" t="s">
        <v>816</v>
      </c>
      <c r="BA133" s="209" t="s">
        <v>816</v>
      </c>
      <c r="BB133" s="209" t="s">
        <v>816</v>
      </c>
      <c r="BC133" s="209" t="s">
        <v>816</v>
      </c>
      <c r="BD133" s="209" t="s">
        <v>816</v>
      </c>
      <c r="BE133" s="209" t="s">
        <v>816</v>
      </c>
      <c r="BF133" s="209" t="s">
        <v>816</v>
      </c>
      <c r="BG133" s="209" t="s">
        <v>816</v>
      </c>
      <c r="BH133" s="209" t="s">
        <v>816</v>
      </c>
      <c r="BI133" s="209" t="s">
        <v>816</v>
      </c>
      <c r="BJ133" s="209" t="s">
        <v>816</v>
      </c>
      <c r="BK133" s="209" t="s">
        <v>816</v>
      </c>
      <c r="BL133" s="209" t="s">
        <v>816</v>
      </c>
      <c r="BM133" s="209" t="s">
        <v>816</v>
      </c>
      <c r="BN133" s="209" t="s">
        <v>816</v>
      </c>
      <c r="BO133" s="209" t="s">
        <v>816</v>
      </c>
      <c r="BP133" s="209" t="s">
        <v>816</v>
      </c>
      <c r="BQ133" s="209" t="s">
        <v>816</v>
      </c>
      <c r="BR133" s="209" t="s">
        <v>816</v>
      </c>
      <c r="BS133" s="209" t="s">
        <v>816</v>
      </c>
      <c r="BT133" s="209" t="s">
        <v>816</v>
      </c>
      <c r="BU133" s="209" t="s">
        <v>816</v>
      </c>
      <c r="BV133" s="209" t="s">
        <v>816</v>
      </c>
    </row>
    <row r="134" spans="1:74" x14ac:dyDescent="0.25">
      <c r="A134" s="149" t="s">
        <v>1855</v>
      </c>
      <c r="B134" s="149" t="s">
        <v>2244</v>
      </c>
      <c r="D134" s="149">
        <v>2</v>
      </c>
      <c r="E134" s="149">
        <v>3</v>
      </c>
      <c r="F134" s="149">
        <v>2</v>
      </c>
      <c r="G134" s="149">
        <v>2</v>
      </c>
      <c r="H134" s="149">
        <v>2</v>
      </c>
      <c r="I134" s="149">
        <v>2</v>
      </c>
      <c r="J134" s="149">
        <v>2</v>
      </c>
      <c r="K134" s="149">
        <v>2</v>
      </c>
      <c r="L134" s="149">
        <v>2</v>
      </c>
      <c r="M134" s="149">
        <v>0</v>
      </c>
      <c r="N134" s="149">
        <v>0</v>
      </c>
      <c r="O134" s="149">
        <v>2</v>
      </c>
      <c r="P134" s="149">
        <v>4</v>
      </c>
      <c r="Q134" s="149">
        <v>4</v>
      </c>
      <c r="R134" s="149">
        <v>4</v>
      </c>
      <c r="S134" s="149">
        <v>2</v>
      </c>
      <c r="T134" s="149">
        <v>2</v>
      </c>
      <c r="U134" s="209" t="s">
        <v>816</v>
      </c>
      <c r="V134" s="209" t="s">
        <v>816</v>
      </c>
      <c r="W134" s="209" t="s">
        <v>816</v>
      </c>
      <c r="X134" s="209" t="s">
        <v>816</v>
      </c>
      <c r="Y134" s="209" t="s">
        <v>816</v>
      </c>
      <c r="Z134" s="209" t="s">
        <v>816</v>
      </c>
      <c r="AA134" s="209" t="s">
        <v>816</v>
      </c>
      <c r="AB134" s="209" t="s">
        <v>816</v>
      </c>
      <c r="AC134" s="150" t="s">
        <v>1831</v>
      </c>
      <c r="AD134" s="257" t="s">
        <v>1857</v>
      </c>
      <c r="AE134" s="257" t="s">
        <v>494</v>
      </c>
      <c r="AF134" s="257" t="s">
        <v>1901</v>
      </c>
      <c r="AG134" s="149" t="s">
        <v>702</v>
      </c>
      <c r="AH134" s="149">
        <v>5</v>
      </c>
      <c r="AI134" s="149" t="s">
        <v>1833</v>
      </c>
      <c r="AJ134" s="150" t="s">
        <v>816</v>
      </c>
      <c r="AK134" s="149">
        <v>6</v>
      </c>
      <c r="AL134" s="150" t="s">
        <v>816</v>
      </c>
      <c r="AM134" s="149" t="s">
        <v>720</v>
      </c>
      <c r="AN134" s="149">
        <v>4</v>
      </c>
      <c r="AO134" s="149" t="s">
        <v>1834</v>
      </c>
      <c r="AP134" s="149">
        <v>1</v>
      </c>
      <c r="AQ134" s="149">
        <v>5</v>
      </c>
      <c r="AR134" s="150" t="s">
        <v>816</v>
      </c>
      <c r="AS134" s="149" t="s">
        <v>721</v>
      </c>
      <c r="AT134" s="149">
        <v>6</v>
      </c>
      <c r="AU134" s="149" t="s">
        <v>1833</v>
      </c>
      <c r="AV134" s="149">
        <v>3</v>
      </c>
      <c r="AW134" s="149">
        <v>4</v>
      </c>
      <c r="AX134" s="150" t="s">
        <v>816</v>
      </c>
      <c r="AY134" s="150" t="s">
        <v>1858</v>
      </c>
      <c r="AZ134" s="149">
        <v>5</v>
      </c>
      <c r="BA134" s="149" t="s">
        <v>1859</v>
      </c>
      <c r="BB134" s="150">
        <v>2</v>
      </c>
      <c r="BC134" s="149">
        <v>4</v>
      </c>
      <c r="BD134" s="150" t="s">
        <v>816</v>
      </c>
      <c r="BE134" s="149" t="s">
        <v>732</v>
      </c>
      <c r="BF134" s="149">
        <v>7</v>
      </c>
      <c r="BG134" s="149" t="s">
        <v>1843</v>
      </c>
      <c r="BH134" s="150" t="s">
        <v>816</v>
      </c>
      <c r="BI134" s="149">
        <v>4</v>
      </c>
      <c r="BJ134" s="150">
        <v>20</v>
      </c>
      <c r="BK134" s="209" t="s">
        <v>816</v>
      </c>
      <c r="BL134" s="209" t="s">
        <v>816</v>
      </c>
      <c r="BM134" s="209" t="s">
        <v>816</v>
      </c>
      <c r="BN134" s="209" t="s">
        <v>816</v>
      </c>
      <c r="BO134" s="209" t="s">
        <v>816</v>
      </c>
      <c r="BP134" s="209" t="s">
        <v>816</v>
      </c>
      <c r="BQ134" s="209" t="s">
        <v>816</v>
      </c>
      <c r="BR134" s="209" t="s">
        <v>816</v>
      </c>
      <c r="BS134" s="209" t="s">
        <v>816</v>
      </c>
      <c r="BT134" s="209" t="s">
        <v>816</v>
      </c>
      <c r="BU134" s="209" t="s">
        <v>816</v>
      </c>
      <c r="BV134" s="209" t="s">
        <v>816</v>
      </c>
    </row>
    <row r="135" spans="1:74" x14ac:dyDescent="0.25">
      <c r="A135" s="149" t="s">
        <v>1927</v>
      </c>
      <c r="B135" s="149" t="s">
        <v>2244</v>
      </c>
      <c r="D135" s="149">
        <v>2</v>
      </c>
      <c r="E135" s="149">
        <v>2</v>
      </c>
      <c r="F135" s="149">
        <v>2</v>
      </c>
      <c r="G135" s="149">
        <v>2</v>
      </c>
      <c r="H135" s="149">
        <v>2</v>
      </c>
      <c r="I135" s="149">
        <v>2</v>
      </c>
      <c r="J135" s="149">
        <v>2</v>
      </c>
      <c r="K135" s="149">
        <v>2</v>
      </c>
      <c r="L135" s="149">
        <v>2</v>
      </c>
      <c r="M135" s="149">
        <v>0</v>
      </c>
      <c r="N135" s="149">
        <v>0</v>
      </c>
      <c r="O135" s="149">
        <v>1</v>
      </c>
      <c r="P135" s="149">
        <v>6</v>
      </c>
      <c r="Q135" s="149">
        <v>3</v>
      </c>
      <c r="R135" s="149">
        <v>2</v>
      </c>
      <c r="S135" s="149">
        <v>0</v>
      </c>
      <c r="T135" s="149">
        <v>0</v>
      </c>
      <c r="U135" s="149" t="s">
        <v>169</v>
      </c>
      <c r="V135" s="149">
        <v>2</v>
      </c>
      <c r="W135" s="149" t="s">
        <v>171</v>
      </c>
      <c r="X135" s="149">
        <v>2</v>
      </c>
      <c r="Y135" s="149" t="s">
        <v>176</v>
      </c>
      <c r="Z135" s="149">
        <v>4</v>
      </c>
      <c r="AA135" s="149" t="s">
        <v>173</v>
      </c>
      <c r="AB135" s="149">
        <v>1</v>
      </c>
      <c r="AC135" s="150" t="s">
        <v>1831</v>
      </c>
      <c r="AD135" s="257" t="s">
        <v>1832</v>
      </c>
      <c r="AE135" s="258" t="s">
        <v>1929</v>
      </c>
      <c r="AF135" s="257" t="s">
        <v>494</v>
      </c>
      <c r="AG135" s="149" t="s">
        <v>702</v>
      </c>
      <c r="AH135" s="149">
        <v>3</v>
      </c>
      <c r="AI135" s="149" t="s">
        <v>1833</v>
      </c>
      <c r="AJ135" s="150" t="s">
        <v>816</v>
      </c>
      <c r="AK135" s="149">
        <v>6</v>
      </c>
      <c r="AL135" s="150" t="s">
        <v>816</v>
      </c>
      <c r="AM135" s="149" t="s">
        <v>720</v>
      </c>
      <c r="AN135" s="149">
        <v>2</v>
      </c>
      <c r="AO135" s="149" t="s">
        <v>1834</v>
      </c>
      <c r="AP135" s="149">
        <v>0</v>
      </c>
      <c r="AQ135" s="149">
        <v>5</v>
      </c>
      <c r="AR135" s="150" t="s">
        <v>816</v>
      </c>
      <c r="AS135" s="149" t="s">
        <v>721</v>
      </c>
      <c r="AT135" s="149">
        <v>4</v>
      </c>
      <c r="AU135" s="149" t="s">
        <v>1833</v>
      </c>
      <c r="AV135" s="149">
        <v>2</v>
      </c>
      <c r="AW135" s="149">
        <v>4</v>
      </c>
      <c r="AX135" s="150" t="s">
        <v>816</v>
      </c>
      <c r="AY135" s="209" t="s">
        <v>816</v>
      </c>
      <c r="AZ135" s="209" t="s">
        <v>816</v>
      </c>
      <c r="BA135" s="209" t="s">
        <v>816</v>
      </c>
      <c r="BB135" s="209" t="s">
        <v>816</v>
      </c>
      <c r="BC135" s="209" t="s">
        <v>816</v>
      </c>
      <c r="BD135" s="209" t="s">
        <v>816</v>
      </c>
      <c r="BE135" s="209" t="s">
        <v>816</v>
      </c>
      <c r="BF135" s="209" t="s">
        <v>816</v>
      </c>
      <c r="BG135" s="209" t="s">
        <v>816</v>
      </c>
      <c r="BH135" s="209" t="s">
        <v>816</v>
      </c>
      <c r="BI135" s="209" t="s">
        <v>816</v>
      </c>
      <c r="BJ135" s="209" t="s">
        <v>816</v>
      </c>
      <c r="BK135" s="209" t="s">
        <v>816</v>
      </c>
      <c r="BL135" s="209" t="s">
        <v>816</v>
      </c>
      <c r="BM135" s="209" t="s">
        <v>816</v>
      </c>
      <c r="BN135" s="209" t="s">
        <v>816</v>
      </c>
      <c r="BO135" s="209" t="s">
        <v>816</v>
      </c>
      <c r="BP135" s="209" t="s">
        <v>816</v>
      </c>
      <c r="BQ135" s="209" t="s">
        <v>816</v>
      </c>
      <c r="BR135" s="209" t="s">
        <v>816</v>
      </c>
      <c r="BS135" s="209" t="s">
        <v>816</v>
      </c>
      <c r="BT135" s="209" t="s">
        <v>816</v>
      </c>
      <c r="BU135" s="209" t="s">
        <v>816</v>
      </c>
      <c r="BV135" s="209" t="s">
        <v>816</v>
      </c>
    </row>
    <row r="136" spans="1:74" x14ac:dyDescent="0.25">
      <c r="A136" s="149" t="s">
        <v>1838</v>
      </c>
      <c r="B136" s="149" t="s">
        <v>2244</v>
      </c>
      <c r="D136" s="149">
        <v>2</v>
      </c>
      <c r="E136" s="149">
        <v>3</v>
      </c>
      <c r="F136" s="149">
        <v>2</v>
      </c>
      <c r="G136" s="149">
        <v>2</v>
      </c>
      <c r="H136" s="149">
        <v>2</v>
      </c>
      <c r="I136" s="149">
        <v>2</v>
      </c>
      <c r="J136" s="149">
        <v>2</v>
      </c>
      <c r="K136" s="149">
        <v>2</v>
      </c>
      <c r="L136" s="149">
        <v>2</v>
      </c>
      <c r="M136" s="149">
        <v>0</v>
      </c>
      <c r="N136" s="149">
        <v>0</v>
      </c>
      <c r="O136" s="149">
        <v>2</v>
      </c>
      <c r="P136" s="149">
        <v>4</v>
      </c>
      <c r="Q136" s="149">
        <v>4</v>
      </c>
      <c r="R136" s="149">
        <v>4</v>
      </c>
      <c r="S136" s="149">
        <v>0</v>
      </c>
      <c r="T136" s="149">
        <v>0</v>
      </c>
      <c r="U136" s="209" t="s">
        <v>816</v>
      </c>
      <c r="V136" s="209" t="s">
        <v>816</v>
      </c>
      <c r="W136" s="209" t="s">
        <v>816</v>
      </c>
      <c r="X136" s="209" t="s">
        <v>816</v>
      </c>
      <c r="Y136" s="209" t="s">
        <v>816</v>
      </c>
      <c r="Z136" s="209" t="s">
        <v>816</v>
      </c>
      <c r="AA136" s="209" t="s">
        <v>816</v>
      </c>
      <c r="AB136" s="209" t="s">
        <v>816</v>
      </c>
      <c r="AC136" s="150" t="s">
        <v>1831</v>
      </c>
      <c r="AD136" s="257" t="s">
        <v>1840</v>
      </c>
      <c r="AE136" s="257" t="s">
        <v>494</v>
      </c>
      <c r="AF136" s="257" t="s">
        <v>494</v>
      </c>
      <c r="AG136" s="149" t="s">
        <v>702</v>
      </c>
      <c r="AH136" s="149">
        <v>5</v>
      </c>
      <c r="AI136" s="149" t="s">
        <v>1833</v>
      </c>
      <c r="AJ136" s="150" t="s">
        <v>816</v>
      </c>
      <c r="AK136" s="149">
        <v>6</v>
      </c>
      <c r="AL136" s="150" t="s">
        <v>816</v>
      </c>
      <c r="AM136" s="149" t="s">
        <v>720</v>
      </c>
      <c r="AN136" s="149">
        <v>4</v>
      </c>
      <c r="AO136" s="149" t="s">
        <v>1834</v>
      </c>
      <c r="AP136" s="149">
        <v>1</v>
      </c>
      <c r="AQ136" s="149">
        <v>5</v>
      </c>
      <c r="AR136" s="150" t="s">
        <v>816</v>
      </c>
      <c r="AS136" s="149" t="s">
        <v>721</v>
      </c>
      <c r="AT136" s="149">
        <v>6</v>
      </c>
      <c r="AU136" s="149" t="s">
        <v>1833</v>
      </c>
      <c r="AV136" s="149">
        <v>3</v>
      </c>
      <c r="AW136" s="149">
        <v>4</v>
      </c>
      <c r="AX136" s="150" t="s">
        <v>816</v>
      </c>
      <c r="AY136" s="150" t="s">
        <v>1841</v>
      </c>
      <c r="AZ136" s="149">
        <v>5</v>
      </c>
      <c r="BA136" s="149" t="s">
        <v>1843</v>
      </c>
      <c r="BB136" s="150" t="s">
        <v>816</v>
      </c>
      <c r="BC136" s="149">
        <v>4</v>
      </c>
      <c r="BD136" s="149">
        <v>20</v>
      </c>
      <c r="BE136" s="149" t="s">
        <v>1842</v>
      </c>
      <c r="BF136" s="149">
        <v>5</v>
      </c>
      <c r="BG136" s="149" t="s">
        <v>1843</v>
      </c>
      <c r="BH136" s="149">
        <v>2</v>
      </c>
      <c r="BI136" s="149">
        <v>4</v>
      </c>
      <c r="BJ136" s="150" t="s">
        <v>816</v>
      </c>
      <c r="BK136" s="209" t="s">
        <v>816</v>
      </c>
      <c r="BL136" s="209" t="s">
        <v>816</v>
      </c>
      <c r="BM136" s="209" t="s">
        <v>816</v>
      </c>
      <c r="BN136" s="209" t="s">
        <v>816</v>
      </c>
      <c r="BO136" s="209" t="s">
        <v>816</v>
      </c>
      <c r="BP136" s="209" t="s">
        <v>816</v>
      </c>
      <c r="BQ136" s="209" t="s">
        <v>816</v>
      </c>
      <c r="BR136" s="209" t="s">
        <v>816</v>
      </c>
      <c r="BS136" s="209" t="s">
        <v>816</v>
      </c>
      <c r="BT136" s="209" t="s">
        <v>816</v>
      </c>
      <c r="BU136" s="209" t="s">
        <v>816</v>
      </c>
      <c r="BV136" s="209" t="s">
        <v>816</v>
      </c>
    </row>
    <row r="137" spans="1:74" x14ac:dyDescent="0.25">
      <c r="A137" s="149" t="s">
        <v>2197</v>
      </c>
      <c r="B137" s="149" t="s">
        <v>2244</v>
      </c>
      <c r="D137" s="149">
        <v>1</v>
      </c>
      <c r="E137" s="149">
        <v>4</v>
      </c>
      <c r="F137" s="149">
        <v>1</v>
      </c>
      <c r="G137" s="149">
        <v>2</v>
      </c>
      <c r="H137" s="149">
        <v>1</v>
      </c>
      <c r="I137" s="149">
        <v>2</v>
      </c>
      <c r="J137" s="149">
        <v>3</v>
      </c>
      <c r="K137" s="149">
        <v>2</v>
      </c>
      <c r="L137" s="149">
        <v>3</v>
      </c>
      <c r="M137" s="149">
        <v>1</v>
      </c>
      <c r="N137" s="149">
        <v>1</v>
      </c>
      <c r="O137" s="149">
        <v>3</v>
      </c>
      <c r="P137" s="149">
        <v>6</v>
      </c>
      <c r="Q137" s="149">
        <v>6</v>
      </c>
      <c r="R137" s="149">
        <v>1</v>
      </c>
      <c r="S137" s="149">
        <v>0</v>
      </c>
      <c r="T137" s="149">
        <v>0</v>
      </c>
      <c r="U137" s="149" t="s">
        <v>159</v>
      </c>
      <c r="V137" s="149">
        <v>5</v>
      </c>
      <c r="W137" s="209" t="s">
        <v>816</v>
      </c>
      <c r="X137" s="209" t="s">
        <v>816</v>
      </c>
      <c r="Y137" s="209" t="s">
        <v>816</v>
      </c>
      <c r="Z137" s="209" t="s">
        <v>816</v>
      </c>
      <c r="AA137" s="209" t="s">
        <v>816</v>
      </c>
      <c r="AB137" s="209" t="s">
        <v>816</v>
      </c>
      <c r="AC137" s="150" t="s">
        <v>2198</v>
      </c>
      <c r="AD137" s="257" t="s">
        <v>2199</v>
      </c>
      <c r="AE137" s="257" t="s">
        <v>2200</v>
      </c>
      <c r="AF137" s="257" t="s">
        <v>2201</v>
      </c>
      <c r="AG137" s="149" t="s">
        <v>721</v>
      </c>
      <c r="AH137" s="149">
        <v>4</v>
      </c>
      <c r="AI137" s="149" t="s">
        <v>2202</v>
      </c>
      <c r="AJ137" s="149">
        <v>3</v>
      </c>
      <c r="AK137" s="149">
        <v>4</v>
      </c>
      <c r="AL137" s="150" t="s">
        <v>816</v>
      </c>
      <c r="AM137" s="209" t="s">
        <v>816</v>
      </c>
      <c r="AN137" s="209" t="s">
        <v>816</v>
      </c>
      <c r="AO137" s="209" t="s">
        <v>816</v>
      </c>
      <c r="AP137" s="209" t="s">
        <v>816</v>
      </c>
      <c r="AQ137" s="209" t="s">
        <v>816</v>
      </c>
      <c r="AR137" s="209" t="s">
        <v>816</v>
      </c>
      <c r="AS137" s="209" t="s">
        <v>816</v>
      </c>
      <c r="AT137" s="209" t="s">
        <v>816</v>
      </c>
      <c r="AU137" s="209" t="s">
        <v>816</v>
      </c>
      <c r="AV137" s="209" t="s">
        <v>816</v>
      </c>
      <c r="AW137" s="209" t="s">
        <v>816</v>
      </c>
      <c r="AX137" s="209" t="s">
        <v>816</v>
      </c>
      <c r="AY137" s="209" t="s">
        <v>816</v>
      </c>
      <c r="AZ137" s="209" t="s">
        <v>816</v>
      </c>
      <c r="BA137" s="209" t="s">
        <v>816</v>
      </c>
      <c r="BB137" s="209" t="s">
        <v>816</v>
      </c>
      <c r="BC137" s="209" t="s">
        <v>816</v>
      </c>
      <c r="BD137" s="209" t="s">
        <v>816</v>
      </c>
      <c r="BE137" s="209" t="s">
        <v>816</v>
      </c>
      <c r="BF137" s="209" t="s">
        <v>816</v>
      </c>
      <c r="BG137" s="209" t="s">
        <v>816</v>
      </c>
      <c r="BH137" s="209" t="s">
        <v>816</v>
      </c>
      <c r="BI137" s="209" t="s">
        <v>816</v>
      </c>
      <c r="BJ137" s="209" t="s">
        <v>816</v>
      </c>
      <c r="BK137" s="209" t="s">
        <v>816</v>
      </c>
      <c r="BL137" s="209" t="s">
        <v>816</v>
      </c>
      <c r="BM137" s="209" t="s">
        <v>816</v>
      </c>
      <c r="BN137" s="209" t="s">
        <v>816</v>
      </c>
      <c r="BO137" s="209" t="s">
        <v>816</v>
      </c>
      <c r="BP137" s="209" t="s">
        <v>816</v>
      </c>
      <c r="BQ137" s="209" t="s">
        <v>816</v>
      </c>
      <c r="BR137" s="209" t="s">
        <v>816</v>
      </c>
      <c r="BS137" s="209" t="s">
        <v>816</v>
      </c>
      <c r="BT137" s="209" t="s">
        <v>816</v>
      </c>
      <c r="BU137" s="209" t="s">
        <v>816</v>
      </c>
      <c r="BV137" s="209" t="s">
        <v>816</v>
      </c>
    </row>
    <row r="138" spans="1:74" x14ac:dyDescent="0.25">
      <c r="A138" s="149" t="s">
        <v>1829</v>
      </c>
      <c r="B138" s="149" t="s">
        <v>2244</v>
      </c>
      <c r="D138" s="149">
        <v>2</v>
      </c>
      <c r="E138" s="149">
        <v>2</v>
      </c>
      <c r="F138" s="149">
        <v>2</v>
      </c>
      <c r="G138" s="149">
        <v>2</v>
      </c>
      <c r="H138" s="149">
        <v>2</v>
      </c>
      <c r="I138" s="149">
        <v>2</v>
      </c>
      <c r="J138" s="149">
        <v>2</v>
      </c>
      <c r="K138" s="149">
        <v>2</v>
      </c>
      <c r="L138" s="149">
        <v>2</v>
      </c>
      <c r="M138" s="149">
        <v>0</v>
      </c>
      <c r="N138" s="149">
        <v>0</v>
      </c>
      <c r="O138" s="149">
        <v>1</v>
      </c>
      <c r="P138" s="149">
        <v>4</v>
      </c>
      <c r="Q138" s="149">
        <v>3</v>
      </c>
      <c r="R138" s="149">
        <v>2</v>
      </c>
      <c r="S138" s="149">
        <v>0</v>
      </c>
      <c r="T138" s="149">
        <v>0</v>
      </c>
      <c r="U138" s="209" t="s">
        <v>816</v>
      </c>
      <c r="V138" s="209" t="s">
        <v>816</v>
      </c>
      <c r="W138" s="209" t="s">
        <v>816</v>
      </c>
      <c r="X138" s="209" t="s">
        <v>816</v>
      </c>
      <c r="Y138" s="209" t="s">
        <v>816</v>
      </c>
      <c r="Z138" s="209" t="s">
        <v>816</v>
      </c>
      <c r="AA138" s="209" t="s">
        <v>816</v>
      </c>
      <c r="AB138" s="209" t="s">
        <v>816</v>
      </c>
      <c r="AC138" s="150" t="s">
        <v>1831</v>
      </c>
      <c r="AD138" s="257" t="s">
        <v>1832</v>
      </c>
      <c r="AE138" s="256" t="s">
        <v>494</v>
      </c>
      <c r="AF138" s="257" t="s">
        <v>494</v>
      </c>
      <c r="AG138" s="149" t="s">
        <v>702</v>
      </c>
      <c r="AH138" s="149">
        <v>3</v>
      </c>
      <c r="AI138" s="149" t="s">
        <v>1833</v>
      </c>
      <c r="AJ138" s="150" t="s">
        <v>816</v>
      </c>
      <c r="AK138" s="149">
        <v>6</v>
      </c>
      <c r="AL138" s="150" t="s">
        <v>816</v>
      </c>
      <c r="AM138" s="149" t="s">
        <v>720</v>
      </c>
      <c r="AN138" s="149">
        <v>2</v>
      </c>
      <c r="AO138" s="149" t="s">
        <v>1834</v>
      </c>
      <c r="AP138" s="149">
        <v>0</v>
      </c>
      <c r="AQ138" s="149">
        <v>5</v>
      </c>
      <c r="AR138" s="150" t="s">
        <v>816</v>
      </c>
      <c r="AS138" s="149" t="s">
        <v>721</v>
      </c>
      <c r="AT138" s="149">
        <v>4</v>
      </c>
      <c r="AU138" s="149" t="s">
        <v>1833</v>
      </c>
      <c r="AV138" s="149">
        <v>2</v>
      </c>
      <c r="AW138" s="149">
        <v>4</v>
      </c>
      <c r="AX138" s="150" t="s">
        <v>816</v>
      </c>
      <c r="AY138" s="209" t="s">
        <v>816</v>
      </c>
      <c r="AZ138" s="209" t="s">
        <v>816</v>
      </c>
      <c r="BA138" s="209" t="s">
        <v>816</v>
      </c>
      <c r="BB138" s="209" t="s">
        <v>816</v>
      </c>
      <c r="BC138" s="209" t="s">
        <v>816</v>
      </c>
      <c r="BD138" s="209" t="s">
        <v>816</v>
      </c>
      <c r="BE138" s="209" t="s">
        <v>816</v>
      </c>
      <c r="BF138" s="209" t="s">
        <v>816</v>
      </c>
      <c r="BG138" s="209" t="s">
        <v>816</v>
      </c>
      <c r="BH138" s="209" t="s">
        <v>816</v>
      </c>
      <c r="BI138" s="209" t="s">
        <v>816</v>
      </c>
      <c r="BJ138" s="209" t="s">
        <v>816</v>
      </c>
      <c r="BK138" s="209" t="s">
        <v>816</v>
      </c>
      <c r="BL138" s="209" t="s">
        <v>816</v>
      </c>
      <c r="BM138" s="209" t="s">
        <v>816</v>
      </c>
      <c r="BN138" s="209" t="s">
        <v>816</v>
      </c>
      <c r="BO138" s="209" t="s">
        <v>816</v>
      </c>
      <c r="BP138" s="209" t="s">
        <v>816</v>
      </c>
      <c r="BQ138" s="209" t="s">
        <v>816</v>
      </c>
      <c r="BR138" s="209" t="s">
        <v>816</v>
      </c>
      <c r="BS138" s="209" t="s">
        <v>816</v>
      </c>
      <c r="BT138" s="209" t="s">
        <v>816</v>
      </c>
      <c r="BU138" s="209" t="s">
        <v>816</v>
      </c>
      <c r="BV138" s="209" t="s">
        <v>816</v>
      </c>
    </row>
    <row r="139" spans="1:74" x14ac:dyDescent="0.25">
      <c r="A139" s="149" t="s">
        <v>2185</v>
      </c>
      <c r="B139" s="149" t="s">
        <v>2244</v>
      </c>
      <c r="D139" s="149">
        <v>4</v>
      </c>
      <c r="E139" s="149">
        <v>4</v>
      </c>
      <c r="F139" s="149">
        <v>4</v>
      </c>
      <c r="G139" s="149">
        <v>3</v>
      </c>
      <c r="H139" s="149">
        <v>2</v>
      </c>
      <c r="I139" s="149">
        <v>3</v>
      </c>
      <c r="J139" s="149">
        <v>3</v>
      </c>
      <c r="K139" s="149">
        <v>3</v>
      </c>
      <c r="L139" s="149">
        <v>4</v>
      </c>
      <c r="M139" s="149">
        <v>0</v>
      </c>
      <c r="N139" s="149">
        <v>0</v>
      </c>
      <c r="O139" s="149">
        <v>4</v>
      </c>
      <c r="P139" s="149">
        <v>6</v>
      </c>
      <c r="Q139" s="149">
        <v>7</v>
      </c>
      <c r="R139" s="149">
        <v>6</v>
      </c>
      <c r="S139" s="149">
        <v>2</v>
      </c>
      <c r="T139" s="149">
        <v>2</v>
      </c>
      <c r="U139" s="149" t="str">
        <f>CharacterSheet!$G$40</f>
        <v/>
      </c>
      <c r="V139" s="149">
        <v>1</v>
      </c>
      <c r="W139" s="149" t="str">
        <f>CharacterSheet!$G$41</f>
        <v/>
      </c>
      <c r="X139" s="149">
        <v>3</v>
      </c>
      <c r="Y139" s="149" t="str">
        <f>CharacterSheet!$M$40</f>
        <v/>
      </c>
      <c r="Z139" s="149">
        <v>2</v>
      </c>
      <c r="AA139" s="149" t="str">
        <f>CharacterSheet!$M$41</f>
        <v/>
      </c>
      <c r="AB139" s="149">
        <v>3</v>
      </c>
      <c r="AC139" s="150" t="s">
        <v>1831</v>
      </c>
      <c r="AD139" s="257" t="s">
        <v>1876</v>
      </c>
      <c r="AE139" s="257" t="s">
        <v>2187</v>
      </c>
      <c r="AF139" s="257" t="s">
        <v>2317</v>
      </c>
      <c r="AG139" s="149" t="s">
        <v>720</v>
      </c>
      <c r="AH139" s="149">
        <v>7</v>
      </c>
      <c r="AI139" s="149" t="s">
        <v>1877</v>
      </c>
      <c r="AJ139" s="149">
        <v>3</v>
      </c>
      <c r="AK139" s="149">
        <v>5</v>
      </c>
      <c r="AL139" s="150" t="s">
        <v>816</v>
      </c>
      <c r="AM139" s="149" t="s">
        <v>721</v>
      </c>
      <c r="AN139" s="149">
        <v>9</v>
      </c>
      <c r="AO139" s="149" t="s">
        <v>1878</v>
      </c>
      <c r="AP139" s="149">
        <v>4</v>
      </c>
      <c r="AQ139" s="149">
        <v>4</v>
      </c>
      <c r="AR139" s="150" t="s">
        <v>816</v>
      </c>
      <c r="AS139" s="149" t="s">
        <v>739</v>
      </c>
      <c r="AT139" s="149">
        <v>7</v>
      </c>
      <c r="AU139" s="149" t="s">
        <v>1865</v>
      </c>
      <c r="AV139" s="150" t="s">
        <v>816</v>
      </c>
      <c r="AW139" s="149">
        <v>5</v>
      </c>
      <c r="AX139" s="149">
        <v>125</v>
      </c>
      <c r="AY139" s="150" t="s">
        <v>738</v>
      </c>
      <c r="AZ139" s="149">
        <v>8</v>
      </c>
      <c r="BA139" s="149" t="s">
        <v>1865</v>
      </c>
      <c r="BB139" s="150" t="s">
        <v>816</v>
      </c>
      <c r="BC139" s="149">
        <v>5</v>
      </c>
      <c r="BD139" s="149">
        <v>150</v>
      </c>
      <c r="BE139" s="149" t="s">
        <v>731</v>
      </c>
      <c r="BF139" s="149">
        <v>9</v>
      </c>
      <c r="BG139" s="149" t="s">
        <v>1843</v>
      </c>
      <c r="BH139" s="150" t="s">
        <v>816</v>
      </c>
      <c r="BI139" s="149">
        <v>4</v>
      </c>
      <c r="BJ139" s="149">
        <v>20</v>
      </c>
      <c r="BK139" s="149" t="s">
        <v>733</v>
      </c>
      <c r="BL139" s="149">
        <v>8</v>
      </c>
      <c r="BM139" s="149" t="s">
        <v>1865</v>
      </c>
      <c r="BN139" s="150" t="s">
        <v>816</v>
      </c>
      <c r="BO139" s="149">
        <v>5</v>
      </c>
      <c r="BP139" s="149">
        <v>50</v>
      </c>
      <c r="BQ139" s="149" t="s">
        <v>734</v>
      </c>
      <c r="BR139" s="149">
        <v>10</v>
      </c>
      <c r="BS139" s="149" t="s">
        <v>1879</v>
      </c>
      <c r="BT139" s="150" t="s">
        <v>816</v>
      </c>
      <c r="BU139" s="149">
        <v>5</v>
      </c>
      <c r="BV139" s="149">
        <v>20</v>
      </c>
    </row>
    <row r="140" spans="1:74" x14ac:dyDescent="0.25">
      <c r="A140" s="149" t="s">
        <v>1930</v>
      </c>
      <c r="B140" s="149" t="s">
        <v>2244</v>
      </c>
      <c r="D140" s="149">
        <v>4</v>
      </c>
      <c r="E140" s="149">
        <v>4</v>
      </c>
      <c r="F140" s="149">
        <v>4</v>
      </c>
      <c r="G140" s="149">
        <v>3</v>
      </c>
      <c r="H140" s="149">
        <v>2</v>
      </c>
      <c r="I140" s="149">
        <v>3</v>
      </c>
      <c r="J140" s="149">
        <v>3</v>
      </c>
      <c r="K140" s="149">
        <v>3</v>
      </c>
      <c r="L140" s="149">
        <v>4</v>
      </c>
      <c r="M140" s="149">
        <v>1</v>
      </c>
      <c r="N140" s="149">
        <v>1</v>
      </c>
      <c r="O140" s="149">
        <v>4</v>
      </c>
      <c r="P140" s="149">
        <v>6</v>
      </c>
      <c r="Q140" s="149">
        <v>7</v>
      </c>
      <c r="R140" s="149">
        <v>7</v>
      </c>
      <c r="S140" s="149">
        <v>3</v>
      </c>
      <c r="T140" s="149">
        <v>1</v>
      </c>
      <c r="U140" s="149" t="s">
        <v>156</v>
      </c>
      <c r="V140" s="149">
        <v>3</v>
      </c>
      <c r="W140" s="149" t="s">
        <v>157</v>
      </c>
      <c r="X140" s="149">
        <v>3</v>
      </c>
      <c r="Y140" s="149" t="s">
        <v>158</v>
      </c>
      <c r="Z140" s="149">
        <v>1</v>
      </c>
      <c r="AA140" s="149" t="s">
        <v>159</v>
      </c>
      <c r="AB140" s="149">
        <v>3</v>
      </c>
      <c r="AC140" s="150" t="s">
        <v>1831</v>
      </c>
      <c r="AD140" s="257" t="s">
        <v>1876</v>
      </c>
      <c r="AE140" s="257" t="s">
        <v>2318</v>
      </c>
      <c r="AF140" s="257" t="s">
        <v>494</v>
      </c>
      <c r="AG140" s="149" t="s">
        <v>702</v>
      </c>
      <c r="AH140" s="150">
        <v>8</v>
      </c>
      <c r="AI140" s="150" t="s">
        <v>1878</v>
      </c>
      <c r="AJ140" s="150" t="s">
        <v>816</v>
      </c>
      <c r="AK140" s="149">
        <v>6</v>
      </c>
      <c r="AL140" s="150" t="s">
        <v>816</v>
      </c>
      <c r="AM140" s="149" t="s">
        <v>720</v>
      </c>
      <c r="AN140" s="150">
        <v>7</v>
      </c>
      <c r="AO140" s="150" t="s">
        <v>1877</v>
      </c>
      <c r="AP140" s="150">
        <v>3</v>
      </c>
      <c r="AQ140" s="149">
        <v>5</v>
      </c>
      <c r="AR140" s="150" t="s">
        <v>816</v>
      </c>
      <c r="AS140" s="149" t="s">
        <v>721</v>
      </c>
      <c r="AT140" s="150">
        <v>9</v>
      </c>
      <c r="AU140" s="150" t="s">
        <v>1878</v>
      </c>
      <c r="AV140" s="150">
        <v>5</v>
      </c>
      <c r="AW140" s="149">
        <v>4</v>
      </c>
      <c r="AX140" s="150" t="s">
        <v>816</v>
      </c>
      <c r="AY140" s="149" t="s">
        <v>716</v>
      </c>
      <c r="AZ140" s="150">
        <v>9</v>
      </c>
      <c r="BA140" s="149" t="s">
        <v>1940</v>
      </c>
      <c r="BB140" s="150">
        <v>5</v>
      </c>
      <c r="BC140" s="149">
        <v>4</v>
      </c>
      <c r="BD140" s="150" t="s">
        <v>816</v>
      </c>
      <c r="BE140" s="149" t="s">
        <v>715</v>
      </c>
      <c r="BF140" s="150">
        <v>9</v>
      </c>
      <c r="BG140" s="150" t="s">
        <v>1941</v>
      </c>
      <c r="BH140" s="150">
        <v>4</v>
      </c>
      <c r="BI140" s="149">
        <v>5</v>
      </c>
      <c r="BJ140" s="150" t="s">
        <v>816</v>
      </c>
      <c r="BK140" s="149" t="s">
        <v>1935</v>
      </c>
      <c r="BL140" s="150">
        <v>8</v>
      </c>
      <c r="BM140" s="150" t="s">
        <v>1843</v>
      </c>
      <c r="BN140" s="150" t="s">
        <v>816</v>
      </c>
      <c r="BO140" s="149">
        <v>6</v>
      </c>
      <c r="BP140" s="149">
        <v>40</v>
      </c>
      <c r="BQ140" s="149" t="s">
        <v>1936</v>
      </c>
      <c r="BR140" s="150">
        <v>9</v>
      </c>
      <c r="BS140" s="150" t="s">
        <v>1923</v>
      </c>
      <c r="BT140" s="149">
        <v>4</v>
      </c>
      <c r="BU140" s="149">
        <v>4</v>
      </c>
      <c r="BV140" s="150" t="s">
        <v>816</v>
      </c>
    </row>
    <row r="141" spans="1:74" x14ac:dyDescent="0.25">
      <c r="A141" s="149" t="s">
        <v>1932</v>
      </c>
      <c r="B141" s="149" t="s">
        <v>2244</v>
      </c>
      <c r="D141" s="149">
        <v>4</v>
      </c>
      <c r="E141" s="149">
        <v>4</v>
      </c>
      <c r="F141" s="149">
        <v>4</v>
      </c>
      <c r="G141" s="149">
        <v>3</v>
      </c>
      <c r="H141" s="149">
        <v>2</v>
      </c>
      <c r="I141" s="149">
        <v>3</v>
      </c>
      <c r="J141" s="149">
        <v>3</v>
      </c>
      <c r="K141" s="149">
        <v>3</v>
      </c>
      <c r="L141" s="149">
        <v>4</v>
      </c>
      <c r="M141" s="149">
        <v>1</v>
      </c>
      <c r="N141" s="149">
        <v>1</v>
      </c>
      <c r="O141" s="149">
        <v>4</v>
      </c>
      <c r="P141" s="149">
        <v>6</v>
      </c>
      <c r="Q141" s="149">
        <v>7</v>
      </c>
      <c r="R141" s="149">
        <f>F141</f>
        <v>4</v>
      </c>
      <c r="S141" s="149">
        <f>ROUNDUP(R141/2,0)</f>
        <v>2</v>
      </c>
      <c r="T141" s="149">
        <v>0</v>
      </c>
      <c r="U141" s="149" t="s">
        <v>156</v>
      </c>
      <c r="V141" s="149">
        <v>3</v>
      </c>
      <c r="W141" s="149" t="s">
        <v>157</v>
      </c>
      <c r="X141" s="149">
        <v>3</v>
      </c>
      <c r="Y141" s="149" t="s">
        <v>158</v>
      </c>
      <c r="Z141" s="149">
        <v>1</v>
      </c>
      <c r="AA141" s="149" t="s">
        <v>159</v>
      </c>
      <c r="AB141" s="149">
        <v>3</v>
      </c>
      <c r="AC141" s="150" t="s">
        <v>1831</v>
      </c>
      <c r="AD141" s="257" t="s">
        <v>1876</v>
      </c>
      <c r="AE141" s="257" t="s">
        <v>2319</v>
      </c>
      <c r="AF141" s="257" t="s">
        <v>494</v>
      </c>
      <c r="AG141" s="149" t="s">
        <v>702</v>
      </c>
      <c r="AH141" s="150">
        <v>8</v>
      </c>
      <c r="AI141" s="150" t="s">
        <v>1878</v>
      </c>
      <c r="AJ141" s="150" t="s">
        <v>816</v>
      </c>
      <c r="AK141" s="149">
        <v>6</v>
      </c>
      <c r="AL141" s="150" t="s">
        <v>816</v>
      </c>
      <c r="AM141" s="149" t="s">
        <v>720</v>
      </c>
      <c r="AN141" s="150">
        <v>7</v>
      </c>
      <c r="AO141" s="150" t="s">
        <v>1877</v>
      </c>
      <c r="AP141" s="150">
        <v>3</v>
      </c>
      <c r="AQ141" s="149">
        <v>5</v>
      </c>
      <c r="AR141" s="150" t="s">
        <v>816</v>
      </c>
      <c r="AS141" s="149" t="s">
        <v>721</v>
      </c>
      <c r="AT141" s="150">
        <v>9</v>
      </c>
      <c r="AU141" s="150" t="s">
        <v>1878</v>
      </c>
      <c r="AV141" s="150">
        <v>5</v>
      </c>
      <c r="AW141" s="149">
        <v>4</v>
      </c>
      <c r="AX141" s="150" t="s">
        <v>816</v>
      </c>
      <c r="AY141" s="149" t="s">
        <v>1937</v>
      </c>
      <c r="AZ141" s="150">
        <v>11</v>
      </c>
      <c r="BA141" s="149" t="s">
        <v>1939</v>
      </c>
      <c r="BB141" s="150" t="s">
        <v>816</v>
      </c>
      <c r="BC141" s="149">
        <v>6</v>
      </c>
      <c r="BD141" s="149">
        <v>200</v>
      </c>
      <c r="BE141" s="149" t="s">
        <v>786</v>
      </c>
      <c r="BF141" s="150">
        <v>10</v>
      </c>
      <c r="BG141" s="149" t="s">
        <v>1879</v>
      </c>
      <c r="BH141" s="150" t="s">
        <v>816</v>
      </c>
      <c r="BI141" s="149">
        <v>5</v>
      </c>
      <c r="BJ141" s="149">
        <v>20</v>
      </c>
      <c r="BK141" s="149" t="s">
        <v>1938</v>
      </c>
      <c r="BL141" s="150">
        <v>11</v>
      </c>
      <c r="BM141" s="149" t="s">
        <v>1843</v>
      </c>
      <c r="BN141" s="150" t="s">
        <v>816</v>
      </c>
      <c r="BO141" s="149">
        <v>5</v>
      </c>
      <c r="BP141" s="149">
        <v>20</v>
      </c>
      <c r="BQ141" s="149" t="s">
        <v>1936</v>
      </c>
      <c r="BR141" s="150">
        <v>9</v>
      </c>
      <c r="BS141" s="150" t="s">
        <v>1923</v>
      </c>
      <c r="BT141" s="149">
        <v>4</v>
      </c>
      <c r="BU141" s="149">
        <v>4</v>
      </c>
      <c r="BV141" s="150" t="s">
        <v>816</v>
      </c>
    </row>
    <row r="142" spans="1:74" x14ac:dyDescent="0.25">
      <c r="A142" s="149" t="s">
        <v>2206</v>
      </c>
      <c r="B142" s="149" t="s">
        <v>2244</v>
      </c>
      <c r="D142" s="149">
        <v>4</v>
      </c>
      <c r="E142" s="149">
        <v>4</v>
      </c>
      <c r="F142" s="149">
        <v>4</v>
      </c>
      <c r="G142" s="149">
        <v>3</v>
      </c>
      <c r="H142" s="149">
        <v>2</v>
      </c>
      <c r="I142" s="149">
        <v>3</v>
      </c>
      <c r="J142" s="149">
        <v>3</v>
      </c>
      <c r="K142" s="149">
        <v>3</v>
      </c>
      <c r="L142" s="149">
        <v>4</v>
      </c>
      <c r="M142" s="149">
        <v>0</v>
      </c>
      <c r="N142" s="149">
        <v>0</v>
      </c>
      <c r="O142" s="149">
        <v>4</v>
      </c>
      <c r="P142" s="149">
        <v>8</v>
      </c>
      <c r="Q142" s="149">
        <v>7</v>
      </c>
      <c r="R142" s="149">
        <v>12</v>
      </c>
      <c r="S142" s="149">
        <v>5</v>
      </c>
      <c r="T142" s="149">
        <v>5</v>
      </c>
      <c r="U142" s="149" t="s">
        <v>162</v>
      </c>
      <c r="V142" s="149">
        <v>4</v>
      </c>
      <c r="W142" s="149" t="s">
        <v>169</v>
      </c>
      <c r="X142" s="149">
        <v>1</v>
      </c>
      <c r="Y142" s="149" t="s">
        <v>163</v>
      </c>
      <c r="Z142" s="149">
        <v>1</v>
      </c>
      <c r="AA142" s="149" t="s">
        <v>164</v>
      </c>
      <c r="AB142" s="149">
        <v>4</v>
      </c>
      <c r="AC142" s="150" t="s">
        <v>1831</v>
      </c>
      <c r="AD142" s="257" t="s">
        <v>1876</v>
      </c>
      <c r="AE142" s="257" t="s">
        <v>2208</v>
      </c>
      <c r="AF142" s="257" t="s">
        <v>2321</v>
      </c>
      <c r="AG142" s="149" t="s">
        <v>720</v>
      </c>
      <c r="AH142" s="149">
        <v>7</v>
      </c>
      <c r="AI142" s="149" t="s">
        <v>1877</v>
      </c>
      <c r="AJ142" s="149">
        <v>3</v>
      </c>
      <c r="AK142" s="149">
        <v>5</v>
      </c>
      <c r="AL142" s="150" t="s">
        <v>816</v>
      </c>
      <c r="AM142" s="149" t="s">
        <v>721</v>
      </c>
      <c r="AN142" s="149">
        <v>9</v>
      </c>
      <c r="AO142" s="149" t="s">
        <v>1878</v>
      </c>
      <c r="AP142" s="149">
        <v>4</v>
      </c>
      <c r="AQ142" s="149">
        <v>4</v>
      </c>
      <c r="AR142" s="150" t="s">
        <v>816</v>
      </c>
      <c r="AS142" s="149" t="s">
        <v>739</v>
      </c>
      <c r="AT142" s="149">
        <v>7</v>
      </c>
      <c r="AU142" s="149" t="s">
        <v>1865</v>
      </c>
      <c r="AV142" s="150" t="s">
        <v>816</v>
      </c>
      <c r="AW142" s="149">
        <v>5</v>
      </c>
      <c r="AX142" s="149">
        <v>125</v>
      </c>
      <c r="AY142" s="150" t="s">
        <v>738</v>
      </c>
      <c r="AZ142" s="149">
        <v>8</v>
      </c>
      <c r="BA142" s="149" t="s">
        <v>1865</v>
      </c>
      <c r="BB142" s="150" t="s">
        <v>816</v>
      </c>
      <c r="BC142" s="149">
        <v>5</v>
      </c>
      <c r="BD142" s="149">
        <v>150</v>
      </c>
      <c r="BE142" s="149" t="s">
        <v>731</v>
      </c>
      <c r="BF142" s="149">
        <v>9</v>
      </c>
      <c r="BG142" s="149" t="s">
        <v>1843</v>
      </c>
      <c r="BH142" s="150" t="s">
        <v>816</v>
      </c>
      <c r="BI142" s="149">
        <v>4</v>
      </c>
      <c r="BJ142" s="149">
        <v>20</v>
      </c>
      <c r="BK142" s="149" t="s">
        <v>733</v>
      </c>
      <c r="BL142" s="149">
        <v>8</v>
      </c>
      <c r="BM142" s="149" t="s">
        <v>1865</v>
      </c>
      <c r="BN142" s="150" t="s">
        <v>816</v>
      </c>
      <c r="BO142" s="149">
        <v>5</v>
      </c>
      <c r="BP142" s="149">
        <v>50</v>
      </c>
      <c r="BQ142" s="149" t="s">
        <v>734</v>
      </c>
      <c r="BR142" s="149">
        <v>10</v>
      </c>
      <c r="BS142" s="149" t="s">
        <v>1879</v>
      </c>
      <c r="BT142" s="150" t="s">
        <v>816</v>
      </c>
      <c r="BU142" s="149">
        <v>5</v>
      </c>
      <c r="BV142" s="149">
        <v>20</v>
      </c>
    </row>
    <row r="143" spans="1:74" x14ac:dyDescent="0.25">
      <c r="A143" s="149" t="s">
        <v>1952</v>
      </c>
      <c r="B143" s="149" t="s">
        <v>2244</v>
      </c>
      <c r="D143" s="149">
        <v>4</v>
      </c>
      <c r="E143" s="149">
        <v>4</v>
      </c>
      <c r="F143" s="149">
        <v>4</v>
      </c>
      <c r="G143" s="149">
        <v>3</v>
      </c>
      <c r="H143" s="149">
        <v>2</v>
      </c>
      <c r="I143" s="149">
        <v>3</v>
      </c>
      <c r="J143" s="149">
        <v>3</v>
      </c>
      <c r="K143" s="149">
        <v>3</v>
      </c>
      <c r="L143" s="149">
        <v>4</v>
      </c>
      <c r="M143" s="149">
        <v>1</v>
      </c>
      <c r="N143" s="149">
        <v>1</v>
      </c>
      <c r="O143" s="149">
        <v>4</v>
      </c>
      <c r="P143" s="149">
        <v>6</v>
      </c>
      <c r="Q143" s="149">
        <v>7</v>
      </c>
      <c r="R143" s="149">
        <v>6</v>
      </c>
      <c r="S143" s="149">
        <v>4</v>
      </c>
      <c r="T143" s="149">
        <v>2</v>
      </c>
      <c r="U143" s="149" t="s">
        <v>158</v>
      </c>
      <c r="V143" s="149">
        <v>2</v>
      </c>
      <c r="W143" s="149" t="s">
        <v>163</v>
      </c>
      <c r="X143" s="149">
        <v>2</v>
      </c>
      <c r="Y143" s="149" t="s">
        <v>164</v>
      </c>
      <c r="Z143" s="149">
        <v>4</v>
      </c>
      <c r="AA143" s="149" t="s">
        <v>173</v>
      </c>
      <c r="AB143" s="149">
        <v>2</v>
      </c>
      <c r="AC143" s="150" t="s">
        <v>1831</v>
      </c>
      <c r="AD143" s="257" t="s">
        <v>1876</v>
      </c>
      <c r="AE143" s="257" t="s">
        <v>1954</v>
      </c>
      <c r="AF143" s="257" t="s">
        <v>2325</v>
      </c>
      <c r="AG143" s="149" t="s">
        <v>720</v>
      </c>
      <c r="AH143" s="149">
        <v>7</v>
      </c>
      <c r="AI143" s="149" t="s">
        <v>1877</v>
      </c>
      <c r="AJ143" s="149">
        <v>3</v>
      </c>
      <c r="AK143" s="149">
        <v>5</v>
      </c>
      <c r="AL143" s="150" t="s">
        <v>816</v>
      </c>
      <c r="AM143" s="149" t="s">
        <v>721</v>
      </c>
      <c r="AN143" s="149">
        <v>9</v>
      </c>
      <c r="AO143" s="149" t="s">
        <v>1878</v>
      </c>
      <c r="AP143" s="149">
        <v>4</v>
      </c>
      <c r="AQ143" s="149">
        <v>4</v>
      </c>
      <c r="AR143" s="150" t="s">
        <v>816</v>
      </c>
      <c r="AS143" s="149" t="s">
        <v>739</v>
      </c>
      <c r="AT143" s="149">
        <v>7</v>
      </c>
      <c r="AU143" s="149" t="s">
        <v>1865</v>
      </c>
      <c r="AV143" s="150" t="s">
        <v>816</v>
      </c>
      <c r="AW143" s="149">
        <v>5</v>
      </c>
      <c r="AX143" s="149">
        <v>125</v>
      </c>
      <c r="AY143" s="150" t="s">
        <v>738</v>
      </c>
      <c r="AZ143" s="149">
        <v>8</v>
      </c>
      <c r="BA143" s="149" t="s">
        <v>1865</v>
      </c>
      <c r="BB143" s="150" t="s">
        <v>816</v>
      </c>
      <c r="BC143" s="149">
        <v>5</v>
      </c>
      <c r="BD143" s="149">
        <v>150</v>
      </c>
      <c r="BE143" s="149" t="s">
        <v>731</v>
      </c>
      <c r="BF143" s="149">
        <v>9</v>
      </c>
      <c r="BG143" s="149" t="s">
        <v>1843</v>
      </c>
      <c r="BH143" s="150" t="s">
        <v>816</v>
      </c>
      <c r="BI143" s="149">
        <v>4</v>
      </c>
      <c r="BJ143" s="149">
        <v>20</v>
      </c>
      <c r="BK143" s="149" t="s">
        <v>733</v>
      </c>
      <c r="BL143" s="149">
        <v>8</v>
      </c>
      <c r="BM143" s="149" t="s">
        <v>1865</v>
      </c>
      <c r="BN143" s="150" t="s">
        <v>816</v>
      </c>
      <c r="BO143" s="149">
        <v>5</v>
      </c>
      <c r="BP143" s="149">
        <v>50</v>
      </c>
      <c r="BQ143" s="149" t="s">
        <v>734</v>
      </c>
      <c r="BR143" s="149">
        <v>10</v>
      </c>
      <c r="BS143" s="149" t="s">
        <v>1879</v>
      </c>
      <c r="BT143" s="150" t="s">
        <v>816</v>
      </c>
      <c r="BU143" s="149">
        <v>5</v>
      </c>
      <c r="BV143" s="149">
        <v>20</v>
      </c>
    </row>
    <row r="144" spans="1:74" x14ac:dyDescent="0.25">
      <c r="A144" s="149" t="s">
        <v>3555</v>
      </c>
      <c r="B144" s="149" t="s">
        <v>2244</v>
      </c>
      <c r="D144" s="149">
        <v>3</v>
      </c>
      <c r="E144" s="149">
        <v>3</v>
      </c>
      <c r="F144" s="149">
        <v>3</v>
      </c>
      <c r="G144" s="149">
        <v>2</v>
      </c>
      <c r="H144" s="149">
        <v>2</v>
      </c>
      <c r="I144" s="149">
        <v>2</v>
      </c>
      <c r="J144" s="149">
        <v>3</v>
      </c>
      <c r="K144" s="149">
        <v>2</v>
      </c>
      <c r="L144" s="149">
        <v>3</v>
      </c>
      <c r="M144" s="149">
        <v>0</v>
      </c>
      <c r="N144" s="149">
        <v>0</v>
      </c>
      <c r="O144" s="149">
        <v>3</v>
      </c>
      <c r="P144" s="149">
        <v>5</v>
      </c>
      <c r="Q144" s="149">
        <v>6</v>
      </c>
      <c r="R144" s="149">
        <v>5</v>
      </c>
      <c r="S144" s="149">
        <v>2</v>
      </c>
      <c r="T144" s="149">
        <v>2</v>
      </c>
      <c r="U144" s="209" t="s">
        <v>816</v>
      </c>
      <c r="V144" s="209" t="s">
        <v>816</v>
      </c>
      <c r="W144" s="209" t="s">
        <v>816</v>
      </c>
      <c r="X144" s="209" t="s">
        <v>816</v>
      </c>
      <c r="Y144" s="209" t="s">
        <v>816</v>
      </c>
      <c r="Z144" s="209" t="s">
        <v>816</v>
      </c>
      <c r="AA144" s="209" t="s">
        <v>816</v>
      </c>
      <c r="AB144" s="209" t="s">
        <v>816</v>
      </c>
      <c r="AC144" s="150" t="s">
        <v>1831</v>
      </c>
      <c r="AD144" s="257" t="s">
        <v>2144</v>
      </c>
      <c r="AE144" s="257" t="s">
        <v>494</v>
      </c>
      <c r="AF144" s="257" t="s">
        <v>2309</v>
      </c>
      <c r="AG144" s="149" t="s">
        <v>702</v>
      </c>
      <c r="AH144" s="149">
        <v>6</v>
      </c>
      <c r="AI144" s="149" t="s">
        <v>1859</v>
      </c>
      <c r="AJ144" s="150" t="s">
        <v>816</v>
      </c>
      <c r="AK144" s="149">
        <v>6</v>
      </c>
      <c r="AL144" s="150" t="s">
        <v>816</v>
      </c>
      <c r="AM144" s="149" t="s">
        <v>720</v>
      </c>
      <c r="AN144" s="149">
        <v>5</v>
      </c>
      <c r="AO144" s="149" t="s">
        <v>1864</v>
      </c>
      <c r="AP144" s="149">
        <v>2</v>
      </c>
      <c r="AQ144" s="149">
        <v>5</v>
      </c>
      <c r="AR144" s="150" t="s">
        <v>816</v>
      </c>
      <c r="AS144" s="149" t="s">
        <v>721</v>
      </c>
      <c r="AT144" s="149">
        <v>7</v>
      </c>
      <c r="AU144" s="149" t="s">
        <v>1859</v>
      </c>
      <c r="AV144" s="149">
        <v>3</v>
      </c>
      <c r="AW144" s="149">
        <v>4</v>
      </c>
      <c r="AX144" s="150" t="s">
        <v>816</v>
      </c>
      <c r="AY144" s="150" t="s">
        <v>738</v>
      </c>
      <c r="AZ144" s="149">
        <v>6</v>
      </c>
      <c r="BA144" s="149" t="s">
        <v>1865</v>
      </c>
      <c r="BB144" s="150" t="s">
        <v>816</v>
      </c>
      <c r="BC144" s="149">
        <v>5</v>
      </c>
      <c r="BD144" s="150">
        <v>150</v>
      </c>
      <c r="BE144" s="149" t="s">
        <v>732</v>
      </c>
      <c r="BF144" s="149">
        <v>7</v>
      </c>
      <c r="BG144" s="149" t="s">
        <v>1843</v>
      </c>
      <c r="BH144" s="150" t="s">
        <v>816</v>
      </c>
      <c r="BI144" s="149">
        <v>4</v>
      </c>
      <c r="BJ144" s="150">
        <v>20</v>
      </c>
      <c r="BK144" s="149" t="s">
        <v>704</v>
      </c>
      <c r="BL144" s="150">
        <v>7</v>
      </c>
      <c r="BM144" s="150" t="s">
        <v>1923</v>
      </c>
      <c r="BN144" s="150">
        <v>3</v>
      </c>
      <c r="BO144" s="149">
        <v>5</v>
      </c>
      <c r="BP144" s="150" t="s">
        <v>816</v>
      </c>
      <c r="BQ144" s="149" t="s">
        <v>724</v>
      </c>
      <c r="BR144" s="150">
        <v>7</v>
      </c>
      <c r="BS144" s="150" t="s">
        <v>1923</v>
      </c>
      <c r="BT144" s="150">
        <v>3</v>
      </c>
      <c r="BU144" s="149">
        <v>4</v>
      </c>
      <c r="BV144" s="150" t="s">
        <v>816</v>
      </c>
    </row>
    <row r="145" spans="1:74" x14ac:dyDescent="0.25">
      <c r="A145" s="149" t="s">
        <v>1975</v>
      </c>
      <c r="B145" s="149" t="s">
        <v>2242</v>
      </c>
      <c r="D145" s="149">
        <v>6</v>
      </c>
      <c r="E145" s="149">
        <v>6</v>
      </c>
      <c r="F145" s="149">
        <v>6</v>
      </c>
      <c r="G145" s="149">
        <v>3</v>
      </c>
      <c r="H145" s="149">
        <v>2</v>
      </c>
      <c r="I145" s="149">
        <v>2</v>
      </c>
      <c r="J145" s="149">
        <v>3</v>
      </c>
      <c r="K145" s="149">
        <v>3</v>
      </c>
      <c r="L145" s="149">
        <v>3</v>
      </c>
      <c r="M145" s="149">
        <v>3</v>
      </c>
      <c r="N145" s="149">
        <v>9</v>
      </c>
      <c r="O145" s="149">
        <v>6</v>
      </c>
      <c r="P145" s="149">
        <v>8</v>
      </c>
      <c r="Q145" s="149">
        <v>5</v>
      </c>
      <c r="R145" s="149">
        <v>10</v>
      </c>
      <c r="S145" s="149">
        <v>7</v>
      </c>
      <c r="T145" s="149">
        <v>4</v>
      </c>
      <c r="U145" s="149" t="s">
        <v>162</v>
      </c>
      <c r="V145" s="149">
        <v>3</v>
      </c>
      <c r="W145" s="149" t="s">
        <v>157</v>
      </c>
      <c r="X145" s="149">
        <v>3</v>
      </c>
      <c r="Y145" s="149" t="s">
        <v>163</v>
      </c>
      <c r="Z145" s="149">
        <v>3</v>
      </c>
      <c r="AA145" s="149" t="s">
        <v>164</v>
      </c>
      <c r="AB145" s="149">
        <v>3</v>
      </c>
      <c r="AC145" s="150" t="s">
        <v>1976</v>
      </c>
      <c r="AD145" s="257" t="s">
        <v>1977</v>
      </c>
      <c r="AE145" s="257" t="s">
        <v>2335</v>
      </c>
      <c r="AF145" s="257" t="s">
        <v>1978</v>
      </c>
      <c r="AG145" s="149" t="s">
        <v>1974</v>
      </c>
      <c r="AH145" s="149">
        <v>8</v>
      </c>
      <c r="AI145" s="149" t="s">
        <v>1923</v>
      </c>
      <c r="AJ145" s="150" t="s">
        <v>816</v>
      </c>
      <c r="AK145" s="149">
        <v>5</v>
      </c>
      <c r="AL145" s="150" t="s">
        <v>816</v>
      </c>
      <c r="AM145" s="149" t="s">
        <v>1979</v>
      </c>
      <c r="AN145" s="149">
        <v>8</v>
      </c>
      <c r="AO145" s="149" t="s">
        <v>1940</v>
      </c>
      <c r="AP145" s="150">
        <v>6</v>
      </c>
      <c r="AQ145" s="149">
        <v>5</v>
      </c>
      <c r="AR145" s="150" t="s">
        <v>816</v>
      </c>
      <c r="AS145" s="209" t="s">
        <v>816</v>
      </c>
      <c r="AT145" s="209" t="s">
        <v>816</v>
      </c>
      <c r="AU145" s="209" t="s">
        <v>816</v>
      </c>
      <c r="AV145" s="209" t="s">
        <v>816</v>
      </c>
      <c r="AW145" s="209" t="s">
        <v>816</v>
      </c>
      <c r="AX145" s="209" t="s">
        <v>816</v>
      </c>
      <c r="AY145" s="209" t="s">
        <v>816</v>
      </c>
      <c r="AZ145" s="209" t="s">
        <v>816</v>
      </c>
      <c r="BA145" s="209" t="s">
        <v>816</v>
      </c>
      <c r="BB145" s="209" t="s">
        <v>816</v>
      </c>
      <c r="BC145" s="209" t="s">
        <v>816</v>
      </c>
      <c r="BD145" s="209" t="s">
        <v>816</v>
      </c>
      <c r="BE145" s="209" t="s">
        <v>816</v>
      </c>
      <c r="BF145" s="209" t="s">
        <v>816</v>
      </c>
      <c r="BG145" s="209" t="s">
        <v>816</v>
      </c>
      <c r="BH145" s="209" t="s">
        <v>816</v>
      </c>
      <c r="BI145" s="209" t="s">
        <v>816</v>
      </c>
      <c r="BJ145" s="209" t="s">
        <v>816</v>
      </c>
      <c r="BK145" s="209" t="s">
        <v>816</v>
      </c>
      <c r="BL145" s="209" t="s">
        <v>816</v>
      </c>
      <c r="BM145" s="209" t="s">
        <v>816</v>
      </c>
      <c r="BN145" s="209" t="s">
        <v>816</v>
      </c>
      <c r="BO145" s="209" t="s">
        <v>816</v>
      </c>
      <c r="BP145" s="209" t="s">
        <v>816</v>
      </c>
      <c r="BQ145" s="209" t="s">
        <v>816</v>
      </c>
      <c r="BR145" s="209" t="s">
        <v>816</v>
      </c>
      <c r="BS145" s="209" t="s">
        <v>816</v>
      </c>
      <c r="BT145" s="209" t="s">
        <v>816</v>
      </c>
      <c r="BU145" s="209" t="s">
        <v>816</v>
      </c>
      <c r="BV145" s="209" t="s">
        <v>816</v>
      </c>
    </row>
    <row r="146" spans="1:74" x14ac:dyDescent="0.25">
      <c r="A146" s="149" t="s">
        <v>2178</v>
      </c>
      <c r="B146" s="149" t="s">
        <v>2242</v>
      </c>
      <c r="D146" s="149">
        <v>7</v>
      </c>
      <c r="E146" s="149">
        <v>4</v>
      </c>
      <c r="F146" s="149">
        <v>7</v>
      </c>
      <c r="G146" s="149">
        <v>0</v>
      </c>
      <c r="H146" s="149">
        <v>0</v>
      </c>
      <c r="I146" s="149">
        <v>5</v>
      </c>
      <c r="J146" s="149">
        <v>5</v>
      </c>
      <c r="K146" s="149">
        <v>1</v>
      </c>
      <c r="L146" s="149">
        <v>4</v>
      </c>
      <c r="M146" s="149">
        <v>3</v>
      </c>
      <c r="N146" s="149">
        <v>9</v>
      </c>
      <c r="O146" s="149">
        <v>5</v>
      </c>
      <c r="P146" s="149">
        <v>5</v>
      </c>
      <c r="Q146" s="149">
        <v>7</v>
      </c>
      <c r="R146" s="149">
        <v>8</v>
      </c>
      <c r="S146" s="149">
        <v>5</v>
      </c>
      <c r="T146" s="149">
        <v>1</v>
      </c>
      <c r="U146" s="149" t="s">
        <v>156</v>
      </c>
      <c r="V146" s="149">
        <v>3</v>
      </c>
      <c r="W146" s="149" t="s">
        <v>157</v>
      </c>
      <c r="X146" s="149">
        <v>4</v>
      </c>
      <c r="Y146" s="149" t="s">
        <v>159</v>
      </c>
      <c r="Z146" s="149">
        <v>2</v>
      </c>
      <c r="AA146" s="149" t="s">
        <v>173</v>
      </c>
      <c r="AB146" s="149">
        <v>2</v>
      </c>
      <c r="AC146" s="150" t="s">
        <v>1976</v>
      </c>
      <c r="AD146" s="257" t="s">
        <v>2179</v>
      </c>
      <c r="AE146" s="257" t="s">
        <v>2180</v>
      </c>
      <c r="AF146" s="257" t="s">
        <v>2181</v>
      </c>
      <c r="AG146" s="149" t="s">
        <v>1974</v>
      </c>
      <c r="AH146" s="149">
        <v>8</v>
      </c>
      <c r="AI146" s="149" t="s">
        <v>1939</v>
      </c>
      <c r="AJ146" s="149">
        <v>4</v>
      </c>
      <c r="AK146" s="149">
        <v>5</v>
      </c>
      <c r="AL146" s="150" t="s">
        <v>816</v>
      </c>
      <c r="AM146" s="149" t="s">
        <v>702</v>
      </c>
      <c r="AN146" s="149">
        <v>7</v>
      </c>
      <c r="AO146" s="149" t="s">
        <v>1877</v>
      </c>
      <c r="AP146" s="150" t="s">
        <v>816</v>
      </c>
      <c r="AQ146" s="149">
        <v>6</v>
      </c>
      <c r="AR146" s="150" t="s">
        <v>816</v>
      </c>
      <c r="AS146" s="209" t="s">
        <v>816</v>
      </c>
      <c r="AT146" s="209" t="s">
        <v>816</v>
      </c>
      <c r="AU146" s="209" t="s">
        <v>816</v>
      </c>
      <c r="AV146" s="209" t="s">
        <v>816</v>
      </c>
      <c r="AW146" s="209" t="s">
        <v>816</v>
      </c>
      <c r="AX146" s="209" t="s">
        <v>816</v>
      </c>
      <c r="AY146" s="209" t="s">
        <v>816</v>
      </c>
      <c r="AZ146" s="209" t="s">
        <v>816</v>
      </c>
      <c r="BA146" s="209" t="s">
        <v>816</v>
      </c>
      <c r="BB146" s="209" t="s">
        <v>816</v>
      </c>
      <c r="BC146" s="209" t="s">
        <v>816</v>
      </c>
      <c r="BD146" s="209" t="s">
        <v>816</v>
      </c>
      <c r="BE146" s="209" t="s">
        <v>816</v>
      </c>
      <c r="BF146" s="209" t="s">
        <v>816</v>
      </c>
      <c r="BG146" s="209" t="s">
        <v>816</v>
      </c>
      <c r="BH146" s="209" t="s">
        <v>816</v>
      </c>
      <c r="BI146" s="209" t="s">
        <v>816</v>
      </c>
      <c r="BJ146" s="209" t="s">
        <v>816</v>
      </c>
      <c r="BK146" s="209" t="s">
        <v>816</v>
      </c>
      <c r="BL146" s="209" t="s">
        <v>816</v>
      </c>
      <c r="BM146" s="209" t="s">
        <v>816</v>
      </c>
      <c r="BN146" s="209" t="s">
        <v>816</v>
      </c>
      <c r="BO146" s="209" t="s">
        <v>816</v>
      </c>
      <c r="BP146" s="209" t="s">
        <v>816</v>
      </c>
      <c r="BQ146" s="209" t="s">
        <v>816</v>
      </c>
      <c r="BR146" s="209" t="s">
        <v>816</v>
      </c>
      <c r="BS146" s="209" t="s">
        <v>816</v>
      </c>
      <c r="BT146" s="209" t="s">
        <v>816</v>
      </c>
      <c r="BU146" s="209" t="s">
        <v>816</v>
      </c>
      <c r="BV146" s="209" t="s">
        <v>816</v>
      </c>
    </row>
    <row r="147" spans="1:74" x14ac:dyDescent="0.25">
      <c r="A147" s="149" t="s">
        <v>2186</v>
      </c>
      <c r="B147" s="149" t="s">
        <v>2243</v>
      </c>
      <c r="D147" s="149">
        <v>4</v>
      </c>
      <c r="E147" s="149">
        <v>4</v>
      </c>
      <c r="F147" s="149">
        <v>4</v>
      </c>
      <c r="G147" s="149">
        <v>3</v>
      </c>
      <c r="H147" s="149">
        <v>2</v>
      </c>
      <c r="I147" s="149">
        <v>3</v>
      </c>
      <c r="J147" s="149">
        <v>3</v>
      </c>
      <c r="K147" s="149">
        <v>3</v>
      </c>
      <c r="L147" s="149">
        <v>4</v>
      </c>
      <c r="M147" s="149">
        <v>0</v>
      </c>
      <c r="N147" s="149">
        <v>0</v>
      </c>
      <c r="O147" s="149">
        <v>4</v>
      </c>
      <c r="P147" s="149">
        <v>6</v>
      </c>
      <c r="Q147" s="149">
        <v>7</v>
      </c>
      <c r="R147" s="149">
        <v>6</v>
      </c>
      <c r="S147" s="149">
        <v>2</v>
      </c>
      <c r="T147" s="149">
        <v>2</v>
      </c>
      <c r="U147" s="149" t="str">
        <f>CharacterSheet!$G$40</f>
        <v/>
      </c>
      <c r="V147" s="149">
        <v>1</v>
      </c>
      <c r="W147" s="149" t="str">
        <f>CharacterSheet!$G$41</f>
        <v/>
      </c>
      <c r="X147" s="149">
        <v>3</v>
      </c>
      <c r="Y147" s="149" t="str">
        <f>CharacterSheet!$M$40</f>
        <v/>
      </c>
      <c r="Z147" s="149">
        <v>2</v>
      </c>
      <c r="AA147" s="149" t="str">
        <f>CharacterSheet!$M$41</f>
        <v/>
      </c>
      <c r="AB147" s="149">
        <v>3</v>
      </c>
      <c r="AC147" s="150" t="s">
        <v>1831</v>
      </c>
      <c r="AD147" s="257" t="s">
        <v>1876</v>
      </c>
      <c r="AE147" s="257" t="s">
        <v>2187</v>
      </c>
      <c r="AF147" s="257" t="s">
        <v>2317</v>
      </c>
      <c r="AG147" s="149" t="s">
        <v>720</v>
      </c>
      <c r="AH147" s="149">
        <v>7</v>
      </c>
      <c r="AI147" s="149" t="s">
        <v>1877</v>
      </c>
      <c r="AJ147" s="149">
        <v>3</v>
      </c>
      <c r="AK147" s="149">
        <v>5</v>
      </c>
      <c r="AL147" s="150" t="s">
        <v>816</v>
      </c>
      <c r="AM147" s="149" t="s">
        <v>721</v>
      </c>
      <c r="AN147" s="149">
        <v>9</v>
      </c>
      <c r="AO147" s="149" t="s">
        <v>1878</v>
      </c>
      <c r="AP147" s="149">
        <v>4</v>
      </c>
      <c r="AQ147" s="149">
        <v>4</v>
      </c>
      <c r="AR147" s="150" t="s">
        <v>816</v>
      </c>
      <c r="AS147" s="149" t="s">
        <v>739</v>
      </c>
      <c r="AT147" s="149">
        <v>7</v>
      </c>
      <c r="AU147" s="149" t="s">
        <v>1865</v>
      </c>
      <c r="AV147" s="150" t="s">
        <v>816</v>
      </c>
      <c r="AW147" s="149">
        <v>5</v>
      </c>
      <c r="AX147" s="149">
        <v>125</v>
      </c>
      <c r="AY147" s="150" t="s">
        <v>738</v>
      </c>
      <c r="AZ147" s="149">
        <v>8</v>
      </c>
      <c r="BA147" s="149" t="s">
        <v>1865</v>
      </c>
      <c r="BB147" s="150" t="s">
        <v>816</v>
      </c>
      <c r="BC147" s="149">
        <v>5</v>
      </c>
      <c r="BD147" s="149">
        <v>150</v>
      </c>
      <c r="BE147" s="149" t="s">
        <v>731</v>
      </c>
      <c r="BF147" s="149">
        <v>9</v>
      </c>
      <c r="BG147" s="149" t="s">
        <v>1843</v>
      </c>
      <c r="BH147" s="150" t="s">
        <v>816</v>
      </c>
      <c r="BI147" s="149">
        <v>4</v>
      </c>
      <c r="BJ147" s="149">
        <v>20</v>
      </c>
      <c r="BK147" s="149" t="s">
        <v>733</v>
      </c>
      <c r="BL147" s="149">
        <v>8</v>
      </c>
      <c r="BM147" s="149" t="s">
        <v>1865</v>
      </c>
      <c r="BN147" s="150" t="s">
        <v>816</v>
      </c>
      <c r="BO147" s="149">
        <v>5</v>
      </c>
      <c r="BP147" s="149">
        <v>50</v>
      </c>
      <c r="BQ147" s="149" t="s">
        <v>734</v>
      </c>
      <c r="BR147" s="149">
        <v>10</v>
      </c>
      <c r="BS147" s="149" t="s">
        <v>1879</v>
      </c>
      <c r="BT147" s="150" t="s">
        <v>816</v>
      </c>
      <c r="BU147" s="149">
        <v>5</v>
      </c>
      <c r="BV147" s="149">
        <v>20</v>
      </c>
    </row>
    <row r="148" spans="1:74" x14ac:dyDescent="0.25">
      <c r="A148" s="149" t="s">
        <v>1931</v>
      </c>
      <c r="B148" s="149" t="s">
        <v>2243</v>
      </c>
      <c r="D148" s="149">
        <v>4</v>
      </c>
      <c r="E148" s="149">
        <v>4</v>
      </c>
      <c r="F148" s="149">
        <v>4</v>
      </c>
      <c r="G148" s="149">
        <v>3</v>
      </c>
      <c r="H148" s="149">
        <v>2</v>
      </c>
      <c r="I148" s="149">
        <v>3</v>
      </c>
      <c r="J148" s="149">
        <v>3</v>
      </c>
      <c r="K148" s="149">
        <v>3</v>
      </c>
      <c r="L148" s="149">
        <v>4</v>
      </c>
      <c r="M148" s="149">
        <v>1</v>
      </c>
      <c r="N148" s="149">
        <v>1</v>
      </c>
      <c r="O148" s="149">
        <v>4</v>
      </c>
      <c r="P148" s="149">
        <v>6</v>
      </c>
      <c r="Q148" s="149">
        <v>7</v>
      </c>
      <c r="R148" s="149">
        <v>7</v>
      </c>
      <c r="S148" s="149">
        <v>3</v>
      </c>
      <c r="T148" s="149">
        <v>1</v>
      </c>
      <c r="U148" s="149" t="s">
        <v>156</v>
      </c>
      <c r="V148" s="149">
        <v>3</v>
      </c>
      <c r="W148" s="149" t="s">
        <v>157</v>
      </c>
      <c r="X148" s="149">
        <v>3</v>
      </c>
      <c r="Y148" s="149" t="s">
        <v>158</v>
      </c>
      <c r="Z148" s="149">
        <v>1</v>
      </c>
      <c r="AA148" s="149" t="s">
        <v>159</v>
      </c>
      <c r="AB148" s="149">
        <v>3</v>
      </c>
      <c r="AC148" s="150" t="s">
        <v>1831</v>
      </c>
      <c r="AD148" s="257" t="s">
        <v>1876</v>
      </c>
      <c r="AE148" s="257" t="s">
        <v>2318</v>
      </c>
      <c r="AF148" s="257" t="s">
        <v>494</v>
      </c>
      <c r="AG148" s="149" t="s">
        <v>702</v>
      </c>
      <c r="AH148" s="150">
        <v>8</v>
      </c>
      <c r="AI148" s="150" t="s">
        <v>1878</v>
      </c>
      <c r="AJ148" s="150" t="s">
        <v>816</v>
      </c>
      <c r="AK148" s="149">
        <v>6</v>
      </c>
      <c r="AL148" s="150" t="s">
        <v>816</v>
      </c>
      <c r="AM148" s="149" t="s">
        <v>720</v>
      </c>
      <c r="AN148" s="150">
        <v>7</v>
      </c>
      <c r="AO148" s="150" t="s">
        <v>1877</v>
      </c>
      <c r="AP148" s="150">
        <v>3</v>
      </c>
      <c r="AQ148" s="149">
        <v>5</v>
      </c>
      <c r="AR148" s="150" t="s">
        <v>816</v>
      </c>
      <c r="AS148" s="149" t="s">
        <v>721</v>
      </c>
      <c r="AT148" s="150">
        <v>9</v>
      </c>
      <c r="AU148" s="150" t="s">
        <v>1878</v>
      </c>
      <c r="AV148" s="150">
        <v>5</v>
      </c>
      <c r="AW148" s="149">
        <v>4</v>
      </c>
      <c r="AX148" s="150" t="s">
        <v>816</v>
      </c>
      <c r="AY148" s="149" t="s">
        <v>716</v>
      </c>
      <c r="AZ148" s="150">
        <v>9</v>
      </c>
      <c r="BA148" s="149" t="s">
        <v>1940</v>
      </c>
      <c r="BB148" s="150">
        <v>5</v>
      </c>
      <c r="BC148" s="149">
        <v>4</v>
      </c>
      <c r="BD148" s="150" t="s">
        <v>816</v>
      </c>
      <c r="BE148" s="149" t="s">
        <v>715</v>
      </c>
      <c r="BF148" s="150">
        <v>9</v>
      </c>
      <c r="BG148" s="150" t="s">
        <v>1941</v>
      </c>
      <c r="BH148" s="150">
        <v>4</v>
      </c>
      <c r="BI148" s="149">
        <v>5</v>
      </c>
      <c r="BJ148" s="150" t="s">
        <v>816</v>
      </c>
      <c r="BK148" s="149" t="s">
        <v>1935</v>
      </c>
      <c r="BL148" s="150">
        <v>8</v>
      </c>
      <c r="BM148" s="150" t="s">
        <v>1843</v>
      </c>
      <c r="BN148" s="150" t="s">
        <v>816</v>
      </c>
      <c r="BO148" s="149">
        <v>6</v>
      </c>
      <c r="BP148" s="149">
        <v>40</v>
      </c>
      <c r="BQ148" s="149" t="s">
        <v>1936</v>
      </c>
      <c r="BR148" s="150">
        <v>9</v>
      </c>
      <c r="BS148" s="150" t="s">
        <v>1923</v>
      </c>
      <c r="BT148" s="149">
        <v>4</v>
      </c>
      <c r="BU148" s="149">
        <v>4</v>
      </c>
      <c r="BV148" s="150" t="s">
        <v>816</v>
      </c>
    </row>
    <row r="149" spans="1:74" x14ac:dyDescent="0.25">
      <c r="A149" s="149" t="s">
        <v>1933</v>
      </c>
      <c r="B149" s="149" t="s">
        <v>2243</v>
      </c>
      <c r="D149" s="149">
        <v>4</v>
      </c>
      <c r="E149" s="149">
        <v>4</v>
      </c>
      <c r="F149" s="149">
        <v>4</v>
      </c>
      <c r="G149" s="149">
        <v>3</v>
      </c>
      <c r="H149" s="149">
        <v>2</v>
      </c>
      <c r="I149" s="149">
        <v>3</v>
      </c>
      <c r="J149" s="149">
        <v>3</v>
      </c>
      <c r="K149" s="149">
        <v>3</v>
      </c>
      <c r="L149" s="149">
        <v>4</v>
      </c>
      <c r="M149" s="149">
        <v>1</v>
      </c>
      <c r="N149" s="149">
        <v>1</v>
      </c>
      <c r="O149" s="149">
        <v>4</v>
      </c>
      <c r="P149" s="149">
        <v>6</v>
      </c>
      <c r="Q149" s="149">
        <v>7</v>
      </c>
      <c r="R149" s="149">
        <f>F149</f>
        <v>4</v>
      </c>
      <c r="S149" s="149">
        <f>ROUNDUP(R149/2,0)</f>
        <v>2</v>
      </c>
      <c r="T149" s="149">
        <v>0</v>
      </c>
      <c r="U149" s="149" t="s">
        <v>156</v>
      </c>
      <c r="V149" s="149">
        <v>3</v>
      </c>
      <c r="W149" s="149" t="s">
        <v>157</v>
      </c>
      <c r="X149" s="149">
        <v>3</v>
      </c>
      <c r="Y149" s="149" t="s">
        <v>158</v>
      </c>
      <c r="Z149" s="149">
        <v>1</v>
      </c>
      <c r="AA149" s="149" t="s">
        <v>159</v>
      </c>
      <c r="AB149" s="149">
        <v>3</v>
      </c>
      <c r="AC149" s="150" t="s">
        <v>1831</v>
      </c>
      <c r="AD149" s="257" t="s">
        <v>1876</v>
      </c>
      <c r="AE149" s="257" t="s">
        <v>2319</v>
      </c>
      <c r="AF149" s="257" t="s">
        <v>494</v>
      </c>
      <c r="AG149" s="149" t="s">
        <v>702</v>
      </c>
      <c r="AH149" s="150">
        <v>8</v>
      </c>
      <c r="AI149" s="150" t="s">
        <v>1878</v>
      </c>
      <c r="AJ149" s="150" t="s">
        <v>816</v>
      </c>
      <c r="AK149" s="149">
        <v>6</v>
      </c>
      <c r="AL149" s="150" t="s">
        <v>816</v>
      </c>
      <c r="AM149" s="149" t="s">
        <v>720</v>
      </c>
      <c r="AN149" s="150">
        <v>7</v>
      </c>
      <c r="AO149" s="150" t="s">
        <v>1877</v>
      </c>
      <c r="AP149" s="150">
        <v>3</v>
      </c>
      <c r="AQ149" s="149">
        <v>5</v>
      </c>
      <c r="AR149" s="150" t="s">
        <v>816</v>
      </c>
      <c r="AS149" s="149" t="s">
        <v>721</v>
      </c>
      <c r="AT149" s="150">
        <v>9</v>
      </c>
      <c r="AU149" s="150" t="s">
        <v>1878</v>
      </c>
      <c r="AV149" s="150">
        <v>5</v>
      </c>
      <c r="AW149" s="149">
        <v>4</v>
      </c>
      <c r="AX149" s="150" t="s">
        <v>816</v>
      </c>
      <c r="AY149" s="149" t="s">
        <v>1937</v>
      </c>
      <c r="AZ149" s="150">
        <v>11</v>
      </c>
      <c r="BA149" s="149" t="s">
        <v>1939</v>
      </c>
      <c r="BB149" s="150" t="s">
        <v>816</v>
      </c>
      <c r="BC149" s="149">
        <v>6</v>
      </c>
      <c r="BD149" s="149">
        <v>200</v>
      </c>
      <c r="BE149" s="149" t="s">
        <v>786</v>
      </c>
      <c r="BF149" s="150">
        <v>10</v>
      </c>
      <c r="BG149" s="149" t="s">
        <v>1879</v>
      </c>
      <c r="BH149" s="150" t="s">
        <v>816</v>
      </c>
      <c r="BI149" s="149">
        <v>5</v>
      </c>
      <c r="BJ149" s="149">
        <v>20</v>
      </c>
      <c r="BK149" s="149" t="s">
        <v>1938</v>
      </c>
      <c r="BL149" s="150">
        <v>11</v>
      </c>
      <c r="BM149" s="149" t="s">
        <v>1843</v>
      </c>
      <c r="BN149" s="150" t="s">
        <v>816</v>
      </c>
      <c r="BO149" s="149">
        <v>5</v>
      </c>
      <c r="BP149" s="149">
        <v>20</v>
      </c>
      <c r="BQ149" s="149" t="s">
        <v>1936</v>
      </c>
      <c r="BR149" s="150">
        <v>9</v>
      </c>
      <c r="BS149" s="150" t="s">
        <v>1923</v>
      </c>
      <c r="BT149" s="149">
        <v>4</v>
      </c>
      <c r="BU149" s="149">
        <v>4</v>
      </c>
      <c r="BV149" s="150" t="s">
        <v>816</v>
      </c>
    </row>
    <row r="150" spans="1:74" x14ac:dyDescent="0.25">
      <c r="A150" s="149" t="s">
        <v>2207</v>
      </c>
      <c r="B150" s="149" t="s">
        <v>2243</v>
      </c>
      <c r="D150" s="149">
        <v>4</v>
      </c>
      <c r="E150" s="149">
        <v>4</v>
      </c>
      <c r="F150" s="149">
        <v>4</v>
      </c>
      <c r="G150" s="149">
        <v>3</v>
      </c>
      <c r="H150" s="149">
        <v>2</v>
      </c>
      <c r="I150" s="149">
        <v>3</v>
      </c>
      <c r="J150" s="149">
        <v>3</v>
      </c>
      <c r="K150" s="149">
        <v>3</v>
      </c>
      <c r="L150" s="149">
        <v>4</v>
      </c>
      <c r="M150" s="149">
        <v>0</v>
      </c>
      <c r="N150" s="149">
        <v>0</v>
      </c>
      <c r="O150" s="149">
        <v>4</v>
      </c>
      <c r="P150" s="149">
        <v>8</v>
      </c>
      <c r="Q150" s="149">
        <v>7</v>
      </c>
      <c r="R150" s="149">
        <v>12</v>
      </c>
      <c r="S150" s="149">
        <v>5</v>
      </c>
      <c r="T150" s="149">
        <v>5</v>
      </c>
      <c r="U150" s="149" t="s">
        <v>162</v>
      </c>
      <c r="V150" s="149">
        <v>4</v>
      </c>
      <c r="W150" s="149" t="s">
        <v>169</v>
      </c>
      <c r="X150" s="149">
        <v>1</v>
      </c>
      <c r="Y150" s="149" t="s">
        <v>163</v>
      </c>
      <c r="Z150" s="149">
        <v>1</v>
      </c>
      <c r="AA150" s="149" t="s">
        <v>164</v>
      </c>
      <c r="AB150" s="149">
        <v>4</v>
      </c>
      <c r="AC150" s="150" t="s">
        <v>1831</v>
      </c>
      <c r="AD150" s="257" t="s">
        <v>1876</v>
      </c>
      <c r="AE150" s="257" t="s">
        <v>2208</v>
      </c>
      <c r="AF150" s="257" t="s">
        <v>2321</v>
      </c>
      <c r="AG150" s="149" t="s">
        <v>720</v>
      </c>
      <c r="AH150" s="149">
        <v>7</v>
      </c>
      <c r="AI150" s="149" t="s">
        <v>1877</v>
      </c>
      <c r="AJ150" s="149">
        <v>3</v>
      </c>
      <c r="AK150" s="149">
        <v>5</v>
      </c>
      <c r="AL150" s="150" t="s">
        <v>816</v>
      </c>
      <c r="AM150" s="149" t="s">
        <v>721</v>
      </c>
      <c r="AN150" s="149">
        <v>9</v>
      </c>
      <c r="AO150" s="149" t="s">
        <v>1878</v>
      </c>
      <c r="AP150" s="149">
        <v>4</v>
      </c>
      <c r="AQ150" s="149">
        <v>4</v>
      </c>
      <c r="AR150" s="150" t="s">
        <v>816</v>
      </c>
      <c r="AS150" s="149" t="s">
        <v>739</v>
      </c>
      <c r="AT150" s="149">
        <v>7</v>
      </c>
      <c r="AU150" s="149" t="s">
        <v>1865</v>
      </c>
      <c r="AV150" s="150" t="s">
        <v>816</v>
      </c>
      <c r="AW150" s="149">
        <v>5</v>
      </c>
      <c r="AX150" s="149">
        <v>125</v>
      </c>
      <c r="AY150" s="150" t="s">
        <v>738</v>
      </c>
      <c r="AZ150" s="149">
        <v>8</v>
      </c>
      <c r="BA150" s="149" t="s">
        <v>1865</v>
      </c>
      <c r="BB150" s="150" t="s">
        <v>816</v>
      </c>
      <c r="BC150" s="149">
        <v>5</v>
      </c>
      <c r="BD150" s="149">
        <v>150</v>
      </c>
      <c r="BE150" s="149" t="s">
        <v>731</v>
      </c>
      <c r="BF150" s="149">
        <v>9</v>
      </c>
      <c r="BG150" s="149" t="s">
        <v>1843</v>
      </c>
      <c r="BH150" s="150" t="s">
        <v>816</v>
      </c>
      <c r="BI150" s="149">
        <v>4</v>
      </c>
      <c r="BJ150" s="149">
        <v>20</v>
      </c>
      <c r="BK150" s="149" t="s">
        <v>733</v>
      </c>
      <c r="BL150" s="149">
        <v>8</v>
      </c>
      <c r="BM150" s="149" t="s">
        <v>1865</v>
      </c>
      <c r="BN150" s="150" t="s">
        <v>816</v>
      </c>
      <c r="BO150" s="149">
        <v>5</v>
      </c>
      <c r="BP150" s="149">
        <v>50</v>
      </c>
      <c r="BQ150" s="149" t="s">
        <v>734</v>
      </c>
      <c r="BR150" s="149">
        <v>10</v>
      </c>
      <c r="BS150" s="149" t="s">
        <v>1879</v>
      </c>
      <c r="BT150" s="150" t="s">
        <v>816</v>
      </c>
      <c r="BU150" s="149">
        <v>5</v>
      </c>
      <c r="BV150" s="149">
        <v>20</v>
      </c>
    </row>
    <row r="151" spans="1:74" x14ac:dyDescent="0.25">
      <c r="A151" s="149" t="s">
        <v>1953</v>
      </c>
      <c r="B151" s="149" t="s">
        <v>2243</v>
      </c>
      <c r="D151" s="149">
        <v>4</v>
      </c>
      <c r="E151" s="149">
        <v>4</v>
      </c>
      <c r="F151" s="149">
        <v>4</v>
      </c>
      <c r="G151" s="149">
        <v>3</v>
      </c>
      <c r="H151" s="149">
        <v>2</v>
      </c>
      <c r="I151" s="149">
        <v>3</v>
      </c>
      <c r="J151" s="149">
        <v>3</v>
      </c>
      <c r="K151" s="149">
        <v>3</v>
      </c>
      <c r="L151" s="149">
        <v>4</v>
      </c>
      <c r="M151" s="149">
        <v>1</v>
      </c>
      <c r="N151" s="149">
        <v>1</v>
      </c>
      <c r="O151" s="149">
        <v>4</v>
      </c>
      <c r="P151" s="149">
        <v>6</v>
      </c>
      <c r="Q151" s="149">
        <v>7</v>
      </c>
      <c r="R151" s="149">
        <v>6</v>
      </c>
      <c r="S151" s="149">
        <v>4</v>
      </c>
      <c r="T151" s="149">
        <v>2</v>
      </c>
      <c r="U151" s="149" t="s">
        <v>158</v>
      </c>
      <c r="V151" s="149">
        <v>2</v>
      </c>
      <c r="W151" s="149" t="s">
        <v>163</v>
      </c>
      <c r="X151" s="149">
        <v>2</v>
      </c>
      <c r="Y151" s="149" t="s">
        <v>164</v>
      </c>
      <c r="Z151" s="149">
        <v>4</v>
      </c>
      <c r="AA151" s="149" t="s">
        <v>173</v>
      </c>
      <c r="AB151" s="149">
        <v>2</v>
      </c>
      <c r="AC151" s="150" t="s">
        <v>1831</v>
      </c>
      <c r="AD151" s="257" t="s">
        <v>1876</v>
      </c>
      <c r="AE151" s="257" t="s">
        <v>1954</v>
      </c>
      <c r="AF151" s="257" t="s">
        <v>2325</v>
      </c>
      <c r="AG151" s="149" t="s">
        <v>720</v>
      </c>
      <c r="AH151" s="149">
        <v>7</v>
      </c>
      <c r="AI151" s="149" t="s">
        <v>1877</v>
      </c>
      <c r="AJ151" s="149">
        <v>3</v>
      </c>
      <c r="AK151" s="149">
        <v>5</v>
      </c>
      <c r="AL151" s="150" t="s">
        <v>816</v>
      </c>
      <c r="AM151" s="149" t="s">
        <v>721</v>
      </c>
      <c r="AN151" s="149">
        <v>9</v>
      </c>
      <c r="AO151" s="149" t="s">
        <v>1878</v>
      </c>
      <c r="AP151" s="149">
        <v>4</v>
      </c>
      <c r="AQ151" s="149">
        <v>4</v>
      </c>
      <c r="AR151" s="150" t="s">
        <v>816</v>
      </c>
      <c r="AS151" s="149" t="s">
        <v>739</v>
      </c>
      <c r="AT151" s="149">
        <v>7</v>
      </c>
      <c r="AU151" s="149" t="s">
        <v>1865</v>
      </c>
      <c r="AV151" s="150" t="s">
        <v>816</v>
      </c>
      <c r="AW151" s="149">
        <v>5</v>
      </c>
      <c r="AX151" s="149">
        <v>125</v>
      </c>
      <c r="AY151" s="150" t="s">
        <v>738</v>
      </c>
      <c r="AZ151" s="149">
        <v>8</v>
      </c>
      <c r="BA151" s="149" t="s">
        <v>1865</v>
      </c>
      <c r="BB151" s="150" t="s">
        <v>816</v>
      </c>
      <c r="BC151" s="149">
        <v>5</v>
      </c>
      <c r="BD151" s="149">
        <v>150</v>
      </c>
      <c r="BE151" s="149" t="s">
        <v>731</v>
      </c>
      <c r="BF151" s="149">
        <v>9</v>
      </c>
      <c r="BG151" s="149" t="s">
        <v>1843</v>
      </c>
      <c r="BH151" s="150" t="s">
        <v>816</v>
      </c>
      <c r="BI151" s="149">
        <v>4</v>
      </c>
      <c r="BJ151" s="149">
        <v>20</v>
      </c>
      <c r="BK151" s="149" t="s">
        <v>733</v>
      </c>
      <c r="BL151" s="149">
        <v>8</v>
      </c>
      <c r="BM151" s="149" t="s">
        <v>1865</v>
      </c>
      <c r="BN151" s="150" t="s">
        <v>816</v>
      </c>
      <c r="BO151" s="149">
        <v>5</v>
      </c>
      <c r="BP151" s="149">
        <v>50</v>
      </c>
      <c r="BQ151" s="149" t="s">
        <v>734</v>
      </c>
      <c r="BR151" s="149">
        <v>10</v>
      </c>
      <c r="BS151" s="149" t="s">
        <v>1879</v>
      </c>
      <c r="BT151" s="150" t="s">
        <v>816</v>
      </c>
      <c r="BU151" s="149">
        <v>5</v>
      </c>
      <c r="BV151" s="149">
        <v>20</v>
      </c>
    </row>
    <row r="152" spans="1:74" x14ac:dyDescent="0.25">
      <c r="A152" s="149" t="s">
        <v>1882</v>
      </c>
      <c r="B152" s="149" t="s">
        <v>2243</v>
      </c>
      <c r="D152" s="149">
        <v>5</v>
      </c>
      <c r="E152" s="149">
        <v>5</v>
      </c>
      <c r="F152" s="149">
        <v>5</v>
      </c>
      <c r="G152" s="149">
        <v>3</v>
      </c>
      <c r="H152" s="149">
        <v>2</v>
      </c>
      <c r="I152" s="149">
        <v>5</v>
      </c>
      <c r="J152" s="149">
        <v>3</v>
      </c>
      <c r="K152" s="149">
        <v>3</v>
      </c>
      <c r="L152" s="149">
        <v>4</v>
      </c>
      <c r="M152" s="149">
        <v>1</v>
      </c>
      <c r="N152" s="149">
        <v>1</v>
      </c>
      <c r="O152" s="149">
        <v>5</v>
      </c>
      <c r="P152" s="149">
        <v>6</v>
      </c>
      <c r="Q152" s="149">
        <v>7</v>
      </c>
      <c r="R152" s="149">
        <v>6</v>
      </c>
      <c r="S152" s="149">
        <v>2</v>
      </c>
      <c r="T152" s="149">
        <v>2</v>
      </c>
      <c r="U152" s="149" t="s">
        <v>158</v>
      </c>
      <c r="V152" s="149">
        <v>2</v>
      </c>
      <c r="W152" s="149" t="s">
        <v>163</v>
      </c>
      <c r="X152" s="149">
        <v>2</v>
      </c>
      <c r="Y152" s="149" t="s">
        <v>164</v>
      </c>
      <c r="Z152" s="149">
        <v>4</v>
      </c>
      <c r="AA152" s="149" t="s">
        <v>173</v>
      </c>
      <c r="AB152" s="149">
        <v>1</v>
      </c>
      <c r="AC152" s="150" t="s">
        <v>1831</v>
      </c>
      <c r="AD152" s="257" t="s">
        <v>1876</v>
      </c>
      <c r="AE152" s="257" t="s">
        <v>494</v>
      </c>
      <c r="AF152" s="257" t="s">
        <v>2312</v>
      </c>
      <c r="AG152" s="149" t="s">
        <v>720</v>
      </c>
      <c r="AH152" s="150">
        <v>8</v>
      </c>
      <c r="AI152" s="150" t="s">
        <v>1877</v>
      </c>
      <c r="AJ152" s="150">
        <v>4</v>
      </c>
      <c r="AK152" s="149">
        <v>5</v>
      </c>
      <c r="AL152" s="150" t="s">
        <v>816</v>
      </c>
      <c r="AM152" s="149" t="s">
        <v>721</v>
      </c>
      <c r="AN152" s="150">
        <v>10</v>
      </c>
      <c r="AO152" s="150" t="s">
        <v>1834</v>
      </c>
      <c r="AP152" s="150">
        <v>5</v>
      </c>
      <c r="AQ152" s="149">
        <v>4</v>
      </c>
      <c r="AR152" s="150" t="s">
        <v>816</v>
      </c>
      <c r="AS152" s="149" t="s">
        <v>739</v>
      </c>
      <c r="AT152" s="150">
        <v>8</v>
      </c>
      <c r="AU152" s="150" t="s">
        <v>1865</v>
      </c>
      <c r="AV152" s="150" t="s">
        <v>816</v>
      </c>
      <c r="AW152" s="149">
        <v>5</v>
      </c>
      <c r="AX152" s="149">
        <v>125</v>
      </c>
      <c r="AY152" s="150" t="s">
        <v>738</v>
      </c>
      <c r="AZ152" s="150">
        <v>9</v>
      </c>
      <c r="BA152" s="149" t="s">
        <v>1865</v>
      </c>
      <c r="BB152" s="150" t="s">
        <v>816</v>
      </c>
      <c r="BC152" s="149">
        <v>5</v>
      </c>
      <c r="BD152" s="149">
        <v>150</v>
      </c>
      <c r="BE152" s="149" t="s">
        <v>731</v>
      </c>
      <c r="BF152" s="150">
        <v>10</v>
      </c>
      <c r="BG152" s="149" t="s">
        <v>1843</v>
      </c>
      <c r="BH152" s="150" t="s">
        <v>816</v>
      </c>
      <c r="BI152" s="149">
        <v>4</v>
      </c>
      <c r="BJ152" s="149">
        <v>20</v>
      </c>
      <c r="BK152" s="149" t="s">
        <v>733</v>
      </c>
      <c r="BL152" s="150">
        <v>9</v>
      </c>
      <c r="BM152" s="149" t="s">
        <v>1865</v>
      </c>
      <c r="BN152" s="150" t="s">
        <v>816</v>
      </c>
      <c r="BO152" s="149">
        <v>5</v>
      </c>
      <c r="BP152" s="149">
        <v>50</v>
      </c>
      <c r="BQ152" s="149" t="s">
        <v>734</v>
      </c>
      <c r="BR152" s="150">
        <v>11</v>
      </c>
      <c r="BS152" s="149" t="s">
        <v>1879</v>
      </c>
      <c r="BT152" s="150" t="s">
        <v>816</v>
      </c>
      <c r="BU152" s="149">
        <v>5</v>
      </c>
      <c r="BV152" s="149">
        <v>20</v>
      </c>
    </row>
    <row r="153" spans="1:74" x14ac:dyDescent="0.25">
      <c r="A153" s="149" t="s">
        <v>2184</v>
      </c>
      <c r="B153" s="149" t="s">
        <v>2243</v>
      </c>
      <c r="D153" s="149">
        <v>4</v>
      </c>
      <c r="E153" s="149">
        <v>4</v>
      </c>
      <c r="F153" s="149">
        <v>4</v>
      </c>
      <c r="G153" s="149">
        <v>3</v>
      </c>
      <c r="H153" s="149">
        <v>2</v>
      </c>
      <c r="I153" s="149">
        <v>3</v>
      </c>
      <c r="J153" s="149">
        <v>3</v>
      </c>
      <c r="K153" s="149">
        <v>3</v>
      </c>
      <c r="L153" s="149">
        <v>4</v>
      </c>
      <c r="M153" s="149">
        <v>0</v>
      </c>
      <c r="N153" s="149">
        <v>0</v>
      </c>
      <c r="O153" s="149">
        <v>4</v>
      </c>
      <c r="P153" s="149">
        <v>6</v>
      </c>
      <c r="Q153" s="149">
        <v>7</v>
      </c>
      <c r="R153" s="149">
        <v>7</v>
      </c>
      <c r="S153" s="149">
        <v>3</v>
      </c>
      <c r="T153" s="149">
        <v>1</v>
      </c>
      <c r="U153" s="149" t="str">
        <f>CharacterSheet!$G$40</f>
        <v/>
      </c>
      <c r="V153" s="149">
        <v>1</v>
      </c>
      <c r="W153" s="149" t="str">
        <f>CharacterSheet!$G$41</f>
        <v/>
      </c>
      <c r="X153" s="149">
        <v>3</v>
      </c>
      <c r="Y153" s="149" t="str">
        <f>CharacterSheet!$M$40</f>
        <v/>
      </c>
      <c r="Z153" s="149">
        <v>2</v>
      </c>
      <c r="AA153" s="149" t="str">
        <f>CharacterSheet!$M$41</f>
        <v/>
      </c>
      <c r="AB153" s="149">
        <v>3</v>
      </c>
      <c r="AC153" s="150" t="s">
        <v>1831</v>
      </c>
      <c r="AD153" s="257" t="s">
        <v>1876</v>
      </c>
      <c r="AE153" s="257" t="s">
        <v>2187</v>
      </c>
      <c r="AF153" s="257" t="s">
        <v>2188</v>
      </c>
      <c r="AG153" s="149" t="s">
        <v>702</v>
      </c>
      <c r="AH153" s="150">
        <v>8</v>
      </c>
      <c r="AI153" s="150" t="s">
        <v>1878</v>
      </c>
      <c r="AJ153" s="150" t="s">
        <v>816</v>
      </c>
      <c r="AK153" s="149">
        <v>6</v>
      </c>
      <c r="AL153" s="150" t="s">
        <v>816</v>
      </c>
      <c r="AM153" s="149" t="s">
        <v>720</v>
      </c>
      <c r="AN153" s="150">
        <v>7</v>
      </c>
      <c r="AO153" s="150" t="s">
        <v>1877</v>
      </c>
      <c r="AP153" s="150">
        <v>3</v>
      </c>
      <c r="AQ153" s="149">
        <v>5</v>
      </c>
      <c r="AR153" s="150" t="s">
        <v>816</v>
      </c>
      <c r="AS153" s="149" t="s">
        <v>721</v>
      </c>
      <c r="AT153" s="150">
        <v>9</v>
      </c>
      <c r="AU153" s="150" t="s">
        <v>1878</v>
      </c>
      <c r="AV153" s="150">
        <v>5</v>
      </c>
      <c r="AW153" s="149">
        <v>4</v>
      </c>
      <c r="AX153" s="150" t="s">
        <v>816</v>
      </c>
      <c r="AY153" s="149" t="s">
        <v>716</v>
      </c>
      <c r="AZ153" s="150">
        <v>9</v>
      </c>
      <c r="BA153" s="149" t="s">
        <v>1940</v>
      </c>
      <c r="BB153" s="150">
        <v>5</v>
      </c>
      <c r="BC153" s="149">
        <v>4</v>
      </c>
      <c r="BD153" s="150" t="s">
        <v>816</v>
      </c>
      <c r="BE153" s="149" t="s">
        <v>715</v>
      </c>
      <c r="BF153" s="150">
        <v>9</v>
      </c>
      <c r="BG153" s="150" t="s">
        <v>1941</v>
      </c>
      <c r="BH153" s="150">
        <v>4</v>
      </c>
      <c r="BI153" s="149">
        <v>5</v>
      </c>
      <c r="BJ153" s="150" t="s">
        <v>816</v>
      </c>
      <c r="BK153" s="149" t="s">
        <v>1935</v>
      </c>
      <c r="BL153" s="150">
        <v>8</v>
      </c>
      <c r="BM153" s="150" t="s">
        <v>1843</v>
      </c>
      <c r="BN153" s="150" t="s">
        <v>816</v>
      </c>
      <c r="BO153" s="149">
        <v>6</v>
      </c>
      <c r="BP153" s="149">
        <v>40</v>
      </c>
      <c r="BQ153" s="149" t="s">
        <v>1936</v>
      </c>
      <c r="BR153" s="150">
        <v>9</v>
      </c>
      <c r="BS153" s="150" t="s">
        <v>1923</v>
      </c>
      <c r="BT153" s="149">
        <v>4</v>
      </c>
      <c r="BU153" s="149">
        <v>4</v>
      </c>
      <c r="BV153" s="150" t="s">
        <v>816</v>
      </c>
    </row>
    <row r="154" spans="1:74" x14ac:dyDescent="0.25">
      <c r="A154" s="149" t="s">
        <v>1885</v>
      </c>
      <c r="B154" s="149" t="s">
        <v>2243</v>
      </c>
      <c r="D154" s="149">
        <v>5</v>
      </c>
      <c r="E154" s="149">
        <v>5</v>
      </c>
      <c r="F154" s="149">
        <v>5</v>
      </c>
      <c r="G154" s="149">
        <v>3</v>
      </c>
      <c r="H154" s="149">
        <v>2</v>
      </c>
      <c r="I154" s="149">
        <v>5</v>
      </c>
      <c r="J154" s="149">
        <v>3</v>
      </c>
      <c r="K154" s="149">
        <v>3</v>
      </c>
      <c r="L154" s="149">
        <v>4</v>
      </c>
      <c r="M154" s="149">
        <v>1</v>
      </c>
      <c r="N154" s="149">
        <v>1</v>
      </c>
      <c r="O154" s="149">
        <v>5</v>
      </c>
      <c r="P154" s="149">
        <v>6</v>
      </c>
      <c r="Q154" s="149">
        <v>7</v>
      </c>
      <c r="R154" s="149">
        <v>6</v>
      </c>
      <c r="S154" s="149">
        <v>2</v>
      </c>
      <c r="T154" s="149">
        <v>2</v>
      </c>
      <c r="U154" s="149" t="s">
        <v>169</v>
      </c>
      <c r="V154" s="149">
        <v>2</v>
      </c>
      <c r="W154" s="149" t="s">
        <v>171</v>
      </c>
      <c r="X154" s="149">
        <v>2</v>
      </c>
      <c r="Y154" s="149" t="s">
        <v>176</v>
      </c>
      <c r="Z154" s="149">
        <v>4</v>
      </c>
      <c r="AA154" s="149" t="s">
        <v>173</v>
      </c>
      <c r="AB154" s="149">
        <v>1</v>
      </c>
      <c r="AC154" s="150" t="s">
        <v>1831</v>
      </c>
      <c r="AD154" s="257" t="s">
        <v>1876</v>
      </c>
      <c r="AE154" s="257" t="s">
        <v>494</v>
      </c>
      <c r="AF154" s="257" t="s">
        <v>2312</v>
      </c>
      <c r="AG154" s="149" t="s">
        <v>720</v>
      </c>
      <c r="AH154" s="150">
        <v>8</v>
      </c>
      <c r="AI154" s="150" t="s">
        <v>1877</v>
      </c>
      <c r="AJ154" s="150">
        <v>4</v>
      </c>
      <c r="AK154" s="149">
        <v>5</v>
      </c>
      <c r="AL154" s="150" t="s">
        <v>816</v>
      </c>
      <c r="AM154" s="149" t="s">
        <v>721</v>
      </c>
      <c r="AN154" s="150">
        <v>10</v>
      </c>
      <c r="AO154" s="150" t="s">
        <v>1834</v>
      </c>
      <c r="AP154" s="150">
        <v>5</v>
      </c>
      <c r="AQ154" s="149">
        <v>4</v>
      </c>
      <c r="AR154" s="150" t="s">
        <v>816</v>
      </c>
      <c r="AS154" s="149" t="s">
        <v>739</v>
      </c>
      <c r="AT154" s="150">
        <v>8</v>
      </c>
      <c r="AU154" s="150" t="s">
        <v>1865</v>
      </c>
      <c r="AV154" s="150" t="s">
        <v>816</v>
      </c>
      <c r="AW154" s="149">
        <v>5</v>
      </c>
      <c r="AX154" s="149">
        <v>125</v>
      </c>
      <c r="AY154" s="150" t="s">
        <v>738</v>
      </c>
      <c r="AZ154" s="150">
        <v>9</v>
      </c>
      <c r="BA154" s="149" t="s">
        <v>1865</v>
      </c>
      <c r="BB154" s="150" t="s">
        <v>816</v>
      </c>
      <c r="BC154" s="149">
        <v>5</v>
      </c>
      <c r="BD154" s="149">
        <v>150</v>
      </c>
      <c r="BE154" s="149" t="s">
        <v>731</v>
      </c>
      <c r="BF154" s="150">
        <v>10</v>
      </c>
      <c r="BG154" s="149" t="s">
        <v>1843</v>
      </c>
      <c r="BH154" s="150" t="s">
        <v>816</v>
      </c>
      <c r="BI154" s="149">
        <v>4</v>
      </c>
      <c r="BJ154" s="149">
        <v>20</v>
      </c>
      <c r="BK154" s="149" t="s">
        <v>733</v>
      </c>
      <c r="BL154" s="150">
        <v>9</v>
      </c>
      <c r="BM154" s="149" t="s">
        <v>1865</v>
      </c>
      <c r="BN154" s="150" t="s">
        <v>816</v>
      </c>
      <c r="BO154" s="149">
        <v>5</v>
      </c>
      <c r="BP154" s="149">
        <v>50</v>
      </c>
      <c r="BQ154" s="149" t="s">
        <v>734</v>
      </c>
      <c r="BR154" s="150">
        <v>11</v>
      </c>
      <c r="BS154" s="149" t="s">
        <v>1879</v>
      </c>
      <c r="BT154" s="150" t="s">
        <v>816</v>
      </c>
      <c r="BU154" s="149">
        <v>5</v>
      </c>
      <c r="BV154" s="149">
        <v>20</v>
      </c>
    </row>
    <row r="155" spans="1:74" x14ac:dyDescent="0.25">
      <c r="A155" s="149" t="s">
        <v>2167</v>
      </c>
      <c r="B155" s="149" t="s">
        <v>2243</v>
      </c>
      <c r="D155" s="149">
        <v>4</v>
      </c>
      <c r="E155" s="149">
        <v>4</v>
      </c>
      <c r="F155" s="149">
        <v>4</v>
      </c>
      <c r="G155" s="149">
        <v>3</v>
      </c>
      <c r="H155" s="149">
        <v>2</v>
      </c>
      <c r="I155" s="149">
        <v>3</v>
      </c>
      <c r="J155" s="149">
        <v>3</v>
      </c>
      <c r="K155" s="149">
        <v>3</v>
      </c>
      <c r="L155" s="149">
        <v>4</v>
      </c>
      <c r="M155" s="149">
        <v>0</v>
      </c>
      <c r="N155" s="149">
        <v>0</v>
      </c>
      <c r="O155" s="149">
        <v>4</v>
      </c>
      <c r="P155" s="149">
        <v>7</v>
      </c>
      <c r="Q155" s="149">
        <v>7</v>
      </c>
      <c r="R155" s="149">
        <v>7</v>
      </c>
      <c r="S155" s="149">
        <v>3</v>
      </c>
      <c r="T155" s="149">
        <v>1</v>
      </c>
      <c r="U155" s="149" t="s">
        <v>156</v>
      </c>
      <c r="V155" s="149">
        <v>4</v>
      </c>
      <c r="W155" s="149" t="s">
        <v>158</v>
      </c>
      <c r="X155" s="149">
        <v>1</v>
      </c>
      <c r="Y155" s="149" t="s">
        <v>163</v>
      </c>
      <c r="Z155" s="149">
        <v>1</v>
      </c>
      <c r="AA155" s="149" t="s">
        <v>176</v>
      </c>
      <c r="AB155" s="149">
        <v>3</v>
      </c>
      <c r="AC155" s="150" t="s">
        <v>1831</v>
      </c>
      <c r="AD155" s="257" t="s">
        <v>1876</v>
      </c>
      <c r="AE155" s="257" t="s">
        <v>2170</v>
      </c>
      <c r="AF155" s="257" t="s">
        <v>2172</v>
      </c>
      <c r="AG155" s="149" t="s">
        <v>702</v>
      </c>
      <c r="AH155" s="150">
        <v>8</v>
      </c>
      <c r="AI155" s="150" t="s">
        <v>1878</v>
      </c>
      <c r="AJ155" s="150" t="s">
        <v>816</v>
      </c>
      <c r="AK155" s="149">
        <v>6</v>
      </c>
      <c r="AL155" s="150" t="s">
        <v>816</v>
      </c>
      <c r="AM155" s="149" t="s">
        <v>720</v>
      </c>
      <c r="AN155" s="150">
        <v>7</v>
      </c>
      <c r="AO155" s="150" t="s">
        <v>1877</v>
      </c>
      <c r="AP155" s="150">
        <v>3</v>
      </c>
      <c r="AQ155" s="149">
        <v>5</v>
      </c>
      <c r="AR155" s="150" t="s">
        <v>816</v>
      </c>
      <c r="AS155" s="149" t="s">
        <v>721</v>
      </c>
      <c r="AT155" s="150">
        <v>9</v>
      </c>
      <c r="AU155" s="150" t="s">
        <v>1878</v>
      </c>
      <c r="AV155" s="150">
        <v>5</v>
      </c>
      <c r="AW155" s="149">
        <v>4</v>
      </c>
      <c r="AX155" s="150" t="s">
        <v>816</v>
      </c>
      <c r="AY155" s="149" t="s">
        <v>716</v>
      </c>
      <c r="AZ155" s="150">
        <v>9</v>
      </c>
      <c r="BA155" s="149" t="s">
        <v>1940</v>
      </c>
      <c r="BB155" s="150">
        <v>5</v>
      </c>
      <c r="BC155" s="149">
        <v>4</v>
      </c>
      <c r="BD155" s="150" t="s">
        <v>816</v>
      </c>
      <c r="BE155" s="149" t="s">
        <v>715</v>
      </c>
      <c r="BF155" s="150">
        <v>9</v>
      </c>
      <c r="BG155" s="150" t="s">
        <v>1941</v>
      </c>
      <c r="BH155" s="150">
        <v>4</v>
      </c>
      <c r="BI155" s="149">
        <v>5</v>
      </c>
      <c r="BJ155" s="150" t="s">
        <v>816</v>
      </c>
      <c r="BK155" s="149" t="s">
        <v>1935</v>
      </c>
      <c r="BL155" s="150">
        <v>8</v>
      </c>
      <c r="BM155" s="150" t="s">
        <v>1843</v>
      </c>
      <c r="BN155" s="150" t="s">
        <v>816</v>
      </c>
      <c r="BO155" s="149">
        <v>6</v>
      </c>
      <c r="BP155" s="149">
        <v>40</v>
      </c>
      <c r="BQ155" s="149" t="s">
        <v>1936</v>
      </c>
      <c r="BR155" s="150">
        <v>9</v>
      </c>
      <c r="BS155" s="150" t="s">
        <v>1923</v>
      </c>
      <c r="BT155" s="149">
        <v>4</v>
      </c>
      <c r="BU155" s="149">
        <v>4</v>
      </c>
      <c r="BV155" s="150" t="s">
        <v>816</v>
      </c>
    </row>
    <row r="156" spans="1:74" x14ac:dyDescent="0.25">
      <c r="A156" s="149" t="s">
        <v>2161</v>
      </c>
      <c r="B156" s="149" t="s">
        <v>2243</v>
      </c>
      <c r="D156" s="149">
        <v>4</v>
      </c>
      <c r="E156" s="149">
        <v>4</v>
      </c>
      <c r="F156" s="149">
        <v>4</v>
      </c>
      <c r="G156" s="149">
        <v>3</v>
      </c>
      <c r="H156" s="149">
        <v>2</v>
      </c>
      <c r="I156" s="149">
        <v>3</v>
      </c>
      <c r="J156" s="149">
        <v>3</v>
      </c>
      <c r="K156" s="149">
        <v>3</v>
      </c>
      <c r="L156" s="149">
        <v>4</v>
      </c>
      <c r="M156" s="149">
        <v>0</v>
      </c>
      <c r="N156" s="149">
        <v>0</v>
      </c>
      <c r="O156" s="149">
        <v>4</v>
      </c>
      <c r="P156" s="149">
        <v>7</v>
      </c>
      <c r="Q156" s="149">
        <v>7</v>
      </c>
      <c r="R156" s="149">
        <v>6</v>
      </c>
      <c r="S156" s="149">
        <v>2</v>
      </c>
      <c r="T156" s="149">
        <v>2</v>
      </c>
      <c r="U156" s="149" t="s">
        <v>156</v>
      </c>
      <c r="V156" s="149">
        <v>5</v>
      </c>
      <c r="W156" s="149" t="s">
        <v>158</v>
      </c>
      <c r="X156" s="149">
        <v>1</v>
      </c>
      <c r="Y156" s="149" t="s">
        <v>163</v>
      </c>
      <c r="Z156" s="149">
        <v>1</v>
      </c>
      <c r="AA156" s="149" t="s">
        <v>176</v>
      </c>
      <c r="AB156" s="149">
        <v>2</v>
      </c>
      <c r="AC156" s="150" t="s">
        <v>1831</v>
      </c>
      <c r="AD156" s="257" t="s">
        <v>1876</v>
      </c>
      <c r="AE156" s="257" t="s">
        <v>2169</v>
      </c>
      <c r="AF156" s="257" t="s">
        <v>2314</v>
      </c>
      <c r="AG156" s="149" t="s">
        <v>720</v>
      </c>
      <c r="AH156" s="149">
        <v>7</v>
      </c>
      <c r="AI156" s="149" t="s">
        <v>1877</v>
      </c>
      <c r="AJ156" s="149">
        <v>3</v>
      </c>
      <c r="AK156" s="149">
        <v>5</v>
      </c>
      <c r="AL156" s="150" t="s">
        <v>816</v>
      </c>
      <c r="AM156" s="149" t="s">
        <v>721</v>
      </c>
      <c r="AN156" s="149">
        <v>9</v>
      </c>
      <c r="AO156" s="149" t="s">
        <v>1878</v>
      </c>
      <c r="AP156" s="149">
        <v>4</v>
      </c>
      <c r="AQ156" s="149">
        <v>4</v>
      </c>
      <c r="AR156" s="150" t="s">
        <v>816</v>
      </c>
      <c r="AS156" s="149" t="s">
        <v>739</v>
      </c>
      <c r="AT156" s="149">
        <v>7</v>
      </c>
      <c r="AU156" s="149" t="s">
        <v>1865</v>
      </c>
      <c r="AV156" s="150" t="s">
        <v>816</v>
      </c>
      <c r="AW156" s="149">
        <v>5</v>
      </c>
      <c r="AX156" s="149">
        <v>125</v>
      </c>
      <c r="AY156" s="150" t="s">
        <v>738</v>
      </c>
      <c r="AZ156" s="149">
        <v>8</v>
      </c>
      <c r="BA156" s="149" t="s">
        <v>1865</v>
      </c>
      <c r="BB156" s="150" t="s">
        <v>816</v>
      </c>
      <c r="BC156" s="149">
        <v>5</v>
      </c>
      <c r="BD156" s="149">
        <v>150</v>
      </c>
      <c r="BE156" s="149" t="s">
        <v>731</v>
      </c>
      <c r="BF156" s="149">
        <v>9</v>
      </c>
      <c r="BG156" s="149" t="s">
        <v>1843</v>
      </c>
      <c r="BH156" s="150" t="s">
        <v>816</v>
      </c>
      <c r="BI156" s="149">
        <v>4</v>
      </c>
      <c r="BJ156" s="149">
        <v>20</v>
      </c>
      <c r="BK156" s="149" t="s">
        <v>733</v>
      </c>
      <c r="BL156" s="149">
        <v>8</v>
      </c>
      <c r="BM156" s="149" t="s">
        <v>1865</v>
      </c>
      <c r="BN156" s="150" t="s">
        <v>816</v>
      </c>
      <c r="BO156" s="149">
        <v>5</v>
      </c>
      <c r="BP156" s="149">
        <v>50</v>
      </c>
      <c r="BQ156" s="149" t="s">
        <v>734</v>
      </c>
      <c r="BR156" s="149">
        <v>10</v>
      </c>
      <c r="BS156" s="149" t="s">
        <v>1879</v>
      </c>
      <c r="BT156" s="150" t="s">
        <v>816</v>
      </c>
      <c r="BU156" s="149">
        <v>5</v>
      </c>
      <c r="BV156" s="149">
        <v>20</v>
      </c>
    </row>
    <row r="157" spans="1:74" x14ac:dyDescent="0.25">
      <c r="A157" s="149" t="s">
        <v>2192</v>
      </c>
      <c r="B157" s="149" t="s">
        <v>2243</v>
      </c>
      <c r="D157" s="149">
        <v>4</v>
      </c>
      <c r="E157" s="149">
        <v>4</v>
      </c>
      <c r="F157" s="149">
        <v>3</v>
      </c>
      <c r="G157" s="149">
        <v>1</v>
      </c>
      <c r="H157" s="149">
        <v>1</v>
      </c>
      <c r="I157" s="149">
        <v>1</v>
      </c>
      <c r="J157" s="149">
        <v>2</v>
      </c>
      <c r="K157" s="149">
        <v>2</v>
      </c>
      <c r="L157" s="149">
        <v>3</v>
      </c>
      <c r="M157" s="149">
        <v>2</v>
      </c>
      <c r="N157" s="149">
        <v>5</v>
      </c>
      <c r="O157" s="149">
        <v>5</v>
      </c>
      <c r="P157" s="149">
        <v>5</v>
      </c>
      <c r="Q157" s="149">
        <v>6</v>
      </c>
      <c r="R157" s="149">
        <v>3</v>
      </c>
      <c r="S157" s="149">
        <v>2</v>
      </c>
      <c r="T157" s="149">
        <v>0</v>
      </c>
      <c r="U157" s="149" t="s">
        <v>2125</v>
      </c>
      <c r="V157" s="149">
        <v>3</v>
      </c>
      <c r="W157" s="209" t="s">
        <v>816</v>
      </c>
      <c r="X157" s="209" t="s">
        <v>816</v>
      </c>
      <c r="Y157" s="209" t="s">
        <v>816</v>
      </c>
      <c r="Z157" s="209" t="s">
        <v>816</v>
      </c>
      <c r="AA157" s="209" t="s">
        <v>816</v>
      </c>
      <c r="AB157" s="209" t="s">
        <v>816</v>
      </c>
      <c r="AC157" s="150" t="s">
        <v>1976</v>
      </c>
      <c r="AD157" s="257" t="s">
        <v>2189</v>
      </c>
      <c r="AE157" s="257" t="s">
        <v>2315</v>
      </c>
      <c r="AF157" s="257" t="s">
        <v>494</v>
      </c>
      <c r="AG157" s="149" t="s">
        <v>702</v>
      </c>
      <c r="AH157" s="149">
        <v>6</v>
      </c>
      <c r="AI157" s="149" t="s">
        <v>1878</v>
      </c>
      <c r="AJ157" s="150" t="s">
        <v>816</v>
      </c>
      <c r="AK157" s="149">
        <v>6</v>
      </c>
      <c r="AL157" s="150" t="s">
        <v>816</v>
      </c>
      <c r="AM157" s="149" t="s">
        <v>720</v>
      </c>
      <c r="AN157" s="149">
        <v>5</v>
      </c>
      <c r="AO157" s="149" t="s">
        <v>1877</v>
      </c>
      <c r="AP157" s="149">
        <v>2</v>
      </c>
      <c r="AQ157" s="149">
        <v>5</v>
      </c>
      <c r="AR157" s="150" t="s">
        <v>816</v>
      </c>
      <c r="AS157" s="149" t="s">
        <v>721</v>
      </c>
      <c r="AT157" s="149">
        <v>7</v>
      </c>
      <c r="AU157" s="149" t="s">
        <v>1878</v>
      </c>
      <c r="AV157" s="149">
        <v>4</v>
      </c>
      <c r="AW157" s="149">
        <v>4</v>
      </c>
      <c r="AX157" s="150" t="s">
        <v>816</v>
      </c>
      <c r="AY157" s="209" t="s">
        <v>816</v>
      </c>
      <c r="AZ157" s="209" t="s">
        <v>816</v>
      </c>
      <c r="BA157" s="209" t="s">
        <v>816</v>
      </c>
      <c r="BB157" s="209" t="s">
        <v>816</v>
      </c>
      <c r="BC157" s="209" t="s">
        <v>816</v>
      </c>
      <c r="BD157" s="209" t="s">
        <v>816</v>
      </c>
      <c r="BE157" s="209" t="s">
        <v>816</v>
      </c>
      <c r="BF157" s="209" t="s">
        <v>816</v>
      </c>
      <c r="BG157" s="209" t="s">
        <v>816</v>
      </c>
      <c r="BH157" s="209" t="s">
        <v>816</v>
      </c>
      <c r="BI157" s="209" t="s">
        <v>816</v>
      </c>
      <c r="BJ157" s="209" t="s">
        <v>816</v>
      </c>
      <c r="BK157" s="209" t="s">
        <v>816</v>
      </c>
      <c r="BL157" s="209" t="s">
        <v>816</v>
      </c>
      <c r="BM157" s="209" t="s">
        <v>816</v>
      </c>
      <c r="BN157" s="209" t="s">
        <v>816</v>
      </c>
      <c r="BO157" s="209" t="s">
        <v>816</v>
      </c>
      <c r="BP157" s="209" t="s">
        <v>816</v>
      </c>
      <c r="BQ157" s="209" t="s">
        <v>816</v>
      </c>
      <c r="BR157" s="209" t="s">
        <v>816</v>
      </c>
      <c r="BS157" s="209" t="s">
        <v>816</v>
      </c>
      <c r="BT157" s="209" t="s">
        <v>816</v>
      </c>
      <c r="BU157" s="209" t="s">
        <v>816</v>
      </c>
      <c r="BV157" s="209" t="s">
        <v>816</v>
      </c>
    </row>
    <row r="158" spans="1:74" x14ac:dyDescent="0.25">
      <c r="A158" s="149" t="s">
        <v>2164</v>
      </c>
      <c r="B158" s="149" t="s">
        <v>2243</v>
      </c>
      <c r="D158" s="149">
        <v>4</v>
      </c>
      <c r="E158" s="149">
        <v>4</v>
      </c>
      <c r="F158" s="149">
        <v>4</v>
      </c>
      <c r="G158" s="149">
        <v>3</v>
      </c>
      <c r="H158" s="149">
        <v>2</v>
      </c>
      <c r="I158" s="149">
        <v>3</v>
      </c>
      <c r="J158" s="149">
        <v>3</v>
      </c>
      <c r="K158" s="149">
        <v>3</v>
      </c>
      <c r="L158" s="149">
        <v>4</v>
      </c>
      <c r="M158" s="149">
        <v>0</v>
      </c>
      <c r="N158" s="149">
        <v>0</v>
      </c>
      <c r="O158" s="149">
        <v>4</v>
      </c>
      <c r="P158" s="149">
        <v>7</v>
      </c>
      <c r="Q158" s="149">
        <v>7</v>
      </c>
      <c r="R158" s="149">
        <v>7</v>
      </c>
      <c r="S158" s="149">
        <v>3</v>
      </c>
      <c r="T158" s="149">
        <v>1</v>
      </c>
      <c r="U158" s="149" t="s">
        <v>156</v>
      </c>
      <c r="V158" s="149">
        <v>4</v>
      </c>
      <c r="W158" s="149" t="s">
        <v>158</v>
      </c>
      <c r="X158" s="149">
        <v>1</v>
      </c>
      <c r="Y158" s="149" t="s">
        <v>163</v>
      </c>
      <c r="Z158" s="149">
        <v>1</v>
      </c>
      <c r="AA158" s="149" t="s">
        <v>176</v>
      </c>
      <c r="AB158" s="149">
        <v>3</v>
      </c>
      <c r="AC158" s="150" t="s">
        <v>1831</v>
      </c>
      <c r="AD158" s="257" t="s">
        <v>1876</v>
      </c>
      <c r="AE158" s="257" t="s">
        <v>2170</v>
      </c>
      <c r="AF158" s="257" t="s">
        <v>2171</v>
      </c>
      <c r="AG158" s="149" t="s">
        <v>702</v>
      </c>
      <c r="AH158" s="150">
        <v>8</v>
      </c>
      <c r="AI158" s="150" t="s">
        <v>1878</v>
      </c>
      <c r="AJ158" s="150" t="s">
        <v>816</v>
      </c>
      <c r="AK158" s="149">
        <v>6</v>
      </c>
      <c r="AL158" s="150" t="s">
        <v>816</v>
      </c>
      <c r="AM158" s="149" t="s">
        <v>720</v>
      </c>
      <c r="AN158" s="150">
        <v>7</v>
      </c>
      <c r="AO158" s="150" t="s">
        <v>1877</v>
      </c>
      <c r="AP158" s="150">
        <v>3</v>
      </c>
      <c r="AQ158" s="149">
        <v>5</v>
      </c>
      <c r="AR158" s="150" t="s">
        <v>816</v>
      </c>
      <c r="AS158" s="149" t="s">
        <v>721</v>
      </c>
      <c r="AT158" s="150">
        <v>9</v>
      </c>
      <c r="AU158" s="150" t="s">
        <v>1878</v>
      </c>
      <c r="AV158" s="150">
        <v>5</v>
      </c>
      <c r="AW158" s="149">
        <v>4</v>
      </c>
      <c r="AX158" s="150" t="s">
        <v>816</v>
      </c>
      <c r="AY158" s="149" t="s">
        <v>716</v>
      </c>
      <c r="AZ158" s="150">
        <v>9</v>
      </c>
      <c r="BA158" s="149" t="s">
        <v>1940</v>
      </c>
      <c r="BB158" s="150">
        <v>5</v>
      </c>
      <c r="BC158" s="149">
        <v>4</v>
      </c>
      <c r="BD158" s="150" t="s">
        <v>816</v>
      </c>
      <c r="BE158" s="149" t="s">
        <v>715</v>
      </c>
      <c r="BF158" s="150">
        <v>9</v>
      </c>
      <c r="BG158" s="150" t="s">
        <v>1941</v>
      </c>
      <c r="BH158" s="150">
        <v>4</v>
      </c>
      <c r="BI158" s="149">
        <v>5</v>
      </c>
      <c r="BJ158" s="150" t="s">
        <v>816</v>
      </c>
      <c r="BK158" s="149" t="s">
        <v>1935</v>
      </c>
      <c r="BL158" s="150">
        <v>8</v>
      </c>
      <c r="BM158" s="150" t="s">
        <v>1843</v>
      </c>
      <c r="BN158" s="150" t="s">
        <v>816</v>
      </c>
      <c r="BO158" s="149">
        <v>6</v>
      </c>
      <c r="BP158" s="149">
        <v>40</v>
      </c>
      <c r="BQ158" s="149" t="s">
        <v>1936</v>
      </c>
      <c r="BR158" s="150">
        <v>9</v>
      </c>
      <c r="BS158" s="150" t="s">
        <v>1923</v>
      </c>
      <c r="BT158" s="149">
        <v>4</v>
      </c>
      <c r="BU158" s="149">
        <v>4</v>
      </c>
      <c r="BV158" s="150" t="s">
        <v>816</v>
      </c>
    </row>
    <row r="159" spans="1:74" x14ac:dyDescent="0.25">
      <c r="A159" s="149" t="s">
        <v>2158</v>
      </c>
      <c r="B159" s="149" t="s">
        <v>2243</v>
      </c>
      <c r="D159" s="149">
        <v>4</v>
      </c>
      <c r="E159" s="149">
        <v>4</v>
      </c>
      <c r="F159" s="149">
        <v>4</v>
      </c>
      <c r="G159" s="149">
        <v>3</v>
      </c>
      <c r="H159" s="149">
        <v>2</v>
      </c>
      <c r="I159" s="149">
        <v>3</v>
      </c>
      <c r="J159" s="149">
        <v>3</v>
      </c>
      <c r="K159" s="149">
        <v>3</v>
      </c>
      <c r="L159" s="149">
        <v>4</v>
      </c>
      <c r="M159" s="149">
        <v>0</v>
      </c>
      <c r="N159" s="149">
        <v>0</v>
      </c>
      <c r="O159" s="149">
        <v>4</v>
      </c>
      <c r="P159" s="149">
        <v>7</v>
      </c>
      <c r="Q159" s="149">
        <v>7</v>
      </c>
      <c r="R159" s="149">
        <v>6</v>
      </c>
      <c r="S159" s="149">
        <v>2</v>
      </c>
      <c r="T159" s="149">
        <v>2</v>
      </c>
      <c r="U159" s="149" t="s">
        <v>156</v>
      </c>
      <c r="V159" s="149">
        <v>5</v>
      </c>
      <c r="W159" s="149" t="s">
        <v>158</v>
      </c>
      <c r="X159" s="149">
        <v>1</v>
      </c>
      <c r="Y159" s="149" t="s">
        <v>163</v>
      </c>
      <c r="Z159" s="149">
        <v>1</v>
      </c>
      <c r="AA159" s="149" t="s">
        <v>176</v>
      </c>
      <c r="AB159" s="149">
        <v>2</v>
      </c>
      <c r="AC159" s="150" t="s">
        <v>1831</v>
      </c>
      <c r="AD159" s="257" t="s">
        <v>1876</v>
      </c>
      <c r="AE159" s="257" t="s">
        <v>2169</v>
      </c>
      <c r="AF159" s="257" t="s">
        <v>2326</v>
      </c>
      <c r="AG159" s="149" t="s">
        <v>720</v>
      </c>
      <c r="AH159" s="149">
        <v>7</v>
      </c>
      <c r="AI159" s="149" t="s">
        <v>1877</v>
      </c>
      <c r="AJ159" s="149">
        <v>3</v>
      </c>
      <c r="AK159" s="149">
        <v>5</v>
      </c>
      <c r="AL159" s="150" t="s">
        <v>816</v>
      </c>
      <c r="AM159" s="149" t="s">
        <v>721</v>
      </c>
      <c r="AN159" s="149">
        <v>9</v>
      </c>
      <c r="AO159" s="149" t="s">
        <v>1878</v>
      </c>
      <c r="AP159" s="149">
        <v>4</v>
      </c>
      <c r="AQ159" s="149">
        <v>4</v>
      </c>
      <c r="AR159" s="150" t="s">
        <v>816</v>
      </c>
      <c r="AS159" s="149" t="s">
        <v>739</v>
      </c>
      <c r="AT159" s="149">
        <v>7</v>
      </c>
      <c r="AU159" s="149" t="s">
        <v>1865</v>
      </c>
      <c r="AV159" s="150" t="s">
        <v>816</v>
      </c>
      <c r="AW159" s="149">
        <v>5</v>
      </c>
      <c r="AX159" s="149">
        <v>125</v>
      </c>
      <c r="AY159" s="150" t="s">
        <v>738</v>
      </c>
      <c r="AZ159" s="149">
        <v>8</v>
      </c>
      <c r="BA159" s="149" t="s">
        <v>1865</v>
      </c>
      <c r="BB159" s="150" t="s">
        <v>816</v>
      </c>
      <c r="BC159" s="149">
        <v>5</v>
      </c>
      <c r="BD159" s="149">
        <v>150</v>
      </c>
      <c r="BE159" s="149" t="s">
        <v>731</v>
      </c>
      <c r="BF159" s="149">
        <v>9</v>
      </c>
      <c r="BG159" s="149" t="s">
        <v>1843</v>
      </c>
      <c r="BH159" s="150" t="s">
        <v>816</v>
      </c>
      <c r="BI159" s="149">
        <v>4</v>
      </c>
      <c r="BJ159" s="149">
        <v>20</v>
      </c>
      <c r="BK159" s="149" t="s">
        <v>733</v>
      </c>
      <c r="BL159" s="149">
        <v>8</v>
      </c>
      <c r="BM159" s="149" t="s">
        <v>1865</v>
      </c>
      <c r="BN159" s="150" t="s">
        <v>816</v>
      </c>
      <c r="BO159" s="149">
        <v>5</v>
      </c>
      <c r="BP159" s="149">
        <v>50</v>
      </c>
      <c r="BQ159" s="149" t="s">
        <v>734</v>
      </c>
      <c r="BR159" s="149">
        <v>10</v>
      </c>
      <c r="BS159" s="149" t="s">
        <v>1879</v>
      </c>
      <c r="BT159" s="150" t="s">
        <v>816</v>
      </c>
      <c r="BU159" s="149">
        <v>5</v>
      </c>
      <c r="BV159" s="149">
        <v>20</v>
      </c>
    </row>
    <row r="160" spans="1:74" x14ac:dyDescent="0.25">
      <c r="A160" s="149" t="s">
        <v>1888</v>
      </c>
      <c r="B160" s="149" t="s">
        <v>2243</v>
      </c>
      <c r="D160" s="149">
        <v>5</v>
      </c>
      <c r="E160" s="149">
        <v>5</v>
      </c>
      <c r="F160" s="149">
        <v>5</v>
      </c>
      <c r="G160" s="149">
        <v>3</v>
      </c>
      <c r="H160" s="149">
        <v>2</v>
      </c>
      <c r="I160" s="149">
        <v>5</v>
      </c>
      <c r="J160" s="149">
        <v>3</v>
      </c>
      <c r="K160" s="149">
        <v>3</v>
      </c>
      <c r="L160" s="149">
        <v>4</v>
      </c>
      <c r="M160" s="149">
        <v>1</v>
      </c>
      <c r="N160" s="149">
        <v>1</v>
      </c>
      <c r="O160" s="149">
        <v>5</v>
      </c>
      <c r="P160" s="149">
        <v>6</v>
      </c>
      <c r="Q160" s="149">
        <v>7</v>
      </c>
      <c r="R160" s="149">
        <v>6</v>
      </c>
      <c r="S160" s="149">
        <v>2</v>
      </c>
      <c r="T160" s="149">
        <v>2</v>
      </c>
      <c r="U160" s="149" t="s">
        <v>156</v>
      </c>
      <c r="V160" s="149">
        <v>3</v>
      </c>
      <c r="W160" s="149" t="s">
        <v>157</v>
      </c>
      <c r="X160" s="149">
        <v>2</v>
      </c>
      <c r="Y160" s="149" t="s">
        <v>158</v>
      </c>
      <c r="Z160" s="149">
        <v>1</v>
      </c>
      <c r="AA160" s="149" t="s">
        <v>159</v>
      </c>
      <c r="AB160" s="149">
        <v>3</v>
      </c>
      <c r="AC160" s="150" t="s">
        <v>1831</v>
      </c>
      <c r="AD160" s="257" t="s">
        <v>1876</v>
      </c>
      <c r="AE160" s="257" t="s">
        <v>494</v>
      </c>
      <c r="AF160" s="257" t="s">
        <v>2312</v>
      </c>
      <c r="AG160" s="149" t="s">
        <v>720</v>
      </c>
      <c r="AH160" s="150">
        <v>8</v>
      </c>
      <c r="AI160" s="150" t="s">
        <v>1877</v>
      </c>
      <c r="AJ160" s="150">
        <v>4</v>
      </c>
      <c r="AK160" s="149">
        <v>5</v>
      </c>
      <c r="AL160" s="150" t="s">
        <v>816</v>
      </c>
      <c r="AM160" s="149" t="s">
        <v>721</v>
      </c>
      <c r="AN160" s="150">
        <v>10</v>
      </c>
      <c r="AO160" s="150" t="s">
        <v>1834</v>
      </c>
      <c r="AP160" s="150">
        <v>5</v>
      </c>
      <c r="AQ160" s="149">
        <v>4</v>
      </c>
      <c r="AR160" s="150" t="s">
        <v>816</v>
      </c>
      <c r="AS160" s="149" t="s">
        <v>739</v>
      </c>
      <c r="AT160" s="150">
        <v>8</v>
      </c>
      <c r="AU160" s="150" t="s">
        <v>1865</v>
      </c>
      <c r="AV160" s="150" t="s">
        <v>816</v>
      </c>
      <c r="AW160" s="149">
        <v>5</v>
      </c>
      <c r="AX160" s="149">
        <v>125</v>
      </c>
      <c r="AY160" s="150" t="s">
        <v>738</v>
      </c>
      <c r="AZ160" s="150">
        <v>9</v>
      </c>
      <c r="BA160" s="149" t="s">
        <v>1865</v>
      </c>
      <c r="BB160" s="150" t="s">
        <v>816</v>
      </c>
      <c r="BC160" s="149">
        <v>5</v>
      </c>
      <c r="BD160" s="149">
        <v>150</v>
      </c>
      <c r="BE160" s="149" t="s">
        <v>731</v>
      </c>
      <c r="BF160" s="150">
        <v>10</v>
      </c>
      <c r="BG160" s="149" t="s">
        <v>1843</v>
      </c>
      <c r="BH160" s="150" t="s">
        <v>816</v>
      </c>
      <c r="BI160" s="149">
        <v>4</v>
      </c>
      <c r="BJ160" s="149">
        <v>20</v>
      </c>
      <c r="BK160" s="149" t="s">
        <v>733</v>
      </c>
      <c r="BL160" s="150">
        <v>9</v>
      </c>
      <c r="BM160" s="149" t="s">
        <v>1865</v>
      </c>
      <c r="BN160" s="150" t="s">
        <v>816</v>
      </c>
      <c r="BO160" s="149">
        <v>5</v>
      </c>
      <c r="BP160" s="149">
        <v>50</v>
      </c>
      <c r="BQ160" s="149" t="s">
        <v>734</v>
      </c>
      <c r="BR160" s="150">
        <v>11</v>
      </c>
      <c r="BS160" s="149" t="s">
        <v>1879</v>
      </c>
      <c r="BT160" s="150" t="s">
        <v>816</v>
      </c>
      <c r="BU160" s="149">
        <v>5</v>
      </c>
      <c r="BV160" s="149">
        <v>20</v>
      </c>
    </row>
    <row r="161" spans="1:74" x14ac:dyDescent="0.25">
      <c r="A161" s="149" t="s">
        <v>1957</v>
      </c>
      <c r="B161" s="149" t="s">
        <v>2243</v>
      </c>
      <c r="D161" s="149">
        <v>3</v>
      </c>
      <c r="E161" s="149">
        <v>3</v>
      </c>
      <c r="F161" s="149">
        <v>3</v>
      </c>
      <c r="G161" s="149">
        <v>2</v>
      </c>
      <c r="H161" s="149">
        <v>2</v>
      </c>
      <c r="I161" s="149">
        <v>2</v>
      </c>
      <c r="J161" s="149">
        <v>3</v>
      </c>
      <c r="K161" s="149">
        <v>2</v>
      </c>
      <c r="L161" s="149">
        <v>3</v>
      </c>
      <c r="M161" s="149">
        <v>1</v>
      </c>
      <c r="N161" s="149">
        <v>1</v>
      </c>
      <c r="O161" s="149">
        <v>4</v>
      </c>
      <c r="P161" s="149">
        <v>5</v>
      </c>
      <c r="Q161" s="149">
        <v>6</v>
      </c>
      <c r="R161" s="149">
        <v>5</v>
      </c>
      <c r="S161" s="149">
        <v>6</v>
      </c>
      <c r="T161" s="149">
        <v>4</v>
      </c>
      <c r="U161" s="149" t="s">
        <v>164</v>
      </c>
      <c r="V161" s="149">
        <v>4</v>
      </c>
      <c r="W161" s="209" t="s">
        <v>816</v>
      </c>
      <c r="X161" s="209" t="s">
        <v>816</v>
      </c>
      <c r="Y161" s="209" t="s">
        <v>816</v>
      </c>
      <c r="Z161" s="209" t="s">
        <v>816</v>
      </c>
      <c r="AA161" s="209" t="s">
        <v>816</v>
      </c>
      <c r="AB161" s="209" t="s">
        <v>816</v>
      </c>
      <c r="AC161" s="150" t="s">
        <v>1831</v>
      </c>
      <c r="AD161" s="257" t="s">
        <v>1958</v>
      </c>
      <c r="AE161" s="257" t="s">
        <v>494</v>
      </c>
      <c r="AF161" s="257" t="s">
        <v>1903</v>
      </c>
      <c r="AG161" s="149" t="s">
        <v>702</v>
      </c>
      <c r="AH161" s="149">
        <v>7</v>
      </c>
      <c r="AI161" s="149" t="s">
        <v>1859</v>
      </c>
      <c r="AJ161" s="150" t="s">
        <v>816</v>
      </c>
      <c r="AK161" s="149">
        <v>6</v>
      </c>
      <c r="AL161" s="150" t="s">
        <v>816</v>
      </c>
      <c r="AM161" s="149" t="s">
        <v>720</v>
      </c>
      <c r="AN161" s="149">
        <v>6</v>
      </c>
      <c r="AO161" s="149" t="s">
        <v>1864</v>
      </c>
      <c r="AP161" s="149">
        <v>3</v>
      </c>
      <c r="AQ161" s="149">
        <v>5</v>
      </c>
      <c r="AR161" s="150" t="s">
        <v>816</v>
      </c>
      <c r="AS161" s="149" t="s">
        <v>721</v>
      </c>
      <c r="AT161" s="149">
        <v>8</v>
      </c>
      <c r="AU161" s="149" t="s">
        <v>1859</v>
      </c>
      <c r="AV161" s="149">
        <v>4</v>
      </c>
      <c r="AW161" s="149">
        <v>4</v>
      </c>
      <c r="AX161" s="150" t="s">
        <v>816</v>
      </c>
      <c r="AY161" s="150" t="s">
        <v>724</v>
      </c>
      <c r="AZ161" s="149">
        <v>7</v>
      </c>
      <c r="BA161" s="149" t="s">
        <v>1923</v>
      </c>
      <c r="BB161" s="150">
        <v>5</v>
      </c>
      <c r="BC161" s="149">
        <v>4</v>
      </c>
      <c r="BD161" s="150" t="s">
        <v>816</v>
      </c>
      <c r="BE161" s="209" t="s">
        <v>816</v>
      </c>
      <c r="BF161" s="209" t="s">
        <v>816</v>
      </c>
      <c r="BG161" s="209" t="s">
        <v>816</v>
      </c>
      <c r="BH161" s="209" t="s">
        <v>816</v>
      </c>
      <c r="BI161" s="209" t="s">
        <v>816</v>
      </c>
      <c r="BJ161" s="209" t="s">
        <v>816</v>
      </c>
      <c r="BK161" s="209" t="s">
        <v>816</v>
      </c>
      <c r="BL161" s="209" t="s">
        <v>816</v>
      </c>
      <c r="BM161" s="209" t="s">
        <v>816</v>
      </c>
      <c r="BN161" s="209" t="s">
        <v>816</v>
      </c>
      <c r="BO161" s="209" t="s">
        <v>816</v>
      </c>
      <c r="BP161" s="209" t="s">
        <v>816</v>
      </c>
      <c r="BQ161" s="209" t="s">
        <v>816</v>
      </c>
      <c r="BR161" s="209" t="s">
        <v>816</v>
      </c>
      <c r="BS161" s="209" t="s">
        <v>816</v>
      </c>
      <c r="BT161" s="209" t="s">
        <v>816</v>
      </c>
      <c r="BU161" s="209" t="s">
        <v>816</v>
      </c>
      <c r="BV161" s="209" t="s">
        <v>816</v>
      </c>
    </row>
    <row r="162" spans="1:74" x14ac:dyDescent="0.25">
      <c r="A162" s="149" t="s">
        <v>1900</v>
      </c>
      <c r="B162" s="149" t="s">
        <v>2243</v>
      </c>
      <c r="D162" s="149">
        <v>3</v>
      </c>
      <c r="E162" s="149">
        <v>3</v>
      </c>
      <c r="F162" s="149">
        <v>3</v>
      </c>
      <c r="G162" s="149">
        <v>2</v>
      </c>
      <c r="H162" s="149">
        <v>2</v>
      </c>
      <c r="I162" s="149">
        <v>2</v>
      </c>
      <c r="J162" s="149">
        <v>2</v>
      </c>
      <c r="K162" s="149">
        <v>2</v>
      </c>
      <c r="L162" s="149">
        <v>2</v>
      </c>
      <c r="M162" s="149">
        <v>1</v>
      </c>
      <c r="N162" s="149">
        <v>1</v>
      </c>
      <c r="O162" s="149">
        <v>3</v>
      </c>
      <c r="P162" s="149">
        <v>7</v>
      </c>
      <c r="Q162" s="149">
        <v>4</v>
      </c>
      <c r="R162" s="149">
        <f t="shared" ref="R162:R168" si="6">F162</f>
        <v>3</v>
      </c>
      <c r="S162" s="149">
        <f t="shared" ref="S162:S168" si="7">ROUNDUP(R162/2,0)</f>
        <v>2</v>
      </c>
      <c r="T162" s="149">
        <v>0</v>
      </c>
      <c r="U162" s="149" t="s">
        <v>156</v>
      </c>
      <c r="V162" s="149">
        <v>3</v>
      </c>
      <c r="W162" s="149" t="s">
        <v>157</v>
      </c>
      <c r="X162" s="149">
        <v>2</v>
      </c>
      <c r="Y162" s="149" t="s">
        <v>158</v>
      </c>
      <c r="Z162" s="149">
        <v>1</v>
      </c>
      <c r="AA162" s="149" t="s">
        <v>159</v>
      </c>
      <c r="AB162" s="149">
        <v>4</v>
      </c>
      <c r="AC162" s="150" t="s">
        <v>1831</v>
      </c>
      <c r="AD162" s="257" t="s">
        <v>1840</v>
      </c>
      <c r="AE162" s="257" t="s">
        <v>1904</v>
      </c>
      <c r="AF162" s="257" t="s">
        <v>494</v>
      </c>
      <c r="AG162" s="149" t="s">
        <v>702</v>
      </c>
      <c r="AH162" s="149">
        <v>5</v>
      </c>
      <c r="AI162" s="149" t="s">
        <v>1859</v>
      </c>
      <c r="AJ162" s="150" t="s">
        <v>816</v>
      </c>
      <c r="AK162" s="149">
        <v>6</v>
      </c>
      <c r="AL162" s="150" t="s">
        <v>816</v>
      </c>
      <c r="AM162" s="149" t="s">
        <v>720</v>
      </c>
      <c r="AN162" s="149">
        <v>4</v>
      </c>
      <c r="AO162" s="149" t="s">
        <v>1864</v>
      </c>
      <c r="AP162" s="149">
        <v>1</v>
      </c>
      <c r="AQ162" s="149">
        <v>5</v>
      </c>
      <c r="AR162" s="150" t="s">
        <v>816</v>
      </c>
      <c r="AS162" s="149" t="s">
        <v>721</v>
      </c>
      <c r="AT162" s="149">
        <v>6</v>
      </c>
      <c r="AU162" s="149" t="s">
        <v>1859</v>
      </c>
      <c r="AV162" s="149">
        <v>3</v>
      </c>
      <c r="AW162" s="149">
        <v>4</v>
      </c>
      <c r="AX162" s="150" t="s">
        <v>816</v>
      </c>
      <c r="AY162" s="150" t="s">
        <v>1841</v>
      </c>
      <c r="AZ162" s="149">
        <v>5</v>
      </c>
      <c r="BA162" s="149" t="s">
        <v>1843</v>
      </c>
      <c r="BB162" s="150" t="s">
        <v>816</v>
      </c>
      <c r="BC162" s="149">
        <v>4</v>
      </c>
      <c r="BD162" s="149">
        <v>20</v>
      </c>
      <c r="BE162" s="149" t="s">
        <v>1842</v>
      </c>
      <c r="BF162" s="149">
        <v>5</v>
      </c>
      <c r="BG162" s="149" t="s">
        <v>1879</v>
      </c>
      <c r="BH162" s="149">
        <v>2</v>
      </c>
      <c r="BI162" s="149">
        <v>4</v>
      </c>
      <c r="BJ162" s="150" t="s">
        <v>816</v>
      </c>
      <c r="BK162" s="209" t="s">
        <v>816</v>
      </c>
      <c r="BL162" s="209" t="s">
        <v>816</v>
      </c>
      <c r="BM162" s="209" t="s">
        <v>816</v>
      </c>
      <c r="BN162" s="209" t="s">
        <v>816</v>
      </c>
      <c r="BO162" s="209" t="s">
        <v>816</v>
      </c>
      <c r="BP162" s="209" t="s">
        <v>816</v>
      </c>
      <c r="BQ162" s="209" t="s">
        <v>816</v>
      </c>
      <c r="BR162" s="209" t="s">
        <v>816</v>
      </c>
      <c r="BS162" s="209" t="s">
        <v>816</v>
      </c>
      <c r="BT162" s="209" t="s">
        <v>816</v>
      </c>
      <c r="BU162" s="209" t="s">
        <v>816</v>
      </c>
      <c r="BV162" s="209" t="s">
        <v>816</v>
      </c>
    </row>
    <row r="163" spans="1:74" x14ac:dyDescent="0.25">
      <c r="A163" s="149" t="s">
        <v>1896</v>
      </c>
      <c r="B163" s="149" t="s">
        <v>2243</v>
      </c>
      <c r="D163" s="149">
        <v>2</v>
      </c>
      <c r="E163" s="149">
        <v>3</v>
      </c>
      <c r="F163" s="149">
        <v>4</v>
      </c>
      <c r="G163" s="149">
        <v>2</v>
      </c>
      <c r="H163" s="149">
        <v>2</v>
      </c>
      <c r="I163" s="149">
        <v>2</v>
      </c>
      <c r="J163" s="149">
        <v>2</v>
      </c>
      <c r="K163" s="149">
        <v>2</v>
      </c>
      <c r="L163" s="149">
        <v>2</v>
      </c>
      <c r="M163" s="149">
        <v>1</v>
      </c>
      <c r="N163" s="149">
        <v>1</v>
      </c>
      <c r="O163" s="149">
        <v>3</v>
      </c>
      <c r="P163" s="149">
        <v>7</v>
      </c>
      <c r="Q163" s="149">
        <v>4</v>
      </c>
      <c r="R163" s="149">
        <f t="shared" si="6"/>
        <v>4</v>
      </c>
      <c r="S163" s="149">
        <f t="shared" si="7"/>
        <v>2</v>
      </c>
      <c r="T163" s="149">
        <v>0</v>
      </c>
      <c r="U163" s="149" t="s">
        <v>156</v>
      </c>
      <c r="V163" s="149">
        <v>3</v>
      </c>
      <c r="W163" s="149" t="s">
        <v>157</v>
      </c>
      <c r="X163" s="149">
        <v>2</v>
      </c>
      <c r="Y163" s="149" t="s">
        <v>158</v>
      </c>
      <c r="Z163" s="149">
        <v>1</v>
      </c>
      <c r="AA163" s="149" t="s">
        <v>159</v>
      </c>
      <c r="AB163" s="149">
        <v>4</v>
      </c>
      <c r="AC163" s="150" t="s">
        <v>1831</v>
      </c>
      <c r="AD163" s="257" t="s">
        <v>1840</v>
      </c>
      <c r="AE163" s="257" t="s">
        <v>1904</v>
      </c>
      <c r="AF163" s="257" t="s">
        <v>494</v>
      </c>
      <c r="AG163" s="149" t="s">
        <v>702</v>
      </c>
      <c r="AH163" s="149">
        <v>5</v>
      </c>
      <c r="AI163" s="149" t="s">
        <v>1833</v>
      </c>
      <c r="AJ163" s="150" t="s">
        <v>816</v>
      </c>
      <c r="AK163" s="149">
        <v>6</v>
      </c>
      <c r="AL163" s="150" t="s">
        <v>816</v>
      </c>
      <c r="AM163" s="149" t="s">
        <v>720</v>
      </c>
      <c r="AN163" s="149">
        <v>4</v>
      </c>
      <c r="AO163" s="149" t="s">
        <v>1834</v>
      </c>
      <c r="AP163" s="149">
        <v>1</v>
      </c>
      <c r="AQ163" s="149">
        <v>5</v>
      </c>
      <c r="AR163" s="150" t="s">
        <v>816</v>
      </c>
      <c r="AS163" s="149" t="s">
        <v>721</v>
      </c>
      <c r="AT163" s="149">
        <v>6</v>
      </c>
      <c r="AU163" s="149" t="s">
        <v>1833</v>
      </c>
      <c r="AV163" s="149">
        <v>3</v>
      </c>
      <c r="AW163" s="149">
        <v>4</v>
      </c>
      <c r="AX163" s="150" t="s">
        <v>816</v>
      </c>
      <c r="AY163" s="150" t="s">
        <v>1841</v>
      </c>
      <c r="AZ163" s="149">
        <v>5</v>
      </c>
      <c r="BA163" s="149" t="s">
        <v>1843</v>
      </c>
      <c r="BB163" s="150" t="s">
        <v>816</v>
      </c>
      <c r="BC163" s="149">
        <v>4</v>
      </c>
      <c r="BD163" s="149">
        <v>20</v>
      </c>
      <c r="BE163" s="149" t="s">
        <v>1842</v>
      </c>
      <c r="BF163" s="149">
        <v>5</v>
      </c>
      <c r="BG163" s="149" t="s">
        <v>1843</v>
      </c>
      <c r="BH163" s="149">
        <v>2</v>
      </c>
      <c r="BI163" s="149">
        <v>4</v>
      </c>
      <c r="BJ163" s="150" t="s">
        <v>816</v>
      </c>
      <c r="BK163" s="209" t="s">
        <v>816</v>
      </c>
      <c r="BL163" s="209" t="s">
        <v>816</v>
      </c>
      <c r="BM163" s="209" t="s">
        <v>816</v>
      </c>
      <c r="BN163" s="209" t="s">
        <v>816</v>
      </c>
      <c r="BO163" s="209" t="s">
        <v>816</v>
      </c>
      <c r="BP163" s="209" t="s">
        <v>816</v>
      </c>
      <c r="BQ163" s="209" t="s">
        <v>816</v>
      </c>
      <c r="BR163" s="209" t="s">
        <v>816</v>
      </c>
      <c r="BS163" s="209" t="s">
        <v>816</v>
      </c>
      <c r="BT163" s="209" t="s">
        <v>816</v>
      </c>
      <c r="BU163" s="209" t="s">
        <v>816</v>
      </c>
      <c r="BV163" s="209" t="s">
        <v>816</v>
      </c>
    </row>
    <row r="164" spans="1:74" x14ac:dyDescent="0.25">
      <c r="A164" s="149" t="s">
        <v>1892</v>
      </c>
      <c r="B164" s="149" t="s">
        <v>2243</v>
      </c>
      <c r="D164" s="149">
        <v>4</v>
      </c>
      <c r="E164" s="149">
        <v>3</v>
      </c>
      <c r="F164" s="149">
        <v>2</v>
      </c>
      <c r="G164" s="149">
        <v>2</v>
      </c>
      <c r="H164" s="149">
        <v>2</v>
      </c>
      <c r="I164" s="149">
        <v>2</v>
      </c>
      <c r="J164" s="149">
        <v>2</v>
      </c>
      <c r="K164" s="149">
        <v>2</v>
      </c>
      <c r="L164" s="149">
        <v>2</v>
      </c>
      <c r="M164" s="149">
        <v>1</v>
      </c>
      <c r="N164" s="149">
        <v>1</v>
      </c>
      <c r="O164" s="149">
        <v>3</v>
      </c>
      <c r="P164" s="149">
        <v>7</v>
      </c>
      <c r="Q164" s="149">
        <v>4</v>
      </c>
      <c r="R164" s="149">
        <f t="shared" si="6"/>
        <v>2</v>
      </c>
      <c r="S164" s="149">
        <f t="shared" si="7"/>
        <v>1</v>
      </c>
      <c r="T164" s="149">
        <v>0</v>
      </c>
      <c r="U164" s="149" t="s">
        <v>156</v>
      </c>
      <c r="V164" s="149">
        <v>3</v>
      </c>
      <c r="W164" s="149" t="s">
        <v>157</v>
      </c>
      <c r="X164" s="149">
        <v>2</v>
      </c>
      <c r="Y164" s="149" t="s">
        <v>158</v>
      </c>
      <c r="Z164" s="149">
        <v>1</v>
      </c>
      <c r="AA164" s="149" t="s">
        <v>159</v>
      </c>
      <c r="AB164" s="149">
        <v>4</v>
      </c>
      <c r="AC164" s="150" t="s">
        <v>1831</v>
      </c>
      <c r="AD164" s="257" t="s">
        <v>1840</v>
      </c>
      <c r="AE164" s="257" t="s">
        <v>1904</v>
      </c>
      <c r="AF164" s="257" t="s">
        <v>494</v>
      </c>
      <c r="AG164" s="149" t="s">
        <v>702</v>
      </c>
      <c r="AH164" s="149">
        <v>5</v>
      </c>
      <c r="AI164" s="149" t="s">
        <v>1878</v>
      </c>
      <c r="AJ164" s="150" t="s">
        <v>816</v>
      </c>
      <c r="AK164" s="149">
        <v>6</v>
      </c>
      <c r="AL164" s="150" t="s">
        <v>816</v>
      </c>
      <c r="AM164" s="149" t="s">
        <v>720</v>
      </c>
      <c r="AN164" s="149">
        <v>4</v>
      </c>
      <c r="AO164" s="149" t="s">
        <v>1877</v>
      </c>
      <c r="AP164" s="149">
        <v>1</v>
      </c>
      <c r="AQ164" s="149">
        <v>5</v>
      </c>
      <c r="AR164" s="150" t="s">
        <v>816</v>
      </c>
      <c r="AS164" s="149" t="s">
        <v>721</v>
      </c>
      <c r="AT164" s="149">
        <v>6</v>
      </c>
      <c r="AU164" s="149" t="s">
        <v>1878</v>
      </c>
      <c r="AV164" s="149">
        <v>3</v>
      </c>
      <c r="AW164" s="149">
        <v>4</v>
      </c>
      <c r="AX164" s="150" t="s">
        <v>816</v>
      </c>
      <c r="AY164" s="150" t="s">
        <v>1841</v>
      </c>
      <c r="AZ164" s="149">
        <v>5</v>
      </c>
      <c r="BA164" s="149" t="s">
        <v>1843</v>
      </c>
      <c r="BB164" s="150" t="s">
        <v>816</v>
      </c>
      <c r="BC164" s="149">
        <v>4</v>
      </c>
      <c r="BD164" s="149">
        <v>20</v>
      </c>
      <c r="BE164" s="149" t="s">
        <v>1842</v>
      </c>
      <c r="BF164" s="149">
        <v>5</v>
      </c>
      <c r="BG164" s="149" t="s">
        <v>1865</v>
      </c>
      <c r="BH164" s="149">
        <v>2</v>
      </c>
      <c r="BI164" s="149">
        <v>4</v>
      </c>
      <c r="BJ164" s="150" t="s">
        <v>816</v>
      </c>
      <c r="BK164" s="209" t="s">
        <v>816</v>
      </c>
      <c r="BL164" s="209" t="s">
        <v>816</v>
      </c>
      <c r="BM164" s="209" t="s">
        <v>816</v>
      </c>
      <c r="BN164" s="209" t="s">
        <v>816</v>
      </c>
      <c r="BO164" s="209" t="s">
        <v>816</v>
      </c>
      <c r="BP164" s="209" t="s">
        <v>816</v>
      </c>
      <c r="BQ164" s="209" t="s">
        <v>816</v>
      </c>
      <c r="BR164" s="209" t="s">
        <v>816</v>
      </c>
      <c r="BS164" s="209" t="s">
        <v>816</v>
      </c>
      <c r="BT164" s="209" t="s">
        <v>816</v>
      </c>
      <c r="BU164" s="209" t="s">
        <v>816</v>
      </c>
      <c r="BV164" s="209" t="s">
        <v>816</v>
      </c>
    </row>
    <row r="165" spans="1:74" x14ac:dyDescent="0.25">
      <c r="A165" s="149" t="s">
        <v>1912</v>
      </c>
      <c r="B165" s="149" t="s">
        <v>2243</v>
      </c>
      <c r="D165" s="149">
        <v>2</v>
      </c>
      <c r="E165" s="149">
        <v>3</v>
      </c>
      <c r="F165" s="149">
        <v>5</v>
      </c>
      <c r="G165" s="149">
        <v>2</v>
      </c>
      <c r="H165" s="149">
        <v>2</v>
      </c>
      <c r="I165" s="149">
        <v>2</v>
      </c>
      <c r="J165" s="149">
        <v>2</v>
      </c>
      <c r="K165" s="149">
        <v>2</v>
      </c>
      <c r="L165" s="149">
        <v>2</v>
      </c>
      <c r="M165" s="149">
        <v>1</v>
      </c>
      <c r="N165" s="149">
        <v>1</v>
      </c>
      <c r="O165" s="149">
        <v>3</v>
      </c>
      <c r="P165" s="149">
        <v>7</v>
      </c>
      <c r="Q165" s="149">
        <v>4</v>
      </c>
      <c r="R165" s="149">
        <f t="shared" si="6"/>
        <v>5</v>
      </c>
      <c r="S165" s="149">
        <f t="shared" si="7"/>
        <v>3</v>
      </c>
      <c r="T165" s="149">
        <v>0</v>
      </c>
      <c r="U165" s="149" t="s">
        <v>156</v>
      </c>
      <c r="V165" s="149">
        <v>3</v>
      </c>
      <c r="W165" s="149" t="s">
        <v>157</v>
      </c>
      <c r="X165" s="149">
        <v>2</v>
      </c>
      <c r="Y165" s="149" t="s">
        <v>158</v>
      </c>
      <c r="Z165" s="149">
        <v>1</v>
      </c>
      <c r="AA165" s="149" t="s">
        <v>159</v>
      </c>
      <c r="AB165" s="149">
        <v>4</v>
      </c>
      <c r="AC165" s="150" t="s">
        <v>1831</v>
      </c>
      <c r="AD165" s="257" t="s">
        <v>1840</v>
      </c>
      <c r="AE165" s="257" t="s">
        <v>1921</v>
      </c>
      <c r="AF165" s="257" t="s">
        <v>494</v>
      </c>
      <c r="AG165" s="149" t="s">
        <v>702</v>
      </c>
      <c r="AH165" s="149">
        <v>5</v>
      </c>
      <c r="AI165" s="149" t="s">
        <v>1833</v>
      </c>
      <c r="AJ165" s="150" t="s">
        <v>816</v>
      </c>
      <c r="AK165" s="149">
        <v>6</v>
      </c>
      <c r="AL165" s="150" t="s">
        <v>816</v>
      </c>
      <c r="AM165" s="149" t="s">
        <v>720</v>
      </c>
      <c r="AN165" s="149">
        <v>4</v>
      </c>
      <c r="AO165" s="149" t="s">
        <v>1834</v>
      </c>
      <c r="AP165" s="149">
        <v>1</v>
      </c>
      <c r="AQ165" s="149">
        <v>5</v>
      </c>
      <c r="AR165" s="150" t="s">
        <v>816</v>
      </c>
      <c r="AS165" s="149" t="s">
        <v>721</v>
      </c>
      <c r="AT165" s="149">
        <v>6</v>
      </c>
      <c r="AU165" s="149" t="s">
        <v>1833</v>
      </c>
      <c r="AV165" s="149">
        <v>3</v>
      </c>
      <c r="AW165" s="149">
        <v>4</v>
      </c>
      <c r="AX165" s="150" t="s">
        <v>816</v>
      </c>
      <c r="AY165" s="150" t="s">
        <v>1841</v>
      </c>
      <c r="AZ165" s="149">
        <v>5</v>
      </c>
      <c r="BA165" s="149" t="s">
        <v>1843</v>
      </c>
      <c r="BB165" s="150" t="s">
        <v>816</v>
      </c>
      <c r="BC165" s="149">
        <v>4</v>
      </c>
      <c r="BD165" s="149">
        <v>20</v>
      </c>
      <c r="BE165" s="149" t="s">
        <v>1842</v>
      </c>
      <c r="BF165" s="149">
        <v>5</v>
      </c>
      <c r="BG165" s="149" t="s">
        <v>1843</v>
      </c>
      <c r="BH165" s="149">
        <v>2</v>
      </c>
      <c r="BI165" s="149">
        <v>4</v>
      </c>
      <c r="BJ165" s="150" t="s">
        <v>816</v>
      </c>
      <c r="BK165" s="209" t="s">
        <v>816</v>
      </c>
      <c r="BL165" s="209" t="s">
        <v>816</v>
      </c>
      <c r="BM165" s="209" t="s">
        <v>816</v>
      </c>
      <c r="BN165" s="209" t="s">
        <v>816</v>
      </c>
      <c r="BO165" s="209" t="s">
        <v>816</v>
      </c>
      <c r="BP165" s="209" t="s">
        <v>816</v>
      </c>
      <c r="BQ165" s="209" t="s">
        <v>816</v>
      </c>
      <c r="BR165" s="209" t="s">
        <v>816</v>
      </c>
      <c r="BS165" s="209" t="s">
        <v>816</v>
      </c>
      <c r="BT165" s="209" t="s">
        <v>816</v>
      </c>
      <c r="BU165" s="209" t="s">
        <v>816</v>
      </c>
      <c r="BV165" s="209" t="s">
        <v>816</v>
      </c>
    </row>
    <row r="166" spans="1:74" x14ac:dyDescent="0.25">
      <c r="A166" s="149" t="s">
        <v>1908</v>
      </c>
      <c r="B166" s="149" t="s">
        <v>2243</v>
      </c>
      <c r="D166" s="149">
        <v>5</v>
      </c>
      <c r="E166" s="149">
        <v>3</v>
      </c>
      <c r="F166" s="149">
        <v>2</v>
      </c>
      <c r="G166" s="149">
        <v>2</v>
      </c>
      <c r="H166" s="149">
        <v>2</v>
      </c>
      <c r="I166" s="149">
        <v>2</v>
      </c>
      <c r="J166" s="149">
        <v>2</v>
      </c>
      <c r="K166" s="149">
        <v>2</v>
      </c>
      <c r="L166" s="149">
        <v>2</v>
      </c>
      <c r="M166" s="149">
        <v>1</v>
      </c>
      <c r="N166" s="149">
        <v>1</v>
      </c>
      <c r="O166" s="149">
        <v>3</v>
      </c>
      <c r="P166" s="149">
        <v>7</v>
      </c>
      <c r="Q166" s="149">
        <v>4</v>
      </c>
      <c r="R166" s="149">
        <f t="shared" si="6"/>
        <v>2</v>
      </c>
      <c r="S166" s="149">
        <f t="shared" si="7"/>
        <v>1</v>
      </c>
      <c r="T166" s="149">
        <v>0</v>
      </c>
      <c r="U166" s="149" t="s">
        <v>156</v>
      </c>
      <c r="V166" s="149">
        <v>3</v>
      </c>
      <c r="W166" s="149" t="s">
        <v>157</v>
      </c>
      <c r="X166" s="149">
        <v>2</v>
      </c>
      <c r="Y166" s="149" t="s">
        <v>158</v>
      </c>
      <c r="Z166" s="149">
        <v>1</v>
      </c>
      <c r="AA166" s="149" t="s">
        <v>159</v>
      </c>
      <c r="AB166" s="149">
        <v>4</v>
      </c>
      <c r="AC166" s="150" t="s">
        <v>1831</v>
      </c>
      <c r="AD166" s="257" t="s">
        <v>1840</v>
      </c>
      <c r="AE166" s="257" t="s">
        <v>1921</v>
      </c>
      <c r="AF166" s="257" t="s">
        <v>494</v>
      </c>
      <c r="AG166" s="149" t="s">
        <v>702</v>
      </c>
      <c r="AH166" s="149">
        <v>5</v>
      </c>
      <c r="AI166" s="149" t="s">
        <v>1834</v>
      </c>
      <c r="AJ166" s="150" t="s">
        <v>816</v>
      </c>
      <c r="AK166" s="149">
        <v>6</v>
      </c>
      <c r="AL166" s="150" t="s">
        <v>816</v>
      </c>
      <c r="AM166" s="149" t="s">
        <v>720</v>
      </c>
      <c r="AN166" s="149">
        <v>4</v>
      </c>
      <c r="AO166" s="149" t="s">
        <v>1922</v>
      </c>
      <c r="AP166" s="149">
        <v>1</v>
      </c>
      <c r="AQ166" s="149">
        <v>5</v>
      </c>
      <c r="AR166" s="150" t="s">
        <v>816</v>
      </c>
      <c r="AS166" s="149" t="s">
        <v>721</v>
      </c>
      <c r="AT166" s="149">
        <v>6</v>
      </c>
      <c r="AU166" s="149" t="s">
        <v>1834</v>
      </c>
      <c r="AV166" s="149">
        <v>3</v>
      </c>
      <c r="AW166" s="149">
        <v>4</v>
      </c>
      <c r="AX166" s="150" t="s">
        <v>816</v>
      </c>
      <c r="AY166" s="150" t="s">
        <v>1841</v>
      </c>
      <c r="AZ166" s="149">
        <v>5</v>
      </c>
      <c r="BA166" s="149" t="s">
        <v>1843</v>
      </c>
      <c r="BB166" s="150" t="s">
        <v>816</v>
      </c>
      <c r="BC166" s="149">
        <v>4</v>
      </c>
      <c r="BD166" s="149">
        <v>20</v>
      </c>
      <c r="BE166" s="149" t="s">
        <v>1842</v>
      </c>
      <c r="BF166" s="149">
        <v>5</v>
      </c>
      <c r="BG166" s="149" t="s">
        <v>1923</v>
      </c>
      <c r="BH166" s="149">
        <v>2</v>
      </c>
      <c r="BI166" s="149">
        <v>4</v>
      </c>
      <c r="BJ166" s="150" t="s">
        <v>816</v>
      </c>
      <c r="BK166" s="209" t="s">
        <v>816</v>
      </c>
      <c r="BL166" s="209" t="s">
        <v>816</v>
      </c>
      <c r="BM166" s="209" t="s">
        <v>816</v>
      </c>
      <c r="BN166" s="209" t="s">
        <v>816</v>
      </c>
      <c r="BO166" s="209" t="s">
        <v>816</v>
      </c>
      <c r="BP166" s="209" t="s">
        <v>816</v>
      </c>
      <c r="BQ166" s="209" t="s">
        <v>816</v>
      </c>
      <c r="BR166" s="209" t="s">
        <v>816</v>
      </c>
      <c r="BS166" s="209" t="s">
        <v>816</v>
      </c>
      <c r="BT166" s="209" t="s">
        <v>816</v>
      </c>
      <c r="BU166" s="209" t="s">
        <v>816</v>
      </c>
      <c r="BV166" s="209" t="s">
        <v>816</v>
      </c>
    </row>
    <row r="167" spans="1:74" x14ac:dyDescent="0.25">
      <c r="A167" s="149" t="s">
        <v>1920</v>
      </c>
      <c r="B167" s="149" t="s">
        <v>2243</v>
      </c>
      <c r="D167" s="149">
        <v>3</v>
      </c>
      <c r="E167" s="149">
        <v>3</v>
      </c>
      <c r="F167" s="149">
        <v>4</v>
      </c>
      <c r="G167" s="149">
        <v>2</v>
      </c>
      <c r="H167" s="149">
        <v>2</v>
      </c>
      <c r="I167" s="149">
        <v>2</v>
      </c>
      <c r="J167" s="149">
        <v>2</v>
      </c>
      <c r="K167" s="149">
        <v>2</v>
      </c>
      <c r="L167" s="149">
        <v>2</v>
      </c>
      <c r="M167" s="149">
        <v>1</v>
      </c>
      <c r="N167" s="149">
        <v>1</v>
      </c>
      <c r="O167" s="149">
        <v>3</v>
      </c>
      <c r="P167" s="149">
        <v>7</v>
      </c>
      <c r="Q167" s="149">
        <v>4</v>
      </c>
      <c r="R167" s="149">
        <f t="shared" si="6"/>
        <v>4</v>
      </c>
      <c r="S167" s="149">
        <f t="shared" si="7"/>
        <v>2</v>
      </c>
      <c r="T167" s="149">
        <v>0</v>
      </c>
      <c r="U167" s="149" t="s">
        <v>156</v>
      </c>
      <c r="V167" s="149">
        <v>3</v>
      </c>
      <c r="W167" s="149" t="s">
        <v>157</v>
      </c>
      <c r="X167" s="149">
        <v>2</v>
      </c>
      <c r="Y167" s="149" t="s">
        <v>158</v>
      </c>
      <c r="Z167" s="149">
        <v>1</v>
      </c>
      <c r="AA167" s="149" t="s">
        <v>159</v>
      </c>
      <c r="AB167" s="149">
        <v>4</v>
      </c>
      <c r="AC167" s="150" t="s">
        <v>1831</v>
      </c>
      <c r="AD167" s="257" t="s">
        <v>1840</v>
      </c>
      <c r="AE167" s="257" t="s">
        <v>1921</v>
      </c>
      <c r="AF167" s="257" t="s">
        <v>494</v>
      </c>
      <c r="AG167" s="149" t="s">
        <v>702</v>
      </c>
      <c r="AH167" s="149">
        <v>5</v>
      </c>
      <c r="AI167" s="149" t="s">
        <v>1859</v>
      </c>
      <c r="AJ167" s="150" t="s">
        <v>816</v>
      </c>
      <c r="AK167" s="149">
        <v>6</v>
      </c>
      <c r="AL167" s="150" t="s">
        <v>816</v>
      </c>
      <c r="AM167" s="149" t="s">
        <v>720</v>
      </c>
      <c r="AN167" s="149">
        <v>4</v>
      </c>
      <c r="AO167" s="149" t="s">
        <v>1864</v>
      </c>
      <c r="AP167" s="149">
        <v>1</v>
      </c>
      <c r="AQ167" s="149">
        <v>5</v>
      </c>
      <c r="AR167" s="150" t="s">
        <v>816</v>
      </c>
      <c r="AS167" s="149" t="s">
        <v>721</v>
      </c>
      <c r="AT167" s="149">
        <v>6</v>
      </c>
      <c r="AU167" s="149" t="s">
        <v>1859</v>
      </c>
      <c r="AV167" s="149">
        <v>3</v>
      </c>
      <c r="AW167" s="149">
        <v>4</v>
      </c>
      <c r="AX167" s="150" t="s">
        <v>816</v>
      </c>
      <c r="AY167" s="150" t="s">
        <v>1841</v>
      </c>
      <c r="AZ167" s="149">
        <v>5</v>
      </c>
      <c r="BA167" s="149" t="s">
        <v>1843</v>
      </c>
      <c r="BB167" s="150" t="s">
        <v>816</v>
      </c>
      <c r="BC167" s="149">
        <v>4</v>
      </c>
      <c r="BD167" s="149">
        <v>20</v>
      </c>
      <c r="BE167" s="149" t="s">
        <v>1842</v>
      </c>
      <c r="BF167" s="149">
        <v>5</v>
      </c>
      <c r="BG167" s="149" t="s">
        <v>1879</v>
      </c>
      <c r="BH167" s="149">
        <v>2</v>
      </c>
      <c r="BI167" s="149">
        <v>4</v>
      </c>
      <c r="BJ167" s="150" t="s">
        <v>816</v>
      </c>
      <c r="BK167" s="209" t="s">
        <v>816</v>
      </c>
      <c r="BL167" s="209" t="s">
        <v>816</v>
      </c>
      <c r="BM167" s="209" t="s">
        <v>816</v>
      </c>
      <c r="BN167" s="209" t="s">
        <v>816</v>
      </c>
      <c r="BO167" s="209" t="s">
        <v>816</v>
      </c>
      <c r="BP167" s="209" t="s">
        <v>816</v>
      </c>
      <c r="BQ167" s="209" t="s">
        <v>816</v>
      </c>
      <c r="BR167" s="209" t="s">
        <v>816</v>
      </c>
      <c r="BS167" s="209" t="s">
        <v>816</v>
      </c>
      <c r="BT167" s="209" t="s">
        <v>816</v>
      </c>
      <c r="BU167" s="209" t="s">
        <v>816</v>
      </c>
      <c r="BV167" s="209" t="s">
        <v>816</v>
      </c>
    </row>
    <row r="168" spans="1:74" x14ac:dyDescent="0.25">
      <c r="A168" s="149" t="s">
        <v>1916</v>
      </c>
      <c r="B168" s="149" t="s">
        <v>2243</v>
      </c>
      <c r="D168" s="149">
        <v>4</v>
      </c>
      <c r="E168" s="149">
        <v>3</v>
      </c>
      <c r="F168" s="149">
        <v>3</v>
      </c>
      <c r="G168" s="149">
        <v>2</v>
      </c>
      <c r="H168" s="149">
        <v>2</v>
      </c>
      <c r="I168" s="149">
        <v>2</v>
      </c>
      <c r="J168" s="149">
        <v>2</v>
      </c>
      <c r="K168" s="149">
        <v>2</v>
      </c>
      <c r="L168" s="149">
        <v>2</v>
      </c>
      <c r="M168" s="149">
        <v>1</v>
      </c>
      <c r="N168" s="149">
        <v>1</v>
      </c>
      <c r="O168" s="149">
        <v>3</v>
      </c>
      <c r="P168" s="149">
        <v>7</v>
      </c>
      <c r="Q168" s="149">
        <v>4</v>
      </c>
      <c r="R168" s="149">
        <f t="shared" si="6"/>
        <v>3</v>
      </c>
      <c r="S168" s="149">
        <f t="shared" si="7"/>
        <v>2</v>
      </c>
      <c r="T168" s="149">
        <v>0</v>
      </c>
      <c r="U168" s="149" t="s">
        <v>156</v>
      </c>
      <c r="V168" s="149">
        <v>3</v>
      </c>
      <c r="W168" s="149" t="s">
        <v>157</v>
      </c>
      <c r="X168" s="149">
        <v>2</v>
      </c>
      <c r="Y168" s="149" t="s">
        <v>158</v>
      </c>
      <c r="Z168" s="149">
        <v>1</v>
      </c>
      <c r="AA168" s="149" t="s">
        <v>159</v>
      </c>
      <c r="AB168" s="149">
        <v>4</v>
      </c>
      <c r="AC168" s="150" t="s">
        <v>1831</v>
      </c>
      <c r="AD168" s="257" t="s">
        <v>1840</v>
      </c>
      <c r="AE168" s="257" t="s">
        <v>1921</v>
      </c>
      <c r="AF168" s="257" t="s">
        <v>494</v>
      </c>
      <c r="AG168" s="149" t="s">
        <v>702</v>
      </c>
      <c r="AH168" s="149">
        <v>5</v>
      </c>
      <c r="AI168" s="149" t="s">
        <v>1878</v>
      </c>
      <c r="AJ168" s="150" t="s">
        <v>816</v>
      </c>
      <c r="AK168" s="149">
        <v>6</v>
      </c>
      <c r="AL168" s="150" t="s">
        <v>816</v>
      </c>
      <c r="AM168" s="149" t="s">
        <v>720</v>
      </c>
      <c r="AN168" s="149">
        <v>4</v>
      </c>
      <c r="AO168" s="149" t="s">
        <v>1877</v>
      </c>
      <c r="AP168" s="149">
        <v>1</v>
      </c>
      <c r="AQ168" s="149">
        <v>5</v>
      </c>
      <c r="AR168" s="150" t="s">
        <v>816</v>
      </c>
      <c r="AS168" s="149" t="s">
        <v>721</v>
      </c>
      <c r="AT168" s="149">
        <v>6</v>
      </c>
      <c r="AU168" s="149" t="s">
        <v>1878</v>
      </c>
      <c r="AV168" s="149">
        <v>3</v>
      </c>
      <c r="AW168" s="149">
        <v>4</v>
      </c>
      <c r="AX168" s="150" t="s">
        <v>816</v>
      </c>
      <c r="AY168" s="150" t="s">
        <v>1841</v>
      </c>
      <c r="AZ168" s="149">
        <v>5</v>
      </c>
      <c r="BA168" s="149" t="s">
        <v>1843</v>
      </c>
      <c r="BB168" s="150" t="s">
        <v>816</v>
      </c>
      <c r="BC168" s="149">
        <v>4</v>
      </c>
      <c r="BD168" s="149">
        <v>20</v>
      </c>
      <c r="BE168" s="149" t="s">
        <v>1842</v>
      </c>
      <c r="BF168" s="149">
        <v>5</v>
      </c>
      <c r="BG168" s="149" t="s">
        <v>1865</v>
      </c>
      <c r="BH168" s="149">
        <v>2</v>
      </c>
      <c r="BI168" s="149">
        <v>4</v>
      </c>
      <c r="BJ168" s="150" t="s">
        <v>816</v>
      </c>
      <c r="BK168" s="209" t="s">
        <v>816</v>
      </c>
      <c r="BL168" s="209" t="s">
        <v>816</v>
      </c>
      <c r="BM168" s="209" t="s">
        <v>816</v>
      </c>
      <c r="BN168" s="209" t="s">
        <v>816</v>
      </c>
      <c r="BO168" s="209" t="s">
        <v>816</v>
      </c>
      <c r="BP168" s="209" t="s">
        <v>816</v>
      </c>
      <c r="BQ168" s="209" t="s">
        <v>816</v>
      </c>
      <c r="BR168" s="209" t="s">
        <v>816</v>
      </c>
      <c r="BS168" s="209" t="s">
        <v>816</v>
      </c>
      <c r="BT168" s="209" t="s">
        <v>816</v>
      </c>
      <c r="BU168" s="209" t="s">
        <v>816</v>
      </c>
      <c r="BV168" s="209" t="s">
        <v>816</v>
      </c>
    </row>
    <row r="169" spans="1:74" x14ac:dyDescent="0.25">
      <c r="A169" s="149" t="s">
        <v>1868</v>
      </c>
      <c r="B169" s="149" t="s">
        <v>2243</v>
      </c>
      <c r="D169" s="149">
        <v>4</v>
      </c>
      <c r="E169" s="149">
        <v>4</v>
      </c>
      <c r="F169" s="149">
        <v>4</v>
      </c>
      <c r="G169" s="149">
        <v>3</v>
      </c>
      <c r="H169" s="149">
        <v>2</v>
      </c>
      <c r="I169" s="149">
        <v>3</v>
      </c>
      <c r="J169" s="149">
        <v>3</v>
      </c>
      <c r="K169" s="149">
        <v>3</v>
      </c>
      <c r="L169" s="149">
        <v>4</v>
      </c>
      <c r="M169" s="149">
        <v>0</v>
      </c>
      <c r="N169" s="149">
        <v>0</v>
      </c>
      <c r="O169" s="149">
        <v>4</v>
      </c>
      <c r="P169" s="149">
        <v>6</v>
      </c>
      <c r="Q169" s="149">
        <v>7</v>
      </c>
      <c r="R169" s="149">
        <v>6</v>
      </c>
      <c r="S169" s="149">
        <v>2</v>
      </c>
      <c r="T169" s="149">
        <v>2</v>
      </c>
      <c r="U169" s="209" t="s">
        <v>816</v>
      </c>
      <c r="V169" s="209" t="s">
        <v>816</v>
      </c>
      <c r="W169" s="209" t="s">
        <v>816</v>
      </c>
      <c r="X169" s="209" t="s">
        <v>816</v>
      </c>
      <c r="Y169" s="209" t="s">
        <v>816</v>
      </c>
      <c r="Z169" s="209" t="s">
        <v>816</v>
      </c>
      <c r="AA169" s="209" t="s">
        <v>816</v>
      </c>
      <c r="AB169" s="209" t="s">
        <v>816</v>
      </c>
      <c r="AC169" s="150" t="s">
        <v>1831</v>
      </c>
      <c r="AD169" s="257" t="s">
        <v>1876</v>
      </c>
      <c r="AE169" s="257" t="s">
        <v>494</v>
      </c>
      <c r="AF169" s="257" t="s">
        <v>2313</v>
      </c>
      <c r="AG169" s="149" t="s">
        <v>720</v>
      </c>
      <c r="AH169" s="149">
        <v>7</v>
      </c>
      <c r="AI169" s="149" t="s">
        <v>1877</v>
      </c>
      <c r="AJ169" s="149">
        <v>3</v>
      </c>
      <c r="AK169" s="149">
        <v>5</v>
      </c>
      <c r="AL169" s="150" t="s">
        <v>816</v>
      </c>
      <c r="AM169" s="149" t="s">
        <v>721</v>
      </c>
      <c r="AN169" s="149">
        <v>9</v>
      </c>
      <c r="AO169" s="149" t="s">
        <v>1878</v>
      </c>
      <c r="AP169" s="149">
        <v>4</v>
      </c>
      <c r="AQ169" s="149">
        <v>4</v>
      </c>
      <c r="AR169" s="150" t="s">
        <v>816</v>
      </c>
      <c r="AS169" s="149" t="s">
        <v>739</v>
      </c>
      <c r="AT169" s="149">
        <v>7</v>
      </c>
      <c r="AU169" s="149" t="s">
        <v>1865</v>
      </c>
      <c r="AV169" s="150" t="s">
        <v>816</v>
      </c>
      <c r="AW169" s="149">
        <v>5</v>
      </c>
      <c r="AX169" s="149">
        <v>125</v>
      </c>
      <c r="AY169" s="150" t="s">
        <v>738</v>
      </c>
      <c r="AZ169" s="149">
        <v>8</v>
      </c>
      <c r="BA169" s="149" t="s">
        <v>1865</v>
      </c>
      <c r="BB169" s="150" t="s">
        <v>816</v>
      </c>
      <c r="BC169" s="149">
        <v>5</v>
      </c>
      <c r="BD169" s="149">
        <v>150</v>
      </c>
      <c r="BE169" s="149" t="s">
        <v>731</v>
      </c>
      <c r="BF169" s="149">
        <v>9</v>
      </c>
      <c r="BG169" s="149" t="s">
        <v>1843</v>
      </c>
      <c r="BH169" s="150" t="s">
        <v>816</v>
      </c>
      <c r="BI169" s="149">
        <v>4</v>
      </c>
      <c r="BJ169" s="149">
        <v>20</v>
      </c>
      <c r="BK169" s="149" t="s">
        <v>733</v>
      </c>
      <c r="BL169" s="149">
        <v>8</v>
      </c>
      <c r="BM169" s="149" t="s">
        <v>1865</v>
      </c>
      <c r="BN169" s="150" t="s">
        <v>816</v>
      </c>
      <c r="BO169" s="149">
        <v>5</v>
      </c>
      <c r="BP169" s="149">
        <v>50</v>
      </c>
      <c r="BQ169" s="149" t="s">
        <v>734</v>
      </c>
      <c r="BR169" s="149">
        <v>10</v>
      </c>
      <c r="BS169" s="149" t="s">
        <v>1879</v>
      </c>
      <c r="BT169" s="150" t="s">
        <v>816</v>
      </c>
      <c r="BU169" s="149">
        <v>5</v>
      </c>
      <c r="BV169" s="149">
        <v>20</v>
      </c>
    </row>
    <row r="170" spans="1:74" x14ac:dyDescent="0.25">
      <c r="A170" s="149" t="s">
        <v>1851</v>
      </c>
      <c r="B170" s="149" t="s">
        <v>2243</v>
      </c>
      <c r="D170" s="149">
        <v>3</v>
      </c>
      <c r="E170" s="149">
        <v>3</v>
      </c>
      <c r="F170" s="149">
        <v>3</v>
      </c>
      <c r="G170" s="149">
        <v>2</v>
      </c>
      <c r="H170" s="149">
        <v>2</v>
      </c>
      <c r="I170" s="149">
        <v>2</v>
      </c>
      <c r="J170" s="149">
        <v>3</v>
      </c>
      <c r="K170" s="149">
        <v>2</v>
      </c>
      <c r="L170" s="149">
        <v>3</v>
      </c>
      <c r="M170" s="149">
        <v>0</v>
      </c>
      <c r="N170" s="149">
        <v>0</v>
      </c>
      <c r="O170" s="149">
        <v>3</v>
      </c>
      <c r="P170" s="149">
        <v>5</v>
      </c>
      <c r="Q170" s="149">
        <v>6</v>
      </c>
      <c r="R170" s="149">
        <v>5</v>
      </c>
      <c r="S170" s="149">
        <v>2</v>
      </c>
      <c r="T170" s="149">
        <v>2</v>
      </c>
      <c r="U170" s="209" t="s">
        <v>816</v>
      </c>
      <c r="V170" s="209" t="s">
        <v>816</v>
      </c>
      <c r="W170" s="209" t="s">
        <v>816</v>
      </c>
      <c r="X170" s="209" t="s">
        <v>816</v>
      </c>
      <c r="Y170" s="209" t="s">
        <v>816</v>
      </c>
      <c r="Z170" s="209" t="s">
        <v>816</v>
      </c>
      <c r="AA170" s="209" t="s">
        <v>816</v>
      </c>
      <c r="AB170" s="209" t="s">
        <v>816</v>
      </c>
      <c r="AC170" s="150" t="s">
        <v>1831</v>
      </c>
      <c r="AD170" s="257" t="s">
        <v>1875</v>
      </c>
      <c r="AE170" s="257" t="s">
        <v>494</v>
      </c>
      <c r="AF170" s="257" t="s">
        <v>1903</v>
      </c>
      <c r="AG170" s="149" t="s">
        <v>702</v>
      </c>
      <c r="AH170" s="149">
        <v>6</v>
      </c>
      <c r="AI170" s="149" t="s">
        <v>1859</v>
      </c>
      <c r="AJ170" s="150" t="s">
        <v>816</v>
      </c>
      <c r="AK170" s="149">
        <v>6</v>
      </c>
      <c r="AL170" s="150" t="s">
        <v>816</v>
      </c>
      <c r="AM170" s="149" t="s">
        <v>720</v>
      </c>
      <c r="AN170" s="149">
        <v>5</v>
      </c>
      <c r="AO170" s="149" t="s">
        <v>1864</v>
      </c>
      <c r="AP170" s="149">
        <v>2</v>
      </c>
      <c r="AQ170" s="149">
        <v>5</v>
      </c>
      <c r="AR170" s="150" t="s">
        <v>816</v>
      </c>
      <c r="AS170" s="149" t="s">
        <v>721</v>
      </c>
      <c r="AT170" s="149">
        <v>7</v>
      </c>
      <c r="AU170" s="149" t="s">
        <v>1859</v>
      </c>
      <c r="AV170" s="149">
        <v>3</v>
      </c>
      <c r="AW170" s="149">
        <v>4</v>
      </c>
      <c r="AX170" s="150" t="s">
        <v>816</v>
      </c>
      <c r="AY170" s="150" t="s">
        <v>738</v>
      </c>
      <c r="AZ170" s="149">
        <v>6</v>
      </c>
      <c r="BA170" s="149" t="s">
        <v>1865</v>
      </c>
      <c r="BB170" s="150" t="s">
        <v>816</v>
      </c>
      <c r="BC170" s="149">
        <v>5</v>
      </c>
      <c r="BD170" s="150">
        <v>150</v>
      </c>
      <c r="BE170" s="149" t="s">
        <v>732</v>
      </c>
      <c r="BF170" s="149">
        <v>7</v>
      </c>
      <c r="BG170" s="149" t="s">
        <v>1843</v>
      </c>
      <c r="BH170" s="150" t="s">
        <v>816</v>
      </c>
      <c r="BI170" s="149">
        <v>4</v>
      </c>
      <c r="BJ170" s="150">
        <v>20</v>
      </c>
      <c r="BK170" s="209" t="s">
        <v>816</v>
      </c>
      <c r="BL170" s="209" t="s">
        <v>816</v>
      </c>
      <c r="BM170" s="209" t="s">
        <v>816</v>
      </c>
      <c r="BN170" s="209" t="s">
        <v>816</v>
      </c>
      <c r="BO170" s="209" t="s">
        <v>816</v>
      </c>
      <c r="BP170" s="209" t="s">
        <v>816</v>
      </c>
      <c r="BQ170" s="209" t="s">
        <v>816</v>
      </c>
      <c r="BR170" s="209" t="s">
        <v>816</v>
      </c>
      <c r="BS170" s="209" t="s">
        <v>816</v>
      </c>
      <c r="BT170" s="209" t="s">
        <v>816</v>
      </c>
      <c r="BU170" s="209" t="s">
        <v>816</v>
      </c>
      <c r="BV170" s="209" t="s">
        <v>816</v>
      </c>
    </row>
    <row r="171" spans="1:74" x14ac:dyDescent="0.25">
      <c r="A171" s="149" t="s">
        <v>1945</v>
      </c>
      <c r="B171" s="149" t="s">
        <v>2243</v>
      </c>
      <c r="D171" s="149">
        <v>3</v>
      </c>
      <c r="E171" s="149">
        <v>3</v>
      </c>
      <c r="F171" s="149">
        <v>2</v>
      </c>
      <c r="G171" s="149">
        <v>2</v>
      </c>
      <c r="H171" s="149">
        <v>2</v>
      </c>
      <c r="I171" s="149">
        <v>2</v>
      </c>
      <c r="J171" s="149">
        <v>2</v>
      </c>
      <c r="K171" s="149">
        <v>2</v>
      </c>
      <c r="L171" s="149">
        <v>2</v>
      </c>
      <c r="M171" s="149">
        <v>1</v>
      </c>
      <c r="N171" s="149">
        <v>1</v>
      </c>
      <c r="O171" s="149">
        <v>3</v>
      </c>
      <c r="P171" s="149">
        <v>4</v>
      </c>
      <c r="Q171" s="149">
        <v>3</v>
      </c>
      <c r="R171" s="149">
        <v>2</v>
      </c>
      <c r="S171" s="149">
        <v>1</v>
      </c>
      <c r="T171" s="149">
        <v>0</v>
      </c>
      <c r="U171" s="209" t="s">
        <v>816</v>
      </c>
      <c r="V171" s="209" t="s">
        <v>816</v>
      </c>
      <c r="W171" s="209" t="s">
        <v>816</v>
      </c>
      <c r="X171" s="209" t="s">
        <v>816</v>
      </c>
      <c r="Y171" s="209" t="s">
        <v>816</v>
      </c>
      <c r="Z171" s="209" t="s">
        <v>816</v>
      </c>
      <c r="AA171" s="209" t="s">
        <v>816</v>
      </c>
      <c r="AB171" s="209" t="s">
        <v>816</v>
      </c>
      <c r="AC171" s="150" t="s">
        <v>1950</v>
      </c>
      <c r="AD171" s="257" t="s">
        <v>1832</v>
      </c>
      <c r="AE171" s="258" t="s">
        <v>2322</v>
      </c>
      <c r="AF171" s="257" t="s">
        <v>2324</v>
      </c>
      <c r="AG171" s="149" t="s">
        <v>702</v>
      </c>
      <c r="AH171" s="149">
        <v>4</v>
      </c>
      <c r="AI171" s="149" t="s">
        <v>1859</v>
      </c>
      <c r="AJ171" s="150" t="s">
        <v>816</v>
      </c>
      <c r="AK171" s="149">
        <v>6</v>
      </c>
      <c r="AL171" s="150" t="s">
        <v>816</v>
      </c>
      <c r="AM171" s="149" t="s">
        <v>720</v>
      </c>
      <c r="AN171" s="149">
        <v>3</v>
      </c>
      <c r="AO171" s="149" t="s">
        <v>1864</v>
      </c>
      <c r="AP171" s="149">
        <v>0</v>
      </c>
      <c r="AQ171" s="149">
        <v>5</v>
      </c>
      <c r="AR171" s="150" t="s">
        <v>816</v>
      </c>
      <c r="AS171" s="149" t="s">
        <v>721</v>
      </c>
      <c r="AT171" s="149">
        <v>5</v>
      </c>
      <c r="AU171" s="149" t="s">
        <v>1859</v>
      </c>
      <c r="AV171" s="149">
        <v>2</v>
      </c>
      <c r="AW171" s="149">
        <v>4</v>
      </c>
      <c r="AX171" s="150" t="s">
        <v>816</v>
      </c>
      <c r="AY171" s="209" t="s">
        <v>816</v>
      </c>
      <c r="AZ171" s="209" t="s">
        <v>816</v>
      </c>
      <c r="BA171" s="209" t="s">
        <v>816</v>
      </c>
      <c r="BB171" s="209" t="s">
        <v>816</v>
      </c>
      <c r="BC171" s="209" t="s">
        <v>816</v>
      </c>
      <c r="BD171" s="209" t="s">
        <v>816</v>
      </c>
      <c r="BE171" s="209" t="s">
        <v>816</v>
      </c>
      <c r="BF171" s="209" t="s">
        <v>816</v>
      </c>
      <c r="BG171" s="209" t="s">
        <v>816</v>
      </c>
      <c r="BH171" s="209" t="s">
        <v>816</v>
      </c>
      <c r="BI171" s="209" t="s">
        <v>816</v>
      </c>
      <c r="BJ171" s="209" t="s">
        <v>816</v>
      </c>
      <c r="BK171" s="209" t="s">
        <v>816</v>
      </c>
      <c r="BL171" s="209" t="s">
        <v>816</v>
      </c>
      <c r="BM171" s="209" t="s">
        <v>816</v>
      </c>
      <c r="BN171" s="209" t="s">
        <v>816</v>
      </c>
      <c r="BO171" s="209" t="s">
        <v>816</v>
      </c>
      <c r="BP171" s="209" t="s">
        <v>816</v>
      </c>
      <c r="BQ171" s="209" t="s">
        <v>816</v>
      </c>
      <c r="BR171" s="209" t="s">
        <v>816</v>
      </c>
      <c r="BS171" s="209" t="s">
        <v>816</v>
      </c>
      <c r="BT171" s="209" t="s">
        <v>816</v>
      </c>
      <c r="BU171" s="209" t="s">
        <v>816</v>
      </c>
      <c r="BV171" s="209" t="s">
        <v>816</v>
      </c>
    </row>
    <row r="172" spans="1:74" x14ac:dyDescent="0.25">
      <c r="A172" s="149" t="s">
        <v>1871</v>
      </c>
      <c r="B172" s="149" t="s">
        <v>2243</v>
      </c>
      <c r="D172" s="149">
        <v>4</v>
      </c>
      <c r="E172" s="149">
        <v>4</v>
      </c>
      <c r="F172" s="149">
        <v>4</v>
      </c>
      <c r="G172" s="149">
        <v>3</v>
      </c>
      <c r="H172" s="149">
        <v>2</v>
      </c>
      <c r="I172" s="149">
        <v>3</v>
      </c>
      <c r="J172" s="149">
        <v>3</v>
      </c>
      <c r="K172" s="149">
        <v>3</v>
      </c>
      <c r="L172" s="149">
        <v>4</v>
      </c>
      <c r="M172" s="149">
        <v>0</v>
      </c>
      <c r="N172" s="149">
        <v>0</v>
      </c>
      <c r="O172" s="149">
        <v>4</v>
      </c>
      <c r="P172" s="149">
        <v>6</v>
      </c>
      <c r="Q172" s="149">
        <v>7</v>
      </c>
      <c r="R172" s="149">
        <v>6</v>
      </c>
      <c r="S172" s="149">
        <v>2</v>
      </c>
      <c r="T172" s="149">
        <v>2</v>
      </c>
      <c r="U172" s="209" t="s">
        <v>816</v>
      </c>
      <c r="V172" s="209" t="s">
        <v>816</v>
      </c>
      <c r="W172" s="209" t="s">
        <v>816</v>
      </c>
      <c r="X172" s="209" t="s">
        <v>816</v>
      </c>
      <c r="Y172" s="209" t="s">
        <v>816</v>
      </c>
      <c r="Z172" s="209" t="s">
        <v>816</v>
      </c>
      <c r="AA172" s="209" t="s">
        <v>816</v>
      </c>
      <c r="AB172" s="209" t="s">
        <v>816</v>
      </c>
      <c r="AC172" s="150" t="s">
        <v>1831</v>
      </c>
      <c r="AD172" s="257" t="s">
        <v>1876</v>
      </c>
      <c r="AE172" s="257" t="s">
        <v>494</v>
      </c>
      <c r="AF172" s="257" t="s">
        <v>2316</v>
      </c>
      <c r="AG172" s="149" t="s">
        <v>720</v>
      </c>
      <c r="AH172" s="149">
        <v>7</v>
      </c>
      <c r="AI172" s="149" t="s">
        <v>1877</v>
      </c>
      <c r="AJ172" s="149">
        <v>3</v>
      </c>
      <c r="AK172" s="149">
        <v>5</v>
      </c>
      <c r="AL172" s="150" t="s">
        <v>816</v>
      </c>
      <c r="AM172" s="149" t="s">
        <v>721</v>
      </c>
      <c r="AN172" s="149">
        <v>9</v>
      </c>
      <c r="AO172" s="149" t="s">
        <v>1878</v>
      </c>
      <c r="AP172" s="149">
        <v>4</v>
      </c>
      <c r="AQ172" s="149">
        <v>4</v>
      </c>
      <c r="AR172" s="150" t="s">
        <v>816</v>
      </c>
      <c r="AS172" s="149" t="s">
        <v>739</v>
      </c>
      <c r="AT172" s="149">
        <v>7</v>
      </c>
      <c r="AU172" s="149" t="s">
        <v>1865</v>
      </c>
      <c r="AV172" s="150" t="s">
        <v>816</v>
      </c>
      <c r="AW172" s="149">
        <v>5</v>
      </c>
      <c r="AX172" s="149">
        <v>125</v>
      </c>
      <c r="AY172" s="150" t="s">
        <v>738</v>
      </c>
      <c r="AZ172" s="149">
        <v>8</v>
      </c>
      <c r="BA172" s="149" t="s">
        <v>1865</v>
      </c>
      <c r="BB172" s="150" t="s">
        <v>816</v>
      </c>
      <c r="BC172" s="149">
        <v>5</v>
      </c>
      <c r="BD172" s="149">
        <v>150</v>
      </c>
      <c r="BE172" s="149" t="s">
        <v>731</v>
      </c>
      <c r="BF172" s="149">
        <v>9</v>
      </c>
      <c r="BG172" s="149" t="s">
        <v>1843</v>
      </c>
      <c r="BH172" s="150" t="s">
        <v>816</v>
      </c>
      <c r="BI172" s="149">
        <v>4</v>
      </c>
      <c r="BJ172" s="149">
        <v>20</v>
      </c>
      <c r="BK172" s="149" t="s">
        <v>733</v>
      </c>
      <c r="BL172" s="149">
        <v>8</v>
      </c>
      <c r="BM172" s="149" t="s">
        <v>1865</v>
      </c>
      <c r="BN172" s="150" t="s">
        <v>816</v>
      </c>
      <c r="BO172" s="149">
        <v>5</v>
      </c>
      <c r="BP172" s="149">
        <v>50</v>
      </c>
      <c r="BQ172" s="149" t="s">
        <v>734</v>
      </c>
      <c r="BR172" s="149">
        <v>10</v>
      </c>
      <c r="BS172" s="149" t="s">
        <v>1879</v>
      </c>
      <c r="BT172" s="150" t="s">
        <v>816</v>
      </c>
      <c r="BU172" s="149">
        <v>5</v>
      </c>
      <c r="BV172" s="149">
        <v>20</v>
      </c>
    </row>
    <row r="173" spans="1:74" x14ac:dyDescent="0.25">
      <c r="A173" s="149" t="s">
        <v>1962</v>
      </c>
      <c r="B173" s="149" t="s">
        <v>2243</v>
      </c>
      <c r="D173" s="149">
        <v>5</v>
      </c>
      <c r="E173" s="149">
        <v>1</v>
      </c>
      <c r="F173" s="149">
        <v>6</v>
      </c>
      <c r="G173" s="149">
        <v>1</v>
      </c>
      <c r="H173" s="149">
        <v>1</v>
      </c>
      <c r="I173" s="149">
        <v>0</v>
      </c>
      <c r="J173" s="149">
        <v>2</v>
      </c>
      <c r="K173" s="149">
        <v>1</v>
      </c>
      <c r="L173" s="149">
        <v>1</v>
      </c>
      <c r="M173" s="149">
        <v>1</v>
      </c>
      <c r="N173" s="149">
        <v>1</v>
      </c>
      <c r="O173" s="149">
        <v>1</v>
      </c>
      <c r="P173" s="149">
        <v>3</v>
      </c>
      <c r="Q173" s="149">
        <v>3</v>
      </c>
      <c r="R173" s="149">
        <v>6</v>
      </c>
      <c r="S173" s="149">
        <v>6</v>
      </c>
      <c r="T173" s="149">
        <v>0</v>
      </c>
      <c r="U173" s="209" t="s">
        <v>816</v>
      </c>
      <c r="V173" s="209" t="s">
        <v>816</v>
      </c>
      <c r="W173" s="209" t="s">
        <v>816</v>
      </c>
      <c r="X173" s="209" t="s">
        <v>816</v>
      </c>
      <c r="Y173" s="209" t="s">
        <v>816</v>
      </c>
      <c r="Z173" s="209" t="s">
        <v>816</v>
      </c>
      <c r="AA173" s="209" t="s">
        <v>816</v>
      </c>
      <c r="AB173" s="209" t="s">
        <v>816</v>
      </c>
      <c r="AC173" s="150" t="s">
        <v>1966</v>
      </c>
      <c r="AD173" s="257" t="s">
        <v>1967</v>
      </c>
      <c r="AE173" s="257" t="s">
        <v>494</v>
      </c>
      <c r="AF173" s="257" t="s">
        <v>2323</v>
      </c>
      <c r="AG173" s="149" t="s">
        <v>702</v>
      </c>
      <c r="AH173" s="149">
        <v>4</v>
      </c>
      <c r="AI173" s="149" t="s">
        <v>1834</v>
      </c>
      <c r="AJ173" s="150" t="s">
        <v>816</v>
      </c>
      <c r="AK173" s="149">
        <v>6</v>
      </c>
      <c r="AL173" s="150" t="s">
        <v>816</v>
      </c>
      <c r="AM173" s="149" t="s">
        <v>720</v>
      </c>
      <c r="AN173" s="149">
        <v>3</v>
      </c>
      <c r="AO173" s="149" t="s">
        <v>1922</v>
      </c>
      <c r="AP173" s="149">
        <v>1</v>
      </c>
      <c r="AQ173" s="149">
        <v>5</v>
      </c>
      <c r="AR173" s="150" t="s">
        <v>816</v>
      </c>
      <c r="AS173" s="149" t="s">
        <v>721</v>
      </c>
      <c r="AT173" s="149">
        <v>5</v>
      </c>
      <c r="AU173" s="149" t="s">
        <v>1834</v>
      </c>
      <c r="AV173" s="149">
        <v>2</v>
      </c>
      <c r="AW173" s="149">
        <v>4</v>
      </c>
      <c r="AX173" s="150" t="s">
        <v>816</v>
      </c>
      <c r="AY173" s="209" t="s">
        <v>816</v>
      </c>
      <c r="AZ173" s="209" t="s">
        <v>816</v>
      </c>
      <c r="BA173" s="209" t="s">
        <v>816</v>
      </c>
      <c r="BB173" s="209" t="s">
        <v>816</v>
      </c>
      <c r="BC173" s="209" t="s">
        <v>816</v>
      </c>
      <c r="BD173" s="209" t="s">
        <v>816</v>
      </c>
      <c r="BE173" s="209" t="s">
        <v>816</v>
      </c>
      <c r="BF173" s="209" t="s">
        <v>816</v>
      </c>
      <c r="BG173" s="209" t="s">
        <v>816</v>
      </c>
      <c r="BH173" s="209" t="s">
        <v>816</v>
      </c>
      <c r="BI173" s="209" t="s">
        <v>816</v>
      </c>
      <c r="BJ173" s="209" t="s">
        <v>816</v>
      </c>
      <c r="BK173" s="209" t="s">
        <v>816</v>
      </c>
      <c r="BL173" s="209" t="s">
        <v>816</v>
      </c>
      <c r="BM173" s="209" t="s">
        <v>816</v>
      </c>
      <c r="BN173" s="209" t="s">
        <v>816</v>
      </c>
      <c r="BO173" s="209" t="s">
        <v>816</v>
      </c>
      <c r="BP173" s="209" t="s">
        <v>816</v>
      </c>
      <c r="BQ173" s="209" t="s">
        <v>816</v>
      </c>
      <c r="BR173" s="209" t="s">
        <v>816</v>
      </c>
      <c r="BS173" s="209" t="s">
        <v>816</v>
      </c>
      <c r="BT173" s="209" t="s">
        <v>816</v>
      </c>
      <c r="BU173" s="209" t="s">
        <v>816</v>
      </c>
      <c r="BV173" s="209" t="s">
        <v>816</v>
      </c>
    </row>
    <row r="174" spans="1:74" x14ac:dyDescent="0.25">
      <c r="A174" s="149" t="s">
        <v>1847</v>
      </c>
      <c r="B174" s="149" t="s">
        <v>2243</v>
      </c>
      <c r="D174" s="149">
        <v>3</v>
      </c>
      <c r="E174" s="149">
        <v>3</v>
      </c>
      <c r="F174" s="149">
        <v>3</v>
      </c>
      <c r="G174" s="149">
        <v>2</v>
      </c>
      <c r="H174" s="149">
        <v>2</v>
      </c>
      <c r="I174" s="149">
        <v>2</v>
      </c>
      <c r="J174" s="149">
        <v>3</v>
      </c>
      <c r="K174" s="149">
        <v>2</v>
      </c>
      <c r="L174" s="149">
        <v>3</v>
      </c>
      <c r="M174" s="149">
        <v>0</v>
      </c>
      <c r="N174" s="149">
        <v>0</v>
      </c>
      <c r="O174" s="149">
        <v>3</v>
      </c>
      <c r="P174" s="149">
        <v>5</v>
      </c>
      <c r="Q174" s="149">
        <v>6</v>
      </c>
      <c r="R174" s="149">
        <v>5</v>
      </c>
      <c r="S174" s="149">
        <v>2</v>
      </c>
      <c r="T174" s="149">
        <v>2</v>
      </c>
      <c r="U174" s="209" t="s">
        <v>816</v>
      </c>
      <c r="V174" s="209" t="s">
        <v>816</v>
      </c>
      <c r="W174" s="209" t="s">
        <v>816</v>
      </c>
      <c r="X174" s="209" t="s">
        <v>816</v>
      </c>
      <c r="Y174" s="209" t="s">
        <v>816</v>
      </c>
      <c r="Z174" s="209" t="s">
        <v>816</v>
      </c>
      <c r="AA174" s="209" t="s">
        <v>816</v>
      </c>
      <c r="AB174" s="209" t="s">
        <v>816</v>
      </c>
      <c r="AC174" s="150" t="s">
        <v>1831</v>
      </c>
      <c r="AD174" s="257" t="s">
        <v>1875</v>
      </c>
      <c r="AE174" s="257" t="s">
        <v>494</v>
      </c>
      <c r="AF174" s="257" t="s">
        <v>1901</v>
      </c>
      <c r="AG174" s="149" t="s">
        <v>702</v>
      </c>
      <c r="AH174" s="149">
        <v>6</v>
      </c>
      <c r="AI174" s="149" t="s">
        <v>1859</v>
      </c>
      <c r="AJ174" s="150" t="s">
        <v>816</v>
      </c>
      <c r="AK174" s="149">
        <v>6</v>
      </c>
      <c r="AL174" s="150" t="s">
        <v>816</v>
      </c>
      <c r="AM174" s="149" t="s">
        <v>720</v>
      </c>
      <c r="AN174" s="149">
        <v>5</v>
      </c>
      <c r="AO174" s="149" t="s">
        <v>1864</v>
      </c>
      <c r="AP174" s="149">
        <v>2</v>
      </c>
      <c r="AQ174" s="149">
        <v>5</v>
      </c>
      <c r="AR174" s="150" t="s">
        <v>816</v>
      </c>
      <c r="AS174" s="149" t="s">
        <v>721</v>
      </c>
      <c r="AT174" s="149">
        <v>7</v>
      </c>
      <c r="AU174" s="149" t="s">
        <v>1859</v>
      </c>
      <c r="AV174" s="149">
        <v>3</v>
      </c>
      <c r="AW174" s="149">
        <v>4</v>
      </c>
      <c r="AX174" s="150" t="s">
        <v>816</v>
      </c>
      <c r="AY174" s="150" t="s">
        <v>1858</v>
      </c>
      <c r="AZ174" s="149">
        <v>6</v>
      </c>
      <c r="BA174" s="149" t="s">
        <v>1859</v>
      </c>
      <c r="BB174" s="150">
        <v>3</v>
      </c>
      <c r="BC174" s="149">
        <v>4</v>
      </c>
      <c r="BD174" s="150" t="s">
        <v>816</v>
      </c>
      <c r="BE174" s="149" t="s">
        <v>732</v>
      </c>
      <c r="BF174" s="149">
        <v>7</v>
      </c>
      <c r="BG174" s="149" t="s">
        <v>1843</v>
      </c>
      <c r="BH174" s="150" t="s">
        <v>816</v>
      </c>
      <c r="BI174" s="149">
        <v>4</v>
      </c>
      <c r="BJ174" s="150">
        <v>20</v>
      </c>
      <c r="BK174" s="209" t="s">
        <v>816</v>
      </c>
      <c r="BL174" s="209" t="s">
        <v>816</v>
      </c>
      <c r="BM174" s="209" t="s">
        <v>816</v>
      </c>
      <c r="BN174" s="209" t="s">
        <v>816</v>
      </c>
      <c r="BO174" s="209" t="s">
        <v>816</v>
      </c>
      <c r="BP174" s="209" t="s">
        <v>816</v>
      </c>
      <c r="BQ174" s="209" t="s">
        <v>816</v>
      </c>
      <c r="BR174" s="209" t="s">
        <v>816</v>
      </c>
      <c r="BS174" s="209" t="s">
        <v>816</v>
      </c>
      <c r="BT174" s="209" t="s">
        <v>816</v>
      </c>
      <c r="BU174" s="209" t="s">
        <v>816</v>
      </c>
      <c r="BV174" s="209" t="s">
        <v>816</v>
      </c>
    </row>
    <row r="175" spans="1:74" x14ac:dyDescent="0.25">
      <c r="A175" s="149" t="s">
        <v>1949</v>
      </c>
      <c r="B175" s="149" t="s">
        <v>2243</v>
      </c>
      <c r="D175" s="149">
        <v>3</v>
      </c>
      <c r="E175" s="149">
        <v>3</v>
      </c>
      <c r="F175" s="149">
        <v>2</v>
      </c>
      <c r="G175" s="149">
        <v>2</v>
      </c>
      <c r="H175" s="149">
        <v>2</v>
      </c>
      <c r="I175" s="149">
        <v>2</v>
      </c>
      <c r="J175" s="149">
        <v>2</v>
      </c>
      <c r="K175" s="149">
        <v>2</v>
      </c>
      <c r="L175" s="149">
        <v>2</v>
      </c>
      <c r="M175" s="149">
        <v>1</v>
      </c>
      <c r="N175" s="149">
        <v>1</v>
      </c>
      <c r="O175" s="149">
        <v>3</v>
      </c>
      <c r="P175" s="149">
        <v>4</v>
      </c>
      <c r="Q175" s="149">
        <v>3</v>
      </c>
      <c r="R175" s="149">
        <v>2</v>
      </c>
      <c r="S175" s="149">
        <v>1</v>
      </c>
      <c r="T175" s="149">
        <v>0</v>
      </c>
      <c r="U175" s="209" t="s">
        <v>816</v>
      </c>
      <c r="V175" s="209" t="s">
        <v>816</v>
      </c>
      <c r="W175" s="209" t="s">
        <v>816</v>
      </c>
      <c r="X175" s="209" t="s">
        <v>816</v>
      </c>
      <c r="Y175" s="209" t="s">
        <v>816</v>
      </c>
      <c r="Z175" s="209" t="s">
        <v>816</v>
      </c>
      <c r="AA175" s="209" t="s">
        <v>816</v>
      </c>
      <c r="AB175" s="209" t="s">
        <v>816</v>
      </c>
      <c r="AC175" s="150" t="s">
        <v>1950</v>
      </c>
      <c r="AD175" s="257" t="s">
        <v>1832</v>
      </c>
      <c r="AE175" s="258" t="s">
        <v>1951</v>
      </c>
      <c r="AF175" s="257" t="s">
        <v>2324</v>
      </c>
      <c r="AG175" s="149" t="s">
        <v>702</v>
      </c>
      <c r="AH175" s="149">
        <v>4</v>
      </c>
      <c r="AI175" s="149" t="s">
        <v>1859</v>
      </c>
      <c r="AJ175" s="150" t="s">
        <v>816</v>
      </c>
      <c r="AK175" s="149">
        <v>6</v>
      </c>
      <c r="AL175" s="150" t="s">
        <v>816</v>
      </c>
      <c r="AM175" s="149" t="s">
        <v>720</v>
      </c>
      <c r="AN175" s="149">
        <v>3</v>
      </c>
      <c r="AO175" s="149" t="s">
        <v>1864</v>
      </c>
      <c r="AP175" s="149">
        <v>0</v>
      </c>
      <c r="AQ175" s="149">
        <v>5</v>
      </c>
      <c r="AR175" s="150" t="s">
        <v>816</v>
      </c>
      <c r="AS175" s="149" t="s">
        <v>721</v>
      </c>
      <c r="AT175" s="149">
        <v>5</v>
      </c>
      <c r="AU175" s="149" t="s">
        <v>1859</v>
      </c>
      <c r="AV175" s="149">
        <v>2</v>
      </c>
      <c r="AW175" s="149">
        <v>4</v>
      </c>
      <c r="AX175" s="150" t="s">
        <v>816</v>
      </c>
      <c r="AY175" s="209" t="s">
        <v>816</v>
      </c>
      <c r="AZ175" s="209" t="s">
        <v>816</v>
      </c>
      <c r="BA175" s="209" t="s">
        <v>816</v>
      </c>
      <c r="BB175" s="209" t="s">
        <v>816</v>
      </c>
      <c r="BC175" s="209" t="s">
        <v>816</v>
      </c>
      <c r="BD175" s="209" t="s">
        <v>816</v>
      </c>
      <c r="BE175" s="209" t="s">
        <v>816</v>
      </c>
      <c r="BF175" s="209" t="s">
        <v>816</v>
      </c>
      <c r="BG175" s="209" t="s">
        <v>816</v>
      </c>
      <c r="BH175" s="209" t="s">
        <v>816</v>
      </c>
      <c r="BI175" s="209" t="s">
        <v>816</v>
      </c>
      <c r="BJ175" s="209" t="s">
        <v>816</v>
      </c>
      <c r="BK175" s="209" t="s">
        <v>816</v>
      </c>
      <c r="BL175" s="209" t="s">
        <v>816</v>
      </c>
      <c r="BM175" s="209" t="s">
        <v>816</v>
      </c>
      <c r="BN175" s="209" t="s">
        <v>816</v>
      </c>
      <c r="BO175" s="209" t="s">
        <v>816</v>
      </c>
      <c r="BP175" s="209" t="s">
        <v>816</v>
      </c>
      <c r="BQ175" s="209" t="s">
        <v>816</v>
      </c>
      <c r="BR175" s="209" t="s">
        <v>816</v>
      </c>
      <c r="BS175" s="209" t="s">
        <v>816</v>
      </c>
      <c r="BT175" s="209" t="s">
        <v>816</v>
      </c>
      <c r="BU175" s="209" t="s">
        <v>816</v>
      </c>
      <c r="BV175" s="209" t="s">
        <v>816</v>
      </c>
    </row>
    <row r="176" spans="1:74" x14ac:dyDescent="0.25">
      <c r="A176" s="149" t="s">
        <v>1872</v>
      </c>
      <c r="B176" s="149" t="s">
        <v>2243</v>
      </c>
      <c r="D176" s="149">
        <v>4</v>
      </c>
      <c r="E176" s="149">
        <v>4</v>
      </c>
      <c r="F176" s="149">
        <v>4</v>
      </c>
      <c r="G176" s="149">
        <v>3</v>
      </c>
      <c r="H176" s="149">
        <v>2</v>
      </c>
      <c r="I176" s="149">
        <v>3</v>
      </c>
      <c r="J176" s="149">
        <v>3</v>
      </c>
      <c r="K176" s="149">
        <v>3</v>
      </c>
      <c r="L176" s="149">
        <v>4</v>
      </c>
      <c r="M176" s="149">
        <v>0</v>
      </c>
      <c r="N176" s="149">
        <v>0</v>
      </c>
      <c r="O176" s="149">
        <v>4</v>
      </c>
      <c r="P176" s="149">
        <v>6</v>
      </c>
      <c r="Q176" s="149">
        <v>7</v>
      </c>
      <c r="R176" s="149">
        <v>6</v>
      </c>
      <c r="S176" s="149">
        <v>2</v>
      </c>
      <c r="T176" s="149">
        <v>2</v>
      </c>
      <c r="U176" s="209" t="s">
        <v>816</v>
      </c>
      <c r="V176" s="209" t="s">
        <v>816</v>
      </c>
      <c r="W176" s="209" t="s">
        <v>816</v>
      </c>
      <c r="X176" s="209" t="s">
        <v>816</v>
      </c>
      <c r="Y176" s="209" t="s">
        <v>816</v>
      </c>
      <c r="Z176" s="209" t="s">
        <v>816</v>
      </c>
      <c r="AA176" s="209" t="s">
        <v>816</v>
      </c>
      <c r="AB176" s="209" t="s">
        <v>816</v>
      </c>
      <c r="AC176" s="150" t="s">
        <v>1831</v>
      </c>
      <c r="AD176" s="257" t="s">
        <v>1876</v>
      </c>
      <c r="AE176" s="257" t="s">
        <v>494</v>
      </c>
      <c r="AF176" s="257" t="s">
        <v>2327</v>
      </c>
      <c r="AG176" s="149" t="s">
        <v>720</v>
      </c>
      <c r="AH176" s="149">
        <v>7</v>
      </c>
      <c r="AI176" s="149" t="s">
        <v>1877</v>
      </c>
      <c r="AJ176" s="149">
        <v>3</v>
      </c>
      <c r="AK176" s="149">
        <v>5</v>
      </c>
      <c r="AL176" s="150" t="s">
        <v>816</v>
      </c>
      <c r="AM176" s="149" t="s">
        <v>721</v>
      </c>
      <c r="AN176" s="149">
        <v>9</v>
      </c>
      <c r="AO176" s="149" t="s">
        <v>1878</v>
      </c>
      <c r="AP176" s="149">
        <v>4</v>
      </c>
      <c r="AQ176" s="149">
        <v>4</v>
      </c>
      <c r="AR176" s="150" t="s">
        <v>816</v>
      </c>
      <c r="AS176" s="149" t="s">
        <v>739</v>
      </c>
      <c r="AT176" s="149">
        <v>7</v>
      </c>
      <c r="AU176" s="149" t="s">
        <v>1865</v>
      </c>
      <c r="AV176" s="150" t="s">
        <v>816</v>
      </c>
      <c r="AW176" s="149">
        <v>5</v>
      </c>
      <c r="AX176" s="149">
        <v>125</v>
      </c>
      <c r="AY176" s="150" t="s">
        <v>738</v>
      </c>
      <c r="AZ176" s="149">
        <v>8</v>
      </c>
      <c r="BA176" s="149" t="s">
        <v>1865</v>
      </c>
      <c r="BB176" s="150" t="s">
        <v>816</v>
      </c>
      <c r="BC176" s="149">
        <v>5</v>
      </c>
      <c r="BD176" s="149">
        <v>150</v>
      </c>
      <c r="BE176" s="149" t="s">
        <v>731</v>
      </c>
      <c r="BF176" s="149">
        <v>9</v>
      </c>
      <c r="BG176" s="149" t="s">
        <v>1843</v>
      </c>
      <c r="BH176" s="150" t="s">
        <v>816</v>
      </c>
      <c r="BI176" s="149">
        <v>4</v>
      </c>
      <c r="BJ176" s="149">
        <v>20</v>
      </c>
      <c r="BK176" s="149" t="s">
        <v>733</v>
      </c>
      <c r="BL176" s="149">
        <v>8</v>
      </c>
      <c r="BM176" s="149" t="s">
        <v>1865</v>
      </c>
      <c r="BN176" s="150" t="s">
        <v>816</v>
      </c>
      <c r="BO176" s="149">
        <v>5</v>
      </c>
      <c r="BP176" s="149">
        <v>50</v>
      </c>
      <c r="BQ176" s="149" t="s">
        <v>734</v>
      </c>
      <c r="BR176" s="149">
        <v>10</v>
      </c>
      <c r="BS176" s="149" t="s">
        <v>1879</v>
      </c>
      <c r="BT176" s="150" t="s">
        <v>816</v>
      </c>
      <c r="BU176" s="149">
        <v>5</v>
      </c>
      <c r="BV176" s="149">
        <v>20</v>
      </c>
    </row>
    <row r="177" spans="1:74" x14ac:dyDescent="0.25">
      <c r="A177" s="149" t="s">
        <v>1863</v>
      </c>
      <c r="B177" s="149" t="s">
        <v>2243</v>
      </c>
      <c r="D177" s="149">
        <v>3</v>
      </c>
      <c r="E177" s="149">
        <v>3</v>
      </c>
      <c r="F177" s="149">
        <v>3</v>
      </c>
      <c r="G177" s="149">
        <v>2</v>
      </c>
      <c r="H177" s="149">
        <v>2</v>
      </c>
      <c r="I177" s="149">
        <v>2</v>
      </c>
      <c r="J177" s="149">
        <v>3</v>
      </c>
      <c r="K177" s="149">
        <v>2</v>
      </c>
      <c r="L177" s="149">
        <v>3</v>
      </c>
      <c r="M177" s="149">
        <v>0</v>
      </c>
      <c r="N177" s="149">
        <v>0</v>
      </c>
      <c r="O177" s="149">
        <v>3</v>
      </c>
      <c r="P177" s="149">
        <v>5</v>
      </c>
      <c r="Q177" s="149">
        <v>6</v>
      </c>
      <c r="R177" s="149">
        <v>5</v>
      </c>
      <c r="S177" s="149">
        <v>2</v>
      </c>
      <c r="T177" s="149">
        <v>2</v>
      </c>
      <c r="U177" s="209" t="s">
        <v>816</v>
      </c>
      <c r="V177" s="209" t="s">
        <v>816</v>
      </c>
      <c r="W177" s="209" t="s">
        <v>816</v>
      </c>
      <c r="X177" s="209" t="s">
        <v>816</v>
      </c>
      <c r="Y177" s="209" t="s">
        <v>816</v>
      </c>
      <c r="Z177" s="209" t="s">
        <v>816</v>
      </c>
      <c r="AA177" s="209" t="s">
        <v>816</v>
      </c>
      <c r="AB177" s="209" t="s">
        <v>816</v>
      </c>
      <c r="AC177" s="150" t="s">
        <v>1831</v>
      </c>
      <c r="AD177" s="257" t="s">
        <v>1875</v>
      </c>
      <c r="AE177" s="257" t="s">
        <v>494</v>
      </c>
      <c r="AF177" s="257" t="s">
        <v>1902</v>
      </c>
      <c r="AG177" s="149" t="s">
        <v>702</v>
      </c>
      <c r="AH177" s="149">
        <v>6</v>
      </c>
      <c r="AI177" s="149" t="s">
        <v>1859</v>
      </c>
      <c r="AJ177" s="150" t="s">
        <v>816</v>
      </c>
      <c r="AK177" s="149">
        <v>6</v>
      </c>
      <c r="AL177" s="150" t="s">
        <v>816</v>
      </c>
      <c r="AM177" s="149" t="s">
        <v>720</v>
      </c>
      <c r="AN177" s="149">
        <v>5</v>
      </c>
      <c r="AO177" s="149" t="s">
        <v>1864</v>
      </c>
      <c r="AP177" s="149">
        <v>2</v>
      </c>
      <c r="AQ177" s="149">
        <v>5</v>
      </c>
      <c r="AR177" s="150" t="s">
        <v>816</v>
      </c>
      <c r="AS177" s="149" t="s">
        <v>721</v>
      </c>
      <c r="AT177" s="149">
        <v>7</v>
      </c>
      <c r="AU177" s="149" t="s">
        <v>1859</v>
      </c>
      <c r="AV177" s="149">
        <v>3</v>
      </c>
      <c r="AW177" s="149">
        <v>4</v>
      </c>
      <c r="AX177" s="150" t="s">
        <v>816</v>
      </c>
      <c r="AY177" s="150" t="s">
        <v>738</v>
      </c>
      <c r="AZ177" s="149">
        <v>6</v>
      </c>
      <c r="BA177" s="149" t="s">
        <v>1865</v>
      </c>
      <c r="BB177" s="150" t="s">
        <v>816</v>
      </c>
      <c r="BC177" s="149">
        <v>5</v>
      </c>
      <c r="BD177" s="150">
        <v>150</v>
      </c>
      <c r="BE177" s="150" t="s">
        <v>1858</v>
      </c>
      <c r="BF177" s="149">
        <v>6</v>
      </c>
      <c r="BG177" s="149" t="s">
        <v>1859</v>
      </c>
      <c r="BH177" s="150">
        <v>3</v>
      </c>
      <c r="BI177" s="149">
        <v>4</v>
      </c>
      <c r="BJ177" s="150" t="s">
        <v>816</v>
      </c>
      <c r="BK177" s="149" t="s">
        <v>732</v>
      </c>
      <c r="BL177" s="149">
        <v>7</v>
      </c>
      <c r="BM177" s="149" t="s">
        <v>1843</v>
      </c>
      <c r="BN177" s="150" t="s">
        <v>816</v>
      </c>
      <c r="BO177" s="149">
        <v>4</v>
      </c>
      <c r="BP177" s="150">
        <v>20</v>
      </c>
      <c r="BQ177" s="209" t="s">
        <v>816</v>
      </c>
      <c r="BR177" s="209" t="s">
        <v>816</v>
      </c>
      <c r="BS177" s="209" t="s">
        <v>816</v>
      </c>
      <c r="BT177" s="209" t="s">
        <v>816</v>
      </c>
      <c r="BU177" s="209" t="s">
        <v>816</v>
      </c>
      <c r="BV177" s="209" t="s">
        <v>816</v>
      </c>
    </row>
    <row r="178" spans="1:74" x14ac:dyDescent="0.25">
      <c r="A178" s="149" t="s">
        <v>1965</v>
      </c>
      <c r="B178" s="149" t="s">
        <v>2243</v>
      </c>
      <c r="D178" s="149">
        <v>5</v>
      </c>
      <c r="E178" s="149">
        <v>1</v>
      </c>
      <c r="F178" s="149">
        <v>6</v>
      </c>
      <c r="G178" s="149">
        <v>1</v>
      </c>
      <c r="H178" s="149">
        <v>1</v>
      </c>
      <c r="I178" s="149">
        <v>0</v>
      </c>
      <c r="J178" s="149">
        <v>2</v>
      </c>
      <c r="K178" s="149">
        <v>1</v>
      </c>
      <c r="L178" s="149">
        <v>1</v>
      </c>
      <c r="M178" s="149">
        <v>1</v>
      </c>
      <c r="N178" s="149">
        <v>1</v>
      </c>
      <c r="O178" s="149">
        <v>1</v>
      </c>
      <c r="P178" s="149">
        <v>3</v>
      </c>
      <c r="Q178" s="149">
        <v>3</v>
      </c>
      <c r="R178" s="149">
        <v>6</v>
      </c>
      <c r="S178" s="149">
        <v>6</v>
      </c>
      <c r="T178" s="149">
        <v>0</v>
      </c>
      <c r="U178" s="209" t="s">
        <v>816</v>
      </c>
      <c r="V178" s="209" t="s">
        <v>816</v>
      </c>
      <c r="W178" s="209" t="s">
        <v>816</v>
      </c>
      <c r="X178" s="209" t="s">
        <v>816</v>
      </c>
      <c r="Y178" s="209" t="s">
        <v>816</v>
      </c>
      <c r="Z178" s="209" t="s">
        <v>816</v>
      </c>
      <c r="AA178" s="209" t="s">
        <v>816</v>
      </c>
      <c r="AB178" s="209" t="s">
        <v>816</v>
      </c>
      <c r="AC178" s="150" t="s">
        <v>1966</v>
      </c>
      <c r="AD178" s="257" t="s">
        <v>1967</v>
      </c>
      <c r="AE178" s="257" t="s">
        <v>494</v>
      </c>
      <c r="AF178" s="257" t="s">
        <v>2323</v>
      </c>
      <c r="AG178" s="149" t="s">
        <v>702</v>
      </c>
      <c r="AH178" s="149">
        <v>4</v>
      </c>
      <c r="AI178" s="149" t="s">
        <v>1834</v>
      </c>
      <c r="AJ178" s="150" t="s">
        <v>816</v>
      </c>
      <c r="AK178" s="149">
        <v>6</v>
      </c>
      <c r="AL178" s="150" t="s">
        <v>816</v>
      </c>
      <c r="AM178" s="149" t="s">
        <v>720</v>
      </c>
      <c r="AN178" s="149">
        <v>3</v>
      </c>
      <c r="AO178" s="149" t="s">
        <v>1922</v>
      </c>
      <c r="AP178" s="149">
        <v>1</v>
      </c>
      <c r="AQ178" s="149">
        <v>5</v>
      </c>
      <c r="AR178" s="150" t="s">
        <v>816</v>
      </c>
      <c r="AS178" s="149" t="s">
        <v>721</v>
      </c>
      <c r="AT178" s="149">
        <v>5</v>
      </c>
      <c r="AU178" s="149" t="s">
        <v>1834</v>
      </c>
      <c r="AV178" s="149">
        <v>2</v>
      </c>
      <c r="AW178" s="149">
        <v>4</v>
      </c>
      <c r="AX178" s="150" t="s">
        <v>816</v>
      </c>
      <c r="AY178" s="209" t="s">
        <v>816</v>
      </c>
      <c r="AZ178" s="209" t="s">
        <v>816</v>
      </c>
      <c r="BA178" s="209" t="s">
        <v>816</v>
      </c>
      <c r="BB178" s="209" t="s">
        <v>816</v>
      </c>
      <c r="BC178" s="209" t="s">
        <v>816</v>
      </c>
      <c r="BD178" s="209" t="s">
        <v>816</v>
      </c>
      <c r="BE178" s="209" t="s">
        <v>816</v>
      </c>
      <c r="BF178" s="209" t="s">
        <v>816</v>
      </c>
      <c r="BG178" s="209" t="s">
        <v>816</v>
      </c>
      <c r="BH178" s="209" t="s">
        <v>816</v>
      </c>
      <c r="BI178" s="209" t="s">
        <v>816</v>
      </c>
      <c r="BJ178" s="209" t="s">
        <v>816</v>
      </c>
      <c r="BK178" s="209" t="s">
        <v>816</v>
      </c>
      <c r="BL178" s="209" t="s">
        <v>816</v>
      </c>
      <c r="BM178" s="209" t="s">
        <v>816</v>
      </c>
      <c r="BN178" s="209" t="s">
        <v>816</v>
      </c>
      <c r="BO178" s="209" t="s">
        <v>816</v>
      </c>
      <c r="BP178" s="209" t="s">
        <v>816</v>
      </c>
      <c r="BQ178" s="209" t="s">
        <v>816</v>
      </c>
      <c r="BR178" s="209" t="s">
        <v>816</v>
      </c>
      <c r="BS178" s="209" t="s">
        <v>816</v>
      </c>
      <c r="BT178" s="209" t="s">
        <v>816</v>
      </c>
      <c r="BU178" s="209" t="s">
        <v>816</v>
      </c>
      <c r="BV178" s="209" t="s">
        <v>816</v>
      </c>
    </row>
    <row r="179" spans="1:74" x14ac:dyDescent="0.25">
      <c r="A179" s="149" t="s">
        <v>1856</v>
      </c>
      <c r="B179" s="149" t="s">
        <v>2243</v>
      </c>
      <c r="D179" s="149">
        <v>2</v>
      </c>
      <c r="E179" s="149">
        <v>3</v>
      </c>
      <c r="F179" s="149">
        <v>2</v>
      </c>
      <c r="G179" s="149">
        <v>2</v>
      </c>
      <c r="H179" s="149">
        <v>2</v>
      </c>
      <c r="I179" s="149">
        <v>2</v>
      </c>
      <c r="J179" s="149">
        <v>2</v>
      </c>
      <c r="K179" s="149">
        <v>2</v>
      </c>
      <c r="L179" s="149">
        <v>2</v>
      </c>
      <c r="M179" s="149">
        <v>0</v>
      </c>
      <c r="N179" s="149">
        <v>0</v>
      </c>
      <c r="O179" s="149">
        <v>2</v>
      </c>
      <c r="P179" s="149">
        <v>4</v>
      </c>
      <c r="Q179" s="149">
        <v>4</v>
      </c>
      <c r="R179" s="149">
        <v>4</v>
      </c>
      <c r="S179" s="149">
        <v>2</v>
      </c>
      <c r="T179" s="149">
        <v>2</v>
      </c>
      <c r="U179" s="209" t="s">
        <v>816</v>
      </c>
      <c r="V179" s="209" t="s">
        <v>816</v>
      </c>
      <c r="W179" s="209" t="s">
        <v>816</v>
      </c>
      <c r="X179" s="209" t="s">
        <v>816</v>
      </c>
      <c r="Y179" s="209" t="s">
        <v>816</v>
      </c>
      <c r="Z179" s="209" t="s">
        <v>816</v>
      </c>
      <c r="AA179" s="209" t="s">
        <v>816</v>
      </c>
      <c r="AB179" s="209" t="s">
        <v>816</v>
      </c>
      <c r="AC179" s="150" t="s">
        <v>1831</v>
      </c>
      <c r="AD179" s="257" t="s">
        <v>1857</v>
      </c>
      <c r="AE179" s="257" t="s">
        <v>494</v>
      </c>
      <c r="AF179" s="257" t="s">
        <v>1901</v>
      </c>
      <c r="AG179" s="149" t="s">
        <v>702</v>
      </c>
      <c r="AH179" s="149">
        <v>5</v>
      </c>
      <c r="AI179" s="149" t="s">
        <v>1833</v>
      </c>
      <c r="AJ179" s="150" t="s">
        <v>816</v>
      </c>
      <c r="AK179" s="149">
        <v>6</v>
      </c>
      <c r="AL179" s="150" t="s">
        <v>816</v>
      </c>
      <c r="AM179" s="149" t="s">
        <v>720</v>
      </c>
      <c r="AN179" s="149">
        <v>4</v>
      </c>
      <c r="AO179" s="149" t="s">
        <v>1834</v>
      </c>
      <c r="AP179" s="149">
        <v>1</v>
      </c>
      <c r="AQ179" s="149">
        <v>5</v>
      </c>
      <c r="AR179" s="150" t="s">
        <v>816</v>
      </c>
      <c r="AS179" s="149" t="s">
        <v>721</v>
      </c>
      <c r="AT179" s="149">
        <v>6</v>
      </c>
      <c r="AU179" s="149" t="s">
        <v>1833</v>
      </c>
      <c r="AV179" s="149">
        <v>3</v>
      </c>
      <c r="AW179" s="149">
        <v>4</v>
      </c>
      <c r="AX179" s="150" t="s">
        <v>816</v>
      </c>
      <c r="AY179" s="150" t="s">
        <v>1858</v>
      </c>
      <c r="AZ179" s="149">
        <v>5</v>
      </c>
      <c r="BA179" s="149" t="s">
        <v>1859</v>
      </c>
      <c r="BB179" s="150">
        <v>2</v>
      </c>
      <c r="BC179" s="149">
        <v>4</v>
      </c>
      <c r="BD179" s="150" t="s">
        <v>816</v>
      </c>
      <c r="BE179" s="149" t="s">
        <v>732</v>
      </c>
      <c r="BF179" s="149">
        <v>7</v>
      </c>
      <c r="BG179" s="149" t="s">
        <v>1843</v>
      </c>
      <c r="BH179" s="150" t="s">
        <v>816</v>
      </c>
      <c r="BI179" s="149">
        <v>4</v>
      </c>
      <c r="BJ179" s="150">
        <v>20</v>
      </c>
      <c r="BK179" s="209" t="s">
        <v>816</v>
      </c>
      <c r="BL179" s="209" t="s">
        <v>816</v>
      </c>
      <c r="BM179" s="209" t="s">
        <v>816</v>
      </c>
      <c r="BN179" s="209" t="s">
        <v>816</v>
      </c>
      <c r="BO179" s="209" t="s">
        <v>816</v>
      </c>
      <c r="BP179" s="209" t="s">
        <v>816</v>
      </c>
      <c r="BQ179" s="209" t="s">
        <v>816</v>
      </c>
      <c r="BR179" s="209" t="s">
        <v>816</v>
      </c>
      <c r="BS179" s="209" t="s">
        <v>816</v>
      </c>
      <c r="BT179" s="209" t="s">
        <v>816</v>
      </c>
      <c r="BU179" s="209" t="s">
        <v>816</v>
      </c>
      <c r="BV179" s="209" t="s">
        <v>816</v>
      </c>
    </row>
    <row r="180" spans="1:74" x14ac:dyDescent="0.25">
      <c r="A180" s="149" t="s">
        <v>1928</v>
      </c>
      <c r="B180" s="149" t="s">
        <v>2243</v>
      </c>
      <c r="D180" s="149">
        <v>2</v>
      </c>
      <c r="E180" s="149">
        <v>2</v>
      </c>
      <c r="F180" s="149">
        <v>2</v>
      </c>
      <c r="G180" s="149">
        <v>2</v>
      </c>
      <c r="H180" s="149">
        <v>2</v>
      </c>
      <c r="I180" s="149">
        <v>2</v>
      </c>
      <c r="J180" s="149">
        <v>2</v>
      </c>
      <c r="K180" s="149">
        <v>2</v>
      </c>
      <c r="L180" s="149">
        <v>2</v>
      </c>
      <c r="M180" s="149">
        <v>0</v>
      </c>
      <c r="N180" s="149">
        <v>0</v>
      </c>
      <c r="O180" s="149">
        <v>1</v>
      </c>
      <c r="P180" s="149">
        <v>6</v>
      </c>
      <c r="Q180" s="149">
        <v>3</v>
      </c>
      <c r="R180" s="149">
        <v>2</v>
      </c>
      <c r="S180" s="149">
        <v>0</v>
      </c>
      <c r="T180" s="149">
        <v>0</v>
      </c>
      <c r="U180" s="149" t="s">
        <v>169</v>
      </c>
      <c r="V180" s="149">
        <v>2</v>
      </c>
      <c r="W180" s="149" t="s">
        <v>171</v>
      </c>
      <c r="X180" s="149">
        <v>2</v>
      </c>
      <c r="Y180" s="149" t="s">
        <v>176</v>
      </c>
      <c r="Z180" s="149">
        <v>4</v>
      </c>
      <c r="AA180" s="149" t="s">
        <v>173</v>
      </c>
      <c r="AB180" s="149">
        <v>1</v>
      </c>
      <c r="AC180" s="150" t="s">
        <v>1831</v>
      </c>
      <c r="AD180" s="257" t="s">
        <v>1832</v>
      </c>
      <c r="AE180" s="258" t="s">
        <v>1929</v>
      </c>
      <c r="AF180" s="257" t="s">
        <v>494</v>
      </c>
      <c r="AG180" s="149" t="s">
        <v>702</v>
      </c>
      <c r="AH180" s="149">
        <v>3</v>
      </c>
      <c r="AI180" s="149" t="s">
        <v>1833</v>
      </c>
      <c r="AJ180" s="150" t="s">
        <v>816</v>
      </c>
      <c r="AK180" s="149">
        <v>6</v>
      </c>
      <c r="AL180" s="150" t="s">
        <v>816</v>
      </c>
      <c r="AM180" s="149" t="s">
        <v>720</v>
      </c>
      <c r="AN180" s="149">
        <v>2</v>
      </c>
      <c r="AO180" s="149" t="s">
        <v>1834</v>
      </c>
      <c r="AP180" s="149">
        <v>0</v>
      </c>
      <c r="AQ180" s="149">
        <v>5</v>
      </c>
      <c r="AR180" s="150" t="s">
        <v>816</v>
      </c>
      <c r="AS180" s="149" t="s">
        <v>721</v>
      </c>
      <c r="AT180" s="149">
        <v>4</v>
      </c>
      <c r="AU180" s="149" t="s">
        <v>1833</v>
      </c>
      <c r="AV180" s="149">
        <v>2</v>
      </c>
      <c r="AW180" s="149">
        <v>4</v>
      </c>
      <c r="AX180" s="150" t="s">
        <v>816</v>
      </c>
      <c r="AY180" s="209" t="s">
        <v>816</v>
      </c>
      <c r="AZ180" s="209" t="s">
        <v>816</v>
      </c>
      <c r="BA180" s="209" t="s">
        <v>816</v>
      </c>
      <c r="BB180" s="209" t="s">
        <v>816</v>
      </c>
      <c r="BC180" s="209" t="s">
        <v>816</v>
      </c>
      <c r="BD180" s="209" t="s">
        <v>816</v>
      </c>
      <c r="BE180" s="209" t="s">
        <v>816</v>
      </c>
      <c r="BF180" s="209" t="s">
        <v>816</v>
      </c>
      <c r="BG180" s="209" t="s">
        <v>816</v>
      </c>
      <c r="BH180" s="209" t="s">
        <v>816</v>
      </c>
      <c r="BI180" s="209" t="s">
        <v>816</v>
      </c>
      <c r="BJ180" s="209" t="s">
        <v>816</v>
      </c>
      <c r="BK180" s="209" t="s">
        <v>816</v>
      </c>
      <c r="BL180" s="209" t="s">
        <v>816</v>
      </c>
      <c r="BM180" s="209" t="s">
        <v>816</v>
      </c>
      <c r="BN180" s="209" t="s">
        <v>816</v>
      </c>
      <c r="BO180" s="209" t="s">
        <v>816</v>
      </c>
      <c r="BP180" s="209" t="s">
        <v>816</v>
      </c>
      <c r="BQ180" s="209" t="s">
        <v>816</v>
      </c>
      <c r="BR180" s="209" t="s">
        <v>816</v>
      </c>
      <c r="BS180" s="209" t="s">
        <v>816</v>
      </c>
      <c r="BT180" s="209" t="s">
        <v>816</v>
      </c>
      <c r="BU180" s="209" t="s">
        <v>816</v>
      </c>
      <c r="BV180" s="209" t="s">
        <v>816</v>
      </c>
    </row>
    <row r="181" spans="1:74" x14ac:dyDescent="0.25">
      <c r="A181" s="149" t="s">
        <v>1839</v>
      </c>
      <c r="B181" s="149" t="s">
        <v>2243</v>
      </c>
      <c r="D181" s="149">
        <v>2</v>
      </c>
      <c r="E181" s="149">
        <v>3</v>
      </c>
      <c r="F181" s="149">
        <v>2</v>
      </c>
      <c r="G181" s="149">
        <v>2</v>
      </c>
      <c r="H181" s="149">
        <v>2</v>
      </c>
      <c r="I181" s="149">
        <v>2</v>
      </c>
      <c r="J181" s="149">
        <v>2</v>
      </c>
      <c r="K181" s="149">
        <v>2</v>
      </c>
      <c r="L181" s="149">
        <v>2</v>
      </c>
      <c r="M181" s="149">
        <v>0</v>
      </c>
      <c r="N181" s="149">
        <v>0</v>
      </c>
      <c r="O181" s="149">
        <v>2</v>
      </c>
      <c r="P181" s="149">
        <v>4</v>
      </c>
      <c r="Q181" s="149">
        <v>4</v>
      </c>
      <c r="R181" s="149">
        <v>4</v>
      </c>
      <c r="S181" s="149">
        <v>0</v>
      </c>
      <c r="T181" s="149">
        <v>0</v>
      </c>
      <c r="U181" s="209" t="s">
        <v>816</v>
      </c>
      <c r="V181" s="209" t="s">
        <v>816</v>
      </c>
      <c r="W181" s="209" t="s">
        <v>816</v>
      </c>
      <c r="X181" s="209" t="s">
        <v>816</v>
      </c>
      <c r="Y181" s="209" t="s">
        <v>816</v>
      </c>
      <c r="Z181" s="209" t="s">
        <v>816</v>
      </c>
      <c r="AA181" s="209" t="s">
        <v>816</v>
      </c>
      <c r="AB181" s="209" t="s">
        <v>816</v>
      </c>
      <c r="AC181" s="150" t="s">
        <v>1831</v>
      </c>
      <c r="AD181" s="257" t="s">
        <v>1840</v>
      </c>
      <c r="AE181" s="257" t="s">
        <v>494</v>
      </c>
      <c r="AF181" s="257" t="s">
        <v>494</v>
      </c>
      <c r="AG181" s="149" t="s">
        <v>702</v>
      </c>
      <c r="AH181" s="149">
        <v>5</v>
      </c>
      <c r="AI181" s="149" t="s">
        <v>1833</v>
      </c>
      <c r="AJ181" s="150" t="s">
        <v>816</v>
      </c>
      <c r="AK181" s="149">
        <v>6</v>
      </c>
      <c r="AL181" s="150" t="s">
        <v>816</v>
      </c>
      <c r="AM181" s="149" t="s">
        <v>720</v>
      </c>
      <c r="AN181" s="149">
        <v>4</v>
      </c>
      <c r="AO181" s="149" t="s">
        <v>1834</v>
      </c>
      <c r="AP181" s="149">
        <v>1</v>
      </c>
      <c r="AQ181" s="149">
        <v>5</v>
      </c>
      <c r="AR181" s="150" t="s">
        <v>816</v>
      </c>
      <c r="AS181" s="149" t="s">
        <v>721</v>
      </c>
      <c r="AT181" s="149">
        <v>6</v>
      </c>
      <c r="AU181" s="149" t="s">
        <v>1833</v>
      </c>
      <c r="AV181" s="149">
        <v>3</v>
      </c>
      <c r="AW181" s="149">
        <v>4</v>
      </c>
      <c r="AX181" s="150" t="s">
        <v>816</v>
      </c>
      <c r="AY181" s="150" t="s">
        <v>1841</v>
      </c>
      <c r="AZ181" s="149">
        <v>5</v>
      </c>
      <c r="BA181" s="149" t="s">
        <v>1843</v>
      </c>
      <c r="BB181" s="150" t="s">
        <v>816</v>
      </c>
      <c r="BC181" s="149">
        <v>4</v>
      </c>
      <c r="BD181" s="149">
        <v>20</v>
      </c>
      <c r="BE181" s="149" t="s">
        <v>1842</v>
      </c>
      <c r="BF181" s="149">
        <v>5</v>
      </c>
      <c r="BG181" s="149" t="s">
        <v>1843</v>
      </c>
      <c r="BH181" s="149">
        <v>2</v>
      </c>
      <c r="BI181" s="149">
        <v>4</v>
      </c>
      <c r="BJ181" s="150" t="s">
        <v>816</v>
      </c>
      <c r="BK181" s="209" t="s">
        <v>816</v>
      </c>
      <c r="BL181" s="209" t="s">
        <v>816</v>
      </c>
      <c r="BM181" s="209" t="s">
        <v>816</v>
      </c>
      <c r="BN181" s="209" t="s">
        <v>816</v>
      </c>
      <c r="BO181" s="209" t="s">
        <v>816</v>
      </c>
      <c r="BP181" s="209" t="s">
        <v>816</v>
      </c>
      <c r="BQ181" s="209" t="s">
        <v>816</v>
      </c>
      <c r="BR181" s="209" t="s">
        <v>816</v>
      </c>
      <c r="BS181" s="209" t="s">
        <v>816</v>
      </c>
      <c r="BT181" s="209" t="s">
        <v>816</v>
      </c>
      <c r="BU181" s="209" t="s">
        <v>816</v>
      </c>
      <c r="BV181" s="209" t="s">
        <v>816</v>
      </c>
    </row>
    <row r="182" spans="1:74" x14ac:dyDescent="0.25">
      <c r="A182" s="149" t="s">
        <v>2196</v>
      </c>
      <c r="B182" s="149" t="s">
        <v>2243</v>
      </c>
      <c r="D182" s="149">
        <v>1</v>
      </c>
      <c r="E182" s="149">
        <v>4</v>
      </c>
      <c r="F182" s="149">
        <v>1</v>
      </c>
      <c r="G182" s="149">
        <v>2</v>
      </c>
      <c r="H182" s="149">
        <v>1</v>
      </c>
      <c r="I182" s="149">
        <v>2</v>
      </c>
      <c r="J182" s="149">
        <v>3</v>
      </c>
      <c r="K182" s="149">
        <v>2</v>
      </c>
      <c r="L182" s="149">
        <v>3</v>
      </c>
      <c r="M182" s="149">
        <v>1</v>
      </c>
      <c r="N182" s="149">
        <v>1</v>
      </c>
      <c r="O182" s="149">
        <v>3</v>
      </c>
      <c r="P182" s="149">
        <v>6</v>
      </c>
      <c r="Q182" s="149">
        <v>6</v>
      </c>
      <c r="R182" s="149">
        <v>1</v>
      </c>
      <c r="S182" s="149">
        <v>0</v>
      </c>
      <c r="T182" s="149">
        <v>0</v>
      </c>
      <c r="U182" s="149" t="s">
        <v>159</v>
      </c>
      <c r="V182" s="149">
        <v>5</v>
      </c>
      <c r="W182" s="209" t="s">
        <v>816</v>
      </c>
      <c r="X182" s="209" t="s">
        <v>816</v>
      </c>
      <c r="Y182" s="209" t="s">
        <v>816</v>
      </c>
      <c r="Z182" s="209" t="s">
        <v>816</v>
      </c>
      <c r="AA182" s="209" t="s">
        <v>816</v>
      </c>
      <c r="AB182" s="209" t="s">
        <v>816</v>
      </c>
      <c r="AC182" s="150" t="s">
        <v>2198</v>
      </c>
      <c r="AD182" s="257" t="s">
        <v>2199</v>
      </c>
      <c r="AE182" s="257" t="s">
        <v>2200</v>
      </c>
      <c r="AF182" s="257" t="s">
        <v>2201</v>
      </c>
      <c r="AG182" s="149" t="s">
        <v>721</v>
      </c>
      <c r="AH182" s="149">
        <v>4</v>
      </c>
      <c r="AI182" s="149" t="s">
        <v>2202</v>
      </c>
      <c r="AJ182" s="149">
        <v>3</v>
      </c>
      <c r="AK182" s="149">
        <v>4</v>
      </c>
      <c r="AL182" s="150" t="s">
        <v>816</v>
      </c>
      <c r="AM182" s="209" t="s">
        <v>816</v>
      </c>
      <c r="AN182" s="209" t="s">
        <v>816</v>
      </c>
      <c r="AO182" s="209" t="s">
        <v>816</v>
      </c>
      <c r="AP182" s="209" t="s">
        <v>816</v>
      </c>
      <c r="AQ182" s="209" t="s">
        <v>816</v>
      </c>
      <c r="AR182" s="209" t="s">
        <v>816</v>
      </c>
      <c r="AS182" s="209" t="s">
        <v>816</v>
      </c>
      <c r="AT182" s="209" t="s">
        <v>816</v>
      </c>
      <c r="AU182" s="209" t="s">
        <v>816</v>
      </c>
      <c r="AV182" s="209" t="s">
        <v>816</v>
      </c>
      <c r="AW182" s="209" t="s">
        <v>816</v>
      </c>
      <c r="AX182" s="209" t="s">
        <v>816</v>
      </c>
      <c r="AY182" s="209" t="s">
        <v>816</v>
      </c>
      <c r="AZ182" s="209" t="s">
        <v>816</v>
      </c>
      <c r="BA182" s="209" t="s">
        <v>816</v>
      </c>
      <c r="BB182" s="209" t="s">
        <v>816</v>
      </c>
      <c r="BC182" s="209" t="s">
        <v>816</v>
      </c>
      <c r="BD182" s="209" t="s">
        <v>816</v>
      </c>
      <c r="BE182" s="209" t="s">
        <v>816</v>
      </c>
      <c r="BF182" s="209" t="s">
        <v>816</v>
      </c>
      <c r="BG182" s="209" t="s">
        <v>816</v>
      </c>
      <c r="BH182" s="209" t="s">
        <v>816</v>
      </c>
      <c r="BI182" s="209" t="s">
        <v>816</v>
      </c>
      <c r="BJ182" s="209" t="s">
        <v>816</v>
      </c>
      <c r="BK182" s="209" t="s">
        <v>816</v>
      </c>
      <c r="BL182" s="209" t="s">
        <v>816</v>
      </c>
      <c r="BM182" s="209" t="s">
        <v>816</v>
      </c>
      <c r="BN182" s="209" t="s">
        <v>816</v>
      </c>
      <c r="BO182" s="209" t="s">
        <v>816</v>
      </c>
      <c r="BP182" s="209" t="s">
        <v>816</v>
      </c>
      <c r="BQ182" s="209" t="s">
        <v>816</v>
      </c>
      <c r="BR182" s="209" t="s">
        <v>816</v>
      </c>
      <c r="BS182" s="209" t="s">
        <v>816</v>
      </c>
      <c r="BT182" s="209" t="s">
        <v>816</v>
      </c>
      <c r="BU182" s="209" t="s">
        <v>816</v>
      </c>
      <c r="BV182" s="209" t="s">
        <v>816</v>
      </c>
    </row>
    <row r="183" spans="1:74" x14ac:dyDescent="0.25">
      <c r="A183" s="149" t="s">
        <v>1934</v>
      </c>
      <c r="B183" s="149" t="s">
        <v>2243</v>
      </c>
      <c r="D183" s="149">
        <v>4</v>
      </c>
      <c r="E183" s="149">
        <v>4</v>
      </c>
      <c r="F183" s="149">
        <v>4</v>
      </c>
      <c r="G183" s="149">
        <v>3</v>
      </c>
      <c r="H183" s="149">
        <v>2</v>
      </c>
      <c r="I183" s="149">
        <v>3</v>
      </c>
      <c r="J183" s="149">
        <v>3</v>
      </c>
      <c r="K183" s="149">
        <v>3</v>
      </c>
      <c r="L183" s="149">
        <v>4</v>
      </c>
      <c r="M183" s="149">
        <v>1</v>
      </c>
      <c r="N183" s="149">
        <v>1</v>
      </c>
      <c r="O183" s="149">
        <v>4</v>
      </c>
      <c r="P183" s="149">
        <v>6</v>
      </c>
      <c r="Q183" s="149">
        <v>7</v>
      </c>
      <c r="R183" s="149">
        <f>F183</f>
        <v>4</v>
      </c>
      <c r="S183" s="149">
        <f>ROUNDUP(R183/2,0)</f>
        <v>2</v>
      </c>
      <c r="T183" s="149">
        <v>0</v>
      </c>
      <c r="U183" s="149" t="s">
        <v>156</v>
      </c>
      <c r="V183" s="149">
        <v>3</v>
      </c>
      <c r="W183" s="149" t="s">
        <v>157</v>
      </c>
      <c r="X183" s="149">
        <v>3</v>
      </c>
      <c r="Y183" s="149" t="s">
        <v>158</v>
      </c>
      <c r="Z183" s="149">
        <v>1</v>
      </c>
      <c r="AA183" s="149" t="s">
        <v>159</v>
      </c>
      <c r="AB183" s="149">
        <v>3</v>
      </c>
      <c r="AC183" s="150" t="s">
        <v>1831</v>
      </c>
      <c r="AD183" s="257" t="s">
        <v>1876</v>
      </c>
      <c r="AE183" s="257" t="s">
        <v>2320</v>
      </c>
      <c r="AF183" s="257" t="s">
        <v>494</v>
      </c>
      <c r="AG183" s="149" t="s">
        <v>702</v>
      </c>
      <c r="AH183" s="150">
        <v>8</v>
      </c>
      <c r="AI183" s="150" t="s">
        <v>1878</v>
      </c>
      <c r="AJ183" s="150" t="s">
        <v>816</v>
      </c>
      <c r="AK183" s="149">
        <v>6</v>
      </c>
      <c r="AL183" s="150" t="s">
        <v>816</v>
      </c>
      <c r="AM183" s="149" t="s">
        <v>720</v>
      </c>
      <c r="AN183" s="150">
        <v>7</v>
      </c>
      <c r="AO183" s="150" t="s">
        <v>1877</v>
      </c>
      <c r="AP183" s="150">
        <v>3</v>
      </c>
      <c r="AQ183" s="149">
        <v>5</v>
      </c>
      <c r="AR183" s="150" t="s">
        <v>816</v>
      </c>
      <c r="AS183" s="149" t="s">
        <v>721</v>
      </c>
      <c r="AT183" s="150">
        <v>9</v>
      </c>
      <c r="AU183" s="150" t="s">
        <v>1878</v>
      </c>
      <c r="AV183" s="150">
        <v>5</v>
      </c>
      <c r="AW183" s="149">
        <v>4</v>
      </c>
      <c r="AX183" s="150" t="s">
        <v>816</v>
      </c>
      <c r="AY183" s="149" t="s">
        <v>789</v>
      </c>
      <c r="AZ183" s="150">
        <v>11</v>
      </c>
      <c r="BA183" s="149" t="s">
        <v>1939</v>
      </c>
      <c r="BB183" s="150" t="s">
        <v>816</v>
      </c>
      <c r="BC183" s="149">
        <v>6</v>
      </c>
      <c r="BD183" s="149">
        <v>150</v>
      </c>
      <c r="BE183" s="149" t="s">
        <v>794</v>
      </c>
      <c r="BF183" s="150">
        <v>8</v>
      </c>
      <c r="BG183" s="149" t="s">
        <v>1879</v>
      </c>
      <c r="BH183" s="150" t="s">
        <v>816</v>
      </c>
      <c r="BI183" s="149">
        <v>5</v>
      </c>
      <c r="BJ183" s="149">
        <v>30</v>
      </c>
      <c r="BK183" s="149" t="s">
        <v>786</v>
      </c>
      <c r="BL183" s="150">
        <v>10</v>
      </c>
      <c r="BM183" s="149" t="s">
        <v>1879</v>
      </c>
      <c r="BN183" s="150" t="s">
        <v>816</v>
      </c>
      <c r="BO183" s="149">
        <v>5</v>
      </c>
      <c r="BP183" s="149">
        <v>20</v>
      </c>
      <c r="BQ183" s="149" t="s">
        <v>1936</v>
      </c>
      <c r="BR183" s="150">
        <v>9</v>
      </c>
      <c r="BS183" s="150" t="s">
        <v>1923</v>
      </c>
      <c r="BT183" s="149">
        <v>4</v>
      </c>
      <c r="BU183" s="149">
        <v>4</v>
      </c>
      <c r="BV183" s="150" t="s">
        <v>816</v>
      </c>
    </row>
    <row r="184" spans="1:74" x14ac:dyDescent="0.25">
      <c r="A184" s="149" t="s">
        <v>1830</v>
      </c>
      <c r="B184" s="149" t="s">
        <v>2243</v>
      </c>
      <c r="D184" s="149">
        <v>2</v>
      </c>
      <c r="E184" s="149">
        <v>2</v>
      </c>
      <c r="F184" s="149">
        <v>2</v>
      </c>
      <c r="G184" s="149">
        <v>2</v>
      </c>
      <c r="H184" s="149">
        <v>2</v>
      </c>
      <c r="I184" s="149">
        <v>2</v>
      </c>
      <c r="J184" s="149">
        <v>2</v>
      </c>
      <c r="K184" s="149">
        <v>2</v>
      </c>
      <c r="L184" s="149">
        <v>2</v>
      </c>
      <c r="M184" s="149">
        <v>0</v>
      </c>
      <c r="N184" s="149">
        <v>0</v>
      </c>
      <c r="O184" s="149">
        <v>1</v>
      </c>
      <c r="P184" s="149">
        <v>4</v>
      </c>
      <c r="Q184" s="149">
        <v>3</v>
      </c>
      <c r="R184" s="149">
        <v>2</v>
      </c>
      <c r="S184" s="149">
        <v>0</v>
      </c>
      <c r="T184" s="149">
        <v>0</v>
      </c>
      <c r="U184" s="209" t="s">
        <v>816</v>
      </c>
      <c r="V184" s="209" t="s">
        <v>816</v>
      </c>
      <c r="W184" s="209" t="s">
        <v>816</v>
      </c>
      <c r="X184" s="209" t="s">
        <v>816</v>
      </c>
      <c r="Y184" s="209" t="s">
        <v>816</v>
      </c>
      <c r="Z184" s="209" t="s">
        <v>816</v>
      </c>
      <c r="AA184" s="209" t="s">
        <v>816</v>
      </c>
      <c r="AB184" s="209" t="s">
        <v>816</v>
      </c>
      <c r="AC184" s="150" t="s">
        <v>1831</v>
      </c>
      <c r="AD184" s="257" t="s">
        <v>1832</v>
      </c>
      <c r="AE184" s="256" t="s">
        <v>494</v>
      </c>
      <c r="AF184" s="257" t="s">
        <v>494</v>
      </c>
      <c r="AG184" s="149" t="s">
        <v>702</v>
      </c>
      <c r="AH184" s="149">
        <v>3</v>
      </c>
      <c r="AI184" s="149" t="s">
        <v>1833</v>
      </c>
      <c r="AJ184" s="150" t="s">
        <v>816</v>
      </c>
      <c r="AK184" s="149">
        <v>6</v>
      </c>
      <c r="AL184" s="150" t="s">
        <v>816</v>
      </c>
      <c r="AM184" s="149" t="s">
        <v>720</v>
      </c>
      <c r="AN184" s="149">
        <v>2</v>
      </c>
      <c r="AO184" s="149" t="s">
        <v>1834</v>
      </c>
      <c r="AP184" s="149">
        <v>0</v>
      </c>
      <c r="AQ184" s="149">
        <v>5</v>
      </c>
      <c r="AR184" s="150" t="s">
        <v>816</v>
      </c>
      <c r="AS184" s="149" t="s">
        <v>721</v>
      </c>
      <c r="AT184" s="149">
        <v>4</v>
      </c>
      <c r="AU184" s="149" t="s">
        <v>1833</v>
      </c>
      <c r="AV184" s="149">
        <v>2</v>
      </c>
      <c r="AW184" s="149">
        <v>4</v>
      </c>
      <c r="AX184" s="150" t="s">
        <v>816</v>
      </c>
      <c r="AY184" s="209" t="s">
        <v>816</v>
      </c>
      <c r="AZ184" s="209" t="s">
        <v>816</v>
      </c>
      <c r="BA184" s="209" t="s">
        <v>816</v>
      </c>
      <c r="BB184" s="209" t="s">
        <v>816</v>
      </c>
      <c r="BC184" s="209" t="s">
        <v>816</v>
      </c>
      <c r="BD184" s="209" t="s">
        <v>816</v>
      </c>
      <c r="BE184" s="209" t="s">
        <v>816</v>
      </c>
      <c r="BF184" s="209" t="s">
        <v>816</v>
      </c>
      <c r="BG184" s="209" t="s">
        <v>816</v>
      </c>
      <c r="BH184" s="209" t="s">
        <v>816</v>
      </c>
      <c r="BI184" s="209" t="s">
        <v>816</v>
      </c>
      <c r="BJ184" s="209" t="s">
        <v>816</v>
      </c>
      <c r="BK184" s="209" t="s">
        <v>816</v>
      </c>
      <c r="BL184" s="209" t="s">
        <v>816</v>
      </c>
      <c r="BM184" s="209" t="s">
        <v>816</v>
      </c>
      <c r="BN184" s="209" t="s">
        <v>816</v>
      </c>
      <c r="BO184" s="209" t="s">
        <v>816</v>
      </c>
      <c r="BP184" s="209" t="s">
        <v>816</v>
      </c>
      <c r="BQ184" s="209" t="s">
        <v>816</v>
      </c>
      <c r="BR184" s="209" t="s">
        <v>816</v>
      </c>
      <c r="BS184" s="209" t="s">
        <v>816</v>
      </c>
      <c r="BT184" s="209" t="s">
        <v>816</v>
      </c>
      <c r="BU184" s="209" t="s">
        <v>816</v>
      </c>
      <c r="BV184" s="209" t="s">
        <v>816</v>
      </c>
    </row>
    <row r="185" spans="1:74" x14ac:dyDescent="0.25">
      <c r="A185" s="149" t="s">
        <v>3556</v>
      </c>
      <c r="B185" s="149" t="s">
        <v>2243</v>
      </c>
      <c r="D185" s="149">
        <v>3</v>
      </c>
      <c r="E185" s="149">
        <v>3</v>
      </c>
      <c r="F185" s="149">
        <v>3</v>
      </c>
      <c r="G185" s="149">
        <v>2</v>
      </c>
      <c r="H185" s="149">
        <v>2</v>
      </c>
      <c r="I185" s="149">
        <v>2</v>
      </c>
      <c r="J185" s="149">
        <v>3</v>
      </c>
      <c r="K185" s="149">
        <v>2</v>
      </c>
      <c r="L185" s="149">
        <v>3</v>
      </c>
      <c r="M185" s="149">
        <v>0</v>
      </c>
      <c r="N185" s="149">
        <v>0</v>
      </c>
      <c r="O185" s="149">
        <v>3</v>
      </c>
      <c r="P185" s="149">
        <v>5</v>
      </c>
      <c r="Q185" s="149">
        <v>6</v>
      </c>
      <c r="R185" s="149">
        <v>5</v>
      </c>
      <c r="S185" s="149">
        <v>2</v>
      </c>
      <c r="T185" s="149">
        <v>2</v>
      </c>
      <c r="U185" s="209" t="s">
        <v>816</v>
      </c>
      <c r="V185" s="209" t="s">
        <v>816</v>
      </c>
      <c r="W185" s="209" t="s">
        <v>816</v>
      </c>
      <c r="X185" s="209" t="s">
        <v>816</v>
      </c>
      <c r="Y185" s="209" t="s">
        <v>816</v>
      </c>
      <c r="Z185" s="209" t="s">
        <v>816</v>
      </c>
      <c r="AA185" s="209" t="s">
        <v>816</v>
      </c>
      <c r="AB185" s="209" t="s">
        <v>816</v>
      </c>
      <c r="AC185" s="150" t="s">
        <v>1831</v>
      </c>
      <c r="AD185" s="257" t="s">
        <v>2144</v>
      </c>
      <c r="AE185" s="257" t="s">
        <v>494</v>
      </c>
      <c r="AF185" s="257" t="s">
        <v>2309</v>
      </c>
      <c r="AG185" s="149" t="s">
        <v>702</v>
      </c>
      <c r="AH185" s="149">
        <v>6</v>
      </c>
      <c r="AI185" s="149" t="s">
        <v>1859</v>
      </c>
      <c r="AJ185" s="150" t="s">
        <v>816</v>
      </c>
      <c r="AK185" s="149">
        <v>6</v>
      </c>
      <c r="AL185" s="150" t="s">
        <v>816</v>
      </c>
      <c r="AM185" s="149" t="s">
        <v>720</v>
      </c>
      <c r="AN185" s="149">
        <v>5</v>
      </c>
      <c r="AO185" s="149" t="s">
        <v>1864</v>
      </c>
      <c r="AP185" s="149">
        <v>2</v>
      </c>
      <c r="AQ185" s="149">
        <v>5</v>
      </c>
      <c r="AR185" s="150" t="s">
        <v>816</v>
      </c>
      <c r="AS185" s="149" t="s">
        <v>721</v>
      </c>
      <c r="AT185" s="149">
        <v>7</v>
      </c>
      <c r="AU185" s="149" t="s">
        <v>1859</v>
      </c>
      <c r="AV185" s="149">
        <v>3</v>
      </c>
      <c r="AW185" s="149">
        <v>4</v>
      </c>
      <c r="AX185" s="150" t="s">
        <v>816</v>
      </c>
      <c r="AY185" s="150" t="s">
        <v>738</v>
      </c>
      <c r="AZ185" s="149">
        <v>6</v>
      </c>
      <c r="BA185" s="149" t="s">
        <v>1865</v>
      </c>
      <c r="BB185" s="150" t="s">
        <v>816</v>
      </c>
      <c r="BC185" s="149">
        <v>5</v>
      </c>
      <c r="BD185" s="150">
        <v>150</v>
      </c>
      <c r="BE185" s="149" t="s">
        <v>732</v>
      </c>
      <c r="BF185" s="149">
        <v>7</v>
      </c>
      <c r="BG185" s="149" t="s">
        <v>1843</v>
      </c>
      <c r="BH185" s="150" t="s">
        <v>816</v>
      </c>
      <c r="BI185" s="149">
        <v>4</v>
      </c>
      <c r="BJ185" s="150">
        <v>20</v>
      </c>
      <c r="BK185" s="149" t="s">
        <v>704</v>
      </c>
      <c r="BL185" s="150">
        <v>7</v>
      </c>
      <c r="BM185" s="150" t="s">
        <v>1923</v>
      </c>
      <c r="BN185" s="150">
        <v>3</v>
      </c>
      <c r="BO185" s="149">
        <v>5</v>
      </c>
      <c r="BP185" s="150" t="s">
        <v>816</v>
      </c>
      <c r="BQ185" s="149" t="s">
        <v>724</v>
      </c>
      <c r="BR185" s="150">
        <v>7</v>
      </c>
      <c r="BS185" s="150" t="s">
        <v>1923</v>
      </c>
      <c r="BT185" s="150">
        <v>3</v>
      </c>
      <c r="BU185" s="149">
        <v>4</v>
      </c>
      <c r="BV185" s="150" t="s">
        <v>816</v>
      </c>
    </row>
    <row r="186" spans="1:74" x14ac:dyDescent="0.25">
      <c r="A186" s="149" t="s">
        <v>2124</v>
      </c>
      <c r="B186" s="149" t="s">
        <v>2243</v>
      </c>
      <c r="D186" s="149">
        <v>8</v>
      </c>
      <c r="E186" s="149">
        <v>4</v>
      </c>
      <c r="F186" s="149">
        <v>10</v>
      </c>
      <c r="G186" s="149">
        <v>1</v>
      </c>
      <c r="H186" s="149">
        <v>2</v>
      </c>
      <c r="I186" s="149">
        <v>1</v>
      </c>
      <c r="J186" s="149">
        <v>3</v>
      </c>
      <c r="K186" s="149">
        <v>1</v>
      </c>
      <c r="L186" s="149">
        <v>2</v>
      </c>
      <c r="M186" s="149">
        <v>4</v>
      </c>
      <c r="N186" s="149">
        <v>16</v>
      </c>
      <c r="O186" s="149">
        <v>6</v>
      </c>
      <c r="P186" s="149">
        <v>7</v>
      </c>
      <c r="Q186" s="149">
        <v>4</v>
      </c>
      <c r="R186" s="149">
        <v>12</v>
      </c>
      <c r="S186" s="149">
        <v>7</v>
      </c>
      <c r="T186" s="149">
        <v>2</v>
      </c>
      <c r="U186" s="149" t="s">
        <v>158</v>
      </c>
      <c r="V186" s="149">
        <v>1</v>
      </c>
      <c r="W186" s="149" t="s">
        <v>2125</v>
      </c>
      <c r="X186" s="149">
        <v>4</v>
      </c>
      <c r="Y186" s="149" t="s">
        <v>164</v>
      </c>
      <c r="Z186" s="149">
        <v>3</v>
      </c>
      <c r="AA186" s="149" t="s">
        <v>173</v>
      </c>
      <c r="AB186" s="149">
        <v>3</v>
      </c>
      <c r="AC186" s="150" t="s">
        <v>2126</v>
      </c>
      <c r="AD186" s="257" t="s">
        <v>2127</v>
      </c>
      <c r="AE186" s="257" t="s">
        <v>2128</v>
      </c>
      <c r="AF186" s="257" t="s">
        <v>2112</v>
      </c>
      <c r="AG186" s="149" t="s">
        <v>702</v>
      </c>
      <c r="AH186" s="149">
        <v>8</v>
      </c>
      <c r="AI186" s="149" t="s">
        <v>1940</v>
      </c>
      <c r="AJ186" s="150" t="s">
        <v>816</v>
      </c>
      <c r="AK186" s="149">
        <v>6</v>
      </c>
      <c r="AL186" s="150" t="s">
        <v>816</v>
      </c>
      <c r="AM186" s="149" t="s">
        <v>2129</v>
      </c>
      <c r="AN186" s="149">
        <v>8</v>
      </c>
      <c r="AO186" s="149" t="s">
        <v>2130</v>
      </c>
      <c r="AP186" s="149">
        <v>4</v>
      </c>
      <c r="AQ186" s="149">
        <v>5</v>
      </c>
      <c r="AR186" s="150" t="s">
        <v>816</v>
      </c>
      <c r="AS186" s="149" t="s">
        <v>720</v>
      </c>
      <c r="AT186" s="149">
        <v>7</v>
      </c>
      <c r="AU186" s="149" t="s">
        <v>2131</v>
      </c>
      <c r="AV186" s="149">
        <v>3</v>
      </c>
      <c r="AW186" s="149">
        <v>5</v>
      </c>
      <c r="AX186" s="150" t="s">
        <v>816</v>
      </c>
      <c r="AY186" s="149" t="s">
        <v>721</v>
      </c>
      <c r="AZ186" s="149">
        <v>9</v>
      </c>
      <c r="BA186" s="149" t="s">
        <v>1922</v>
      </c>
      <c r="BB186" s="149">
        <v>5</v>
      </c>
      <c r="BC186" s="149">
        <v>4</v>
      </c>
      <c r="BD186" s="150" t="s">
        <v>816</v>
      </c>
      <c r="BE186" s="209" t="s">
        <v>816</v>
      </c>
      <c r="BF186" s="209" t="s">
        <v>816</v>
      </c>
      <c r="BG186" s="209" t="s">
        <v>816</v>
      </c>
      <c r="BH186" s="209" t="s">
        <v>816</v>
      </c>
      <c r="BI186" s="209" t="s">
        <v>816</v>
      </c>
      <c r="BJ186" s="209" t="s">
        <v>816</v>
      </c>
      <c r="BK186" s="209" t="s">
        <v>816</v>
      </c>
      <c r="BL186" s="209" t="s">
        <v>816</v>
      </c>
      <c r="BM186" s="209" t="s">
        <v>816</v>
      </c>
      <c r="BN186" s="209" t="s">
        <v>816</v>
      </c>
      <c r="BO186" s="209" t="s">
        <v>816</v>
      </c>
      <c r="BP186" s="209" t="s">
        <v>816</v>
      </c>
      <c r="BQ186" s="209" t="s">
        <v>816</v>
      </c>
      <c r="BR186" s="209" t="s">
        <v>816</v>
      </c>
      <c r="BS186" s="209" t="s">
        <v>816</v>
      </c>
      <c r="BT186" s="209" t="s">
        <v>816</v>
      </c>
      <c r="BU186" s="209" t="s">
        <v>816</v>
      </c>
      <c r="BV186" s="209" t="s">
        <v>816</v>
      </c>
    </row>
    <row r="187" spans="1:74" x14ac:dyDescent="0.25">
      <c r="A187" s="149" t="str">
        <f>IF(Sandbox!$AA$4="","",Sandbox!$AA$4)</f>
        <v/>
      </c>
      <c r="B187" s="149" t="s">
        <v>1793</v>
      </c>
      <c r="D187" s="149" t="str">
        <f>IF(Sandbox!$AC$2="","--",Sandbox!$AC$2)</f>
        <v>--</v>
      </c>
      <c r="E187" s="149" t="str">
        <f>IF(Sandbox!$AC$3="","--",Sandbox!$AC$3)</f>
        <v>--</v>
      </c>
      <c r="F187" s="149" t="str">
        <f>IF(Sandbox!$AC$4="","--",Sandbox!$AC$4)</f>
        <v>--</v>
      </c>
      <c r="G187" s="149" t="str">
        <f>IF(Sandbox!$AE$2="","--",Sandbox!$AE$2)</f>
        <v>--</v>
      </c>
      <c r="H187" s="149" t="str">
        <f>IF(Sandbox!$AE$3="","--",Sandbox!$AE$3)</f>
        <v>--</v>
      </c>
      <c r="I187" s="149" t="str">
        <f>IF(Sandbox!$AE$4="","--",Sandbox!$AE$4)</f>
        <v>--</v>
      </c>
      <c r="J187" s="149" t="str">
        <f>IF(Sandbox!$AG$2="","--",Sandbox!$AG$2)</f>
        <v>--</v>
      </c>
      <c r="K187" s="149" t="str">
        <f>IF(Sandbox!$AG$3="","--",Sandbox!$AG$3)</f>
        <v>--</v>
      </c>
      <c r="L187" s="149" t="str">
        <f>IF(Sandbox!$AG$4="","--",Sandbox!$AG$4)</f>
        <v>--</v>
      </c>
      <c r="M187" s="149" t="str">
        <f>IF(Sandbox!$AA$5="","--",Sandbox!$AA$5)</f>
        <v>--</v>
      </c>
      <c r="N187" s="149" t="str">
        <f>IF(Sandbox!$AA$6="","--",Sandbox!$AA$6)</f>
        <v>--</v>
      </c>
      <c r="O187" s="149" t="str">
        <f>IF(Sandbox!$AC$5="","--",Sandbox!$AC$5)</f>
        <v>--</v>
      </c>
      <c r="P187" s="149" t="str">
        <f>IF(Sandbox!$AE$5="","--",Sandbox!$AE$5)</f>
        <v>--</v>
      </c>
      <c r="Q187" s="149" t="str">
        <f>IF(Sandbox!$AG$5="","--",Sandbox!$AG$5)</f>
        <v>--</v>
      </c>
      <c r="R187" s="149" t="str">
        <f>IF(Sandbox!$AE$6="","--",Sandbox!$AE$6)</f>
        <v>--</v>
      </c>
      <c r="S187" s="149" t="str">
        <f>IF(Sandbox!$AG$6="","--",Sandbox!$AG$6)</f>
        <v>--</v>
      </c>
      <c r="T187" s="149" t="str">
        <f>IF(Sandbox!$AI$6="","--",Sandbox!$AI$6)</f>
        <v>--</v>
      </c>
      <c r="U187" s="149" t="str">
        <f>IF(Sandbox!$AI$2="","--",Sandbox!$AI$2)</f>
        <v>--</v>
      </c>
      <c r="V187" s="149" t="str">
        <f>IF(Sandbox!$AJ$2="","--",Sandbox!$AJ$2)</f>
        <v>--</v>
      </c>
      <c r="W187" s="149" t="str">
        <f>IF(Sandbox!$AI$3="","--",Sandbox!$AI$3)</f>
        <v>--</v>
      </c>
      <c r="X187" s="149" t="str">
        <f>IF(Sandbox!$AJ$3="","--",Sandbox!$AJ$3)</f>
        <v>--</v>
      </c>
      <c r="Y187" s="149" t="str">
        <f>IF(Sandbox!$AI$4="","--",Sandbox!$AI$4)</f>
        <v>--</v>
      </c>
      <c r="Z187" s="149" t="str">
        <f>IF(Sandbox!$AJ$4="","--",Sandbox!$AJ$4)</f>
        <v>--</v>
      </c>
      <c r="AA187" s="149" t="str">
        <f>IF(Sandbox!$AI$5="","--",Sandbox!$AI$5)</f>
        <v>--</v>
      </c>
      <c r="AB187" s="149" t="str">
        <f>IF(Sandbox!$AJ$5="","--",Sandbox!$AJ$5)</f>
        <v>--</v>
      </c>
      <c r="AC187" s="149" t="str">
        <f>IF(Sandbox!$AA$7="","--",Sandbox!$AA$7)</f>
        <v>--</v>
      </c>
      <c r="AD187" s="257" t="str">
        <f>IF(Sandbox!$AA$8="","--",Sandbox!$AA$8)</f>
        <v>--</v>
      </c>
      <c r="AE187" s="257" t="str">
        <f>IF(Sandbox!$AA$9="","--",Sandbox!$AA$9)</f>
        <v>--</v>
      </c>
      <c r="AF187" s="257" t="str">
        <f>IF(Sandbox!$AA$10="","--",Sandbox!$AA$10)</f>
        <v>--</v>
      </c>
      <c r="AG187" s="149" t="str">
        <f>IF(Sandbox!$AA$12="","--",Sandbox!$AA$12)</f>
        <v>--</v>
      </c>
      <c r="AH187" s="149" t="str">
        <f>IF(Sandbox!$AB$12="","--",Sandbox!$AB$12)</f>
        <v>--</v>
      </c>
      <c r="AI187" s="149" t="str">
        <f>IF(Sandbox!$AC$12="","--",Sandbox!$AC$12)</f>
        <v>--</v>
      </c>
      <c r="AJ187" s="149" t="str">
        <f>IF(Sandbox!$AD$12="","--",Sandbox!$AD$12)</f>
        <v>--</v>
      </c>
      <c r="AK187" s="149" t="str">
        <f>IF(Sandbox!$AE$12="","--",Sandbox!$AE$12)</f>
        <v>--</v>
      </c>
      <c r="AL187" s="149" t="str">
        <f>IF(Sandbox!$AF$12="","--",Sandbox!$AF$12)</f>
        <v>--</v>
      </c>
      <c r="AM187" s="149" t="str">
        <f>IF(Sandbox!$AA$13="","--",Sandbox!$AA$13)</f>
        <v>--</v>
      </c>
      <c r="AN187" s="149" t="str">
        <f>IF(Sandbox!$AB$13="","--",Sandbox!$AB$13)</f>
        <v>--</v>
      </c>
      <c r="AO187" s="149" t="str">
        <f>IF(Sandbox!$AC$13="","--",Sandbox!$AC$13)</f>
        <v>--</v>
      </c>
      <c r="AP187" s="149" t="str">
        <f>IF(Sandbox!$AD$13="","--",Sandbox!$AD$13)</f>
        <v>--</v>
      </c>
      <c r="AQ187" s="149" t="str">
        <f>IF(Sandbox!$AE$13="","--",Sandbox!$AE$13)</f>
        <v>--</v>
      </c>
      <c r="AR187" s="149" t="str">
        <f>IF(Sandbox!$AF$13="","--",Sandbox!$AF$13)</f>
        <v>--</v>
      </c>
      <c r="AS187" s="149" t="str">
        <f>IF(Sandbox!$AA$14="","--",Sandbox!$AA$14)</f>
        <v>--</v>
      </c>
      <c r="AT187" s="149" t="str">
        <f>IF(Sandbox!$AB$14="","--",Sandbox!$AB$14)</f>
        <v>--</v>
      </c>
      <c r="AU187" s="149" t="str">
        <f>IF(Sandbox!$AC$14="","--",Sandbox!$AC$14)</f>
        <v>--</v>
      </c>
      <c r="AV187" s="149" t="str">
        <f>IF(Sandbox!$AD$14="","--",Sandbox!$AD$14)</f>
        <v>--</v>
      </c>
      <c r="AW187" s="149" t="str">
        <f>IF(Sandbox!$AE$14="","--",Sandbox!$AE$14)</f>
        <v>--</v>
      </c>
      <c r="AX187" s="149" t="str">
        <f>IF(Sandbox!$AF$14="","--",Sandbox!$AF$14)</f>
        <v>--</v>
      </c>
      <c r="AY187" s="149" t="str">
        <f>IF(Sandbox!$AA$15="","--",Sandbox!$AA$15)</f>
        <v>--</v>
      </c>
      <c r="AZ187" s="149" t="str">
        <f>IF(Sandbox!$AB$15="","--",Sandbox!$AB$15)</f>
        <v>--</v>
      </c>
      <c r="BA187" s="149" t="str">
        <f>IF(Sandbox!$AC$15="","--",Sandbox!$AC$15)</f>
        <v>--</v>
      </c>
      <c r="BB187" s="149" t="str">
        <f>IF(Sandbox!$AD$15="","--",Sandbox!$AD$15)</f>
        <v>--</v>
      </c>
      <c r="BC187" s="149" t="str">
        <f>IF(Sandbox!$AE$15="","--",Sandbox!$AE$15)</f>
        <v>--</v>
      </c>
      <c r="BD187" s="149" t="str">
        <f>IF(Sandbox!$AF$15="","--",Sandbox!$AF$15)</f>
        <v>--</v>
      </c>
      <c r="BE187" s="149" t="str">
        <f>IF(Sandbox!$AA$16="","--",Sandbox!$AA$16)</f>
        <v>--</v>
      </c>
      <c r="BF187" s="149" t="str">
        <f>IF(Sandbox!$AB$16="","--",Sandbox!$AB$16)</f>
        <v>--</v>
      </c>
      <c r="BG187" s="149" t="str">
        <f>IF(Sandbox!$AC$16="","--",Sandbox!$AC$16)</f>
        <v>--</v>
      </c>
      <c r="BH187" s="149" t="str">
        <f>IF(Sandbox!$AD$16="","--",Sandbox!$AD$16)</f>
        <v>--</v>
      </c>
      <c r="BI187" s="149" t="str">
        <f>IF(Sandbox!$AE$16="","--",Sandbox!$AE$16)</f>
        <v>--</v>
      </c>
      <c r="BJ187" s="149" t="str">
        <f>IF(Sandbox!$AF$16="","--",Sandbox!$AF$16)</f>
        <v>--</v>
      </c>
      <c r="BK187" s="149" t="str">
        <f>IF(Sandbox!$AA$17="","--",Sandbox!$AA$17)</f>
        <v>--</v>
      </c>
      <c r="BL187" s="149" t="str">
        <f>IF(Sandbox!$AB$17="","--",Sandbox!$AB$17)</f>
        <v>--</v>
      </c>
      <c r="BM187" s="149" t="str">
        <f>IF(Sandbox!$AC$17="","--",Sandbox!$AC$17)</f>
        <v>--</v>
      </c>
      <c r="BN187" s="149" t="str">
        <f>IF(Sandbox!$AD$17="","--",Sandbox!$AD$17)</f>
        <v>--</v>
      </c>
      <c r="BO187" s="149" t="str">
        <f>IF(Sandbox!$AE$17="","--",Sandbox!$AE$17)</f>
        <v>--</v>
      </c>
      <c r="BP187" s="149" t="str">
        <f>IF(Sandbox!$AF$17="","--",Sandbox!$AF$17)</f>
        <v>--</v>
      </c>
      <c r="BQ187" s="149" t="str">
        <f>IF(Sandbox!$AA$18="","--",Sandbox!$AA$18)</f>
        <v>--</v>
      </c>
      <c r="BR187" s="149" t="str">
        <f>IF(Sandbox!$AB$18="","--",Sandbox!$AB$18)</f>
        <v>--</v>
      </c>
      <c r="BS187" s="149" t="str">
        <f>IF(Sandbox!$AC$18="","--",Sandbox!$AC$18)</f>
        <v>--</v>
      </c>
      <c r="BT187" s="149" t="str">
        <f>IF(Sandbox!$AD$18="","--",Sandbox!$AD$18)</f>
        <v>--</v>
      </c>
      <c r="BU187" s="149" t="str">
        <f>IF(Sandbox!$AE$18="","--",Sandbox!$AE$18)</f>
        <v>--</v>
      </c>
      <c r="BV187" s="149" t="str">
        <f>IF(Sandbox!$AF$18="","--",Sandbox!$AF$18)</f>
        <v>--</v>
      </c>
    </row>
    <row r="188" spans="1:74" x14ac:dyDescent="0.25">
      <c r="A188" s="149" t="str">
        <f>IF(Sandbox!$AA$23="","",Sandbox!$AA$23)</f>
        <v/>
      </c>
      <c r="B188" s="149" t="s">
        <v>1794</v>
      </c>
      <c r="D188" s="149" t="str">
        <f>IF(Sandbox!$AC$21="","--",Sandbox!$AC$21)</f>
        <v>--</v>
      </c>
      <c r="E188" s="149" t="str">
        <f>IF(Sandbox!$AC$22="","--",Sandbox!$AC$22)</f>
        <v>--</v>
      </c>
      <c r="F188" s="149" t="str">
        <f>IF(Sandbox!$AC$23="","--",Sandbox!$AC$23)</f>
        <v>--</v>
      </c>
      <c r="G188" s="149" t="str">
        <f>IF(Sandbox!$AE$21="","--",Sandbox!$AE$21)</f>
        <v>--</v>
      </c>
      <c r="H188" s="149" t="str">
        <f>IF(Sandbox!$AE$22="","--",Sandbox!$AE$22)</f>
        <v>--</v>
      </c>
      <c r="I188" s="149" t="str">
        <f>IF(Sandbox!$AE$23="","--",Sandbox!$AE$23)</f>
        <v>--</v>
      </c>
      <c r="J188" s="149" t="str">
        <f>IF(Sandbox!$AG$21="","--",Sandbox!$AG$21)</f>
        <v>--</v>
      </c>
      <c r="K188" s="149" t="str">
        <f>IF(Sandbox!$AG$22="","--",Sandbox!$AG$22)</f>
        <v>--</v>
      </c>
      <c r="L188" s="149" t="str">
        <f>IF(Sandbox!$AG$23="","--",Sandbox!$AG$23)</f>
        <v>--</v>
      </c>
      <c r="M188" s="149" t="str">
        <f>IF(Sandbox!$AA$24="","--",Sandbox!$AA$24)</f>
        <v>--</v>
      </c>
      <c r="N188" s="149" t="str">
        <f>IF(Sandbox!$AA$25="","--",Sandbox!$AA$25)</f>
        <v>--</v>
      </c>
      <c r="O188" s="149" t="str">
        <f>IF(Sandbox!$AC$24="","--",Sandbox!$AC$24)</f>
        <v>--</v>
      </c>
      <c r="P188" s="149" t="str">
        <f>IF(Sandbox!$AE$24="","--",Sandbox!$AE$24)</f>
        <v>--</v>
      </c>
      <c r="Q188" s="149" t="str">
        <f>IF(Sandbox!$AG$24="","--",Sandbox!$AG$24)</f>
        <v>--</v>
      </c>
      <c r="R188" s="149" t="str">
        <f>IF(Sandbox!$AE$25="","--",Sandbox!$AE$25)</f>
        <v>--</v>
      </c>
      <c r="S188" s="149" t="str">
        <f>IF(Sandbox!$AG$25="","--",Sandbox!$AG$25)</f>
        <v>--</v>
      </c>
      <c r="T188" s="149" t="str">
        <f>IF(Sandbox!$AI$25="","--",Sandbox!$AI$25)</f>
        <v>--</v>
      </c>
      <c r="U188" s="149" t="str">
        <f>IF(Sandbox!$AI$21="","--",Sandbox!$AI$21)</f>
        <v>--</v>
      </c>
      <c r="V188" s="149" t="str">
        <f>IF(Sandbox!$AJ$21="","--",Sandbox!$AJ$21)</f>
        <v>--</v>
      </c>
      <c r="W188" s="149" t="str">
        <f>IF(Sandbox!$AI$22="","--",Sandbox!$AI$22)</f>
        <v>--</v>
      </c>
      <c r="X188" s="149" t="str">
        <f>IF(Sandbox!$AJ$22="","--",Sandbox!$AJ$22)</f>
        <v>--</v>
      </c>
      <c r="Y188" s="149" t="str">
        <f>IF(Sandbox!$AI$23="","--",Sandbox!$AI$23)</f>
        <v>--</v>
      </c>
      <c r="Z188" s="149" t="str">
        <f>IF(Sandbox!$AJ$23="","--",Sandbox!$AJ$23)</f>
        <v>--</v>
      </c>
      <c r="AA188" s="149" t="str">
        <f>IF(Sandbox!$AI$24="","--",Sandbox!$AI$24)</f>
        <v>--</v>
      </c>
      <c r="AB188" s="149" t="str">
        <f>IF(Sandbox!$AJ$24="","--",Sandbox!$AJ$24)</f>
        <v>--</v>
      </c>
      <c r="AC188" s="149" t="str">
        <f>IF(Sandbox!$AA$26="","--",Sandbox!$AA$26)</f>
        <v>--</v>
      </c>
      <c r="AD188" s="257" t="str">
        <f>IF(Sandbox!$AA$27="","--",Sandbox!$AA$27)</f>
        <v>--</v>
      </c>
      <c r="AE188" s="257" t="str">
        <f>IF(Sandbox!$AA$28="","--",Sandbox!$AA$28)</f>
        <v>--</v>
      </c>
      <c r="AF188" s="257" t="str">
        <f>IF(Sandbox!$AA$29="","--",Sandbox!$AA$29)</f>
        <v>--</v>
      </c>
      <c r="AG188" s="149" t="str">
        <f>IF(Sandbox!$AA$31="","--",Sandbox!$AA$31)</f>
        <v>--</v>
      </c>
      <c r="AH188" s="149" t="str">
        <f>IF(Sandbox!$AB$31="","--",Sandbox!$AB$31)</f>
        <v>--</v>
      </c>
      <c r="AI188" s="149" t="str">
        <f>IF(Sandbox!$AC$31="","--",Sandbox!$AC$31)</f>
        <v>--</v>
      </c>
      <c r="AJ188" s="149" t="str">
        <f>IF(Sandbox!$AD$31="","--",Sandbox!$AD$31)</f>
        <v>--</v>
      </c>
      <c r="AK188" s="149" t="str">
        <f>IF(Sandbox!$AE$31="","--",Sandbox!$AE$31)</f>
        <v>--</v>
      </c>
      <c r="AL188" s="149" t="str">
        <f>IF(Sandbox!$AF$31="","--",Sandbox!$AF$31)</f>
        <v>--</v>
      </c>
      <c r="AM188" s="149" t="str">
        <f>IF(Sandbox!$AA$32="","--",Sandbox!$AA$32)</f>
        <v>--</v>
      </c>
      <c r="AN188" s="149" t="str">
        <f>IF(Sandbox!$AB$32="","--",Sandbox!$AB$32)</f>
        <v>--</v>
      </c>
      <c r="AO188" s="149" t="str">
        <f>IF(Sandbox!$AC$32="","--",Sandbox!$AC$32)</f>
        <v>--</v>
      </c>
      <c r="AP188" s="149" t="str">
        <f>IF(Sandbox!$AD$32="","--",Sandbox!$AD$32)</f>
        <v>--</v>
      </c>
      <c r="AQ188" s="149" t="str">
        <f>IF(Sandbox!$AE$32="","--",Sandbox!$AE$32)</f>
        <v>--</v>
      </c>
      <c r="AR188" s="149" t="str">
        <f>IF(Sandbox!$AF$32="","--",Sandbox!$AF$32)</f>
        <v>--</v>
      </c>
      <c r="AS188" s="149" t="str">
        <f>IF(Sandbox!$AA$33="","--",Sandbox!$AA$33)</f>
        <v>--</v>
      </c>
      <c r="AT188" s="149" t="str">
        <f>IF(Sandbox!$AB$33="","--",Sandbox!$AB$33)</f>
        <v>--</v>
      </c>
      <c r="AU188" s="149" t="str">
        <f>IF(Sandbox!$AC$33="","--",Sandbox!$AC$33)</f>
        <v>--</v>
      </c>
      <c r="AV188" s="149" t="str">
        <f>IF(Sandbox!$AD$33="","--",Sandbox!$AD$33)</f>
        <v>--</v>
      </c>
      <c r="AW188" s="149" t="str">
        <f>IF(Sandbox!$AE$33="","--",Sandbox!$AE$33)</f>
        <v>--</v>
      </c>
      <c r="AX188" s="149" t="str">
        <f>IF(Sandbox!$AF$33="","--",Sandbox!$AF$33)</f>
        <v>--</v>
      </c>
      <c r="AY188" s="149" t="str">
        <f>IF(Sandbox!$AA$34="","--",Sandbox!$AA$34)</f>
        <v>--</v>
      </c>
      <c r="AZ188" s="149" t="str">
        <f>IF(Sandbox!$AB$34="","--",Sandbox!$AB$34)</f>
        <v>--</v>
      </c>
      <c r="BA188" s="149" t="str">
        <f>IF(Sandbox!$AC$34="","--",Sandbox!$AC$34)</f>
        <v>--</v>
      </c>
      <c r="BB188" s="149" t="str">
        <f>IF(Sandbox!$AD$34="","--",Sandbox!$AD$34)</f>
        <v>--</v>
      </c>
      <c r="BC188" s="149" t="str">
        <f>IF(Sandbox!$AE$34="","--",Sandbox!$AE$34)</f>
        <v>--</v>
      </c>
      <c r="BD188" s="149" t="str">
        <f>IF(Sandbox!$AF$34="","--",Sandbox!$AF$34)</f>
        <v>--</v>
      </c>
      <c r="BE188" s="149" t="str">
        <f>IF(Sandbox!$AA$35="","--",Sandbox!$AA$35)</f>
        <v>--</v>
      </c>
      <c r="BF188" s="149" t="str">
        <f>IF(Sandbox!$AB$35="","--",Sandbox!$AB$35)</f>
        <v>--</v>
      </c>
      <c r="BG188" s="149" t="str">
        <f>IF(Sandbox!$AC$35="","--",Sandbox!$AC$35)</f>
        <v>--</v>
      </c>
      <c r="BH188" s="149" t="str">
        <f>IF(Sandbox!$AD$35="","--",Sandbox!$AD$35)</f>
        <v>--</v>
      </c>
      <c r="BI188" s="149" t="str">
        <f>IF(Sandbox!$AE$35="","--",Sandbox!$AE$35)</f>
        <v>--</v>
      </c>
      <c r="BJ188" s="149" t="str">
        <f>IF(Sandbox!$AF$35="","--",Sandbox!$AF$35)</f>
        <v>--</v>
      </c>
      <c r="BK188" s="149" t="str">
        <f>IF(Sandbox!$AA$36="","--",Sandbox!$AA$36)</f>
        <v>--</v>
      </c>
      <c r="BL188" s="149" t="str">
        <f>IF(Sandbox!$AB$36="","--",Sandbox!$AB$36)</f>
        <v>--</v>
      </c>
      <c r="BM188" s="149" t="str">
        <f>IF(Sandbox!$AC$36="","--",Sandbox!$AC$36)</f>
        <v>--</v>
      </c>
      <c r="BN188" s="149" t="str">
        <f>IF(Sandbox!$AD$36="","--",Sandbox!$AD$36)</f>
        <v>--</v>
      </c>
      <c r="BO188" s="149" t="str">
        <f>IF(Sandbox!$AE$36="","--",Sandbox!$AE$36)</f>
        <v>--</v>
      </c>
      <c r="BP188" s="149" t="str">
        <f>IF(Sandbox!$AF$36="","--",Sandbox!$AF$36)</f>
        <v>--</v>
      </c>
      <c r="BQ188" s="149" t="str">
        <f>IF(Sandbox!$AA$37="","--",Sandbox!$AA$37)</f>
        <v>--</v>
      </c>
      <c r="BR188" s="149" t="str">
        <f>IF(Sandbox!$AB$37="","--",Sandbox!$AB$37)</f>
        <v>--</v>
      </c>
      <c r="BS188" s="149" t="str">
        <f>IF(Sandbox!$AC$37="","--",Sandbox!$AC$37)</f>
        <v>--</v>
      </c>
      <c r="BT188" s="149" t="str">
        <f>IF(Sandbox!$AD$37="","--",Sandbox!$AD$37)</f>
        <v>--</v>
      </c>
      <c r="BU188" s="149" t="str">
        <f>IF(Sandbox!$AE$37="","--",Sandbox!$AE$37)</f>
        <v>--</v>
      </c>
      <c r="BV188" s="149" t="str">
        <f>IF(Sandbox!$AF$37="","--",Sandbox!$AF$37)</f>
        <v>--</v>
      </c>
    </row>
    <row r="189" spans="1:74" x14ac:dyDescent="0.25">
      <c r="A189" s="149" t="str">
        <f>IF(Sandbox!$AA$42="","",Sandbox!$AA$42)</f>
        <v/>
      </c>
      <c r="B189" s="149" t="s">
        <v>1804</v>
      </c>
      <c r="D189" s="149" t="str">
        <f>IF(Sandbox!$AC$40="","--",Sandbox!$AC$40)</f>
        <v>--</v>
      </c>
      <c r="E189" s="149" t="str">
        <f>IF(Sandbox!$AC$41="","--",Sandbox!$AC$41)</f>
        <v>--</v>
      </c>
      <c r="F189" s="149" t="str">
        <f>IF(Sandbox!$AC$42="","--",Sandbox!$AC$42)</f>
        <v>--</v>
      </c>
      <c r="G189" s="149" t="str">
        <f>IF(Sandbox!$AE$40="","--",Sandbox!$AE$40)</f>
        <v>--</v>
      </c>
      <c r="H189" s="149" t="str">
        <f>IF(Sandbox!$AE$41="","--",Sandbox!$AE$41)</f>
        <v>--</v>
      </c>
      <c r="I189" s="149" t="str">
        <f>IF(Sandbox!$AE$42="","--",Sandbox!$AE$42)</f>
        <v>--</v>
      </c>
      <c r="J189" s="149" t="str">
        <f>IF(Sandbox!$AG$40="","--",Sandbox!$AG$40)</f>
        <v>--</v>
      </c>
      <c r="K189" s="149" t="str">
        <f>IF(Sandbox!$AG$41="","--",Sandbox!$AG$41)</f>
        <v>--</v>
      </c>
      <c r="L189" s="149" t="str">
        <f>IF(Sandbox!$AG$42="","--",Sandbox!$AG$42)</f>
        <v>--</v>
      </c>
      <c r="M189" s="149" t="str">
        <f>IF(Sandbox!$AA$43="","--",Sandbox!$AA$43)</f>
        <v>--</v>
      </c>
      <c r="N189" s="149" t="str">
        <f>IF(Sandbox!$AA$44="","--",Sandbox!$AA$44)</f>
        <v>--</v>
      </c>
      <c r="O189" s="149" t="str">
        <f>IF(Sandbox!$AC$43="","--",Sandbox!$AC$43)</f>
        <v>--</v>
      </c>
      <c r="P189" s="149" t="str">
        <f>IF(Sandbox!$AE$43="","--",Sandbox!$AE$43)</f>
        <v>--</v>
      </c>
      <c r="Q189" s="149" t="str">
        <f>IF(Sandbox!$AG$43="","--",Sandbox!$AG$43)</f>
        <v>--</v>
      </c>
      <c r="R189" s="149" t="str">
        <f>IF(Sandbox!$AE$44="","--",Sandbox!$AE$44)</f>
        <v>--</v>
      </c>
      <c r="S189" s="149" t="str">
        <f>IF(Sandbox!$AG$44="","--",Sandbox!$AG$44)</f>
        <v>--</v>
      </c>
      <c r="T189" s="149" t="str">
        <f>IF(Sandbox!$AI$44="","--",Sandbox!$AI$44)</f>
        <v>--</v>
      </c>
      <c r="U189" s="149" t="str">
        <f>IF(Sandbox!$AI$40="","--",Sandbox!$AI$40)</f>
        <v>--</v>
      </c>
      <c r="V189" s="149" t="str">
        <f>IF(Sandbox!$AJ$40="","--",Sandbox!$AJ$40)</f>
        <v>--</v>
      </c>
      <c r="W189" s="149" t="str">
        <f>IF(Sandbox!$AI$41="","--",Sandbox!$AI$41)</f>
        <v>--</v>
      </c>
      <c r="X189" s="149" t="str">
        <f>IF(Sandbox!$AJ$41="","--",Sandbox!$AJ$41)</f>
        <v>--</v>
      </c>
      <c r="Y189" s="149" t="str">
        <f>IF(Sandbox!$AI$42="","--",Sandbox!$AI$42)</f>
        <v>--</v>
      </c>
      <c r="Z189" s="149" t="str">
        <f>IF(Sandbox!$AJ$42="","--",Sandbox!$AJ$42)</f>
        <v>--</v>
      </c>
      <c r="AA189" s="149" t="str">
        <f>IF(Sandbox!$AI$43="","--",Sandbox!$AI$43)</f>
        <v>--</v>
      </c>
      <c r="AB189" s="149" t="str">
        <f>IF(Sandbox!$AJ$43="","--",Sandbox!$AJ$43)</f>
        <v>--</v>
      </c>
      <c r="AC189" s="149" t="str">
        <f>IF(Sandbox!$AA$45="","--",Sandbox!$AA$45)</f>
        <v>--</v>
      </c>
      <c r="AD189" s="257" t="str">
        <f>IF(Sandbox!$AA$46="","--",Sandbox!$AA$46)</f>
        <v>--</v>
      </c>
      <c r="AE189" s="257" t="str">
        <f>IF(Sandbox!$AA$47="","--",Sandbox!$AA$47)</f>
        <v>--</v>
      </c>
      <c r="AF189" s="257" t="str">
        <f>IF(Sandbox!$AA$48="","--",Sandbox!$AA$48)</f>
        <v>--</v>
      </c>
      <c r="AG189" s="149" t="str">
        <f>IF(Sandbox!$AA$50="","--",Sandbox!$AA$50)</f>
        <v>--</v>
      </c>
      <c r="AH189" s="149" t="str">
        <f>IF(Sandbox!$AB$50="","--",Sandbox!$AB$50)</f>
        <v>--</v>
      </c>
      <c r="AI189" s="149" t="str">
        <f>IF(Sandbox!$AC$50="","--",Sandbox!$AC$50)</f>
        <v>--</v>
      </c>
      <c r="AJ189" s="149" t="str">
        <f>IF(Sandbox!$AD$50="","--",Sandbox!$AD$50)</f>
        <v>--</v>
      </c>
      <c r="AK189" s="149" t="str">
        <f>IF(Sandbox!$AE$50="","--",Sandbox!$AE$50)</f>
        <v>--</v>
      </c>
      <c r="AL189" s="149" t="str">
        <f>IF(Sandbox!$AF$50="","--",Sandbox!$AF$50)</f>
        <v>--</v>
      </c>
      <c r="AM189" s="149" t="str">
        <f>IF(Sandbox!$AA$51="","--",Sandbox!$AA$51)</f>
        <v>--</v>
      </c>
      <c r="AN189" s="149" t="str">
        <f>IF(Sandbox!$AB$51="","--",Sandbox!$AB$51)</f>
        <v>--</v>
      </c>
      <c r="AO189" s="149" t="str">
        <f>IF(Sandbox!$AC$51="","--",Sandbox!$AC$51)</f>
        <v>--</v>
      </c>
      <c r="AP189" s="149" t="str">
        <f>IF(Sandbox!$AD$51="","--",Sandbox!$AD$51)</f>
        <v>--</v>
      </c>
      <c r="AQ189" s="149" t="str">
        <f>IF(Sandbox!$AE$51="","--",Sandbox!$AE$51)</f>
        <v>--</v>
      </c>
      <c r="AR189" s="149" t="str">
        <f>IF(Sandbox!$AF$51="","--",Sandbox!$AF$51)</f>
        <v>--</v>
      </c>
      <c r="AS189" s="149" t="str">
        <f>IF(Sandbox!$AA$52="","--",Sandbox!$AA$52)</f>
        <v>--</v>
      </c>
      <c r="AT189" s="149" t="str">
        <f>IF(Sandbox!$AB$52="","--",Sandbox!$AB$52)</f>
        <v>--</v>
      </c>
      <c r="AU189" s="149" t="str">
        <f>IF(Sandbox!$AC$52="","--",Sandbox!$AC$52)</f>
        <v>--</v>
      </c>
      <c r="AV189" s="149" t="str">
        <f>IF(Sandbox!$AD$52="","--",Sandbox!$AD$52)</f>
        <v>--</v>
      </c>
      <c r="AW189" s="149" t="str">
        <f>IF(Sandbox!$AE$52="","--",Sandbox!$AE$52)</f>
        <v>--</v>
      </c>
      <c r="AX189" s="149" t="str">
        <f>IF(Sandbox!$AF$52="","--",Sandbox!$AF$52)</f>
        <v>--</v>
      </c>
      <c r="AY189" s="149" t="str">
        <f>IF(Sandbox!$AA$53="","--",Sandbox!$AA$53)</f>
        <v>--</v>
      </c>
      <c r="AZ189" s="149" t="str">
        <f>IF(Sandbox!$AB$53="","--",Sandbox!$AB$53)</f>
        <v>--</v>
      </c>
      <c r="BA189" s="149" t="str">
        <f>IF(Sandbox!$AC$53="","--",Sandbox!$AC$53)</f>
        <v>--</v>
      </c>
      <c r="BB189" s="149" t="str">
        <f>IF(Sandbox!$AD$53="","--",Sandbox!$AD$53)</f>
        <v>--</v>
      </c>
      <c r="BC189" s="149" t="str">
        <f>IF(Sandbox!$AE$53="","--",Sandbox!$AE$53)</f>
        <v>--</v>
      </c>
      <c r="BD189" s="149" t="str">
        <f>IF(Sandbox!$AF$53="","--",Sandbox!$AF$53)</f>
        <v>--</v>
      </c>
      <c r="BE189" s="149" t="str">
        <f>IF(Sandbox!$AA$54="","--",Sandbox!$AA$54)</f>
        <v>--</v>
      </c>
      <c r="BF189" s="149" t="str">
        <f>IF(Sandbox!$AB$54="","--",Sandbox!$AB$54)</f>
        <v>--</v>
      </c>
      <c r="BG189" s="149" t="str">
        <f>IF(Sandbox!$AC$54="","--",Sandbox!$AC$54)</f>
        <v>--</v>
      </c>
      <c r="BH189" s="149" t="str">
        <f>IF(Sandbox!$AD$54="","--",Sandbox!$AD$54)</f>
        <v>--</v>
      </c>
      <c r="BI189" s="149" t="str">
        <f>IF(Sandbox!$AE$54="","--",Sandbox!$AE$54)</f>
        <v>--</v>
      </c>
      <c r="BJ189" s="149" t="str">
        <f>IF(Sandbox!$AF$54="","--",Sandbox!$AF$54)</f>
        <v>--</v>
      </c>
      <c r="BK189" s="149" t="str">
        <f>IF(Sandbox!$AA$55="","--",Sandbox!$AA$55)</f>
        <v>--</v>
      </c>
      <c r="BL189" s="149" t="str">
        <f>IF(Sandbox!$AB$55="","--",Sandbox!$AB$55)</f>
        <v>--</v>
      </c>
      <c r="BM189" s="149" t="str">
        <f>IF(Sandbox!$AC$55="","--",Sandbox!$AC$55)</f>
        <v>--</v>
      </c>
      <c r="BN189" s="149" t="str">
        <f>IF(Sandbox!$AD$55="","--",Sandbox!$AD$55)</f>
        <v>--</v>
      </c>
      <c r="BO189" s="149" t="str">
        <f>IF(Sandbox!$AE$55="","--",Sandbox!$AE$55)</f>
        <v>--</v>
      </c>
      <c r="BP189" s="149" t="str">
        <f>IF(Sandbox!$AF$55="","--",Sandbox!$AF$55)</f>
        <v>--</v>
      </c>
      <c r="BQ189" s="149" t="str">
        <f>IF(Sandbox!$AA$56="","--",Sandbox!$AA$56)</f>
        <v>--</v>
      </c>
      <c r="BR189" s="149" t="str">
        <f>IF(Sandbox!$AB$56="","--",Sandbox!$AB$56)</f>
        <v>--</v>
      </c>
      <c r="BS189" s="149" t="str">
        <f>IF(Sandbox!$AC$56="","--",Sandbox!$AC$56)</f>
        <v>--</v>
      </c>
      <c r="BT189" s="149" t="str">
        <f>IF(Sandbox!$AD$56="","--",Sandbox!$AD$56)</f>
        <v>--</v>
      </c>
      <c r="BU189" s="149" t="str">
        <f>IF(Sandbox!$AE$56="","--",Sandbox!$AE$56)</f>
        <v>--</v>
      </c>
      <c r="BV189" s="149" t="str">
        <f>IF(Sandbox!$AF$56="","--",Sandbox!$AF$56)</f>
        <v>--</v>
      </c>
    </row>
    <row r="190" spans="1:74" x14ac:dyDescent="0.25">
      <c r="A190" s="149" t="str">
        <f>IF(Sandbox!$AM$4="","",Sandbox!$AM$4)</f>
        <v/>
      </c>
      <c r="B190" s="149" t="s">
        <v>1805</v>
      </c>
      <c r="D190" s="149" t="str">
        <f>IF(Sandbox!$AO$2="","--",Sandbox!$AO$2)</f>
        <v>--</v>
      </c>
      <c r="E190" s="149" t="str">
        <f>IF(Sandbox!$AO$3="","--",Sandbox!$AO$3)</f>
        <v>--</v>
      </c>
      <c r="F190" s="149" t="str">
        <f>IF(Sandbox!$AO$4="","--",Sandbox!$AO$4)</f>
        <v>--</v>
      </c>
      <c r="G190" s="149" t="str">
        <f>IF(Sandbox!$AQ$2="","--",Sandbox!$AQ$2)</f>
        <v>--</v>
      </c>
      <c r="H190" s="149" t="str">
        <f>IF(Sandbox!$AQ$3="","--",Sandbox!$AQ$3)</f>
        <v>--</v>
      </c>
      <c r="I190" s="149" t="str">
        <f>IF(Sandbox!$AQ$4="","--",Sandbox!$AQ$4)</f>
        <v>--</v>
      </c>
      <c r="J190" s="149" t="str">
        <f>IF(Sandbox!$AS$2="","--",Sandbox!$AS$2)</f>
        <v>--</v>
      </c>
      <c r="K190" s="149" t="str">
        <f>IF(Sandbox!$AS$3="","--",Sandbox!$AS$3)</f>
        <v>--</v>
      </c>
      <c r="L190" s="149" t="str">
        <f>IF(Sandbox!$AS$4="","--",Sandbox!$AS$4)</f>
        <v>--</v>
      </c>
      <c r="M190" s="149" t="str">
        <f>IF(Sandbox!$AM$5="","--",Sandbox!$AM$5)</f>
        <v>--</v>
      </c>
      <c r="N190" s="149" t="str">
        <f>IF(Sandbox!$AM$6="","--",Sandbox!$AM$6)</f>
        <v>--</v>
      </c>
      <c r="O190" s="149" t="str">
        <f>IF(Sandbox!$AO$5="","--",Sandbox!$AO$5)</f>
        <v>--</v>
      </c>
      <c r="P190" s="149" t="str">
        <f>IF(Sandbox!$AQ$5="","--",Sandbox!$AQ$5)</f>
        <v>--</v>
      </c>
      <c r="Q190" s="149" t="str">
        <f>IF(Sandbox!$AS$5="","--",Sandbox!$AS$5)</f>
        <v>--</v>
      </c>
      <c r="R190" s="149" t="str">
        <f>IF(Sandbox!$AQ$6="","--",Sandbox!$AQ$6)</f>
        <v>--</v>
      </c>
      <c r="S190" s="149" t="str">
        <f>IF(Sandbox!$AS$6="","--",Sandbox!$AS$6)</f>
        <v>--</v>
      </c>
      <c r="T190" s="149" t="str">
        <f>IF(Sandbox!$AU$6="","--",Sandbox!$AU$6)</f>
        <v>--</v>
      </c>
      <c r="U190" s="149" t="str">
        <f>IF(Sandbox!$AU$2="","--",Sandbox!$AU$2)</f>
        <v>--</v>
      </c>
      <c r="V190" s="149" t="str">
        <f>IF(Sandbox!$AV$2="","--",Sandbox!$AV$2)</f>
        <v>--</v>
      </c>
      <c r="W190" s="149" t="str">
        <f>IF(Sandbox!$AU$3="","--",Sandbox!$AU$3)</f>
        <v>--</v>
      </c>
      <c r="X190" s="149" t="str">
        <f>IF(Sandbox!$AV$3="","--",Sandbox!$AV$3)</f>
        <v>--</v>
      </c>
      <c r="Y190" s="149" t="str">
        <f>IF(Sandbox!$AU$4="","--",Sandbox!$AU$4)</f>
        <v>--</v>
      </c>
      <c r="Z190" s="149" t="str">
        <f>IF(Sandbox!$AV$4="","--",Sandbox!$AV$4)</f>
        <v>--</v>
      </c>
      <c r="AA190" s="149" t="str">
        <f>IF(Sandbox!$AU$5="","--",Sandbox!$AU$5)</f>
        <v>--</v>
      </c>
      <c r="AB190" s="149" t="str">
        <f>IF(Sandbox!$AV$5="","--",Sandbox!$AV$5)</f>
        <v>--</v>
      </c>
      <c r="AC190" s="149" t="str">
        <f>IF(Sandbox!$AM$7="","--",Sandbox!$AM$7)</f>
        <v>--</v>
      </c>
      <c r="AD190" s="257" t="str">
        <f>IF(Sandbox!$AM$8="","--",Sandbox!$AM$8)</f>
        <v>--</v>
      </c>
      <c r="AE190" s="257" t="str">
        <f>IF(Sandbox!$AM$9="","--",Sandbox!$AM$9)</f>
        <v>--</v>
      </c>
      <c r="AF190" s="257" t="str">
        <f>IF(Sandbox!$AM$10="","--",Sandbox!$AM$10)</f>
        <v>--</v>
      </c>
      <c r="AG190" s="149" t="str">
        <f>IF(Sandbox!$AM$12="","--",Sandbox!$AM$12)</f>
        <v>--</v>
      </c>
      <c r="AH190" s="149" t="str">
        <f>IF(Sandbox!$AN$12="","--",Sandbox!$AN$12)</f>
        <v>--</v>
      </c>
      <c r="AI190" s="149" t="str">
        <f>IF(Sandbox!$AO$12="","--",Sandbox!$AO$12)</f>
        <v>--</v>
      </c>
      <c r="AJ190" s="149" t="str">
        <f>IF(Sandbox!$AP$12="","--",Sandbox!$AP$12)</f>
        <v>--</v>
      </c>
      <c r="AK190" s="149" t="str">
        <f>IF(Sandbox!$AQ$12="","--",Sandbox!$AQ$12)</f>
        <v>--</v>
      </c>
      <c r="AL190" s="149" t="str">
        <f>IF(Sandbox!$AR$12="","--",Sandbox!$AR$12)</f>
        <v>--</v>
      </c>
      <c r="AM190" s="149" t="str">
        <f>IF(Sandbox!$AM$13="","--",Sandbox!$AM$13)</f>
        <v>--</v>
      </c>
      <c r="AN190" s="149" t="str">
        <f>IF(Sandbox!$AN$13="","--",Sandbox!$AN$13)</f>
        <v>--</v>
      </c>
      <c r="AO190" s="149" t="str">
        <f>IF(Sandbox!$AO$13="","--",Sandbox!$AO$13)</f>
        <v>--</v>
      </c>
      <c r="AP190" s="149" t="str">
        <f>IF(Sandbox!$AP$13="","--",Sandbox!$AP$13)</f>
        <v>--</v>
      </c>
      <c r="AQ190" s="149" t="str">
        <f>IF(Sandbox!$AQ$13="","--",Sandbox!$AQ$13)</f>
        <v>--</v>
      </c>
      <c r="AR190" s="149" t="str">
        <f>IF(Sandbox!$AR$13="","--",Sandbox!$AR$13)</f>
        <v>--</v>
      </c>
      <c r="AS190" s="149" t="str">
        <f>IF(Sandbox!$AM$14="","--",Sandbox!$AM$14)</f>
        <v>--</v>
      </c>
      <c r="AT190" s="149" t="str">
        <f>IF(Sandbox!$AN$14="","--",Sandbox!$AN$14)</f>
        <v>--</v>
      </c>
      <c r="AU190" s="149" t="str">
        <f>IF(Sandbox!$AO$14="","--",Sandbox!$AO$14)</f>
        <v>--</v>
      </c>
      <c r="AV190" s="149" t="str">
        <f>IF(Sandbox!$AP$14="","--",Sandbox!$AP$14)</f>
        <v>--</v>
      </c>
      <c r="AW190" s="149" t="str">
        <f>IF(Sandbox!$AQ$14="","--",Sandbox!$AQ$14)</f>
        <v>--</v>
      </c>
      <c r="AX190" s="149" t="str">
        <f>IF(Sandbox!$AR$14="","--",Sandbox!$AR$14)</f>
        <v>--</v>
      </c>
      <c r="AY190" s="149" t="str">
        <f>IF(Sandbox!$AM$15="","--",Sandbox!$AM$15)</f>
        <v>--</v>
      </c>
      <c r="AZ190" s="149" t="str">
        <f>IF(Sandbox!$AN$15="","--",Sandbox!$AN$15)</f>
        <v>--</v>
      </c>
      <c r="BA190" s="149" t="str">
        <f>IF(Sandbox!$AO$15="","--",Sandbox!$AO$15)</f>
        <v>--</v>
      </c>
      <c r="BB190" s="149" t="str">
        <f>IF(Sandbox!$AP$15="","--",Sandbox!$AP$15)</f>
        <v>--</v>
      </c>
      <c r="BC190" s="149" t="str">
        <f>IF(Sandbox!$AQ$15="","--",Sandbox!$AQ$15)</f>
        <v>--</v>
      </c>
      <c r="BD190" s="149" t="str">
        <f>IF(Sandbox!$AR$15="","--",Sandbox!$AR$15)</f>
        <v>--</v>
      </c>
      <c r="BE190" s="149" t="str">
        <f>IF(Sandbox!$AM$16="","--",Sandbox!$AM$16)</f>
        <v>--</v>
      </c>
      <c r="BF190" s="149" t="str">
        <f>IF(Sandbox!$AN$16="","--",Sandbox!$AN$16)</f>
        <v>--</v>
      </c>
      <c r="BG190" s="149" t="str">
        <f>IF(Sandbox!$AO$16="","--",Sandbox!$AO$16)</f>
        <v>--</v>
      </c>
      <c r="BH190" s="149" t="str">
        <f>IF(Sandbox!$AP$16="","--",Sandbox!$AP$16)</f>
        <v>--</v>
      </c>
      <c r="BI190" s="149" t="str">
        <f>IF(Sandbox!$AQ$16="","--",Sandbox!$AQ$16)</f>
        <v>--</v>
      </c>
      <c r="BJ190" s="149" t="str">
        <f>IF(Sandbox!$AR$16="","--",Sandbox!$AR$16)</f>
        <v>--</v>
      </c>
      <c r="BK190" s="149" t="str">
        <f>IF(Sandbox!$AM$17="","--",Sandbox!$AM$17)</f>
        <v>--</v>
      </c>
      <c r="BL190" s="149" t="str">
        <f>IF(Sandbox!$AN$17="","--",Sandbox!$AN$17)</f>
        <v>--</v>
      </c>
      <c r="BM190" s="149" t="str">
        <f>IF(Sandbox!$AO$17="","--",Sandbox!$AO$17)</f>
        <v>--</v>
      </c>
      <c r="BN190" s="149" t="str">
        <f>IF(Sandbox!$AP$17="","--",Sandbox!$AP$17)</f>
        <v>--</v>
      </c>
      <c r="BO190" s="149" t="str">
        <f>IF(Sandbox!$AQ$17="","--",Sandbox!$AQ$17)</f>
        <v>--</v>
      </c>
      <c r="BP190" s="149" t="str">
        <f>IF(Sandbox!$AR$17="","--",Sandbox!$AR$17)</f>
        <v>--</v>
      </c>
      <c r="BQ190" s="149" t="str">
        <f>IF(Sandbox!$AM$18="","--",Sandbox!$AM$18)</f>
        <v>--</v>
      </c>
      <c r="BR190" s="149" t="str">
        <f>IF(Sandbox!$AN$18="","--",Sandbox!$AN$18)</f>
        <v>--</v>
      </c>
      <c r="BS190" s="149" t="str">
        <f>IF(Sandbox!$AO$18="","--",Sandbox!$AO$18)</f>
        <v>--</v>
      </c>
      <c r="BT190" s="149" t="str">
        <f>IF(Sandbox!$AP$18="","--",Sandbox!$AP$18)</f>
        <v>--</v>
      </c>
      <c r="BU190" s="149" t="str">
        <f>IF(Sandbox!$AQ$18="","--",Sandbox!$AQ$18)</f>
        <v>--</v>
      </c>
      <c r="BV190" s="149" t="str">
        <f>IF(Sandbox!$AR$18="","--",Sandbox!$AR$18)</f>
        <v>--</v>
      </c>
    </row>
    <row r="191" spans="1:74" x14ac:dyDescent="0.25">
      <c r="A191" s="149" t="str">
        <f>IF(Sandbox!$AM$23="","",Sandbox!$AM$23)</f>
        <v/>
      </c>
      <c r="B191" s="149" t="s">
        <v>1807</v>
      </c>
      <c r="D191" s="149" t="str">
        <f>IF(Sandbox!$AO$21="","--",Sandbox!$AO$21)</f>
        <v>--</v>
      </c>
      <c r="E191" s="149" t="str">
        <f>IF(Sandbox!$AO$22="","--",Sandbox!$AO$22)</f>
        <v>--</v>
      </c>
      <c r="F191" s="149" t="str">
        <f>IF(Sandbox!$AO$23="","--",Sandbox!$AO$23)</f>
        <v>--</v>
      </c>
      <c r="G191" s="149" t="str">
        <f>IF(Sandbox!$AQ$21="","--",Sandbox!$AQ$21)</f>
        <v>--</v>
      </c>
      <c r="H191" s="149" t="str">
        <f>IF(Sandbox!$AQ$22="","--",Sandbox!$AQ$22)</f>
        <v>--</v>
      </c>
      <c r="I191" s="149" t="str">
        <f>IF(Sandbox!$AQ$23="","--",Sandbox!$AQ$23)</f>
        <v>--</v>
      </c>
      <c r="J191" s="149" t="str">
        <f>IF(Sandbox!$AS$21="","--",Sandbox!$AS$21)</f>
        <v>--</v>
      </c>
      <c r="K191" s="149" t="str">
        <f>IF(Sandbox!$AS$22="","--",Sandbox!$AS$22)</f>
        <v>--</v>
      </c>
      <c r="L191" s="149" t="str">
        <f>IF(Sandbox!$AS$23="","--",Sandbox!$AS$23)</f>
        <v>--</v>
      </c>
      <c r="M191" s="149" t="str">
        <f>IF(Sandbox!$AM$24="","--",Sandbox!$AM$24)</f>
        <v>--</v>
      </c>
      <c r="N191" s="149" t="str">
        <f>IF(Sandbox!$AM$25="","--",Sandbox!$AM$25)</f>
        <v>--</v>
      </c>
      <c r="O191" s="149" t="str">
        <f>IF(Sandbox!$AO$24="","--",Sandbox!$AO$24)</f>
        <v>--</v>
      </c>
      <c r="P191" s="149" t="str">
        <f>IF(Sandbox!$AQ$24="","--",Sandbox!$AQ$24)</f>
        <v>--</v>
      </c>
      <c r="Q191" s="149" t="str">
        <f>IF(Sandbox!$AS$24="","--",Sandbox!$AS$24)</f>
        <v>--</v>
      </c>
      <c r="R191" s="149" t="str">
        <f>IF(Sandbox!$AQ$25="","--",Sandbox!$AQ$25)</f>
        <v>--</v>
      </c>
      <c r="S191" s="149" t="str">
        <f>IF(Sandbox!$AS$25="","--",Sandbox!$AS$25)</f>
        <v>--</v>
      </c>
      <c r="T191" s="149" t="str">
        <f>IF(Sandbox!$AU$25="","--",Sandbox!$AU$25)</f>
        <v>--</v>
      </c>
      <c r="U191" s="149" t="str">
        <f>IF(Sandbox!$AU$21="","--",Sandbox!$AU$21)</f>
        <v>--</v>
      </c>
      <c r="V191" s="149" t="str">
        <f>IF(Sandbox!$AV$21="","--",Sandbox!$AV$21)</f>
        <v>--</v>
      </c>
      <c r="W191" s="149" t="str">
        <f>IF(Sandbox!$AU$22="","--",Sandbox!$AU$22)</f>
        <v>--</v>
      </c>
      <c r="X191" s="149" t="str">
        <f>IF(Sandbox!$AV$22="","--",Sandbox!$AV$22)</f>
        <v>--</v>
      </c>
      <c r="Y191" s="149" t="str">
        <f>IF(Sandbox!$AU$23="","--",Sandbox!$AU$23)</f>
        <v>--</v>
      </c>
      <c r="Z191" s="149" t="str">
        <f>IF(Sandbox!$AV$23="","--",Sandbox!$AV$23)</f>
        <v>--</v>
      </c>
      <c r="AA191" s="149" t="str">
        <f>IF(Sandbox!$AU$24="","--",Sandbox!$AU$24)</f>
        <v>--</v>
      </c>
      <c r="AB191" s="149" t="str">
        <f>IF(Sandbox!$AV$24="","--",Sandbox!$AV$24)</f>
        <v>--</v>
      </c>
      <c r="AC191" s="149" t="str">
        <f>IF(Sandbox!$AM$26="","--",Sandbox!$AM$26)</f>
        <v>--</v>
      </c>
      <c r="AD191" s="257" t="str">
        <f>IF(Sandbox!$AM$27="","--",Sandbox!$AM$27)</f>
        <v>--</v>
      </c>
      <c r="AE191" s="257" t="str">
        <f>IF(Sandbox!$AM$28="","--",Sandbox!$AM$28)</f>
        <v>--</v>
      </c>
      <c r="AF191" s="257" t="str">
        <f>IF(Sandbox!$AM$29="","--",Sandbox!$AM$29)</f>
        <v>--</v>
      </c>
      <c r="AG191" s="149" t="str">
        <f>IF(Sandbox!$AM$31="","--",Sandbox!$AM$31)</f>
        <v>--</v>
      </c>
      <c r="AH191" s="149" t="str">
        <f>IF(Sandbox!$AN$31="","--",Sandbox!$AN$31)</f>
        <v>--</v>
      </c>
      <c r="AI191" s="149" t="str">
        <f>IF(Sandbox!$AO$31="","--",Sandbox!$AO$31)</f>
        <v>--</v>
      </c>
      <c r="AJ191" s="149" t="str">
        <f>IF(Sandbox!$AP$31="","--",Sandbox!$AP$31)</f>
        <v>--</v>
      </c>
      <c r="AK191" s="149" t="str">
        <f>IF(Sandbox!$AQ$31="","--",Sandbox!$AQ$31)</f>
        <v>--</v>
      </c>
      <c r="AL191" s="149" t="str">
        <f>IF(Sandbox!$AR$31="","--",Sandbox!$AR$31)</f>
        <v>--</v>
      </c>
      <c r="AM191" s="149" t="str">
        <f>IF(Sandbox!$AM$32="","--",Sandbox!$AM$32)</f>
        <v>--</v>
      </c>
      <c r="AN191" s="149" t="str">
        <f>IF(Sandbox!$AN$32="","--",Sandbox!$AN$32)</f>
        <v>--</v>
      </c>
      <c r="AO191" s="149" t="str">
        <f>IF(Sandbox!$AO$32="","--",Sandbox!$AO$32)</f>
        <v>--</v>
      </c>
      <c r="AP191" s="149" t="str">
        <f>IF(Sandbox!$AP$32="","--",Sandbox!$AP$32)</f>
        <v>--</v>
      </c>
      <c r="AQ191" s="149" t="str">
        <f>IF(Sandbox!$AQ$32="","--",Sandbox!$AQ$32)</f>
        <v>--</v>
      </c>
      <c r="AR191" s="149" t="str">
        <f>IF(Sandbox!$AR$32="","--",Sandbox!$AR$32)</f>
        <v>--</v>
      </c>
      <c r="AS191" s="149" t="str">
        <f>IF(Sandbox!$AM$33="","--",Sandbox!$AM$33)</f>
        <v>--</v>
      </c>
      <c r="AT191" s="149" t="str">
        <f>IF(Sandbox!$AN$33="","--",Sandbox!$AN$33)</f>
        <v>--</v>
      </c>
      <c r="AU191" s="149" t="str">
        <f>IF(Sandbox!$AO$33="","--",Sandbox!$AO$33)</f>
        <v>--</v>
      </c>
      <c r="AV191" s="149" t="str">
        <f>IF(Sandbox!$AP$33="","--",Sandbox!$AP$33)</f>
        <v>--</v>
      </c>
      <c r="AW191" s="149" t="str">
        <f>IF(Sandbox!$AQ$33="","--",Sandbox!$AQ$33)</f>
        <v>--</v>
      </c>
      <c r="AX191" s="149" t="str">
        <f>IF(Sandbox!$AR$33="","--",Sandbox!$AR$33)</f>
        <v>--</v>
      </c>
      <c r="AY191" s="149" t="str">
        <f>IF(Sandbox!$AM$34="","--",Sandbox!$AM$34)</f>
        <v>--</v>
      </c>
      <c r="AZ191" s="149" t="str">
        <f>IF(Sandbox!$AN$34="","--",Sandbox!$AN$34)</f>
        <v>--</v>
      </c>
      <c r="BA191" s="149" t="str">
        <f>IF(Sandbox!$AO$34="","--",Sandbox!$AO$34)</f>
        <v>--</v>
      </c>
      <c r="BB191" s="149" t="str">
        <f>IF(Sandbox!$AP$34="","--",Sandbox!$AP$34)</f>
        <v>--</v>
      </c>
      <c r="BC191" s="149" t="str">
        <f>IF(Sandbox!$AQ$34="","--",Sandbox!$AQ$34)</f>
        <v>--</v>
      </c>
      <c r="BD191" s="149" t="str">
        <f>IF(Sandbox!$AR$34="","--",Sandbox!$AR$34)</f>
        <v>--</v>
      </c>
      <c r="BE191" s="149" t="str">
        <f>IF(Sandbox!$AM$35="","--",Sandbox!$AM$35)</f>
        <v>--</v>
      </c>
      <c r="BF191" s="149" t="str">
        <f>IF(Sandbox!$AN$35="","--",Sandbox!$AN$35)</f>
        <v>--</v>
      </c>
      <c r="BG191" s="149" t="str">
        <f>IF(Sandbox!$AO$35="","--",Sandbox!$AO$35)</f>
        <v>--</v>
      </c>
      <c r="BH191" s="149" t="str">
        <f>IF(Sandbox!$AP$35="","--",Sandbox!$AP$35)</f>
        <v>--</v>
      </c>
      <c r="BI191" s="149" t="str">
        <f>IF(Sandbox!$AQ$35="","--",Sandbox!$AQ$35)</f>
        <v>--</v>
      </c>
      <c r="BJ191" s="149" t="str">
        <f>IF(Sandbox!$AR$35="","--",Sandbox!$AR$35)</f>
        <v>--</v>
      </c>
      <c r="BK191" s="149" t="str">
        <f>IF(Sandbox!$AM$36="","--",Sandbox!$AM$36)</f>
        <v>--</v>
      </c>
      <c r="BL191" s="149" t="str">
        <f>IF(Sandbox!$AN$36="","--",Sandbox!$AN$36)</f>
        <v>--</v>
      </c>
      <c r="BM191" s="149" t="str">
        <f>IF(Sandbox!$AO$36="","--",Sandbox!$AO$36)</f>
        <v>--</v>
      </c>
      <c r="BN191" s="149" t="str">
        <f>IF(Sandbox!$AP$36="","--",Sandbox!$AP$36)</f>
        <v>--</v>
      </c>
      <c r="BO191" s="149" t="str">
        <f>IF(Sandbox!$AQ$36="","--",Sandbox!$AQ$36)</f>
        <v>--</v>
      </c>
      <c r="BP191" s="149" t="str">
        <f>IF(Sandbox!$AR$36="","--",Sandbox!$AR$36)</f>
        <v>--</v>
      </c>
      <c r="BQ191" s="149" t="str">
        <f>IF(Sandbox!$AM$37="","--",Sandbox!$AM$37)</f>
        <v>--</v>
      </c>
      <c r="BR191" s="149" t="str">
        <f>IF(Sandbox!$AN$37="","--",Sandbox!$AN$37)</f>
        <v>--</v>
      </c>
      <c r="BS191" s="149" t="str">
        <f>IF(Sandbox!$AO$37="","--",Sandbox!$AO$37)</f>
        <v>--</v>
      </c>
      <c r="BT191" s="149" t="str">
        <f>IF(Sandbox!$AP$37="","--",Sandbox!$AP$37)</f>
        <v>--</v>
      </c>
      <c r="BU191" s="149" t="str">
        <f>IF(Sandbox!$AQ$37="","--",Sandbox!$AQ$37)</f>
        <v>--</v>
      </c>
      <c r="BV191" s="149" t="str">
        <f>IF(Sandbox!$AR$37="","--",Sandbox!$AR$37)</f>
        <v>--</v>
      </c>
    </row>
    <row r="192" spans="1:74" x14ac:dyDescent="0.25">
      <c r="A192" s="149" t="str">
        <f>IF(Sandbox!$AM$42="","",Sandbox!$AM$42)</f>
        <v/>
      </c>
      <c r="B192" s="149" t="s">
        <v>1806</v>
      </c>
      <c r="D192" s="149" t="str">
        <f>IF(Sandbox!$AO$40="","--",Sandbox!$AO$40)</f>
        <v>--</v>
      </c>
      <c r="E192" s="149" t="str">
        <f>IF(Sandbox!$AO$41="","--",Sandbox!$AO$41)</f>
        <v>--</v>
      </c>
      <c r="F192" s="149" t="str">
        <f>IF(Sandbox!$AO$42="","--",Sandbox!$AO$42)</f>
        <v>--</v>
      </c>
      <c r="G192" s="149" t="str">
        <f>IF(Sandbox!$AQ$40="","--",Sandbox!$AQ$40)</f>
        <v>--</v>
      </c>
      <c r="H192" s="149" t="str">
        <f>IF(Sandbox!$AQ$41="","--",Sandbox!$AQ$41)</f>
        <v>--</v>
      </c>
      <c r="I192" s="149" t="str">
        <f>IF(Sandbox!$AQ$42="","--",Sandbox!$AQ$42)</f>
        <v>--</v>
      </c>
      <c r="J192" s="149" t="str">
        <f>IF(Sandbox!$AS$40="","--",Sandbox!$AS$40)</f>
        <v>--</v>
      </c>
      <c r="K192" s="149" t="str">
        <f>IF(Sandbox!$AS$41="","--",Sandbox!$AS$41)</f>
        <v>--</v>
      </c>
      <c r="L192" s="149" t="str">
        <f>IF(Sandbox!$AS$42="","--",Sandbox!$AS$42)</f>
        <v>--</v>
      </c>
      <c r="M192" s="149" t="str">
        <f>IF(Sandbox!$AM$43="","--",Sandbox!$AM$43)</f>
        <v>--</v>
      </c>
      <c r="N192" s="149" t="str">
        <f>IF(Sandbox!$AM$44="","--",Sandbox!$AM$44)</f>
        <v>--</v>
      </c>
      <c r="O192" s="149" t="str">
        <f>IF(Sandbox!$AO$43="","--",Sandbox!$AO$43)</f>
        <v>--</v>
      </c>
      <c r="P192" s="149" t="str">
        <f>IF(Sandbox!$AQ$43="","--",Sandbox!$AQ$43)</f>
        <v>--</v>
      </c>
      <c r="Q192" s="149" t="str">
        <f>IF(Sandbox!$AS$43="","--",Sandbox!$AS$43)</f>
        <v>--</v>
      </c>
      <c r="R192" s="149" t="str">
        <f>IF(Sandbox!$AQ$44="","--",Sandbox!$AQ$44)</f>
        <v>--</v>
      </c>
      <c r="S192" s="149" t="str">
        <f>IF(Sandbox!$AS$44="","--",Sandbox!$AS$44)</f>
        <v>--</v>
      </c>
      <c r="T192" s="149" t="str">
        <f>IF(Sandbox!$AU$44="","--",Sandbox!$AU$44)</f>
        <v>--</v>
      </c>
      <c r="U192" s="149" t="str">
        <f>IF(Sandbox!$AU$40="","--",Sandbox!$AU$40)</f>
        <v>--</v>
      </c>
      <c r="V192" s="149" t="str">
        <f>IF(Sandbox!$AV$40="","--",Sandbox!$AV$40)</f>
        <v>--</v>
      </c>
      <c r="W192" s="149" t="str">
        <f>IF(Sandbox!$AU$41="","--",Sandbox!$AU$41)</f>
        <v>--</v>
      </c>
      <c r="X192" s="149" t="str">
        <f>IF(Sandbox!$AV$41="","--",Sandbox!$AV$41)</f>
        <v>--</v>
      </c>
      <c r="Y192" s="149" t="str">
        <f>IF(Sandbox!$AU$42="","--",Sandbox!$AU$42)</f>
        <v>--</v>
      </c>
      <c r="Z192" s="149" t="str">
        <f>IF(Sandbox!$AV$42="","--",Sandbox!$AV$42)</f>
        <v>--</v>
      </c>
      <c r="AA192" s="149" t="str">
        <f>IF(Sandbox!$AU$43="","--",Sandbox!$AU$43)</f>
        <v>--</v>
      </c>
      <c r="AB192" s="149" t="str">
        <f>IF(Sandbox!$AV$43="","--",Sandbox!$AV$43)</f>
        <v>--</v>
      </c>
      <c r="AC192" s="149" t="str">
        <f>IF(Sandbox!$AM$45="","--",Sandbox!$AM$45)</f>
        <v>--</v>
      </c>
      <c r="AD192" s="257" t="str">
        <f>IF(Sandbox!$AM$46="","--",Sandbox!$AM$46)</f>
        <v>--</v>
      </c>
      <c r="AE192" s="257" t="str">
        <f>IF(Sandbox!$AM$47="","--",Sandbox!$AM$47)</f>
        <v>--</v>
      </c>
      <c r="AF192" s="257" t="str">
        <f>IF(Sandbox!$AM$48="","--",Sandbox!$AM$48)</f>
        <v>--</v>
      </c>
      <c r="AG192" s="149" t="str">
        <f>IF(Sandbox!$AM$50="","--",Sandbox!$AM$50)</f>
        <v>--</v>
      </c>
      <c r="AH192" s="149" t="str">
        <f>IF(Sandbox!$AN$50="","--",Sandbox!$AN$50)</f>
        <v>--</v>
      </c>
      <c r="AI192" s="149" t="str">
        <f>IF(Sandbox!$AO$50="","--",Sandbox!$AO$50)</f>
        <v>--</v>
      </c>
      <c r="AJ192" s="149" t="str">
        <f>IF(Sandbox!$AP$50="","--",Sandbox!$AP$50)</f>
        <v>--</v>
      </c>
      <c r="AK192" s="149" t="str">
        <f>IF(Sandbox!$AQ$50="","--",Sandbox!$AQ$50)</f>
        <v>--</v>
      </c>
      <c r="AL192" s="149" t="str">
        <f>IF(Sandbox!$AR$50="","--",Sandbox!$AR$50)</f>
        <v>--</v>
      </c>
      <c r="AM192" s="149" t="str">
        <f>IF(Sandbox!$AM$51="","--",Sandbox!$AM$51)</f>
        <v>--</v>
      </c>
      <c r="AN192" s="149" t="str">
        <f>IF(Sandbox!$AN$51="","--",Sandbox!$AN$51)</f>
        <v>--</v>
      </c>
      <c r="AO192" s="149" t="str">
        <f>IF(Sandbox!$AO$51="","--",Sandbox!$AO$51)</f>
        <v>--</v>
      </c>
      <c r="AP192" s="149" t="str">
        <f>IF(Sandbox!$AP$51="","--",Sandbox!$AP$51)</f>
        <v>--</v>
      </c>
      <c r="AQ192" s="149" t="str">
        <f>IF(Sandbox!$AQ$51="","--",Sandbox!$AQ$51)</f>
        <v>--</v>
      </c>
      <c r="AR192" s="149" t="str">
        <f>IF(Sandbox!$AR$51="","--",Sandbox!$AR$51)</f>
        <v>--</v>
      </c>
      <c r="AS192" s="149" t="str">
        <f>IF(Sandbox!$AM$52="","--",Sandbox!$AM$52)</f>
        <v>--</v>
      </c>
      <c r="AT192" s="149" t="str">
        <f>IF(Sandbox!$AN$52="","--",Sandbox!$AN$52)</f>
        <v>--</v>
      </c>
      <c r="AU192" s="149" t="str">
        <f>IF(Sandbox!$AO$52="","--",Sandbox!$AO$52)</f>
        <v>--</v>
      </c>
      <c r="AV192" s="149" t="str">
        <f>IF(Sandbox!$AP$52="","--",Sandbox!$AP$52)</f>
        <v>--</v>
      </c>
      <c r="AW192" s="149" t="str">
        <f>IF(Sandbox!$AQ$52="","--",Sandbox!$AQ$52)</f>
        <v>--</v>
      </c>
      <c r="AX192" s="149" t="str">
        <f>IF(Sandbox!$AR$52="","--",Sandbox!$AR$52)</f>
        <v>--</v>
      </c>
      <c r="AY192" s="149" t="str">
        <f>IF(Sandbox!$AM$53="","--",Sandbox!$AM$53)</f>
        <v>--</v>
      </c>
      <c r="AZ192" s="149" t="str">
        <f>IF(Sandbox!$AN$53="","--",Sandbox!$AN$53)</f>
        <v>--</v>
      </c>
      <c r="BA192" s="149" t="str">
        <f>IF(Sandbox!$AO$53="","--",Sandbox!$AO$53)</f>
        <v>--</v>
      </c>
      <c r="BB192" s="149" t="str">
        <f>IF(Sandbox!$AP$53="","--",Sandbox!$AP$53)</f>
        <v>--</v>
      </c>
      <c r="BC192" s="149" t="str">
        <f>IF(Sandbox!$AQ$53="","--",Sandbox!$AQ$53)</f>
        <v>--</v>
      </c>
      <c r="BD192" s="149" t="str">
        <f>IF(Sandbox!$AR$53="","--",Sandbox!$AR$53)</f>
        <v>--</v>
      </c>
      <c r="BE192" s="149" t="str">
        <f>IF(Sandbox!$AM$54="","--",Sandbox!$AM$54)</f>
        <v>--</v>
      </c>
      <c r="BF192" s="149" t="str">
        <f>IF(Sandbox!$AN$54="","--",Sandbox!$AN$54)</f>
        <v>--</v>
      </c>
      <c r="BG192" s="149" t="str">
        <f>IF(Sandbox!$AO$54="","--",Sandbox!$AO$54)</f>
        <v>--</v>
      </c>
      <c r="BH192" s="149" t="str">
        <f>IF(Sandbox!$AP$54="","--",Sandbox!$AP$54)</f>
        <v>--</v>
      </c>
      <c r="BI192" s="149" t="str">
        <f>IF(Sandbox!$AQ$54="","--",Sandbox!$AQ$54)</f>
        <v>--</v>
      </c>
      <c r="BJ192" s="149" t="str">
        <f>IF(Sandbox!$AR$54="","--",Sandbox!$AR$54)</f>
        <v>--</v>
      </c>
      <c r="BK192" s="149" t="str">
        <f>IF(Sandbox!$AM$55="","--",Sandbox!$AM$55)</f>
        <v>--</v>
      </c>
      <c r="BL192" s="149" t="str">
        <f>IF(Sandbox!$AN$55="","--",Sandbox!$AN$55)</f>
        <v>--</v>
      </c>
      <c r="BM192" s="149" t="str">
        <f>IF(Sandbox!$AO$55="","--",Sandbox!$AO$55)</f>
        <v>--</v>
      </c>
      <c r="BN192" s="149" t="str">
        <f>IF(Sandbox!$AP$55="","--",Sandbox!$AP$55)</f>
        <v>--</v>
      </c>
      <c r="BO192" s="149" t="str">
        <f>IF(Sandbox!$AQ$55="","--",Sandbox!$AQ$55)</f>
        <v>--</v>
      </c>
      <c r="BP192" s="149" t="str">
        <f>IF(Sandbox!$AR$55="","--",Sandbox!$AR$55)</f>
        <v>--</v>
      </c>
      <c r="BQ192" s="149" t="str">
        <f>IF(Sandbox!$AM$56="","--",Sandbox!$AM$56)</f>
        <v>--</v>
      </c>
      <c r="BR192" s="149" t="str">
        <f>IF(Sandbox!$AN$56="","--",Sandbox!$AN$56)</f>
        <v>--</v>
      </c>
      <c r="BS192" s="149" t="str">
        <f>IF(Sandbox!$AO$56="","--",Sandbox!$AO$56)</f>
        <v>--</v>
      </c>
      <c r="BT192" s="149" t="str">
        <f>IF(Sandbox!$AP$56="","--",Sandbox!$AP$56)</f>
        <v>--</v>
      </c>
      <c r="BU192" s="149" t="str">
        <f>IF(Sandbox!$AQ$56="","--",Sandbox!$AQ$56)</f>
        <v>--</v>
      </c>
      <c r="BV192" s="149" t="str">
        <f>IF(Sandbox!$AR$56="","--",Sandbox!$AR$56)</f>
        <v>--</v>
      </c>
    </row>
  </sheetData>
  <sheetProtection password="E9C2" sheet="1" objects="1" scenarios="1" selectLockedCells="1" selectUnlockedCells="1"/>
  <sortState ref="A2:BV193">
    <sortCondition ref="B2:B193"/>
    <sortCondition ref="A2:A193"/>
  </sortState>
  <pageMargins left="0.7" right="0.7" top="0.75" bottom="0.75" header="0.3" footer="0.3"/>
  <pageSetup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A1:E844"/>
  <sheetViews>
    <sheetView view="pageBreakPreview" zoomScale="90" zoomScaleNormal="100" zoomScaleSheetLayoutView="90" workbookViewId="0">
      <pane ySplit="1" topLeftCell="A689" activePane="bottomLeft" state="frozen"/>
      <selection sqref="A1:E1048576"/>
      <selection pane="bottomLeft" activeCell="E1" sqref="A1:E1048576"/>
    </sheetView>
  </sheetViews>
  <sheetFormatPr defaultRowHeight="90" customHeight="1" x14ac:dyDescent="0.25"/>
  <cols>
    <col min="1" max="1" width="38.85546875" style="143" hidden="1" customWidth="1"/>
    <col min="2" max="2" width="48.7109375" style="553" hidden="1" customWidth="1"/>
    <col min="3" max="3" width="9.140625" style="149" hidden="1" customWidth="1"/>
    <col min="4" max="4" width="34.85546875" style="149" hidden="1" customWidth="1"/>
    <col min="5" max="5" width="54.7109375" style="553" hidden="1" customWidth="1"/>
    <col min="6" max="16384" width="9.140625" style="143"/>
  </cols>
  <sheetData>
    <row r="1" spans="1:5" s="221" customFormat="1" ht="90" customHeight="1" thickBot="1" x14ac:dyDescent="0.3">
      <c r="A1" s="259" t="s">
        <v>68</v>
      </c>
      <c r="B1" s="546" t="s">
        <v>3373</v>
      </c>
      <c r="C1" s="547"/>
      <c r="D1" s="548" t="s">
        <v>439</v>
      </c>
      <c r="E1" s="546" t="s">
        <v>3373</v>
      </c>
    </row>
    <row r="2" spans="1:5" ht="90" customHeight="1" x14ac:dyDescent="0.25">
      <c r="A2" s="48" t="s">
        <v>1384</v>
      </c>
      <c r="B2" s="549" t="s">
        <v>3293</v>
      </c>
      <c r="D2" s="467" t="s">
        <v>1034</v>
      </c>
      <c r="E2" s="549" t="s">
        <v>2925</v>
      </c>
    </row>
    <row r="3" spans="1:5" ht="90" customHeight="1" x14ac:dyDescent="0.25">
      <c r="A3" s="36" t="s">
        <v>1165</v>
      </c>
      <c r="B3" s="550" t="s">
        <v>3046</v>
      </c>
      <c r="D3" s="39" t="s">
        <v>952</v>
      </c>
      <c r="E3" s="550" t="s">
        <v>2918</v>
      </c>
    </row>
    <row r="4" spans="1:5" ht="90" customHeight="1" x14ac:dyDescent="0.25">
      <c r="A4" s="36" t="s">
        <v>1086</v>
      </c>
      <c r="B4" s="550" t="s">
        <v>3378</v>
      </c>
      <c r="D4" s="39" t="s">
        <v>946</v>
      </c>
      <c r="E4" s="550" t="s">
        <v>2919</v>
      </c>
    </row>
    <row r="5" spans="1:5" ht="90" customHeight="1" x14ac:dyDescent="0.25">
      <c r="A5" s="36" t="s">
        <v>1383</v>
      </c>
      <c r="B5" s="550" t="s">
        <v>3292</v>
      </c>
      <c r="D5" s="39" t="s">
        <v>387</v>
      </c>
      <c r="E5" s="550" t="s">
        <v>2931</v>
      </c>
    </row>
    <row r="6" spans="1:5" ht="90" customHeight="1" x14ac:dyDescent="0.25">
      <c r="A6" s="36" t="s">
        <v>1461</v>
      </c>
      <c r="B6" s="550" t="s">
        <v>3233</v>
      </c>
      <c r="D6" s="39" t="s">
        <v>374</v>
      </c>
      <c r="E6" s="550" t="s">
        <v>3334</v>
      </c>
    </row>
    <row r="7" spans="1:5" ht="90" customHeight="1" x14ac:dyDescent="0.25">
      <c r="A7" s="36" t="s">
        <v>1467</v>
      </c>
      <c r="B7" s="550" t="s">
        <v>2924</v>
      </c>
      <c r="D7" s="39" t="s">
        <v>1016</v>
      </c>
      <c r="E7" s="550" t="s">
        <v>2946</v>
      </c>
    </row>
    <row r="8" spans="1:5" ht="90" customHeight="1" x14ac:dyDescent="0.25">
      <c r="A8" s="36" t="s">
        <v>1466</v>
      </c>
      <c r="B8" s="550" t="s">
        <v>2920</v>
      </c>
      <c r="D8" s="39" t="s">
        <v>419</v>
      </c>
      <c r="E8" s="550" t="s">
        <v>3001</v>
      </c>
    </row>
    <row r="9" spans="1:5" ht="90" customHeight="1" x14ac:dyDescent="0.25">
      <c r="A9" s="36" t="s">
        <v>1468</v>
      </c>
      <c r="B9" s="550" t="s">
        <v>2921</v>
      </c>
      <c r="D9" s="39" t="s">
        <v>1035</v>
      </c>
      <c r="E9" s="550" t="s">
        <v>2933</v>
      </c>
    </row>
    <row r="10" spans="1:5" ht="90" customHeight="1" x14ac:dyDescent="0.25">
      <c r="A10" s="36" t="s">
        <v>1469</v>
      </c>
      <c r="B10" s="550" t="s">
        <v>2922</v>
      </c>
      <c r="D10" s="39" t="s">
        <v>420</v>
      </c>
      <c r="E10" s="550" t="s">
        <v>2985</v>
      </c>
    </row>
    <row r="11" spans="1:5" ht="90" customHeight="1" x14ac:dyDescent="0.25">
      <c r="A11" s="36" t="s">
        <v>1470</v>
      </c>
      <c r="B11" s="550" t="s">
        <v>2923</v>
      </c>
      <c r="D11" s="39" t="s">
        <v>421</v>
      </c>
      <c r="E11" s="550" t="s">
        <v>3003</v>
      </c>
    </row>
    <row r="12" spans="1:5" ht="90" customHeight="1" x14ac:dyDescent="0.25">
      <c r="A12" s="36" t="s">
        <v>1066</v>
      </c>
      <c r="B12" s="550" t="s">
        <v>2990</v>
      </c>
      <c r="D12" s="39" t="s">
        <v>422</v>
      </c>
      <c r="E12" s="550" t="s">
        <v>3100</v>
      </c>
    </row>
    <row r="13" spans="1:5" ht="90" customHeight="1" x14ac:dyDescent="0.25">
      <c r="A13" s="36" t="s">
        <v>1065</v>
      </c>
      <c r="B13" s="550" t="s">
        <v>2981</v>
      </c>
      <c r="D13" s="39" t="s">
        <v>970</v>
      </c>
      <c r="E13" s="550" t="s">
        <v>3101</v>
      </c>
    </row>
    <row r="14" spans="1:5" ht="90" customHeight="1" x14ac:dyDescent="0.25">
      <c r="A14" s="36" t="s">
        <v>1064</v>
      </c>
      <c r="B14" s="550" t="s">
        <v>2980</v>
      </c>
      <c r="D14" s="39" t="s">
        <v>1011</v>
      </c>
      <c r="E14" s="550" t="s">
        <v>3103</v>
      </c>
    </row>
    <row r="15" spans="1:5" ht="90" customHeight="1" x14ac:dyDescent="0.25">
      <c r="A15" s="36" t="s">
        <v>1144</v>
      </c>
      <c r="B15" s="550" t="s">
        <v>3286</v>
      </c>
      <c r="D15" s="39" t="s">
        <v>947</v>
      </c>
      <c r="E15" s="550" t="s">
        <v>3102</v>
      </c>
    </row>
    <row r="16" spans="1:5" ht="90" customHeight="1" x14ac:dyDescent="0.25">
      <c r="A16" s="36" t="s">
        <v>1145</v>
      </c>
      <c r="B16" s="550" t="s">
        <v>3021</v>
      </c>
      <c r="D16" s="39" t="s">
        <v>105</v>
      </c>
      <c r="E16" s="550" t="s">
        <v>3104</v>
      </c>
    </row>
    <row r="17" spans="1:5" ht="90" customHeight="1" x14ac:dyDescent="0.25">
      <c r="A17" s="36" t="s">
        <v>1376</v>
      </c>
      <c r="B17" s="550" t="s">
        <v>3282</v>
      </c>
      <c r="D17" s="39" t="s">
        <v>423</v>
      </c>
      <c r="E17" s="550" t="s">
        <v>3105</v>
      </c>
    </row>
    <row r="18" spans="1:5" ht="90" customHeight="1" x14ac:dyDescent="0.25">
      <c r="A18" s="36" t="s">
        <v>1396</v>
      </c>
      <c r="B18" s="550" t="s">
        <v>3347</v>
      </c>
      <c r="D18" s="39" t="s">
        <v>424</v>
      </c>
      <c r="E18" s="550" t="s">
        <v>3106</v>
      </c>
    </row>
    <row r="19" spans="1:5" ht="90" customHeight="1" x14ac:dyDescent="0.25">
      <c r="A19" s="36" t="s">
        <v>1271</v>
      </c>
      <c r="B19" s="550" t="s">
        <v>3488</v>
      </c>
      <c r="D19" s="39" t="s">
        <v>988</v>
      </c>
      <c r="E19" s="550" t="s">
        <v>3107</v>
      </c>
    </row>
    <row r="20" spans="1:5" ht="90" customHeight="1" x14ac:dyDescent="0.25">
      <c r="A20" s="39" t="s">
        <v>2388</v>
      </c>
      <c r="B20" s="550" t="s">
        <v>2677</v>
      </c>
      <c r="D20" s="39" t="s">
        <v>388</v>
      </c>
      <c r="E20" s="550" t="s">
        <v>2995</v>
      </c>
    </row>
    <row r="21" spans="1:5" ht="90" customHeight="1" x14ac:dyDescent="0.25">
      <c r="A21" s="39" t="s">
        <v>2398</v>
      </c>
      <c r="B21" s="550" t="s">
        <v>2687</v>
      </c>
      <c r="D21" s="39" t="s">
        <v>965</v>
      </c>
      <c r="E21" s="550" t="s">
        <v>3108</v>
      </c>
    </row>
    <row r="22" spans="1:5" ht="90" customHeight="1" x14ac:dyDescent="0.25">
      <c r="A22" s="39" t="s">
        <v>2588</v>
      </c>
      <c r="B22" s="550" t="s">
        <v>2697</v>
      </c>
      <c r="D22" s="39" t="s">
        <v>425</v>
      </c>
      <c r="E22" s="550" t="s">
        <v>3109</v>
      </c>
    </row>
    <row r="23" spans="1:5" ht="90" customHeight="1" x14ac:dyDescent="0.25">
      <c r="A23" s="39" t="s">
        <v>2408</v>
      </c>
      <c r="B23" s="550" t="s">
        <v>2707</v>
      </c>
      <c r="D23" s="39" t="s">
        <v>1006</v>
      </c>
      <c r="E23" s="550" t="s">
        <v>3110</v>
      </c>
    </row>
    <row r="24" spans="1:5" ht="90" customHeight="1" x14ac:dyDescent="0.25">
      <c r="A24" s="39" t="s">
        <v>2418</v>
      </c>
      <c r="B24" s="550" t="s">
        <v>2717</v>
      </c>
      <c r="D24" s="39" t="s">
        <v>993</v>
      </c>
      <c r="E24" s="550" t="s">
        <v>3111</v>
      </c>
    </row>
    <row r="25" spans="1:5" ht="90" customHeight="1" x14ac:dyDescent="0.25">
      <c r="A25" s="39" t="s">
        <v>2428</v>
      </c>
      <c r="B25" s="550" t="s">
        <v>2727</v>
      </c>
      <c r="D25" s="39" t="s">
        <v>1024</v>
      </c>
      <c r="E25" s="550" t="s">
        <v>2960</v>
      </c>
    </row>
    <row r="26" spans="1:5" ht="90" customHeight="1" x14ac:dyDescent="0.25">
      <c r="A26" s="39" t="s">
        <v>2438</v>
      </c>
      <c r="B26" s="550" t="s">
        <v>2737</v>
      </c>
      <c r="D26" s="39" t="s">
        <v>966</v>
      </c>
      <c r="E26" s="550" t="s">
        <v>3114</v>
      </c>
    </row>
    <row r="27" spans="1:5" ht="90" customHeight="1" x14ac:dyDescent="0.25">
      <c r="A27" s="39" t="s">
        <v>2598</v>
      </c>
      <c r="B27" s="550" t="s">
        <v>2747</v>
      </c>
      <c r="D27" s="39" t="s">
        <v>971</v>
      </c>
      <c r="E27" s="550" t="s">
        <v>3367</v>
      </c>
    </row>
    <row r="28" spans="1:5" ht="90" customHeight="1" x14ac:dyDescent="0.25">
      <c r="A28" s="39" t="s">
        <v>2608</v>
      </c>
      <c r="B28" s="550" t="s">
        <v>2757</v>
      </c>
      <c r="D28" s="39" t="s">
        <v>1017</v>
      </c>
      <c r="E28" s="550" t="s">
        <v>3113</v>
      </c>
    </row>
    <row r="29" spans="1:5" ht="90" customHeight="1" x14ac:dyDescent="0.25">
      <c r="A29" s="39" t="s">
        <v>2448</v>
      </c>
      <c r="B29" s="550" t="s">
        <v>2767</v>
      </c>
      <c r="D29" s="39" t="s">
        <v>426</v>
      </c>
      <c r="E29" s="550" t="s">
        <v>3112</v>
      </c>
    </row>
    <row r="30" spans="1:5" ht="90" customHeight="1" x14ac:dyDescent="0.25">
      <c r="A30" s="39" t="s">
        <v>2458</v>
      </c>
      <c r="B30" s="550" t="s">
        <v>2777</v>
      </c>
      <c r="D30" s="39" t="s">
        <v>375</v>
      </c>
      <c r="E30" s="550" t="s">
        <v>2934</v>
      </c>
    </row>
    <row r="31" spans="1:5" ht="90" customHeight="1" x14ac:dyDescent="0.25">
      <c r="A31" s="39" t="s">
        <v>2468</v>
      </c>
      <c r="B31" s="550" t="s">
        <v>2787</v>
      </c>
      <c r="D31" s="39" t="s">
        <v>402</v>
      </c>
      <c r="E31" s="550" t="s">
        <v>2935</v>
      </c>
    </row>
    <row r="32" spans="1:5" ht="90" customHeight="1" x14ac:dyDescent="0.25">
      <c r="A32" s="39" t="s">
        <v>2478</v>
      </c>
      <c r="B32" s="550" t="s">
        <v>2797</v>
      </c>
      <c r="D32" s="39" t="s">
        <v>962</v>
      </c>
      <c r="E32" s="550" t="s">
        <v>3115</v>
      </c>
    </row>
    <row r="33" spans="1:5" ht="90" customHeight="1" x14ac:dyDescent="0.25">
      <c r="A33" s="39" t="s">
        <v>2488</v>
      </c>
      <c r="B33" s="550" t="s">
        <v>2807</v>
      </c>
      <c r="D33" s="39" t="s">
        <v>975</v>
      </c>
      <c r="E33" s="550" t="s">
        <v>3116</v>
      </c>
    </row>
    <row r="34" spans="1:5" ht="90" customHeight="1" x14ac:dyDescent="0.25">
      <c r="A34" s="39" t="s">
        <v>2498</v>
      </c>
      <c r="B34" s="550" t="s">
        <v>2817</v>
      </c>
      <c r="D34" s="39" t="s">
        <v>403</v>
      </c>
      <c r="E34" s="550" t="s">
        <v>2986</v>
      </c>
    </row>
    <row r="35" spans="1:5" ht="90" customHeight="1" x14ac:dyDescent="0.25">
      <c r="A35" s="39" t="s">
        <v>2508</v>
      </c>
      <c r="B35" s="550" t="s">
        <v>2827</v>
      </c>
      <c r="D35" s="39" t="s">
        <v>376</v>
      </c>
      <c r="E35" s="550" t="s">
        <v>2936</v>
      </c>
    </row>
    <row r="36" spans="1:5" ht="90" customHeight="1" x14ac:dyDescent="0.25">
      <c r="A36" s="39" t="s">
        <v>2518</v>
      </c>
      <c r="B36" s="550" t="s">
        <v>2837</v>
      </c>
      <c r="D36" s="39" t="s">
        <v>389</v>
      </c>
      <c r="E36" s="550" t="s">
        <v>2938</v>
      </c>
    </row>
    <row r="37" spans="1:5" ht="90" customHeight="1" x14ac:dyDescent="0.25">
      <c r="A37" s="39" t="s">
        <v>2528</v>
      </c>
      <c r="B37" s="550" t="s">
        <v>2847</v>
      </c>
      <c r="D37" s="39" t="s">
        <v>377</v>
      </c>
      <c r="E37" s="550" t="s">
        <v>2939</v>
      </c>
    </row>
    <row r="38" spans="1:5" ht="90" customHeight="1" x14ac:dyDescent="0.25">
      <c r="A38" s="39" t="s">
        <v>2538</v>
      </c>
      <c r="B38" s="550" t="s">
        <v>2857</v>
      </c>
      <c r="D38" s="39" t="s">
        <v>404</v>
      </c>
      <c r="E38" s="550" t="s">
        <v>2647</v>
      </c>
    </row>
    <row r="39" spans="1:5" ht="90" customHeight="1" x14ac:dyDescent="0.25">
      <c r="A39" s="39" t="s">
        <v>2548</v>
      </c>
      <c r="B39" s="550" t="s">
        <v>2867</v>
      </c>
      <c r="D39" s="39" t="s">
        <v>427</v>
      </c>
      <c r="E39" s="550" t="s">
        <v>3155</v>
      </c>
    </row>
    <row r="40" spans="1:5" ht="90" customHeight="1" x14ac:dyDescent="0.25">
      <c r="A40" s="39" t="s">
        <v>2618</v>
      </c>
      <c r="B40" s="550" t="s">
        <v>2877</v>
      </c>
      <c r="D40" s="39" t="s">
        <v>2271</v>
      </c>
      <c r="E40" s="550" t="s">
        <v>3008</v>
      </c>
    </row>
    <row r="41" spans="1:5" ht="90" customHeight="1" x14ac:dyDescent="0.25">
      <c r="A41" s="39" t="s">
        <v>2558</v>
      </c>
      <c r="B41" s="550" t="s">
        <v>2887</v>
      </c>
      <c r="D41" s="39" t="s">
        <v>2272</v>
      </c>
      <c r="E41" s="550" t="s">
        <v>3009</v>
      </c>
    </row>
    <row r="42" spans="1:5" ht="90" customHeight="1" x14ac:dyDescent="0.25">
      <c r="A42" s="39" t="s">
        <v>2568</v>
      </c>
      <c r="B42" s="550" t="s">
        <v>2897</v>
      </c>
      <c r="D42" s="39" t="s">
        <v>2273</v>
      </c>
      <c r="E42" s="550" t="s">
        <v>3010</v>
      </c>
    </row>
    <row r="43" spans="1:5" ht="90" customHeight="1" x14ac:dyDescent="0.25">
      <c r="A43" s="39" t="s">
        <v>2578</v>
      </c>
      <c r="B43" s="550" t="s">
        <v>2907</v>
      </c>
      <c r="D43" s="39" t="s">
        <v>378</v>
      </c>
      <c r="E43" s="550" t="s">
        <v>2992</v>
      </c>
    </row>
    <row r="44" spans="1:5" ht="90" customHeight="1" x14ac:dyDescent="0.25">
      <c r="A44" s="39" t="s">
        <v>2397</v>
      </c>
      <c r="B44" s="550" t="s">
        <v>2686</v>
      </c>
      <c r="D44" s="39" t="s">
        <v>102</v>
      </c>
      <c r="E44" s="550" t="s">
        <v>2996</v>
      </c>
    </row>
    <row r="45" spans="1:5" ht="90" customHeight="1" x14ac:dyDescent="0.25">
      <c r="A45" s="39" t="s">
        <v>2407</v>
      </c>
      <c r="B45" s="550" t="s">
        <v>2696</v>
      </c>
      <c r="D45" s="39" t="s">
        <v>980</v>
      </c>
      <c r="E45" s="550" t="s">
        <v>3154</v>
      </c>
    </row>
    <row r="46" spans="1:5" ht="90" customHeight="1" x14ac:dyDescent="0.25">
      <c r="A46" s="39" t="s">
        <v>2597</v>
      </c>
      <c r="B46" s="550" t="s">
        <v>2706</v>
      </c>
      <c r="D46" s="39" t="s">
        <v>976</v>
      </c>
      <c r="E46" s="550" t="s">
        <v>3117</v>
      </c>
    </row>
    <row r="47" spans="1:5" ht="90" customHeight="1" x14ac:dyDescent="0.25">
      <c r="A47" s="39" t="s">
        <v>2417</v>
      </c>
      <c r="B47" s="550" t="s">
        <v>2716</v>
      </c>
      <c r="D47" s="39" t="s">
        <v>1036</v>
      </c>
      <c r="E47" s="550" t="s">
        <v>3118</v>
      </c>
    </row>
    <row r="48" spans="1:5" ht="90" customHeight="1" x14ac:dyDescent="0.25">
      <c r="A48" s="39" t="s">
        <v>2427</v>
      </c>
      <c r="B48" s="550" t="s">
        <v>2726</v>
      </c>
      <c r="D48" s="39" t="s">
        <v>967</v>
      </c>
      <c r="E48" s="550" t="s">
        <v>3147</v>
      </c>
    </row>
    <row r="49" spans="1:5" ht="90" customHeight="1" x14ac:dyDescent="0.25">
      <c r="A49" s="39" t="s">
        <v>2437</v>
      </c>
      <c r="B49" s="550" t="s">
        <v>2736</v>
      </c>
      <c r="D49" s="39" t="s">
        <v>428</v>
      </c>
      <c r="E49" s="550" t="s">
        <v>3156</v>
      </c>
    </row>
    <row r="50" spans="1:5" ht="90" customHeight="1" x14ac:dyDescent="0.25">
      <c r="A50" s="39" t="s">
        <v>2447</v>
      </c>
      <c r="B50" s="550" t="s">
        <v>2746</v>
      </c>
      <c r="D50" s="39" t="s">
        <v>989</v>
      </c>
      <c r="E50" s="550" t="s">
        <v>3119</v>
      </c>
    </row>
    <row r="51" spans="1:5" ht="90" customHeight="1" x14ac:dyDescent="0.25">
      <c r="A51" s="39" t="s">
        <v>2607</v>
      </c>
      <c r="B51" s="550" t="s">
        <v>2756</v>
      </c>
      <c r="D51" s="39" t="s">
        <v>390</v>
      </c>
      <c r="E51" s="550" t="s">
        <v>3120</v>
      </c>
    </row>
    <row r="52" spans="1:5" ht="90" customHeight="1" x14ac:dyDescent="0.25">
      <c r="A52" s="39" t="s">
        <v>2617</v>
      </c>
      <c r="B52" s="550" t="s">
        <v>2766</v>
      </c>
      <c r="D52" s="39" t="s">
        <v>1025</v>
      </c>
      <c r="E52" s="550" t="s">
        <v>3121</v>
      </c>
    </row>
    <row r="53" spans="1:5" ht="90" customHeight="1" x14ac:dyDescent="0.25">
      <c r="A53" s="39" t="s">
        <v>2457</v>
      </c>
      <c r="B53" s="550" t="s">
        <v>2776</v>
      </c>
      <c r="D53" s="39" t="s">
        <v>406</v>
      </c>
      <c r="E53" s="550" t="s">
        <v>3122</v>
      </c>
    </row>
    <row r="54" spans="1:5" ht="90" customHeight="1" x14ac:dyDescent="0.25">
      <c r="A54" s="39" t="s">
        <v>2467</v>
      </c>
      <c r="B54" s="550" t="s">
        <v>2786</v>
      </c>
      <c r="D54" s="39" t="s">
        <v>1038</v>
      </c>
      <c r="E54" s="550" t="s">
        <v>3129</v>
      </c>
    </row>
    <row r="55" spans="1:5" ht="90" customHeight="1" x14ac:dyDescent="0.25">
      <c r="A55" s="39" t="s">
        <v>2477</v>
      </c>
      <c r="B55" s="550" t="s">
        <v>2796</v>
      </c>
      <c r="D55" s="39" t="s">
        <v>1001</v>
      </c>
      <c r="E55" s="550" t="s">
        <v>2987</v>
      </c>
    </row>
    <row r="56" spans="1:5" ht="90" customHeight="1" x14ac:dyDescent="0.25">
      <c r="A56" s="39" t="s">
        <v>2487</v>
      </c>
      <c r="B56" s="550" t="s">
        <v>2806</v>
      </c>
      <c r="D56" s="39" t="s">
        <v>1043</v>
      </c>
      <c r="E56" s="550" t="s">
        <v>3123</v>
      </c>
    </row>
    <row r="57" spans="1:5" ht="90" customHeight="1" x14ac:dyDescent="0.25">
      <c r="A57" s="39" t="s">
        <v>2497</v>
      </c>
      <c r="B57" s="550" t="s">
        <v>2816</v>
      </c>
      <c r="D57" s="39" t="s">
        <v>1042</v>
      </c>
      <c r="E57" s="550" t="s">
        <v>3124</v>
      </c>
    </row>
    <row r="58" spans="1:5" ht="90" customHeight="1" x14ac:dyDescent="0.25">
      <c r="A58" s="39" t="s">
        <v>2507</v>
      </c>
      <c r="B58" s="550" t="s">
        <v>2826</v>
      </c>
      <c r="D58" s="39" t="s">
        <v>1041</v>
      </c>
      <c r="E58" s="550" t="s">
        <v>3148</v>
      </c>
    </row>
    <row r="59" spans="1:5" ht="90" customHeight="1" x14ac:dyDescent="0.25">
      <c r="A59" s="39" t="s">
        <v>2517</v>
      </c>
      <c r="B59" s="550" t="s">
        <v>2836</v>
      </c>
      <c r="D59" s="39" t="s">
        <v>948</v>
      </c>
      <c r="E59" s="550" t="s">
        <v>3149</v>
      </c>
    </row>
    <row r="60" spans="1:5" ht="90" customHeight="1" x14ac:dyDescent="0.25">
      <c r="A60" s="39" t="s">
        <v>2527</v>
      </c>
      <c r="B60" s="550" t="s">
        <v>2846</v>
      </c>
      <c r="D60" s="39" t="s">
        <v>1037</v>
      </c>
      <c r="E60" s="550" t="s">
        <v>3150</v>
      </c>
    </row>
    <row r="61" spans="1:5" ht="90" customHeight="1" x14ac:dyDescent="0.25">
      <c r="A61" s="39" t="s">
        <v>2537</v>
      </c>
      <c r="B61" s="550" t="s">
        <v>2856</v>
      </c>
      <c r="D61" s="39" t="s">
        <v>429</v>
      </c>
      <c r="E61" s="550" t="s">
        <v>3151</v>
      </c>
    </row>
    <row r="62" spans="1:5" ht="90" customHeight="1" x14ac:dyDescent="0.25">
      <c r="A62" s="39" t="s">
        <v>2547</v>
      </c>
      <c r="B62" s="550" t="s">
        <v>2866</v>
      </c>
      <c r="D62" s="39" t="s">
        <v>953</v>
      </c>
      <c r="E62" s="550" t="s">
        <v>3152</v>
      </c>
    </row>
    <row r="63" spans="1:5" ht="90" customHeight="1" x14ac:dyDescent="0.25">
      <c r="A63" s="39" t="s">
        <v>2557</v>
      </c>
      <c r="B63" s="550" t="s">
        <v>2876</v>
      </c>
      <c r="D63" s="39" t="s">
        <v>994</v>
      </c>
      <c r="E63" s="550" t="s">
        <v>3153</v>
      </c>
    </row>
    <row r="64" spans="1:5" ht="90" customHeight="1" x14ac:dyDescent="0.25">
      <c r="A64" s="39" t="s">
        <v>2627</v>
      </c>
      <c r="B64" s="550" t="s">
        <v>2886</v>
      </c>
      <c r="D64" s="39" t="s">
        <v>103</v>
      </c>
      <c r="E64" s="550" t="s">
        <v>2941</v>
      </c>
    </row>
    <row r="65" spans="1:5" ht="90" customHeight="1" x14ac:dyDescent="0.25">
      <c r="A65" s="39" t="s">
        <v>2567</v>
      </c>
      <c r="B65" s="550" t="s">
        <v>2896</v>
      </c>
      <c r="D65" s="39" t="s">
        <v>407</v>
      </c>
      <c r="E65" s="550" t="s">
        <v>2648</v>
      </c>
    </row>
    <row r="66" spans="1:5" ht="90" customHeight="1" x14ac:dyDescent="0.25">
      <c r="A66" s="39" t="s">
        <v>2577</v>
      </c>
      <c r="B66" s="550" t="s">
        <v>2906</v>
      </c>
      <c r="D66" s="39" t="s">
        <v>379</v>
      </c>
      <c r="E66" s="550" t="s">
        <v>3011</v>
      </c>
    </row>
    <row r="67" spans="1:5" ht="90" customHeight="1" x14ac:dyDescent="0.25">
      <c r="A67" s="39" t="s">
        <v>2587</v>
      </c>
      <c r="B67" s="550" t="s">
        <v>2916</v>
      </c>
      <c r="D67" s="39" t="s">
        <v>1044</v>
      </c>
      <c r="E67" s="550" t="s">
        <v>2942</v>
      </c>
    </row>
    <row r="68" spans="1:5" ht="90" customHeight="1" x14ac:dyDescent="0.25">
      <c r="A68" s="39" t="s">
        <v>2389</v>
      </c>
      <c r="B68" s="550" t="s">
        <v>2678</v>
      </c>
      <c r="D68" s="39" t="s">
        <v>380</v>
      </c>
      <c r="E68" s="550" t="s">
        <v>2943</v>
      </c>
    </row>
    <row r="69" spans="1:5" ht="90" customHeight="1" x14ac:dyDescent="0.25">
      <c r="A69" s="39" t="s">
        <v>2399</v>
      </c>
      <c r="B69" s="550" t="s">
        <v>2688</v>
      </c>
      <c r="D69" s="39" t="s">
        <v>408</v>
      </c>
      <c r="E69" s="550" t="s">
        <v>3157</v>
      </c>
    </row>
    <row r="70" spans="1:5" ht="90" customHeight="1" x14ac:dyDescent="0.25">
      <c r="A70" s="39" t="s">
        <v>2589</v>
      </c>
      <c r="B70" s="550" t="s">
        <v>2698</v>
      </c>
      <c r="D70" s="39" t="s">
        <v>957</v>
      </c>
      <c r="E70" s="550" t="s">
        <v>3158</v>
      </c>
    </row>
    <row r="71" spans="1:5" ht="90" customHeight="1" x14ac:dyDescent="0.25">
      <c r="A71" s="39" t="s">
        <v>2409</v>
      </c>
      <c r="B71" s="550" t="s">
        <v>2708</v>
      </c>
      <c r="D71" s="39" t="s">
        <v>998</v>
      </c>
      <c r="E71" s="550" t="s">
        <v>3159</v>
      </c>
    </row>
    <row r="72" spans="1:5" ht="90" customHeight="1" x14ac:dyDescent="0.25">
      <c r="A72" s="39" t="s">
        <v>2419</v>
      </c>
      <c r="B72" s="550" t="s">
        <v>2718</v>
      </c>
      <c r="D72" s="39" t="s">
        <v>972</v>
      </c>
      <c r="E72" s="550" t="s">
        <v>3160</v>
      </c>
    </row>
    <row r="73" spans="1:5" ht="90" customHeight="1" x14ac:dyDescent="0.25">
      <c r="A73" s="39" t="s">
        <v>2429</v>
      </c>
      <c r="B73" s="550" t="s">
        <v>2728</v>
      </c>
      <c r="D73" s="39" t="s">
        <v>409</v>
      </c>
      <c r="E73" s="550" t="s">
        <v>3161</v>
      </c>
    </row>
    <row r="74" spans="1:5" ht="90" customHeight="1" x14ac:dyDescent="0.25">
      <c r="A74" s="39" t="s">
        <v>2439</v>
      </c>
      <c r="B74" s="550" t="s">
        <v>2738</v>
      </c>
      <c r="D74" s="39" t="s">
        <v>430</v>
      </c>
      <c r="E74" s="550" t="s">
        <v>3162</v>
      </c>
    </row>
    <row r="75" spans="1:5" ht="90" customHeight="1" x14ac:dyDescent="0.25">
      <c r="A75" s="39" t="s">
        <v>2599</v>
      </c>
      <c r="B75" s="550" t="s">
        <v>2748</v>
      </c>
      <c r="D75" s="39" t="s">
        <v>1026</v>
      </c>
      <c r="E75" s="550" t="s">
        <v>3163</v>
      </c>
    </row>
    <row r="76" spans="1:5" ht="90" customHeight="1" x14ac:dyDescent="0.25">
      <c r="A76" s="39" t="s">
        <v>2609</v>
      </c>
      <c r="B76" s="550" t="s">
        <v>2758</v>
      </c>
      <c r="D76" s="39" t="s">
        <v>954</v>
      </c>
      <c r="E76" s="550" t="s">
        <v>3164</v>
      </c>
    </row>
    <row r="77" spans="1:5" ht="90" customHeight="1" x14ac:dyDescent="0.25">
      <c r="A77" s="39" t="s">
        <v>2449</v>
      </c>
      <c r="B77" s="550" t="s">
        <v>2768</v>
      </c>
      <c r="D77" s="39" t="s">
        <v>1019</v>
      </c>
      <c r="E77" s="550" t="s">
        <v>3125</v>
      </c>
    </row>
    <row r="78" spans="1:5" ht="90" customHeight="1" x14ac:dyDescent="0.25">
      <c r="A78" s="39" t="s">
        <v>2459</v>
      </c>
      <c r="B78" s="550" t="s">
        <v>2778</v>
      </c>
      <c r="D78" s="39" t="s">
        <v>431</v>
      </c>
      <c r="E78" s="550" t="s">
        <v>3165</v>
      </c>
    </row>
    <row r="79" spans="1:5" ht="90" customHeight="1" x14ac:dyDescent="0.25">
      <c r="A79" s="39" t="s">
        <v>2469</v>
      </c>
      <c r="B79" s="550" t="s">
        <v>2788</v>
      </c>
      <c r="D79" s="39" t="s">
        <v>1012</v>
      </c>
      <c r="E79" s="550" t="s">
        <v>2944</v>
      </c>
    </row>
    <row r="80" spans="1:5" ht="90" customHeight="1" x14ac:dyDescent="0.25">
      <c r="A80" s="39" t="s">
        <v>2479</v>
      </c>
      <c r="B80" s="550" t="s">
        <v>2798</v>
      </c>
      <c r="D80" s="39" t="s">
        <v>410</v>
      </c>
      <c r="E80" s="550" t="s">
        <v>2945</v>
      </c>
    </row>
    <row r="81" spans="1:5" ht="90" customHeight="1" x14ac:dyDescent="0.25">
      <c r="A81" s="39" t="s">
        <v>2489</v>
      </c>
      <c r="B81" s="550" t="s">
        <v>2808</v>
      </c>
      <c r="D81" s="39" t="s">
        <v>411</v>
      </c>
      <c r="E81" s="550" t="s">
        <v>3166</v>
      </c>
    </row>
    <row r="82" spans="1:5" ht="90" customHeight="1" x14ac:dyDescent="0.25">
      <c r="A82" s="39" t="s">
        <v>2499</v>
      </c>
      <c r="B82" s="550" t="s">
        <v>2818</v>
      </c>
      <c r="D82" s="39" t="s">
        <v>1029</v>
      </c>
      <c r="E82" s="550" t="s">
        <v>3126</v>
      </c>
    </row>
    <row r="83" spans="1:5" ht="90" customHeight="1" x14ac:dyDescent="0.25">
      <c r="A83" s="39" t="s">
        <v>2509</v>
      </c>
      <c r="B83" s="550" t="s">
        <v>2828</v>
      </c>
      <c r="D83" s="39" t="s">
        <v>958</v>
      </c>
      <c r="E83" s="550" t="s">
        <v>3167</v>
      </c>
    </row>
    <row r="84" spans="1:5" ht="90" customHeight="1" x14ac:dyDescent="0.25">
      <c r="A84" s="39" t="s">
        <v>2519</v>
      </c>
      <c r="B84" s="550" t="s">
        <v>2838</v>
      </c>
      <c r="D84" s="39" t="s">
        <v>381</v>
      </c>
      <c r="E84" s="550" t="s">
        <v>3127</v>
      </c>
    </row>
    <row r="85" spans="1:5" ht="90" customHeight="1" x14ac:dyDescent="0.25">
      <c r="A85" s="39" t="s">
        <v>2529</v>
      </c>
      <c r="B85" s="550" t="s">
        <v>2848</v>
      </c>
      <c r="D85" s="39" t="s">
        <v>382</v>
      </c>
      <c r="E85" s="550" t="s">
        <v>3168</v>
      </c>
    </row>
    <row r="86" spans="1:5" ht="90" customHeight="1" x14ac:dyDescent="0.25">
      <c r="A86" s="39" t="s">
        <v>2539</v>
      </c>
      <c r="B86" s="550" t="s">
        <v>2858</v>
      </c>
      <c r="D86" s="39" t="s">
        <v>955</v>
      </c>
      <c r="E86" s="550" t="s">
        <v>3169</v>
      </c>
    </row>
    <row r="87" spans="1:5" ht="90" customHeight="1" x14ac:dyDescent="0.25">
      <c r="A87" s="39" t="s">
        <v>2549</v>
      </c>
      <c r="B87" s="550" t="s">
        <v>2868</v>
      </c>
      <c r="D87" s="39" t="s">
        <v>1002</v>
      </c>
      <c r="E87" s="550" t="s">
        <v>3170</v>
      </c>
    </row>
    <row r="88" spans="1:5" ht="90" customHeight="1" x14ac:dyDescent="0.25">
      <c r="A88" s="39" t="s">
        <v>2619</v>
      </c>
      <c r="B88" s="550" t="s">
        <v>2878</v>
      </c>
      <c r="D88" s="39" t="s">
        <v>1007</v>
      </c>
      <c r="E88" s="550" t="s">
        <v>3128</v>
      </c>
    </row>
    <row r="89" spans="1:5" ht="90" customHeight="1" x14ac:dyDescent="0.25">
      <c r="A89" s="39" t="s">
        <v>2559</v>
      </c>
      <c r="B89" s="550" t="s">
        <v>2888</v>
      </c>
      <c r="D89" s="39" t="s">
        <v>968</v>
      </c>
      <c r="E89" s="550" t="s">
        <v>3172</v>
      </c>
    </row>
    <row r="90" spans="1:5" ht="90" customHeight="1" x14ac:dyDescent="0.25">
      <c r="A90" s="39" t="s">
        <v>2569</v>
      </c>
      <c r="B90" s="550" t="s">
        <v>2898</v>
      </c>
      <c r="D90" s="39" t="s">
        <v>106</v>
      </c>
      <c r="E90" s="550" t="s">
        <v>3130</v>
      </c>
    </row>
    <row r="91" spans="1:5" ht="90" customHeight="1" x14ac:dyDescent="0.25">
      <c r="A91" s="39" t="s">
        <v>2579</v>
      </c>
      <c r="B91" s="550" t="s">
        <v>2908</v>
      </c>
      <c r="D91" s="39" t="s">
        <v>383</v>
      </c>
      <c r="E91" s="550" t="s">
        <v>3171</v>
      </c>
    </row>
    <row r="92" spans="1:5" ht="90" customHeight="1" x14ac:dyDescent="0.25">
      <c r="A92" s="39" t="s">
        <v>2390</v>
      </c>
      <c r="B92" s="550" t="s">
        <v>2679</v>
      </c>
      <c r="D92" s="39" t="s">
        <v>959</v>
      </c>
      <c r="E92" s="550" t="s">
        <v>3173</v>
      </c>
    </row>
    <row r="93" spans="1:5" ht="90" customHeight="1" x14ac:dyDescent="0.25">
      <c r="A93" s="39" t="s">
        <v>2400</v>
      </c>
      <c r="B93" s="550" t="s">
        <v>2689</v>
      </c>
      <c r="D93" s="39" t="s">
        <v>1003</v>
      </c>
      <c r="E93" s="550" t="s">
        <v>3131</v>
      </c>
    </row>
    <row r="94" spans="1:5" ht="90" customHeight="1" x14ac:dyDescent="0.25">
      <c r="A94" s="39" t="s">
        <v>2590</v>
      </c>
      <c r="B94" s="550" t="s">
        <v>2699</v>
      </c>
      <c r="D94" s="39" t="s">
        <v>1020</v>
      </c>
      <c r="E94" s="550" t="s">
        <v>3132</v>
      </c>
    </row>
    <row r="95" spans="1:5" ht="90" customHeight="1" x14ac:dyDescent="0.25">
      <c r="A95" s="39" t="s">
        <v>2410</v>
      </c>
      <c r="B95" s="550" t="s">
        <v>2709</v>
      </c>
      <c r="D95" s="39" t="s">
        <v>981</v>
      </c>
      <c r="E95" s="550" t="s">
        <v>3174</v>
      </c>
    </row>
    <row r="96" spans="1:5" ht="90" customHeight="1" x14ac:dyDescent="0.25">
      <c r="A96" s="39" t="s">
        <v>2420</v>
      </c>
      <c r="B96" s="550" t="s">
        <v>2719</v>
      </c>
      <c r="D96" s="39" t="s">
        <v>391</v>
      </c>
      <c r="E96" s="550" t="s">
        <v>3175</v>
      </c>
    </row>
    <row r="97" spans="1:5" ht="90" customHeight="1" x14ac:dyDescent="0.25">
      <c r="A97" s="39" t="s">
        <v>2430</v>
      </c>
      <c r="B97" s="550" t="s">
        <v>2729</v>
      </c>
      <c r="D97" s="39" t="s">
        <v>384</v>
      </c>
      <c r="E97" s="550" t="s">
        <v>3133</v>
      </c>
    </row>
    <row r="98" spans="1:5" ht="90" customHeight="1" x14ac:dyDescent="0.25">
      <c r="A98" s="39" t="s">
        <v>2440</v>
      </c>
      <c r="B98" s="550" t="s">
        <v>2739</v>
      </c>
      <c r="D98" s="39" t="s">
        <v>101</v>
      </c>
      <c r="E98" s="550" t="s">
        <v>3134</v>
      </c>
    </row>
    <row r="99" spans="1:5" ht="90" customHeight="1" x14ac:dyDescent="0.25">
      <c r="A99" s="39" t="s">
        <v>2600</v>
      </c>
      <c r="B99" s="550" t="s">
        <v>2749</v>
      </c>
      <c r="D99" s="39" t="s">
        <v>1027</v>
      </c>
      <c r="E99" s="550" t="s">
        <v>3135</v>
      </c>
    </row>
    <row r="100" spans="1:5" ht="90" customHeight="1" x14ac:dyDescent="0.25">
      <c r="A100" s="39" t="s">
        <v>2610</v>
      </c>
      <c r="B100" s="550" t="s">
        <v>2759</v>
      </c>
      <c r="D100" s="39" t="s">
        <v>1008</v>
      </c>
      <c r="E100" s="550" t="s">
        <v>3136</v>
      </c>
    </row>
    <row r="101" spans="1:5" ht="90" customHeight="1" x14ac:dyDescent="0.25">
      <c r="A101" s="39" t="s">
        <v>2450</v>
      </c>
      <c r="B101" s="550" t="s">
        <v>2769</v>
      </c>
      <c r="D101" s="39" t="s">
        <v>973</v>
      </c>
      <c r="E101" s="550" t="s">
        <v>3176</v>
      </c>
    </row>
    <row r="102" spans="1:5" ht="90" customHeight="1" x14ac:dyDescent="0.25">
      <c r="A102" s="39" t="s">
        <v>2460</v>
      </c>
      <c r="B102" s="550" t="s">
        <v>2779</v>
      </c>
      <c r="D102" s="39" t="s">
        <v>432</v>
      </c>
      <c r="E102" s="550" t="s">
        <v>3177</v>
      </c>
    </row>
    <row r="103" spans="1:5" ht="90" customHeight="1" x14ac:dyDescent="0.25">
      <c r="A103" s="39" t="s">
        <v>2470</v>
      </c>
      <c r="B103" s="550" t="s">
        <v>2789</v>
      </c>
      <c r="D103" s="39" t="s">
        <v>963</v>
      </c>
      <c r="E103" s="550" t="s">
        <v>3178</v>
      </c>
    </row>
    <row r="104" spans="1:5" ht="90" customHeight="1" x14ac:dyDescent="0.25">
      <c r="A104" s="39" t="s">
        <v>2480</v>
      </c>
      <c r="B104" s="550" t="s">
        <v>2799</v>
      </c>
      <c r="D104" s="39" t="s">
        <v>392</v>
      </c>
      <c r="E104" s="550" t="s">
        <v>3179</v>
      </c>
    </row>
    <row r="105" spans="1:5" ht="90" customHeight="1" x14ac:dyDescent="0.25">
      <c r="A105" s="39" t="s">
        <v>2490</v>
      </c>
      <c r="B105" s="550" t="s">
        <v>2809</v>
      </c>
      <c r="D105" s="39" t="s">
        <v>385</v>
      </c>
      <c r="E105" s="550" t="s">
        <v>3180</v>
      </c>
    </row>
    <row r="106" spans="1:5" ht="90" customHeight="1" x14ac:dyDescent="0.25">
      <c r="A106" s="39" t="s">
        <v>2500</v>
      </c>
      <c r="B106" s="550" t="s">
        <v>2819</v>
      </c>
      <c r="D106" s="39" t="s">
        <v>1021</v>
      </c>
      <c r="E106" s="550" t="s">
        <v>3181</v>
      </c>
    </row>
    <row r="107" spans="1:5" ht="90" customHeight="1" x14ac:dyDescent="0.25">
      <c r="A107" s="39" t="s">
        <v>2510</v>
      </c>
      <c r="B107" s="550" t="s">
        <v>2829</v>
      </c>
      <c r="D107" s="39" t="s">
        <v>1030</v>
      </c>
      <c r="E107" s="550" t="s">
        <v>3182</v>
      </c>
    </row>
    <row r="108" spans="1:5" ht="90" customHeight="1" x14ac:dyDescent="0.25">
      <c r="A108" s="39" t="s">
        <v>2520</v>
      </c>
      <c r="B108" s="550" t="s">
        <v>2839</v>
      </c>
      <c r="D108" s="39" t="s">
        <v>949</v>
      </c>
      <c r="E108" s="550" t="s">
        <v>3183</v>
      </c>
    </row>
    <row r="109" spans="1:5" ht="90" customHeight="1" x14ac:dyDescent="0.25">
      <c r="A109" s="39" t="s">
        <v>2530</v>
      </c>
      <c r="B109" s="550" t="s">
        <v>2849</v>
      </c>
      <c r="D109" s="39" t="s">
        <v>433</v>
      </c>
      <c r="E109" s="550" t="s">
        <v>3184</v>
      </c>
    </row>
    <row r="110" spans="1:5" ht="90" customHeight="1" x14ac:dyDescent="0.25">
      <c r="A110" s="39" t="s">
        <v>2540</v>
      </c>
      <c r="B110" s="550" t="s">
        <v>2859</v>
      </c>
      <c r="D110" s="39" t="s">
        <v>995</v>
      </c>
      <c r="E110" s="550" t="s">
        <v>3185</v>
      </c>
    </row>
    <row r="111" spans="1:5" ht="90" customHeight="1" x14ac:dyDescent="0.25">
      <c r="A111" s="39" t="s">
        <v>2550</v>
      </c>
      <c r="B111" s="550" t="s">
        <v>2869</v>
      </c>
      <c r="D111" s="39" t="s">
        <v>974</v>
      </c>
      <c r="E111" s="550" t="s">
        <v>3186</v>
      </c>
    </row>
    <row r="112" spans="1:5" ht="90" customHeight="1" x14ac:dyDescent="0.25">
      <c r="A112" s="39" t="s">
        <v>2620</v>
      </c>
      <c r="B112" s="550" t="s">
        <v>2879</v>
      </c>
      <c r="D112" s="39" t="s">
        <v>1028</v>
      </c>
      <c r="E112" s="550" t="s">
        <v>3188</v>
      </c>
    </row>
    <row r="113" spans="1:5" ht="90" customHeight="1" x14ac:dyDescent="0.25">
      <c r="A113" s="39" t="s">
        <v>2560</v>
      </c>
      <c r="B113" s="550" t="s">
        <v>2889</v>
      </c>
      <c r="D113" s="39" t="s">
        <v>1004</v>
      </c>
      <c r="E113" s="550" t="s">
        <v>3187</v>
      </c>
    </row>
    <row r="114" spans="1:5" ht="90" customHeight="1" x14ac:dyDescent="0.25">
      <c r="A114" s="39" t="s">
        <v>2570</v>
      </c>
      <c r="B114" s="550" t="s">
        <v>2899</v>
      </c>
      <c r="D114" s="39" t="s">
        <v>393</v>
      </c>
      <c r="E114" s="550" t="s">
        <v>3189</v>
      </c>
    </row>
    <row r="115" spans="1:5" ht="90" customHeight="1" x14ac:dyDescent="0.25">
      <c r="A115" s="39" t="s">
        <v>2580</v>
      </c>
      <c r="B115" s="550" t="s">
        <v>2909</v>
      </c>
      <c r="D115" s="39" t="s">
        <v>983</v>
      </c>
      <c r="E115" s="550" t="s">
        <v>3200</v>
      </c>
    </row>
    <row r="116" spans="1:5" ht="90" customHeight="1" x14ac:dyDescent="0.25">
      <c r="A116" s="39" t="s">
        <v>2391</v>
      </c>
      <c r="B116" s="550" t="s">
        <v>2680</v>
      </c>
      <c r="D116" s="39" t="s">
        <v>394</v>
      </c>
      <c r="E116" s="550" t="s">
        <v>3199</v>
      </c>
    </row>
    <row r="117" spans="1:5" ht="90" customHeight="1" x14ac:dyDescent="0.25">
      <c r="A117" s="39" t="s">
        <v>2401</v>
      </c>
      <c r="B117" s="550" t="s">
        <v>2690</v>
      </c>
      <c r="D117" s="39" t="s">
        <v>434</v>
      </c>
      <c r="E117" s="550" t="s">
        <v>3201</v>
      </c>
    </row>
    <row r="118" spans="1:5" ht="90" customHeight="1" x14ac:dyDescent="0.25">
      <c r="A118" s="39" t="s">
        <v>2591</v>
      </c>
      <c r="B118" s="550" t="s">
        <v>2700</v>
      </c>
      <c r="D118" s="39" t="s">
        <v>435</v>
      </c>
      <c r="E118" s="550" t="s">
        <v>3202</v>
      </c>
    </row>
    <row r="119" spans="1:5" ht="90" customHeight="1" x14ac:dyDescent="0.25">
      <c r="A119" s="39" t="s">
        <v>2411</v>
      </c>
      <c r="B119" s="550" t="s">
        <v>2710</v>
      </c>
      <c r="D119" s="39" t="s">
        <v>984</v>
      </c>
      <c r="E119" s="551" t="s">
        <v>2961</v>
      </c>
    </row>
    <row r="120" spans="1:5" ht="90" customHeight="1" x14ac:dyDescent="0.25">
      <c r="A120" s="39" t="s">
        <v>2421</v>
      </c>
      <c r="B120" s="550" t="s">
        <v>2720</v>
      </c>
      <c r="D120" s="39" t="s">
        <v>1031</v>
      </c>
      <c r="E120" s="550" t="s">
        <v>3203</v>
      </c>
    </row>
    <row r="121" spans="1:5" ht="90" customHeight="1" x14ac:dyDescent="0.25">
      <c r="A121" s="39" t="s">
        <v>2431</v>
      </c>
      <c r="B121" s="550" t="s">
        <v>2730</v>
      </c>
      <c r="D121" s="39" t="s">
        <v>1022</v>
      </c>
      <c r="E121" s="550" t="s">
        <v>2959</v>
      </c>
    </row>
    <row r="122" spans="1:5" ht="90" customHeight="1" x14ac:dyDescent="0.25">
      <c r="A122" s="39" t="s">
        <v>2441</v>
      </c>
      <c r="B122" s="550" t="s">
        <v>2740</v>
      </c>
      <c r="D122" s="39" t="s">
        <v>412</v>
      </c>
      <c r="E122" s="550" t="s">
        <v>2958</v>
      </c>
    </row>
    <row r="123" spans="1:5" ht="90" customHeight="1" x14ac:dyDescent="0.25">
      <c r="A123" s="39" t="s">
        <v>2601</v>
      </c>
      <c r="B123" s="550" t="s">
        <v>2750</v>
      </c>
      <c r="D123" s="39" t="s">
        <v>1039</v>
      </c>
      <c r="E123" s="550" t="s">
        <v>3012</v>
      </c>
    </row>
    <row r="124" spans="1:5" ht="90" customHeight="1" x14ac:dyDescent="0.25">
      <c r="A124" s="39" t="s">
        <v>2611</v>
      </c>
      <c r="B124" s="550" t="s">
        <v>2760</v>
      </c>
      <c r="D124" s="39" t="s">
        <v>996</v>
      </c>
      <c r="E124" s="550" t="s">
        <v>3204</v>
      </c>
    </row>
    <row r="125" spans="1:5" ht="90" customHeight="1" x14ac:dyDescent="0.25">
      <c r="A125" s="39" t="s">
        <v>2451</v>
      </c>
      <c r="B125" s="550" t="s">
        <v>2770</v>
      </c>
      <c r="D125" s="39" t="s">
        <v>999</v>
      </c>
      <c r="E125" s="550" t="s">
        <v>3205</v>
      </c>
    </row>
    <row r="126" spans="1:5" ht="90" customHeight="1" x14ac:dyDescent="0.25">
      <c r="A126" s="39" t="s">
        <v>2461</v>
      </c>
      <c r="B126" s="550" t="s">
        <v>2780</v>
      </c>
      <c r="D126" s="39" t="s">
        <v>985</v>
      </c>
      <c r="E126" s="550" t="s">
        <v>3206</v>
      </c>
    </row>
    <row r="127" spans="1:5" ht="90" customHeight="1" x14ac:dyDescent="0.25">
      <c r="A127" s="39" t="s">
        <v>2471</v>
      </c>
      <c r="B127" s="550" t="s">
        <v>2790</v>
      </c>
      <c r="D127" s="39" t="s">
        <v>413</v>
      </c>
      <c r="E127" s="550" t="s">
        <v>2957</v>
      </c>
    </row>
    <row r="128" spans="1:5" ht="90" customHeight="1" x14ac:dyDescent="0.25">
      <c r="A128" s="39" t="s">
        <v>2481</v>
      </c>
      <c r="B128" s="550" t="s">
        <v>2800</v>
      </c>
      <c r="D128" s="39" t="s">
        <v>964</v>
      </c>
      <c r="E128" s="550" t="s">
        <v>3207</v>
      </c>
    </row>
    <row r="129" spans="1:5" ht="90" customHeight="1" x14ac:dyDescent="0.25">
      <c r="A129" s="39" t="s">
        <v>2491</v>
      </c>
      <c r="B129" s="550" t="s">
        <v>2810</v>
      </c>
      <c r="D129" s="39" t="s">
        <v>395</v>
      </c>
      <c r="E129" s="550" t="s">
        <v>2956</v>
      </c>
    </row>
    <row r="130" spans="1:5" ht="90" customHeight="1" x14ac:dyDescent="0.25">
      <c r="A130" s="39" t="s">
        <v>2501</v>
      </c>
      <c r="B130" s="550" t="s">
        <v>2820</v>
      </c>
      <c r="D130" s="39" t="s">
        <v>396</v>
      </c>
      <c r="E130" s="550" t="s">
        <v>3208</v>
      </c>
    </row>
    <row r="131" spans="1:5" ht="90" customHeight="1" x14ac:dyDescent="0.25">
      <c r="A131" s="39" t="s">
        <v>2511</v>
      </c>
      <c r="B131" s="550" t="s">
        <v>2830</v>
      </c>
      <c r="D131" s="39" t="s">
        <v>956</v>
      </c>
      <c r="E131" s="550" t="s">
        <v>3209</v>
      </c>
    </row>
    <row r="132" spans="1:5" ht="90" customHeight="1" x14ac:dyDescent="0.25">
      <c r="A132" s="39" t="s">
        <v>2521</v>
      </c>
      <c r="B132" s="550" t="s">
        <v>2840</v>
      </c>
      <c r="D132" s="39" t="s">
        <v>1032</v>
      </c>
      <c r="E132" s="550" t="s">
        <v>3210</v>
      </c>
    </row>
    <row r="133" spans="1:5" ht="90" customHeight="1" x14ac:dyDescent="0.25">
      <c r="A133" s="39" t="s">
        <v>2531</v>
      </c>
      <c r="B133" s="550" t="s">
        <v>2850</v>
      </c>
      <c r="D133" s="39" t="s">
        <v>1000</v>
      </c>
      <c r="E133" s="550" t="s">
        <v>3211</v>
      </c>
    </row>
    <row r="134" spans="1:5" ht="90" customHeight="1" x14ac:dyDescent="0.25">
      <c r="A134" s="39" t="s">
        <v>2541</v>
      </c>
      <c r="B134" s="550" t="s">
        <v>2860</v>
      </c>
      <c r="D134" s="39" t="s">
        <v>960</v>
      </c>
      <c r="E134" s="550" t="s">
        <v>3212</v>
      </c>
    </row>
    <row r="135" spans="1:5" ht="90" customHeight="1" x14ac:dyDescent="0.25">
      <c r="A135" s="39" t="s">
        <v>2551</v>
      </c>
      <c r="B135" s="550" t="s">
        <v>2870</v>
      </c>
      <c r="D135" s="39" t="s">
        <v>414</v>
      </c>
      <c r="E135" s="550" t="s">
        <v>2955</v>
      </c>
    </row>
    <row r="136" spans="1:5" ht="90" customHeight="1" x14ac:dyDescent="0.25">
      <c r="A136" s="39" t="s">
        <v>2621</v>
      </c>
      <c r="B136" s="550" t="s">
        <v>2880</v>
      </c>
      <c r="D136" s="39" t="s">
        <v>997</v>
      </c>
      <c r="E136" s="550" t="s">
        <v>3213</v>
      </c>
    </row>
    <row r="137" spans="1:5" ht="90" customHeight="1" x14ac:dyDescent="0.25">
      <c r="A137" s="39" t="s">
        <v>2561</v>
      </c>
      <c r="B137" s="550" t="s">
        <v>2890</v>
      </c>
      <c r="D137" s="39" t="s">
        <v>969</v>
      </c>
      <c r="E137" s="550" t="s">
        <v>3214</v>
      </c>
    </row>
    <row r="138" spans="1:5" ht="90" customHeight="1" x14ac:dyDescent="0.25">
      <c r="A138" s="39" t="s">
        <v>2571</v>
      </c>
      <c r="B138" s="550" t="s">
        <v>2900</v>
      </c>
      <c r="D138" s="39" t="s">
        <v>945</v>
      </c>
      <c r="E138" s="550" t="s">
        <v>3215</v>
      </c>
    </row>
    <row r="139" spans="1:5" ht="90" customHeight="1" x14ac:dyDescent="0.25">
      <c r="A139" s="39" t="s">
        <v>2581</v>
      </c>
      <c r="B139" s="550" t="s">
        <v>2910</v>
      </c>
      <c r="D139" s="39" t="s">
        <v>397</v>
      </c>
      <c r="E139" s="550" t="s">
        <v>3013</v>
      </c>
    </row>
    <row r="140" spans="1:5" ht="90" customHeight="1" x14ac:dyDescent="0.25">
      <c r="A140" s="39" t="s">
        <v>2392</v>
      </c>
      <c r="B140" s="550" t="s">
        <v>2681</v>
      </c>
      <c r="D140" s="39" t="s">
        <v>415</v>
      </c>
      <c r="E140" s="550" t="s">
        <v>3216</v>
      </c>
    </row>
    <row r="141" spans="1:5" ht="90" customHeight="1" x14ac:dyDescent="0.25">
      <c r="A141" s="39" t="s">
        <v>2402</v>
      </c>
      <c r="B141" s="550" t="s">
        <v>2691</v>
      </c>
      <c r="D141" s="39" t="s">
        <v>1023</v>
      </c>
      <c r="E141" s="550" t="s">
        <v>3217</v>
      </c>
    </row>
    <row r="142" spans="1:5" ht="90" customHeight="1" x14ac:dyDescent="0.25">
      <c r="A142" s="39" t="s">
        <v>2592</v>
      </c>
      <c r="B142" s="550" t="s">
        <v>2701</v>
      </c>
      <c r="D142" s="39" t="s">
        <v>416</v>
      </c>
      <c r="E142" s="550" t="s">
        <v>3014</v>
      </c>
    </row>
    <row r="143" spans="1:5" ht="90" customHeight="1" x14ac:dyDescent="0.25">
      <c r="A143" s="39" t="s">
        <v>2412</v>
      </c>
      <c r="B143" s="550" t="s">
        <v>2711</v>
      </c>
      <c r="D143" s="39" t="s">
        <v>990</v>
      </c>
      <c r="E143" s="550" t="s">
        <v>3368</v>
      </c>
    </row>
    <row r="144" spans="1:5" ht="90" customHeight="1" x14ac:dyDescent="0.25">
      <c r="A144" s="39" t="s">
        <v>2422</v>
      </c>
      <c r="B144" s="550" t="s">
        <v>2721</v>
      </c>
      <c r="D144" s="39" t="s">
        <v>1013</v>
      </c>
      <c r="E144" s="550" t="s">
        <v>2997</v>
      </c>
    </row>
    <row r="145" spans="1:5" ht="90" customHeight="1" x14ac:dyDescent="0.25">
      <c r="A145" s="39" t="s">
        <v>2432</v>
      </c>
      <c r="B145" s="550" t="s">
        <v>2731</v>
      </c>
      <c r="D145" s="39" t="s">
        <v>398</v>
      </c>
      <c r="E145" s="550" t="s">
        <v>3032</v>
      </c>
    </row>
    <row r="146" spans="1:5" ht="90" customHeight="1" x14ac:dyDescent="0.25">
      <c r="A146" s="39" t="s">
        <v>2442</v>
      </c>
      <c r="B146" s="550" t="s">
        <v>2741</v>
      </c>
      <c r="D146" s="39" t="s">
        <v>1009</v>
      </c>
      <c r="E146" s="550" t="s">
        <v>2998</v>
      </c>
    </row>
    <row r="147" spans="1:5" ht="90" customHeight="1" x14ac:dyDescent="0.25">
      <c r="A147" s="39" t="s">
        <v>2602</v>
      </c>
      <c r="B147" s="550" t="s">
        <v>2751</v>
      </c>
      <c r="D147" s="39" t="s">
        <v>950</v>
      </c>
      <c r="E147" s="550" t="s">
        <v>3198</v>
      </c>
    </row>
    <row r="148" spans="1:5" ht="90" customHeight="1" x14ac:dyDescent="0.25">
      <c r="A148" s="39" t="s">
        <v>2612</v>
      </c>
      <c r="B148" s="550" t="s">
        <v>2761</v>
      </c>
      <c r="D148" s="39" t="s">
        <v>986</v>
      </c>
      <c r="E148" s="550" t="s">
        <v>3031</v>
      </c>
    </row>
    <row r="149" spans="1:5" ht="90" customHeight="1" x14ac:dyDescent="0.25">
      <c r="A149" s="39" t="s">
        <v>2452</v>
      </c>
      <c r="B149" s="550" t="s">
        <v>2771</v>
      </c>
      <c r="D149" s="39" t="s">
        <v>991</v>
      </c>
      <c r="E149" s="550" t="s">
        <v>3030</v>
      </c>
    </row>
    <row r="150" spans="1:5" ht="90" customHeight="1" x14ac:dyDescent="0.25">
      <c r="A150" s="39" t="s">
        <v>2462</v>
      </c>
      <c r="B150" s="550" t="s">
        <v>2781</v>
      </c>
      <c r="D150" s="39" t="s">
        <v>1018</v>
      </c>
      <c r="E150" s="550" t="s">
        <v>3197</v>
      </c>
    </row>
    <row r="151" spans="1:5" ht="90" customHeight="1" x14ac:dyDescent="0.25">
      <c r="A151" s="39" t="s">
        <v>2472</v>
      </c>
      <c r="B151" s="550" t="s">
        <v>2791</v>
      </c>
      <c r="D151" s="39" t="s">
        <v>977</v>
      </c>
      <c r="E151" s="550" t="s">
        <v>3196</v>
      </c>
    </row>
    <row r="152" spans="1:5" ht="90" customHeight="1" x14ac:dyDescent="0.25">
      <c r="A152" s="39" t="s">
        <v>2482</v>
      </c>
      <c r="B152" s="550" t="s">
        <v>2801</v>
      </c>
      <c r="D152" s="39" t="s">
        <v>951</v>
      </c>
      <c r="E152" s="550" t="s">
        <v>3195</v>
      </c>
    </row>
    <row r="153" spans="1:5" ht="90" customHeight="1" x14ac:dyDescent="0.25">
      <c r="A153" s="39" t="s">
        <v>2492</v>
      </c>
      <c r="B153" s="550" t="s">
        <v>2811</v>
      </c>
      <c r="D153" s="39" t="s">
        <v>1033</v>
      </c>
      <c r="E153" s="550" t="s">
        <v>3029</v>
      </c>
    </row>
    <row r="154" spans="1:5" ht="90" customHeight="1" x14ac:dyDescent="0.25">
      <c r="A154" s="39" t="s">
        <v>2502</v>
      </c>
      <c r="B154" s="550" t="s">
        <v>2821</v>
      </c>
      <c r="D154" s="39" t="s">
        <v>1005</v>
      </c>
      <c r="E154" s="550" t="s">
        <v>3015</v>
      </c>
    </row>
    <row r="155" spans="1:5" ht="90" customHeight="1" x14ac:dyDescent="0.25">
      <c r="A155" s="39" t="s">
        <v>2512</v>
      </c>
      <c r="B155" s="550" t="s">
        <v>2831</v>
      </c>
      <c r="D155" s="39" t="s">
        <v>1014</v>
      </c>
      <c r="E155" s="550" t="s">
        <v>3194</v>
      </c>
    </row>
    <row r="156" spans="1:5" ht="90" customHeight="1" x14ac:dyDescent="0.25">
      <c r="A156" s="39" t="s">
        <v>2522</v>
      </c>
      <c r="B156" s="550" t="s">
        <v>2841</v>
      </c>
      <c r="D156" s="39" t="s">
        <v>992</v>
      </c>
      <c r="E156" s="550" t="s">
        <v>3028</v>
      </c>
    </row>
    <row r="157" spans="1:5" ht="90" customHeight="1" x14ac:dyDescent="0.25">
      <c r="A157" s="39" t="s">
        <v>2532</v>
      </c>
      <c r="B157" s="550" t="s">
        <v>2851</v>
      </c>
      <c r="D157" s="39" t="s">
        <v>417</v>
      </c>
      <c r="E157" s="550" t="s">
        <v>3016</v>
      </c>
    </row>
    <row r="158" spans="1:5" ht="90" customHeight="1" x14ac:dyDescent="0.25">
      <c r="A158" s="39" t="s">
        <v>2542</v>
      </c>
      <c r="B158" s="550" t="s">
        <v>2861</v>
      </c>
      <c r="D158" s="39" t="s">
        <v>386</v>
      </c>
      <c r="E158" s="550" t="s">
        <v>2988</v>
      </c>
    </row>
    <row r="159" spans="1:5" ht="90" customHeight="1" x14ac:dyDescent="0.25">
      <c r="A159" s="39" t="s">
        <v>2552</v>
      </c>
      <c r="B159" s="550" t="s">
        <v>2871</v>
      </c>
      <c r="D159" s="39" t="s">
        <v>961</v>
      </c>
      <c r="E159" s="550" t="s">
        <v>3193</v>
      </c>
    </row>
    <row r="160" spans="1:5" ht="90" customHeight="1" x14ac:dyDescent="0.25">
      <c r="A160" s="39" t="s">
        <v>2622</v>
      </c>
      <c r="B160" s="550" t="s">
        <v>2881</v>
      </c>
      <c r="D160" s="39" t="s">
        <v>399</v>
      </c>
      <c r="E160" s="550" t="s">
        <v>2954</v>
      </c>
    </row>
    <row r="161" spans="1:5" ht="90" customHeight="1" x14ac:dyDescent="0.25">
      <c r="A161" s="39" t="s">
        <v>2562</v>
      </c>
      <c r="B161" s="550" t="s">
        <v>2891</v>
      </c>
      <c r="D161" s="39" t="s">
        <v>978</v>
      </c>
      <c r="E161" s="550" t="s">
        <v>3192</v>
      </c>
    </row>
    <row r="162" spans="1:5" ht="90" customHeight="1" x14ac:dyDescent="0.25">
      <c r="A162" s="39" t="s">
        <v>2572</v>
      </c>
      <c r="B162" s="550" t="s">
        <v>2901</v>
      </c>
      <c r="D162" s="39" t="s">
        <v>418</v>
      </c>
      <c r="E162" s="550" t="s">
        <v>3017</v>
      </c>
    </row>
    <row r="163" spans="1:5" ht="90" customHeight="1" x14ac:dyDescent="0.25">
      <c r="A163" s="39" t="s">
        <v>2582</v>
      </c>
      <c r="B163" s="550" t="s">
        <v>2911</v>
      </c>
      <c r="D163" s="39" t="s">
        <v>987</v>
      </c>
      <c r="E163" s="550" t="s">
        <v>3191</v>
      </c>
    </row>
    <row r="164" spans="1:5" ht="90" customHeight="1" x14ac:dyDescent="0.25">
      <c r="A164" s="39" t="s">
        <v>2393</v>
      </c>
      <c r="B164" s="550" t="s">
        <v>2682</v>
      </c>
      <c r="D164" s="39" t="s">
        <v>436</v>
      </c>
      <c r="E164" s="550" t="s">
        <v>3190</v>
      </c>
    </row>
    <row r="165" spans="1:5" ht="90" customHeight="1" x14ac:dyDescent="0.25">
      <c r="A165" s="39" t="s">
        <v>2403</v>
      </c>
      <c r="B165" s="550" t="s">
        <v>2692</v>
      </c>
      <c r="D165" s="39" t="s">
        <v>400</v>
      </c>
      <c r="E165" s="550" t="s">
        <v>2953</v>
      </c>
    </row>
    <row r="166" spans="1:5" ht="90" customHeight="1" x14ac:dyDescent="0.25">
      <c r="A166" s="39" t="s">
        <v>2593</v>
      </c>
      <c r="B166" s="550" t="s">
        <v>2702</v>
      </c>
      <c r="D166" s="39" t="s">
        <v>979</v>
      </c>
      <c r="E166" s="550" t="s">
        <v>3027</v>
      </c>
    </row>
    <row r="167" spans="1:5" ht="90" customHeight="1" x14ac:dyDescent="0.25">
      <c r="A167" s="39" t="s">
        <v>2413</v>
      </c>
      <c r="B167" s="550" t="s">
        <v>2712</v>
      </c>
      <c r="D167" s="39" t="s">
        <v>104</v>
      </c>
      <c r="E167" s="550" t="s">
        <v>3018</v>
      </c>
    </row>
    <row r="168" spans="1:5" ht="90" customHeight="1" x14ac:dyDescent="0.25">
      <c r="A168" s="39" t="s">
        <v>2423</v>
      </c>
      <c r="B168" s="550" t="s">
        <v>2722</v>
      </c>
      <c r="D168" s="39" t="s">
        <v>982</v>
      </c>
      <c r="E168" s="550" t="s">
        <v>2952</v>
      </c>
    </row>
    <row r="169" spans="1:5" ht="90" customHeight="1" x14ac:dyDescent="0.25">
      <c r="A169" s="39" t="s">
        <v>2433</v>
      </c>
      <c r="B169" s="550" t="s">
        <v>2732</v>
      </c>
      <c r="D169" s="39" t="s">
        <v>1015</v>
      </c>
      <c r="E169" s="550" t="s">
        <v>3019</v>
      </c>
    </row>
    <row r="170" spans="1:5" ht="90" customHeight="1" x14ac:dyDescent="0.25">
      <c r="A170" s="39" t="s">
        <v>2443</v>
      </c>
      <c r="B170" s="550" t="s">
        <v>2742</v>
      </c>
      <c r="D170" s="39" t="s">
        <v>1040</v>
      </c>
      <c r="E170" s="550" t="s">
        <v>2951</v>
      </c>
    </row>
    <row r="171" spans="1:5" ht="90" customHeight="1" x14ac:dyDescent="0.25">
      <c r="A171" s="39" t="s">
        <v>2603</v>
      </c>
      <c r="B171" s="550" t="s">
        <v>2752</v>
      </c>
      <c r="D171" s="39" t="s">
        <v>401</v>
      </c>
      <c r="E171" s="550" t="s">
        <v>2950</v>
      </c>
    </row>
    <row r="172" spans="1:5" ht="90" customHeight="1" thickBot="1" x14ac:dyDescent="0.3">
      <c r="A172" s="39" t="s">
        <v>2613</v>
      </c>
      <c r="B172" s="550" t="s">
        <v>2762</v>
      </c>
      <c r="D172" s="196" t="s">
        <v>1010</v>
      </c>
      <c r="E172" s="552" t="s">
        <v>2949</v>
      </c>
    </row>
    <row r="173" spans="1:5" ht="90" customHeight="1" x14ac:dyDescent="0.25">
      <c r="A173" s="39" t="s">
        <v>2453</v>
      </c>
      <c r="B173" s="550" t="s">
        <v>2772</v>
      </c>
    </row>
    <row r="174" spans="1:5" ht="90" customHeight="1" x14ac:dyDescent="0.25">
      <c r="A174" s="39" t="s">
        <v>2463</v>
      </c>
      <c r="B174" s="550" t="s">
        <v>2782</v>
      </c>
    </row>
    <row r="175" spans="1:5" ht="90" customHeight="1" x14ac:dyDescent="0.25">
      <c r="A175" s="39" t="s">
        <v>2473</v>
      </c>
      <c r="B175" s="550" t="s">
        <v>2792</v>
      </c>
    </row>
    <row r="176" spans="1:5" ht="90" customHeight="1" x14ac:dyDescent="0.25">
      <c r="A176" s="39" t="s">
        <v>2483</v>
      </c>
      <c r="B176" s="550" t="s">
        <v>2802</v>
      </c>
    </row>
    <row r="177" spans="1:2" ht="90" customHeight="1" x14ac:dyDescent="0.25">
      <c r="A177" s="39" t="s">
        <v>2493</v>
      </c>
      <c r="B177" s="550" t="s">
        <v>2812</v>
      </c>
    </row>
    <row r="178" spans="1:2" ht="90" customHeight="1" x14ac:dyDescent="0.25">
      <c r="A178" s="39" t="s">
        <v>2503</v>
      </c>
      <c r="B178" s="550" t="s">
        <v>2822</v>
      </c>
    </row>
    <row r="179" spans="1:2" ht="90" customHeight="1" x14ac:dyDescent="0.25">
      <c r="A179" s="39" t="s">
        <v>2513</v>
      </c>
      <c r="B179" s="550" t="s">
        <v>2832</v>
      </c>
    </row>
    <row r="180" spans="1:2" ht="90" customHeight="1" x14ac:dyDescent="0.25">
      <c r="A180" s="39" t="s">
        <v>2523</v>
      </c>
      <c r="B180" s="550" t="s">
        <v>2842</v>
      </c>
    </row>
    <row r="181" spans="1:2" ht="90" customHeight="1" x14ac:dyDescent="0.25">
      <c r="A181" s="39" t="s">
        <v>2533</v>
      </c>
      <c r="B181" s="550" t="s">
        <v>2852</v>
      </c>
    </row>
    <row r="182" spans="1:2" ht="90" customHeight="1" x14ac:dyDescent="0.25">
      <c r="A182" s="39" t="s">
        <v>2543</v>
      </c>
      <c r="B182" s="550" t="s">
        <v>2862</v>
      </c>
    </row>
    <row r="183" spans="1:2" ht="90" customHeight="1" x14ac:dyDescent="0.25">
      <c r="A183" s="39" t="s">
        <v>2553</v>
      </c>
      <c r="B183" s="550" t="s">
        <v>2872</v>
      </c>
    </row>
    <row r="184" spans="1:2" ht="90" customHeight="1" x14ac:dyDescent="0.25">
      <c r="A184" s="39" t="s">
        <v>2623</v>
      </c>
      <c r="B184" s="550" t="s">
        <v>2882</v>
      </c>
    </row>
    <row r="185" spans="1:2" ht="90" customHeight="1" x14ac:dyDescent="0.25">
      <c r="A185" s="39" t="s">
        <v>2563</v>
      </c>
      <c r="B185" s="550" t="s">
        <v>2892</v>
      </c>
    </row>
    <row r="186" spans="1:2" ht="90" customHeight="1" x14ac:dyDescent="0.25">
      <c r="A186" s="39" t="s">
        <v>2573</v>
      </c>
      <c r="B186" s="550" t="s">
        <v>2902</v>
      </c>
    </row>
    <row r="187" spans="1:2" ht="90" customHeight="1" x14ac:dyDescent="0.25">
      <c r="A187" s="39" t="s">
        <v>2583</v>
      </c>
      <c r="B187" s="550" t="s">
        <v>2912</v>
      </c>
    </row>
    <row r="188" spans="1:2" ht="90" customHeight="1" x14ac:dyDescent="0.25">
      <c r="A188" s="39" t="s">
        <v>2394</v>
      </c>
      <c r="B188" s="550" t="s">
        <v>2683</v>
      </c>
    </row>
    <row r="189" spans="1:2" ht="90" customHeight="1" x14ac:dyDescent="0.25">
      <c r="A189" s="39" t="s">
        <v>2404</v>
      </c>
      <c r="B189" s="550" t="s">
        <v>2693</v>
      </c>
    </row>
    <row r="190" spans="1:2" ht="90" customHeight="1" x14ac:dyDescent="0.25">
      <c r="A190" s="39" t="s">
        <v>2594</v>
      </c>
      <c r="B190" s="550" t="s">
        <v>2703</v>
      </c>
    </row>
    <row r="191" spans="1:2" ht="90" customHeight="1" x14ac:dyDescent="0.25">
      <c r="A191" s="39" t="s">
        <v>2414</v>
      </c>
      <c r="B191" s="550" t="s">
        <v>2713</v>
      </c>
    </row>
    <row r="192" spans="1:2" ht="90" customHeight="1" x14ac:dyDescent="0.25">
      <c r="A192" s="39" t="s">
        <v>2424</v>
      </c>
      <c r="B192" s="550" t="s">
        <v>2723</v>
      </c>
    </row>
    <row r="193" spans="1:2" ht="90" customHeight="1" x14ac:dyDescent="0.25">
      <c r="A193" s="39" t="s">
        <v>2434</v>
      </c>
      <c r="B193" s="550" t="s">
        <v>2733</v>
      </c>
    </row>
    <row r="194" spans="1:2" ht="90" customHeight="1" x14ac:dyDescent="0.25">
      <c r="A194" s="39" t="s">
        <v>2444</v>
      </c>
      <c r="B194" s="550" t="s">
        <v>2743</v>
      </c>
    </row>
    <row r="195" spans="1:2" ht="90" customHeight="1" x14ac:dyDescent="0.25">
      <c r="A195" s="39" t="s">
        <v>2604</v>
      </c>
      <c r="B195" s="550" t="s">
        <v>2753</v>
      </c>
    </row>
    <row r="196" spans="1:2" ht="90" customHeight="1" x14ac:dyDescent="0.25">
      <c r="A196" s="39" t="s">
        <v>2614</v>
      </c>
      <c r="B196" s="550" t="s">
        <v>2763</v>
      </c>
    </row>
    <row r="197" spans="1:2" ht="90" customHeight="1" x14ac:dyDescent="0.25">
      <c r="A197" s="39" t="s">
        <v>2454</v>
      </c>
      <c r="B197" s="550" t="s">
        <v>2773</v>
      </c>
    </row>
    <row r="198" spans="1:2" ht="90" customHeight="1" x14ac:dyDescent="0.25">
      <c r="A198" s="39" t="s">
        <v>2464</v>
      </c>
      <c r="B198" s="550" t="s">
        <v>2783</v>
      </c>
    </row>
    <row r="199" spans="1:2" ht="90" customHeight="1" x14ac:dyDescent="0.25">
      <c r="A199" s="39" t="s">
        <v>2474</v>
      </c>
      <c r="B199" s="550" t="s">
        <v>2793</v>
      </c>
    </row>
    <row r="200" spans="1:2" ht="90" customHeight="1" x14ac:dyDescent="0.25">
      <c r="A200" s="39" t="s">
        <v>2484</v>
      </c>
      <c r="B200" s="550" t="s">
        <v>2803</v>
      </c>
    </row>
    <row r="201" spans="1:2" ht="90" customHeight="1" x14ac:dyDescent="0.25">
      <c r="A201" s="39" t="s">
        <v>2494</v>
      </c>
      <c r="B201" s="550" t="s">
        <v>2813</v>
      </c>
    </row>
    <row r="202" spans="1:2" ht="90" customHeight="1" x14ac:dyDescent="0.25">
      <c r="A202" s="39" t="s">
        <v>2504</v>
      </c>
      <c r="B202" s="550" t="s">
        <v>2823</v>
      </c>
    </row>
    <row r="203" spans="1:2" ht="90" customHeight="1" x14ac:dyDescent="0.25">
      <c r="A203" s="39" t="s">
        <v>2514</v>
      </c>
      <c r="B203" s="550" t="s">
        <v>2833</v>
      </c>
    </row>
    <row r="204" spans="1:2" ht="90" customHeight="1" x14ac:dyDescent="0.25">
      <c r="A204" s="39" t="s">
        <v>2524</v>
      </c>
      <c r="B204" s="550" t="s">
        <v>2843</v>
      </c>
    </row>
    <row r="205" spans="1:2" ht="90" customHeight="1" x14ac:dyDescent="0.25">
      <c r="A205" s="39" t="s">
        <v>2534</v>
      </c>
      <c r="B205" s="550" t="s">
        <v>2853</v>
      </c>
    </row>
    <row r="206" spans="1:2" ht="90" customHeight="1" x14ac:dyDescent="0.25">
      <c r="A206" s="39" t="s">
        <v>2544</v>
      </c>
      <c r="B206" s="550" t="s">
        <v>2863</v>
      </c>
    </row>
    <row r="207" spans="1:2" ht="90" customHeight="1" x14ac:dyDescent="0.25">
      <c r="A207" s="39" t="s">
        <v>2554</v>
      </c>
      <c r="B207" s="550" t="s">
        <v>2873</v>
      </c>
    </row>
    <row r="208" spans="1:2" ht="90" customHeight="1" x14ac:dyDescent="0.25">
      <c r="A208" s="39" t="s">
        <v>2624</v>
      </c>
      <c r="B208" s="550" t="s">
        <v>2883</v>
      </c>
    </row>
    <row r="209" spans="1:2" ht="90" customHeight="1" x14ac:dyDescent="0.25">
      <c r="A209" s="39" t="s">
        <v>2564</v>
      </c>
      <c r="B209" s="550" t="s">
        <v>2893</v>
      </c>
    </row>
    <row r="210" spans="1:2" ht="90" customHeight="1" x14ac:dyDescent="0.25">
      <c r="A210" s="39" t="s">
        <v>2574</v>
      </c>
      <c r="B210" s="550" t="s">
        <v>2903</v>
      </c>
    </row>
    <row r="211" spans="1:2" ht="90" customHeight="1" x14ac:dyDescent="0.25">
      <c r="A211" s="39" t="s">
        <v>2584</v>
      </c>
      <c r="B211" s="550" t="s">
        <v>2913</v>
      </c>
    </row>
    <row r="212" spans="1:2" ht="90" customHeight="1" x14ac:dyDescent="0.25">
      <c r="A212" s="39" t="s">
        <v>2395</v>
      </c>
      <c r="B212" s="550" t="s">
        <v>2684</v>
      </c>
    </row>
    <row r="213" spans="1:2" ht="90" customHeight="1" x14ac:dyDescent="0.25">
      <c r="A213" s="39" t="s">
        <v>2405</v>
      </c>
      <c r="B213" s="550" t="s">
        <v>2694</v>
      </c>
    </row>
    <row r="214" spans="1:2" ht="90" customHeight="1" x14ac:dyDescent="0.25">
      <c r="A214" s="39" t="s">
        <v>2595</v>
      </c>
      <c r="B214" s="550" t="s">
        <v>2704</v>
      </c>
    </row>
    <row r="215" spans="1:2" ht="90" customHeight="1" x14ac:dyDescent="0.25">
      <c r="A215" s="39" t="s">
        <v>2415</v>
      </c>
      <c r="B215" s="550" t="s">
        <v>2714</v>
      </c>
    </row>
    <row r="216" spans="1:2" ht="90" customHeight="1" x14ac:dyDescent="0.25">
      <c r="A216" s="39" t="s">
        <v>2425</v>
      </c>
      <c r="B216" s="550" t="s">
        <v>2724</v>
      </c>
    </row>
    <row r="217" spans="1:2" ht="90" customHeight="1" x14ac:dyDescent="0.25">
      <c r="A217" s="39" t="s">
        <v>2435</v>
      </c>
      <c r="B217" s="550" t="s">
        <v>2734</v>
      </c>
    </row>
    <row r="218" spans="1:2" ht="90" customHeight="1" x14ac:dyDescent="0.25">
      <c r="A218" s="39" t="s">
        <v>2445</v>
      </c>
      <c r="B218" s="550" t="s">
        <v>2744</v>
      </c>
    </row>
    <row r="219" spans="1:2" ht="90" customHeight="1" x14ac:dyDescent="0.25">
      <c r="A219" s="39" t="s">
        <v>2605</v>
      </c>
      <c r="B219" s="550" t="s">
        <v>2754</v>
      </c>
    </row>
    <row r="220" spans="1:2" ht="90" customHeight="1" x14ac:dyDescent="0.25">
      <c r="A220" s="39" t="s">
        <v>2615</v>
      </c>
      <c r="B220" s="550" t="s">
        <v>2764</v>
      </c>
    </row>
    <row r="221" spans="1:2" ht="90" customHeight="1" x14ac:dyDescent="0.25">
      <c r="A221" s="39" t="s">
        <v>2455</v>
      </c>
      <c r="B221" s="550" t="s">
        <v>2774</v>
      </c>
    </row>
    <row r="222" spans="1:2" ht="90" customHeight="1" x14ac:dyDescent="0.25">
      <c r="A222" s="39" t="s">
        <v>2465</v>
      </c>
      <c r="B222" s="550" t="s">
        <v>2784</v>
      </c>
    </row>
    <row r="223" spans="1:2" ht="90" customHeight="1" x14ac:dyDescent="0.25">
      <c r="A223" s="39" t="s">
        <v>2475</v>
      </c>
      <c r="B223" s="550" t="s">
        <v>2794</v>
      </c>
    </row>
    <row r="224" spans="1:2" ht="90" customHeight="1" x14ac:dyDescent="0.25">
      <c r="A224" s="39" t="s">
        <v>2485</v>
      </c>
      <c r="B224" s="550" t="s">
        <v>2804</v>
      </c>
    </row>
    <row r="225" spans="1:2" ht="90" customHeight="1" x14ac:dyDescent="0.25">
      <c r="A225" s="39" t="s">
        <v>2495</v>
      </c>
      <c r="B225" s="550" t="s">
        <v>2814</v>
      </c>
    </row>
    <row r="226" spans="1:2" ht="90" customHeight="1" x14ac:dyDescent="0.25">
      <c r="A226" s="39" t="s">
        <v>2505</v>
      </c>
      <c r="B226" s="550" t="s">
        <v>2824</v>
      </c>
    </row>
    <row r="227" spans="1:2" ht="90" customHeight="1" x14ac:dyDescent="0.25">
      <c r="A227" s="39" t="s">
        <v>2515</v>
      </c>
      <c r="B227" s="550" t="s">
        <v>2834</v>
      </c>
    </row>
    <row r="228" spans="1:2" ht="90" customHeight="1" x14ac:dyDescent="0.25">
      <c r="A228" s="39" t="s">
        <v>2525</v>
      </c>
      <c r="B228" s="550" t="s">
        <v>2844</v>
      </c>
    </row>
    <row r="229" spans="1:2" ht="90" customHeight="1" x14ac:dyDescent="0.25">
      <c r="A229" s="39" t="s">
        <v>2535</v>
      </c>
      <c r="B229" s="550" t="s">
        <v>2854</v>
      </c>
    </row>
    <row r="230" spans="1:2" ht="90" customHeight="1" x14ac:dyDescent="0.25">
      <c r="A230" s="39" t="s">
        <v>2545</v>
      </c>
      <c r="B230" s="550" t="s">
        <v>2864</v>
      </c>
    </row>
    <row r="231" spans="1:2" ht="90" customHeight="1" x14ac:dyDescent="0.25">
      <c r="A231" s="39" t="s">
        <v>2555</v>
      </c>
      <c r="B231" s="550" t="s">
        <v>2874</v>
      </c>
    </row>
    <row r="232" spans="1:2" ht="90" customHeight="1" x14ac:dyDescent="0.25">
      <c r="A232" s="39" t="s">
        <v>2625</v>
      </c>
      <c r="B232" s="550" t="s">
        <v>2884</v>
      </c>
    </row>
    <row r="233" spans="1:2" ht="90" customHeight="1" x14ac:dyDescent="0.25">
      <c r="A233" s="39" t="s">
        <v>2565</v>
      </c>
      <c r="B233" s="550" t="s">
        <v>2894</v>
      </c>
    </row>
    <row r="234" spans="1:2" ht="90" customHeight="1" x14ac:dyDescent="0.25">
      <c r="A234" s="39" t="s">
        <v>2575</v>
      </c>
      <c r="B234" s="550" t="s">
        <v>2904</v>
      </c>
    </row>
    <row r="235" spans="1:2" ht="90" customHeight="1" x14ac:dyDescent="0.25">
      <c r="A235" s="39" t="s">
        <v>2585</v>
      </c>
      <c r="B235" s="550" t="s">
        <v>2914</v>
      </c>
    </row>
    <row r="236" spans="1:2" ht="90" customHeight="1" x14ac:dyDescent="0.25">
      <c r="A236" s="39" t="s">
        <v>2396</v>
      </c>
      <c r="B236" s="550" t="s">
        <v>2685</v>
      </c>
    </row>
    <row r="237" spans="1:2" ht="90" customHeight="1" x14ac:dyDescent="0.25">
      <c r="A237" s="39" t="s">
        <v>2406</v>
      </c>
      <c r="B237" s="550" t="s">
        <v>2695</v>
      </c>
    </row>
    <row r="238" spans="1:2" ht="90" customHeight="1" x14ac:dyDescent="0.25">
      <c r="A238" s="39" t="s">
        <v>2596</v>
      </c>
      <c r="B238" s="550" t="s">
        <v>2705</v>
      </c>
    </row>
    <row r="239" spans="1:2" ht="90" customHeight="1" x14ac:dyDescent="0.25">
      <c r="A239" s="39" t="s">
        <v>2416</v>
      </c>
      <c r="B239" s="550" t="s">
        <v>2715</v>
      </c>
    </row>
    <row r="240" spans="1:2" ht="90" customHeight="1" x14ac:dyDescent="0.25">
      <c r="A240" s="39" t="s">
        <v>2426</v>
      </c>
      <c r="B240" s="550" t="s">
        <v>2725</v>
      </c>
    </row>
    <row r="241" spans="1:2" ht="90" customHeight="1" x14ac:dyDescent="0.25">
      <c r="A241" s="39" t="s">
        <v>2436</v>
      </c>
      <c r="B241" s="550" t="s">
        <v>2735</v>
      </c>
    </row>
    <row r="242" spans="1:2" ht="90" customHeight="1" x14ac:dyDescent="0.25">
      <c r="A242" s="39" t="s">
        <v>2446</v>
      </c>
      <c r="B242" s="550" t="s">
        <v>2745</v>
      </c>
    </row>
    <row r="243" spans="1:2" ht="90" customHeight="1" x14ac:dyDescent="0.25">
      <c r="A243" s="39" t="s">
        <v>2606</v>
      </c>
      <c r="B243" s="550" t="s">
        <v>2755</v>
      </c>
    </row>
    <row r="244" spans="1:2" ht="90" customHeight="1" x14ac:dyDescent="0.25">
      <c r="A244" s="39" t="s">
        <v>2616</v>
      </c>
      <c r="B244" s="550" t="s">
        <v>2765</v>
      </c>
    </row>
    <row r="245" spans="1:2" ht="90" customHeight="1" x14ac:dyDescent="0.25">
      <c r="A245" s="39" t="s">
        <v>2456</v>
      </c>
      <c r="B245" s="550" t="s">
        <v>2775</v>
      </c>
    </row>
    <row r="246" spans="1:2" ht="90" customHeight="1" x14ac:dyDescent="0.25">
      <c r="A246" s="39" t="s">
        <v>2466</v>
      </c>
      <c r="B246" s="550" t="s">
        <v>2785</v>
      </c>
    </row>
    <row r="247" spans="1:2" ht="90" customHeight="1" x14ac:dyDescent="0.25">
      <c r="A247" s="39" t="s">
        <v>2476</v>
      </c>
      <c r="B247" s="550" t="s">
        <v>2795</v>
      </c>
    </row>
    <row r="248" spans="1:2" ht="90" customHeight="1" x14ac:dyDescent="0.25">
      <c r="A248" s="39" t="s">
        <v>2486</v>
      </c>
      <c r="B248" s="550" t="s">
        <v>2805</v>
      </c>
    </row>
    <row r="249" spans="1:2" ht="90" customHeight="1" x14ac:dyDescent="0.25">
      <c r="A249" s="39" t="s">
        <v>2496</v>
      </c>
      <c r="B249" s="550" t="s">
        <v>2815</v>
      </c>
    </row>
    <row r="250" spans="1:2" ht="90" customHeight="1" x14ac:dyDescent="0.25">
      <c r="A250" s="39" t="s">
        <v>2506</v>
      </c>
      <c r="B250" s="550" t="s">
        <v>2825</v>
      </c>
    </row>
    <row r="251" spans="1:2" ht="90" customHeight="1" x14ac:dyDescent="0.25">
      <c r="A251" s="39" t="s">
        <v>2516</v>
      </c>
      <c r="B251" s="550" t="s">
        <v>2835</v>
      </c>
    </row>
    <row r="252" spans="1:2" ht="90" customHeight="1" x14ac:dyDescent="0.25">
      <c r="A252" s="39" t="s">
        <v>2526</v>
      </c>
      <c r="B252" s="550" t="s">
        <v>2845</v>
      </c>
    </row>
    <row r="253" spans="1:2" ht="90" customHeight="1" x14ac:dyDescent="0.25">
      <c r="A253" s="39" t="s">
        <v>2536</v>
      </c>
      <c r="B253" s="550" t="s">
        <v>2855</v>
      </c>
    </row>
    <row r="254" spans="1:2" ht="90" customHeight="1" x14ac:dyDescent="0.25">
      <c r="A254" s="39" t="s">
        <v>2546</v>
      </c>
      <c r="B254" s="550" t="s">
        <v>2865</v>
      </c>
    </row>
    <row r="255" spans="1:2" ht="90" customHeight="1" x14ac:dyDescent="0.25">
      <c r="A255" s="39" t="s">
        <v>2556</v>
      </c>
      <c r="B255" s="550" t="s">
        <v>2875</v>
      </c>
    </row>
    <row r="256" spans="1:2" ht="90" customHeight="1" x14ac:dyDescent="0.25">
      <c r="A256" s="39" t="s">
        <v>2626</v>
      </c>
      <c r="B256" s="550" t="s">
        <v>2885</v>
      </c>
    </row>
    <row r="257" spans="1:2" ht="90" customHeight="1" x14ac:dyDescent="0.25">
      <c r="A257" s="39" t="s">
        <v>2566</v>
      </c>
      <c r="B257" s="550" t="s">
        <v>2895</v>
      </c>
    </row>
    <row r="258" spans="1:2" ht="90" customHeight="1" x14ac:dyDescent="0.25">
      <c r="A258" s="39" t="s">
        <v>2576</v>
      </c>
      <c r="B258" s="550" t="s">
        <v>2905</v>
      </c>
    </row>
    <row r="259" spans="1:2" ht="90" customHeight="1" x14ac:dyDescent="0.25">
      <c r="A259" s="39" t="s">
        <v>2586</v>
      </c>
      <c r="B259" s="550" t="s">
        <v>2915</v>
      </c>
    </row>
    <row r="260" spans="1:2" ht="90" customHeight="1" x14ac:dyDescent="0.25">
      <c r="A260" s="36" t="s">
        <v>1130</v>
      </c>
      <c r="B260" s="550" t="s">
        <v>3300</v>
      </c>
    </row>
    <row r="261" spans="1:2" ht="90" customHeight="1" x14ac:dyDescent="0.25">
      <c r="A261" s="36" t="s">
        <v>1201</v>
      </c>
      <c r="B261" s="550" t="s">
        <v>3332</v>
      </c>
    </row>
    <row r="262" spans="1:2" ht="90" customHeight="1" x14ac:dyDescent="0.25">
      <c r="A262" s="36" t="s">
        <v>1472</v>
      </c>
      <c r="B262" s="550" t="s">
        <v>2994</v>
      </c>
    </row>
    <row r="263" spans="1:2" ht="90" customHeight="1" x14ac:dyDescent="0.25">
      <c r="A263" s="36" t="s">
        <v>1449</v>
      </c>
      <c r="B263" s="550" t="s">
        <v>3252</v>
      </c>
    </row>
    <row r="264" spans="1:2" ht="90" customHeight="1" x14ac:dyDescent="0.25">
      <c r="A264" s="36" t="s">
        <v>1088</v>
      </c>
      <c r="B264" s="550" t="s">
        <v>2993</v>
      </c>
    </row>
    <row r="265" spans="1:2" ht="90" customHeight="1" x14ac:dyDescent="0.25">
      <c r="A265" s="36" t="s">
        <v>1365</v>
      </c>
      <c r="B265" s="550" t="s">
        <v>3234</v>
      </c>
    </row>
    <row r="266" spans="1:2" ht="90" customHeight="1" x14ac:dyDescent="0.25">
      <c r="A266" s="36" t="s">
        <v>1475</v>
      </c>
      <c r="B266" s="550" t="s">
        <v>3538</v>
      </c>
    </row>
    <row r="267" spans="1:2" ht="90" customHeight="1" x14ac:dyDescent="0.25">
      <c r="A267" s="36" t="s">
        <v>1331</v>
      </c>
      <c r="B267" s="550" t="s">
        <v>3069</v>
      </c>
    </row>
    <row r="268" spans="1:2" ht="90" customHeight="1" x14ac:dyDescent="0.25">
      <c r="A268" s="36" t="s">
        <v>1246</v>
      </c>
      <c r="B268" s="550" t="s">
        <v>3050</v>
      </c>
    </row>
    <row r="269" spans="1:2" ht="90" customHeight="1" x14ac:dyDescent="0.25">
      <c r="A269" s="36" t="s">
        <v>1250</v>
      </c>
      <c r="B269" s="550" t="s">
        <v>3051</v>
      </c>
    </row>
    <row r="270" spans="1:2" ht="90" customHeight="1" x14ac:dyDescent="0.25">
      <c r="A270" s="36" t="s">
        <v>1254</v>
      </c>
      <c r="B270" s="550" t="s">
        <v>3053</v>
      </c>
    </row>
    <row r="271" spans="1:2" ht="90" customHeight="1" x14ac:dyDescent="0.25">
      <c r="A271" s="36" t="s">
        <v>1258</v>
      </c>
      <c r="B271" s="550" t="s">
        <v>3052</v>
      </c>
    </row>
    <row r="272" spans="1:2" ht="90" customHeight="1" x14ac:dyDescent="0.25">
      <c r="A272" s="36" t="s">
        <v>1262</v>
      </c>
      <c r="B272" s="550" t="s">
        <v>3054</v>
      </c>
    </row>
    <row r="273" spans="1:2" ht="90" customHeight="1" x14ac:dyDescent="0.25">
      <c r="A273" s="36" t="s">
        <v>1266</v>
      </c>
      <c r="B273" s="550" t="s">
        <v>3055</v>
      </c>
    </row>
    <row r="274" spans="1:2" ht="90" customHeight="1" x14ac:dyDescent="0.25">
      <c r="A274" s="36" t="s">
        <v>1270</v>
      </c>
      <c r="B274" s="550" t="s">
        <v>3056</v>
      </c>
    </row>
    <row r="275" spans="1:2" ht="90" customHeight="1" x14ac:dyDescent="0.25">
      <c r="A275" s="36" t="s">
        <v>1495</v>
      </c>
      <c r="B275" s="550" t="s">
        <v>3057</v>
      </c>
    </row>
    <row r="276" spans="1:2" ht="90" customHeight="1" x14ac:dyDescent="0.25">
      <c r="A276" s="36" t="s">
        <v>1274</v>
      </c>
      <c r="B276" s="550" t="s">
        <v>3058</v>
      </c>
    </row>
    <row r="277" spans="1:2" ht="90" customHeight="1" x14ac:dyDescent="0.25">
      <c r="A277" s="36" t="s">
        <v>1278</v>
      </c>
      <c r="B277" s="550" t="s">
        <v>3059</v>
      </c>
    </row>
    <row r="278" spans="1:2" ht="90" customHeight="1" x14ac:dyDescent="0.25">
      <c r="A278" s="36" t="s">
        <v>1509</v>
      </c>
      <c r="B278" s="550" t="s">
        <v>3060</v>
      </c>
    </row>
    <row r="279" spans="1:2" ht="90" customHeight="1" x14ac:dyDescent="0.25">
      <c r="A279" s="36" t="s">
        <v>1632</v>
      </c>
      <c r="B279" s="550" t="s">
        <v>3061</v>
      </c>
    </row>
    <row r="280" spans="1:2" ht="90" customHeight="1" x14ac:dyDescent="0.25">
      <c r="A280" s="36" t="s">
        <v>1327</v>
      </c>
      <c r="B280" s="550" t="s">
        <v>3069</v>
      </c>
    </row>
    <row r="281" spans="1:2" ht="90" customHeight="1" x14ac:dyDescent="0.25">
      <c r="A281" s="36" t="s">
        <v>1285</v>
      </c>
      <c r="B281" s="550" t="s">
        <v>3062</v>
      </c>
    </row>
    <row r="282" spans="1:2" ht="90" customHeight="1" x14ac:dyDescent="0.25">
      <c r="A282" s="36" t="s">
        <v>1335</v>
      </c>
      <c r="B282" s="550" t="s">
        <v>3069</v>
      </c>
    </row>
    <row r="283" spans="1:2" ht="90" customHeight="1" x14ac:dyDescent="0.25">
      <c r="A283" s="36" t="s">
        <v>1289</v>
      </c>
      <c r="B283" s="550" t="s">
        <v>3063</v>
      </c>
    </row>
    <row r="284" spans="1:2" ht="90" customHeight="1" x14ac:dyDescent="0.25">
      <c r="A284" s="36" t="s">
        <v>1293</v>
      </c>
      <c r="B284" s="550" t="s">
        <v>3064</v>
      </c>
    </row>
    <row r="285" spans="1:2" ht="90" customHeight="1" x14ac:dyDescent="0.25">
      <c r="A285" s="36" t="s">
        <v>1483</v>
      </c>
      <c r="B285" s="550" t="s">
        <v>3065</v>
      </c>
    </row>
    <row r="286" spans="1:2" ht="90" customHeight="1" x14ac:dyDescent="0.25">
      <c r="A286" s="36" t="s">
        <v>1297</v>
      </c>
      <c r="B286" s="550" t="s">
        <v>3066</v>
      </c>
    </row>
    <row r="287" spans="1:2" ht="90" customHeight="1" x14ac:dyDescent="0.25">
      <c r="A287" s="36" t="s">
        <v>1301</v>
      </c>
      <c r="B287" s="550" t="s">
        <v>3067</v>
      </c>
    </row>
    <row r="288" spans="1:2" ht="90" customHeight="1" x14ac:dyDescent="0.25">
      <c r="A288" s="36" t="s">
        <v>1305</v>
      </c>
      <c r="B288" s="550" t="s">
        <v>3068</v>
      </c>
    </row>
    <row r="289" spans="1:2" ht="90" customHeight="1" x14ac:dyDescent="0.25">
      <c r="A289" s="36" t="s">
        <v>1436</v>
      </c>
      <c r="B289" s="550" t="s">
        <v>3438</v>
      </c>
    </row>
    <row r="290" spans="1:2" ht="90" customHeight="1" x14ac:dyDescent="0.25">
      <c r="A290" s="36" t="s">
        <v>1514</v>
      </c>
      <c r="B290" s="550" t="s">
        <v>3318</v>
      </c>
    </row>
    <row r="291" spans="1:2" ht="90" customHeight="1" x14ac:dyDescent="0.25">
      <c r="A291" s="36" t="s">
        <v>1218</v>
      </c>
      <c r="B291" s="550" t="s">
        <v>3398</v>
      </c>
    </row>
    <row r="292" spans="1:2" ht="90" customHeight="1" x14ac:dyDescent="0.25">
      <c r="A292" s="36" t="s">
        <v>1363</v>
      </c>
      <c r="B292" s="550" t="s">
        <v>3221</v>
      </c>
    </row>
    <row r="293" spans="1:2" ht="90" customHeight="1" x14ac:dyDescent="0.25">
      <c r="A293" s="36" t="s">
        <v>1107</v>
      </c>
      <c r="B293" s="550" t="s">
        <v>3279</v>
      </c>
    </row>
    <row r="294" spans="1:2" ht="90" customHeight="1" x14ac:dyDescent="0.25">
      <c r="A294" s="36" t="s">
        <v>1199</v>
      </c>
      <c r="B294" s="550" t="s">
        <v>3333</v>
      </c>
    </row>
    <row r="295" spans="1:2" ht="90" customHeight="1" x14ac:dyDescent="0.25">
      <c r="A295" s="36" t="s">
        <v>1515</v>
      </c>
      <c r="B295" s="550" t="s">
        <v>3319</v>
      </c>
    </row>
    <row r="296" spans="1:2" ht="90" customHeight="1" x14ac:dyDescent="0.25">
      <c r="A296" s="36" t="s">
        <v>1124</v>
      </c>
      <c r="B296" s="550" t="s">
        <v>3006</v>
      </c>
    </row>
    <row r="297" spans="1:2" ht="90" customHeight="1" x14ac:dyDescent="0.25">
      <c r="A297" s="36" t="s">
        <v>1368</v>
      </c>
      <c r="B297" s="550" t="s">
        <v>3235</v>
      </c>
    </row>
    <row r="298" spans="1:2" ht="90" customHeight="1" x14ac:dyDescent="0.25">
      <c r="A298" s="36" t="s">
        <v>1435</v>
      </c>
      <c r="B298" s="550" t="s">
        <v>3437</v>
      </c>
    </row>
    <row r="299" spans="1:2" ht="90" customHeight="1" x14ac:dyDescent="0.25">
      <c r="A299" s="36" t="s">
        <v>1324</v>
      </c>
      <c r="B299" s="550" t="s">
        <v>3324</v>
      </c>
    </row>
    <row r="300" spans="1:2" ht="90" customHeight="1" x14ac:dyDescent="0.25">
      <c r="A300" s="36" t="s">
        <v>1167</v>
      </c>
      <c r="B300" s="550" t="s">
        <v>3296</v>
      </c>
    </row>
    <row r="301" spans="1:2" ht="90" customHeight="1" x14ac:dyDescent="0.25">
      <c r="A301" s="36" t="s">
        <v>1295</v>
      </c>
      <c r="B301" s="550" t="s">
        <v>3505</v>
      </c>
    </row>
    <row r="302" spans="1:2" ht="90" customHeight="1" x14ac:dyDescent="0.25">
      <c r="A302" s="36" t="s">
        <v>1081</v>
      </c>
      <c r="B302" s="550" t="s">
        <v>3043</v>
      </c>
    </row>
    <row r="303" spans="1:2" ht="90" customHeight="1" x14ac:dyDescent="0.25">
      <c r="A303" s="36" t="s">
        <v>1298</v>
      </c>
      <c r="B303" s="550" t="s">
        <v>3507</v>
      </c>
    </row>
    <row r="304" spans="1:2" ht="90" customHeight="1" x14ac:dyDescent="0.25">
      <c r="A304" s="36" t="s">
        <v>1106</v>
      </c>
      <c r="B304" s="550" t="s">
        <v>3390</v>
      </c>
    </row>
    <row r="305" spans="1:2" ht="90" customHeight="1" x14ac:dyDescent="0.25">
      <c r="A305" s="36" t="s">
        <v>1089</v>
      </c>
      <c r="B305" s="550" t="s">
        <v>3345</v>
      </c>
    </row>
    <row r="306" spans="1:2" ht="90" customHeight="1" x14ac:dyDescent="0.25">
      <c r="A306" s="36" t="s">
        <v>1491</v>
      </c>
      <c r="B306" s="550" t="s">
        <v>3519</v>
      </c>
    </row>
    <row r="307" spans="1:2" ht="90" customHeight="1" x14ac:dyDescent="0.25">
      <c r="A307" s="36" t="s">
        <v>1513</v>
      </c>
      <c r="B307" s="550" t="s">
        <v>3310</v>
      </c>
    </row>
    <row r="308" spans="1:2" ht="90" customHeight="1" x14ac:dyDescent="0.25">
      <c r="A308" s="36" t="s">
        <v>1362</v>
      </c>
      <c r="B308" s="550" t="s">
        <v>3220</v>
      </c>
    </row>
    <row r="309" spans="1:2" ht="90" customHeight="1" x14ac:dyDescent="0.25">
      <c r="A309" s="36" t="s">
        <v>1395</v>
      </c>
      <c r="B309" s="550" t="s">
        <v>3557</v>
      </c>
    </row>
    <row r="310" spans="1:2" ht="90" customHeight="1" x14ac:dyDescent="0.25">
      <c r="A310" s="36" t="s">
        <v>1083</v>
      </c>
      <c r="B310" s="550" t="s">
        <v>3369</v>
      </c>
    </row>
    <row r="311" spans="1:2" ht="90" customHeight="1" x14ac:dyDescent="0.25">
      <c r="A311" s="36" t="s">
        <v>1132</v>
      </c>
      <c r="B311" s="550" t="s">
        <v>3305</v>
      </c>
    </row>
    <row r="312" spans="1:2" ht="90" customHeight="1" x14ac:dyDescent="0.25">
      <c r="A312" s="36" t="s">
        <v>1414</v>
      </c>
      <c r="B312" s="550" t="s">
        <v>3314</v>
      </c>
    </row>
    <row r="313" spans="1:2" ht="90" customHeight="1" x14ac:dyDescent="0.25">
      <c r="A313" s="36" t="s">
        <v>1359</v>
      </c>
      <c r="B313" s="550" t="s">
        <v>3222</v>
      </c>
    </row>
    <row r="314" spans="1:2" ht="90" customHeight="1" x14ac:dyDescent="0.25">
      <c r="A314" s="36" t="s">
        <v>1196</v>
      </c>
      <c r="B314" s="550" t="s">
        <v>3425</v>
      </c>
    </row>
    <row r="315" spans="1:2" ht="90" customHeight="1" x14ac:dyDescent="0.25">
      <c r="A315" s="36" t="s">
        <v>1481</v>
      </c>
      <c r="B315" s="550" t="s">
        <v>3544</v>
      </c>
    </row>
    <row r="316" spans="1:2" ht="90" customHeight="1" x14ac:dyDescent="0.25">
      <c r="A316" s="36" t="s">
        <v>1111</v>
      </c>
      <c r="B316" s="550" t="s">
        <v>3393</v>
      </c>
    </row>
    <row r="317" spans="1:2" ht="90" customHeight="1" x14ac:dyDescent="0.25">
      <c r="A317" s="36" t="s">
        <v>1490</v>
      </c>
      <c r="B317" s="550" t="s">
        <v>3518</v>
      </c>
    </row>
    <row r="318" spans="1:2" ht="90" customHeight="1" x14ac:dyDescent="0.25">
      <c r="A318" s="36" t="s">
        <v>1080</v>
      </c>
      <c r="B318" s="550" t="s">
        <v>3041</v>
      </c>
    </row>
    <row r="319" spans="1:2" ht="90" customHeight="1" x14ac:dyDescent="0.25">
      <c r="A319" s="36" t="s">
        <v>1482</v>
      </c>
      <c r="B319" s="550" t="s">
        <v>3545</v>
      </c>
    </row>
    <row r="320" spans="1:2" ht="90" customHeight="1" x14ac:dyDescent="0.25">
      <c r="A320" s="36" t="s">
        <v>1291</v>
      </c>
      <c r="B320" s="550" t="s">
        <v>3503</v>
      </c>
    </row>
    <row r="321" spans="1:2" ht="90" customHeight="1" x14ac:dyDescent="0.25">
      <c r="A321" s="36" t="s">
        <v>1192</v>
      </c>
      <c r="B321" s="550" t="s">
        <v>3421</v>
      </c>
    </row>
    <row r="322" spans="1:2" ht="90" customHeight="1" x14ac:dyDescent="0.25">
      <c r="A322" s="36" t="s">
        <v>1288</v>
      </c>
      <c r="B322" s="550" t="s">
        <v>3501</v>
      </c>
    </row>
    <row r="323" spans="1:2" ht="90" customHeight="1" x14ac:dyDescent="0.25">
      <c r="A323" s="36" t="s">
        <v>1202</v>
      </c>
      <c r="B323" s="550" t="s">
        <v>3429</v>
      </c>
    </row>
    <row r="324" spans="1:2" ht="90" customHeight="1" x14ac:dyDescent="0.25">
      <c r="A324" s="36" t="s">
        <v>1122</v>
      </c>
      <c r="B324" s="550" t="s">
        <v>3256</v>
      </c>
    </row>
    <row r="325" spans="1:2" ht="90" customHeight="1" x14ac:dyDescent="0.25">
      <c r="A325" s="36" t="s">
        <v>1187</v>
      </c>
      <c r="B325" s="550" t="s">
        <v>3598</v>
      </c>
    </row>
    <row r="326" spans="1:2" ht="90" customHeight="1" x14ac:dyDescent="0.25">
      <c r="A326" s="36" t="s">
        <v>1172</v>
      </c>
      <c r="B326" s="550" t="s">
        <v>3408</v>
      </c>
    </row>
    <row r="327" spans="1:2" ht="90" customHeight="1" x14ac:dyDescent="0.25">
      <c r="A327" s="36" t="s">
        <v>1316</v>
      </c>
      <c r="B327" s="550" t="s">
        <v>3263</v>
      </c>
    </row>
    <row r="328" spans="1:2" ht="90" customHeight="1" x14ac:dyDescent="0.25">
      <c r="A328" s="36" t="s">
        <v>1174</v>
      </c>
      <c r="B328" s="550" t="s">
        <v>3299</v>
      </c>
    </row>
    <row r="329" spans="1:2" ht="90" customHeight="1" x14ac:dyDescent="0.25">
      <c r="A329" s="36" t="s">
        <v>1173</v>
      </c>
      <c r="B329" s="550" t="s">
        <v>3298</v>
      </c>
    </row>
    <row r="330" spans="1:2" ht="90" customHeight="1" x14ac:dyDescent="0.25">
      <c r="A330" s="36" t="s">
        <v>1372</v>
      </c>
      <c r="B330" s="550" t="s">
        <v>3275</v>
      </c>
    </row>
    <row r="331" spans="1:2" ht="90" customHeight="1" x14ac:dyDescent="0.25">
      <c r="A331" s="36" t="s">
        <v>1176</v>
      </c>
      <c r="B331" s="550" t="s">
        <v>3350</v>
      </c>
    </row>
    <row r="332" spans="1:2" ht="90" customHeight="1" x14ac:dyDescent="0.25">
      <c r="A332" s="36" t="s">
        <v>1267</v>
      </c>
      <c r="B332" s="550" t="s">
        <v>3485</v>
      </c>
    </row>
    <row r="333" spans="1:2" ht="90" customHeight="1" x14ac:dyDescent="0.25">
      <c r="A333" s="36" t="s">
        <v>1175</v>
      </c>
      <c r="B333" s="550" t="s">
        <v>3348</v>
      </c>
    </row>
    <row r="334" spans="1:2" ht="90" customHeight="1" x14ac:dyDescent="0.25">
      <c r="A334" s="36" t="s">
        <v>1149</v>
      </c>
      <c r="B334" s="550" t="s">
        <v>3340</v>
      </c>
    </row>
    <row r="335" spans="1:2" ht="90" customHeight="1" x14ac:dyDescent="0.25">
      <c r="A335" s="36" t="s">
        <v>1290</v>
      </c>
      <c r="B335" s="550" t="s">
        <v>3502</v>
      </c>
    </row>
    <row r="336" spans="1:2" ht="90" customHeight="1" x14ac:dyDescent="0.25">
      <c r="A336" s="36" t="s">
        <v>1146</v>
      </c>
      <c r="B336" s="550" t="s">
        <v>3287</v>
      </c>
    </row>
    <row r="337" spans="1:2" ht="90" customHeight="1" x14ac:dyDescent="0.25">
      <c r="A337" s="36" t="s">
        <v>1203</v>
      </c>
      <c r="B337" s="550" t="s">
        <v>3430</v>
      </c>
    </row>
    <row r="338" spans="1:2" ht="90" customHeight="1" x14ac:dyDescent="0.25">
      <c r="A338" s="36" t="s">
        <v>1386</v>
      </c>
      <c r="B338" s="550" t="s">
        <v>3457</v>
      </c>
    </row>
    <row r="339" spans="1:2" ht="90" customHeight="1" x14ac:dyDescent="0.25">
      <c r="A339" s="36" t="s">
        <v>1073</v>
      </c>
      <c r="B339" s="550" t="s">
        <v>3024</v>
      </c>
    </row>
    <row r="340" spans="1:2" ht="90" customHeight="1" x14ac:dyDescent="0.25">
      <c r="A340" s="36" t="s">
        <v>1377</v>
      </c>
      <c r="B340" s="550" t="s">
        <v>3283</v>
      </c>
    </row>
    <row r="341" spans="1:2" ht="90" customHeight="1" x14ac:dyDescent="0.25">
      <c r="A341" s="36" t="s">
        <v>1385</v>
      </c>
      <c r="B341" s="550" t="s">
        <v>3025</v>
      </c>
    </row>
    <row r="342" spans="1:2" ht="90" customHeight="1" x14ac:dyDescent="0.25">
      <c r="A342" s="36" t="s">
        <v>1136</v>
      </c>
      <c r="B342" s="550" t="s">
        <v>3311</v>
      </c>
    </row>
    <row r="343" spans="1:2" ht="90" customHeight="1" x14ac:dyDescent="0.25">
      <c r="A343" s="36" t="s">
        <v>2917</v>
      </c>
      <c r="B343" s="550" t="s">
        <v>3072</v>
      </c>
    </row>
    <row r="344" spans="1:2" ht="90" customHeight="1" x14ac:dyDescent="0.25">
      <c r="A344" s="36" t="s">
        <v>1135</v>
      </c>
      <c r="B344" s="550" t="s">
        <v>3312</v>
      </c>
    </row>
    <row r="345" spans="1:2" ht="90" customHeight="1" x14ac:dyDescent="0.25">
      <c r="A345" s="36" t="s">
        <v>1170</v>
      </c>
      <c r="B345" s="550" t="s">
        <v>3406</v>
      </c>
    </row>
    <row r="346" spans="1:2" ht="90" customHeight="1" x14ac:dyDescent="0.25">
      <c r="A346" s="36" t="s">
        <v>1318</v>
      </c>
      <c r="B346" s="550" t="s">
        <v>3269</v>
      </c>
    </row>
    <row r="347" spans="1:2" ht="90" customHeight="1" x14ac:dyDescent="0.25">
      <c r="A347" s="36" t="s">
        <v>1452</v>
      </c>
      <c r="B347" s="550" t="s">
        <v>3224</v>
      </c>
    </row>
    <row r="348" spans="1:2" ht="90" customHeight="1" x14ac:dyDescent="0.25">
      <c r="A348" s="36" t="s">
        <v>1226</v>
      </c>
      <c r="B348" s="550" t="s">
        <v>3268</v>
      </c>
    </row>
    <row r="349" spans="1:2" ht="90" customHeight="1" x14ac:dyDescent="0.25">
      <c r="A349" s="36" t="s">
        <v>1281</v>
      </c>
      <c r="B349" s="550" t="s">
        <v>3496</v>
      </c>
    </row>
    <row r="350" spans="1:2" ht="90" customHeight="1" x14ac:dyDescent="0.25">
      <c r="A350" s="36" t="s">
        <v>1104</v>
      </c>
      <c r="B350" s="550" t="s">
        <v>3388</v>
      </c>
    </row>
    <row r="351" spans="1:2" ht="90" customHeight="1" x14ac:dyDescent="0.25">
      <c r="A351" s="36" t="s">
        <v>1272</v>
      </c>
      <c r="B351" s="550" t="s">
        <v>3489</v>
      </c>
    </row>
    <row r="352" spans="1:2" ht="90" customHeight="1" x14ac:dyDescent="0.25">
      <c r="A352" s="36" t="s">
        <v>1404</v>
      </c>
      <c r="B352" s="550" t="s">
        <v>3445</v>
      </c>
    </row>
    <row r="353" spans="1:2" ht="90" customHeight="1" x14ac:dyDescent="0.25">
      <c r="A353" s="36" t="s">
        <v>1326</v>
      </c>
      <c r="B353" s="550" t="s">
        <v>3328</v>
      </c>
    </row>
    <row r="354" spans="1:2" ht="90" customHeight="1" x14ac:dyDescent="0.25">
      <c r="A354" s="36" t="s">
        <v>1428</v>
      </c>
      <c r="B354" s="550" t="s">
        <v>3467</v>
      </c>
    </row>
    <row r="355" spans="1:2" ht="90" customHeight="1" x14ac:dyDescent="0.25">
      <c r="A355" s="36" t="s">
        <v>1179</v>
      </c>
      <c r="B355" s="550" t="s">
        <v>3409</v>
      </c>
    </row>
    <row r="356" spans="1:2" ht="90" customHeight="1" x14ac:dyDescent="0.25">
      <c r="A356" s="36" t="s">
        <v>1502</v>
      </c>
      <c r="B356" s="550" t="s">
        <v>3527</v>
      </c>
    </row>
    <row r="357" spans="1:2" ht="90" customHeight="1" x14ac:dyDescent="0.25">
      <c r="A357" s="36" t="s">
        <v>1506</v>
      </c>
      <c r="B357" s="550" t="s">
        <v>3531</v>
      </c>
    </row>
    <row r="358" spans="1:2" ht="90" customHeight="1" x14ac:dyDescent="0.25">
      <c r="A358" s="36" t="s">
        <v>1410</v>
      </c>
      <c r="B358" s="550" t="s">
        <v>3441</v>
      </c>
    </row>
    <row r="359" spans="1:2" ht="90" customHeight="1" x14ac:dyDescent="0.25">
      <c r="A359" s="36" t="s">
        <v>1159</v>
      </c>
      <c r="B359" s="550" t="s">
        <v>3035</v>
      </c>
    </row>
    <row r="360" spans="1:2" ht="90" customHeight="1" x14ac:dyDescent="0.25">
      <c r="A360" s="36" t="s">
        <v>1161</v>
      </c>
      <c r="B360" s="550" t="s">
        <v>3037</v>
      </c>
    </row>
    <row r="361" spans="1:2" ht="90" customHeight="1" x14ac:dyDescent="0.25">
      <c r="A361" s="36" t="s">
        <v>1259</v>
      </c>
      <c r="B361" s="550" t="s">
        <v>3481</v>
      </c>
    </row>
    <row r="362" spans="1:2" ht="90" customHeight="1" x14ac:dyDescent="0.25">
      <c r="A362" s="36" t="s">
        <v>1160</v>
      </c>
      <c r="B362" s="550" t="s">
        <v>3039</v>
      </c>
    </row>
    <row r="363" spans="1:2" ht="90" customHeight="1" x14ac:dyDescent="0.25">
      <c r="A363" s="36" t="s">
        <v>1077</v>
      </c>
      <c r="B363" s="550" t="s">
        <v>3344</v>
      </c>
    </row>
    <row r="364" spans="1:2" ht="90" customHeight="1" x14ac:dyDescent="0.25">
      <c r="A364" s="36" t="s">
        <v>1253</v>
      </c>
      <c r="B364" s="550" t="s">
        <v>3477</v>
      </c>
    </row>
    <row r="365" spans="1:2" ht="90" customHeight="1" x14ac:dyDescent="0.25">
      <c r="A365" s="36" t="s">
        <v>1184</v>
      </c>
      <c r="B365" s="550" t="s">
        <v>3476</v>
      </c>
    </row>
    <row r="366" spans="1:2" ht="90" customHeight="1" x14ac:dyDescent="0.25">
      <c r="A366" s="36" t="s">
        <v>1424</v>
      </c>
      <c r="B366" s="550" t="s">
        <v>3464</v>
      </c>
    </row>
    <row r="367" spans="1:2" ht="90" customHeight="1" x14ac:dyDescent="0.25">
      <c r="A367" s="36" t="s">
        <v>1320</v>
      </c>
      <c r="B367" s="550" t="s">
        <v>3271</v>
      </c>
    </row>
    <row r="368" spans="1:2" ht="90" customHeight="1" x14ac:dyDescent="0.25">
      <c r="A368" s="36" t="s">
        <v>1265</v>
      </c>
      <c r="B368" s="550" t="s">
        <v>3484</v>
      </c>
    </row>
    <row r="369" spans="1:2" ht="90" customHeight="1" x14ac:dyDescent="0.25">
      <c r="A369" s="36" t="s">
        <v>1225</v>
      </c>
      <c r="B369" s="550" t="s">
        <v>3267</v>
      </c>
    </row>
    <row r="370" spans="1:2" ht="90" customHeight="1" x14ac:dyDescent="0.25">
      <c r="A370" s="36" t="s">
        <v>1243</v>
      </c>
      <c r="B370" s="550" t="s">
        <v>3289</v>
      </c>
    </row>
    <row r="371" spans="1:2" ht="90" customHeight="1" x14ac:dyDescent="0.25">
      <c r="A371" s="36" t="s">
        <v>1263</v>
      </c>
      <c r="B371" s="550" t="s">
        <v>3047</v>
      </c>
    </row>
    <row r="372" spans="1:2" ht="90" customHeight="1" x14ac:dyDescent="0.25">
      <c r="A372" s="36" t="s">
        <v>1074</v>
      </c>
      <c r="B372" s="550" t="s">
        <v>3295</v>
      </c>
    </row>
    <row r="373" spans="1:2" ht="90" customHeight="1" x14ac:dyDescent="0.25">
      <c r="A373" s="36" t="s">
        <v>1133</v>
      </c>
      <c r="B373" s="550" t="s">
        <v>3306</v>
      </c>
    </row>
    <row r="374" spans="1:2" ht="90" customHeight="1" x14ac:dyDescent="0.25">
      <c r="A374" s="36" t="s">
        <v>1157</v>
      </c>
      <c r="B374" s="550" t="s">
        <v>3402</v>
      </c>
    </row>
    <row r="375" spans="1:2" ht="90" customHeight="1" x14ac:dyDescent="0.25">
      <c r="A375" s="36" t="s">
        <v>1067</v>
      </c>
      <c r="B375" s="550" t="s">
        <v>2982</v>
      </c>
    </row>
    <row r="376" spans="1:2" ht="90" customHeight="1" x14ac:dyDescent="0.25">
      <c r="A376" s="36" t="s">
        <v>2628</v>
      </c>
      <c r="B376" s="550" t="s">
        <v>2962</v>
      </c>
    </row>
    <row r="377" spans="1:2" ht="90" customHeight="1" x14ac:dyDescent="0.25">
      <c r="A377" s="36" t="s">
        <v>2629</v>
      </c>
      <c r="B377" s="550" t="s">
        <v>2963</v>
      </c>
    </row>
    <row r="378" spans="1:2" ht="90" customHeight="1" x14ac:dyDescent="0.25">
      <c r="A378" s="36" t="s">
        <v>2630</v>
      </c>
      <c r="B378" s="550" t="s">
        <v>2964</v>
      </c>
    </row>
    <row r="379" spans="1:2" ht="90" customHeight="1" x14ac:dyDescent="0.25">
      <c r="A379" s="36" t="s">
        <v>2631</v>
      </c>
      <c r="B379" s="550" t="s">
        <v>2965</v>
      </c>
    </row>
    <row r="380" spans="1:2" ht="90" customHeight="1" x14ac:dyDescent="0.25">
      <c r="A380" s="36" t="s">
        <v>2632</v>
      </c>
      <c r="B380" s="550" t="s">
        <v>2966</v>
      </c>
    </row>
    <row r="381" spans="1:2" ht="90" customHeight="1" x14ac:dyDescent="0.25">
      <c r="A381" s="36" t="s">
        <v>2633</v>
      </c>
      <c r="B381" s="550" t="s">
        <v>2967</v>
      </c>
    </row>
    <row r="382" spans="1:2" ht="90" customHeight="1" x14ac:dyDescent="0.25">
      <c r="A382" s="36" t="s">
        <v>2634</v>
      </c>
      <c r="B382" s="550" t="s">
        <v>2968</v>
      </c>
    </row>
    <row r="383" spans="1:2" ht="90" customHeight="1" x14ac:dyDescent="0.25">
      <c r="A383" s="36" t="s">
        <v>2635</v>
      </c>
      <c r="B383" s="550" t="s">
        <v>2969</v>
      </c>
    </row>
    <row r="384" spans="1:2" ht="90" customHeight="1" x14ac:dyDescent="0.25">
      <c r="A384" s="36" t="s">
        <v>2636</v>
      </c>
      <c r="B384" s="550" t="s">
        <v>2970</v>
      </c>
    </row>
    <row r="385" spans="1:2" ht="90" customHeight="1" x14ac:dyDescent="0.25">
      <c r="A385" s="36" t="s">
        <v>2637</v>
      </c>
      <c r="B385" s="550" t="s">
        <v>2971</v>
      </c>
    </row>
    <row r="386" spans="1:2" ht="90" customHeight="1" x14ac:dyDescent="0.25">
      <c r="A386" s="36" t="s">
        <v>2638</v>
      </c>
      <c r="B386" s="550" t="s">
        <v>2972</v>
      </c>
    </row>
    <row r="387" spans="1:2" ht="90" customHeight="1" x14ac:dyDescent="0.25">
      <c r="A387" s="36" t="s">
        <v>2639</v>
      </c>
      <c r="B387" s="550" t="s">
        <v>2973</v>
      </c>
    </row>
    <row r="388" spans="1:2" ht="90" customHeight="1" x14ac:dyDescent="0.25">
      <c r="A388" s="36" t="s">
        <v>2640</v>
      </c>
      <c r="B388" s="550" t="s">
        <v>2974</v>
      </c>
    </row>
    <row r="389" spans="1:2" ht="90" customHeight="1" x14ac:dyDescent="0.25">
      <c r="A389" s="36" t="s">
        <v>2641</v>
      </c>
      <c r="B389" s="550" t="s">
        <v>2975</v>
      </c>
    </row>
    <row r="390" spans="1:2" ht="90" customHeight="1" x14ac:dyDescent="0.25">
      <c r="A390" s="36" t="s">
        <v>2642</v>
      </c>
      <c r="B390" s="550" t="s">
        <v>2976</v>
      </c>
    </row>
    <row r="391" spans="1:2" ht="90" customHeight="1" x14ac:dyDescent="0.25">
      <c r="A391" s="36" t="s">
        <v>2643</v>
      </c>
      <c r="B391" s="550" t="s">
        <v>2977</v>
      </c>
    </row>
    <row r="392" spans="1:2" ht="90" customHeight="1" x14ac:dyDescent="0.25">
      <c r="A392" s="36" t="s">
        <v>2644</v>
      </c>
      <c r="B392" s="550" t="s">
        <v>2978</v>
      </c>
    </row>
    <row r="393" spans="1:2" ht="90" customHeight="1" x14ac:dyDescent="0.25">
      <c r="A393" s="36" t="s">
        <v>2645</v>
      </c>
      <c r="B393" s="550" t="s">
        <v>2979</v>
      </c>
    </row>
    <row r="394" spans="1:2" ht="90" customHeight="1" x14ac:dyDescent="0.25">
      <c r="A394" s="36" t="s">
        <v>1507</v>
      </c>
      <c r="B394" s="550" t="s">
        <v>3532</v>
      </c>
    </row>
    <row r="395" spans="1:2" ht="90" customHeight="1" x14ac:dyDescent="0.25">
      <c r="A395" s="36" t="s">
        <v>1317</v>
      </c>
      <c r="B395" s="550" t="s">
        <v>3264</v>
      </c>
    </row>
    <row r="396" spans="1:2" ht="90" customHeight="1" x14ac:dyDescent="0.25">
      <c r="A396" s="36" t="s">
        <v>1504</v>
      </c>
      <c r="B396" s="550" t="s">
        <v>3529</v>
      </c>
    </row>
    <row r="397" spans="1:2" ht="90" customHeight="1" x14ac:dyDescent="0.25">
      <c r="A397" s="36" t="s">
        <v>1233</v>
      </c>
      <c r="B397" s="550" t="s">
        <v>3320</v>
      </c>
    </row>
    <row r="398" spans="1:2" ht="90" customHeight="1" x14ac:dyDescent="0.25">
      <c r="A398" s="36" t="s">
        <v>1232</v>
      </c>
      <c r="B398" s="550" t="s">
        <v>3316</v>
      </c>
    </row>
    <row r="399" spans="1:2" ht="90" customHeight="1" x14ac:dyDescent="0.25">
      <c r="A399" s="36" t="s">
        <v>1231</v>
      </c>
      <c r="B399" s="550" t="s">
        <v>3315</v>
      </c>
    </row>
    <row r="400" spans="1:2" ht="90" customHeight="1" x14ac:dyDescent="0.25">
      <c r="A400" s="36" t="s">
        <v>1379</v>
      </c>
      <c r="B400" s="550" t="s">
        <v>3278</v>
      </c>
    </row>
    <row r="401" spans="1:2" ht="90" customHeight="1" x14ac:dyDescent="0.25">
      <c r="A401" s="36" t="s">
        <v>1284</v>
      </c>
      <c r="B401" s="550" t="s">
        <v>3499</v>
      </c>
    </row>
    <row r="402" spans="1:2" ht="90" customHeight="1" x14ac:dyDescent="0.25">
      <c r="A402" s="36" t="s">
        <v>1082</v>
      </c>
      <c r="B402" s="550" t="s">
        <v>3048</v>
      </c>
    </row>
    <row r="403" spans="1:2" ht="90" customHeight="1" x14ac:dyDescent="0.25">
      <c r="A403" s="36" t="s">
        <v>1447</v>
      </c>
      <c r="B403" s="550" t="s">
        <v>3250</v>
      </c>
    </row>
    <row r="404" spans="1:2" ht="90" customHeight="1" x14ac:dyDescent="0.25">
      <c r="A404" s="36" t="s">
        <v>1084</v>
      </c>
      <c r="B404" s="550" t="s">
        <v>3370</v>
      </c>
    </row>
    <row r="405" spans="1:2" ht="90" customHeight="1" x14ac:dyDescent="0.25">
      <c r="A405" s="36" t="s">
        <v>1421</v>
      </c>
      <c r="B405" s="550" t="s">
        <v>3460</v>
      </c>
    </row>
    <row r="406" spans="1:2" ht="90" customHeight="1" x14ac:dyDescent="0.25">
      <c r="A406" s="36" t="s">
        <v>1423</v>
      </c>
      <c r="B406" s="550" t="s">
        <v>3462</v>
      </c>
    </row>
    <row r="407" spans="1:2" ht="90" customHeight="1" x14ac:dyDescent="0.25">
      <c r="A407" s="36" t="s">
        <v>1444</v>
      </c>
      <c r="B407" s="550" t="s">
        <v>3247</v>
      </c>
    </row>
    <row r="408" spans="1:2" ht="90" customHeight="1" x14ac:dyDescent="0.25">
      <c r="A408" s="36" t="s">
        <v>1168</v>
      </c>
      <c r="B408" s="550" t="s">
        <v>3371</v>
      </c>
    </row>
    <row r="409" spans="1:2" ht="90" customHeight="1" x14ac:dyDescent="0.25">
      <c r="A409" s="36" t="s">
        <v>1391</v>
      </c>
      <c r="B409" s="550" t="s">
        <v>3297</v>
      </c>
    </row>
    <row r="410" spans="1:2" ht="90" customHeight="1" x14ac:dyDescent="0.25">
      <c r="A410" s="36" t="s">
        <v>1195</v>
      </c>
      <c r="B410" s="550" t="s">
        <v>3424</v>
      </c>
    </row>
    <row r="411" spans="1:2" ht="90" customHeight="1" x14ac:dyDescent="0.25">
      <c r="A411" s="36" t="s">
        <v>1493</v>
      </c>
      <c r="B411" s="550" t="s">
        <v>3521</v>
      </c>
    </row>
    <row r="412" spans="1:2" ht="90" customHeight="1" x14ac:dyDescent="0.25">
      <c r="A412" s="36" t="s">
        <v>1299</v>
      </c>
      <c r="B412" s="550" t="s">
        <v>3508</v>
      </c>
    </row>
    <row r="413" spans="1:2" ht="90" customHeight="1" x14ac:dyDescent="0.25">
      <c r="A413" s="36" t="s">
        <v>1501</v>
      </c>
      <c r="B413" s="550" t="s">
        <v>3526</v>
      </c>
    </row>
    <row r="414" spans="1:2" ht="90" customHeight="1" x14ac:dyDescent="0.25">
      <c r="A414" s="36" t="s">
        <v>1485</v>
      </c>
      <c r="B414" s="550" t="s">
        <v>3049</v>
      </c>
    </row>
    <row r="415" spans="1:2" ht="90" customHeight="1" x14ac:dyDescent="0.25">
      <c r="A415" s="36" t="s">
        <v>1492</v>
      </c>
      <c r="B415" s="550" t="s">
        <v>3520</v>
      </c>
    </row>
    <row r="416" spans="1:2" ht="90" customHeight="1" x14ac:dyDescent="0.25">
      <c r="A416" s="36" t="s">
        <v>1480</v>
      </c>
      <c r="B416" s="550" t="s">
        <v>3543</v>
      </c>
    </row>
    <row r="417" spans="1:2" ht="90" customHeight="1" x14ac:dyDescent="0.25">
      <c r="A417" s="36" t="s">
        <v>1488</v>
      </c>
      <c r="B417" s="550" t="s">
        <v>3516</v>
      </c>
    </row>
    <row r="418" spans="1:2" ht="90" customHeight="1" x14ac:dyDescent="0.25">
      <c r="A418" s="36" t="s">
        <v>1369</v>
      </c>
      <c r="B418" s="550" t="s">
        <v>3272</v>
      </c>
    </row>
    <row r="419" spans="1:2" ht="90" customHeight="1" x14ac:dyDescent="0.25">
      <c r="A419" s="36" t="s">
        <v>1500</v>
      </c>
      <c r="B419" s="550" t="s">
        <v>3513</v>
      </c>
    </row>
    <row r="420" spans="1:2" ht="90" customHeight="1" x14ac:dyDescent="0.25">
      <c r="A420" s="36" t="s">
        <v>1406</v>
      </c>
      <c r="B420" s="550" t="s">
        <v>3443</v>
      </c>
    </row>
    <row r="421" spans="1:2" ht="90" customHeight="1" x14ac:dyDescent="0.25">
      <c r="A421" s="36" t="s">
        <v>1256</v>
      </c>
      <c r="B421" s="550" t="s">
        <v>3479</v>
      </c>
    </row>
    <row r="422" spans="1:2" ht="90" customHeight="1" x14ac:dyDescent="0.25">
      <c r="A422" s="36" t="s">
        <v>1319</v>
      </c>
      <c r="B422" s="550" t="s">
        <v>3270</v>
      </c>
    </row>
    <row r="423" spans="1:2" ht="90" customHeight="1" x14ac:dyDescent="0.25">
      <c r="A423" s="36" t="s">
        <v>1456</v>
      </c>
      <c r="B423" s="550" t="s">
        <v>3228</v>
      </c>
    </row>
    <row r="424" spans="1:2" ht="90" customHeight="1" x14ac:dyDescent="0.25">
      <c r="A424" s="36" t="s">
        <v>1457</v>
      </c>
      <c r="B424" s="550" t="s">
        <v>3229</v>
      </c>
    </row>
    <row r="425" spans="1:2" ht="90" customHeight="1" x14ac:dyDescent="0.25">
      <c r="A425" s="36" t="s">
        <v>1458</v>
      </c>
      <c r="B425" s="550" t="s">
        <v>3230</v>
      </c>
    </row>
    <row r="426" spans="1:2" ht="90" customHeight="1" x14ac:dyDescent="0.25">
      <c r="A426" s="36" t="s">
        <v>1455</v>
      </c>
      <c r="B426" s="550" t="s">
        <v>3227</v>
      </c>
    </row>
    <row r="427" spans="1:2" ht="90" customHeight="1" x14ac:dyDescent="0.25">
      <c r="A427" s="36" t="s">
        <v>1454</v>
      </c>
      <c r="B427" s="550" t="s">
        <v>3226</v>
      </c>
    </row>
    <row r="428" spans="1:2" ht="90" customHeight="1" x14ac:dyDescent="0.25">
      <c r="A428" s="36" t="s">
        <v>1429</v>
      </c>
      <c r="B428" s="550" t="s">
        <v>3468</v>
      </c>
    </row>
    <row r="429" spans="1:2" ht="90" customHeight="1" x14ac:dyDescent="0.25">
      <c r="A429" s="36" t="s">
        <v>1079</v>
      </c>
      <c r="B429" s="550" t="s">
        <v>3040</v>
      </c>
    </row>
    <row r="430" spans="1:2" ht="90" customHeight="1" x14ac:dyDescent="0.25">
      <c r="A430" s="36" t="s">
        <v>1390</v>
      </c>
      <c r="B430" s="550" t="s">
        <v>3044</v>
      </c>
    </row>
    <row r="431" spans="1:2" ht="90" customHeight="1" x14ac:dyDescent="0.25">
      <c r="A431" s="36" t="s">
        <v>1445</v>
      </c>
      <c r="B431" s="550" t="s">
        <v>3248</v>
      </c>
    </row>
    <row r="432" spans="1:2" ht="90" customHeight="1" x14ac:dyDescent="0.25">
      <c r="A432" s="36" t="s">
        <v>1092</v>
      </c>
      <c r="B432" s="550" t="s">
        <v>3381</v>
      </c>
    </row>
    <row r="433" spans="1:2" ht="90" customHeight="1" x14ac:dyDescent="0.25">
      <c r="A433" s="36" t="s">
        <v>1397</v>
      </c>
      <c r="B433" s="550" t="s">
        <v>3452</v>
      </c>
    </row>
    <row r="434" spans="1:2" ht="90" customHeight="1" x14ac:dyDescent="0.25">
      <c r="A434" s="36" t="s">
        <v>1158</v>
      </c>
      <c r="B434" s="550" t="s">
        <v>3403</v>
      </c>
    </row>
    <row r="435" spans="1:2" ht="90" customHeight="1" x14ac:dyDescent="0.25">
      <c r="A435" s="36" t="s">
        <v>1465</v>
      </c>
      <c r="B435" s="550" t="s">
        <v>2984</v>
      </c>
    </row>
    <row r="436" spans="1:2" ht="90" customHeight="1" x14ac:dyDescent="0.25">
      <c r="A436" s="36" t="s">
        <v>1090</v>
      </c>
      <c r="B436" s="550" t="s">
        <v>3346</v>
      </c>
    </row>
    <row r="437" spans="1:2" ht="90" customHeight="1" x14ac:dyDescent="0.25">
      <c r="A437" s="36" t="s">
        <v>1419</v>
      </c>
      <c r="B437" s="550" t="s">
        <v>3326</v>
      </c>
    </row>
    <row r="438" spans="1:2" ht="90" customHeight="1" x14ac:dyDescent="0.25">
      <c r="A438" s="36" t="s">
        <v>1402</v>
      </c>
      <c r="B438" s="550" t="s">
        <v>3449</v>
      </c>
    </row>
    <row r="439" spans="1:2" ht="90" customHeight="1" x14ac:dyDescent="0.25">
      <c r="A439" s="36" t="s">
        <v>1216</v>
      </c>
      <c r="B439" s="550" t="s">
        <v>3240</v>
      </c>
    </row>
    <row r="440" spans="1:2" ht="90" customHeight="1" x14ac:dyDescent="0.25">
      <c r="A440" s="36" t="s">
        <v>1105</v>
      </c>
      <c r="B440" s="550" t="s">
        <v>3389</v>
      </c>
    </row>
    <row r="441" spans="1:2" ht="90" customHeight="1" x14ac:dyDescent="0.25">
      <c r="A441" s="36" t="s">
        <v>1126</v>
      </c>
      <c r="B441" s="550" t="s">
        <v>3265</v>
      </c>
    </row>
    <row r="442" spans="1:2" ht="90" customHeight="1" x14ac:dyDescent="0.25">
      <c r="A442" s="36" t="s">
        <v>1360</v>
      </c>
      <c r="B442" s="550" t="s">
        <v>3218</v>
      </c>
    </row>
    <row r="443" spans="1:2" ht="90" customHeight="1" x14ac:dyDescent="0.25">
      <c r="A443" s="36" t="s">
        <v>1505</v>
      </c>
      <c r="B443" s="550" t="s">
        <v>3530</v>
      </c>
    </row>
    <row r="444" spans="1:2" ht="90" customHeight="1" x14ac:dyDescent="0.25">
      <c r="A444" s="36" t="s">
        <v>1178</v>
      </c>
      <c r="B444" s="550" t="s">
        <v>3352</v>
      </c>
    </row>
    <row r="445" spans="1:2" ht="90" customHeight="1" x14ac:dyDescent="0.25">
      <c r="A445" s="36" t="s">
        <v>1068</v>
      </c>
      <c r="B445" s="550" t="s">
        <v>3022</v>
      </c>
    </row>
    <row r="446" spans="1:2" ht="90" customHeight="1" x14ac:dyDescent="0.25">
      <c r="A446" s="36" t="s">
        <v>1117</v>
      </c>
      <c r="B446" s="550" t="s">
        <v>3376</v>
      </c>
    </row>
    <row r="447" spans="1:2" ht="90" customHeight="1" x14ac:dyDescent="0.25">
      <c r="A447" s="36" t="s">
        <v>1392</v>
      </c>
      <c r="B447" s="550" t="s">
        <v>3455</v>
      </c>
    </row>
    <row r="448" spans="1:2" ht="90" customHeight="1" x14ac:dyDescent="0.25">
      <c r="A448" s="36" t="s">
        <v>1487</v>
      </c>
      <c r="B448" s="550" t="s">
        <v>3515</v>
      </c>
    </row>
    <row r="449" spans="1:2" ht="90" customHeight="1" x14ac:dyDescent="0.25">
      <c r="A449" s="36" t="s">
        <v>1464</v>
      </c>
      <c r="B449" s="550" t="s">
        <v>3000</v>
      </c>
    </row>
    <row r="450" spans="1:2" ht="90" customHeight="1" x14ac:dyDescent="0.25">
      <c r="A450" s="36" t="s">
        <v>1275</v>
      </c>
      <c r="B450" s="550" t="s">
        <v>3491</v>
      </c>
    </row>
    <row r="451" spans="1:2" ht="90" customHeight="1" x14ac:dyDescent="0.25">
      <c r="A451" s="36" t="s">
        <v>1125</v>
      </c>
      <c r="B451" s="550" t="s">
        <v>3007</v>
      </c>
    </row>
    <row r="452" spans="1:2" ht="90" customHeight="1" x14ac:dyDescent="0.25">
      <c r="A452" s="36" t="s">
        <v>1276</v>
      </c>
      <c r="B452" s="550" t="s">
        <v>3492</v>
      </c>
    </row>
    <row r="453" spans="1:2" ht="90" customHeight="1" x14ac:dyDescent="0.25">
      <c r="A453" s="36" t="s">
        <v>1463</v>
      </c>
      <c r="B453" s="550" t="s">
        <v>2999</v>
      </c>
    </row>
    <row r="454" spans="1:2" ht="90" customHeight="1" x14ac:dyDescent="0.25">
      <c r="A454" s="36" t="s">
        <v>1244</v>
      </c>
      <c r="B454" s="550" t="s">
        <v>3291</v>
      </c>
    </row>
    <row r="455" spans="1:2" ht="90" customHeight="1" x14ac:dyDescent="0.25">
      <c r="A455" s="36" t="s">
        <v>1498</v>
      </c>
      <c r="B455" s="550" t="s">
        <v>3523</v>
      </c>
    </row>
    <row r="456" spans="1:2" ht="90" customHeight="1" x14ac:dyDescent="0.25">
      <c r="A456" s="36" t="s">
        <v>1268</v>
      </c>
      <c r="B456" s="550" t="s">
        <v>3486</v>
      </c>
    </row>
    <row r="457" spans="1:2" ht="90" customHeight="1" x14ac:dyDescent="0.25">
      <c r="A457" s="36" t="s">
        <v>2340</v>
      </c>
      <c r="B457" s="550" t="s">
        <v>3137</v>
      </c>
    </row>
    <row r="458" spans="1:2" ht="90" customHeight="1" x14ac:dyDescent="0.25">
      <c r="A458" s="36" t="s">
        <v>2349</v>
      </c>
      <c r="B458" s="550" t="s">
        <v>3146</v>
      </c>
    </row>
    <row r="459" spans="1:2" ht="90" customHeight="1" x14ac:dyDescent="0.25">
      <c r="A459" s="36" t="s">
        <v>2341</v>
      </c>
      <c r="B459" s="550" t="s">
        <v>3138</v>
      </c>
    </row>
    <row r="460" spans="1:2" ht="90" customHeight="1" x14ac:dyDescent="0.25">
      <c r="A460" s="36" t="s">
        <v>2342</v>
      </c>
      <c r="B460" s="550" t="s">
        <v>3139</v>
      </c>
    </row>
    <row r="461" spans="1:2" ht="90" customHeight="1" x14ac:dyDescent="0.25">
      <c r="A461" s="36" t="s">
        <v>2343</v>
      </c>
      <c r="B461" s="550" t="s">
        <v>3140</v>
      </c>
    </row>
    <row r="462" spans="1:2" ht="90" customHeight="1" x14ac:dyDescent="0.25">
      <c r="A462" s="36" t="s">
        <v>2344</v>
      </c>
      <c r="B462" s="550" t="s">
        <v>3141</v>
      </c>
    </row>
    <row r="463" spans="1:2" ht="90" customHeight="1" x14ac:dyDescent="0.25">
      <c r="A463" s="36" t="s">
        <v>2345</v>
      </c>
      <c r="B463" s="550" t="s">
        <v>3142</v>
      </c>
    </row>
    <row r="464" spans="1:2" ht="90" customHeight="1" x14ac:dyDescent="0.25">
      <c r="A464" s="36" t="s">
        <v>2346</v>
      </c>
      <c r="B464" s="550" t="s">
        <v>3143</v>
      </c>
    </row>
    <row r="465" spans="1:2" ht="90" customHeight="1" x14ac:dyDescent="0.25">
      <c r="A465" s="36" t="s">
        <v>2347</v>
      </c>
      <c r="B465" s="550" t="s">
        <v>3144</v>
      </c>
    </row>
    <row r="466" spans="1:2" ht="90" customHeight="1" x14ac:dyDescent="0.25">
      <c r="A466" s="36" t="s">
        <v>2348</v>
      </c>
      <c r="B466" s="550" t="s">
        <v>3145</v>
      </c>
    </row>
    <row r="467" spans="1:2" ht="90" customHeight="1" x14ac:dyDescent="0.25">
      <c r="A467" s="36" t="s">
        <v>1512</v>
      </c>
      <c r="B467" s="550" t="s">
        <v>3307</v>
      </c>
    </row>
    <row r="468" spans="1:2" ht="90" customHeight="1" x14ac:dyDescent="0.25">
      <c r="A468" s="36" t="s">
        <v>1264</v>
      </c>
      <c r="B468" s="550" t="s">
        <v>3483</v>
      </c>
    </row>
    <row r="469" spans="1:2" ht="90" customHeight="1" x14ac:dyDescent="0.25">
      <c r="A469" s="36" t="s">
        <v>1388</v>
      </c>
      <c r="B469" s="550" t="s">
        <v>3456</v>
      </c>
    </row>
    <row r="470" spans="1:2" ht="90" customHeight="1" x14ac:dyDescent="0.25">
      <c r="A470" s="36" t="s">
        <v>1294</v>
      </c>
      <c r="B470" s="550" t="s">
        <v>3504</v>
      </c>
    </row>
    <row r="471" spans="1:2" ht="90" customHeight="1" x14ac:dyDescent="0.25">
      <c r="A471" s="36" t="s">
        <v>1169</v>
      </c>
      <c r="B471" s="550" t="s">
        <v>3405</v>
      </c>
    </row>
    <row r="472" spans="1:2" ht="90" customHeight="1" x14ac:dyDescent="0.25">
      <c r="A472" s="36" t="s">
        <v>1215</v>
      </c>
      <c r="B472" s="550" t="s">
        <v>3239</v>
      </c>
    </row>
    <row r="473" spans="1:2" ht="90" customHeight="1" x14ac:dyDescent="0.25">
      <c r="A473" s="36" t="s">
        <v>1450</v>
      </c>
      <c r="B473" s="550" t="s">
        <v>3253</v>
      </c>
    </row>
    <row r="474" spans="1:2" ht="90" customHeight="1" x14ac:dyDescent="0.25">
      <c r="A474" s="36" t="s">
        <v>1247</v>
      </c>
      <c r="B474" s="550" t="s">
        <v>3341</v>
      </c>
    </row>
    <row r="475" spans="1:2" ht="90" customHeight="1" x14ac:dyDescent="0.25">
      <c r="A475" s="36" t="s">
        <v>1150</v>
      </c>
      <c r="B475" s="550" t="s">
        <v>3339</v>
      </c>
    </row>
    <row r="476" spans="1:2" ht="90" customHeight="1" x14ac:dyDescent="0.25">
      <c r="A476" s="36" t="s">
        <v>1371</v>
      </c>
      <c r="B476" s="550" t="s">
        <v>3274</v>
      </c>
    </row>
    <row r="477" spans="1:2" ht="90" customHeight="1" x14ac:dyDescent="0.25">
      <c r="A477" s="36" t="s">
        <v>1091</v>
      </c>
      <c r="B477" s="550" t="s">
        <v>3380</v>
      </c>
    </row>
    <row r="478" spans="1:2" ht="90" customHeight="1" x14ac:dyDescent="0.25">
      <c r="A478" s="36" t="s">
        <v>1448</v>
      </c>
      <c r="B478" s="550" t="s">
        <v>3251</v>
      </c>
    </row>
    <row r="479" spans="1:2" ht="90" customHeight="1" x14ac:dyDescent="0.25">
      <c r="A479" s="36" t="s">
        <v>1312</v>
      </c>
      <c r="B479" s="550" t="s">
        <v>3242</v>
      </c>
    </row>
    <row r="480" spans="1:2" ht="90" customHeight="1" x14ac:dyDescent="0.25">
      <c r="A480" s="36" t="s">
        <v>1432</v>
      </c>
      <c r="B480" s="550" t="s">
        <v>3434</v>
      </c>
    </row>
    <row r="481" spans="1:2" ht="90" customHeight="1" x14ac:dyDescent="0.25">
      <c r="A481" s="36" t="s">
        <v>1313</v>
      </c>
      <c r="B481" s="550" t="s">
        <v>3243</v>
      </c>
    </row>
    <row r="482" spans="1:2" ht="90" customHeight="1" x14ac:dyDescent="0.25">
      <c r="A482" s="36" t="s">
        <v>1217</v>
      </c>
      <c r="B482" s="550" t="s">
        <v>3241</v>
      </c>
    </row>
    <row r="483" spans="1:2" ht="90" customHeight="1" x14ac:dyDescent="0.25">
      <c r="A483" s="36" t="s">
        <v>1431</v>
      </c>
      <c r="B483" s="550" t="s">
        <v>3433</v>
      </c>
    </row>
    <row r="484" spans="1:2" ht="90" customHeight="1" x14ac:dyDescent="0.25">
      <c r="A484" s="36" t="s">
        <v>1381</v>
      </c>
      <c r="B484" s="550" t="s">
        <v>3337</v>
      </c>
    </row>
    <row r="485" spans="1:2" ht="90" customHeight="1" x14ac:dyDescent="0.25">
      <c r="A485" s="36" t="s">
        <v>1162</v>
      </c>
      <c r="B485" s="550" t="s">
        <v>3404</v>
      </c>
    </row>
    <row r="486" spans="1:2" ht="90" customHeight="1" x14ac:dyDescent="0.25">
      <c r="A486" s="36" t="s">
        <v>1366</v>
      </c>
      <c r="B486" s="550" t="s">
        <v>3005</v>
      </c>
    </row>
    <row r="487" spans="1:2" ht="90" customHeight="1" x14ac:dyDescent="0.25">
      <c r="A487" s="36" t="s">
        <v>1364</v>
      </c>
      <c r="B487" s="550" t="s">
        <v>3004</v>
      </c>
    </row>
    <row r="488" spans="1:2" ht="90" customHeight="1" x14ac:dyDescent="0.25">
      <c r="A488" s="36" t="s">
        <v>1361</v>
      </c>
      <c r="B488" s="550" t="s">
        <v>3219</v>
      </c>
    </row>
    <row r="489" spans="1:2" ht="90" customHeight="1" x14ac:dyDescent="0.25">
      <c r="A489" s="36" t="s">
        <v>1412</v>
      </c>
      <c r="B489" s="550" t="s">
        <v>3308</v>
      </c>
    </row>
    <row r="490" spans="1:2" ht="90" customHeight="1" x14ac:dyDescent="0.25">
      <c r="A490" s="36" t="s">
        <v>1193</v>
      </c>
      <c r="B490" s="550" t="s">
        <v>3422</v>
      </c>
    </row>
    <row r="491" spans="1:2" ht="90" customHeight="1" x14ac:dyDescent="0.25">
      <c r="A491" s="36" t="s">
        <v>1405</v>
      </c>
      <c r="B491" s="550" t="s">
        <v>3444</v>
      </c>
    </row>
    <row r="492" spans="1:2" ht="90" customHeight="1" x14ac:dyDescent="0.25">
      <c r="A492" s="36" t="s">
        <v>1303</v>
      </c>
      <c r="B492" s="550" t="s">
        <v>3511</v>
      </c>
    </row>
    <row r="493" spans="1:2" ht="90" customHeight="1" x14ac:dyDescent="0.25">
      <c r="A493" s="36" t="s">
        <v>1370</v>
      </c>
      <c r="B493" s="550" t="s">
        <v>3273</v>
      </c>
    </row>
    <row r="494" spans="1:2" ht="90" customHeight="1" x14ac:dyDescent="0.25">
      <c r="A494" s="36" t="s">
        <v>1426</v>
      </c>
      <c r="B494" s="550" t="s">
        <v>3466</v>
      </c>
    </row>
    <row r="495" spans="1:2" ht="90" customHeight="1" x14ac:dyDescent="0.25">
      <c r="A495" s="36" t="s">
        <v>1503</v>
      </c>
      <c r="B495" s="550" t="s">
        <v>3528</v>
      </c>
    </row>
    <row r="496" spans="1:2" ht="90" customHeight="1" x14ac:dyDescent="0.25">
      <c r="A496" s="36" t="s">
        <v>1478</v>
      </c>
      <c r="B496" s="550" t="s">
        <v>3541</v>
      </c>
    </row>
    <row r="497" spans="1:2" ht="90" customHeight="1" x14ac:dyDescent="0.25">
      <c r="A497" s="36" t="s">
        <v>1183</v>
      </c>
      <c r="B497" s="550" t="s">
        <v>3413</v>
      </c>
    </row>
    <row r="498" spans="1:2" ht="90" customHeight="1" x14ac:dyDescent="0.25">
      <c r="A498" s="36" t="s">
        <v>1283</v>
      </c>
      <c r="B498" s="550" t="s">
        <v>3498</v>
      </c>
    </row>
    <row r="499" spans="1:2" ht="90" customHeight="1" x14ac:dyDescent="0.25">
      <c r="A499" s="36" t="s">
        <v>1420</v>
      </c>
      <c r="B499" s="550" t="s">
        <v>3329</v>
      </c>
    </row>
    <row r="500" spans="1:2" ht="90" customHeight="1" x14ac:dyDescent="0.25">
      <c r="A500" s="36" t="s">
        <v>1261</v>
      </c>
      <c r="B500" s="550" t="s">
        <v>3482</v>
      </c>
    </row>
    <row r="501" spans="1:2" ht="90" customHeight="1" x14ac:dyDescent="0.25">
      <c r="A501" s="36" t="s">
        <v>1121</v>
      </c>
      <c r="B501" s="550" t="s">
        <v>3255</v>
      </c>
    </row>
    <row r="502" spans="1:2" ht="90" customHeight="1" x14ac:dyDescent="0.25">
      <c r="A502" s="36" t="s">
        <v>1437</v>
      </c>
      <c r="B502" s="550" t="s">
        <v>3439</v>
      </c>
    </row>
    <row r="503" spans="1:2" ht="90" customHeight="1" x14ac:dyDescent="0.25">
      <c r="A503" s="36" t="s">
        <v>1189</v>
      </c>
      <c r="B503" s="550" t="s">
        <v>3418</v>
      </c>
    </row>
    <row r="504" spans="1:2" ht="90" customHeight="1" x14ac:dyDescent="0.25">
      <c r="A504" s="36" t="s">
        <v>1375</v>
      </c>
      <c r="B504" s="550" t="s">
        <v>3281</v>
      </c>
    </row>
    <row r="505" spans="1:2" ht="90" customHeight="1" x14ac:dyDescent="0.25">
      <c r="A505" s="36" t="s">
        <v>1438</v>
      </c>
      <c r="B505" s="550" t="s">
        <v>3440</v>
      </c>
    </row>
    <row r="506" spans="1:2" ht="90" customHeight="1" x14ac:dyDescent="0.25">
      <c r="A506" s="36" t="s">
        <v>1411</v>
      </c>
      <c r="B506" s="550" t="s">
        <v>3301</v>
      </c>
    </row>
    <row r="507" spans="1:2" ht="90" customHeight="1" x14ac:dyDescent="0.25">
      <c r="A507" s="36" t="s">
        <v>1416</v>
      </c>
      <c r="B507" s="550" t="s">
        <v>3321</v>
      </c>
    </row>
    <row r="508" spans="1:2" ht="90" customHeight="1" x14ac:dyDescent="0.25">
      <c r="A508" s="36" t="s">
        <v>1213</v>
      </c>
      <c r="B508" s="550" t="s">
        <v>3396</v>
      </c>
    </row>
    <row r="509" spans="1:2" ht="90" customHeight="1" x14ac:dyDescent="0.25">
      <c r="A509" s="36" t="s">
        <v>1309</v>
      </c>
      <c r="B509" s="550" t="s">
        <v>3470</v>
      </c>
    </row>
    <row r="510" spans="1:2" ht="90" customHeight="1" x14ac:dyDescent="0.25">
      <c r="A510" s="36" t="s">
        <v>1211</v>
      </c>
      <c r="B510" s="550" t="s">
        <v>3394</v>
      </c>
    </row>
    <row r="511" spans="1:2" ht="90" customHeight="1" x14ac:dyDescent="0.25">
      <c r="A511" s="36" t="s">
        <v>1400</v>
      </c>
      <c r="B511" s="550" t="s">
        <v>3448</v>
      </c>
    </row>
    <row r="512" spans="1:2" ht="90" customHeight="1" x14ac:dyDescent="0.25">
      <c r="A512" s="36" t="s">
        <v>1440</v>
      </c>
      <c r="B512" s="550" t="s">
        <v>3459</v>
      </c>
    </row>
    <row r="513" spans="1:2" ht="90" customHeight="1" x14ac:dyDescent="0.25">
      <c r="A513" s="36" t="s">
        <v>1186</v>
      </c>
      <c r="B513" s="550" t="s">
        <v>3416</v>
      </c>
    </row>
    <row r="514" spans="1:2" ht="90" customHeight="1" x14ac:dyDescent="0.25">
      <c r="A514" s="36" t="s">
        <v>1200</v>
      </c>
      <c r="B514" s="550" t="s">
        <v>3428</v>
      </c>
    </row>
    <row r="515" spans="1:2" ht="90" customHeight="1" x14ac:dyDescent="0.25">
      <c r="A515" s="36" t="s">
        <v>1407</v>
      </c>
      <c r="B515" s="550" t="s">
        <v>3331</v>
      </c>
    </row>
    <row r="516" spans="1:2" ht="90" customHeight="1" x14ac:dyDescent="0.25">
      <c r="A516" s="36" t="s">
        <v>1156</v>
      </c>
      <c r="B516" s="550" t="s">
        <v>3033</v>
      </c>
    </row>
    <row r="517" spans="1:2" ht="90" customHeight="1" x14ac:dyDescent="0.25">
      <c r="A517" s="36" t="s">
        <v>1137</v>
      </c>
      <c r="B517" s="550" t="s">
        <v>2947</v>
      </c>
    </row>
    <row r="518" spans="1:2" ht="90" customHeight="1" x14ac:dyDescent="0.25">
      <c r="A518" s="36" t="s">
        <v>1330</v>
      </c>
      <c r="B518" s="550" t="s">
        <v>2947</v>
      </c>
    </row>
    <row r="519" spans="1:2" ht="90" customHeight="1" x14ac:dyDescent="0.25">
      <c r="A519" s="36" t="s">
        <v>1138</v>
      </c>
      <c r="B519" s="550" t="s">
        <v>2947</v>
      </c>
    </row>
    <row r="520" spans="1:2" ht="90" customHeight="1" x14ac:dyDescent="0.25">
      <c r="A520" s="36" t="s">
        <v>1139</v>
      </c>
      <c r="B520" s="550" t="s">
        <v>2947</v>
      </c>
    </row>
    <row r="521" spans="1:2" ht="90" customHeight="1" x14ac:dyDescent="0.25">
      <c r="A521" s="36" t="s">
        <v>1235</v>
      </c>
      <c r="B521" s="550" t="s">
        <v>2947</v>
      </c>
    </row>
    <row r="522" spans="1:2" ht="90" customHeight="1" x14ac:dyDescent="0.25">
      <c r="A522" s="36" t="s">
        <v>1236</v>
      </c>
      <c r="B522" s="550" t="s">
        <v>2947</v>
      </c>
    </row>
    <row r="523" spans="1:2" ht="90" customHeight="1" x14ac:dyDescent="0.25">
      <c r="A523" s="36" t="s">
        <v>1237</v>
      </c>
      <c r="B523" s="550" t="s">
        <v>2947</v>
      </c>
    </row>
    <row r="524" spans="1:2" ht="90" customHeight="1" x14ac:dyDescent="0.25">
      <c r="A524" s="36" t="s">
        <v>1238</v>
      </c>
      <c r="B524" s="550" t="s">
        <v>2947</v>
      </c>
    </row>
    <row r="525" spans="1:2" ht="90" customHeight="1" x14ac:dyDescent="0.25">
      <c r="A525" s="36" t="s">
        <v>1328</v>
      </c>
      <c r="B525" s="550" t="s">
        <v>2947</v>
      </c>
    </row>
    <row r="526" spans="1:2" ht="90" customHeight="1" x14ac:dyDescent="0.25">
      <c r="A526" s="36" t="s">
        <v>1329</v>
      </c>
      <c r="B526" s="550" t="s">
        <v>2947</v>
      </c>
    </row>
    <row r="527" spans="1:2" ht="90" customHeight="1" x14ac:dyDescent="0.25">
      <c r="A527" s="36" t="s">
        <v>1163</v>
      </c>
      <c r="B527" s="550" t="s">
        <v>3045</v>
      </c>
    </row>
    <row r="528" spans="1:2" ht="90" customHeight="1" x14ac:dyDescent="0.25">
      <c r="A528" s="36" t="s">
        <v>1070</v>
      </c>
      <c r="B528" s="550" t="s">
        <v>2983</v>
      </c>
    </row>
    <row r="529" spans="1:2" ht="90" customHeight="1" x14ac:dyDescent="0.25">
      <c r="A529" s="36" t="s">
        <v>1219</v>
      </c>
      <c r="B529" s="550" t="s">
        <v>3258</v>
      </c>
    </row>
    <row r="530" spans="1:2" ht="90" customHeight="1" x14ac:dyDescent="0.25">
      <c r="A530" s="36" t="s">
        <v>1123</v>
      </c>
      <c r="B530" s="550" t="s">
        <v>3257</v>
      </c>
    </row>
    <row r="531" spans="1:2" ht="90" customHeight="1" x14ac:dyDescent="0.25">
      <c r="A531" s="36" t="s">
        <v>1460</v>
      </c>
      <c r="B531" s="550" t="s">
        <v>3232</v>
      </c>
    </row>
    <row r="532" spans="1:2" ht="90" customHeight="1" x14ac:dyDescent="0.25">
      <c r="A532" s="36" t="s">
        <v>1255</v>
      </c>
      <c r="B532" s="550" t="s">
        <v>3478</v>
      </c>
    </row>
    <row r="533" spans="1:2" ht="90" customHeight="1" x14ac:dyDescent="0.25">
      <c r="A533" s="36" t="s">
        <v>1287</v>
      </c>
      <c r="B533" s="550" t="s">
        <v>3500</v>
      </c>
    </row>
    <row r="534" spans="1:2" ht="90" customHeight="1" x14ac:dyDescent="0.25">
      <c r="A534" s="36" t="s">
        <v>1252</v>
      </c>
      <c r="B534" s="550" t="s">
        <v>3475</v>
      </c>
    </row>
    <row r="535" spans="1:2" ht="90" customHeight="1" x14ac:dyDescent="0.25">
      <c r="A535" s="36" t="s">
        <v>1280</v>
      </c>
      <c r="B535" s="550" t="s">
        <v>3495</v>
      </c>
    </row>
    <row r="536" spans="1:2" ht="90" customHeight="1" x14ac:dyDescent="0.25">
      <c r="A536" s="36" t="s">
        <v>1380</v>
      </c>
      <c r="B536" s="550" t="s">
        <v>3288</v>
      </c>
    </row>
    <row r="537" spans="1:2" ht="90" customHeight="1" x14ac:dyDescent="0.25">
      <c r="A537" s="36" t="s">
        <v>1069</v>
      </c>
      <c r="B537" s="550" t="s">
        <v>3335</v>
      </c>
    </row>
    <row r="538" spans="1:2" ht="90" customHeight="1" x14ac:dyDescent="0.25">
      <c r="A538" s="36" t="s">
        <v>1510</v>
      </c>
      <c r="B538" s="550" t="s">
        <v>3302</v>
      </c>
    </row>
    <row r="539" spans="1:2" ht="90" customHeight="1" x14ac:dyDescent="0.25">
      <c r="A539" s="36" t="s">
        <v>1103</v>
      </c>
      <c r="B539" s="550" t="s">
        <v>3073</v>
      </c>
    </row>
    <row r="540" spans="1:2" ht="90" customHeight="1" x14ac:dyDescent="0.25">
      <c r="A540" s="36" t="s">
        <v>3536</v>
      </c>
      <c r="B540" s="550" t="s">
        <v>3534</v>
      </c>
    </row>
    <row r="541" spans="1:2" ht="90" customHeight="1" x14ac:dyDescent="0.25">
      <c r="A541" s="36" t="s">
        <v>3535</v>
      </c>
      <c r="B541" s="550" t="s">
        <v>3534</v>
      </c>
    </row>
    <row r="542" spans="1:2" ht="90" customHeight="1" x14ac:dyDescent="0.25">
      <c r="A542" s="36" t="s">
        <v>1116</v>
      </c>
      <c r="B542" s="550" t="s">
        <v>3375</v>
      </c>
    </row>
    <row r="543" spans="1:2" ht="90" customHeight="1" x14ac:dyDescent="0.25">
      <c r="A543" s="36" t="s">
        <v>1185</v>
      </c>
      <c r="B543" s="550" t="s">
        <v>3415</v>
      </c>
    </row>
    <row r="544" spans="1:2" ht="90" customHeight="1" x14ac:dyDescent="0.25">
      <c r="A544" s="36" t="s">
        <v>1096</v>
      </c>
      <c r="B544" s="550" t="s">
        <v>3414</v>
      </c>
    </row>
    <row r="545" spans="1:2" ht="90" customHeight="1" x14ac:dyDescent="0.25">
      <c r="A545" s="36" t="s">
        <v>1277</v>
      </c>
      <c r="B545" s="550" t="s">
        <v>3493</v>
      </c>
    </row>
    <row r="546" spans="1:2" ht="90" customHeight="1" x14ac:dyDescent="0.25">
      <c r="A546" s="36" t="s">
        <v>1221</v>
      </c>
      <c r="B546" s="550" t="s">
        <v>3260</v>
      </c>
    </row>
    <row r="547" spans="1:2" ht="90" customHeight="1" x14ac:dyDescent="0.25">
      <c r="A547" s="36" t="s">
        <v>1453</v>
      </c>
      <c r="B547" s="550" t="s">
        <v>3225</v>
      </c>
    </row>
    <row r="548" spans="1:2" ht="90" customHeight="1" x14ac:dyDescent="0.25">
      <c r="A548" s="36" t="s">
        <v>1459</v>
      </c>
      <c r="B548" s="550" t="s">
        <v>3231</v>
      </c>
    </row>
    <row r="549" spans="1:2" ht="90" customHeight="1" x14ac:dyDescent="0.25">
      <c r="A549" s="36" t="s">
        <v>1409</v>
      </c>
      <c r="B549" s="550" t="s">
        <v>3070</v>
      </c>
    </row>
    <row r="550" spans="1:2" ht="90" customHeight="1" x14ac:dyDescent="0.25">
      <c r="A550" s="36" t="s">
        <v>1433</v>
      </c>
      <c r="B550" s="550" t="s">
        <v>3435</v>
      </c>
    </row>
    <row r="551" spans="1:2" ht="90" customHeight="1" x14ac:dyDescent="0.25">
      <c r="A551" s="36" t="s">
        <v>1373</v>
      </c>
      <c r="B551" s="550" t="s">
        <v>3276</v>
      </c>
    </row>
    <row r="552" spans="1:2" ht="90" customHeight="1" x14ac:dyDescent="0.25">
      <c r="A552" s="36" t="s">
        <v>1260</v>
      </c>
      <c r="B552" s="550" t="s">
        <v>3364</v>
      </c>
    </row>
    <row r="553" spans="1:2" ht="90" customHeight="1" x14ac:dyDescent="0.25">
      <c r="A553" s="36" t="s">
        <v>1140</v>
      </c>
      <c r="B553" s="550" t="s">
        <v>2948</v>
      </c>
    </row>
    <row r="554" spans="1:2" ht="90" customHeight="1" x14ac:dyDescent="0.25">
      <c r="A554" s="36" t="s">
        <v>1334</v>
      </c>
      <c r="B554" s="550" t="s">
        <v>2948</v>
      </c>
    </row>
    <row r="555" spans="1:2" ht="90" customHeight="1" x14ac:dyDescent="0.25">
      <c r="A555" s="36" t="s">
        <v>1141</v>
      </c>
      <c r="B555" s="550" t="s">
        <v>2948</v>
      </c>
    </row>
    <row r="556" spans="1:2" ht="90" customHeight="1" x14ac:dyDescent="0.25">
      <c r="A556" s="36" t="s">
        <v>1142</v>
      </c>
      <c r="B556" s="550" t="s">
        <v>2948</v>
      </c>
    </row>
    <row r="557" spans="1:2" ht="90" customHeight="1" x14ac:dyDescent="0.25">
      <c r="A557" s="36" t="s">
        <v>1239</v>
      </c>
      <c r="B557" s="550" t="s">
        <v>2948</v>
      </c>
    </row>
    <row r="558" spans="1:2" ht="90" customHeight="1" x14ac:dyDescent="0.25">
      <c r="A558" s="36" t="s">
        <v>1240</v>
      </c>
      <c r="B558" s="550" t="s">
        <v>2948</v>
      </c>
    </row>
    <row r="559" spans="1:2" ht="90" customHeight="1" x14ac:dyDescent="0.25">
      <c r="A559" s="36" t="s">
        <v>1241</v>
      </c>
      <c r="B559" s="550" t="s">
        <v>2948</v>
      </c>
    </row>
    <row r="560" spans="1:2" ht="90" customHeight="1" x14ac:dyDescent="0.25">
      <c r="A560" s="36" t="s">
        <v>1242</v>
      </c>
      <c r="B560" s="550" t="s">
        <v>2948</v>
      </c>
    </row>
    <row r="561" spans="1:2" ht="90" customHeight="1" x14ac:dyDescent="0.25">
      <c r="A561" s="36" t="s">
        <v>1332</v>
      </c>
      <c r="B561" s="550" t="s">
        <v>2948</v>
      </c>
    </row>
    <row r="562" spans="1:2" ht="90" customHeight="1" x14ac:dyDescent="0.25">
      <c r="A562" s="36" t="s">
        <v>1333</v>
      </c>
      <c r="B562" s="550" t="s">
        <v>2948</v>
      </c>
    </row>
    <row r="563" spans="1:2" ht="90" customHeight="1" x14ac:dyDescent="0.25">
      <c r="A563" s="36" t="s">
        <v>1245</v>
      </c>
      <c r="B563" s="550" t="s">
        <v>3290</v>
      </c>
    </row>
    <row r="564" spans="1:2" ht="90" customHeight="1" x14ac:dyDescent="0.25">
      <c r="A564" s="36" t="s">
        <v>1182</v>
      </c>
      <c r="B564" s="550" t="s">
        <v>3412</v>
      </c>
    </row>
    <row r="565" spans="1:2" ht="90" customHeight="1" x14ac:dyDescent="0.25">
      <c r="A565" s="36" t="s">
        <v>1302</v>
      </c>
      <c r="B565" s="550" t="s">
        <v>3510</v>
      </c>
    </row>
    <row r="566" spans="1:2" ht="90" customHeight="1" x14ac:dyDescent="0.25">
      <c r="A566" s="36" t="s">
        <v>1425</v>
      </c>
      <c r="B566" s="550" t="s">
        <v>3465</v>
      </c>
    </row>
    <row r="567" spans="1:2" ht="90" customHeight="1" x14ac:dyDescent="0.25">
      <c r="A567" s="36" t="s">
        <v>1115</v>
      </c>
      <c r="B567" s="550" t="s">
        <v>3374</v>
      </c>
    </row>
    <row r="568" spans="1:2" ht="90" customHeight="1" x14ac:dyDescent="0.25">
      <c r="A568" s="36" t="s">
        <v>1269</v>
      </c>
      <c r="B568" s="550" t="s">
        <v>3487</v>
      </c>
    </row>
    <row r="569" spans="1:2" ht="90" customHeight="1" x14ac:dyDescent="0.25">
      <c r="A569" s="36" t="s">
        <v>1190</v>
      </c>
      <c r="B569" s="550" t="s">
        <v>3419</v>
      </c>
    </row>
    <row r="570" spans="1:2" ht="90" customHeight="1" x14ac:dyDescent="0.25">
      <c r="A570" s="36" t="s">
        <v>1315</v>
      </c>
      <c r="B570" s="550" t="s">
        <v>3262</v>
      </c>
    </row>
    <row r="571" spans="1:2" ht="90" customHeight="1" x14ac:dyDescent="0.25">
      <c r="A571" s="36" t="s">
        <v>1148</v>
      </c>
      <c r="B571" s="550" t="s">
        <v>3338</v>
      </c>
    </row>
    <row r="572" spans="1:2" ht="90" customHeight="1" x14ac:dyDescent="0.25">
      <c r="A572" s="36" t="s">
        <v>1374</v>
      </c>
      <c r="B572" s="550" t="s">
        <v>3277</v>
      </c>
    </row>
    <row r="573" spans="1:2" ht="90" customHeight="1" x14ac:dyDescent="0.25">
      <c r="A573" s="36" t="s">
        <v>1118</v>
      </c>
      <c r="B573" s="550" t="s">
        <v>3236</v>
      </c>
    </row>
    <row r="574" spans="1:2" ht="90" customHeight="1" x14ac:dyDescent="0.25">
      <c r="A574" s="36" t="s">
        <v>1314</v>
      </c>
      <c r="B574" s="550" t="s">
        <v>3244</v>
      </c>
    </row>
    <row r="575" spans="1:2" ht="90" customHeight="1" x14ac:dyDescent="0.25">
      <c r="A575" s="36" t="s">
        <v>1430</v>
      </c>
      <c r="B575" s="550" t="s">
        <v>3469</v>
      </c>
    </row>
    <row r="576" spans="1:2" ht="90" customHeight="1" x14ac:dyDescent="0.25">
      <c r="A576" s="36" t="s">
        <v>1427</v>
      </c>
      <c r="B576" s="550" t="s">
        <v>3467</v>
      </c>
    </row>
    <row r="577" spans="1:2" ht="90" customHeight="1" x14ac:dyDescent="0.25">
      <c r="A577" s="36" t="s">
        <v>1177</v>
      </c>
      <c r="B577" s="550" t="s">
        <v>3351</v>
      </c>
    </row>
    <row r="578" spans="1:2" ht="90" customHeight="1" x14ac:dyDescent="0.25">
      <c r="A578" s="36" t="s">
        <v>1358</v>
      </c>
      <c r="B578" s="550" t="s">
        <v>3280</v>
      </c>
    </row>
    <row r="579" spans="1:2" ht="90" customHeight="1" x14ac:dyDescent="0.25">
      <c r="A579" s="36" t="s">
        <v>1286</v>
      </c>
      <c r="B579" s="550" t="s">
        <v>3600</v>
      </c>
    </row>
    <row r="580" spans="1:2" ht="90" customHeight="1" x14ac:dyDescent="0.25">
      <c r="A580" s="36" t="s">
        <v>1143</v>
      </c>
      <c r="B580" s="550" t="s">
        <v>3285</v>
      </c>
    </row>
    <row r="581" spans="1:2" ht="90" customHeight="1" x14ac:dyDescent="0.25">
      <c r="A581" s="36" t="s">
        <v>1387</v>
      </c>
      <c r="B581" s="550" t="s">
        <v>3036</v>
      </c>
    </row>
    <row r="582" spans="1:2" ht="90" customHeight="1" x14ac:dyDescent="0.25">
      <c r="A582" s="36" t="s">
        <v>1147</v>
      </c>
      <c r="B582" s="550" t="s">
        <v>3336</v>
      </c>
    </row>
    <row r="583" spans="1:2" ht="90" customHeight="1" x14ac:dyDescent="0.25">
      <c r="A583" s="36" t="s">
        <v>1220</v>
      </c>
      <c r="B583" s="550" t="s">
        <v>3259</v>
      </c>
    </row>
    <row r="584" spans="1:2" ht="90" customHeight="1" x14ac:dyDescent="0.25">
      <c r="A584" s="36" t="s">
        <v>1076</v>
      </c>
      <c r="B584" s="550" t="s">
        <v>3038</v>
      </c>
    </row>
    <row r="585" spans="1:2" ht="90" customHeight="1" x14ac:dyDescent="0.25">
      <c r="A585" s="36" t="s">
        <v>1273</v>
      </c>
      <c r="B585" s="550" t="s">
        <v>3490</v>
      </c>
    </row>
    <row r="586" spans="1:2" ht="90" customHeight="1" x14ac:dyDescent="0.25">
      <c r="A586" s="36" t="s">
        <v>1439</v>
      </c>
      <c r="B586" s="550" t="s">
        <v>3458</v>
      </c>
    </row>
    <row r="587" spans="1:2" ht="90" customHeight="1" x14ac:dyDescent="0.25">
      <c r="A587" s="36" t="s">
        <v>1415</v>
      </c>
      <c r="B587" s="550" t="s">
        <v>3317</v>
      </c>
    </row>
    <row r="588" spans="1:2" ht="90" customHeight="1" x14ac:dyDescent="0.25">
      <c r="A588" s="36" t="s">
        <v>1279</v>
      </c>
      <c r="B588" s="550" t="s">
        <v>3494</v>
      </c>
    </row>
    <row r="589" spans="1:2" ht="90" customHeight="1" x14ac:dyDescent="0.25">
      <c r="A589" s="36" t="s">
        <v>1180</v>
      </c>
      <c r="B589" s="550" t="s">
        <v>3410</v>
      </c>
    </row>
    <row r="590" spans="1:2" ht="90" customHeight="1" x14ac:dyDescent="0.25">
      <c r="A590" s="36" t="s">
        <v>1325</v>
      </c>
      <c r="B590" s="550" t="s">
        <v>3327</v>
      </c>
    </row>
    <row r="591" spans="1:2" ht="90" customHeight="1" x14ac:dyDescent="0.25">
      <c r="A591" s="36" t="s">
        <v>1120</v>
      </c>
      <c r="B591" s="550" t="s">
        <v>3238</v>
      </c>
    </row>
    <row r="592" spans="1:2" ht="90" customHeight="1" x14ac:dyDescent="0.25">
      <c r="A592" s="36" t="s">
        <v>1119</v>
      </c>
      <c r="B592" s="550" t="s">
        <v>3237</v>
      </c>
    </row>
    <row r="593" spans="1:2" ht="90" customHeight="1" x14ac:dyDescent="0.25">
      <c r="A593" s="36" t="s">
        <v>1474</v>
      </c>
      <c r="B593" s="550" t="s">
        <v>3537</v>
      </c>
    </row>
    <row r="594" spans="1:2" ht="90" customHeight="1" x14ac:dyDescent="0.25">
      <c r="A594" s="36" t="s">
        <v>1471</v>
      </c>
      <c r="B594" s="550" t="s">
        <v>3002</v>
      </c>
    </row>
    <row r="595" spans="1:2" ht="90" customHeight="1" x14ac:dyDescent="0.25">
      <c r="A595" s="36" t="s">
        <v>1154</v>
      </c>
      <c r="B595" s="550" t="s">
        <v>3400</v>
      </c>
    </row>
    <row r="596" spans="1:2" ht="90" customHeight="1" x14ac:dyDescent="0.25">
      <c r="A596" s="36" t="s">
        <v>1152</v>
      </c>
      <c r="B596" s="550" t="s">
        <v>3294</v>
      </c>
    </row>
    <row r="597" spans="1:2" ht="90" customHeight="1" x14ac:dyDescent="0.25">
      <c r="A597" s="36" t="s">
        <v>1071</v>
      </c>
      <c r="B597" s="550" t="s">
        <v>3023</v>
      </c>
    </row>
    <row r="598" spans="1:2" ht="90" customHeight="1" x14ac:dyDescent="0.25">
      <c r="A598" s="36" t="s">
        <v>1072</v>
      </c>
      <c r="B598" s="550" t="s">
        <v>2991</v>
      </c>
    </row>
    <row r="599" spans="1:2" ht="90" customHeight="1" x14ac:dyDescent="0.25">
      <c r="A599" s="36" t="s">
        <v>1153</v>
      </c>
      <c r="B599" s="550" t="s">
        <v>3399</v>
      </c>
    </row>
    <row r="600" spans="1:2" ht="90" customHeight="1" x14ac:dyDescent="0.25">
      <c r="A600" s="36" t="s">
        <v>1151</v>
      </c>
      <c r="B600" s="550" t="s">
        <v>3372</v>
      </c>
    </row>
    <row r="601" spans="1:2" ht="90" customHeight="1" x14ac:dyDescent="0.25">
      <c r="A601" s="36" t="s">
        <v>1078</v>
      </c>
      <c r="B601" s="550" t="s">
        <v>3034</v>
      </c>
    </row>
    <row r="602" spans="1:2" ht="90" customHeight="1" x14ac:dyDescent="0.25">
      <c r="A602" s="36" t="s">
        <v>1093</v>
      </c>
      <c r="B602" s="550" t="s">
        <v>3382</v>
      </c>
    </row>
    <row r="603" spans="1:2" ht="90" customHeight="1" x14ac:dyDescent="0.25">
      <c r="A603" s="36" t="s">
        <v>1248</v>
      </c>
      <c r="B603" s="550" t="s">
        <v>3343</v>
      </c>
    </row>
    <row r="604" spans="1:2" ht="90" customHeight="1" x14ac:dyDescent="0.25">
      <c r="A604" s="36" t="s">
        <v>1408</v>
      </c>
      <c r="B604" s="550" t="s">
        <v>3442</v>
      </c>
    </row>
    <row r="605" spans="1:2" ht="90" customHeight="1" x14ac:dyDescent="0.25">
      <c r="A605" s="36" t="s">
        <v>1399</v>
      </c>
      <c r="B605" s="550" t="s">
        <v>3354</v>
      </c>
    </row>
    <row r="606" spans="1:2" ht="90" customHeight="1" x14ac:dyDescent="0.25">
      <c r="A606" s="36" t="s">
        <v>1100</v>
      </c>
      <c r="B606" s="550" t="s">
        <v>3075</v>
      </c>
    </row>
    <row r="607" spans="1:2" ht="90" customHeight="1" x14ac:dyDescent="0.25">
      <c r="A607" s="36" t="s">
        <v>1094</v>
      </c>
      <c r="B607" s="550" t="s">
        <v>3353</v>
      </c>
    </row>
    <row r="608" spans="1:2" ht="90" customHeight="1" x14ac:dyDescent="0.25">
      <c r="A608" s="36" t="s">
        <v>1296</v>
      </c>
      <c r="B608" s="550" t="s">
        <v>3506</v>
      </c>
    </row>
    <row r="609" spans="1:2" ht="90" customHeight="1" x14ac:dyDescent="0.25">
      <c r="A609" s="36" t="s">
        <v>1197</v>
      </c>
      <c r="B609" s="550" t="s">
        <v>3426</v>
      </c>
    </row>
    <row r="610" spans="1:2" ht="90" customHeight="1" x14ac:dyDescent="0.25">
      <c r="A610" s="36" t="s">
        <v>1401</v>
      </c>
      <c r="B610" s="550" t="s">
        <v>3450</v>
      </c>
    </row>
    <row r="611" spans="1:2" ht="90" customHeight="1" x14ac:dyDescent="0.25">
      <c r="A611" s="36" t="s">
        <v>1398</v>
      </c>
      <c r="B611" s="550" t="s">
        <v>3451</v>
      </c>
    </row>
    <row r="612" spans="1:2" ht="90" customHeight="1" x14ac:dyDescent="0.25">
      <c r="A612" s="36" t="s">
        <v>1479</v>
      </c>
      <c r="B612" s="550" t="s">
        <v>3542</v>
      </c>
    </row>
    <row r="613" spans="1:2" ht="90" customHeight="1" x14ac:dyDescent="0.25">
      <c r="A613" s="36" t="s">
        <v>1418</v>
      </c>
      <c r="B613" s="550" t="s">
        <v>3325</v>
      </c>
    </row>
    <row r="614" spans="1:2" ht="90" customHeight="1" x14ac:dyDescent="0.25">
      <c r="A614" s="36" t="s">
        <v>1476</v>
      </c>
      <c r="B614" s="550" t="s">
        <v>3539</v>
      </c>
    </row>
    <row r="615" spans="1:2" ht="90" customHeight="1" x14ac:dyDescent="0.25">
      <c r="A615" s="36" t="s">
        <v>1497</v>
      </c>
      <c r="B615" s="550" t="s">
        <v>3525</v>
      </c>
    </row>
    <row r="616" spans="1:2" ht="90" customHeight="1" x14ac:dyDescent="0.25">
      <c r="A616" s="36" t="s">
        <v>1102</v>
      </c>
      <c r="B616" s="550" t="s">
        <v>3387</v>
      </c>
    </row>
    <row r="617" spans="1:2" ht="90" customHeight="1" x14ac:dyDescent="0.25">
      <c r="A617" s="36" t="s">
        <v>1441</v>
      </c>
      <c r="B617" s="550" t="s">
        <v>3447</v>
      </c>
    </row>
    <row r="618" spans="1:2" ht="90" customHeight="1" x14ac:dyDescent="0.25">
      <c r="A618" s="36" t="s">
        <v>1251</v>
      </c>
      <c r="B618" s="550" t="s">
        <v>3474</v>
      </c>
    </row>
    <row r="619" spans="1:2" ht="90" customHeight="1" x14ac:dyDescent="0.25">
      <c r="A619" s="36" t="s">
        <v>1257</v>
      </c>
      <c r="B619" s="550" t="s">
        <v>3480</v>
      </c>
    </row>
    <row r="620" spans="1:2" ht="90" customHeight="1" x14ac:dyDescent="0.25">
      <c r="A620" s="36" t="s">
        <v>1155</v>
      </c>
      <c r="B620" s="550" t="s">
        <v>3401</v>
      </c>
    </row>
    <row r="621" spans="1:2" ht="90" customHeight="1" x14ac:dyDescent="0.25">
      <c r="A621" s="36" t="s">
        <v>1198</v>
      </c>
      <c r="B621" s="550" t="s">
        <v>3427</v>
      </c>
    </row>
    <row r="622" spans="1:2" ht="90" customHeight="1" x14ac:dyDescent="0.25">
      <c r="A622" s="36" t="s">
        <v>1223</v>
      </c>
      <c r="B622" s="550" t="s">
        <v>2989</v>
      </c>
    </row>
    <row r="623" spans="1:2" ht="90" customHeight="1" x14ac:dyDescent="0.25">
      <c r="A623" s="36" t="s">
        <v>1224</v>
      </c>
      <c r="B623" s="550" t="s">
        <v>3266</v>
      </c>
    </row>
    <row r="624" spans="1:2" ht="90" customHeight="1" x14ac:dyDescent="0.25">
      <c r="A624" s="36" t="s">
        <v>1446</v>
      </c>
      <c r="B624" s="550" t="s">
        <v>3249</v>
      </c>
    </row>
    <row r="625" spans="1:2" ht="90" customHeight="1" x14ac:dyDescent="0.25">
      <c r="A625" s="36" t="s">
        <v>1300</v>
      </c>
      <c r="B625" s="550" t="s">
        <v>3509</v>
      </c>
    </row>
    <row r="626" spans="1:2" ht="90" customHeight="1" x14ac:dyDescent="0.25">
      <c r="A626" s="36" t="s">
        <v>1181</v>
      </c>
      <c r="B626" s="550" t="s">
        <v>3411</v>
      </c>
    </row>
    <row r="627" spans="1:2" ht="90" customHeight="1" x14ac:dyDescent="0.25">
      <c r="A627" s="36" t="s">
        <v>1434</v>
      </c>
      <c r="B627" s="550" t="s">
        <v>3436</v>
      </c>
    </row>
    <row r="628" spans="1:2" ht="90" customHeight="1" x14ac:dyDescent="0.25">
      <c r="A628" s="36" t="s">
        <v>1214</v>
      </c>
      <c r="B628" s="550" t="s">
        <v>3397</v>
      </c>
    </row>
    <row r="629" spans="1:2" ht="90" customHeight="1" x14ac:dyDescent="0.25">
      <c r="A629" s="36" t="s">
        <v>1188</v>
      </c>
      <c r="B629" s="550" t="s">
        <v>3417</v>
      </c>
    </row>
    <row r="630" spans="1:2" ht="90" customHeight="1" x14ac:dyDescent="0.25">
      <c r="A630" s="36" t="s">
        <v>1230</v>
      </c>
      <c r="B630" s="550" t="s">
        <v>3360</v>
      </c>
    </row>
    <row r="631" spans="1:2" ht="90" customHeight="1" x14ac:dyDescent="0.25">
      <c r="A631" s="36" t="s">
        <v>1508</v>
      </c>
      <c r="B631" s="550" t="s">
        <v>3533</v>
      </c>
    </row>
    <row r="632" spans="1:2" ht="90" customHeight="1" x14ac:dyDescent="0.25">
      <c r="A632" s="36" t="s">
        <v>1229</v>
      </c>
      <c r="B632" s="550" t="s">
        <v>3359</v>
      </c>
    </row>
    <row r="633" spans="1:2" ht="90" customHeight="1" x14ac:dyDescent="0.25">
      <c r="A633" s="36" t="s">
        <v>1222</v>
      </c>
      <c r="B633" s="550" t="s">
        <v>3261</v>
      </c>
    </row>
    <row r="634" spans="1:2" ht="90" customHeight="1" x14ac:dyDescent="0.25">
      <c r="A634" s="36" t="s">
        <v>1322</v>
      </c>
      <c r="B634" s="550" t="s">
        <v>3362</v>
      </c>
    </row>
    <row r="635" spans="1:2" ht="90" customHeight="1" x14ac:dyDescent="0.25">
      <c r="A635" s="36" t="s">
        <v>1129</v>
      </c>
      <c r="B635" s="550" t="s">
        <v>3356</v>
      </c>
    </row>
    <row r="636" spans="1:2" ht="90" customHeight="1" x14ac:dyDescent="0.25">
      <c r="A636" s="36" t="s">
        <v>1228</v>
      </c>
      <c r="B636" s="550" t="s">
        <v>3358</v>
      </c>
    </row>
    <row r="637" spans="1:2" ht="90" customHeight="1" x14ac:dyDescent="0.25">
      <c r="A637" s="36" t="s">
        <v>1321</v>
      </c>
      <c r="B637" s="550" t="s">
        <v>3361</v>
      </c>
    </row>
    <row r="638" spans="1:2" ht="90" customHeight="1" x14ac:dyDescent="0.25">
      <c r="A638" s="36" t="s">
        <v>1451</v>
      </c>
      <c r="B638" s="550" t="s">
        <v>3254</v>
      </c>
    </row>
    <row r="639" spans="1:2" ht="90" customHeight="1" x14ac:dyDescent="0.25">
      <c r="A639" s="36" t="s">
        <v>1323</v>
      </c>
      <c r="B639" s="550" t="s">
        <v>3363</v>
      </c>
    </row>
    <row r="640" spans="1:2" ht="90" customHeight="1" x14ac:dyDescent="0.25">
      <c r="A640" s="36" t="s">
        <v>1496</v>
      </c>
      <c r="B640" s="550" t="s">
        <v>3524</v>
      </c>
    </row>
    <row r="641" spans="1:2" ht="90" customHeight="1" x14ac:dyDescent="0.25">
      <c r="A641" s="36" t="s">
        <v>1227</v>
      </c>
      <c r="B641" s="550" t="s">
        <v>3357</v>
      </c>
    </row>
    <row r="642" spans="1:2" ht="90" customHeight="1" x14ac:dyDescent="0.25">
      <c r="A642" s="36" t="s">
        <v>1131</v>
      </c>
      <c r="B642" s="550" t="s">
        <v>3303</v>
      </c>
    </row>
    <row r="643" spans="1:2" ht="90" customHeight="1" x14ac:dyDescent="0.25">
      <c r="A643" s="36" t="s">
        <v>1127</v>
      </c>
      <c r="B643" s="550" t="s">
        <v>3355</v>
      </c>
    </row>
    <row r="644" spans="1:2" ht="90" customHeight="1" x14ac:dyDescent="0.25">
      <c r="A644" s="36" t="s">
        <v>1128</v>
      </c>
      <c r="B644" s="550" t="s">
        <v>3020</v>
      </c>
    </row>
    <row r="645" spans="1:2" ht="90" customHeight="1" x14ac:dyDescent="0.25">
      <c r="A645" s="36" t="s">
        <v>1095</v>
      </c>
      <c r="B645" s="550" t="s">
        <v>3383</v>
      </c>
    </row>
    <row r="646" spans="1:2" ht="90" customHeight="1" x14ac:dyDescent="0.25">
      <c r="A646" s="36" t="s">
        <v>1194</v>
      </c>
      <c r="B646" s="550" t="s">
        <v>3423</v>
      </c>
    </row>
    <row r="647" spans="1:2" ht="90" customHeight="1" x14ac:dyDescent="0.25">
      <c r="A647" s="36" t="s">
        <v>1389</v>
      </c>
      <c r="B647" s="550" t="s">
        <v>3042</v>
      </c>
    </row>
    <row r="648" spans="1:2" ht="90" customHeight="1" x14ac:dyDescent="0.25">
      <c r="A648" s="36" t="s">
        <v>1134</v>
      </c>
      <c r="B648" s="550" t="s">
        <v>3309</v>
      </c>
    </row>
    <row r="649" spans="1:2" ht="90" customHeight="1" x14ac:dyDescent="0.25">
      <c r="A649" s="36" t="s">
        <v>1511</v>
      </c>
      <c r="B649" s="550" t="s">
        <v>3304</v>
      </c>
    </row>
    <row r="650" spans="1:2" ht="90" customHeight="1" x14ac:dyDescent="0.25">
      <c r="A650" s="36" t="s">
        <v>1282</v>
      </c>
      <c r="B650" s="550" t="s">
        <v>3497</v>
      </c>
    </row>
    <row r="651" spans="1:2" ht="90" customHeight="1" x14ac:dyDescent="0.25">
      <c r="A651" s="36" t="s">
        <v>1234</v>
      </c>
      <c r="B651" s="550" t="s">
        <v>3322</v>
      </c>
    </row>
    <row r="652" spans="1:2" ht="90" customHeight="1" x14ac:dyDescent="0.25">
      <c r="A652" s="36" t="s">
        <v>1417</v>
      </c>
      <c r="B652" s="550" t="s">
        <v>3323</v>
      </c>
    </row>
    <row r="653" spans="1:2" ht="90" customHeight="1" x14ac:dyDescent="0.25">
      <c r="A653" s="36" t="s">
        <v>1304</v>
      </c>
      <c r="B653" s="550" t="s">
        <v>3512</v>
      </c>
    </row>
    <row r="654" spans="1:2" ht="90" customHeight="1" x14ac:dyDescent="0.25">
      <c r="A654" s="36" t="s">
        <v>1413</v>
      </c>
      <c r="B654" s="550" t="s">
        <v>3313</v>
      </c>
    </row>
    <row r="655" spans="1:2" ht="90" customHeight="1" x14ac:dyDescent="0.25">
      <c r="A655" s="36" t="s">
        <v>1367</v>
      </c>
      <c r="B655" s="550" t="s">
        <v>3223</v>
      </c>
    </row>
    <row r="656" spans="1:2" ht="90" customHeight="1" x14ac:dyDescent="0.25">
      <c r="A656" s="36" t="s">
        <v>1164</v>
      </c>
      <c r="B656" s="550" t="s">
        <v>3365</v>
      </c>
    </row>
    <row r="657" spans="1:2" ht="90" customHeight="1" x14ac:dyDescent="0.25">
      <c r="A657" s="36" t="s">
        <v>1477</v>
      </c>
      <c r="B657" s="550" t="s">
        <v>3540</v>
      </c>
    </row>
    <row r="658" spans="1:2" ht="90" customHeight="1" x14ac:dyDescent="0.25">
      <c r="A658" s="36" t="s">
        <v>1311</v>
      </c>
      <c r="B658" s="550" t="s">
        <v>3472</v>
      </c>
    </row>
    <row r="659" spans="1:2" ht="90" customHeight="1" x14ac:dyDescent="0.25">
      <c r="A659" s="36" t="s">
        <v>1486</v>
      </c>
      <c r="B659" s="550" t="s">
        <v>3514</v>
      </c>
    </row>
    <row r="660" spans="1:2" ht="90" customHeight="1" x14ac:dyDescent="0.25">
      <c r="A660" s="36" t="s">
        <v>1378</v>
      </c>
      <c r="B660" s="550" t="s">
        <v>3284</v>
      </c>
    </row>
    <row r="661" spans="1:2" ht="90" customHeight="1" x14ac:dyDescent="0.25">
      <c r="A661" s="36" t="s">
        <v>1099</v>
      </c>
      <c r="B661" s="550" t="s">
        <v>3386</v>
      </c>
    </row>
    <row r="662" spans="1:2" ht="90" customHeight="1" x14ac:dyDescent="0.25">
      <c r="A662" s="36" t="s">
        <v>1097</v>
      </c>
      <c r="B662" s="550" t="s">
        <v>3384</v>
      </c>
    </row>
    <row r="663" spans="1:2" ht="90" customHeight="1" x14ac:dyDescent="0.25">
      <c r="A663" s="36" t="s">
        <v>1249</v>
      </c>
      <c r="B663" s="550" t="s">
        <v>3473</v>
      </c>
    </row>
    <row r="664" spans="1:2" ht="90" customHeight="1" x14ac:dyDescent="0.25">
      <c r="A664" s="36" t="s">
        <v>1382</v>
      </c>
      <c r="B664" s="550" t="s">
        <v>3342</v>
      </c>
    </row>
    <row r="665" spans="1:2" ht="90" customHeight="1" x14ac:dyDescent="0.25">
      <c r="A665" s="36" t="s">
        <v>1075</v>
      </c>
      <c r="B665" s="550" t="s">
        <v>3026</v>
      </c>
    </row>
    <row r="666" spans="1:2" ht="90" customHeight="1" x14ac:dyDescent="0.25">
      <c r="A666" s="36" t="s">
        <v>1171</v>
      </c>
      <c r="B666" s="550" t="s">
        <v>3407</v>
      </c>
    </row>
    <row r="667" spans="1:2" ht="90" customHeight="1" x14ac:dyDescent="0.25">
      <c r="A667" s="36" t="s">
        <v>1310</v>
      </c>
      <c r="B667" s="550" t="s">
        <v>3471</v>
      </c>
    </row>
    <row r="668" spans="1:2" ht="90" customHeight="1" x14ac:dyDescent="0.25">
      <c r="A668" s="36" t="s">
        <v>1166</v>
      </c>
      <c r="B668" s="550" t="s">
        <v>3366</v>
      </c>
    </row>
    <row r="669" spans="1:2" ht="90" customHeight="1" x14ac:dyDescent="0.25">
      <c r="A669" s="36" t="s">
        <v>1085</v>
      </c>
      <c r="B669" s="550" t="s">
        <v>3377</v>
      </c>
    </row>
    <row r="670" spans="1:2" ht="90" customHeight="1" x14ac:dyDescent="0.25">
      <c r="A670" s="36" t="s">
        <v>1499</v>
      </c>
      <c r="B670" s="550" t="s">
        <v>3349</v>
      </c>
    </row>
    <row r="671" spans="1:2" ht="90" customHeight="1" x14ac:dyDescent="0.25">
      <c r="A671" s="36" t="s">
        <v>1212</v>
      </c>
      <c r="B671" s="550" t="s">
        <v>3395</v>
      </c>
    </row>
    <row r="672" spans="1:2" ht="90" customHeight="1" x14ac:dyDescent="0.25">
      <c r="A672" s="36" t="s">
        <v>1087</v>
      </c>
      <c r="B672" s="550" t="s">
        <v>3379</v>
      </c>
    </row>
    <row r="673" spans="1:2" ht="90" customHeight="1" x14ac:dyDescent="0.25">
      <c r="A673" s="36" t="s">
        <v>1393</v>
      </c>
      <c r="B673" s="550" t="s">
        <v>3454</v>
      </c>
    </row>
    <row r="674" spans="1:2" ht="90" customHeight="1" x14ac:dyDescent="0.25">
      <c r="A674" s="36" t="s">
        <v>1108</v>
      </c>
      <c r="B674" s="550" t="s">
        <v>3391</v>
      </c>
    </row>
    <row r="675" spans="1:2" ht="90" customHeight="1" x14ac:dyDescent="0.25">
      <c r="A675" s="36" t="s">
        <v>1394</v>
      </c>
      <c r="B675" s="550" t="s">
        <v>3453</v>
      </c>
    </row>
    <row r="676" spans="1:2" ht="90" customHeight="1" x14ac:dyDescent="0.25">
      <c r="A676" s="36" t="s">
        <v>1109</v>
      </c>
      <c r="B676" s="550" t="s">
        <v>3071</v>
      </c>
    </row>
    <row r="677" spans="1:2" ht="90" customHeight="1" x14ac:dyDescent="0.25">
      <c r="A677" s="36" t="s">
        <v>1110</v>
      </c>
      <c r="B677" s="550" t="s">
        <v>3392</v>
      </c>
    </row>
    <row r="678" spans="1:2" ht="90" customHeight="1" x14ac:dyDescent="0.25">
      <c r="A678" s="36" t="s">
        <v>1205</v>
      </c>
      <c r="B678" s="550" t="s">
        <v>3431</v>
      </c>
    </row>
    <row r="679" spans="1:2" ht="90" customHeight="1" x14ac:dyDescent="0.25">
      <c r="A679" s="36" t="s">
        <v>1206</v>
      </c>
      <c r="B679" s="550" t="s">
        <v>3432</v>
      </c>
    </row>
    <row r="680" spans="1:2" ht="90" customHeight="1" x14ac:dyDescent="0.25">
      <c r="A680" s="36" t="s">
        <v>1292</v>
      </c>
      <c r="B680" s="550" t="s">
        <v>3330</v>
      </c>
    </row>
    <row r="681" spans="1:2" ht="90" customHeight="1" x14ac:dyDescent="0.25">
      <c r="A681" s="36" t="s">
        <v>1403</v>
      </c>
      <c r="B681" s="550" t="s">
        <v>3446</v>
      </c>
    </row>
    <row r="682" spans="1:2" ht="90" customHeight="1" x14ac:dyDescent="0.25">
      <c r="A682" s="36" t="s">
        <v>3599</v>
      </c>
      <c r="B682" s="550" t="s">
        <v>3385</v>
      </c>
    </row>
    <row r="683" spans="1:2" ht="90" customHeight="1" x14ac:dyDescent="0.25">
      <c r="A683" s="36" t="s">
        <v>1191</v>
      </c>
      <c r="B683" s="550" t="s">
        <v>3420</v>
      </c>
    </row>
    <row r="684" spans="1:2" ht="90" customHeight="1" x14ac:dyDescent="0.25">
      <c r="A684" s="36" t="s">
        <v>1101</v>
      </c>
      <c r="B684" s="550" t="s">
        <v>3074</v>
      </c>
    </row>
    <row r="685" spans="1:2" ht="90" customHeight="1" x14ac:dyDescent="0.25">
      <c r="A685" s="36" t="s">
        <v>1489</v>
      </c>
      <c r="B685" s="550" t="s">
        <v>3517</v>
      </c>
    </row>
    <row r="686" spans="1:2" ht="90" customHeight="1" x14ac:dyDescent="0.25">
      <c r="A686" s="36" t="s">
        <v>1442</v>
      </c>
      <c r="B686" s="550" t="s">
        <v>3245</v>
      </c>
    </row>
    <row r="687" spans="1:2" ht="90" customHeight="1" x14ac:dyDescent="0.25">
      <c r="A687" s="36" t="s">
        <v>1443</v>
      </c>
      <c r="B687" s="550" t="s">
        <v>3246</v>
      </c>
    </row>
    <row r="688" spans="1:2" ht="90" customHeight="1" x14ac:dyDescent="0.25">
      <c r="A688" s="36" t="s">
        <v>1422</v>
      </c>
      <c r="B688" s="550" t="s">
        <v>3461</v>
      </c>
    </row>
    <row r="689" spans="1:2" ht="90" customHeight="1" thickBot="1" x14ac:dyDescent="0.3">
      <c r="A689" s="577" t="s">
        <v>1494</v>
      </c>
      <c r="B689" s="578" t="s">
        <v>3522</v>
      </c>
    </row>
    <row r="690" spans="1:2" ht="90" customHeight="1" x14ac:dyDescent="0.25">
      <c r="A690" s="467" t="str">
        <f>IF(Sandbox!AX8="","",Sandbox!AX8)</f>
        <v/>
      </c>
      <c r="B690" s="466" t="str">
        <f>IF(Sandbox!BJ8="","",Sandbox!BJ8)</f>
        <v/>
      </c>
    </row>
    <row r="691" spans="1:2" ht="90" customHeight="1" x14ac:dyDescent="0.25">
      <c r="A691" s="39" t="str">
        <f>IF(Sandbox!AX9="","",Sandbox!AX9)</f>
        <v/>
      </c>
      <c r="B691" s="111" t="str">
        <f>IF(Sandbox!BJ9="","",Sandbox!BJ9)</f>
        <v/>
      </c>
    </row>
    <row r="692" spans="1:2" ht="90" customHeight="1" x14ac:dyDescent="0.25">
      <c r="A692" s="39" t="str">
        <f>IF(Sandbox!AX10="","",Sandbox!AX10)</f>
        <v/>
      </c>
      <c r="B692" s="111" t="str">
        <f>IF(Sandbox!BJ10="","",Sandbox!BJ10)</f>
        <v/>
      </c>
    </row>
    <row r="693" spans="1:2" ht="90" customHeight="1" x14ac:dyDescent="0.25">
      <c r="A693" s="39" t="str">
        <f>IF(Sandbox!AX11="","",Sandbox!AX11)</f>
        <v/>
      </c>
      <c r="B693" s="111" t="str">
        <f>IF(Sandbox!BJ11="","",Sandbox!BJ11)</f>
        <v/>
      </c>
    </row>
    <row r="694" spans="1:2" ht="90" customHeight="1" x14ac:dyDescent="0.25">
      <c r="A694" s="39" t="str">
        <f>IF(Sandbox!AX12="","",Sandbox!AX12)</f>
        <v/>
      </c>
      <c r="B694" s="111" t="str">
        <f>IF(Sandbox!BJ12="","",Sandbox!BJ12)</f>
        <v/>
      </c>
    </row>
    <row r="695" spans="1:2" ht="90" customHeight="1" x14ac:dyDescent="0.25">
      <c r="A695" s="39" t="str">
        <f>IF(Sandbox!AX13="","",Sandbox!AX13)</f>
        <v/>
      </c>
      <c r="B695" s="111" t="str">
        <f>IF(Sandbox!BJ13="","",Sandbox!BJ13)</f>
        <v/>
      </c>
    </row>
    <row r="696" spans="1:2" ht="90" customHeight="1" x14ac:dyDescent="0.25">
      <c r="A696" s="39" t="str">
        <f>IF(Sandbox!AX14="","",Sandbox!AX14)</f>
        <v/>
      </c>
      <c r="B696" s="111" t="str">
        <f>IF(Sandbox!BJ14="","",Sandbox!BJ14)</f>
        <v/>
      </c>
    </row>
    <row r="697" spans="1:2" ht="90" customHeight="1" x14ac:dyDescent="0.25">
      <c r="A697" s="39" t="str">
        <f>IF(Sandbox!AX15="","",Sandbox!AX15)</f>
        <v/>
      </c>
      <c r="B697" s="111" t="str">
        <f>IF(Sandbox!BJ15="","",Sandbox!BJ15)</f>
        <v/>
      </c>
    </row>
    <row r="698" spans="1:2" ht="90" customHeight="1" x14ac:dyDescent="0.25">
      <c r="A698" s="39" t="str">
        <f>IF(Sandbox!AX16="","",Sandbox!AX16)</f>
        <v/>
      </c>
      <c r="B698" s="111" t="str">
        <f>IF(Sandbox!BJ16="","",Sandbox!BJ16)</f>
        <v/>
      </c>
    </row>
    <row r="699" spans="1:2" ht="90" customHeight="1" x14ac:dyDescent="0.25">
      <c r="A699" s="39" t="str">
        <f>IF(Sandbox!AX17="","",Sandbox!AX17)</f>
        <v/>
      </c>
      <c r="B699" s="111" t="str">
        <f>IF(Sandbox!BJ17="","",Sandbox!BJ17)</f>
        <v/>
      </c>
    </row>
    <row r="700" spans="1:2" ht="90" customHeight="1" x14ac:dyDescent="0.25">
      <c r="A700" s="39" t="str">
        <f>IF(Sandbox!AX18="","",Sandbox!AX18)</f>
        <v/>
      </c>
      <c r="B700" s="111" t="str">
        <f>IF(Sandbox!BJ18="","",Sandbox!BJ18)</f>
        <v/>
      </c>
    </row>
    <row r="701" spans="1:2" ht="90" customHeight="1" x14ac:dyDescent="0.25">
      <c r="A701" s="39" t="str">
        <f>IF(Sandbox!AX19="","",Sandbox!AX19)</f>
        <v/>
      </c>
      <c r="B701" s="111" t="str">
        <f>IF(Sandbox!BJ19="","",Sandbox!BJ19)</f>
        <v/>
      </c>
    </row>
    <row r="702" spans="1:2" ht="90" customHeight="1" x14ac:dyDescent="0.25">
      <c r="A702" s="39" t="str">
        <f>IF(Sandbox!AX20="","",Sandbox!AX20)</f>
        <v/>
      </c>
      <c r="B702" s="111" t="str">
        <f>IF(Sandbox!BJ20="","",Sandbox!BJ20)</f>
        <v/>
      </c>
    </row>
    <row r="703" spans="1:2" ht="90" customHeight="1" x14ac:dyDescent="0.25">
      <c r="A703" s="39" t="str">
        <f>IF(Sandbox!AX21="","",Sandbox!AX21)</f>
        <v/>
      </c>
      <c r="B703" s="111" t="str">
        <f>IF(Sandbox!BJ21="","",Sandbox!BJ21)</f>
        <v/>
      </c>
    </row>
    <row r="704" spans="1:2" ht="90" customHeight="1" x14ac:dyDescent="0.25">
      <c r="A704" s="39" t="str">
        <f>IF(Sandbox!AX22="","",Sandbox!AX22)</f>
        <v/>
      </c>
      <c r="B704" s="111" t="str">
        <f>IF(Sandbox!BJ22="","",Sandbox!BJ22)</f>
        <v/>
      </c>
    </row>
    <row r="705" spans="1:2" ht="90" customHeight="1" x14ac:dyDescent="0.25">
      <c r="A705" s="39" t="str">
        <f>IF(Sandbox!AX23="","",Sandbox!AX23)</f>
        <v/>
      </c>
      <c r="B705" s="111" t="str">
        <f>IF(Sandbox!BJ23="","",Sandbox!BJ23)</f>
        <v/>
      </c>
    </row>
    <row r="706" spans="1:2" ht="90" customHeight="1" x14ac:dyDescent="0.25">
      <c r="A706" s="39" t="str">
        <f>IF(Sandbox!AX24="","",Sandbox!AX24)</f>
        <v/>
      </c>
      <c r="B706" s="111" t="str">
        <f>IF(Sandbox!BJ24="","",Sandbox!BJ24)</f>
        <v/>
      </c>
    </row>
    <row r="707" spans="1:2" ht="90" customHeight="1" x14ac:dyDescent="0.25">
      <c r="A707" s="39" t="str">
        <f>IF(Sandbox!AX25="","",Sandbox!AX25)</f>
        <v/>
      </c>
      <c r="B707" s="111" t="str">
        <f>IF(Sandbox!BJ25="","",Sandbox!BJ25)</f>
        <v/>
      </c>
    </row>
    <row r="708" spans="1:2" ht="90" customHeight="1" x14ac:dyDescent="0.25">
      <c r="A708" s="39" t="str">
        <f>IF(Sandbox!AX26="","",Sandbox!AX26)</f>
        <v/>
      </c>
      <c r="B708" s="111" t="str">
        <f>IF(Sandbox!BJ26="","",Sandbox!BJ26)</f>
        <v/>
      </c>
    </row>
    <row r="709" spans="1:2" ht="90" customHeight="1" x14ac:dyDescent="0.25">
      <c r="A709" s="39" t="str">
        <f>IF(Sandbox!AX27="","",Sandbox!AX27)</f>
        <v/>
      </c>
      <c r="B709" s="111" t="str">
        <f>IF(Sandbox!BJ27="","",Sandbox!BJ27)</f>
        <v/>
      </c>
    </row>
    <row r="710" spans="1:2" ht="90" customHeight="1" thickBot="1" x14ac:dyDescent="0.3">
      <c r="A710" s="196" t="str">
        <f>IF(Sandbox!AX28="","",Sandbox!AX28)</f>
        <v/>
      </c>
      <c r="B710" s="112" t="str">
        <f>IF(Sandbox!BJ28="","",Sandbox!BJ28)</f>
        <v/>
      </c>
    </row>
    <row r="711" spans="1:2" ht="90" customHeight="1" x14ac:dyDescent="0.25">
      <c r="A711" s="579" t="str">
        <f>IF(Sandbox!AX33="","",Sandbox!AX33)</f>
        <v/>
      </c>
      <c r="B711" s="30" t="str">
        <f>IF(Sandbox!BJ33="","",Sandbox!BJ33)</f>
        <v/>
      </c>
    </row>
    <row r="712" spans="1:2" ht="90" customHeight="1" x14ac:dyDescent="0.25">
      <c r="A712" s="39" t="str">
        <f>IF(Sandbox!AX34="","",Sandbox!AX34)</f>
        <v/>
      </c>
      <c r="B712" s="111" t="str">
        <f>IF(Sandbox!BJ34="","",Sandbox!BJ34)</f>
        <v/>
      </c>
    </row>
    <row r="713" spans="1:2" ht="90" customHeight="1" x14ac:dyDescent="0.25">
      <c r="A713" s="39" t="str">
        <f>IF(Sandbox!AX35="","",Sandbox!AX35)</f>
        <v/>
      </c>
      <c r="B713" s="111" t="str">
        <f>IF(Sandbox!BJ35="","",Sandbox!BJ35)</f>
        <v/>
      </c>
    </row>
    <row r="714" spans="1:2" ht="90" customHeight="1" x14ac:dyDescent="0.25">
      <c r="A714" s="39" t="str">
        <f>IF(Sandbox!AX36="","",Sandbox!AX36)</f>
        <v/>
      </c>
      <c r="B714" s="111" t="str">
        <f>IF(Sandbox!BJ36="","",Sandbox!BJ36)</f>
        <v/>
      </c>
    </row>
    <row r="715" spans="1:2" ht="90" customHeight="1" x14ac:dyDescent="0.25">
      <c r="A715" s="39" t="str">
        <f>IF(Sandbox!AX37="","",Sandbox!AX37)</f>
        <v/>
      </c>
      <c r="B715" s="111" t="str">
        <f>IF(Sandbox!BJ37="","",Sandbox!BJ37)</f>
        <v/>
      </c>
    </row>
    <row r="716" spans="1:2" ht="90" customHeight="1" x14ac:dyDescent="0.25">
      <c r="A716" s="39" t="str">
        <f>IF(Sandbox!AX38="","",Sandbox!AX38)</f>
        <v/>
      </c>
      <c r="B716" s="111" t="str">
        <f>IF(Sandbox!BJ38="","",Sandbox!BJ38)</f>
        <v/>
      </c>
    </row>
    <row r="717" spans="1:2" ht="90" customHeight="1" x14ac:dyDescent="0.25">
      <c r="A717" s="39" t="str">
        <f>IF(Sandbox!AX39="","",Sandbox!AX39)</f>
        <v/>
      </c>
      <c r="B717" s="111" t="str">
        <f>IF(Sandbox!BJ39="","",Sandbox!BJ39)</f>
        <v/>
      </c>
    </row>
    <row r="718" spans="1:2" ht="90" customHeight="1" x14ac:dyDescent="0.25">
      <c r="A718" s="39" t="str">
        <f>IF(Sandbox!AX40="","",Sandbox!AX40)</f>
        <v/>
      </c>
      <c r="B718" s="111" t="str">
        <f>IF(Sandbox!BJ40="","",Sandbox!BJ40)</f>
        <v/>
      </c>
    </row>
    <row r="719" spans="1:2" ht="90" customHeight="1" x14ac:dyDescent="0.25">
      <c r="A719" s="39" t="str">
        <f>IF(Sandbox!AX41="","",Sandbox!AX41)</f>
        <v/>
      </c>
      <c r="B719" s="111" t="str">
        <f>IF(Sandbox!BJ41="","",Sandbox!BJ41)</f>
        <v/>
      </c>
    </row>
    <row r="720" spans="1:2" ht="90" customHeight="1" x14ac:dyDescent="0.25">
      <c r="A720" s="39" t="str">
        <f>IF(Sandbox!AX42="","",Sandbox!AX42)</f>
        <v/>
      </c>
      <c r="B720" s="111" t="str">
        <f>IF(Sandbox!BJ42="","",Sandbox!BJ42)</f>
        <v/>
      </c>
    </row>
    <row r="721" spans="1:2" ht="90" customHeight="1" x14ac:dyDescent="0.25">
      <c r="A721" s="39" t="str">
        <f>IF(Sandbox!AX43="","",Sandbox!AX43)</f>
        <v/>
      </c>
      <c r="B721" s="111" t="str">
        <f>IF(Sandbox!BJ43="","",Sandbox!BJ43)</f>
        <v/>
      </c>
    </row>
    <row r="722" spans="1:2" ht="90" customHeight="1" x14ac:dyDescent="0.25">
      <c r="A722" s="39" t="str">
        <f>IF(Sandbox!AX44="","",Sandbox!AX44)</f>
        <v/>
      </c>
      <c r="B722" s="111" t="str">
        <f>IF(Sandbox!BJ44="","",Sandbox!BJ44)</f>
        <v/>
      </c>
    </row>
    <row r="723" spans="1:2" ht="90" customHeight="1" x14ac:dyDescent="0.25">
      <c r="A723" s="39" t="str">
        <f>IF(Sandbox!AX45="","",Sandbox!AX45)</f>
        <v/>
      </c>
      <c r="B723" s="111" t="str">
        <f>IF(Sandbox!BJ45="","",Sandbox!BJ45)</f>
        <v/>
      </c>
    </row>
    <row r="724" spans="1:2" ht="90" customHeight="1" x14ac:dyDescent="0.25">
      <c r="A724" s="39" t="str">
        <f>IF(Sandbox!AX46="","",Sandbox!AX46)</f>
        <v/>
      </c>
      <c r="B724" s="111" t="str">
        <f>IF(Sandbox!BJ46="","",Sandbox!BJ46)</f>
        <v/>
      </c>
    </row>
    <row r="725" spans="1:2" ht="90" customHeight="1" x14ac:dyDescent="0.25">
      <c r="A725" s="39" t="str">
        <f>IF(Sandbox!AX47="","",Sandbox!AX47)</f>
        <v/>
      </c>
      <c r="B725" s="111" t="str">
        <f>IF(Sandbox!BJ47="","",Sandbox!BJ47)</f>
        <v/>
      </c>
    </row>
    <row r="726" spans="1:2" ht="90" customHeight="1" x14ac:dyDescent="0.25">
      <c r="A726" s="39" t="str">
        <f>IF(Sandbox!AX48="","",Sandbox!AX48)</f>
        <v/>
      </c>
      <c r="B726" s="111" t="str">
        <f>IF(Sandbox!BJ48="","",Sandbox!BJ48)</f>
        <v/>
      </c>
    </row>
    <row r="727" spans="1:2" ht="90" customHeight="1" x14ac:dyDescent="0.25">
      <c r="A727" s="39" t="str">
        <f>IF(Sandbox!AX49="","",Sandbox!AX49)</f>
        <v/>
      </c>
      <c r="B727" s="111" t="str">
        <f>IF(Sandbox!BJ49="","",Sandbox!BJ49)</f>
        <v/>
      </c>
    </row>
    <row r="728" spans="1:2" ht="90" customHeight="1" x14ac:dyDescent="0.25">
      <c r="A728" s="39" t="str">
        <f>IF(Sandbox!AX50="","",Sandbox!AX50)</f>
        <v/>
      </c>
      <c r="B728" s="111" t="str">
        <f>IF(Sandbox!BJ50="","",Sandbox!BJ50)</f>
        <v/>
      </c>
    </row>
    <row r="729" spans="1:2" ht="90" customHeight="1" x14ac:dyDescent="0.25">
      <c r="A729" s="39" t="str">
        <f>IF(Sandbox!AX51="","",Sandbox!AX51)</f>
        <v/>
      </c>
      <c r="B729" s="111" t="str">
        <f>IF(Sandbox!BJ51="","",Sandbox!BJ51)</f>
        <v/>
      </c>
    </row>
    <row r="730" spans="1:2" ht="90" customHeight="1" x14ac:dyDescent="0.25">
      <c r="A730" s="39" t="str">
        <f>IF(Sandbox!AX52="","",Sandbox!AX52)</f>
        <v/>
      </c>
      <c r="B730" s="111" t="str">
        <f>IF(Sandbox!BJ52="","",Sandbox!BJ52)</f>
        <v/>
      </c>
    </row>
    <row r="731" spans="1:2" ht="90" customHeight="1" thickBot="1" x14ac:dyDescent="0.3">
      <c r="A731" s="196" t="str">
        <f>IF(Sandbox!AX53="","",Sandbox!AX53)</f>
        <v/>
      </c>
      <c r="B731" s="112" t="str">
        <f>IF(Sandbox!BJ53="","",Sandbox!BJ53)</f>
        <v/>
      </c>
    </row>
    <row r="732" spans="1:2" ht="90" customHeight="1" x14ac:dyDescent="0.25">
      <c r="A732" s="579" t="str">
        <f>IF(Sandbox!AX58="","",Sandbox!AX58)</f>
        <v/>
      </c>
      <c r="B732" s="30" t="str">
        <f>IF(Sandbox!BJ58="","",Sandbox!BJ58)</f>
        <v/>
      </c>
    </row>
    <row r="733" spans="1:2" ht="90" customHeight="1" x14ac:dyDescent="0.25">
      <c r="A733" s="39" t="str">
        <f>IF(Sandbox!AX59="","",Sandbox!AX59)</f>
        <v/>
      </c>
      <c r="B733" s="111" t="str">
        <f>IF(Sandbox!BJ59="","",Sandbox!BJ59)</f>
        <v/>
      </c>
    </row>
    <row r="734" spans="1:2" ht="90" customHeight="1" x14ac:dyDescent="0.25">
      <c r="A734" s="39" t="str">
        <f>IF(Sandbox!AX60="","",Sandbox!AX60)</f>
        <v/>
      </c>
      <c r="B734" s="111" t="str">
        <f>IF(Sandbox!BJ60="","",Sandbox!BJ60)</f>
        <v/>
      </c>
    </row>
    <row r="735" spans="1:2" ht="90" customHeight="1" x14ac:dyDescent="0.25">
      <c r="A735" s="39" t="str">
        <f>IF(Sandbox!AX61="","",Sandbox!AX61)</f>
        <v/>
      </c>
      <c r="B735" s="111" t="str">
        <f>IF(Sandbox!BJ61="","",Sandbox!BJ61)</f>
        <v/>
      </c>
    </row>
    <row r="736" spans="1:2" ht="90" customHeight="1" x14ac:dyDescent="0.25">
      <c r="A736" s="39" t="str">
        <f>IF(Sandbox!AX62="","",Sandbox!AX62)</f>
        <v/>
      </c>
      <c r="B736" s="111" t="str">
        <f>IF(Sandbox!BJ62="","",Sandbox!BJ62)</f>
        <v/>
      </c>
    </row>
    <row r="737" spans="1:2" ht="90" customHeight="1" x14ac:dyDescent="0.25">
      <c r="A737" s="39" t="str">
        <f>IF(Sandbox!AX63="","",Sandbox!AX63)</f>
        <v/>
      </c>
      <c r="B737" s="111" t="str">
        <f>IF(Sandbox!BJ63="","",Sandbox!BJ63)</f>
        <v/>
      </c>
    </row>
    <row r="738" spans="1:2" ht="90" customHeight="1" x14ac:dyDescent="0.25">
      <c r="A738" s="39" t="str">
        <f>IF(Sandbox!AX64="","",Sandbox!AX64)</f>
        <v/>
      </c>
      <c r="B738" s="111" t="str">
        <f>IF(Sandbox!BJ64="","",Sandbox!BJ64)</f>
        <v/>
      </c>
    </row>
    <row r="739" spans="1:2" ht="90" customHeight="1" x14ac:dyDescent="0.25">
      <c r="A739" s="39" t="str">
        <f>IF(Sandbox!AX65="","",Sandbox!AX65)</f>
        <v/>
      </c>
      <c r="B739" s="111" t="str">
        <f>IF(Sandbox!BJ65="","",Sandbox!BJ65)</f>
        <v/>
      </c>
    </row>
    <row r="740" spans="1:2" ht="90" customHeight="1" x14ac:dyDescent="0.25">
      <c r="A740" s="39" t="str">
        <f>IF(Sandbox!AX66="","",Sandbox!AX66)</f>
        <v/>
      </c>
      <c r="B740" s="111" t="str">
        <f>IF(Sandbox!BJ66="","",Sandbox!BJ66)</f>
        <v/>
      </c>
    </row>
    <row r="741" spans="1:2" ht="90" customHeight="1" x14ac:dyDescent="0.25">
      <c r="A741" s="39" t="str">
        <f>IF(Sandbox!AX67="","",Sandbox!AX67)</f>
        <v/>
      </c>
      <c r="B741" s="111" t="str">
        <f>IF(Sandbox!BJ67="","",Sandbox!BJ67)</f>
        <v/>
      </c>
    </row>
    <row r="742" spans="1:2" ht="90" customHeight="1" x14ac:dyDescent="0.25">
      <c r="A742" s="39" t="str">
        <f>IF(Sandbox!AX68="","",Sandbox!AX68)</f>
        <v/>
      </c>
      <c r="B742" s="111" t="str">
        <f>IF(Sandbox!BJ68="","",Sandbox!BJ68)</f>
        <v/>
      </c>
    </row>
    <row r="743" spans="1:2" ht="90" customHeight="1" x14ac:dyDescent="0.25">
      <c r="A743" s="39" t="str">
        <f>IF(Sandbox!AX69="","",Sandbox!AX69)</f>
        <v/>
      </c>
      <c r="B743" s="111" t="str">
        <f>IF(Sandbox!BJ69="","",Sandbox!BJ69)</f>
        <v/>
      </c>
    </row>
    <row r="744" spans="1:2" ht="90" customHeight="1" x14ac:dyDescent="0.25">
      <c r="A744" s="39" t="str">
        <f>IF(Sandbox!AX70="","",Sandbox!AX70)</f>
        <v/>
      </c>
      <c r="B744" s="111" t="str">
        <f>IF(Sandbox!BJ70="","",Sandbox!BJ70)</f>
        <v/>
      </c>
    </row>
    <row r="745" spans="1:2" ht="90" customHeight="1" x14ac:dyDescent="0.25">
      <c r="A745" s="39" t="str">
        <f>IF(Sandbox!AX71="","",Sandbox!AX71)</f>
        <v/>
      </c>
      <c r="B745" s="111" t="str">
        <f>IF(Sandbox!BJ71="","",Sandbox!BJ71)</f>
        <v/>
      </c>
    </row>
    <row r="746" spans="1:2" ht="90" customHeight="1" x14ac:dyDescent="0.25">
      <c r="A746" s="39" t="str">
        <f>IF(Sandbox!AX72="","",Sandbox!AX72)</f>
        <v/>
      </c>
      <c r="B746" s="111" t="str">
        <f>IF(Sandbox!BJ72="","",Sandbox!BJ72)</f>
        <v/>
      </c>
    </row>
    <row r="747" spans="1:2" ht="90" customHeight="1" x14ac:dyDescent="0.25">
      <c r="A747" s="39" t="str">
        <f>IF(Sandbox!AX73="","",Sandbox!AX73)</f>
        <v/>
      </c>
      <c r="B747" s="111" t="str">
        <f>IF(Sandbox!BJ73="","",Sandbox!BJ73)</f>
        <v/>
      </c>
    </row>
    <row r="748" spans="1:2" ht="90" customHeight="1" x14ac:dyDescent="0.25">
      <c r="A748" s="39" t="str">
        <f>IF(Sandbox!AX74="","",Sandbox!AX74)</f>
        <v/>
      </c>
      <c r="B748" s="111" t="str">
        <f>IF(Sandbox!BJ74="","",Sandbox!BJ74)</f>
        <v/>
      </c>
    </row>
    <row r="749" spans="1:2" ht="90" customHeight="1" x14ac:dyDescent="0.25">
      <c r="A749" s="39" t="str">
        <f>IF(Sandbox!AX75="","",Sandbox!AX75)</f>
        <v/>
      </c>
      <c r="B749" s="111" t="str">
        <f>IF(Sandbox!BJ75="","",Sandbox!BJ75)</f>
        <v/>
      </c>
    </row>
    <row r="750" spans="1:2" ht="90" customHeight="1" x14ac:dyDescent="0.25">
      <c r="A750" s="39" t="str">
        <f>IF(Sandbox!AX76="","",Sandbox!AX76)</f>
        <v/>
      </c>
      <c r="B750" s="111" t="str">
        <f>IF(Sandbox!BJ76="","",Sandbox!BJ76)</f>
        <v/>
      </c>
    </row>
    <row r="751" spans="1:2" ht="90" customHeight="1" x14ac:dyDescent="0.25">
      <c r="A751" s="39" t="str">
        <f>IF(Sandbox!AX77="","",Sandbox!AX77)</f>
        <v/>
      </c>
      <c r="B751" s="111" t="str">
        <f>IF(Sandbox!BJ77="","",Sandbox!BJ77)</f>
        <v/>
      </c>
    </row>
    <row r="752" spans="1:2" ht="90" customHeight="1" thickBot="1" x14ac:dyDescent="0.3">
      <c r="A752" s="196" t="str">
        <f>IF(Sandbox!AX78="","",Sandbox!AX78)</f>
        <v/>
      </c>
      <c r="B752" s="112" t="str">
        <f>IF(Sandbox!BJ78="","",Sandbox!BJ78)</f>
        <v/>
      </c>
    </row>
    <row r="753" spans="1:2" ht="90" customHeight="1" x14ac:dyDescent="0.25">
      <c r="A753" s="579" t="str">
        <f>IF(Sandbox!AX83="","",Sandbox!AX83)</f>
        <v/>
      </c>
      <c r="B753" s="30" t="str">
        <f>IF(Sandbox!BJ83="","",Sandbox!BJ83)</f>
        <v/>
      </c>
    </row>
    <row r="754" spans="1:2" ht="90" customHeight="1" x14ac:dyDescent="0.25">
      <c r="A754" s="39" t="str">
        <f>IF(Sandbox!AX84="","",Sandbox!AX84)</f>
        <v/>
      </c>
      <c r="B754" s="111" t="str">
        <f>IF(Sandbox!BJ84="","",Sandbox!BJ84)</f>
        <v/>
      </c>
    </row>
    <row r="755" spans="1:2" ht="90" customHeight="1" x14ac:dyDescent="0.25">
      <c r="A755" s="39" t="str">
        <f>IF(Sandbox!AX85="","",Sandbox!AX85)</f>
        <v/>
      </c>
      <c r="B755" s="111" t="str">
        <f>IF(Sandbox!BJ85="","",Sandbox!BJ85)</f>
        <v/>
      </c>
    </row>
    <row r="756" spans="1:2" ht="90" customHeight="1" x14ac:dyDescent="0.25">
      <c r="A756" s="39" t="str">
        <f>IF(Sandbox!AX86="","",Sandbox!AX86)</f>
        <v/>
      </c>
      <c r="B756" s="111" t="str">
        <f>IF(Sandbox!BJ86="","",Sandbox!BJ86)</f>
        <v/>
      </c>
    </row>
    <row r="757" spans="1:2" ht="90" customHeight="1" x14ac:dyDescent="0.25">
      <c r="A757" s="39" t="str">
        <f>IF(Sandbox!AX87="","",Sandbox!AX87)</f>
        <v/>
      </c>
      <c r="B757" s="111" t="str">
        <f>IF(Sandbox!BJ87="","",Sandbox!BJ87)</f>
        <v/>
      </c>
    </row>
    <row r="758" spans="1:2" ht="90" customHeight="1" x14ac:dyDescent="0.25">
      <c r="A758" s="39" t="str">
        <f>IF(Sandbox!AX88="","",Sandbox!AX88)</f>
        <v/>
      </c>
      <c r="B758" s="111" t="str">
        <f>IF(Sandbox!BJ88="","",Sandbox!BJ88)</f>
        <v/>
      </c>
    </row>
    <row r="759" spans="1:2" ht="90" customHeight="1" x14ac:dyDescent="0.25">
      <c r="A759" s="39" t="str">
        <f>IF(Sandbox!AX89="","",Sandbox!AX89)</f>
        <v/>
      </c>
      <c r="B759" s="111" t="str">
        <f>IF(Sandbox!BJ89="","",Sandbox!BJ89)</f>
        <v/>
      </c>
    </row>
    <row r="760" spans="1:2" ht="90" customHeight="1" x14ac:dyDescent="0.25">
      <c r="A760" s="39" t="str">
        <f>IF(Sandbox!AX90="","",Sandbox!AX90)</f>
        <v/>
      </c>
      <c r="B760" s="111" t="str">
        <f>IF(Sandbox!BJ90="","",Sandbox!BJ90)</f>
        <v/>
      </c>
    </row>
    <row r="761" spans="1:2" ht="90" customHeight="1" x14ac:dyDescent="0.25">
      <c r="A761" s="39" t="str">
        <f>IF(Sandbox!AX91="","",Sandbox!AX91)</f>
        <v/>
      </c>
      <c r="B761" s="111" t="str">
        <f>IF(Sandbox!BJ91="","",Sandbox!BJ91)</f>
        <v/>
      </c>
    </row>
    <row r="762" spans="1:2" ht="90" customHeight="1" x14ac:dyDescent="0.25">
      <c r="A762" s="39" t="str">
        <f>IF(Sandbox!AX92="","",Sandbox!AX92)</f>
        <v/>
      </c>
      <c r="B762" s="111" t="str">
        <f>IF(Sandbox!BJ92="","",Sandbox!BJ92)</f>
        <v/>
      </c>
    </row>
    <row r="763" spans="1:2" ht="90" customHeight="1" x14ac:dyDescent="0.25">
      <c r="A763" s="39" t="str">
        <f>IF(Sandbox!AX93="","",Sandbox!AX93)</f>
        <v/>
      </c>
      <c r="B763" s="111" t="str">
        <f>IF(Sandbox!BJ93="","",Sandbox!BJ93)</f>
        <v/>
      </c>
    </row>
    <row r="764" spans="1:2" ht="90" customHeight="1" x14ac:dyDescent="0.25">
      <c r="A764" s="39" t="str">
        <f>IF(Sandbox!AX94="","",Sandbox!AX94)</f>
        <v/>
      </c>
      <c r="B764" s="111" t="str">
        <f>IF(Sandbox!BJ94="","",Sandbox!BJ94)</f>
        <v/>
      </c>
    </row>
    <row r="765" spans="1:2" ht="90" customHeight="1" x14ac:dyDescent="0.25">
      <c r="A765" s="39" t="str">
        <f>IF(Sandbox!AX95="","",Sandbox!AX95)</f>
        <v/>
      </c>
      <c r="B765" s="111" t="str">
        <f>IF(Sandbox!BJ95="","",Sandbox!BJ95)</f>
        <v/>
      </c>
    </row>
    <row r="766" spans="1:2" ht="90" customHeight="1" x14ac:dyDescent="0.25">
      <c r="A766" s="39" t="str">
        <f>IF(Sandbox!AX96="","",Sandbox!AX96)</f>
        <v/>
      </c>
      <c r="B766" s="111" t="str">
        <f>IF(Sandbox!BJ96="","",Sandbox!BJ96)</f>
        <v/>
      </c>
    </row>
    <row r="767" spans="1:2" ht="90" customHeight="1" x14ac:dyDescent="0.25">
      <c r="A767" s="39" t="str">
        <f>IF(Sandbox!AX97="","",Sandbox!AX97)</f>
        <v/>
      </c>
      <c r="B767" s="111" t="str">
        <f>IF(Sandbox!BJ97="","",Sandbox!BJ97)</f>
        <v/>
      </c>
    </row>
    <row r="768" spans="1:2" ht="90" customHeight="1" x14ac:dyDescent="0.25">
      <c r="A768" s="39" t="str">
        <f>IF(Sandbox!AX98="","",Sandbox!AX98)</f>
        <v/>
      </c>
      <c r="B768" s="111" t="str">
        <f>IF(Sandbox!BJ98="","",Sandbox!BJ98)</f>
        <v/>
      </c>
    </row>
    <row r="769" spans="1:2" ht="90" customHeight="1" x14ac:dyDescent="0.25">
      <c r="A769" s="39" t="str">
        <f>IF(Sandbox!AX99="","",Sandbox!AX99)</f>
        <v/>
      </c>
      <c r="B769" s="111" t="str">
        <f>IF(Sandbox!BJ99="","",Sandbox!BJ99)</f>
        <v/>
      </c>
    </row>
    <row r="770" spans="1:2" ht="90" customHeight="1" x14ac:dyDescent="0.25">
      <c r="A770" s="39" t="str">
        <f>IF(Sandbox!AX100="","",Sandbox!AX100)</f>
        <v/>
      </c>
      <c r="B770" s="111" t="str">
        <f>IF(Sandbox!BJ100="","",Sandbox!BJ100)</f>
        <v/>
      </c>
    </row>
    <row r="771" spans="1:2" ht="90" customHeight="1" x14ac:dyDescent="0.25">
      <c r="A771" s="39" t="str">
        <f>IF(Sandbox!AX101="","",Sandbox!AX101)</f>
        <v/>
      </c>
      <c r="B771" s="111" t="str">
        <f>IF(Sandbox!BJ101="","",Sandbox!BJ101)</f>
        <v/>
      </c>
    </row>
    <row r="772" spans="1:2" ht="90" customHeight="1" x14ac:dyDescent="0.25">
      <c r="A772" s="39" t="str">
        <f>IF(Sandbox!AX102="","",Sandbox!AX102)</f>
        <v/>
      </c>
      <c r="B772" s="111" t="str">
        <f>IF(Sandbox!BJ102="","",Sandbox!BJ102)</f>
        <v/>
      </c>
    </row>
    <row r="773" spans="1:2" ht="90" customHeight="1" thickBot="1" x14ac:dyDescent="0.3">
      <c r="A773" s="196" t="str">
        <f>IF(Sandbox!AX103="","",Sandbox!AX103)</f>
        <v/>
      </c>
      <c r="B773" s="112" t="str">
        <f>IF(Sandbox!BJ103="","",Sandbox!BJ103)</f>
        <v/>
      </c>
    </row>
    <row r="774" spans="1:2" ht="90" customHeight="1" x14ac:dyDescent="0.25">
      <c r="A774" s="579" t="str">
        <f>IF(Sandbox!AX108="","",Sandbox!AX108)</f>
        <v/>
      </c>
      <c r="B774" s="30" t="str">
        <f>IF(Sandbox!BJ108="","",Sandbox!BJ108)</f>
        <v/>
      </c>
    </row>
    <row r="775" spans="1:2" ht="90" customHeight="1" x14ac:dyDescent="0.25">
      <c r="A775" s="39" t="str">
        <f>IF(Sandbox!AX109="","",Sandbox!AX109)</f>
        <v/>
      </c>
      <c r="B775" s="111" t="str">
        <f>IF(Sandbox!BJ109="","",Sandbox!BJ109)</f>
        <v/>
      </c>
    </row>
    <row r="776" spans="1:2" ht="90" customHeight="1" x14ac:dyDescent="0.25">
      <c r="A776" s="39" t="str">
        <f>IF(Sandbox!AX110="","",Sandbox!AX110)</f>
        <v/>
      </c>
      <c r="B776" s="111" t="str">
        <f>IF(Sandbox!BJ110="","",Sandbox!BJ110)</f>
        <v/>
      </c>
    </row>
    <row r="777" spans="1:2" ht="90" customHeight="1" x14ac:dyDescent="0.25">
      <c r="A777" s="39" t="str">
        <f>IF(Sandbox!AX111="","",Sandbox!AX111)</f>
        <v/>
      </c>
      <c r="B777" s="111" t="str">
        <f>IF(Sandbox!BJ111="","",Sandbox!BJ111)</f>
        <v/>
      </c>
    </row>
    <row r="778" spans="1:2" ht="90" customHeight="1" x14ac:dyDescent="0.25">
      <c r="A778" s="39" t="str">
        <f>IF(Sandbox!AX112="","",Sandbox!AX112)</f>
        <v/>
      </c>
      <c r="B778" s="111" t="str">
        <f>IF(Sandbox!BJ112="","",Sandbox!BJ112)</f>
        <v/>
      </c>
    </row>
    <row r="779" spans="1:2" ht="90" customHeight="1" x14ac:dyDescent="0.25">
      <c r="A779" s="39" t="str">
        <f>IF(Sandbox!AX113="","",Sandbox!AX113)</f>
        <v/>
      </c>
      <c r="B779" s="111" t="str">
        <f>IF(Sandbox!BJ113="","",Sandbox!BJ113)</f>
        <v/>
      </c>
    </row>
    <row r="780" spans="1:2" ht="90" customHeight="1" x14ac:dyDescent="0.25">
      <c r="A780" s="39" t="str">
        <f>IF(Sandbox!AX114="","",Sandbox!AX114)</f>
        <v/>
      </c>
      <c r="B780" s="111" t="str">
        <f>IF(Sandbox!BJ114="","",Sandbox!BJ114)</f>
        <v/>
      </c>
    </row>
    <row r="781" spans="1:2" ht="90" customHeight="1" x14ac:dyDescent="0.25">
      <c r="A781" s="39" t="str">
        <f>IF(Sandbox!AX115="","",Sandbox!AX115)</f>
        <v/>
      </c>
      <c r="B781" s="111" t="str">
        <f>IF(Sandbox!BJ115="","",Sandbox!BJ115)</f>
        <v/>
      </c>
    </row>
    <row r="782" spans="1:2" ht="90" customHeight="1" x14ac:dyDescent="0.25">
      <c r="A782" s="39" t="str">
        <f>IF(Sandbox!AX116="","",Sandbox!AX116)</f>
        <v/>
      </c>
      <c r="B782" s="111" t="str">
        <f>IF(Sandbox!BJ116="","",Sandbox!BJ116)</f>
        <v/>
      </c>
    </row>
    <row r="783" spans="1:2" ht="90" customHeight="1" x14ac:dyDescent="0.25">
      <c r="A783" s="39" t="str">
        <f>IF(Sandbox!AX117="","",Sandbox!AX117)</f>
        <v/>
      </c>
      <c r="B783" s="111" t="str">
        <f>IF(Sandbox!BJ117="","",Sandbox!BJ117)</f>
        <v/>
      </c>
    </row>
    <row r="784" spans="1:2" ht="90" customHeight="1" x14ac:dyDescent="0.25">
      <c r="A784" s="39" t="str">
        <f>IF(Sandbox!AX118="","",Sandbox!AX118)</f>
        <v/>
      </c>
      <c r="B784" s="111" t="str">
        <f>IF(Sandbox!BJ118="","",Sandbox!BJ118)</f>
        <v/>
      </c>
    </row>
    <row r="785" spans="1:2" ht="90" customHeight="1" x14ac:dyDescent="0.25">
      <c r="A785" s="39" t="str">
        <f>IF(Sandbox!AX119="","",Sandbox!AX119)</f>
        <v/>
      </c>
      <c r="B785" s="111" t="str">
        <f>IF(Sandbox!BJ119="","",Sandbox!BJ119)</f>
        <v/>
      </c>
    </row>
    <row r="786" spans="1:2" ht="90" customHeight="1" x14ac:dyDescent="0.25">
      <c r="A786" s="39" t="str">
        <f>IF(Sandbox!AX120="","",Sandbox!AX120)</f>
        <v/>
      </c>
      <c r="B786" s="111" t="str">
        <f>IF(Sandbox!BJ120="","",Sandbox!BJ120)</f>
        <v/>
      </c>
    </row>
    <row r="787" spans="1:2" ht="90" customHeight="1" x14ac:dyDescent="0.25">
      <c r="A787" s="39" t="str">
        <f>IF(Sandbox!AX121="","",Sandbox!AX121)</f>
        <v/>
      </c>
      <c r="B787" s="111" t="str">
        <f>IF(Sandbox!BJ121="","",Sandbox!BJ121)</f>
        <v/>
      </c>
    </row>
    <row r="788" spans="1:2" ht="90" customHeight="1" x14ac:dyDescent="0.25">
      <c r="A788" s="39" t="str">
        <f>IF(Sandbox!AX122="","",Sandbox!AX122)</f>
        <v/>
      </c>
      <c r="B788" s="111" t="str">
        <f>IF(Sandbox!BJ122="","",Sandbox!BJ122)</f>
        <v/>
      </c>
    </row>
    <row r="789" spans="1:2" ht="90" customHeight="1" x14ac:dyDescent="0.25">
      <c r="A789" s="39" t="str">
        <f>IF(Sandbox!AX123="","",Sandbox!AX123)</f>
        <v/>
      </c>
      <c r="B789" s="111" t="str">
        <f>IF(Sandbox!BJ123="","",Sandbox!BJ123)</f>
        <v/>
      </c>
    </row>
    <row r="790" spans="1:2" ht="90" customHeight="1" x14ac:dyDescent="0.25">
      <c r="A790" s="39" t="str">
        <f>IF(Sandbox!AX124="","",Sandbox!AX124)</f>
        <v/>
      </c>
      <c r="B790" s="111" t="str">
        <f>IF(Sandbox!BJ124="","",Sandbox!BJ124)</f>
        <v/>
      </c>
    </row>
    <row r="791" spans="1:2" ht="90" customHeight="1" x14ac:dyDescent="0.25">
      <c r="A791" s="39" t="str">
        <f>IF(Sandbox!AX125="","",Sandbox!AX125)</f>
        <v/>
      </c>
      <c r="B791" s="111" t="str">
        <f>IF(Sandbox!BJ125="","",Sandbox!BJ125)</f>
        <v/>
      </c>
    </row>
    <row r="792" spans="1:2" ht="90" customHeight="1" x14ac:dyDescent="0.25">
      <c r="A792" s="39" t="str">
        <f>IF(Sandbox!AX126="","",Sandbox!AX126)</f>
        <v/>
      </c>
      <c r="B792" s="111" t="str">
        <f>IF(Sandbox!BJ126="","",Sandbox!BJ126)</f>
        <v/>
      </c>
    </row>
    <row r="793" spans="1:2" ht="90" customHeight="1" x14ac:dyDescent="0.25">
      <c r="A793" s="39" t="str">
        <f>IF(Sandbox!AX127="","",Sandbox!AX127)</f>
        <v/>
      </c>
      <c r="B793" s="111" t="str">
        <f>IF(Sandbox!BJ127="","",Sandbox!BJ127)</f>
        <v/>
      </c>
    </row>
    <row r="794" spans="1:2" ht="90" customHeight="1" thickBot="1" x14ac:dyDescent="0.3">
      <c r="A794" s="196" t="str">
        <f>IF(Sandbox!AX128="","",Sandbox!AX128)</f>
        <v/>
      </c>
      <c r="B794" s="112" t="str">
        <f>IF(Sandbox!BJ128="","",Sandbox!BJ128)</f>
        <v/>
      </c>
    </row>
    <row r="795" spans="1:2" ht="90" customHeight="1" x14ac:dyDescent="0.25">
      <c r="A795" s="579" t="str">
        <f>IF(Sandbox!BL6="","",Sandbox!BL6)</f>
        <v/>
      </c>
      <c r="B795" s="30" t="str">
        <f>IF(Sandbox!BY6="","",Sandbox!BY6)</f>
        <v/>
      </c>
    </row>
    <row r="796" spans="1:2" ht="90" customHeight="1" x14ac:dyDescent="0.25">
      <c r="A796" s="39" t="str">
        <f>IF(Sandbox!BL7="","",Sandbox!BL7)</f>
        <v/>
      </c>
      <c r="B796" s="111" t="str">
        <f>IF(Sandbox!BY7="","",Sandbox!BY7)</f>
        <v/>
      </c>
    </row>
    <row r="797" spans="1:2" ht="90" customHeight="1" x14ac:dyDescent="0.25">
      <c r="A797" s="39" t="str">
        <f>IF(Sandbox!BL8="","",Sandbox!BL8)</f>
        <v/>
      </c>
      <c r="B797" s="111" t="str">
        <f>IF(Sandbox!BY8="","",Sandbox!BY8)</f>
        <v/>
      </c>
    </row>
    <row r="798" spans="1:2" ht="90" customHeight="1" x14ac:dyDescent="0.25">
      <c r="A798" s="39" t="str">
        <f>IF(Sandbox!BL9="","",Sandbox!BL9)</f>
        <v/>
      </c>
      <c r="B798" s="111" t="str">
        <f>IF(Sandbox!BY9="","",Sandbox!BY9)</f>
        <v/>
      </c>
    </row>
    <row r="799" spans="1:2" ht="90" customHeight="1" x14ac:dyDescent="0.25">
      <c r="A799" s="39" t="str">
        <f>IF(Sandbox!BL10="","",Sandbox!BL10)</f>
        <v/>
      </c>
      <c r="B799" s="111" t="str">
        <f>IF(Sandbox!BY10="","",Sandbox!BY10)</f>
        <v/>
      </c>
    </row>
    <row r="800" spans="1:2" ht="90" customHeight="1" x14ac:dyDescent="0.25">
      <c r="A800" s="39" t="str">
        <f>IF(Sandbox!BL11="","",Sandbox!BL11)</f>
        <v/>
      </c>
      <c r="B800" s="111" t="str">
        <f>IF(Sandbox!BY11="","",Sandbox!BY11)</f>
        <v/>
      </c>
    </row>
    <row r="801" spans="1:2" ht="90" customHeight="1" x14ac:dyDescent="0.25">
      <c r="A801" s="39" t="str">
        <f>IF(Sandbox!BL12="","",Sandbox!BL12)</f>
        <v/>
      </c>
      <c r="B801" s="111" t="str">
        <f>IF(Sandbox!BY12="","",Sandbox!BY12)</f>
        <v/>
      </c>
    </row>
    <row r="802" spans="1:2" ht="90" customHeight="1" x14ac:dyDescent="0.25">
      <c r="A802" s="39" t="str">
        <f>IF(Sandbox!BL13="","",Sandbox!BL13)</f>
        <v/>
      </c>
      <c r="B802" s="111" t="str">
        <f>IF(Sandbox!BY13="","",Sandbox!BY13)</f>
        <v/>
      </c>
    </row>
    <row r="803" spans="1:2" ht="90" customHeight="1" x14ac:dyDescent="0.25">
      <c r="A803" s="39" t="str">
        <f>IF(Sandbox!BL14="","",Sandbox!BL14)</f>
        <v/>
      </c>
      <c r="B803" s="111" t="str">
        <f>IF(Sandbox!BY14="","",Sandbox!BY14)</f>
        <v/>
      </c>
    </row>
    <row r="804" spans="1:2" ht="90" customHeight="1" x14ac:dyDescent="0.25">
      <c r="A804" s="39" t="str">
        <f>IF(Sandbox!BL15="","",Sandbox!BL15)</f>
        <v/>
      </c>
      <c r="B804" s="111" t="str">
        <f>IF(Sandbox!BY15="","",Sandbox!BY15)</f>
        <v/>
      </c>
    </row>
    <row r="805" spans="1:2" ht="90" customHeight="1" x14ac:dyDescent="0.25">
      <c r="A805" s="39" t="str">
        <f>IF(Sandbox!BL16="","",Sandbox!BL16)</f>
        <v/>
      </c>
      <c r="B805" s="111" t="str">
        <f>IF(Sandbox!BY16="","",Sandbox!BY16)</f>
        <v/>
      </c>
    </row>
    <row r="806" spans="1:2" ht="90" customHeight="1" x14ac:dyDescent="0.25">
      <c r="A806" s="39" t="str">
        <f>IF(Sandbox!BL17="","",Sandbox!BL17)</f>
        <v/>
      </c>
      <c r="B806" s="111" t="str">
        <f>IF(Sandbox!BY17="","",Sandbox!BY17)</f>
        <v/>
      </c>
    </row>
    <row r="807" spans="1:2" ht="90" customHeight="1" x14ac:dyDescent="0.25">
      <c r="A807" s="39" t="str">
        <f>IF(Sandbox!BL18="","",Sandbox!BL18)</f>
        <v/>
      </c>
      <c r="B807" s="111" t="str">
        <f>IF(Sandbox!BY18="","",Sandbox!BY18)</f>
        <v/>
      </c>
    </row>
    <row r="808" spans="1:2" ht="90" customHeight="1" x14ac:dyDescent="0.25">
      <c r="A808" s="39" t="str">
        <f>IF(Sandbox!BL19="","",Sandbox!BL19)</f>
        <v/>
      </c>
      <c r="B808" s="111" t="str">
        <f>IF(Sandbox!BY19="","",Sandbox!BY19)</f>
        <v/>
      </c>
    </row>
    <row r="809" spans="1:2" ht="90" customHeight="1" x14ac:dyDescent="0.25">
      <c r="A809" s="39" t="str">
        <f>IF(Sandbox!BL20="","",Sandbox!BL20)</f>
        <v/>
      </c>
      <c r="B809" s="111" t="str">
        <f>IF(Sandbox!BY20="","",Sandbox!BY20)</f>
        <v/>
      </c>
    </row>
    <row r="810" spans="1:2" ht="90" customHeight="1" x14ac:dyDescent="0.25">
      <c r="A810" s="39" t="str">
        <f>IF(Sandbox!BL21="","",Sandbox!BL21)</f>
        <v/>
      </c>
      <c r="B810" s="111" t="str">
        <f>IF(Sandbox!BY21="","",Sandbox!BY21)</f>
        <v/>
      </c>
    </row>
    <row r="811" spans="1:2" ht="90" customHeight="1" x14ac:dyDescent="0.25">
      <c r="A811" s="39" t="str">
        <f>IF(Sandbox!BL22="","",Sandbox!BL22)</f>
        <v/>
      </c>
      <c r="B811" s="111" t="str">
        <f>IF(Sandbox!BY22="","",Sandbox!BY22)</f>
        <v/>
      </c>
    </row>
    <row r="812" spans="1:2" ht="90" customHeight="1" x14ac:dyDescent="0.25">
      <c r="A812" s="39" t="str">
        <f>IF(Sandbox!BL23="","",Sandbox!BL23)</f>
        <v/>
      </c>
      <c r="B812" s="111" t="str">
        <f>IF(Sandbox!BY23="","",Sandbox!BY23)</f>
        <v/>
      </c>
    </row>
    <row r="813" spans="1:2" ht="90" customHeight="1" x14ac:dyDescent="0.25">
      <c r="A813" s="39" t="str">
        <f>IF(Sandbox!BL24="","",Sandbox!BL24)</f>
        <v/>
      </c>
      <c r="B813" s="111" t="str">
        <f>IF(Sandbox!BY24="","",Sandbox!BY24)</f>
        <v/>
      </c>
    </row>
    <row r="814" spans="1:2" ht="90" customHeight="1" x14ac:dyDescent="0.25">
      <c r="A814" s="39" t="str">
        <f>IF(Sandbox!BL25="","",Sandbox!BL25)</f>
        <v/>
      </c>
      <c r="B814" s="111" t="str">
        <f>IF(Sandbox!BY25="","",Sandbox!BY25)</f>
        <v/>
      </c>
    </row>
    <row r="815" spans="1:2" ht="90" customHeight="1" x14ac:dyDescent="0.25">
      <c r="A815" s="39" t="str">
        <f>IF(Sandbox!BL26="","",Sandbox!BL26)</f>
        <v/>
      </c>
      <c r="B815" s="111" t="str">
        <f>IF(Sandbox!BY26="","",Sandbox!BY26)</f>
        <v/>
      </c>
    </row>
    <row r="816" spans="1:2" ht="90" customHeight="1" x14ac:dyDescent="0.25">
      <c r="A816" s="39" t="str">
        <f>IF(Sandbox!BL27="","",Sandbox!BL27)</f>
        <v/>
      </c>
      <c r="B816" s="111" t="str">
        <f>IF(Sandbox!BY27="","",Sandbox!BY27)</f>
        <v/>
      </c>
    </row>
    <row r="817" spans="1:2" ht="90" customHeight="1" x14ac:dyDescent="0.25">
      <c r="A817" s="39" t="str">
        <f>IF(Sandbox!BL28="","",Sandbox!BL28)</f>
        <v/>
      </c>
      <c r="B817" s="111" t="str">
        <f>IF(Sandbox!BY28="","",Sandbox!BY28)</f>
        <v/>
      </c>
    </row>
    <row r="818" spans="1:2" ht="90" customHeight="1" x14ac:dyDescent="0.25">
      <c r="A818" s="39" t="str">
        <f>IF(Sandbox!BL29="","",Sandbox!BL29)</f>
        <v/>
      </c>
      <c r="B818" s="111" t="str">
        <f>IF(Sandbox!BY29="","",Sandbox!BY29)</f>
        <v/>
      </c>
    </row>
    <row r="819" spans="1:2" ht="90" customHeight="1" x14ac:dyDescent="0.25">
      <c r="A819" s="39" t="str">
        <f>IF(Sandbox!BL30="","",Sandbox!BL30)</f>
        <v/>
      </c>
      <c r="B819" s="111" t="str">
        <f>IF(Sandbox!BY30="","",Sandbox!BY30)</f>
        <v/>
      </c>
    </row>
    <row r="820" spans="1:2" ht="90" customHeight="1" x14ac:dyDescent="0.25">
      <c r="A820" s="39" t="str">
        <f>IF(Sandbox!BL31="","",Sandbox!BL31)</f>
        <v/>
      </c>
      <c r="B820" s="111" t="str">
        <f>IF(Sandbox!BY31="","",Sandbox!BY31)</f>
        <v/>
      </c>
    </row>
    <row r="821" spans="1:2" ht="90" customHeight="1" x14ac:dyDescent="0.25">
      <c r="A821" s="39" t="str">
        <f>IF(Sandbox!BL32="","",Sandbox!BL32)</f>
        <v/>
      </c>
      <c r="B821" s="111" t="str">
        <f>IF(Sandbox!BY32="","",Sandbox!BY32)</f>
        <v/>
      </c>
    </row>
    <row r="822" spans="1:2" ht="90" customHeight="1" x14ac:dyDescent="0.25">
      <c r="A822" s="39" t="str">
        <f>IF(Sandbox!BL33="","",Sandbox!BL33)</f>
        <v/>
      </c>
      <c r="B822" s="111" t="str">
        <f>IF(Sandbox!BY33="","",Sandbox!BY33)</f>
        <v/>
      </c>
    </row>
    <row r="823" spans="1:2" ht="90" customHeight="1" x14ac:dyDescent="0.25">
      <c r="A823" s="39" t="str">
        <f>IF(Sandbox!BL34="","",Sandbox!BL34)</f>
        <v/>
      </c>
      <c r="B823" s="111" t="str">
        <f>IF(Sandbox!BY34="","",Sandbox!BY34)</f>
        <v/>
      </c>
    </row>
    <row r="824" spans="1:2" ht="90" customHeight="1" x14ac:dyDescent="0.25">
      <c r="A824" s="39" t="str">
        <f>IF(Sandbox!BL35="","",Sandbox!BL35)</f>
        <v/>
      </c>
      <c r="B824" s="111" t="str">
        <f>IF(Sandbox!BY35="","",Sandbox!BY35)</f>
        <v/>
      </c>
    </row>
    <row r="825" spans="1:2" ht="90" customHeight="1" x14ac:dyDescent="0.25">
      <c r="A825" s="39" t="str">
        <f>IF(Sandbox!BL36="","",Sandbox!BL36)</f>
        <v/>
      </c>
      <c r="B825" s="111" t="str">
        <f>IF(Sandbox!BY36="","",Sandbox!BY36)</f>
        <v/>
      </c>
    </row>
    <row r="826" spans="1:2" ht="90" customHeight="1" x14ac:dyDescent="0.25">
      <c r="A826" s="39" t="str">
        <f>IF(Sandbox!BL37="","",Sandbox!BL37)</f>
        <v/>
      </c>
      <c r="B826" s="111" t="str">
        <f>IF(Sandbox!BY37="","",Sandbox!BY37)</f>
        <v/>
      </c>
    </row>
    <row r="827" spans="1:2" ht="90" customHeight="1" x14ac:dyDescent="0.25">
      <c r="A827" s="39" t="str">
        <f>IF(Sandbox!BL38="","",Sandbox!BL38)</f>
        <v/>
      </c>
      <c r="B827" s="111" t="str">
        <f>IF(Sandbox!BY38="","",Sandbox!BY38)</f>
        <v/>
      </c>
    </row>
    <row r="828" spans="1:2" ht="90" customHeight="1" x14ac:dyDescent="0.25">
      <c r="A828" s="39" t="str">
        <f>IF(Sandbox!BL39="","",Sandbox!BL39)</f>
        <v/>
      </c>
      <c r="B828" s="111" t="str">
        <f>IF(Sandbox!BY39="","",Sandbox!BY39)</f>
        <v/>
      </c>
    </row>
    <row r="829" spans="1:2" ht="90" customHeight="1" x14ac:dyDescent="0.25">
      <c r="A829" s="39" t="str">
        <f>IF(Sandbox!BL40="","",Sandbox!BL40)</f>
        <v/>
      </c>
      <c r="B829" s="111" t="str">
        <f>IF(Sandbox!BY40="","",Sandbox!BY40)</f>
        <v/>
      </c>
    </row>
    <row r="830" spans="1:2" ht="90" customHeight="1" x14ac:dyDescent="0.25">
      <c r="A830" s="39" t="str">
        <f>IF(Sandbox!BL41="","",Sandbox!BL41)</f>
        <v/>
      </c>
      <c r="B830" s="111" t="str">
        <f>IF(Sandbox!BY41="","",Sandbox!BY41)</f>
        <v/>
      </c>
    </row>
    <row r="831" spans="1:2" ht="90" customHeight="1" x14ac:dyDescent="0.25">
      <c r="A831" s="39" t="str">
        <f>IF(Sandbox!BL42="","",Sandbox!BL42)</f>
        <v/>
      </c>
      <c r="B831" s="111" t="str">
        <f>IF(Sandbox!BY42="","",Sandbox!BY42)</f>
        <v/>
      </c>
    </row>
    <row r="832" spans="1:2" ht="90" customHeight="1" x14ac:dyDescent="0.25">
      <c r="A832" s="39" t="str">
        <f>IF(Sandbox!BL43="","",Sandbox!BL43)</f>
        <v/>
      </c>
      <c r="B832" s="111" t="str">
        <f>IF(Sandbox!BY43="","",Sandbox!BY43)</f>
        <v/>
      </c>
    </row>
    <row r="833" spans="1:2" ht="90" customHeight="1" x14ac:dyDescent="0.25">
      <c r="A833" s="39" t="str">
        <f>IF(Sandbox!BL44="","",Sandbox!BL44)</f>
        <v/>
      </c>
      <c r="B833" s="111" t="str">
        <f>IF(Sandbox!BY44="","",Sandbox!BY44)</f>
        <v/>
      </c>
    </row>
    <row r="834" spans="1:2" ht="90" customHeight="1" x14ac:dyDescent="0.25">
      <c r="A834" s="39" t="str">
        <f>IF(Sandbox!BL45="","",Sandbox!BL45)</f>
        <v/>
      </c>
      <c r="B834" s="111" t="str">
        <f>IF(Sandbox!BY45="","",Sandbox!BY45)</f>
        <v/>
      </c>
    </row>
    <row r="835" spans="1:2" ht="90" customHeight="1" x14ac:dyDescent="0.25">
      <c r="A835" s="39" t="str">
        <f>IF(Sandbox!BL46="","",Sandbox!BL46)</f>
        <v/>
      </c>
      <c r="B835" s="111" t="str">
        <f>IF(Sandbox!BY46="","",Sandbox!BY46)</f>
        <v/>
      </c>
    </row>
    <row r="836" spans="1:2" ht="90" customHeight="1" x14ac:dyDescent="0.25">
      <c r="A836" s="39" t="str">
        <f>IF(Sandbox!BL47="","",Sandbox!BL47)</f>
        <v/>
      </c>
      <c r="B836" s="111" t="str">
        <f>IF(Sandbox!BY47="","",Sandbox!BY47)</f>
        <v/>
      </c>
    </row>
    <row r="837" spans="1:2" ht="90" customHeight="1" x14ac:dyDescent="0.25">
      <c r="A837" s="39" t="str">
        <f>IF(Sandbox!BL48="","",Sandbox!BL48)</f>
        <v/>
      </c>
      <c r="B837" s="111" t="str">
        <f>IF(Sandbox!BY48="","",Sandbox!BY48)</f>
        <v/>
      </c>
    </row>
    <row r="838" spans="1:2" ht="90" customHeight="1" x14ac:dyDescent="0.25">
      <c r="A838" s="39" t="str">
        <f>IF(Sandbox!BL49="","",Sandbox!BL49)</f>
        <v/>
      </c>
      <c r="B838" s="111" t="str">
        <f>IF(Sandbox!BY49="","",Sandbox!BY49)</f>
        <v/>
      </c>
    </row>
    <row r="839" spans="1:2" ht="90" customHeight="1" x14ac:dyDescent="0.25">
      <c r="A839" s="39" t="str">
        <f>IF(Sandbox!BL50="","",Sandbox!BL50)</f>
        <v/>
      </c>
      <c r="B839" s="111" t="str">
        <f>IF(Sandbox!BY50="","",Sandbox!BY50)</f>
        <v/>
      </c>
    </row>
    <row r="840" spans="1:2" ht="90" customHeight="1" x14ac:dyDescent="0.25">
      <c r="A840" s="39" t="str">
        <f>IF(Sandbox!BL51="","",Sandbox!BL51)</f>
        <v/>
      </c>
      <c r="B840" s="111" t="str">
        <f>IF(Sandbox!BY51="","",Sandbox!BY51)</f>
        <v/>
      </c>
    </row>
    <row r="841" spans="1:2" ht="90" customHeight="1" x14ac:dyDescent="0.25">
      <c r="A841" s="39" t="str">
        <f>IF(Sandbox!BL52="","",Sandbox!BL52)</f>
        <v/>
      </c>
      <c r="B841" s="111" t="str">
        <f>IF(Sandbox!BY52="","",Sandbox!BY52)</f>
        <v/>
      </c>
    </row>
    <row r="842" spans="1:2" ht="90" customHeight="1" x14ac:dyDescent="0.25">
      <c r="A842" s="39" t="str">
        <f>IF(Sandbox!BL53="","",Sandbox!BL53)</f>
        <v/>
      </c>
      <c r="B842" s="111" t="str">
        <f>IF(Sandbox!BY53="","",Sandbox!BY53)</f>
        <v/>
      </c>
    </row>
    <row r="843" spans="1:2" ht="90" customHeight="1" x14ac:dyDescent="0.25">
      <c r="A843" s="39" t="str">
        <f>IF(Sandbox!BL54="","",Sandbox!BL54)</f>
        <v/>
      </c>
      <c r="B843" s="111" t="str">
        <f>IF(Sandbox!BY54="","",Sandbox!BY54)</f>
        <v/>
      </c>
    </row>
    <row r="844" spans="1:2" ht="90" customHeight="1" thickBot="1" x14ac:dyDescent="0.3">
      <c r="A844" s="196" t="str">
        <f>IF(Sandbox!BL55="","",Sandbox!BL55)</f>
        <v/>
      </c>
      <c r="B844" s="112" t="str">
        <f>IF(Sandbox!BY55="","",Sandbox!BY55)</f>
        <v/>
      </c>
    </row>
  </sheetData>
  <sheetProtection password="E9C2" sheet="1" objects="1" scenarios="1" selectLockedCells="1" selectUnlockedCells="1"/>
  <sortState ref="D2:E172">
    <sortCondition ref="D2:D172"/>
  </sortState>
  <pageMargins left="0.7" right="0.7" top="0.75" bottom="0.75" header="0.3" footer="0.3"/>
  <pageSetup orientation="portrait" horizontalDpi="300" verticalDpi="300" r:id="rId1"/>
  <colBreaks count="1" manualBreakCount="1">
    <brk id="2" max="84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Y172"/>
  <sheetViews>
    <sheetView view="pageBreakPreview" zoomScaleNormal="400" zoomScaleSheetLayoutView="100" workbookViewId="0">
      <pane ySplit="1" topLeftCell="A2" activePane="bottomLeft" state="frozen"/>
      <selection pane="bottomLeft" activeCell="Y1" sqref="A1:Y1048576"/>
    </sheetView>
  </sheetViews>
  <sheetFormatPr defaultRowHeight="15" x14ac:dyDescent="0.25"/>
  <cols>
    <col min="1" max="1" width="39.7109375" style="519" hidden="1" customWidth="1"/>
    <col min="2" max="2" width="14.42578125" style="519" hidden="1" customWidth="1"/>
    <col min="3" max="3" width="29.42578125" style="519" hidden="1" customWidth="1"/>
    <col min="4" max="4" width="9.28515625" style="519" hidden="1" customWidth="1"/>
    <col min="5" max="5" width="34.42578125" style="519" hidden="1" customWidth="1"/>
    <col min="6" max="6" width="11.28515625" style="519" hidden="1" customWidth="1"/>
    <col min="7" max="7" width="8.28515625" style="519" hidden="1" customWidth="1"/>
    <col min="8" max="8" width="15.7109375" style="521" hidden="1" customWidth="1"/>
    <col min="9" max="9" width="13.7109375" style="521" hidden="1" customWidth="1"/>
    <col min="10" max="10" width="15.7109375" style="521" hidden="1" customWidth="1"/>
    <col min="11" max="11" width="11.28515625" style="521" hidden="1" customWidth="1"/>
    <col min="12" max="12" width="15.7109375" style="521" hidden="1" customWidth="1"/>
    <col min="13" max="13" width="12.5703125" style="521" hidden="1" customWidth="1"/>
    <col min="14" max="14" width="15.7109375" style="521" hidden="1" customWidth="1"/>
    <col min="15" max="15" width="9" style="521" hidden="1" customWidth="1"/>
    <col min="16" max="16" width="15.7109375" style="521" hidden="1" customWidth="1"/>
    <col min="17" max="17" width="10.85546875" style="521" hidden="1" customWidth="1"/>
    <col min="18" max="18" width="15.7109375" style="521" hidden="1" customWidth="1"/>
    <col min="19" max="19" width="7.42578125" style="521" hidden="1" customWidth="1"/>
    <col min="20" max="20" width="15.7109375" style="521" hidden="1" customWidth="1"/>
    <col min="21" max="21" width="10.42578125" style="521" hidden="1" customWidth="1"/>
    <col min="22" max="22" width="15.7109375" style="521" hidden="1" customWidth="1"/>
    <col min="23" max="23" width="7.42578125" style="521" hidden="1" customWidth="1"/>
    <col min="24" max="24" width="15.7109375" style="521" hidden="1" customWidth="1"/>
    <col min="25" max="25" width="11.85546875" style="521" hidden="1" customWidth="1"/>
    <col min="26" max="16384" width="9.140625" style="521"/>
  </cols>
  <sheetData>
    <row r="1" spans="1:25" s="144" customFormat="1" ht="15.75" thickBot="1" x14ac:dyDescent="0.3">
      <c r="A1" s="522" t="s">
        <v>62</v>
      </c>
      <c r="B1" s="523" t="s">
        <v>492</v>
      </c>
      <c r="C1" s="523" t="s">
        <v>493</v>
      </c>
      <c r="D1" s="524" t="s">
        <v>2250</v>
      </c>
      <c r="E1" s="522" t="s">
        <v>33</v>
      </c>
      <c r="F1" s="523" t="s">
        <v>131</v>
      </c>
      <c r="G1" s="524" t="s">
        <v>130</v>
      </c>
      <c r="H1" s="456" t="s">
        <v>492</v>
      </c>
      <c r="I1" s="451" t="s">
        <v>524</v>
      </c>
      <c r="J1" s="451" t="s">
        <v>12</v>
      </c>
      <c r="K1" s="451" t="s">
        <v>525</v>
      </c>
      <c r="L1" s="451" t="s">
        <v>70</v>
      </c>
      <c r="M1" s="451" t="s">
        <v>3568</v>
      </c>
      <c r="N1" s="451" t="s">
        <v>938</v>
      </c>
      <c r="O1" s="451" t="s">
        <v>3569</v>
      </c>
      <c r="P1" s="451" t="s">
        <v>1803</v>
      </c>
      <c r="Q1" s="451" t="s">
        <v>3570</v>
      </c>
      <c r="R1" s="451" t="s">
        <v>944</v>
      </c>
      <c r="S1" s="451" t="s">
        <v>60</v>
      </c>
      <c r="T1" s="451" t="s">
        <v>3572</v>
      </c>
      <c r="U1" s="451" t="s">
        <v>527</v>
      </c>
      <c r="V1" s="451" t="s">
        <v>526</v>
      </c>
      <c r="W1" s="451" t="s">
        <v>60</v>
      </c>
      <c r="X1" s="451" t="s">
        <v>3571</v>
      </c>
      <c r="Y1" s="452" t="s">
        <v>2279</v>
      </c>
    </row>
    <row r="2" spans="1:25" x14ac:dyDescent="0.25">
      <c r="A2" s="525" t="s">
        <v>1034</v>
      </c>
      <c r="B2" s="525" t="s">
        <v>21</v>
      </c>
      <c r="C2" s="525" t="s">
        <v>494</v>
      </c>
      <c r="D2" s="525" t="str">
        <f t="shared" ref="D2:D27" si="0">IF(AND(H2="None",J2="None",L2="None",N2="No",P2="None",R2="No"),"None",IF(OR(H2="Varies",J2="Varies",L2="Varies",P2="Varies"),"Varies",CONCATENATE(I2+S2+K2+M2+O2+Q2+Y2," + ",W2+U2)))</f>
        <v>None</v>
      </c>
      <c r="E2" s="525" t="s">
        <v>2929</v>
      </c>
      <c r="F2" s="525" t="s">
        <v>1046</v>
      </c>
      <c r="G2" s="526">
        <v>59</v>
      </c>
      <c r="H2" s="527" t="s">
        <v>494</v>
      </c>
      <c r="I2" s="528">
        <f>VLOOKUP(H2,BoonRef!$AC$2:$AD$12,2,FALSE)</f>
        <v>0</v>
      </c>
      <c r="J2" s="529" t="s">
        <v>494</v>
      </c>
      <c r="K2" s="528">
        <f>VLOOKUP(J2,BoonRef!$AF$2:$AH$27,2,FALSE)</f>
        <v>0</v>
      </c>
      <c r="L2" s="528" t="s">
        <v>494</v>
      </c>
      <c r="M2" s="528">
        <f>VLOOKUP(L2,BoonRef!$AI$2:$AJ$42,2,FALSE)</f>
        <v>0</v>
      </c>
      <c r="N2" s="528" t="s">
        <v>347</v>
      </c>
      <c r="O2" s="528">
        <f>IF(N2="Yes",BoonRef!$AJ$56,0)</f>
        <v>0</v>
      </c>
      <c r="P2" s="528" t="s">
        <v>494</v>
      </c>
      <c r="Q2" s="528">
        <f>VLOOKUP(P2,BoonRef!$AI$43:$AJ$55,2,FALSE)</f>
        <v>0</v>
      </c>
      <c r="R2" s="529" t="s">
        <v>347</v>
      </c>
      <c r="S2" s="529">
        <f>IF(R2="Yes",BoonRef!$AJ$57,0)</f>
        <v>0</v>
      </c>
      <c r="T2" s="529" t="s">
        <v>346</v>
      </c>
      <c r="U2" s="528">
        <f>IF(T2="Yes",VLOOKUP(H2,BoonRef!$AC$2:$AE$12,3,FALSE),0)</f>
        <v>0</v>
      </c>
      <c r="V2" s="529" t="s">
        <v>347</v>
      </c>
      <c r="W2" s="529">
        <f>IF(V2="Yes",BoonRef!$AJ$57,0)</f>
        <v>0</v>
      </c>
      <c r="X2" s="529" t="s">
        <v>346</v>
      </c>
      <c r="Y2" s="30">
        <f>IF(OR(K2="V",J2="None"),0,VLOOKUP(J2,'Purchased Boons'!$AR$4:$AS$27,2,FALSE))</f>
        <v>0</v>
      </c>
    </row>
    <row r="3" spans="1:25" x14ac:dyDescent="0.25">
      <c r="A3" s="519" t="s">
        <v>952</v>
      </c>
      <c r="B3" s="519" t="s">
        <v>17</v>
      </c>
      <c r="C3" s="519" t="s">
        <v>494</v>
      </c>
      <c r="D3" s="519" t="str">
        <f t="shared" si="0"/>
        <v>None</v>
      </c>
      <c r="E3" s="519" t="s">
        <v>494</v>
      </c>
      <c r="F3" s="519" t="s">
        <v>1045</v>
      </c>
      <c r="G3" s="520">
        <v>60</v>
      </c>
      <c r="H3" s="475" t="s">
        <v>494</v>
      </c>
      <c r="I3" s="37">
        <f>VLOOKUP(H3,BoonRef!$AC$2:$AD$12,2,FALSE)</f>
        <v>0</v>
      </c>
      <c r="J3" s="470" t="s">
        <v>494</v>
      </c>
      <c r="K3" s="37">
        <f>VLOOKUP(J3,BoonRef!$AF$2:$AH$27,2,FALSE)</f>
        <v>0</v>
      </c>
      <c r="L3" s="37" t="s">
        <v>494</v>
      </c>
      <c r="M3" s="37">
        <f>VLOOKUP(L3,BoonRef!$AI$2:$AJ$42,2,FALSE)</f>
        <v>0</v>
      </c>
      <c r="N3" s="37" t="s">
        <v>347</v>
      </c>
      <c r="O3" s="37">
        <f>IF(N3="Yes",BoonRef!$AJ$56,0)</f>
        <v>0</v>
      </c>
      <c r="P3" s="37" t="s">
        <v>494</v>
      </c>
      <c r="Q3" s="37">
        <f>VLOOKUP(P3,BoonRef!$AI$43:$AJ$55,2,FALSE)</f>
        <v>0</v>
      </c>
      <c r="R3" s="470" t="s">
        <v>347</v>
      </c>
      <c r="S3" s="470">
        <f>IF(R3="Yes",BoonRef!$AJ$57,0)</f>
        <v>0</v>
      </c>
      <c r="T3" s="470" t="s">
        <v>346</v>
      </c>
      <c r="U3" s="37">
        <f>IF(T3="Yes",VLOOKUP(H3,BoonRef!$AC$2:$AE$12,3,FALSE),0)</f>
        <v>0</v>
      </c>
      <c r="V3" s="470" t="s">
        <v>347</v>
      </c>
      <c r="W3" s="470">
        <f>IF(V3="Yes",BoonRef!$AJ$57,0)</f>
        <v>0</v>
      </c>
      <c r="X3" s="470" t="s">
        <v>346</v>
      </c>
      <c r="Y3" s="111">
        <f>IF(OR(K3="V",J3="None"),0,VLOOKUP(J3,'Purchased Boons'!$AR$4:$AS$27,2,FALSE))</f>
        <v>0</v>
      </c>
    </row>
    <row r="4" spans="1:25" x14ac:dyDescent="0.25">
      <c r="A4" s="37" t="s">
        <v>946</v>
      </c>
      <c r="B4" s="519" t="s">
        <v>13</v>
      </c>
      <c r="C4" s="519" t="s">
        <v>494</v>
      </c>
      <c r="D4" s="519" t="str">
        <f t="shared" si="0"/>
        <v>None</v>
      </c>
      <c r="E4" s="519" t="s">
        <v>2930</v>
      </c>
      <c r="F4" s="519" t="s">
        <v>5</v>
      </c>
      <c r="G4" s="520">
        <v>62</v>
      </c>
      <c r="H4" s="475" t="s">
        <v>494</v>
      </c>
      <c r="I4" s="37">
        <f>VLOOKUP(H4,BoonRef!$AC$2:$AD$12,2,FALSE)</f>
        <v>0</v>
      </c>
      <c r="J4" s="470" t="s">
        <v>494</v>
      </c>
      <c r="K4" s="37">
        <f>VLOOKUP(J4,BoonRef!$AF$2:$AH$27,2,FALSE)</f>
        <v>0</v>
      </c>
      <c r="L4" s="37" t="s">
        <v>494</v>
      </c>
      <c r="M4" s="37">
        <f>VLOOKUP(L4,BoonRef!$AI$2:$AJ$42,2,FALSE)</f>
        <v>0</v>
      </c>
      <c r="N4" s="37" t="s">
        <v>347</v>
      </c>
      <c r="O4" s="37">
        <f>IF(N4="Yes",BoonRef!$AJ$56,0)</f>
        <v>0</v>
      </c>
      <c r="P4" s="37" t="s">
        <v>494</v>
      </c>
      <c r="Q4" s="37">
        <f>VLOOKUP(P4,BoonRef!$AI$43:$AJ$55,2,FALSE)</f>
        <v>0</v>
      </c>
      <c r="R4" s="470" t="s">
        <v>347</v>
      </c>
      <c r="S4" s="470">
        <f>IF(R4="Yes",BoonRef!$AJ$57,0)</f>
        <v>0</v>
      </c>
      <c r="T4" s="470" t="s">
        <v>346</v>
      </c>
      <c r="U4" s="37">
        <f>IF(T4="Yes",VLOOKUP(H4,BoonRef!$AC$2:$AE$12,3,FALSE),0)</f>
        <v>0</v>
      </c>
      <c r="V4" s="470" t="s">
        <v>347</v>
      </c>
      <c r="W4" s="470">
        <f>IF(V4="Yes",BoonRef!$AJ$57,0)</f>
        <v>0</v>
      </c>
      <c r="X4" s="470" t="s">
        <v>346</v>
      </c>
      <c r="Y4" s="111">
        <f>IF(OR(K4="V",J4="None"),0,VLOOKUP(J4,'Purchased Boons'!$AR$4:$AS$27,2,FALSE))</f>
        <v>0</v>
      </c>
    </row>
    <row r="5" spans="1:25" x14ac:dyDescent="0.25">
      <c r="A5" s="37" t="s">
        <v>387</v>
      </c>
      <c r="B5" s="519" t="s">
        <v>13</v>
      </c>
      <c r="C5" s="519" t="s">
        <v>398</v>
      </c>
      <c r="D5" s="519" t="str">
        <f t="shared" si="0"/>
        <v>None</v>
      </c>
      <c r="E5" s="519" t="s">
        <v>1056</v>
      </c>
      <c r="F5" s="519" t="s">
        <v>5</v>
      </c>
      <c r="G5" s="520">
        <v>63</v>
      </c>
      <c r="H5" s="475" t="s">
        <v>494</v>
      </c>
      <c r="I5" s="37">
        <f>VLOOKUP(H5,BoonRef!$AC$2:$AD$12,2,FALSE)</f>
        <v>0</v>
      </c>
      <c r="J5" s="470" t="s">
        <v>494</v>
      </c>
      <c r="K5" s="37">
        <f>VLOOKUP(J5,BoonRef!$AF$2:$AH$27,2,FALSE)</f>
        <v>0</v>
      </c>
      <c r="L5" s="37" t="s">
        <v>494</v>
      </c>
      <c r="M5" s="37">
        <f>VLOOKUP(L5,BoonRef!$AI$2:$AJ$42,2,FALSE)</f>
        <v>0</v>
      </c>
      <c r="N5" s="37" t="s">
        <v>347</v>
      </c>
      <c r="O5" s="37">
        <f>IF(N5="Yes",BoonRef!$AJ$56,0)</f>
        <v>0</v>
      </c>
      <c r="P5" s="37" t="s">
        <v>494</v>
      </c>
      <c r="Q5" s="37">
        <f>VLOOKUP(P5,BoonRef!$AI$43:$AJ$55,2,FALSE)</f>
        <v>0</v>
      </c>
      <c r="R5" s="470" t="s">
        <v>347</v>
      </c>
      <c r="S5" s="470">
        <f>IF(R5="Yes",BoonRef!$AJ$57,0)</f>
        <v>0</v>
      </c>
      <c r="T5" s="470" t="s">
        <v>346</v>
      </c>
      <c r="U5" s="37">
        <f>IF(T5="Yes",VLOOKUP(H5,BoonRef!$AC$2:$AE$12,3,FALSE),0)</f>
        <v>0</v>
      </c>
      <c r="V5" s="470" t="s">
        <v>347</v>
      </c>
      <c r="W5" s="470">
        <f>IF(V5="Yes",BoonRef!$AJ$57,0)</f>
        <v>0</v>
      </c>
      <c r="X5" s="470" t="s">
        <v>346</v>
      </c>
      <c r="Y5" s="111">
        <f>IF(OR(K5="V",J5="None"),0,VLOOKUP(J5,'Purchased Boons'!$AR$4:$AS$27,2,FALSE))</f>
        <v>0</v>
      </c>
    </row>
    <row r="6" spans="1:25" x14ac:dyDescent="0.25">
      <c r="A6" s="37" t="s">
        <v>374</v>
      </c>
      <c r="B6" s="519" t="s">
        <v>30</v>
      </c>
      <c r="C6" s="519" t="s">
        <v>379</v>
      </c>
      <c r="D6" s="519" t="str">
        <f t="shared" si="0"/>
        <v>None</v>
      </c>
      <c r="E6" s="519" t="s">
        <v>2932</v>
      </c>
      <c r="F6" s="519" t="s">
        <v>1046</v>
      </c>
      <c r="G6" s="520">
        <v>51</v>
      </c>
      <c r="H6" s="475" t="s">
        <v>494</v>
      </c>
      <c r="I6" s="37">
        <f>VLOOKUP(H6,BoonRef!$AC$2:$AD$12,2,FALSE)</f>
        <v>0</v>
      </c>
      <c r="J6" s="470" t="s">
        <v>494</v>
      </c>
      <c r="K6" s="37">
        <f>VLOOKUP(J6,BoonRef!$AF$2:$AH$27,2,FALSE)</f>
        <v>0</v>
      </c>
      <c r="L6" s="37" t="s">
        <v>494</v>
      </c>
      <c r="M6" s="37">
        <f>VLOOKUP(L6,BoonRef!$AI$2:$AJ$42,2,FALSE)</f>
        <v>0</v>
      </c>
      <c r="N6" s="37" t="s">
        <v>347</v>
      </c>
      <c r="O6" s="37">
        <f>IF(N6="Yes",BoonRef!$AJ$56,0)</f>
        <v>0</v>
      </c>
      <c r="P6" s="37" t="s">
        <v>494</v>
      </c>
      <c r="Q6" s="37">
        <f>VLOOKUP(P6,BoonRef!$AI$43:$AJ$55,2,FALSE)</f>
        <v>0</v>
      </c>
      <c r="R6" s="470" t="s">
        <v>347</v>
      </c>
      <c r="S6" s="470">
        <f>IF(R6="Yes",BoonRef!$AJ$57,0)</f>
        <v>0</v>
      </c>
      <c r="T6" s="470" t="s">
        <v>346</v>
      </c>
      <c r="U6" s="37">
        <f>IF(T6="Yes",VLOOKUP(H6,BoonRef!$AC$2:$AE$12,3,FALSE),0)</f>
        <v>0</v>
      </c>
      <c r="V6" s="470" t="s">
        <v>347</v>
      </c>
      <c r="W6" s="470">
        <f>IF(V6="Yes",BoonRef!$AJ$57,0)</f>
        <v>0</v>
      </c>
      <c r="X6" s="470" t="s">
        <v>346</v>
      </c>
      <c r="Y6" s="111">
        <f>IF(OR(K6="V",J6="None"),0,VLOOKUP(J6,'Purchased Boons'!$AR$4:$AS$27,2,FALSE))</f>
        <v>0</v>
      </c>
    </row>
    <row r="7" spans="1:25" x14ac:dyDescent="0.25">
      <c r="A7" s="519" t="s">
        <v>1016</v>
      </c>
      <c r="B7" s="519" t="s">
        <v>20</v>
      </c>
      <c r="C7" s="519" t="s">
        <v>494</v>
      </c>
      <c r="D7" s="519" t="str">
        <f t="shared" si="0"/>
        <v>Varies</v>
      </c>
      <c r="E7" s="519" t="s">
        <v>1055</v>
      </c>
      <c r="F7" s="519" t="s">
        <v>1046</v>
      </c>
      <c r="G7" s="520">
        <v>57</v>
      </c>
      <c r="H7" s="475" t="s">
        <v>20</v>
      </c>
      <c r="I7" s="37">
        <f>VLOOKUP(H7,BoonRef!$AC$2:$AD$12,2,FALSE)</f>
        <v>1</v>
      </c>
      <c r="J7" s="470" t="s">
        <v>1063</v>
      </c>
      <c r="K7" s="37" t="str">
        <f>VLOOKUP(J7,BoonRef!$AF$2:$AH$27,2,FALSE)</f>
        <v>V</v>
      </c>
      <c r="L7" s="37" t="s">
        <v>494</v>
      </c>
      <c r="M7" s="37">
        <f>VLOOKUP(L7,BoonRef!$AI$2:$AJ$42,2,FALSE)</f>
        <v>0</v>
      </c>
      <c r="N7" s="37" t="s">
        <v>347</v>
      </c>
      <c r="O7" s="37">
        <f>IF(N7="Yes",BoonRef!$AJ$56,0)</f>
        <v>0</v>
      </c>
      <c r="P7" s="37" t="s">
        <v>494</v>
      </c>
      <c r="Q7" s="37">
        <f>VLOOKUP(P7,BoonRef!$AI$43:$AJ$55,2,FALSE)</f>
        <v>0</v>
      </c>
      <c r="R7" s="470" t="s">
        <v>346</v>
      </c>
      <c r="S7" s="470">
        <f>IF(R7="Yes",BoonRef!$AJ$57,0)</f>
        <v>2</v>
      </c>
      <c r="T7" s="470" t="s">
        <v>346</v>
      </c>
      <c r="U7" s="37">
        <f>IF(T7="Yes",VLOOKUP(H7,BoonRef!$AC$2:$AE$12,3,FALSE),0)</f>
        <v>0</v>
      </c>
      <c r="V7" s="470" t="s">
        <v>347</v>
      </c>
      <c r="W7" s="470">
        <f>IF(V7="Yes",BoonRef!$AJ$57,0)</f>
        <v>0</v>
      </c>
      <c r="X7" s="470" t="s">
        <v>346</v>
      </c>
      <c r="Y7" s="111">
        <f>IF(OR(K7="V",J7="None"),0,VLOOKUP(J7,'Purchased Boons'!$AR$4:$AS$27,2,FALSE))</f>
        <v>0</v>
      </c>
    </row>
    <row r="8" spans="1:25" x14ac:dyDescent="0.25">
      <c r="A8" s="519" t="s">
        <v>419</v>
      </c>
      <c r="B8" s="519" t="s">
        <v>16</v>
      </c>
      <c r="C8" s="519" t="s">
        <v>494</v>
      </c>
      <c r="D8" s="519" t="str">
        <f t="shared" si="0"/>
        <v>None</v>
      </c>
      <c r="E8" s="519" t="s">
        <v>1050</v>
      </c>
      <c r="F8" s="519" t="s">
        <v>133</v>
      </c>
      <c r="G8" s="520">
        <v>130</v>
      </c>
      <c r="H8" s="475" t="s">
        <v>494</v>
      </c>
      <c r="I8" s="37">
        <f>VLOOKUP(H8,BoonRef!$AC$2:$AD$12,2,FALSE)</f>
        <v>0</v>
      </c>
      <c r="J8" s="470" t="s">
        <v>494</v>
      </c>
      <c r="K8" s="37">
        <f>VLOOKUP(J8,BoonRef!$AF$2:$AH$27,2,FALSE)</f>
        <v>0</v>
      </c>
      <c r="L8" s="37" t="s">
        <v>494</v>
      </c>
      <c r="M8" s="37">
        <f>VLOOKUP(L8,BoonRef!$AI$2:$AJ$42,2,FALSE)</f>
        <v>0</v>
      </c>
      <c r="N8" s="37" t="s">
        <v>347</v>
      </c>
      <c r="O8" s="37">
        <f>IF(N8="Yes",BoonRef!$AJ$56,0)</f>
        <v>0</v>
      </c>
      <c r="P8" s="37" t="s">
        <v>494</v>
      </c>
      <c r="Q8" s="37">
        <f>VLOOKUP(P8,BoonRef!$AI$43:$AJ$55,2,FALSE)</f>
        <v>0</v>
      </c>
      <c r="R8" s="470" t="s">
        <v>347</v>
      </c>
      <c r="S8" s="470">
        <f>IF(R8="Yes",BoonRef!$AJ$57,0)</f>
        <v>0</v>
      </c>
      <c r="T8" s="470" t="s">
        <v>346</v>
      </c>
      <c r="U8" s="37">
        <f>IF(T8="Yes",VLOOKUP(H8,BoonRef!$AC$2:$AE$12,3,FALSE),0)</f>
        <v>0</v>
      </c>
      <c r="V8" s="470" t="s">
        <v>347</v>
      </c>
      <c r="W8" s="470">
        <f>IF(V8="Yes",BoonRef!$AJ$57,0)</f>
        <v>0</v>
      </c>
      <c r="X8" s="470" t="s">
        <v>346</v>
      </c>
      <c r="Y8" s="111">
        <f>IF(OR(K8="V",J8="None"),0,VLOOKUP(J8,'Purchased Boons'!$AR$4:$AS$27,2,FALSE))</f>
        <v>0</v>
      </c>
    </row>
    <row r="9" spans="1:25" x14ac:dyDescent="0.25">
      <c r="A9" s="519" t="s">
        <v>1035</v>
      </c>
      <c r="B9" s="519" t="s">
        <v>21</v>
      </c>
      <c r="C9" s="519" t="s">
        <v>1021</v>
      </c>
      <c r="D9" s="519" t="str">
        <f t="shared" si="0"/>
        <v>None</v>
      </c>
      <c r="E9" s="519" t="s">
        <v>1055</v>
      </c>
      <c r="F9" s="519" t="s">
        <v>1046</v>
      </c>
      <c r="G9" s="520">
        <v>59</v>
      </c>
      <c r="H9" s="475" t="s">
        <v>494</v>
      </c>
      <c r="I9" s="37">
        <f>VLOOKUP(H9,BoonRef!$AC$2:$AD$12,2,FALSE)</f>
        <v>0</v>
      </c>
      <c r="J9" s="470" t="s">
        <v>494</v>
      </c>
      <c r="K9" s="37">
        <f>VLOOKUP(J9,BoonRef!$AF$2:$AH$27,2,FALSE)</f>
        <v>0</v>
      </c>
      <c r="L9" s="37" t="s">
        <v>494</v>
      </c>
      <c r="M9" s="37">
        <f>VLOOKUP(L9,BoonRef!$AI$2:$AJ$42,2,FALSE)</f>
        <v>0</v>
      </c>
      <c r="N9" s="37" t="s">
        <v>347</v>
      </c>
      <c r="O9" s="37">
        <f>IF(N9="Yes",BoonRef!$AJ$56,0)</f>
        <v>0</v>
      </c>
      <c r="P9" s="37" t="s">
        <v>494</v>
      </c>
      <c r="Q9" s="37">
        <f>VLOOKUP(P9,BoonRef!$AI$43:$AJ$55,2,FALSE)</f>
        <v>0</v>
      </c>
      <c r="R9" s="470" t="s">
        <v>347</v>
      </c>
      <c r="S9" s="470">
        <f>IF(R9="Yes",BoonRef!$AJ$57,0)</f>
        <v>0</v>
      </c>
      <c r="T9" s="470" t="s">
        <v>346</v>
      </c>
      <c r="U9" s="37">
        <f>IF(T9="Yes",VLOOKUP(H9,BoonRef!$AC$2:$AE$12,3,FALSE),0)</f>
        <v>0</v>
      </c>
      <c r="V9" s="470" t="s">
        <v>347</v>
      </c>
      <c r="W9" s="470">
        <f>IF(V9="Yes",BoonRef!$AJ$57,0)</f>
        <v>0</v>
      </c>
      <c r="X9" s="470" t="s">
        <v>346</v>
      </c>
      <c r="Y9" s="111">
        <f>IF(OR(K9="V",J9="None"),0,VLOOKUP(J9,'Purchased Boons'!$AR$4:$AS$27,2,FALSE))</f>
        <v>0</v>
      </c>
    </row>
    <row r="10" spans="1:25" x14ac:dyDescent="0.25">
      <c r="A10" s="519" t="s">
        <v>420</v>
      </c>
      <c r="B10" s="519" t="s">
        <v>16</v>
      </c>
      <c r="C10" s="519" t="s">
        <v>422</v>
      </c>
      <c r="D10" s="519" t="str">
        <f t="shared" si="0"/>
        <v>None</v>
      </c>
      <c r="E10" s="519" t="s">
        <v>1050</v>
      </c>
      <c r="F10" s="519" t="s">
        <v>1045</v>
      </c>
      <c r="G10" s="520">
        <v>59</v>
      </c>
      <c r="H10" s="475" t="s">
        <v>494</v>
      </c>
      <c r="I10" s="37">
        <f>VLOOKUP(H10,BoonRef!$AC$2:$AD$12,2,FALSE)</f>
        <v>0</v>
      </c>
      <c r="J10" s="470" t="s">
        <v>494</v>
      </c>
      <c r="K10" s="37">
        <f>VLOOKUP(J10,BoonRef!$AF$2:$AH$27,2,FALSE)</f>
        <v>0</v>
      </c>
      <c r="L10" s="37" t="s">
        <v>494</v>
      </c>
      <c r="M10" s="37">
        <f>VLOOKUP(L10,BoonRef!$AI$2:$AJ$42,2,FALSE)</f>
        <v>0</v>
      </c>
      <c r="N10" s="37" t="s">
        <v>347</v>
      </c>
      <c r="O10" s="37">
        <f>IF(N10="Yes",BoonRef!$AJ$56,0)</f>
        <v>0</v>
      </c>
      <c r="P10" s="37" t="s">
        <v>494</v>
      </c>
      <c r="Q10" s="37">
        <f>VLOOKUP(P10,BoonRef!$AI$43:$AJ$55,2,FALSE)</f>
        <v>0</v>
      </c>
      <c r="R10" s="470" t="s">
        <v>347</v>
      </c>
      <c r="S10" s="470">
        <f>IF(R10="Yes",BoonRef!$AJ$57,0)</f>
        <v>0</v>
      </c>
      <c r="T10" s="470" t="s">
        <v>346</v>
      </c>
      <c r="U10" s="37">
        <f>IF(T10="Yes",VLOOKUP(H10,BoonRef!$AC$2:$AE$12,3,FALSE),0)</f>
        <v>0</v>
      </c>
      <c r="V10" s="470" t="s">
        <v>347</v>
      </c>
      <c r="W10" s="470">
        <f>IF(V10="Yes",BoonRef!$AJ$57,0)</f>
        <v>0</v>
      </c>
      <c r="X10" s="470" t="s">
        <v>346</v>
      </c>
      <c r="Y10" s="111">
        <f>IF(OR(K10="V",J10="None"),0,VLOOKUP(J10,'Purchased Boons'!$AR$4:$AS$27,2,FALSE))</f>
        <v>0</v>
      </c>
    </row>
    <row r="11" spans="1:25" x14ac:dyDescent="0.25">
      <c r="A11" s="519" t="s">
        <v>421</v>
      </c>
      <c r="B11" s="519" t="s">
        <v>16</v>
      </c>
      <c r="C11" s="519" t="s">
        <v>424</v>
      </c>
      <c r="D11" s="519" t="str">
        <f t="shared" si="0"/>
        <v>None</v>
      </c>
      <c r="E11" s="519" t="s">
        <v>1054</v>
      </c>
      <c r="F11" s="519" t="s">
        <v>1046</v>
      </c>
      <c r="G11" s="520">
        <v>54</v>
      </c>
      <c r="H11" s="475" t="s">
        <v>494</v>
      </c>
      <c r="I11" s="37">
        <f>VLOOKUP(H11,BoonRef!$AC$2:$AD$12,2,FALSE)</f>
        <v>0</v>
      </c>
      <c r="J11" s="470" t="s">
        <v>494</v>
      </c>
      <c r="K11" s="37">
        <f>VLOOKUP(J11,BoonRef!$AF$2:$AH$27,2,FALSE)</f>
        <v>0</v>
      </c>
      <c r="L11" s="37" t="s">
        <v>494</v>
      </c>
      <c r="M11" s="37">
        <f>VLOOKUP(L11,BoonRef!$AI$2:$AJ$42,2,FALSE)</f>
        <v>0</v>
      </c>
      <c r="N11" s="37" t="s">
        <v>347</v>
      </c>
      <c r="O11" s="37">
        <f>IF(N11="Yes",BoonRef!$AJ$56,0)</f>
        <v>0</v>
      </c>
      <c r="P11" s="37" t="s">
        <v>494</v>
      </c>
      <c r="Q11" s="37">
        <f>VLOOKUP(P11,BoonRef!$AI$43:$AJ$55,2,FALSE)</f>
        <v>0</v>
      </c>
      <c r="R11" s="470" t="s">
        <v>347</v>
      </c>
      <c r="S11" s="470">
        <f>IF(R11="Yes",BoonRef!$AJ$57,0)</f>
        <v>0</v>
      </c>
      <c r="T11" s="470" t="s">
        <v>346</v>
      </c>
      <c r="U11" s="37">
        <f>IF(T11="Yes",VLOOKUP(H11,BoonRef!$AC$2:$AE$12,3,FALSE),0)</f>
        <v>0</v>
      </c>
      <c r="V11" s="470" t="s">
        <v>347</v>
      </c>
      <c r="W11" s="470">
        <f>IF(V11="Yes",BoonRef!$AJ$57,0)</f>
        <v>0</v>
      </c>
      <c r="X11" s="470" t="s">
        <v>346</v>
      </c>
      <c r="Y11" s="111">
        <f>IF(OR(K11="V",J11="None"),0,VLOOKUP(J11,'Purchased Boons'!$AR$4:$AS$27,2,FALSE))</f>
        <v>0</v>
      </c>
    </row>
    <row r="12" spans="1:25" x14ac:dyDescent="0.25">
      <c r="A12" s="519" t="s">
        <v>422</v>
      </c>
      <c r="B12" s="519" t="s">
        <v>16</v>
      </c>
      <c r="C12" s="519" t="s">
        <v>494</v>
      </c>
      <c r="D12" s="519" t="str">
        <f t="shared" si="0"/>
        <v>None</v>
      </c>
      <c r="E12" s="519" t="s">
        <v>1050</v>
      </c>
      <c r="F12" s="519" t="s">
        <v>133</v>
      </c>
      <c r="G12" s="520">
        <v>130</v>
      </c>
      <c r="H12" s="475" t="s">
        <v>494</v>
      </c>
      <c r="I12" s="37">
        <f>VLOOKUP(H12,BoonRef!$AC$2:$AD$12,2,FALSE)</f>
        <v>0</v>
      </c>
      <c r="J12" s="470" t="s">
        <v>494</v>
      </c>
      <c r="K12" s="37">
        <f>VLOOKUP(J12,BoonRef!$AF$2:$AH$27,2,FALSE)</f>
        <v>0</v>
      </c>
      <c r="L12" s="37" t="s">
        <v>494</v>
      </c>
      <c r="M12" s="37">
        <f>VLOOKUP(L12,BoonRef!$AI$2:$AJ$42,2,FALSE)</f>
        <v>0</v>
      </c>
      <c r="N12" s="37" t="s">
        <v>347</v>
      </c>
      <c r="O12" s="37">
        <f>IF(N12="Yes",BoonRef!$AJ$56,0)</f>
        <v>0</v>
      </c>
      <c r="P12" s="37" t="s">
        <v>494</v>
      </c>
      <c r="Q12" s="37">
        <f>VLOOKUP(P12,BoonRef!$AI$43:$AJ$55,2,FALSE)</f>
        <v>0</v>
      </c>
      <c r="R12" s="470" t="s">
        <v>347</v>
      </c>
      <c r="S12" s="470">
        <f>IF(R12="Yes",BoonRef!$AJ$57,0)</f>
        <v>0</v>
      </c>
      <c r="T12" s="470" t="s">
        <v>346</v>
      </c>
      <c r="U12" s="37">
        <f>IF(T12="Yes",VLOOKUP(H12,BoonRef!$AC$2:$AE$12,3,FALSE),0)</f>
        <v>0</v>
      </c>
      <c r="V12" s="470" t="s">
        <v>347</v>
      </c>
      <c r="W12" s="470">
        <f>IF(V12="Yes",BoonRef!$AJ$57,0)</f>
        <v>0</v>
      </c>
      <c r="X12" s="470" t="s">
        <v>346</v>
      </c>
      <c r="Y12" s="111">
        <f>IF(OR(K12="V",J12="None"),0,VLOOKUP(J12,'Purchased Boons'!$AR$4:$AS$27,2,FALSE))</f>
        <v>0</v>
      </c>
    </row>
    <row r="13" spans="1:25" x14ac:dyDescent="0.25">
      <c r="A13" s="519" t="s">
        <v>970</v>
      </c>
      <c r="B13" s="519" t="s">
        <v>18</v>
      </c>
      <c r="C13" s="519" t="s">
        <v>494</v>
      </c>
      <c r="D13" s="519" t="str">
        <f t="shared" si="0"/>
        <v>None</v>
      </c>
      <c r="E13" s="519" t="s">
        <v>1050</v>
      </c>
      <c r="F13" s="519" t="s">
        <v>1045</v>
      </c>
      <c r="G13" s="520">
        <v>62</v>
      </c>
      <c r="H13" s="475" t="s">
        <v>494</v>
      </c>
      <c r="I13" s="37">
        <f>VLOOKUP(H13,BoonRef!$AC$2:$AD$12,2,FALSE)</f>
        <v>0</v>
      </c>
      <c r="J13" s="470" t="s">
        <v>494</v>
      </c>
      <c r="K13" s="37">
        <f>VLOOKUP(J13,BoonRef!$AF$2:$AH$27,2,FALSE)</f>
        <v>0</v>
      </c>
      <c r="L13" s="37" t="s">
        <v>494</v>
      </c>
      <c r="M13" s="37">
        <f>VLOOKUP(L13,BoonRef!$AI$2:$AJ$42,2,FALSE)</f>
        <v>0</v>
      </c>
      <c r="N13" s="37" t="s">
        <v>347</v>
      </c>
      <c r="O13" s="37">
        <f>IF(N13="Yes",BoonRef!$AJ$56,0)</f>
        <v>0</v>
      </c>
      <c r="P13" s="37" t="s">
        <v>494</v>
      </c>
      <c r="Q13" s="37">
        <f>VLOOKUP(P13,BoonRef!$AI$43:$AJ$55,2,FALSE)</f>
        <v>0</v>
      </c>
      <c r="R13" s="470" t="s">
        <v>347</v>
      </c>
      <c r="S13" s="470">
        <f>IF(R13="Yes",BoonRef!$AJ$57,0)</f>
        <v>0</v>
      </c>
      <c r="T13" s="470" t="s">
        <v>346</v>
      </c>
      <c r="U13" s="37">
        <f>IF(T13="Yes",VLOOKUP(H13,BoonRef!$AC$2:$AE$12,3,FALSE),0)</f>
        <v>0</v>
      </c>
      <c r="V13" s="470" t="s">
        <v>347</v>
      </c>
      <c r="W13" s="470">
        <f>IF(V13="Yes",BoonRef!$AJ$57,0)</f>
        <v>0</v>
      </c>
      <c r="X13" s="470" t="s">
        <v>346</v>
      </c>
      <c r="Y13" s="111">
        <f>IF(OR(K13="V",J13="None"),0,VLOOKUP(J13,'Purchased Boons'!$AR$4:$AS$27,2,FALSE))</f>
        <v>0</v>
      </c>
    </row>
    <row r="14" spans="1:25" x14ac:dyDescent="0.25">
      <c r="A14" s="519" t="s">
        <v>1011</v>
      </c>
      <c r="B14" s="519" t="s">
        <v>20</v>
      </c>
      <c r="C14" s="519" t="s">
        <v>494</v>
      </c>
      <c r="D14" s="519" t="str">
        <f t="shared" si="0"/>
        <v>None</v>
      </c>
      <c r="E14" s="519" t="s">
        <v>1050</v>
      </c>
      <c r="F14" s="519" t="s">
        <v>5</v>
      </c>
      <c r="G14" s="520">
        <v>74</v>
      </c>
      <c r="H14" s="475" t="s">
        <v>494</v>
      </c>
      <c r="I14" s="37">
        <f>VLOOKUP(H14,BoonRef!$AC$2:$AD$12,2,FALSE)</f>
        <v>0</v>
      </c>
      <c r="J14" s="470" t="s">
        <v>494</v>
      </c>
      <c r="K14" s="37">
        <f>VLOOKUP(J14,BoonRef!$AF$2:$AH$27,2,FALSE)</f>
        <v>0</v>
      </c>
      <c r="L14" s="37" t="s">
        <v>494</v>
      </c>
      <c r="M14" s="37">
        <f>VLOOKUP(L14,BoonRef!$AI$2:$AJ$42,2,FALSE)</f>
        <v>0</v>
      </c>
      <c r="N14" s="37" t="s">
        <v>347</v>
      </c>
      <c r="O14" s="37">
        <f>IF(N14="Yes",BoonRef!$AJ$56,0)</f>
        <v>0</v>
      </c>
      <c r="P14" s="37" t="s">
        <v>494</v>
      </c>
      <c r="Q14" s="37">
        <f>VLOOKUP(P14,BoonRef!$AI$43:$AJ$55,2,FALSE)</f>
        <v>0</v>
      </c>
      <c r="R14" s="470" t="s">
        <v>347</v>
      </c>
      <c r="S14" s="470">
        <f>IF(R14="Yes",BoonRef!$AJ$57,0)</f>
        <v>0</v>
      </c>
      <c r="T14" s="470" t="s">
        <v>346</v>
      </c>
      <c r="U14" s="37">
        <f>IF(T14="Yes",VLOOKUP(H14,BoonRef!$AC$2:$AE$12,3,FALSE),0)</f>
        <v>0</v>
      </c>
      <c r="V14" s="470" t="s">
        <v>347</v>
      </c>
      <c r="W14" s="470">
        <f>IF(V14="Yes",BoonRef!$AJ$57,0)</f>
        <v>0</v>
      </c>
      <c r="X14" s="470" t="s">
        <v>346</v>
      </c>
      <c r="Y14" s="111">
        <f>IF(OR(K14="V",J14="None"),0,VLOOKUP(J14,'Purchased Boons'!$AR$4:$AS$27,2,FALSE))</f>
        <v>0</v>
      </c>
    </row>
    <row r="15" spans="1:25" x14ac:dyDescent="0.25">
      <c r="A15" s="519" t="s">
        <v>947</v>
      </c>
      <c r="B15" s="519" t="s">
        <v>17</v>
      </c>
      <c r="C15" s="519" t="s">
        <v>494</v>
      </c>
      <c r="D15" s="519" t="str">
        <f t="shared" si="0"/>
        <v>4 + 0</v>
      </c>
      <c r="E15" s="519" t="s">
        <v>1050</v>
      </c>
      <c r="F15" s="519" t="s">
        <v>133</v>
      </c>
      <c r="G15" s="520">
        <v>131</v>
      </c>
      <c r="H15" s="475" t="s">
        <v>494</v>
      </c>
      <c r="I15" s="37">
        <f>VLOOKUP(H15,BoonRef!$AC$2:$AD$12,2,FALSE)</f>
        <v>0</v>
      </c>
      <c r="J15" s="470" t="s">
        <v>43</v>
      </c>
      <c r="K15" s="37">
        <f>VLOOKUP(J15,BoonRef!$AF$2:$AH$27,2,FALSE)</f>
        <v>0</v>
      </c>
      <c r="L15" s="37" t="s">
        <v>494</v>
      </c>
      <c r="M15" s="37">
        <f>VLOOKUP(L15,BoonRef!$AI$2:$AJ$42,2,FALSE)</f>
        <v>0</v>
      </c>
      <c r="N15" s="37" t="s">
        <v>346</v>
      </c>
      <c r="O15" s="37">
        <f>IF(N15="Yes",BoonRef!$AJ$56,0)</f>
        <v>2</v>
      </c>
      <c r="P15" s="37" t="s">
        <v>494</v>
      </c>
      <c r="Q15" s="37">
        <f>VLOOKUP(P15,BoonRef!$AI$43:$AJ$55,2,FALSE)</f>
        <v>0</v>
      </c>
      <c r="R15" s="470" t="s">
        <v>346</v>
      </c>
      <c r="S15" s="470">
        <f>IF(R15="Yes",BoonRef!$AJ$57,0)</f>
        <v>2</v>
      </c>
      <c r="T15" s="470" t="s">
        <v>346</v>
      </c>
      <c r="U15" s="37">
        <f>IF(T15="Yes",VLOOKUP(H15,BoonRef!$AC$2:$AE$12,3,FALSE),0)</f>
        <v>0</v>
      </c>
      <c r="V15" s="470" t="s">
        <v>347</v>
      </c>
      <c r="W15" s="470">
        <f>IF(V15="Yes",BoonRef!$AJ$57,0)</f>
        <v>0</v>
      </c>
      <c r="X15" s="470" t="s">
        <v>346</v>
      </c>
      <c r="Y15" s="111">
        <f>IF(OR(K15="V",J15="None"),0,VLOOKUP(J15,'Purchased Boons'!$AR$4:$AS$27,2,FALSE))</f>
        <v>0</v>
      </c>
    </row>
    <row r="16" spans="1:25" x14ac:dyDescent="0.25">
      <c r="A16" s="519" t="s">
        <v>105</v>
      </c>
      <c r="B16" s="519" t="s">
        <v>14</v>
      </c>
      <c r="C16" s="519" t="s">
        <v>494</v>
      </c>
      <c r="D16" s="519" t="str">
        <f t="shared" si="0"/>
        <v>None</v>
      </c>
      <c r="E16" s="519" t="s">
        <v>1056</v>
      </c>
      <c r="F16" s="519" t="s">
        <v>1045</v>
      </c>
      <c r="G16" s="520">
        <v>57</v>
      </c>
      <c r="H16" s="475" t="s">
        <v>494</v>
      </c>
      <c r="I16" s="37">
        <f>VLOOKUP(H16,BoonRef!$AC$2:$AD$12,2,FALSE)</f>
        <v>0</v>
      </c>
      <c r="J16" s="470" t="s">
        <v>494</v>
      </c>
      <c r="K16" s="37">
        <f>VLOOKUP(J16,BoonRef!$AF$2:$AH$27,2,FALSE)</f>
        <v>0</v>
      </c>
      <c r="L16" s="37" t="s">
        <v>494</v>
      </c>
      <c r="M16" s="37">
        <f>VLOOKUP(L16,BoonRef!$AI$2:$AJ$42,2,FALSE)</f>
        <v>0</v>
      </c>
      <c r="N16" s="37" t="s">
        <v>347</v>
      </c>
      <c r="O16" s="37">
        <f>IF(N16="Yes",BoonRef!$AJ$56,0)</f>
        <v>0</v>
      </c>
      <c r="P16" s="37" t="s">
        <v>494</v>
      </c>
      <c r="Q16" s="37">
        <f>VLOOKUP(P16,BoonRef!$AI$43:$AJ$55,2,FALSE)</f>
        <v>0</v>
      </c>
      <c r="R16" s="470" t="s">
        <v>347</v>
      </c>
      <c r="S16" s="470">
        <f>IF(R16="Yes",BoonRef!$AJ$57,0)</f>
        <v>0</v>
      </c>
      <c r="T16" s="470" t="s">
        <v>346</v>
      </c>
      <c r="U16" s="37">
        <f>IF(T16="Yes",VLOOKUP(H16,BoonRef!$AC$2:$AE$12,3,FALSE),0)</f>
        <v>0</v>
      </c>
      <c r="V16" s="470" t="s">
        <v>347</v>
      </c>
      <c r="W16" s="470">
        <f>IF(V16="Yes",BoonRef!$AJ$57,0)</f>
        <v>0</v>
      </c>
      <c r="X16" s="470" t="s">
        <v>346</v>
      </c>
      <c r="Y16" s="111">
        <f>IF(OR(K16="V",J16="None"),0,VLOOKUP(J16,'Purchased Boons'!$AR$4:$AS$27,2,FALSE))</f>
        <v>0</v>
      </c>
    </row>
    <row r="17" spans="1:25" x14ac:dyDescent="0.25">
      <c r="A17" s="519" t="s">
        <v>423</v>
      </c>
      <c r="B17" s="519" t="s">
        <v>16</v>
      </c>
      <c r="C17" s="519" t="s">
        <v>436</v>
      </c>
      <c r="D17" s="519" t="str">
        <f t="shared" si="0"/>
        <v>None</v>
      </c>
      <c r="E17" s="519" t="s">
        <v>1055</v>
      </c>
      <c r="F17" s="519" t="s">
        <v>5</v>
      </c>
      <c r="G17" s="520">
        <v>67</v>
      </c>
      <c r="H17" s="475" t="s">
        <v>494</v>
      </c>
      <c r="I17" s="37">
        <f>VLOOKUP(H17,BoonRef!$AC$2:$AD$12,2,FALSE)</f>
        <v>0</v>
      </c>
      <c r="J17" s="470" t="s">
        <v>494</v>
      </c>
      <c r="K17" s="37">
        <f>VLOOKUP(J17,BoonRef!$AF$2:$AH$27,2,FALSE)</f>
        <v>0</v>
      </c>
      <c r="L17" s="37" t="s">
        <v>494</v>
      </c>
      <c r="M17" s="37">
        <f>VLOOKUP(L17,BoonRef!$AI$2:$AJ$42,2,FALSE)</f>
        <v>0</v>
      </c>
      <c r="N17" s="37" t="s">
        <v>347</v>
      </c>
      <c r="O17" s="37">
        <f>IF(N17="Yes",BoonRef!$AJ$56,0)</f>
        <v>0</v>
      </c>
      <c r="P17" s="37" t="s">
        <v>494</v>
      </c>
      <c r="Q17" s="37">
        <f>VLOOKUP(P17,BoonRef!$AI$43:$AJ$55,2,FALSE)</f>
        <v>0</v>
      </c>
      <c r="R17" s="470" t="s">
        <v>347</v>
      </c>
      <c r="S17" s="470">
        <f>IF(R17="Yes",BoonRef!$AJ$57,0)</f>
        <v>0</v>
      </c>
      <c r="T17" s="470" t="s">
        <v>346</v>
      </c>
      <c r="U17" s="37">
        <f>IF(T17="Yes",VLOOKUP(H17,BoonRef!$AC$2:$AE$12,3,FALSE),0)</f>
        <v>0</v>
      </c>
      <c r="V17" s="470" t="s">
        <v>347</v>
      </c>
      <c r="W17" s="470">
        <f>IF(V17="Yes",BoonRef!$AJ$57,0)</f>
        <v>0</v>
      </c>
      <c r="X17" s="470" t="s">
        <v>346</v>
      </c>
      <c r="Y17" s="111">
        <f>IF(OR(K17="V",J17="None"),0,VLOOKUP(J17,'Purchased Boons'!$AR$4:$AS$27,2,FALSE))</f>
        <v>0</v>
      </c>
    </row>
    <row r="18" spans="1:25" x14ac:dyDescent="0.25">
      <c r="A18" s="519" t="s">
        <v>424</v>
      </c>
      <c r="B18" s="519" t="s">
        <v>16</v>
      </c>
      <c r="C18" s="519" t="s">
        <v>494</v>
      </c>
      <c r="D18" s="519" t="str">
        <f t="shared" si="0"/>
        <v>3 + 0</v>
      </c>
      <c r="E18" s="519" t="s">
        <v>1050</v>
      </c>
      <c r="F18" s="519" t="s">
        <v>5</v>
      </c>
      <c r="G18" s="520">
        <v>68</v>
      </c>
      <c r="H18" s="475" t="s">
        <v>16</v>
      </c>
      <c r="I18" s="37">
        <f>VLOOKUP(H18,BoonRef!$AC$2:$AD$12,2,FALSE)</f>
        <v>1</v>
      </c>
      <c r="J18" s="470" t="s">
        <v>51</v>
      </c>
      <c r="K18" s="37">
        <f>VLOOKUP(J18,BoonRef!$AF$2:$AH$27,2,FALSE)</f>
        <v>0</v>
      </c>
      <c r="L18" s="37" t="s">
        <v>494</v>
      </c>
      <c r="M18" s="37">
        <f>VLOOKUP(L18,BoonRef!$AI$2:$AJ$42,2,FALSE)</f>
        <v>0</v>
      </c>
      <c r="N18" s="37" t="s">
        <v>347</v>
      </c>
      <c r="O18" s="37">
        <f>IF(N18="Yes",BoonRef!$AJ$56,0)</f>
        <v>0</v>
      </c>
      <c r="P18" s="37" t="s">
        <v>494</v>
      </c>
      <c r="Q18" s="37">
        <f>VLOOKUP(P18,BoonRef!$AI$43:$AJ$55,2,FALSE)</f>
        <v>0</v>
      </c>
      <c r="R18" s="470" t="s">
        <v>346</v>
      </c>
      <c r="S18" s="470">
        <f>IF(R18="Yes",BoonRef!$AJ$57,0)</f>
        <v>2</v>
      </c>
      <c r="T18" s="470" t="s">
        <v>346</v>
      </c>
      <c r="U18" s="37">
        <f>IF(T18="Yes",VLOOKUP(H18,BoonRef!$AC$2:$AE$12,3,FALSE),0)</f>
        <v>0</v>
      </c>
      <c r="V18" s="470" t="s">
        <v>347</v>
      </c>
      <c r="W18" s="470">
        <f>IF(V18="Yes",BoonRef!$AJ$57,0)</f>
        <v>0</v>
      </c>
      <c r="X18" s="470" t="s">
        <v>346</v>
      </c>
      <c r="Y18" s="111">
        <f>IF(OR(K18="V",J18="None"),0,VLOOKUP(J18,'Purchased Boons'!$AR$4:$AS$27,2,FALSE))</f>
        <v>0</v>
      </c>
    </row>
    <row r="19" spans="1:25" x14ac:dyDescent="0.25">
      <c r="A19" s="519" t="s">
        <v>988</v>
      </c>
      <c r="B19" s="519" t="s">
        <v>19</v>
      </c>
      <c r="C19" s="519" t="s">
        <v>494</v>
      </c>
      <c r="D19" s="519" t="str">
        <f t="shared" si="0"/>
        <v>None</v>
      </c>
      <c r="E19" s="519" t="s">
        <v>1764</v>
      </c>
      <c r="F19" s="519" t="s">
        <v>1045</v>
      </c>
      <c r="G19" s="520">
        <v>64</v>
      </c>
      <c r="H19" s="475" t="s">
        <v>494</v>
      </c>
      <c r="I19" s="37">
        <f>VLOOKUP(H19,BoonRef!$AC$2:$AD$12,2,FALSE)</f>
        <v>0</v>
      </c>
      <c r="J19" s="470" t="s">
        <v>494</v>
      </c>
      <c r="K19" s="37">
        <f>VLOOKUP(J19,BoonRef!$AF$2:$AH$27,2,FALSE)</f>
        <v>0</v>
      </c>
      <c r="L19" s="37" t="s">
        <v>494</v>
      </c>
      <c r="M19" s="37">
        <f>VLOOKUP(L19,BoonRef!$AI$2:$AJ$42,2,FALSE)</f>
        <v>0</v>
      </c>
      <c r="N19" s="37" t="s">
        <v>347</v>
      </c>
      <c r="O19" s="37">
        <f>IF(N19="Yes",BoonRef!$AJ$56,0)</f>
        <v>0</v>
      </c>
      <c r="P19" s="37" t="s">
        <v>494</v>
      </c>
      <c r="Q19" s="37">
        <f>VLOOKUP(P19,BoonRef!$AI$43:$AJ$55,2,FALSE)</f>
        <v>0</v>
      </c>
      <c r="R19" s="470" t="s">
        <v>347</v>
      </c>
      <c r="S19" s="470">
        <f>IF(R19="Yes",BoonRef!$AJ$57,0)</f>
        <v>0</v>
      </c>
      <c r="T19" s="470" t="s">
        <v>346</v>
      </c>
      <c r="U19" s="37">
        <f>IF(T19="Yes",VLOOKUP(H19,BoonRef!$AC$2:$AE$12,3,FALSE),0)</f>
        <v>0</v>
      </c>
      <c r="V19" s="470" t="s">
        <v>347</v>
      </c>
      <c r="W19" s="470">
        <f>IF(V19="Yes",BoonRef!$AJ$57,0)</f>
        <v>0</v>
      </c>
      <c r="X19" s="470" t="s">
        <v>346</v>
      </c>
      <c r="Y19" s="111">
        <f>IF(OR(K19="V",J19="None"),0,VLOOKUP(J19,'Purchased Boons'!$AR$4:$AS$27,2,FALSE))</f>
        <v>0</v>
      </c>
    </row>
    <row r="20" spans="1:25" x14ac:dyDescent="0.25">
      <c r="A20" s="37" t="s">
        <v>388</v>
      </c>
      <c r="B20" s="519" t="s">
        <v>13</v>
      </c>
      <c r="C20" s="519" t="s">
        <v>494</v>
      </c>
      <c r="D20" s="519" t="str">
        <f t="shared" si="0"/>
        <v>None</v>
      </c>
      <c r="E20" s="519" t="s">
        <v>1764</v>
      </c>
      <c r="F20" s="519" t="s">
        <v>133</v>
      </c>
      <c r="G20" s="520">
        <v>127</v>
      </c>
      <c r="H20" s="475" t="s">
        <v>494</v>
      </c>
      <c r="I20" s="37">
        <f>VLOOKUP(H20,BoonRef!$AC$2:$AD$12,2,FALSE)</f>
        <v>0</v>
      </c>
      <c r="J20" s="470" t="s">
        <v>494</v>
      </c>
      <c r="K20" s="37">
        <f>VLOOKUP(J20,BoonRef!$AF$2:$AH$27,2,FALSE)</f>
        <v>0</v>
      </c>
      <c r="L20" s="37" t="s">
        <v>494</v>
      </c>
      <c r="M20" s="37">
        <f>VLOOKUP(L20,BoonRef!$AI$2:$AJ$42,2,FALSE)</f>
        <v>0</v>
      </c>
      <c r="N20" s="37" t="s">
        <v>347</v>
      </c>
      <c r="O20" s="37">
        <f>IF(N20="Yes",BoonRef!$AJ$56,0)</f>
        <v>0</v>
      </c>
      <c r="P20" s="37" t="s">
        <v>494</v>
      </c>
      <c r="Q20" s="37">
        <f>VLOOKUP(P20,BoonRef!$AI$43:$AJ$55,2,FALSE)</f>
        <v>0</v>
      </c>
      <c r="R20" s="470" t="s">
        <v>347</v>
      </c>
      <c r="S20" s="470">
        <f>IF(R20="Yes",BoonRef!$AJ$57,0)</f>
        <v>0</v>
      </c>
      <c r="T20" s="470" t="s">
        <v>346</v>
      </c>
      <c r="U20" s="37">
        <f>IF(T20="Yes",VLOOKUP(H20,BoonRef!$AC$2:$AE$12,3,FALSE),0)</f>
        <v>0</v>
      </c>
      <c r="V20" s="470" t="s">
        <v>347</v>
      </c>
      <c r="W20" s="470">
        <f>IF(V20="Yes",BoonRef!$AJ$57,0)</f>
        <v>0</v>
      </c>
      <c r="X20" s="470" t="s">
        <v>346</v>
      </c>
      <c r="Y20" s="111">
        <f>IF(OR(K20="V",J20="None"),0,VLOOKUP(J20,'Purchased Boons'!$AR$4:$AS$27,2,FALSE))</f>
        <v>0</v>
      </c>
    </row>
    <row r="21" spans="1:25" x14ac:dyDescent="0.25">
      <c r="A21" s="519" t="s">
        <v>965</v>
      </c>
      <c r="B21" s="519" t="s">
        <v>18</v>
      </c>
      <c r="C21" s="519" t="s">
        <v>494</v>
      </c>
      <c r="D21" s="519" t="str">
        <f t="shared" si="0"/>
        <v>None</v>
      </c>
      <c r="E21" s="519" t="s">
        <v>1050</v>
      </c>
      <c r="F21" s="519" t="s">
        <v>133</v>
      </c>
      <c r="G21" s="520">
        <v>132</v>
      </c>
      <c r="H21" s="475" t="s">
        <v>494</v>
      </c>
      <c r="I21" s="37">
        <f>VLOOKUP(H21,BoonRef!$AC$2:$AD$12,2,FALSE)</f>
        <v>0</v>
      </c>
      <c r="J21" s="470" t="s">
        <v>494</v>
      </c>
      <c r="K21" s="37">
        <f>VLOOKUP(J21,BoonRef!$AF$2:$AH$27,2,FALSE)</f>
        <v>0</v>
      </c>
      <c r="L21" s="37" t="s">
        <v>494</v>
      </c>
      <c r="M21" s="37">
        <f>VLOOKUP(L21,BoonRef!$AI$2:$AJ$42,2,FALSE)</f>
        <v>0</v>
      </c>
      <c r="N21" s="37" t="s">
        <v>347</v>
      </c>
      <c r="O21" s="37">
        <f>IF(N21="Yes",BoonRef!$AJ$56,0)</f>
        <v>0</v>
      </c>
      <c r="P21" s="37" t="s">
        <v>494</v>
      </c>
      <c r="Q21" s="37">
        <f>VLOOKUP(P21,BoonRef!$AI$43:$AJ$55,2,FALSE)</f>
        <v>0</v>
      </c>
      <c r="R21" s="470" t="s">
        <v>347</v>
      </c>
      <c r="S21" s="470">
        <f>IF(R21="Yes",BoonRef!$AJ$57,0)</f>
        <v>0</v>
      </c>
      <c r="T21" s="470" t="s">
        <v>346</v>
      </c>
      <c r="U21" s="37">
        <f>IF(T21="Yes",VLOOKUP(H21,BoonRef!$AC$2:$AE$12,3,FALSE),0)</f>
        <v>0</v>
      </c>
      <c r="V21" s="470" t="s">
        <v>347</v>
      </c>
      <c r="W21" s="470">
        <f>IF(V21="Yes",BoonRef!$AJ$57,0)</f>
        <v>0</v>
      </c>
      <c r="X21" s="470" t="s">
        <v>346</v>
      </c>
      <c r="Y21" s="111">
        <f>IF(OR(K21="V",J21="None"),0,VLOOKUP(J21,'Purchased Boons'!$AR$4:$AS$27,2,FALSE))</f>
        <v>0</v>
      </c>
    </row>
    <row r="22" spans="1:25" x14ac:dyDescent="0.25">
      <c r="A22" s="519" t="s">
        <v>425</v>
      </c>
      <c r="B22" s="519" t="s">
        <v>16</v>
      </c>
      <c r="C22" s="519" t="s">
        <v>494</v>
      </c>
      <c r="D22" s="519" t="str">
        <f t="shared" si="0"/>
        <v>None</v>
      </c>
      <c r="E22" s="519" t="s">
        <v>1056</v>
      </c>
      <c r="F22" s="519" t="s">
        <v>133</v>
      </c>
      <c r="G22" s="520">
        <v>130</v>
      </c>
      <c r="H22" s="475" t="s">
        <v>494</v>
      </c>
      <c r="I22" s="37">
        <f>VLOOKUP(H22,BoonRef!$AC$2:$AD$12,2,FALSE)</f>
        <v>0</v>
      </c>
      <c r="J22" s="470" t="s">
        <v>494</v>
      </c>
      <c r="K22" s="37">
        <f>VLOOKUP(J22,BoonRef!$AF$2:$AH$27,2,FALSE)</f>
        <v>0</v>
      </c>
      <c r="L22" s="37" t="s">
        <v>494</v>
      </c>
      <c r="M22" s="37">
        <f>VLOOKUP(L22,BoonRef!$AI$2:$AJ$42,2,FALSE)</f>
        <v>0</v>
      </c>
      <c r="N22" s="37" t="s">
        <v>347</v>
      </c>
      <c r="O22" s="37">
        <f>IF(N22="Yes",BoonRef!$AJ$56,0)</f>
        <v>0</v>
      </c>
      <c r="P22" s="37" t="s">
        <v>494</v>
      </c>
      <c r="Q22" s="37">
        <f>VLOOKUP(P22,BoonRef!$AI$43:$AJ$55,2,FALSE)</f>
        <v>0</v>
      </c>
      <c r="R22" s="470" t="s">
        <v>347</v>
      </c>
      <c r="S22" s="470">
        <f>IF(R22="Yes",BoonRef!$AJ$57,0)</f>
        <v>0</v>
      </c>
      <c r="T22" s="470" t="s">
        <v>346</v>
      </c>
      <c r="U22" s="37">
        <f>IF(T22="Yes",VLOOKUP(H22,BoonRef!$AC$2:$AE$12,3,FALSE),0)</f>
        <v>0</v>
      </c>
      <c r="V22" s="470" t="s">
        <v>347</v>
      </c>
      <c r="W22" s="470">
        <f>IF(V22="Yes",BoonRef!$AJ$57,0)</f>
        <v>0</v>
      </c>
      <c r="X22" s="470" t="s">
        <v>346</v>
      </c>
      <c r="Y22" s="111">
        <f>IF(OR(K22="V",J22="None"),0,VLOOKUP(J22,'Purchased Boons'!$AR$4:$AS$27,2,FALSE))</f>
        <v>0</v>
      </c>
    </row>
    <row r="23" spans="1:25" x14ac:dyDescent="0.25">
      <c r="A23" s="519" t="s">
        <v>1006</v>
      </c>
      <c r="B23" s="519" t="s">
        <v>20</v>
      </c>
      <c r="C23" s="519" t="s">
        <v>494</v>
      </c>
      <c r="D23" s="519" t="str">
        <f t="shared" si="0"/>
        <v>None</v>
      </c>
      <c r="E23" s="519" t="s">
        <v>1764</v>
      </c>
      <c r="F23" s="519" t="s">
        <v>1045</v>
      </c>
      <c r="G23" s="520">
        <v>65</v>
      </c>
      <c r="H23" s="475" t="s">
        <v>494</v>
      </c>
      <c r="I23" s="37">
        <f>VLOOKUP(H23,BoonRef!$AC$2:$AD$12,2,FALSE)</f>
        <v>0</v>
      </c>
      <c r="J23" s="470" t="s">
        <v>494</v>
      </c>
      <c r="K23" s="37">
        <f>VLOOKUP(J23,BoonRef!$AF$2:$AH$27,2,FALSE)</f>
        <v>0</v>
      </c>
      <c r="L23" s="37" t="s">
        <v>494</v>
      </c>
      <c r="M23" s="37">
        <f>VLOOKUP(L23,BoonRef!$AI$2:$AJ$42,2,FALSE)</f>
        <v>0</v>
      </c>
      <c r="N23" s="37" t="s">
        <v>347</v>
      </c>
      <c r="O23" s="37">
        <f>IF(N23="Yes",BoonRef!$AJ$56,0)</f>
        <v>0</v>
      </c>
      <c r="P23" s="37" t="s">
        <v>494</v>
      </c>
      <c r="Q23" s="37">
        <f>VLOOKUP(P23,BoonRef!$AI$43:$AJ$55,2,FALSE)</f>
        <v>0</v>
      </c>
      <c r="R23" s="470" t="s">
        <v>347</v>
      </c>
      <c r="S23" s="470">
        <f>IF(R23="Yes",BoonRef!$AJ$57,0)</f>
        <v>0</v>
      </c>
      <c r="T23" s="470" t="s">
        <v>346</v>
      </c>
      <c r="U23" s="37">
        <f>IF(T23="Yes",VLOOKUP(H23,BoonRef!$AC$2:$AE$12,3,FALSE),0)</f>
        <v>0</v>
      </c>
      <c r="V23" s="470" t="s">
        <v>347</v>
      </c>
      <c r="W23" s="470">
        <f>IF(V23="Yes",BoonRef!$AJ$57,0)</f>
        <v>0</v>
      </c>
      <c r="X23" s="470" t="s">
        <v>346</v>
      </c>
      <c r="Y23" s="111">
        <f>IF(OR(K23="V",J23="None"),0,VLOOKUP(J23,'Purchased Boons'!$AR$4:$AS$27,2,FALSE))</f>
        <v>0</v>
      </c>
    </row>
    <row r="24" spans="1:25" x14ac:dyDescent="0.25">
      <c r="A24" s="519" t="s">
        <v>993</v>
      </c>
      <c r="B24" s="519" t="s">
        <v>19</v>
      </c>
      <c r="C24" s="519" t="s">
        <v>992</v>
      </c>
      <c r="D24" s="519" t="str">
        <f t="shared" si="0"/>
        <v>None</v>
      </c>
      <c r="E24" s="519" t="s">
        <v>1570</v>
      </c>
      <c r="F24" s="519" t="s">
        <v>5</v>
      </c>
      <c r="G24" s="520">
        <v>73</v>
      </c>
      <c r="H24" s="475" t="s">
        <v>494</v>
      </c>
      <c r="I24" s="37">
        <f>VLOOKUP(H24,BoonRef!$AC$2:$AD$12,2,FALSE)</f>
        <v>0</v>
      </c>
      <c r="J24" s="470" t="s">
        <v>494</v>
      </c>
      <c r="K24" s="37">
        <f>VLOOKUP(J24,BoonRef!$AF$2:$AH$27,2,FALSE)</f>
        <v>0</v>
      </c>
      <c r="L24" s="37" t="s">
        <v>494</v>
      </c>
      <c r="M24" s="37">
        <f>VLOOKUP(L24,BoonRef!$AI$2:$AJ$42,2,FALSE)</f>
        <v>0</v>
      </c>
      <c r="N24" s="37" t="s">
        <v>347</v>
      </c>
      <c r="O24" s="37">
        <f>IF(N24="Yes",BoonRef!$AJ$56,0)</f>
        <v>0</v>
      </c>
      <c r="P24" s="37" t="s">
        <v>494</v>
      </c>
      <c r="Q24" s="37">
        <f>VLOOKUP(P24,BoonRef!$AI$43:$AJ$55,2,FALSE)</f>
        <v>0</v>
      </c>
      <c r="R24" s="470" t="s">
        <v>347</v>
      </c>
      <c r="S24" s="470">
        <f>IF(R24="Yes",BoonRef!$AJ$57,0)</f>
        <v>0</v>
      </c>
      <c r="T24" s="470" t="s">
        <v>346</v>
      </c>
      <c r="U24" s="37">
        <f>IF(T24="Yes",VLOOKUP(H24,BoonRef!$AC$2:$AE$12,3,FALSE),0)</f>
        <v>0</v>
      </c>
      <c r="V24" s="470" t="s">
        <v>347</v>
      </c>
      <c r="W24" s="470">
        <f>IF(V24="Yes",BoonRef!$AJ$57,0)</f>
        <v>0</v>
      </c>
      <c r="X24" s="470" t="s">
        <v>346</v>
      </c>
      <c r="Y24" s="111">
        <f>IF(OR(K24="V",J24="None"),0,VLOOKUP(J24,'Purchased Boons'!$AR$4:$AS$27,2,FALSE))</f>
        <v>0</v>
      </c>
    </row>
    <row r="25" spans="1:25" x14ac:dyDescent="0.25">
      <c r="A25" s="519" t="s">
        <v>1024</v>
      </c>
      <c r="B25" s="519" t="s">
        <v>21</v>
      </c>
      <c r="C25" s="519" t="s">
        <v>494</v>
      </c>
      <c r="D25" s="519" t="str">
        <f t="shared" si="0"/>
        <v>None</v>
      </c>
      <c r="E25" s="519" t="s">
        <v>1764</v>
      </c>
      <c r="F25" s="519" t="s">
        <v>1045</v>
      </c>
      <c r="G25" s="520">
        <v>66</v>
      </c>
      <c r="H25" s="475" t="s">
        <v>494</v>
      </c>
      <c r="I25" s="37">
        <f>VLOOKUP(H25,BoonRef!$AC$2:$AD$12,2,FALSE)</f>
        <v>0</v>
      </c>
      <c r="J25" s="470" t="s">
        <v>494</v>
      </c>
      <c r="K25" s="37">
        <f>VLOOKUP(J25,BoonRef!$AF$2:$AH$27,2,FALSE)</f>
        <v>0</v>
      </c>
      <c r="L25" s="37" t="s">
        <v>494</v>
      </c>
      <c r="M25" s="37">
        <f>VLOOKUP(L25,BoonRef!$AI$2:$AJ$42,2,FALSE)</f>
        <v>0</v>
      </c>
      <c r="N25" s="37" t="s">
        <v>347</v>
      </c>
      <c r="O25" s="37">
        <f>IF(N25="Yes",BoonRef!$AJ$56,0)</f>
        <v>0</v>
      </c>
      <c r="P25" s="37" t="s">
        <v>494</v>
      </c>
      <c r="Q25" s="37">
        <f>VLOOKUP(P25,BoonRef!$AI$43:$AJ$55,2,FALSE)</f>
        <v>0</v>
      </c>
      <c r="R25" s="470" t="s">
        <v>347</v>
      </c>
      <c r="S25" s="470">
        <f>IF(R25="Yes",BoonRef!$AJ$57,0)</f>
        <v>0</v>
      </c>
      <c r="T25" s="470" t="s">
        <v>346</v>
      </c>
      <c r="U25" s="37">
        <f>IF(T25="Yes",VLOOKUP(H25,BoonRef!$AC$2:$AE$12,3,FALSE),0)</f>
        <v>0</v>
      </c>
      <c r="V25" s="470" t="s">
        <v>347</v>
      </c>
      <c r="W25" s="470">
        <f>IF(V25="Yes",BoonRef!$AJ$57,0)</f>
        <v>0</v>
      </c>
      <c r="X25" s="470" t="s">
        <v>346</v>
      </c>
      <c r="Y25" s="111">
        <f>IF(OR(K25="V",J25="None"),0,VLOOKUP(J25,'Purchased Boons'!$AR$4:$AS$27,2,FALSE))</f>
        <v>0</v>
      </c>
    </row>
    <row r="26" spans="1:25" x14ac:dyDescent="0.25">
      <c r="A26" s="519" t="s">
        <v>966</v>
      </c>
      <c r="B26" s="519" t="s">
        <v>18</v>
      </c>
      <c r="C26" s="519" t="s">
        <v>494</v>
      </c>
      <c r="D26" s="519" t="str">
        <f t="shared" si="0"/>
        <v>None</v>
      </c>
      <c r="E26" s="519" t="s">
        <v>1050</v>
      </c>
      <c r="F26" s="519" t="s">
        <v>133</v>
      </c>
      <c r="G26" s="520">
        <v>133</v>
      </c>
      <c r="H26" s="475" t="s">
        <v>494</v>
      </c>
      <c r="I26" s="37">
        <f>VLOOKUP(H26,BoonRef!$AC$2:$AD$12,2,FALSE)</f>
        <v>0</v>
      </c>
      <c r="J26" s="470" t="s">
        <v>494</v>
      </c>
      <c r="K26" s="37">
        <f>VLOOKUP(J26,BoonRef!$AF$2:$AH$27,2,FALSE)</f>
        <v>0</v>
      </c>
      <c r="L26" s="37" t="s">
        <v>494</v>
      </c>
      <c r="M26" s="37">
        <f>VLOOKUP(L26,BoonRef!$AI$2:$AJ$42,2,FALSE)</f>
        <v>0</v>
      </c>
      <c r="N26" s="37" t="s">
        <v>347</v>
      </c>
      <c r="O26" s="37">
        <f>IF(N26="Yes",BoonRef!$AJ$56,0)</f>
        <v>0</v>
      </c>
      <c r="P26" s="37" t="s">
        <v>494</v>
      </c>
      <c r="Q26" s="37">
        <f>VLOOKUP(P26,BoonRef!$AI$43:$AJ$55,2,FALSE)</f>
        <v>0</v>
      </c>
      <c r="R26" s="470" t="s">
        <v>347</v>
      </c>
      <c r="S26" s="470">
        <f>IF(R26="Yes",BoonRef!$AJ$57,0)</f>
        <v>0</v>
      </c>
      <c r="T26" s="470" t="s">
        <v>346</v>
      </c>
      <c r="U26" s="37">
        <f>IF(T26="Yes",VLOOKUP(H26,BoonRef!$AC$2:$AE$12,3,FALSE),0)</f>
        <v>0</v>
      </c>
      <c r="V26" s="470" t="s">
        <v>347</v>
      </c>
      <c r="W26" s="470">
        <f>IF(V26="Yes",BoonRef!$AJ$57,0)</f>
        <v>0</v>
      </c>
      <c r="X26" s="470" t="s">
        <v>346</v>
      </c>
      <c r="Y26" s="111">
        <f>IF(OR(K26="V",J26="None"),0,VLOOKUP(J26,'Purchased Boons'!$AR$4:$AS$27,2,FALSE))</f>
        <v>0</v>
      </c>
    </row>
    <row r="27" spans="1:25" x14ac:dyDescent="0.25">
      <c r="A27" s="519" t="s">
        <v>971</v>
      </c>
      <c r="B27" s="519" t="s">
        <v>18</v>
      </c>
      <c r="C27" s="519" t="s">
        <v>969</v>
      </c>
      <c r="D27" s="519" t="str">
        <f t="shared" si="0"/>
        <v>None</v>
      </c>
      <c r="E27" s="519" t="s">
        <v>1762</v>
      </c>
      <c r="F27" s="519" t="s">
        <v>1045</v>
      </c>
      <c r="G27" s="520">
        <v>62</v>
      </c>
      <c r="H27" s="475" t="s">
        <v>494</v>
      </c>
      <c r="I27" s="37">
        <f>VLOOKUP(H27,BoonRef!$AC$2:$AD$12,2,FALSE)</f>
        <v>0</v>
      </c>
      <c r="J27" s="470" t="s">
        <v>494</v>
      </c>
      <c r="K27" s="37">
        <f>VLOOKUP(J27,BoonRef!$AF$2:$AH$27,2,FALSE)</f>
        <v>0</v>
      </c>
      <c r="L27" s="37" t="s">
        <v>494</v>
      </c>
      <c r="M27" s="37">
        <f>VLOOKUP(L27,BoonRef!$AI$2:$AJ$42,2,FALSE)</f>
        <v>0</v>
      </c>
      <c r="N27" s="37" t="s">
        <v>347</v>
      </c>
      <c r="O27" s="37">
        <f>IF(N27="Yes",BoonRef!$AJ$56,0)</f>
        <v>0</v>
      </c>
      <c r="P27" s="37" t="s">
        <v>494</v>
      </c>
      <c r="Q27" s="37">
        <f>VLOOKUP(P27,BoonRef!$AI$43:$AJ$55,2,FALSE)</f>
        <v>0</v>
      </c>
      <c r="R27" s="470" t="s">
        <v>347</v>
      </c>
      <c r="S27" s="470">
        <f>IF(R27="Yes",BoonRef!$AJ$57,0)</f>
        <v>0</v>
      </c>
      <c r="T27" s="470" t="s">
        <v>346</v>
      </c>
      <c r="U27" s="37">
        <f>IF(T27="Yes",VLOOKUP(H27,BoonRef!$AC$2:$AE$12,3,FALSE),0)</f>
        <v>0</v>
      </c>
      <c r="V27" s="470" t="s">
        <v>347</v>
      </c>
      <c r="W27" s="470">
        <f>IF(V27="Yes",BoonRef!$AJ$57,0)</f>
        <v>0</v>
      </c>
      <c r="X27" s="470" t="s">
        <v>346</v>
      </c>
      <c r="Y27" s="111">
        <f>IF(OR(K27="V",J27="None"),0,VLOOKUP(J27,'Purchased Boons'!$AR$4:$AS$27,2,FALSE))</f>
        <v>0</v>
      </c>
    </row>
    <row r="28" spans="1:25" x14ac:dyDescent="0.25">
      <c r="A28" s="519" t="s">
        <v>1017</v>
      </c>
      <c r="B28" s="519" t="s">
        <v>20</v>
      </c>
      <c r="C28" s="519" t="s">
        <v>1001</v>
      </c>
      <c r="D28" s="519" t="s">
        <v>3589</v>
      </c>
      <c r="E28" s="519" t="s">
        <v>1063</v>
      </c>
      <c r="F28" s="519" t="s">
        <v>1046</v>
      </c>
      <c r="G28" s="520">
        <v>58</v>
      </c>
      <c r="H28" s="475" t="s">
        <v>20</v>
      </c>
      <c r="I28" s="37">
        <f>VLOOKUP(H28,BoonRef!$AC$2:$AD$12,2,FALSE)</f>
        <v>1</v>
      </c>
      <c r="J28" s="470" t="s">
        <v>1063</v>
      </c>
      <c r="K28" s="37" t="str">
        <f>VLOOKUP(J28,BoonRef!$AF$2:$AH$27,2,FALSE)</f>
        <v>V</v>
      </c>
      <c r="L28" s="37" t="s">
        <v>494</v>
      </c>
      <c r="M28" s="37">
        <f>VLOOKUP(L28,BoonRef!$AI$2:$AJ$42,2,FALSE)</f>
        <v>0</v>
      </c>
      <c r="N28" s="37" t="s">
        <v>347</v>
      </c>
      <c r="O28" s="37">
        <f>IF(N28="Yes",BoonRef!$AJ$56,0)</f>
        <v>0</v>
      </c>
      <c r="P28" s="37" t="s">
        <v>494</v>
      </c>
      <c r="Q28" s="37">
        <f>VLOOKUP(P28,BoonRef!$AI$43:$AJ$55,2,FALSE)</f>
        <v>0</v>
      </c>
      <c r="R28" s="470" t="s">
        <v>346</v>
      </c>
      <c r="S28" s="470">
        <f>IF(R28="Yes",BoonRef!$AJ$57,0)</f>
        <v>2</v>
      </c>
      <c r="T28" s="470" t="s">
        <v>346</v>
      </c>
      <c r="U28" s="37">
        <f>IF(T28="Yes",VLOOKUP(H28,BoonRef!$AC$2:$AE$12,3,FALSE),0)</f>
        <v>0</v>
      </c>
      <c r="V28" s="470" t="s">
        <v>347</v>
      </c>
      <c r="W28" s="470">
        <f>IF(V28="Yes",BoonRef!$AJ$57,0)</f>
        <v>0</v>
      </c>
      <c r="X28" s="470" t="s">
        <v>346</v>
      </c>
      <c r="Y28" s="111">
        <f>IF(OR(K28="V",J28="None"),0,VLOOKUP(J28,'Purchased Boons'!$AR$4:$AS$27,2,FALSE))</f>
        <v>0</v>
      </c>
    </row>
    <row r="29" spans="1:25" x14ac:dyDescent="0.25">
      <c r="A29" s="519" t="s">
        <v>426</v>
      </c>
      <c r="B29" s="519" t="s">
        <v>16</v>
      </c>
      <c r="C29" s="519" t="s">
        <v>425</v>
      </c>
      <c r="D29" s="519" t="str">
        <f t="shared" ref="D29:D60" si="1">IF(AND(H29="None",J29="None",L29="None",N29="No",P29="None",R29="No"),"None",IF(OR(H29="Varies",J29="Varies",L29="Varies",P29="Varies"),"Varies",CONCATENATE(I29+S29+K29+M29+O29+Q29+Y29," + ",W29+U29)))</f>
        <v>1 + 0</v>
      </c>
      <c r="E29" s="519" t="s">
        <v>1062</v>
      </c>
      <c r="F29" s="519" t="s">
        <v>1045</v>
      </c>
      <c r="G29" s="520">
        <v>59</v>
      </c>
      <c r="H29" s="475" t="s">
        <v>16</v>
      </c>
      <c r="I29" s="37">
        <f>VLOOKUP(H29,BoonRef!$AC$2:$AD$12,2,FALSE)</f>
        <v>1</v>
      </c>
      <c r="J29" s="470" t="s">
        <v>51</v>
      </c>
      <c r="K29" s="37">
        <f>VLOOKUP(J29,BoonRef!$AF$2:$AH$27,2,FALSE)</f>
        <v>0</v>
      </c>
      <c r="L29" s="37" t="s">
        <v>494</v>
      </c>
      <c r="M29" s="37">
        <f>VLOOKUP(L29,BoonRef!$AI$2:$AJ$42,2,FALSE)</f>
        <v>0</v>
      </c>
      <c r="N29" s="37" t="s">
        <v>347</v>
      </c>
      <c r="O29" s="37">
        <f>IF(N29="Yes",BoonRef!$AJ$56,0)</f>
        <v>0</v>
      </c>
      <c r="P29" s="37" t="s">
        <v>494</v>
      </c>
      <c r="Q29" s="37">
        <f>VLOOKUP(P29,BoonRef!$AI$43:$AJ$55,2,FALSE)</f>
        <v>0</v>
      </c>
      <c r="R29" s="470" t="s">
        <v>347</v>
      </c>
      <c r="S29" s="470">
        <f>IF(R29="Yes",BoonRef!$AJ$57,0)</f>
        <v>0</v>
      </c>
      <c r="T29" s="470" t="s">
        <v>346</v>
      </c>
      <c r="U29" s="37">
        <f>IF(T29="Yes",VLOOKUP(H29,BoonRef!$AC$2:$AE$12,3,FALSE),0)</f>
        <v>0</v>
      </c>
      <c r="V29" s="470" t="s">
        <v>347</v>
      </c>
      <c r="W29" s="470">
        <f>IF(V29="Yes",BoonRef!$AJ$57,0)</f>
        <v>0</v>
      </c>
      <c r="X29" s="470" t="s">
        <v>346</v>
      </c>
      <c r="Y29" s="111">
        <f>IF(OR(K29="V",J29="None"),0,VLOOKUP(J29,'Purchased Boons'!$AR$4:$AS$27,2,FALSE))</f>
        <v>0</v>
      </c>
    </row>
    <row r="30" spans="1:25" x14ac:dyDescent="0.25">
      <c r="A30" s="37" t="s">
        <v>375</v>
      </c>
      <c r="B30" s="519" t="s">
        <v>30</v>
      </c>
      <c r="C30" s="519" t="s">
        <v>494</v>
      </c>
      <c r="D30" s="519" t="str">
        <f t="shared" si="1"/>
        <v>None</v>
      </c>
      <c r="E30" s="519" t="s">
        <v>1764</v>
      </c>
      <c r="F30" s="519" t="s">
        <v>133</v>
      </c>
      <c r="G30" s="520">
        <v>126</v>
      </c>
      <c r="H30" s="475" t="s">
        <v>494</v>
      </c>
      <c r="I30" s="37">
        <f>VLOOKUP(H30,BoonRef!$AC$2:$AD$12,2,FALSE)</f>
        <v>0</v>
      </c>
      <c r="J30" s="470" t="s">
        <v>494</v>
      </c>
      <c r="K30" s="37">
        <f>VLOOKUP(J30,BoonRef!$AF$2:$AH$27,2,FALSE)</f>
        <v>0</v>
      </c>
      <c r="L30" s="37" t="s">
        <v>494</v>
      </c>
      <c r="M30" s="37">
        <f>VLOOKUP(L30,BoonRef!$AI$2:$AJ$42,2,FALSE)</f>
        <v>0</v>
      </c>
      <c r="N30" s="37" t="s">
        <v>347</v>
      </c>
      <c r="O30" s="37">
        <f>IF(N30="Yes",BoonRef!$AJ$56,0)</f>
        <v>0</v>
      </c>
      <c r="P30" s="37" t="s">
        <v>494</v>
      </c>
      <c r="Q30" s="37">
        <f>VLOOKUP(P30,BoonRef!$AI$43:$AJ$55,2,FALSE)</f>
        <v>0</v>
      </c>
      <c r="R30" s="470" t="s">
        <v>347</v>
      </c>
      <c r="S30" s="470">
        <f>IF(R30="Yes",BoonRef!$AJ$57,0)</f>
        <v>0</v>
      </c>
      <c r="T30" s="470" t="s">
        <v>346</v>
      </c>
      <c r="U30" s="37">
        <f>IF(T30="Yes",VLOOKUP(H30,BoonRef!$AC$2:$AE$12,3,FALSE),0)</f>
        <v>0</v>
      </c>
      <c r="V30" s="470" t="s">
        <v>347</v>
      </c>
      <c r="W30" s="470">
        <f>IF(V30="Yes",BoonRef!$AJ$57,0)</f>
        <v>0</v>
      </c>
      <c r="X30" s="470" t="s">
        <v>346</v>
      </c>
      <c r="Y30" s="111">
        <f>IF(OR(K30="V",J30="None"),0,VLOOKUP(J30,'Purchased Boons'!$AR$4:$AS$27,2,FALSE))</f>
        <v>0</v>
      </c>
    </row>
    <row r="31" spans="1:25" x14ac:dyDescent="0.25">
      <c r="A31" s="37" t="s">
        <v>402</v>
      </c>
      <c r="B31" s="519" t="s">
        <v>14</v>
      </c>
      <c r="C31" s="519" t="s">
        <v>494</v>
      </c>
      <c r="D31" s="519" t="str">
        <f t="shared" si="1"/>
        <v>None</v>
      </c>
      <c r="E31" s="519" t="s">
        <v>1050</v>
      </c>
      <c r="F31" s="519" t="s">
        <v>133</v>
      </c>
      <c r="G31" s="520">
        <v>129</v>
      </c>
      <c r="H31" s="475" t="s">
        <v>494</v>
      </c>
      <c r="I31" s="37">
        <f>VLOOKUP(H31,BoonRef!$AC$2:$AD$12,2,FALSE)</f>
        <v>0</v>
      </c>
      <c r="J31" s="470" t="s">
        <v>494</v>
      </c>
      <c r="K31" s="37">
        <f>VLOOKUP(J31,BoonRef!$AF$2:$AH$27,2,FALSE)</f>
        <v>0</v>
      </c>
      <c r="L31" s="37" t="s">
        <v>494</v>
      </c>
      <c r="M31" s="37">
        <f>VLOOKUP(L31,BoonRef!$AI$2:$AJ$42,2,FALSE)</f>
        <v>0</v>
      </c>
      <c r="N31" s="37" t="s">
        <v>347</v>
      </c>
      <c r="O31" s="37">
        <f>IF(N31="Yes",BoonRef!$AJ$56,0)</f>
        <v>0</v>
      </c>
      <c r="P31" s="37" t="s">
        <v>494</v>
      </c>
      <c r="Q31" s="37">
        <f>VLOOKUP(P31,BoonRef!$AI$43:$AJ$55,2,FALSE)</f>
        <v>0</v>
      </c>
      <c r="R31" s="470" t="s">
        <v>347</v>
      </c>
      <c r="S31" s="470">
        <f>IF(R31="Yes",BoonRef!$AJ$57,0)</f>
        <v>0</v>
      </c>
      <c r="T31" s="470" t="s">
        <v>346</v>
      </c>
      <c r="U31" s="37">
        <f>IF(T31="Yes",VLOOKUP(H31,BoonRef!$AC$2:$AE$12,3,FALSE),0)</f>
        <v>0</v>
      </c>
      <c r="V31" s="470" t="s">
        <v>347</v>
      </c>
      <c r="W31" s="470">
        <f>IF(V31="Yes",BoonRef!$AJ$57,0)</f>
        <v>0</v>
      </c>
      <c r="X31" s="470" t="s">
        <v>346</v>
      </c>
      <c r="Y31" s="111">
        <f>IF(OR(K31="V",J31="None"),0,VLOOKUP(J31,'Purchased Boons'!$AR$4:$AS$27,2,FALSE))</f>
        <v>0</v>
      </c>
    </row>
    <row r="32" spans="1:25" x14ac:dyDescent="0.25">
      <c r="A32" s="519" t="s">
        <v>962</v>
      </c>
      <c r="B32" s="519" t="s">
        <v>17</v>
      </c>
      <c r="C32" s="519" t="s">
        <v>1049</v>
      </c>
      <c r="D32" s="519" t="str">
        <f t="shared" si="1"/>
        <v>3 + 0</v>
      </c>
      <c r="E32" s="519" t="s">
        <v>1063</v>
      </c>
      <c r="F32" s="519" t="s">
        <v>1046</v>
      </c>
      <c r="G32" s="520">
        <v>54</v>
      </c>
      <c r="H32" s="475" t="s">
        <v>17</v>
      </c>
      <c r="I32" s="37">
        <f>VLOOKUP(H32,BoonRef!$AC$2:$AD$12,2,FALSE)</f>
        <v>1</v>
      </c>
      <c r="J32" s="470" t="s">
        <v>51</v>
      </c>
      <c r="K32" s="37">
        <f>VLOOKUP(J32,BoonRef!$AF$2:$AH$27,2,FALSE)</f>
        <v>0</v>
      </c>
      <c r="L32" s="37" t="s">
        <v>494</v>
      </c>
      <c r="M32" s="37">
        <f>VLOOKUP(L32,BoonRef!$AI$2:$AJ$42,2,FALSE)</f>
        <v>0</v>
      </c>
      <c r="N32" s="37" t="s">
        <v>347</v>
      </c>
      <c r="O32" s="37">
        <f>IF(N32="Yes",BoonRef!$AJ$56,0)</f>
        <v>0</v>
      </c>
      <c r="P32" s="37" t="s">
        <v>494</v>
      </c>
      <c r="Q32" s="37">
        <f>VLOOKUP(P32,BoonRef!$AI$43:$AJ$55,2,FALSE)</f>
        <v>0</v>
      </c>
      <c r="R32" s="470" t="s">
        <v>346</v>
      </c>
      <c r="S32" s="470">
        <f>IF(R32="Yes",BoonRef!$AJ$57,0)</f>
        <v>2</v>
      </c>
      <c r="T32" s="470" t="s">
        <v>346</v>
      </c>
      <c r="U32" s="37">
        <f>IF(T32="Yes",VLOOKUP(H32,BoonRef!$AC$2:$AE$12,3,FALSE),0)</f>
        <v>0</v>
      </c>
      <c r="V32" s="470" t="s">
        <v>347</v>
      </c>
      <c r="W32" s="470">
        <f>IF(V32="Yes",BoonRef!$AJ$57,0)</f>
        <v>0</v>
      </c>
      <c r="X32" s="470" t="s">
        <v>346</v>
      </c>
      <c r="Y32" s="111">
        <f>IF(OR(K32="V",J32="None"),0,VLOOKUP(J32,'Purchased Boons'!$AR$4:$AS$27,2,FALSE))</f>
        <v>0</v>
      </c>
    </row>
    <row r="33" spans="1:25" x14ac:dyDescent="0.25">
      <c r="A33" s="519" t="s">
        <v>975</v>
      </c>
      <c r="B33" s="519" t="s">
        <v>18</v>
      </c>
      <c r="C33" s="519" t="s">
        <v>1048</v>
      </c>
      <c r="D33" s="519" t="str">
        <f t="shared" si="1"/>
        <v>None</v>
      </c>
      <c r="E33" s="519" t="s">
        <v>1050</v>
      </c>
      <c r="F33" s="519" t="s">
        <v>5</v>
      </c>
      <c r="G33" s="520">
        <v>71</v>
      </c>
      <c r="H33" s="475" t="s">
        <v>494</v>
      </c>
      <c r="I33" s="37">
        <f>VLOOKUP(H33,BoonRef!$AC$2:$AD$12,2,FALSE)</f>
        <v>0</v>
      </c>
      <c r="J33" s="470" t="s">
        <v>494</v>
      </c>
      <c r="K33" s="37">
        <f>VLOOKUP(J33,BoonRef!$AF$2:$AH$27,2,FALSE)</f>
        <v>0</v>
      </c>
      <c r="L33" s="37" t="s">
        <v>494</v>
      </c>
      <c r="M33" s="37">
        <f>VLOOKUP(L33,BoonRef!$AI$2:$AJ$42,2,FALSE)</f>
        <v>0</v>
      </c>
      <c r="N33" s="37" t="s">
        <v>347</v>
      </c>
      <c r="O33" s="37">
        <f>IF(N33="Yes",BoonRef!$AJ$56,0)</f>
        <v>0</v>
      </c>
      <c r="P33" s="37" t="s">
        <v>494</v>
      </c>
      <c r="Q33" s="37">
        <f>VLOOKUP(P33,BoonRef!$AI$43:$AJ$55,2,FALSE)</f>
        <v>0</v>
      </c>
      <c r="R33" s="470" t="s">
        <v>347</v>
      </c>
      <c r="S33" s="470">
        <f>IF(R33="Yes",BoonRef!$AJ$57,0)</f>
        <v>0</v>
      </c>
      <c r="T33" s="470" t="s">
        <v>346</v>
      </c>
      <c r="U33" s="37">
        <f>IF(T33="Yes",VLOOKUP(H33,BoonRef!$AC$2:$AE$12,3,FALSE),0)</f>
        <v>0</v>
      </c>
      <c r="V33" s="470" t="s">
        <v>347</v>
      </c>
      <c r="W33" s="470">
        <f>IF(V33="Yes",BoonRef!$AJ$57,0)</f>
        <v>0</v>
      </c>
      <c r="X33" s="470" t="s">
        <v>346</v>
      </c>
      <c r="Y33" s="111">
        <f>IF(OR(K33="V",J33="None"),0,VLOOKUP(J33,'Purchased Boons'!$AR$4:$AS$27,2,FALSE))</f>
        <v>0</v>
      </c>
    </row>
    <row r="34" spans="1:25" x14ac:dyDescent="0.25">
      <c r="A34" s="519" t="s">
        <v>403</v>
      </c>
      <c r="B34" s="519" t="s">
        <v>14</v>
      </c>
      <c r="C34" s="519" t="s">
        <v>409</v>
      </c>
      <c r="D34" s="519" t="str">
        <f t="shared" si="1"/>
        <v>None</v>
      </c>
      <c r="E34" s="519" t="s">
        <v>1764</v>
      </c>
      <c r="F34" s="519" t="s">
        <v>1045</v>
      </c>
      <c r="G34" s="520">
        <v>58</v>
      </c>
      <c r="H34" s="475" t="s">
        <v>494</v>
      </c>
      <c r="I34" s="37">
        <f>VLOOKUP(H34,BoonRef!$AC$2:$AD$12,2,FALSE)</f>
        <v>0</v>
      </c>
      <c r="J34" s="470" t="s">
        <v>494</v>
      </c>
      <c r="K34" s="37">
        <f>VLOOKUP(J34,BoonRef!$AF$2:$AH$27,2,FALSE)</f>
        <v>0</v>
      </c>
      <c r="L34" s="37" t="s">
        <v>494</v>
      </c>
      <c r="M34" s="37">
        <f>VLOOKUP(L34,BoonRef!$AI$2:$AJ$42,2,FALSE)</f>
        <v>0</v>
      </c>
      <c r="N34" s="37" t="s">
        <v>347</v>
      </c>
      <c r="O34" s="37">
        <f>IF(N34="Yes",BoonRef!$AJ$56,0)</f>
        <v>0</v>
      </c>
      <c r="P34" s="37" t="s">
        <v>494</v>
      </c>
      <c r="Q34" s="37">
        <f>VLOOKUP(P34,BoonRef!$AI$43:$AJ$55,2,FALSE)</f>
        <v>0</v>
      </c>
      <c r="R34" s="470" t="s">
        <v>347</v>
      </c>
      <c r="S34" s="470">
        <f>IF(R34="Yes",BoonRef!$AJ$57,0)</f>
        <v>0</v>
      </c>
      <c r="T34" s="470" t="s">
        <v>346</v>
      </c>
      <c r="U34" s="37">
        <f>IF(T34="Yes",VLOOKUP(H34,BoonRef!$AC$2:$AE$12,3,FALSE),0)</f>
        <v>0</v>
      </c>
      <c r="V34" s="470" t="s">
        <v>347</v>
      </c>
      <c r="W34" s="470">
        <f>IF(V34="Yes",BoonRef!$AJ$57,0)</f>
        <v>0</v>
      </c>
      <c r="X34" s="470" t="s">
        <v>346</v>
      </c>
      <c r="Y34" s="111">
        <f>IF(OR(K34="V",J34="None"),0,VLOOKUP(J34,'Purchased Boons'!$AR$4:$AS$27,2,FALSE))</f>
        <v>0</v>
      </c>
    </row>
    <row r="35" spans="1:25" x14ac:dyDescent="0.25">
      <c r="A35" s="37" t="s">
        <v>376</v>
      </c>
      <c r="B35" s="519" t="s">
        <v>30</v>
      </c>
      <c r="C35" s="519" t="s">
        <v>102</v>
      </c>
      <c r="D35" s="519" t="str">
        <f t="shared" si="1"/>
        <v>None</v>
      </c>
      <c r="E35" s="519" t="s">
        <v>2937</v>
      </c>
      <c r="F35" s="519" t="s">
        <v>5</v>
      </c>
      <c r="G35" s="520">
        <v>60</v>
      </c>
      <c r="H35" s="475" t="s">
        <v>494</v>
      </c>
      <c r="I35" s="37">
        <f>VLOOKUP(H35,BoonRef!$AC$2:$AD$12,2,FALSE)</f>
        <v>0</v>
      </c>
      <c r="J35" s="470" t="s">
        <v>494</v>
      </c>
      <c r="K35" s="37">
        <f>VLOOKUP(J35,BoonRef!$AF$2:$AH$27,2,FALSE)</f>
        <v>0</v>
      </c>
      <c r="L35" s="37" t="s">
        <v>494</v>
      </c>
      <c r="M35" s="37">
        <f>VLOOKUP(L35,BoonRef!$AI$2:$AJ$42,2,FALSE)</f>
        <v>0</v>
      </c>
      <c r="N35" s="37" t="s">
        <v>347</v>
      </c>
      <c r="O35" s="37">
        <f>IF(N35="Yes",BoonRef!$AJ$56,0)</f>
        <v>0</v>
      </c>
      <c r="P35" s="37" t="s">
        <v>494</v>
      </c>
      <c r="Q35" s="37">
        <f>VLOOKUP(P35,BoonRef!$AI$43:$AJ$55,2,FALSE)</f>
        <v>0</v>
      </c>
      <c r="R35" s="470" t="s">
        <v>347</v>
      </c>
      <c r="S35" s="470">
        <f>IF(R35="Yes",BoonRef!$AJ$57,0)</f>
        <v>0</v>
      </c>
      <c r="T35" s="470" t="s">
        <v>346</v>
      </c>
      <c r="U35" s="37">
        <f>IF(T35="Yes",VLOOKUP(H35,BoonRef!$AC$2:$AE$12,3,FALSE),0)</f>
        <v>0</v>
      </c>
      <c r="V35" s="470" t="s">
        <v>347</v>
      </c>
      <c r="W35" s="470">
        <f>IF(V35="Yes",BoonRef!$AJ$57,0)</f>
        <v>0</v>
      </c>
      <c r="X35" s="470" t="s">
        <v>346</v>
      </c>
      <c r="Y35" s="111">
        <f>IF(OR(K35="V",J35="None"),0,VLOOKUP(J35,'Purchased Boons'!$AR$4:$AS$27,2,FALSE))</f>
        <v>0</v>
      </c>
    </row>
    <row r="36" spans="1:25" x14ac:dyDescent="0.25">
      <c r="A36" s="37" t="s">
        <v>389</v>
      </c>
      <c r="B36" s="519" t="s">
        <v>13</v>
      </c>
      <c r="C36" s="519" t="s">
        <v>388</v>
      </c>
      <c r="D36" s="519" t="str">
        <f t="shared" si="1"/>
        <v>None</v>
      </c>
      <c r="E36" s="519" t="s">
        <v>1764</v>
      </c>
      <c r="F36" s="519" t="s">
        <v>1045</v>
      </c>
      <c r="G36" s="520">
        <v>56</v>
      </c>
      <c r="H36" s="475" t="s">
        <v>494</v>
      </c>
      <c r="I36" s="37">
        <f>VLOOKUP(H36,BoonRef!$AC$2:$AD$12,2,FALSE)</f>
        <v>0</v>
      </c>
      <c r="J36" s="470" t="s">
        <v>494</v>
      </c>
      <c r="K36" s="37">
        <f>VLOOKUP(J36,BoonRef!$AF$2:$AH$27,2,FALSE)</f>
        <v>0</v>
      </c>
      <c r="L36" s="37" t="s">
        <v>494</v>
      </c>
      <c r="M36" s="37">
        <f>VLOOKUP(L36,BoonRef!$AI$2:$AJ$42,2,FALSE)</f>
        <v>0</v>
      </c>
      <c r="N36" s="37" t="s">
        <v>347</v>
      </c>
      <c r="O36" s="37">
        <f>IF(N36="Yes",BoonRef!$AJ$56,0)</f>
        <v>0</v>
      </c>
      <c r="P36" s="37" t="s">
        <v>494</v>
      </c>
      <c r="Q36" s="37">
        <f>VLOOKUP(P36,BoonRef!$AI$43:$AJ$55,2,FALSE)</f>
        <v>0</v>
      </c>
      <c r="R36" s="470" t="s">
        <v>347</v>
      </c>
      <c r="S36" s="470">
        <f>IF(R36="Yes",BoonRef!$AJ$57,0)</f>
        <v>0</v>
      </c>
      <c r="T36" s="470" t="s">
        <v>346</v>
      </c>
      <c r="U36" s="37">
        <f>IF(T36="Yes",VLOOKUP(H36,BoonRef!$AC$2:$AE$12,3,FALSE),0)</f>
        <v>0</v>
      </c>
      <c r="V36" s="470" t="s">
        <v>347</v>
      </c>
      <c r="W36" s="470">
        <f>IF(V36="Yes",BoonRef!$AJ$57,0)</f>
        <v>0</v>
      </c>
      <c r="X36" s="470" t="s">
        <v>346</v>
      </c>
      <c r="Y36" s="111">
        <f>IF(OR(K36="V",J36="None"),0,VLOOKUP(J36,'Purchased Boons'!$AR$4:$AS$27,2,FALSE))</f>
        <v>0</v>
      </c>
    </row>
    <row r="37" spans="1:25" x14ac:dyDescent="0.25">
      <c r="A37" s="37" t="s">
        <v>377</v>
      </c>
      <c r="B37" s="519" t="s">
        <v>30</v>
      </c>
      <c r="C37" s="519" t="s">
        <v>103</v>
      </c>
      <c r="D37" s="519" t="str">
        <f t="shared" si="1"/>
        <v>None</v>
      </c>
      <c r="E37" s="519" t="s">
        <v>1053</v>
      </c>
      <c r="F37" s="519" t="s">
        <v>5</v>
      </c>
      <c r="G37" s="520">
        <v>60</v>
      </c>
      <c r="H37" s="475" t="s">
        <v>494</v>
      </c>
      <c r="I37" s="37">
        <f>VLOOKUP(H37,BoonRef!$AC$2:$AD$12,2,FALSE)</f>
        <v>0</v>
      </c>
      <c r="J37" s="470" t="s">
        <v>494</v>
      </c>
      <c r="K37" s="37">
        <f>VLOOKUP(J37,BoonRef!$AF$2:$AH$27,2,FALSE)</f>
        <v>0</v>
      </c>
      <c r="L37" s="37" t="s">
        <v>494</v>
      </c>
      <c r="M37" s="37">
        <f>VLOOKUP(L37,BoonRef!$AI$2:$AJ$42,2,FALSE)</f>
        <v>0</v>
      </c>
      <c r="N37" s="37" t="s">
        <v>347</v>
      </c>
      <c r="O37" s="37">
        <f>IF(N37="Yes",BoonRef!$AJ$56,0)</f>
        <v>0</v>
      </c>
      <c r="P37" s="37" t="s">
        <v>494</v>
      </c>
      <c r="Q37" s="37">
        <f>VLOOKUP(P37,BoonRef!$AI$43:$AJ$55,2,FALSE)</f>
        <v>0</v>
      </c>
      <c r="R37" s="470" t="s">
        <v>347</v>
      </c>
      <c r="S37" s="470">
        <f>IF(R37="Yes",BoonRef!$AJ$57,0)</f>
        <v>0</v>
      </c>
      <c r="T37" s="470" t="s">
        <v>346</v>
      </c>
      <c r="U37" s="37">
        <f>IF(T37="Yes",VLOOKUP(H37,BoonRef!$AC$2:$AE$12,3,FALSE),0)</f>
        <v>0</v>
      </c>
      <c r="V37" s="470" t="s">
        <v>347</v>
      </c>
      <c r="W37" s="470">
        <f>IF(V37="Yes",BoonRef!$AJ$57,0)</f>
        <v>0</v>
      </c>
      <c r="X37" s="470" t="s">
        <v>346</v>
      </c>
      <c r="Y37" s="111">
        <f>IF(OR(K37="V",J37="None"),0,VLOOKUP(J37,'Purchased Boons'!$AR$4:$AS$27,2,FALSE))</f>
        <v>0</v>
      </c>
    </row>
    <row r="38" spans="1:25" x14ac:dyDescent="0.25">
      <c r="A38" s="519" t="s">
        <v>404</v>
      </c>
      <c r="B38" s="519" t="s">
        <v>14</v>
      </c>
      <c r="C38" s="519" t="s">
        <v>402</v>
      </c>
      <c r="D38" s="519" t="str">
        <f t="shared" si="1"/>
        <v>None</v>
      </c>
      <c r="E38" s="519" t="s">
        <v>1052</v>
      </c>
      <c r="F38" s="519" t="s">
        <v>5</v>
      </c>
      <c r="G38" s="520">
        <v>65</v>
      </c>
      <c r="H38" s="475" t="s">
        <v>494</v>
      </c>
      <c r="I38" s="37">
        <f>VLOOKUP(H38,BoonRef!$AC$2:$AD$12,2,FALSE)</f>
        <v>0</v>
      </c>
      <c r="J38" s="470" t="s">
        <v>494</v>
      </c>
      <c r="K38" s="37">
        <f>VLOOKUP(J38,BoonRef!$AF$2:$AH$27,2,FALSE)</f>
        <v>0</v>
      </c>
      <c r="L38" s="37" t="s">
        <v>494</v>
      </c>
      <c r="M38" s="37">
        <f>VLOOKUP(L38,BoonRef!$AI$2:$AJ$42,2,FALSE)</f>
        <v>0</v>
      </c>
      <c r="N38" s="37" t="s">
        <v>347</v>
      </c>
      <c r="O38" s="37">
        <f>IF(N38="Yes",BoonRef!$AJ$56,0)</f>
        <v>0</v>
      </c>
      <c r="P38" s="37" t="s">
        <v>494</v>
      </c>
      <c r="Q38" s="37">
        <f>VLOOKUP(P38,BoonRef!$AI$43:$AJ$55,2,FALSE)</f>
        <v>0</v>
      </c>
      <c r="R38" s="470" t="s">
        <v>347</v>
      </c>
      <c r="S38" s="470">
        <f>IF(R38="Yes",BoonRef!$AJ$57,0)</f>
        <v>0</v>
      </c>
      <c r="T38" s="470" t="s">
        <v>346</v>
      </c>
      <c r="U38" s="37">
        <f>IF(T38="Yes",VLOOKUP(H38,BoonRef!$AC$2:$AE$12,3,FALSE),0)</f>
        <v>0</v>
      </c>
      <c r="V38" s="470" t="s">
        <v>347</v>
      </c>
      <c r="W38" s="470">
        <f>IF(V38="Yes",BoonRef!$AJ$57,0)</f>
        <v>0</v>
      </c>
      <c r="X38" s="470" t="s">
        <v>346</v>
      </c>
      <c r="Y38" s="111">
        <f>IF(OR(K38="V",J38="None"),0,VLOOKUP(J38,'Purchased Boons'!$AR$4:$AS$27,2,FALSE))</f>
        <v>0</v>
      </c>
    </row>
    <row r="39" spans="1:25" x14ac:dyDescent="0.25">
      <c r="A39" s="519" t="s">
        <v>427</v>
      </c>
      <c r="B39" s="519" t="s">
        <v>16</v>
      </c>
      <c r="C39" s="519" t="s">
        <v>434</v>
      </c>
      <c r="D39" s="519" t="str">
        <f t="shared" si="1"/>
        <v>None</v>
      </c>
      <c r="E39" s="519" t="s">
        <v>1060</v>
      </c>
      <c r="F39" s="519" t="s">
        <v>5</v>
      </c>
      <c r="G39" s="520">
        <v>68</v>
      </c>
      <c r="H39" s="475" t="s">
        <v>494</v>
      </c>
      <c r="I39" s="37">
        <f>VLOOKUP(H39,BoonRef!$AC$2:$AD$12,2,FALSE)</f>
        <v>0</v>
      </c>
      <c r="J39" s="470" t="s">
        <v>494</v>
      </c>
      <c r="K39" s="37">
        <f>VLOOKUP(J39,BoonRef!$AF$2:$AH$27,2,FALSE)</f>
        <v>0</v>
      </c>
      <c r="L39" s="37" t="s">
        <v>494</v>
      </c>
      <c r="M39" s="37">
        <f>VLOOKUP(L39,BoonRef!$AI$2:$AJ$42,2,FALSE)</f>
        <v>0</v>
      </c>
      <c r="N39" s="37" t="s">
        <v>347</v>
      </c>
      <c r="O39" s="37">
        <f>IF(N39="Yes",BoonRef!$AJ$56,0)</f>
        <v>0</v>
      </c>
      <c r="P39" s="37" t="s">
        <v>494</v>
      </c>
      <c r="Q39" s="37">
        <f>VLOOKUP(P39,BoonRef!$AI$43:$AJ$55,2,FALSE)</f>
        <v>0</v>
      </c>
      <c r="R39" s="470" t="s">
        <v>347</v>
      </c>
      <c r="S39" s="470">
        <f>IF(R39="Yes",BoonRef!$AJ$57,0)</f>
        <v>0</v>
      </c>
      <c r="T39" s="470" t="s">
        <v>346</v>
      </c>
      <c r="U39" s="37">
        <f>IF(T39="Yes",VLOOKUP(H39,BoonRef!$AC$2:$AE$12,3,FALSE),0)</f>
        <v>0</v>
      </c>
      <c r="V39" s="470" t="s">
        <v>347</v>
      </c>
      <c r="W39" s="470">
        <f>IF(V39="Yes",BoonRef!$AJ$57,0)</f>
        <v>0</v>
      </c>
      <c r="X39" s="470" t="s">
        <v>346</v>
      </c>
      <c r="Y39" s="111">
        <f>IF(OR(K39="V",J39="None"),0,VLOOKUP(J39,'Purchased Boons'!$AR$4:$AS$27,2,FALSE))</f>
        <v>0</v>
      </c>
    </row>
    <row r="40" spans="1:25" x14ac:dyDescent="0.25">
      <c r="A40" s="519" t="s">
        <v>2271</v>
      </c>
      <c r="B40" s="519" t="s">
        <v>14</v>
      </c>
      <c r="C40" s="519" t="s">
        <v>407</v>
      </c>
      <c r="D40" s="519" t="str">
        <f t="shared" si="1"/>
        <v>None</v>
      </c>
      <c r="E40" s="519" t="s">
        <v>1764</v>
      </c>
      <c r="F40" s="519" t="s">
        <v>1045</v>
      </c>
      <c r="G40" s="520">
        <v>58</v>
      </c>
      <c r="H40" s="475" t="s">
        <v>494</v>
      </c>
      <c r="I40" s="37">
        <f>VLOOKUP(H40,BoonRef!$AC$2:$AD$12,2,FALSE)</f>
        <v>0</v>
      </c>
      <c r="J40" s="470" t="s">
        <v>494</v>
      </c>
      <c r="K40" s="37">
        <f>VLOOKUP(J40,BoonRef!$AF$2:$AH$27,2,FALSE)</f>
        <v>0</v>
      </c>
      <c r="L40" s="37" t="s">
        <v>494</v>
      </c>
      <c r="M40" s="37">
        <f>VLOOKUP(L40,BoonRef!$AI$2:$AJ$42,2,FALSE)</f>
        <v>0</v>
      </c>
      <c r="N40" s="37" t="s">
        <v>347</v>
      </c>
      <c r="O40" s="37">
        <f>IF(N40="Yes",BoonRef!$AJ$56,0)</f>
        <v>0</v>
      </c>
      <c r="P40" s="37" t="s">
        <v>494</v>
      </c>
      <c r="Q40" s="37">
        <f>VLOOKUP(P40,BoonRef!$AI$43:$AJ$55,2,FALSE)</f>
        <v>0</v>
      </c>
      <c r="R40" s="470" t="s">
        <v>347</v>
      </c>
      <c r="S40" s="470">
        <f>IF(R40="Yes",BoonRef!$AJ$57,0)</f>
        <v>0</v>
      </c>
      <c r="T40" s="470" t="s">
        <v>346</v>
      </c>
      <c r="U40" s="37">
        <f>IF(T40="Yes",VLOOKUP(H40,BoonRef!$AC$2:$AE$12,3,FALSE),0)</f>
        <v>0</v>
      </c>
      <c r="V40" s="470" t="s">
        <v>347</v>
      </c>
      <c r="W40" s="470">
        <f>IF(V40="Yes",BoonRef!$AJ$57,0)</f>
        <v>0</v>
      </c>
      <c r="X40" s="470" t="s">
        <v>346</v>
      </c>
      <c r="Y40" s="111">
        <f>IF(OR(K40="V",J40="None"),0,VLOOKUP(J40,'Purchased Boons'!$AR$4:$AS$27,2,FALSE))</f>
        <v>0</v>
      </c>
    </row>
    <row r="41" spans="1:25" x14ac:dyDescent="0.25">
      <c r="A41" s="519" t="s">
        <v>2272</v>
      </c>
      <c r="B41" s="519" t="s">
        <v>14</v>
      </c>
      <c r="C41" s="519" t="s">
        <v>407</v>
      </c>
      <c r="D41" s="519" t="str">
        <f t="shared" si="1"/>
        <v>None</v>
      </c>
      <c r="E41" s="519" t="s">
        <v>1764</v>
      </c>
      <c r="F41" s="519" t="s">
        <v>1045</v>
      </c>
      <c r="G41" s="520">
        <v>58</v>
      </c>
      <c r="H41" s="475" t="s">
        <v>494</v>
      </c>
      <c r="I41" s="37">
        <f>VLOOKUP(H41,BoonRef!$AC$2:$AD$12,2,FALSE)</f>
        <v>0</v>
      </c>
      <c r="J41" s="470" t="s">
        <v>494</v>
      </c>
      <c r="K41" s="37">
        <f>VLOOKUP(J41,BoonRef!$AF$2:$AH$27,2,FALSE)</f>
        <v>0</v>
      </c>
      <c r="L41" s="37" t="s">
        <v>494</v>
      </c>
      <c r="M41" s="37">
        <f>VLOOKUP(L41,BoonRef!$AI$2:$AJ$42,2,FALSE)</f>
        <v>0</v>
      </c>
      <c r="N41" s="37" t="s">
        <v>347</v>
      </c>
      <c r="O41" s="37">
        <f>IF(N41="Yes",BoonRef!$AJ$56,0)</f>
        <v>0</v>
      </c>
      <c r="P41" s="37" t="s">
        <v>494</v>
      </c>
      <c r="Q41" s="37">
        <f>VLOOKUP(P41,BoonRef!$AI$43:$AJ$55,2,FALSE)</f>
        <v>0</v>
      </c>
      <c r="R41" s="470" t="s">
        <v>347</v>
      </c>
      <c r="S41" s="470">
        <f>IF(R41="Yes",BoonRef!$AJ$57,0)</f>
        <v>0</v>
      </c>
      <c r="T41" s="470" t="s">
        <v>346</v>
      </c>
      <c r="U41" s="37">
        <f>IF(T41="Yes",VLOOKUP(H41,BoonRef!$AC$2:$AE$12,3,FALSE),0)</f>
        <v>0</v>
      </c>
      <c r="V41" s="470" t="s">
        <v>347</v>
      </c>
      <c r="W41" s="470">
        <f>IF(V41="Yes",BoonRef!$AJ$57,0)</f>
        <v>0</v>
      </c>
      <c r="X41" s="470" t="s">
        <v>346</v>
      </c>
      <c r="Y41" s="111">
        <f>IF(OR(K41="V",J41="None"),0,VLOOKUP(J41,'Purchased Boons'!$AR$4:$AS$27,2,FALSE))</f>
        <v>0</v>
      </c>
    </row>
    <row r="42" spans="1:25" x14ac:dyDescent="0.25">
      <c r="A42" s="519" t="s">
        <v>2273</v>
      </c>
      <c r="B42" s="519" t="s">
        <v>14</v>
      </c>
      <c r="C42" s="519" t="s">
        <v>407</v>
      </c>
      <c r="D42" s="519" t="str">
        <f t="shared" si="1"/>
        <v>None</v>
      </c>
      <c r="E42" s="519" t="s">
        <v>1764</v>
      </c>
      <c r="F42" s="519" t="s">
        <v>1045</v>
      </c>
      <c r="G42" s="520">
        <v>58</v>
      </c>
      <c r="H42" s="475" t="s">
        <v>494</v>
      </c>
      <c r="I42" s="37">
        <f>VLOOKUP(H42,BoonRef!$AC$2:$AD$12,2,FALSE)</f>
        <v>0</v>
      </c>
      <c r="J42" s="470" t="s">
        <v>494</v>
      </c>
      <c r="K42" s="37">
        <f>VLOOKUP(J42,BoonRef!$AF$2:$AH$27,2,FALSE)</f>
        <v>0</v>
      </c>
      <c r="L42" s="37" t="s">
        <v>494</v>
      </c>
      <c r="M42" s="37">
        <f>VLOOKUP(L42,BoonRef!$AI$2:$AJ$42,2,FALSE)</f>
        <v>0</v>
      </c>
      <c r="N42" s="37" t="s">
        <v>347</v>
      </c>
      <c r="O42" s="37">
        <f>IF(N42="Yes",BoonRef!$AJ$56,0)</f>
        <v>0</v>
      </c>
      <c r="P42" s="37" t="s">
        <v>494</v>
      </c>
      <c r="Q42" s="37">
        <f>VLOOKUP(P42,BoonRef!$AI$43:$AJ$55,2,FALSE)</f>
        <v>0</v>
      </c>
      <c r="R42" s="470" t="s">
        <v>347</v>
      </c>
      <c r="S42" s="470">
        <f>IF(R42="Yes",BoonRef!$AJ$57,0)</f>
        <v>0</v>
      </c>
      <c r="T42" s="470" t="s">
        <v>346</v>
      </c>
      <c r="U42" s="37">
        <f>IF(T42="Yes",VLOOKUP(H42,BoonRef!$AC$2:$AE$12,3,FALSE),0)</f>
        <v>0</v>
      </c>
      <c r="V42" s="470" t="s">
        <v>347</v>
      </c>
      <c r="W42" s="470">
        <f>IF(V42="Yes",BoonRef!$AJ$57,0)</f>
        <v>0</v>
      </c>
      <c r="X42" s="470" t="s">
        <v>346</v>
      </c>
      <c r="Y42" s="111">
        <f>IF(OR(K42="V",J42="None"),0,VLOOKUP(J42,'Purchased Boons'!$AR$4:$AS$27,2,FALSE))</f>
        <v>0</v>
      </c>
    </row>
    <row r="43" spans="1:25" x14ac:dyDescent="0.25">
      <c r="A43" s="37" t="s">
        <v>378</v>
      </c>
      <c r="B43" s="519" t="s">
        <v>30</v>
      </c>
      <c r="C43" s="519" t="s">
        <v>379</v>
      </c>
      <c r="D43" s="519" t="str">
        <f t="shared" si="1"/>
        <v>None</v>
      </c>
      <c r="E43" s="519" t="s">
        <v>1050</v>
      </c>
      <c r="F43" s="519" t="s">
        <v>1045</v>
      </c>
      <c r="G43" s="520">
        <v>53</v>
      </c>
      <c r="H43" s="475" t="s">
        <v>494</v>
      </c>
      <c r="I43" s="37">
        <f>VLOOKUP(H43,BoonRef!$AC$2:$AD$12,2,FALSE)</f>
        <v>0</v>
      </c>
      <c r="J43" s="470" t="s">
        <v>494</v>
      </c>
      <c r="K43" s="37">
        <f>VLOOKUP(J43,BoonRef!$AF$2:$AH$27,2,FALSE)</f>
        <v>0</v>
      </c>
      <c r="L43" s="37" t="s">
        <v>494</v>
      </c>
      <c r="M43" s="37">
        <f>VLOOKUP(L43,BoonRef!$AI$2:$AJ$42,2,FALSE)</f>
        <v>0</v>
      </c>
      <c r="N43" s="37" t="s">
        <v>347</v>
      </c>
      <c r="O43" s="37">
        <f>IF(N43="Yes",BoonRef!$AJ$56,0)</f>
        <v>0</v>
      </c>
      <c r="P43" s="37" t="s">
        <v>494</v>
      </c>
      <c r="Q43" s="37">
        <f>VLOOKUP(P43,BoonRef!$AI$43:$AJ$55,2,FALSE)</f>
        <v>0</v>
      </c>
      <c r="R43" s="470" t="s">
        <v>347</v>
      </c>
      <c r="S43" s="470">
        <f>IF(R43="Yes",BoonRef!$AJ$57,0)</f>
        <v>0</v>
      </c>
      <c r="T43" s="470" t="s">
        <v>346</v>
      </c>
      <c r="U43" s="37">
        <f>IF(T43="Yes",VLOOKUP(H43,BoonRef!$AC$2:$AE$12,3,FALSE),0)</f>
        <v>0</v>
      </c>
      <c r="V43" s="470" t="s">
        <v>347</v>
      </c>
      <c r="W43" s="470">
        <f>IF(V43="Yes",BoonRef!$AJ$57,0)</f>
        <v>0</v>
      </c>
      <c r="X43" s="470" t="s">
        <v>346</v>
      </c>
      <c r="Y43" s="111">
        <f>IF(OR(K43="V",J43="None"),0,VLOOKUP(J43,'Purchased Boons'!$AR$4:$AS$27,2,FALSE))</f>
        <v>0</v>
      </c>
    </row>
    <row r="44" spans="1:25" x14ac:dyDescent="0.25">
      <c r="A44" s="37" t="s">
        <v>102</v>
      </c>
      <c r="B44" s="519" t="s">
        <v>30</v>
      </c>
      <c r="C44" s="519" t="s">
        <v>375</v>
      </c>
      <c r="D44" s="519" t="str">
        <f t="shared" si="1"/>
        <v>None</v>
      </c>
      <c r="E44" s="519" t="s">
        <v>2940</v>
      </c>
      <c r="F44" s="519" t="s">
        <v>1045</v>
      </c>
      <c r="G44" s="520">
        <v>53</v>
      </c>
      <c r="H44" s="475" t="s">
        <v>494</v>
      </c>
      <c r="I44" s="37">
        <f>VLOOKUP(H44,BoonRef!$AC$2:$AD$12,2,FALSE)</f>
        <v>0</v>
      </c>
      <c r="J44" s="470" t="s">
        <v>494</v>
      </c>
      <c r="K44" s="37">
        <f>VLOOKUP(J44,BoonRef!$AF$2:$AH$27,2,FALSE)</f>
        <v>0</v>
      </c>
      <c r="L44" s="37" t="s">
        <v>494</v>
      </c>
      <c r="M44" s="37">
        <f>VLOOKUP(L44,BoonRef!$AI$2:$AJ$42,2,FALSE)</f>
        <v>0</v>
      </c>
      <c r="N44" s="37" t="s">
        <v>347</v>
      </c>
      <c r="O44" s="37">
        <f>IF(N44="Yes",BoonRef!$AJ$56,0)</f>
        <v>0</v>
      </c>
      <c r="P44" s="37" t="s">
        <v>494</v>
      </c>
      <c r="Q44" s="37">
        <f>VLOOKUP(P44,BoonRef!$AI$43:$AJ$55,2,FALSE)</f>
        <v>0</v>
      </c>
      <c r="R44" s="470" t="s">
        <v>347</v>
      </c>
      <c r="S44" s="470">
        <f>IF(R44="Yes",BoonRef!$AJ$57,0)</f>
        <v>0</v>
      </c>
      <c r="T44" s="470" t="s">
        <v>346</v>
      </c>
      <c r="U44" s="37">
        <f>IF(T44="Yes",VLOOKUP(H44,BoonRef!$AC$2:$AE$12,3,FALSE),0)</f>
        <v>0</v>
      </c>
      <c r="V44" s="470" t="s">
        <v>347</v>
      </c>
      <c r="W44" s="470">
        <f>IF(V44="Yes",BoonRef!$AJ$57,0)</f>
        <v>0</v>
      </c>
      <c r="X44" s="470" t="s">
        <v>346</v>
      </c>
      <c r="Y44" s="111">
        <f>IF(OR(K44="V",J44="None"),0,VLOOKUP(J44,'Purchased Boons'!$AR$4:$AS$27,2,FALSE))</f>
        <v>0</v>
      </c>
    </row>
    <row r="45" spans="1:25" x14ac:dyDescent="0.25">
      <c r="A45" s="519" t="s">
        <v>980</v>
      </c>
      <c r="B45" s="519" t="s">
        <v>18</v>
      </c>
      <c r="C45" s="519" t="s">
        <v>967</v>
      </c>
      <c r="D45" s="519" t="str">
        <f t="shared" si="1"/>
        <v>3 + 0</v>
      </c>
      <c r="E45" s="519" t="s">
        <v>1055</v>
      </c>
      <c r="F45" s="519" t="s">
        <v>1046</v>
      </c>
      <c r="G45" s="520">
        <v>55</v>
      </c>
      <c r="H45" s="475" t="s">
        <v>18</v>
      </c>
      <c r="I45" s="37">
        <f>VLOOKUP(H45,BoonRef!$AC$2:$AD$12,2,FALSE)</f>
        <v>1</v>
      </c>
      <c r="J45" s="470" t="s">
        <v>51</v>
      </c>
      <c r="K45" s="37">
        <f>VLOOKUP(J45,BoonRef!$AF$2:$AH$27,2,FALSE)</f>
        <v>0</v>
      </c>
      <c r="L45" s="37" t="s">
        <v>494</v>
      </c>
      <c r="M45" s="37">
        <f>VLOOKUP(L45,BoonRef!$AI$2:$AJ$42,2,FALSE)</f>
        <v>0</v>
      </c>
      <c r="N45" s="37" t="s">
        <v>347</v>
      </c>
      <c r="O45" s="37">
        <f>IF(N45="Yes",BoonRef!$AJ$56,0)</f>
        <v>0</v>
      </c>
      <c r="P45" s="37" t="s">
        <v>494</v>
      </c>
      <c r="Q45" s="37">
        <f>VLOOKUP(P45,BoonRef!$AI$43:$AJ$55,2,FALSE)</f>
        <v>0</v>
      </c>
      <c r="R45" s="470" t="s">
        <v>346</v>
      </c>
      <c r="S45" s="470">
        <f>IF(R45="Yes",BoonRef!$AJ$57,0)</f>
        <v>2</v>
      </c>
      <c r="T45" s="470" t="s">
        <v>346</v>
      </c>
      <c r="U45" s="37">
        <f>IF(T45="Yes",VLOOKUP(H45,BoonRef!$AC$2:$AE$12,3,FALSE),0)</f>
        <v>0</v>
      </c>
      <c r="V45" s="470" t="s">
        <v>347</v>
      </c>
      <c r="W45" s="470">
        <f>IF(V45="Yes",BoonRef!$AJ$57,0)</f>
        <v>0</v>
      </c>
      <c r="X45" s="470" t="s">
        <v>346</v>
      </c>
      <c r="Y45" s="111">
        <f>IF(OR(K45="V",J45="None"),0,VLOOKUP(J45,'Purchased Boons'!$AR$4:$AS$27,2,FALSE))</f>
        <v>0</v>
      </c>
    </row>
    <row r="46" spans="1:25" x14ac:dyDescent="0.25">
      <c r="A46" s="519" t="s">
        <v>976</v>
      </c>
      <c r="B46" s="519" t="s">
        <v>18</v>
      </c>
      <c r="C46" s="519" t="s">
        <v>494</v>
      </c>
      <c r="D46" s="519" t="str">
        <f t="shared" si="1"/>
        <v>None</v>
      </c>
      <c r="E46" s="519" t="s">
        <v>1764</v>
      </c>
      <c r="F46" s="519" t="s">
        <v>5</v>
      </c>
      <c r="G46" s="520">
        <v>71</v>
      </c>
      <c r="H46" s="475" t="s">
        <v>494</v>
      </c>
      <c r="I46" s="37">
        <f>VLOOKUP(H46,BoonRef!$AC$2:$AD$12,2,FALSE)</f>
        <v>0</v>
      </c>
      <c r="J46" s="470" t="s">
        <v>494</v>
      </c>
      <c r="K46" s="37">
        <f>VLOOKUP(J46,BoonRef!$AF$2:$AH$27,2,FALSE)</f>
        <v>0</v>
      </c>
      <c r="L46" s="37" t="s">
        <v>494</v>
      </c>
      <c r="M46" s="37">
        <f>VLOOKUP(L46,BoonRef!$AI$2:$AJ$42,2,FALSE)</f>
        <v>0</v>
      </c>
      <c r="N46" s="37" t="s">
        <v>347</v>
      </c>
      <c r="O46" s="37">
        <f>IF(N46="Yes",BoonRef!$AJ$56,0)</f>
        <v>0</v>
      </c>
      <c r="P46" s="37" t="s">
        <v>494</v>
      </c>
      <c r="Q46" s="37">
        <f>VLOOKUP(P46,BoonRef!$AI$43:$AJ$55,2,FALSE)</f>
        <v>0</v>
      </c>
      <c r="R46" s="470" t="s">
        <v>347</v>
      </c>
      <c r="S46" s="470">
        <f>IF(R46="Yes",BoonRef!$AJ$57,0)</f>
        <v>0</v>
      </c>
      <c r="T46" s="470" t="s">
        <v>346</v>
      </c>
      <c r="U46" s="37">
        <f>IF(T46="Yes",VLOOKUP(H46,BoonRef!$AC$2:$AE$12,3,FALSE),0)</f>
        <v>0</v>
      </c>
      <c r="V46" s="470" t="s">
        <v>347</v>
      </c>
      <c r="W46" s="470">
        <f>IF(V46="Yes",BoonRef!$AJ$57,0)</f>
        <v>0</v>
      </c>
      <c r="X46" s="470" t="s">
        <v>346</v>
      </c>
      <c r="Y46" s="111">
        <f>IF(OR(K46="V",J46="None"),0,VLOOKUP(J46,'Purchased Boons'!$AR$4:$AS$27,2,FALSE))</f>
        <v>0</v>
      </c>
    </row>
    <row r="47" spans="1:25" x14ac:dyDescent="0.25">
      <c r="A47" s="519" t="s">
        <v>1036</v>
      </c>
      <c r="B47" s="519" t="s">
        <v>21</v>
      </c>
      <c r="C47" s="519" t="s">
        <v>494</v>
      </c>
      <c r="D47" s="519" t="str">
        <f t="shared" si="1"/>
        <v>None</v>
      </c>
      <c r="E47" s="519" t="s">
        <v>1050</v>
      </c>
      <c r="F47" s="519" t="s">
        <v>1046</v>
      </c>
      <c r="G47" s="520">
        <v>59</v>
      </c>
      <c r="H47" s="475" t="s">
        <v>494</v>
      </c>
      <c r="I47" s="37">
        <f>VLOOKUP(H47,BoonRef!$AC$2:$AD$12,2,FALSE)</f>
        <v>0</v>
      </c>
      <c r="J47" s="470" t="s">
        <v>494</v>
      </c>
      <c r="K47" s="37">
        <f>VLOOKUP(J47,BoonRef!$AF$2:$AH$27,2,FALSE)</f>
        <v>0</v>
      </c>
      <c r="L47" s="37" t="s">
        <v>494</v>
      </c>
      <c r="M47" s="37">
        <f>VLOOKUP(L47,BoonRef!$AI$2:$AJ$42,2,FALSE)</f>
        <v>0</v>
      </c>
      <c r="N47" s="37" t="s">
        <v>347</v>
      </c>
      <c r="O47" s="37">
        <f>IF(N47="Yes",BoonRef!$AJ$56,0)</f>
        <v>0</v>
      </c>
      <c r="P47" s="37" t="s">
        <v>494</v>
      </c>
      <c r="Q47" s="37">
        <f>VLOOKUP(P47,BoonRef!$AI$43:$AJ$55,2,FALSE)</f>
        <v>0</v>
      </c>
      <c r="R47" s="470" t="s">
        <v>347</v>
      </c>
      <c r="S47" s="470">
        <f>IF(R47="Yes",BoonRef!$AJ$57,0)</f>
        <v>0</v>
      </c>
      <c r="T47" s="470" t="s">
        <v>346</v>
      </c>
      <c r="U47" s="37">
        <f>IF(T47="Yes",VLOOKUP(H47,BoonRef!$AC$2:$AE$12,3,FALSE),0)</f>
        <v>0</v>
      </c>
      <c r="V47" s="470" t="s">
        <v>347</v>
      </c>
      <c r="W47" s="470">
        <f>IF(V47="Yes",BoonRef!$AJ$57,0)</f>
        <v>0</v>
      </c>
      <c r="X47" s="470" t="s">
        <v>346</v>
      </c>
      <c r="Y47" s="111">
        <f>IF(OR(K47="V",J47="None"),0,VLOOKUP(J47,'Purchased Boons'!$AR$4:$AS$27,2,FALSE))</f>
        <v>0</v>
      </c>
    </row>
    <row r="48" spans="1:25" x14ac:dyDescent="0.25">
      <c r="A48" s="519" t="s">
        <v>967</v>
      </c>
      <c r="B48" s="519" t="s">
        <v>18</v>
      </c>
      <c r="C48" s="519" t="s">
        <v>494</v>
      </c>
      <c r="D48" s="519" t="str">
        <f t="shared" si="1"/>
        <v>None</v>
      </c>
      <c r="E48" s="519" t="s">
        <v>1050</v>
      </c>
      <c r="F48" s="519" t="s">
        <v>133</v>
      </c>
      <c r="G48" s="520">
        <v>133</v>
      </c>
      <c r="H48" s="475" t="s">
        <v>494</v>
      </c>
      <c r="I48" s="37">
        <f>VLOOKUP(H48,BoonRef!$AC$2:$AD$12,2,FALSE)</f>
        <v>0</v>
      </c>
      <c r="J48" s="470" t="s">
        <v>494</v>
      </c>
      <c r="K48" s="37">
        <f>VLOOKUP(J48,BoonRef!$AF$2:$AH$27,2,FALSE)</f>
        <v>0</v>
      </c>
      <c r="L48" s="37" t="s">
        <v>494</v>
      </c>
      <c r="M48" s="37">
        <f>VLOOKUP(L48,BoonRef!$AI$2:$AJ$42,2,FALSE)</f>
        <v>0</v>
      </c>
      <c r="N48" s="37" t="s">
        <v>347</v>
      </c>
      <c r="O48" s="37">
        <f>IF(N48="Yes",BoonRef!$AJ$56,0)</f>
        <v>0</v>
      </c>
      <c r="P48" s="37" t="s">
        <v>494</v>
      </c>
      <c r="Q48" s="37">
        <f>VLOOKUP(P48,BoonRef!$AI$43:$AJ$55,2,FALSE)</f>
        <v>0</v>
      </c>
      <c r="R48" s="470" t="s">
        <v>347</v>
      </c>
      <c r="S48" s="470">
        <f>IF(R48="Yes",BoonRef!$AJ$57,0)</f>
        <v>0</v>
      </c>
      <c r="T48" s="470" t="s">
        <v>346</v>
      </c>
      <c r="U48" s="37">
        <f>IF(T48="Yes",VLOOKUP(H48,BoonRef!$AC$2:$AE$12,3,FALSE),0)</f>
        <v>0</v>
      </c>
      <c r="V48" s="470" t="s">
        <v>347</v>
      </c>
      <c r="W48" s="470">
        <f>IF(V48="Yes",BoonRef!$AJ$57,0)</f>
        <v>0</v>
      </c>
      <c r="X48" s="470" t="s">
        <v>346</v>
      </c>
      <c r="Y48" s="111">
        <f>IF(OR(K48="V",J48="None"),0,VLOOKUP(J48,'Purchased Boons'!$AR$4:$AS$27,2,FALSE))</f>
        <v>0</v>
      </c>
    </row>
    <row r="49" spans="1:25" x14ac:dyDescent="0.25">
      <c r="A49" s="519" t="s">
        <v>428</v>
      </c>
      <c r="B49" s="519" t="s">
        <v>16</v>
      </c>
      <c r="C49" s="519" t="s">
        <v>425</v>
      </c>
      <c r="D49" s="519" t="str">
        <f t="shared" si="1"/>
        <v>3 + 0</v>
      </c>
      <c r="E49" s="519" t="s">
        <v>1050</v>
      </c>
      <c r="F49" s="519" t="s">
        <v>5</v>
      </c>
      <c r="G49" s="520">
        <v>68</v>
      </c>
      <c r="H49" s="475" t="s">
        <v>16</v>
      </c>
      <c r="I49" s="37">
        <f>VLOOKUP(H49,BoonRef!$AC$2:$AD$12,2,FALSE)</f>
        <v>1</v>
      </c>
      <c r="J49" s="470" t="s">
        <v>51</v>
      </c>
      <c r="K49" s="37">
        <f>VLOOKUP(J49,BoonRef!$AF$2:$AH$27,2,FALSE)</f>
        <v>0</v>
      </c>
      <c r="L49" s="37" t="s">
        <v>494</v>
      </c>
      <c r="M49" s="37">
        <f>VLOOKUP(L49,BoonRef!$AI$2:$AJ$42,2,FALSE)</f>
        <v>0</v>
      </c>
      <c r="N49" s="37" t="s">
        <v>347</v>
      </c>
      <c r="O49" s="37">
        <f>IF(N49="Yes",BoonRef!$AJ$56,0)</f>
        <v>0</v>
      </c>
      <c r="P49" s="37" t="s">
        <v>494</v>
      </c>
      <c r="Q49" s="37">
        <f>VLOOKUP(P49,BoonRef!$AI$43:$AJ$55,2,FALSE)</f>
        <v>0</v>
      </c>
      <c r="R49" s="470" t="s">
        <v>346</v>
      </c>
      <c r="S49" s="470">
        <f>IF(R49="Yes",BoonRef!$AJ$57,0)</f>
        <v>2</v>
      </c>
      <c r="T49" s="470" t="s">
        <v>346</v>
      </c>
      <c r="U49" s="37">
        <f>IF(T49="Yes",VLOOKUP(H49,BoonRef!$AC$2:$AE$12,3,FALSE),0)</f>
        <v>0</v>
      </c>
      <c r="V49" s="470" t="s">
        <v>347</v>
      </c>
      <c r="W49" s="470">
        <f>IF(V49="Yes",BoonRef!$AJ$57,0)</f>
        <v>0</v>
      </c>
      <c r="X49" s="470" t="s">
        <v>346</v>
      </c>
      <c r="Y49" s="111">
        <f>IF(OR(K49="V",J49="None"),0,VLOOKUP(J49,'Purchased Boons'!$AR$4:$AS$27,2,FALSE))</f>
        <v>0</v>
      </c>
    </row>
    <row r="50" spans="1:25" x14ac:dyDescent="0.25">
      <c r="A50" s="519" t="s">
        <v>989</v>
      </c>
      <c r="B50" s="519" t="s">
        <v>19</v>
      </c>
      <c r="C50" s="519" t="s">
        <v>986</v>
      </c>
      <c r="D50" s="519" t="str">
        <f t="shared" si="1"/>
        <v>None</v>
      </c>
      <c r="E50" s="519" t="s">
        <v>1764</v>
      </c>
      <c r="F50" s="519" t="s">
        <v>1045</v>
      </c>
      <c r="G50" s="520">
        <v>64</v>
      </c>
      <c r="H50" s="475" t="s">
        <v>494</v>
      </c>
      <c r="I50" s="37">
        <f>VLOOKUP(H50,BoonRef!$AC$2:$AD$12,2,FALSE)</f>
        <v>0</v>
      </c>
      <c r="J50" s="470" t="s">
        <v>494</v>
      </c>
      <c r="K50" s="37">
        <f>VLOOKUP(J50,BoonRef!$AF$2:$AH$27,2,FALSE)</f>
        <v>0</v>
      </c>
      <c r="L50" s="37" t="s">
        <v>494</v>
      </c>
      <c r="M50" s="37">
        <f>VLOOKUP(L50,BoonRef!$AI$2:$AJ$42,2,FALSE)</f>
        <v>0</v>
      </c>
      <c r="N50" s="37" t="s">
        <v>347</v>
      </c>
      <c r="O50" s="37">
        <f>IF(N50="Yes",BoonRef!$AJ$56,0)</f>
        <v>0</v>
      </c>
      <c r="P50" s="37" t="s">
        <v>494</v>
      </c>
      <c r="Q50" s="37">
        <f>VLOOKUP(P50,BoonRef!$AI$43:$AJ$55,2,FALSE)</f>
        <v>0</v>
      </c>
      <c r="R50" s="470" t="s">
        <v>347</v>
      </c>
      <c r="S50" s="470">
        <f>IF(R50="Yes",BoonRef!$AJ$57,0)</f>
        <v>0</v>
      </c>
      <c r="T50" s="470" t="s">
        <v>346</v>
      </c>
      <c r="U50" s="37">
        <f>IF(T50="Yes",VLOOKUP(H50,BoonRef!$AC$2:$AE$12,3,FALSE),0)</f>
        <v>0</v>
      </c>
      <c r="V50" s="470" t="s">
        <v>347</v>
      </c>
      <c r="W50" s="470">
        <f>IF(V50="Yes",BoonRef!$AJ$57,0)</f>
        <v>0</v>
      </c>
      <c r="X50" s="470" t="s">
        <v>346</v>
      </c>
      <c r="Y50" s="111">
        <f>IF(OR(K50="V",J50="None"),0,VLOOKUP(J50,'Purchased Boons'!$AR$4:$AS$27,2,FALSE))</f>
        <v>0</v>
      </c>
    </row>
    <row r="51" spans="1:25" x14ac:dyDescent="0.25">
      <c r="A51" s="37" t="s">
        <v>390</v>
      </c>
      <c r="B51" s="519" t="s">
        <v>13</v>
      </c>
      <c r="C51" s="519" t="s">
        <v>494</v>
      </c>
      <c r="D51" s="519" t="str">
        <f t="shared" si="1"/>
        <v>None</v>
      </c>
      <c r="E51" s="519" t="s">
        <v>1050</v>
      </c>
      <c r="F51" s="519" t="s">
        <v>1045</v>
      </c>
      <c r="G51" s="520">
        <v>56</v>
      </c>
      <c r="H51" s="475" t="s">
        <v>494</v>
      </c>
      <c r="I51" s="37">
        <f>VLOOKUP(H51,BoonRef!$AC$2:$AD$12,2,FALSE)</f>
        <v>0</v>
      </c>
      <c r="J51" s="470" t="s">
        <v>494</v>
      </c>
      <c r="K51" s="37">
        <f>VLOOKUP(J51,BoonRef!$AF$2:$AH$27,2,FALSE)</f>
        <v>0</v>
      </c>
      <c r="L51" s="37" t="s">
        <v>494</v>
      </c>
      <c r="M51" s="37">
        <f>VLOOKUP(L51,BoonRef!$AI$2:$AJ$42,2,FALSE)</f>
        <v>0</v>
      </c>
      <c r="N51" s="37" t="s">
        <v>347</v>
      </c>
      <c r="O51" s="37">
        <f>IF(N51="Yes",BoonRef!$AJ$56,0)</f>
        <v>0</v>
      </c>
      <c r="P51" s="37" t="s">
        <v>494</v>
      </c>
      <c r="Q51" s="37">
        <f>VLOOKUP(P51,BoonRef!$AI$43:$AJ$55,2,FALSE)</f>
        <v>0</v>
      </c>
      <c r="R51" s="470" t="s">
        <v>347</v>
      </c>
      <c r="S51" s="470">
        <f>IF(R51="Yes",BoonRef!$AJ$57,0)</f>
        <v>0</v>
      </c>
      <c r="T51" s="470" t="s">
        <v>346</v>
      </c>
      <c r="U51" s="37">
        <f>IF(T51="Yes",VLOOKUP(H51,BoonRef!$AC$2:$AE$12,3,FALSE),0)</f>
        <v>0</v>
      </c>
      <c r="V51" s="470" t="s">
        <v>347</v>
      </c>
      <c r="W51" s="470">
        <f>IF(V51="Yes",BoonRef!$AJ$57,0)</f>
        <v>0</v>
      </c>
      <c r="X51" s="470" t="s">
        <v>346</v>
      </c>
      <c r="Y51" s="111">
        <f>IF(OR(K51="V",J51="None"),0,VLOOKUP(J51,'Purchased Boons'!$AR$4:$AS$27,2,FALSE))</f>
        <v>0</v>
      </c>
    </row>
    <row r="52" spans="1:25" x14ac:dyDescent="0.25">
      <c r="A52" s="519" t="s">
        <v>1025</v>
      </c>
      <c r="B52" s="519" t="s">
        <v>21</v>
      </c>
      <c r="C52" s="519" t="s">
        <v>494</v>
      </c>
      <c r="D52" s="519" t="str">
        <f t="shared" si="1"/>
        <v>None</v>
      </c>
      <c r="E52" s="519" t="s">
        <v>1764</v>
      </c>
      <c r="F52" s="519" t="s">
        <v>1045</v>
      </c>
      <c r="G52" s="520">
        <v>66</v>
      </c>
      <c r="H52" s="475" t="s">
        <v>494</v>
      </c>
      <c r="I52" s="37">
        <f>VLOOKUP(H52,BoonRef!$AC$2:$AD$12,2,FALSE)</f>
        <v>0</v>
      </c>
      <c r="J52" s="470" t="s">
        <v>494</v>
      </c>
      <c r="K52" s="37">
        <f>VLOOKUP(J52,BoonRef!$AF$2:$AH$27,2,FALSE)</f>
        <v>0</v>
      </c>
      <c r="L52" s="37" t="s">
        <v>494</v>
      </c>
      <c r="M52" s="37">
        <f>VLOOKUP(L52,BoonRef!$AI$2:$AJ$42,2,FALSE)</f>
        <v>0</v>
      </c>
      <c r="N52" s="37" t="s">
        <v>347</v>
      </c>
      <c r="O52" s="37">
        <f>IF(N52="Yes",BoonRef!$AJ$56,0)</f>
        <v>0</v>
      </c>
      <c r="P52" s="37" t="s">
        <v>494</v>
      </c>
      <c r="Q52" s="37">
        <f>VLOOKUP(P52,BoonRef!$AI$43:$AJ$55,2,FALSE)</f>
        <v>0</v>
      </c>
      <c r="R52" s="470" t="s">
        <v>347</v>
      </c>
      <c r="S52" s="470">
        <f>IF(R52="Yes",BoonRef!$AJ$57,0)</f>
        <v>0</v>
      </c>
      <c r="T52" s="470" t="s">
        <v>346</v>
      </c>
      <c r="U52" s="37">
        <f>IF(T52="Yes",VLOOKUP(H52,BoonRef!$AC$2:$AE$12,3,FALSE),0)</f>
        <v>0</v>
      </c>
      <c r="V52" s="470" t="s">
        <v>347</v>
      </c>
      <c r="W52" s="470">
        <f>IF(V52="Yes",BoonRef!$AJ$57,0)</f>
        <v>0</v>
      </c>
      <c r="X52" s="470" t="s">
        <v>346</v>
      </c>
      <c r="Y52" s="111">
        <f>IF(OR(K52="V",J52="None"),0,VLOOKUP(J52,'Purchased Boons'!$AR$4:$AS$27,2,FALSE))</f>
        <v>0</v>
      </c>
    </row>
    <row r="53" spans="1:25" x14ac:dyDescent="0.25">
      <c r="A53" s="519" t="s">
        <v>406</v>
      </c>
      <c r="B53" s="519" t="s">
        <v>14</v>
      </c>
      <c r="C53" s="519" t="s">
        <v>494</v>
      </c>
      <c r="D53" s="519" t="str">
        <f t="shared" si="1"/>
        <v>None</v>
      </c>
      <c r="E53" s="519" t="s">
        <v>1764</v>
      </c>
      <c r="F53" s="519" t="s">
        <v>5</v>
      </c>
      <c r="G53" s="520">
        <v>65</v>
      </c>
      <c r="H53" s="475" t="s">
        <v>494</v>
      </c>
      <c r="I53" s="37">
        <f>VLOOKUP(H53,BoonRef!$AC$2:$AD$12,2,FALSE)</f>
        <v>0</v>
      </c>
      <c r="J53" s="470" t="s">
        <v>494</v>
      </c>
      <c r="K53" s="37">
        <f>VLOOKUP(J53,BoonRef!$AF$2:$AH$27,2,FALSE)</f>
        <v>0</v>
      </c>
      <c r="L53" s="37" t="s">
        <v>494</v>
      </c>
      <c r="M53" s="37">
        <f>VLOOKUP(L53,BoonRef!$AI$2:$AJ$42,2,FALSE)</f>
        <v>0</v>
      </c>
      <c r="N53" s="37" t="s">
        <v>347</v>
      </c>
      <c r="O53" s="37">
        <f>IF(N53="Yes",BoonRef!$AJ$56,0)</f>
        <v>0</v>
      </c>
      <c r="P53" s="37" t="s">
        <v>494</v>
      </c>
      <c r="Q53" s="37">
        <f>VLOOKUP(P53,BoonRef!$AI$43:$AJ$55,2,FALSE)</f>
        <v>0</v>
      </c>
      <c r="R53" s="470" t="s">
        <v>347</v>
      </c>
      <c r="S53" s="470">
        <f>IF(R53="Yes",BoonRef!$AJ$57,0)</f>
        <v>0</v>
      </c>
      <c r="T53" s="470" t="s">
        <v>346</v>
      </c>
      <c r="U53" s="37">
        <f>IF(T53="Yes",VLOOKUP(H53,BoonRef!$AC$2:$AE$12,3,FALSE),0)</f>
        <v>0</v>
      </c>
      <c r="V53" s="470" t="s">
        <v>347</v>
      </c>
      <c r="W53" s="470">
        <f>IF(V53="Yes",BoonRef!$AJ$57,0)</f>
        <v>0</v>
      </c>
      <c r="X53" s="470" t="s">
        <v>346</v>
      </c>
      <c r="Y53" s="111">
        <f>IF(OR(K53="V",J53="None"),0,VLOOKUP(J53,'Purchased Boons'!$AR$4:$AS$27,2,FALSE))</f>
        <v>0</v>
      </c>
    </row>
    <row r="54" spans="1:25" x14ac:dyDescent="0.25">
      <c r="A54" s="519" t="s">
        <v>1038</v>
      </c>
      <c r="B54" s="519" t="s">
        <v>13</v>
      </c>
      <c r="C54" s="519" t="s">
        <v>106</v>
      </c>
      <c r="D54" s="519" t="str">
        <f t="shared" si="1"/>
        <v>None</v>
      </c>
      <c r="E54" s="519" t="s">
        <v>1050</v>
      </c>
      <c r="F54" s="519" t="s">
        <v>350</v>
      </c>
      <c r="G54" s="520">
        <v>32</v>
      </c>
      <c r="H54" s="475" t="s">
        <v>494</v>
      </c>
      <c r="I54" s="37">
        <f>VLOOKUP(H54,BoonRef!$AC$2:$AD$12,2,FALSE)</f>
        <v>0</v>
      </c>
      <c r="J54" s="470" t="s">
        <v>494</v>
      </c>
      <c r="K54" s="37">
        <f>VLOOKUP(J54,BoonRef!$AF$2:$AH$27,2,FALSE)</f>
        <v>0</v>
      </c>
      <c r="L54" s="37" t="s">
        <v>494</v>
      </c>
      <c r="M54" s="37">
        <f>VLOOKUP(L54,BoonRef!$AI$2:$AJ$42,2,FALSE)</f>
        <v>0</v>
      </c>
      <c r="N54" s="37" t="s">
        <v>347</v>
      </c>
      <c r="O54" s="37">
        <f>IF(N54="Yes",BoonRef!$AJ$56,0)</f>
        <v>0</v>
      </c>
      <c r="P54" s="37" t="s">
        <v>494</v>
      </c>
      <c r="Q54" s="37">
        <f>VLOOKUP(P54,BoonRef!$AI$43:$AJ$55,2,FALSE)</f>
        <v>0</v>
      </c>
      <c r="R54" s="470" t="s">
        <v>347</v>
      </c>
      <c r="S54" s="470">
        <f>IF(R54="Yes",BoonRef!$AJ$57,0)</f>
        <v>0</v>
      </c>
      <c r="T54" s="470" t="s">
        <v>346</v>
      </c>
      <c r="U54" s="37">
        <f>IF(T54="Yes",VLOOKUP(H54,BoonRef!$AC$2:$AE$12,3,FALSE),0)</f>
        <v>0</v>
      </c>
      <c r="V54" s="470" t="s">
        <v>347</v>
      </c>
      <c r="W54" s="470">
        <f>IF(V54="Yes",BoonRef!$AJ$57,0)</f>
        <v>0</v>
      </c>
      <c r="X54" s="470" t="s">
        <v>346</v>
      </c>
      <c r="Y54" s="111">
        <f>IF(OR(K54="V",J54="None"),0,VLOOKUP(J54,'Purchased Boons'!$AR$4:$AS$27,2,FALSE))</f>
        <v>0</v>
      </c>
    </row>
    <row r="55" spans="1:25" x14ac:dyDescent="0.25">
      <c r="A55" s="519" t="s">
        <v>1001</v>
      </c>
      <c r="B55" s="519" t="s">
        <v>20</v>
      </c>
      <c r="C55" s="519" t="s">
        <v>494</v>
      </c>
      <c r="D55" s="519" t="str">
        <f t="shared" si="1"/>
        <v>None</v>
      </c>
      <c r="E55" s="519" t="s">
        <v>1764</v>
      </c>
      <c r="F55" s="519" t="s">
        <v>133</v>
      </c>
      <c r="G55" s="520">
        <v>135</v>
      </c>
      <c r="H55" s="475" t="s">
        <v>494</v>
      </c>
      <c r="I55" s="37">
        <f>VLOOKUP(H55,BoonRef!$AC$2:$AD$12,2,FALSE)</f>
        <v>0</v>
      </c>
      <c r="J55" s="470" t="s">
        <v>494</v>
      </c>
      <c r="K55" s="37">
        <f>VLOOKUP(J55,BoonRef!$AF$2:$AH$27,2,FALSE)</f>
        <v>0</v>
      </c>
      <c r="L55" s="37" t="s">
        <v>494</v>
      </c>
      <c r="M55" s="37">
        <f>VLOOKUP(L55,BoonRef!$AI$2:$AJ$42,2,FALSE)</f>
        <v>0</v>
      </c>
      <c r="N55" s="37" t="s">
        <v>347</v>
      </c>
      <c r="O55" s="37">
        <f>IF(N55="Yes",BoonRef!$AJ$56,0)</f>
        <v>0</v>
      </c>
      <c r="P55" s="37" t="s">
        <v>494</v>
      </c>
      <c r="Q55" s="37">
        <f>VLOOKUP(P55,BoonRef!$AI$43:$AJ$55,2,FALSE)</f>
        <v>0</v>
      </c>
      <c r="R55" s="470" t="s">
        <v>347</v>
      </c>
      <c r="S55" s="470">
        <f>IF(R55="Yes",BoonRef!$AJ$57,0)</f>
        <v>0</v>
      </c>
      <c r="T55" s="470" t="s">
        <v>346</v>
      </c>
      <c r="U55" s="37">
        <f>IF(T55="Yes",VLOOKUP(H55,BoonRef!$AC$2:$AE$12,3,FALSE),0)</f>
        <v>0</v>
      </c>
      <c r="V55" s="470" t="s">
        <v>347</v>
      </c>
      <c r="W55" s="470">
        <f>IF(V55="Yes",BoonRef!$AJ$57,0)</f>
        <v>0</v>
      </c>
      <c r="X55" s="470" t="s">
        <v>346</v>
      </c>
      <c r="Y55" s="111">
        <f>IF(OR(K55="V",J55="None"),0,VLOOKUP(J55,'Purchased Boons'!$AR$4:$AS$27,2,FALSE))</f>
        <v>0</v>
      </c>
    </row>
    <row r="56" spans="1:25" x14ac:dyDescent="0.25">
      <c r="A56" s="519" t="s">
        <v>1043</v>
      </c>
      <c r="B56" s="519" t="s">
        <v>20</v>
      </c>
      <c r="C56" s="519" t="s">
        <v>494</v>
      </c>
      <c r="D56" s="519" t="str">
        <f t="shared" si="1"/>
        <v>None</v>
      </c>
      <c r="E56" s="519" t="s">
        <v>1050</v>
      </c>
      <c r="F56" s="519" t="s">
        <v>350</v>
      </c>
      <c r="G56" s="520">
        <v>34</v>
      </c>
      <c r="H56" s="475" t="s">
        <v>494</v>
      </c>
      <c r="I56" s="37">
        <f>VLOOKUP(H56,BoonRef!$AC$2:$AD$12,2,FALSE)</f>
        <v>0</v>
      </c>
      <c r="J56" s="470" t="s">
        <v>494</v>
      </c>
      <c r="K56" s="37">
        <f>VLOOKUP(J56,BoonRef!$AF$2:$AH$27,2,FALSE)</f>
        <v>0</v>
      </c>
      <c r="L56" s="37" t="s">
        <v>494</v>
      </c>
      <c r="M56" s="37">
        <f>VLOOKUP(L56,BoonRef!$AI$2:$AJ$42,2,FALSE)</f>
        <v>0</v>
      </c>
      <c r="N56" s="37" t="s">
        <v>347</v>
      </c>
      <c r="O56" s="37">
        <f>IF(N56="Yes",BoonRef!$AJ$56,0)</f>
        <v>0</v>
      </c>
      <c r="P56" s="37" t="s">
        <v>494</v>
      </c>
      <c r="Q56" s="37">
        <f>VLOOKUP(P56,BoonRef!$AI$43:$AJ$55,2,FALSE)</f>
        <v>0</v>
      </c>
      <c r="R56" s="470" t="s">
        <v>347</v>
      </c>
      <c r="S56" s="470">
        <f>IF(R56="Yes",BoonRef!$AJ$57,0)</f>
        <v>0</v>
      </c>
      <c r="T56" s="470" t="s">
        <v>346</v>
      </c>
      <c r="U56" s="37">
        <f>IF(T56="Yes",VLOOKUP(H56,BoonRef!$AC$2:$AE$12,3,FALSE),0)</f>
        <v>0</v>
      </c>
      <c r="V56" s="470" t="s">
        <v>347</v>
      </c>
      <c r="W56" s="470">
        <f>IF(V56="Yes",BoonRef!$AJ$57,0)</f>
        <v>0</v>
      </c>
      <c r="X56" s="470" t="s">
        <v>346</v>
      </c>
      <c r="Y56" s="111">
        <f>IF(OR(K56="V",J56="None"),0,VLOOKUP(J56,'Purchased Boons'!$AR$4:$AS$27,2,FALSE))</f>
        <v>0</v>
      </c>
    </row>
    <row r="57" spans="1:25" x14ac:dyDescent="0.25">
      <c r="A57" s="519" t="s">
        <v>1042</v>
      </c>
      <c r="B57" s="519" t="s">
        <v>19</v>
      </c>
      <c r="C57" s="519" t="s">
        <v>494</v>
      </c>
      <c r="D57" s="519" t="str">
        <f t="shared" si="1"/>
        <v>None</v>
      </c>
      <c r="E57" s="519" t="s">
        <v>1054</v>
      </c>
      <c r="F57" s="519" t="s">
        <v>350</v>
      </c>
      <c r="G57" s="520">
        <v>33</v>
      </c>
      <c r="H57" s="475" t="s">
        <v>494</v>
      </c>
      <c r="I57" s="37">
        <f>VLOOKUP(H57,BoonRef!$AC$2:$AD$12,2,FALSE)</f>
        <v>0</v>
      </c>
      <c r="J57" s="470" t="s">
        <v>494</v>
      </c>
      <c r="K57" s="37">
        <f>VLOOKUP(J57,BoonRef!$AF$2:$AH$27,2,FALSE)</f>
        <v>0</v>
      </c>
      <c r="L57" s="37" t="s">
        <v>494</v>
      </c>
      <c r="M57" s="37">
        <f>VLOOKUP(L57,BoonRef!$AI$2:$AJ$42,2,FALSE)</f>
        <v>0</v>
      </c>
      <c r="N57" s="37" t="s">
        <v>347</v>
      </c>
      <c r="O57" s="37">
        <f>IF(N57="Yes",BoonRef!$AJ$56,0)</f>
        <v>0</v>
      </c>
      <c r="P57" s="37" t="s">
        <v>494</v>
      </c>
      <c r="Q57" s="37">
        <f>VLOOKUP(P57,BoonRef!$AI$43:$AJ$55,2,FALSE)</f>
        <v>0</v>
      </c>
      <c r="R57" s="470" t="s">
        <v>347</v>
      </c>
      <c r="S57" s="470">
        <f>IF(R57="Yes",BoonRef!$AJ$57,0)</f>
        <v>0</v>
      </c>
      <c r="T57" s="470" t="s">
        <v>346</v>
      </c>
      <c r="U57" s="37">
        <f>IF(T57="Yes",VLOOKUP(H57,BoonRef!$AC$2:$AE$12,3,FALSE),0)</f>
        <v>0</v>
      </c>
      <c r="V57" s="470" t="s">
        <v>347</v>
      </c>
      <c r="W57" s="470">
        <f>IF(V57="Yes",BoonRef!$AJ$57,0)</f>
        <v>0</v>
      </c>
      <c r="X57" s="470" t="s">
        <v>346</v>
      </c>
      <c r="Y57" s="111">
        <f>IF(OR(K57="V",J57="None"),0,VLOOKUP(J57,'Purchased Boons'!$AR$4:$AS$27,2,FALSE))</f>
        <v>0</v>
      </c>
    </row>
    <row r="58" spans="1:25" x14ac:dyDescent="0.25">
      <c r="A58" s="519" t="s">
        <v>1041</v>
      </c>
      <c r="B58" s="519" t="s">
        <v>18</v>
      </c>
      <c r="C58" s="519" t="s">
        <v>494</v>
      </c>
      <c r="D58" s="519" t="str">
        <f t="shared" si="1"/>
        <v>None</v>
      </c>
      <c r="E58" s="519" t="s">
        <v>494</v>
      </c>
      <c r="F58" s="519" t="s">
        <v>350</v>
      </c>
      <c r="G58" s="520">
        <v>33</v>
      </c>
      <c r="H58" s="475" t="s">
        <v>494</v>
      </c>
      <c r="I58" s="37">
        <f>VLOOKUP(H58,BoonRef!$AC$2:$AD$12,2,FALSE)</f>
        <v>0</v>
      </c>
      <c r="J58" s="470" t="s">
        <v>494</v>
      </c>
      <c r="K58" s="37">
        <f>VLOOKUP(J58,BoonRef!$AF$2:$AH$27,2,FALSE)</f>
        <v>0</v>
      </c>
      <c r="L58" s="37" t="s">
        <v>494</v>
      </c>
      <c r="M58" s="37">
        <f>VLOOKUP(L58,BoonRef!$AI$2:$AJ$42,2,FALSE)</f>
        <v>0</v>
      </c>
      <c r="N58" s="37" t="s">
        <v>347</v>
      </c>
      <c r="O58" s="37">
        <f>IF(N58="Yes",BoonRef!$AJ$56,0)</f>
        <v>0</v>
      </c>
      <c r="P58" s="37" t="s">
        <v>494</v>
      </c>
      <c r="Q58" s="37">
        <f>VLOOKUP(P58,BoonRef!$AI$43:$AJ$55,2,FALSE)</f>
        <v>0</v>
      </c>
      <c r="R58" s="470" t="s">
        <v>347</v>
      </c>
      <c r="S58" s="470">
        <f>IF(R58="Yes",BoonRef!$AJ$57,0)</f>
        <v>0</v>
      </c>
      <c r="T58" s="470" t="s">
        <v>346</v>
      </c>
      <c r="U58" s="37">
        <f>IF(T58="Yes",VLOOKUP(H58,BoonRef!$AC$2:$AE$12,3,FALSE),0)</f>
        <v>0</v>
      </c>
      <c r="V58" s="470" t="s">
        <v>347</v>
      </c>
      <c r="W58" s="470">
        <f>IF(V58="Yes",BoonRef!$AJ$57,0)</f>
        <v>0</v>
      </c>
      <c r="X58" s="470" t="s">
        <v>346</v>
      </c>
      <c r="Y58" s="111">
        <f>IF(OR(K58="V",J58="None"),0,VLOOKUP(J58,'Purchased Boons'!$AR$4:$AS$27,2,FALSE))</f>
        <v>0</v>
      </c>
    </row>
    <row r="59" spans="1:25" x14ac:dyDescent="0.25">
      <c r="A59" s="519" t="s">
        <v>948</v>
      </c>
      <c r="B59" s="519" t="s">
        <v>17</v>
      </c>
      <c r="C59" s="519" t="s">
        <v>494</v>
      </c>
      <c r="D59" s="519" t="str">
        <f t="shared" si="1"/>
        <v>None</v>
      </c>
      <c r="E59" s="519" t="s">
        <v>1050</v>
      </c>
      <c r="F59" s="519" t="s">
        <v>133</v>
      </c>
      <c r="G59" s="520">
        <v>131</v>
      </c>
      <c r="H59" s="475" t="s">
        <v>494</v>
      </c>
      <c r="I59" s="37">
        <f>VLOOKUP(H59,BoonRef!$AC$2:$AD$12,2,FALSE)</f>
        <v>0</v>
      </c>
      <c r="J59" s="470" t="s">
        <v>494</v>
      </c>
      <c r="K59" s="37">
        <f>VLOOKUP(J59,BoonRef!$AF$2:$AH$27,2,FALSE)</f>
        <v>0</v>
      </c>
      <c r="L59" s="37" t="s">
        <v>494</v>
      </c>
      <c r="M59" s="37">
        <f>VLOOKUP(L59,BoonRef!$AI$2:$AJ$42,2,FALSE)</f>
        <v>0</v>
      </c>
      <c r="N59" s="37" t="s">
        <v>347</v>
      </c>
      <c r="O59" s="37">
        <f>IF(N59="Yes",BoonRef!$AJ$56,0)</f>
        <v>0</v>
      </c>
      <c r="P59" s="37" t="s">
        <v>494</v>
      </c>
      <c r="Q59" s="37">
        <f>VLOOKUP(P59,BoonRef!$AI$43:$AJ$55,2,FALSE)</f>
        <v>0</v>
      </c>
      <c r="R59" s="470" t="s">
        <v>347</v>
      </c>
      <c r="S59" s="470">
        <f>IF(R59="Yes",BoonRef!$AJ$57,0)</f>
        <v>0</v>
      </c>
      <c r="T59" s="470" t="s">
        <v>346</v>
      </c>
      <c r="U59" s="37">
        <f>IF(T59="Yes",VLOOKUP(H59,BoonRef!$AC$2:$AE$12,3,FALSE),0)</f>
        <v>0</v>
      </c>
      <c r="V59" s="470" t="s">
        <v>347</v>
      </c>
      <c r="W59" s="470">
        <f>IF(V59="Yes",BoonRef!$AJ$57,0)</f>
        <v>0</v>
      </c>
      <c r="X59" s="470" t="s">
        <v>346</v>
      </c>
      <c r="Y59" s="111">
        <f>IF(OR(K59="V",J59="None"),0,VLOOKUP(J59,'Purchased Boons'!$AR$4:$AS$27,2,FALSE))</f>
        <v>0</v>
      </c>
    </row>
    <row r="60" spans="1:25" x14ac:dyDescent="0.25">
      <c r="A60" s="519" t="s">
        <v>1037</v>
      </c>
      <c r="B60" s="519" t="s">
        <v>30</v>
      </c>
      <c r="C60" s="519" t="s">
        <v>494</v>
      </c>
      <c r="D60" s="519" t="str">
        <f t="shared" si="1"/>
        <v>None</v>
      </c>
      <c r="E60" s="519" t="s">
        <v>1050</v>
      </c>
      <c r="F60" s="519" t="s">
        <v>350</v>
      </c>
      <c r="G60" s="520">
        <v>32</v>
      </c>
      <c r="H60" s="475" t="s">
        <v>494</v>
      </c>
      <c r="I60" s="37">
        <f>VLOOKUP(H60,BoonRef!$AC$2:$AD$12,2,FALSE)</f>
        <v>0</v>
      </c>
      <c r="J60" s="470" t="s">
        <v>494</v>
      </c>
      <c r="K60" s="37">
        <f>VLOOKUP(J60,BoonRef!$AF$2:$AH$27,2,FALSE)</f>
        <v>0</v>
      </c>
      <c r="L60" s="37" t="s">
        <v>494</v>
      </c>
      <c r="M60" s="37">
        <f>VLOOKUP(L60,BoonRef!$AI$2:$AJ$42,2,FALSE)</f>
        <v>0</v>
      </c>
      <c r="N60" s="37" t="s">
        <v>347</v>
      </c>
      <c r="O60" s="37">
        <f>IF(N60="Yes",BoonRef!$AJ$56,0)</f>
        <v>0</v>
      </c>
      <c r="P60" s="37" t="s">
        <v>494</v>
      </c>
      <c r="Q60" s="37">
        <f>VLOOKUP(P60,BoonRef!$AI$43:$AJ$55,2,FALSE)</f>
        <v>0</v>
      </c>
      <c r="R60" s="470" t="s">
        <v>347</v>
      </c>
      <c r="S60" s="470">
        <f>IF(R60="Yes",BoonRef!$AJ$57,0)</f>
        <v>0</v>
      </c>
      <c r="T60" s="470" t="s">
        <v>346</v>
      </c>
      <c r="U60" s="37">
        <f>IF(T60="Yes",VLOOKUP(H60,BoonRef!$AC$2:$AE$12,3,FALSE),0)</f>
        <v>0</v>
      </c>
      <c r="V60" s="470" t="s">
        <v>347</v>
      </c>
      <c r="W60" s="470">
        <f>IF(V60="Yes",BoonRef!$AJ$57,0)</f>
        <v>0</v>
      </c>
      <c r="X60" s="470" t="s">
        <v>346</v>
      </c>
      <c r="Y60" s="111">
        <f>IF(OR(K60="V",J60="None"),0,VLOOKUP(J60,'Purchased Boons'!$AR$4:$AS$27,2,FALSE))</f>
        <v>0</v>
      </c>
    </row>
    <row r="61" spans="1:25" x14ac:dyDescent="0.25">
      <c r="A61" s="519" t="s">
        <v>429</v>
      </c>
      <c r="B61" s="519" t="s">
        <v>16</v>
      </c>
      <c r="C61" s="519" t="s">
        <v>494</v>
      </c>
      <c r="D61" s="519" t="str">
        <f t="shared" ref="D61:D92" si="2">IF(AND(H61="None",J61="None",L61="None",N61="No",P61="None",R61="No"),"None",IF(OR(H61="Varies",J61="Varies",L61="Varies",P61="Varies"),"Varies",CONCATENATE(I61+S61+K61+M61+O61+Q61+Y61," + ",W61+U61)))</f>
        <v>None</v>
      </c>
      <c r="E61" s="519" t="s">
        <v>1056</v>
      </c>
      <c r="F61" s="519" t="s">
        <v>5</v>
      </c>
      <c r="G61" s="520">
        <v>68</v>
      </c>
      <c r="H61" s="475" t="s">
        <v>494</v>
      </c>
      <c r="I61" s="37">
        <f>VLOOKUP(H61,BoonRef!$AC$2:$AD$12,2,FALSE)</f>
        <v>0</v>
      </c>
      <c r="J61" s="470" t="s">
        <v>494</v>
      </c>
      <c r="K61" s="37">
        <f>VLOOKUP(J61,BoonRef!$AF$2:$AH$27,2,FALSE)</f>
        <v>0</v>
      </c>
      <c r="L61" s="37" t="s">
        <v>494</v>
      </c>
      <c r="M61" s="37">
        <f>VLOOKUP(L61,BoonRef!$AI$2:$AJ$42,2,FALSE)</f>
        <v>0</v>
      </c>
      <c r="N61" s="37" t="s">
        <v>347</v>
      </c>
      <c r="O61" s="37">
        <f>IF(N61="Yes",BoonRef!$AJ$56,0)</f>
        <v>0</v>
      </c>
      <c r="P61" s="37" t="s">
        <v>494</v>
      </c>
      <c r="Q61" s="37">
        <f>VLOOKUP(P61,BoonRef!$AI$43:$AJ$55,2,FALSE)</f>
        <v>0</v>
      </c>
      <c r="R61" s="470" t="s">
        <v>347</v>
      </c>
      <c r="S61" s="470">
        <f>IF(R61="Yes",BoonRef!$AJ$57,0)</f>
        <v>0</v>
      </c>
      <c r="T61" s="470" t="s">
        <v>346</v>
      </c>
      <c r="U61" s="37">
        <f>IF(T61="Yes",VLOOKUP(H61,BoonRef!$AC$2:$AE$12,3,FALSE),0)</f>
        <v>0</v>
      </c>
      <c r="V61" s="470" t="s">
        <v>347</v>
      </c>
      <c r="W61" s="470">
        <f>IF(V61="Yes",BoonRef!$AJ$57,0)</f>
        <v>0</v>
      </c>
      <c r="X61" s="470" t="s">
        <v>346</v>
      </c>
      <c r="Y61" s="111">
        <f>IF(OR(K61="V",J61="None"),0,VLOOKUP(J61,'Purchased Boons'!$AR$4:$AS$27,2,FALSE))</f>
        <v>0</v>
      </c>
    </row>
    <row r="62" spans="1:25" x14ac:dyDescent="0.25">
      <c r="A62" s="519" t="s">
        <v>953</v>
      </c>
      <c r="B62" s="519" t="s">
        <v>17</v>
      </c>
      <c r="C62" s="519" t="s">
        <v>949</v>
      </c>
      <c r="D62" s="519" t="str">
        <f t="shared" si="2"/>
        <v>None</v>
      </c>
      <c r="E62" s="519" t="s">
        <v>1051</v>
      </c>
      <c r="F62" s="519" t="s">
        <v>1045</v>
      </c>
      <c r="G62" s="520">
        <v>61</v>
      </c>
      <c r="H62" s="475" t="s">
        <v>494</v>
      </c>
      <c r="I62" s="37">
        <f>VLOOKUP(H62,BoonRef!$AC$2:$AD$12,2,FALSE)</f>
        <v>0</v>
      </c>
      <c r="J62" s="470" t="s">
        <v>494</v>
      </c>
      <c r="K62" s="37">
        <f>VLOOKUP(J62,BoonRef!$AF$2:$AH$27,2,FALSE)</f>
        <v>0</v>
      </c>
      <c r="L62" s="37" t="s">
        <v>494</v>
      </c>
      <c r="M62" s="37">
        <f>VLOOKUP(L62,BoonRef!$AI$2:$AJ$42,2,FALSE)</f>
        <v>0</v>
      </c>
      <c r="N62" s="37" t="s">
        <v>347</v>
      </c>
      <c r="O62" s="37">
        <f>IF(N62="Yes",BoonRef!$AJ$56,0)</f>
        <v>0</v>
      </c>
      <c r="P62" s="37" t="s">
        <v>494</v>
      </c>
      <c r="Q62" s="37">
        <f>VLOOKUP(P62,BoonRef!$AI$43:$AJ$55,2,FALSE)</f>
        <v>0</v>
      </c>
      <c r="R62" s="470" t="s">
        <v>347</v>
      </c>
      <c r="S62" s="470">
        <f>IF(R62="Yes",BoonRef!$AJ$57,0)</f>
        <v>0</v>
      </c>
      <c r="T62" s="470" t="s">
        <v>346</v>
      </c>
      <c r="U62" s="37">
        <f>IF(T62="Yes",VLOOKUP(H62,BoonRef!$AC$2:$AE$12,3,FALSE),0)</f>
        <v>0</v>
      </c>
      <c r="V62" s="470" t="s">
        <v>347</v>
      </c>
      <c r="W62" s="470">
        <f>IF(V62="Yes",BoonRef!$AJ$57,0)</f>
        <v>0</v>
      </c>
      <c r="X62" s="470" t="s">
        <v>346</v>
      </c>
      <c r="Y62" s="111">
        <f>IF(OR(K62="V",J62="None"),0,VLOOKUP(J62,'Purchased Boons'!$AR$4:$AS$27,2,FALSE))</f>
        <v>0</v>
      </c>
    </row>
    <row r="63" spans="1:25" x14ac:dyDescent="0.25">
      <c r="A63" s="519" t="s">
        <v>994</v>
      </c>
      <c r="B63" s="519" t="s">
        <v>19</v>
      </c>
      <c r="C63" s="519" t="s">
        <v>494</v>
      </c>
      <c r="D63" s="519" t="str">
        <f t="shared" si="2"/>
        <v>None</v>
      </c>
      <c r="E63" s="519" t="s">
        <v>1764</v>
      </c>
      <c r="F63" s="519" t="s">
        <v>5</v>
      </c>
      <c r="G63" s="520">
        <v>73</v>
      </c>
      <c r="H63" s="475" t="s">
        <v>494</v>
      </c>
      <c r="I63" s="37">
        <f>VLOOKUP(H63,BoonRef!$AC$2:$AD$12,2,FALSE)</f>
        <v>0</v>
      </c>
      <c r="J63" s="470" t="s">
        <v>494</v>
      </c>
      <c r="K63" s="37">
        <f>VLOOKUP(J63,BoonRef!$AF$2:$AH$27,2,FALSE)</f>
        <v>0</v>
      </c>
      <c r="L63" s="37" t="s">
        <v>494</v>
      </c>
      <c r="M63" s="37">
        <f>VLOOKUP(L63,BoonRef!$AI$2:$AJ$42,2,FALSE)</f>
        <v>0</v>
      </c>
      <c r="N63" s="37" t="s">
        <v>347</v>
      </c>
      <c r="O63" s="37">
        <f>IF(N63="Yes",BoonRef!$AJ$56,0)</f>
        <v>0</v>
      </c>
      <c r="P63" s="37" t="s">
        <v>494</v>
      </c>
      <c r="Q63" s="37">
        <f>VLOOKUP(P63,BoonRef!$AI$43:$AJ$55,2,FALSE)</f>
        <v>0</v>
      </c>
      <c r="R63" s="470" t="s">
        <v>347</v>
      </c>
      <c r="S63" s="470">
        <f>IF(R63="Yes",BoonRef!$AJ$57,0)</f>
        <v>0</v>
      </c>
      <c r="T63" s="470" t="s">
        <v>346</v>
      </c>
      <c r="U63" s="37">
        <f>IF(T63="Yes",VLOOKUP(H63,BoonRef!$AC$2:$AE$12,3,FALSE),0)</f>
        <v>0</v>
      </c>
      <c r="V63" s="470" t="s">
        <v>347</v>
      </c>
      <c r="W63" s="470">
        <f>IF(V63="Yes",BoonRef!$AJ$57,0)</f>
        <v>0</v>
      </c>
      <c r="X63" s="470" t="s">
        <v>346</v>
      </c>
      <c r="Y63" s="111">
        <f>IF(OR(K63="V",J63="None"),0,VLOOKUP(J63,'Purchased Boons'!$AR$4:$AS$27,2,FALSE))</f>
        <v>0</v>
      </c>
    </row>
    <row r="64" spans="1:25" x14ac:dyDescent="0.25">
      <c r="A64" s="37" t="s">
        <v>103</v>
      </c>
      <c r="B64" s="519" t="s">
        <v>30</v>
      </c>
      <c r="C64" s="519" t="s">
        <v>494</v>
      </c>
      <c r="D64" s="519" t="str">
        <f t="shared" si="2"/>
        <v>None</v>
      </c>
      <c r="E64" s="519" t="s">
        <v>1764</v>
      </c>
      <c r="F64" s="519" t="s">
        <v>133</v>
      </c>
      <c r="G64" s="520">
        <v>126</v>
      </c>
      <c r="H64" s="475" t="s">
        <v>494</v>
      </c>
      <c r="I64" s="37">
        <f>VLOOKUP(H64,BoonRef!$AC$2:$AD$12,2,FALSE)</f>
        <v>0</v>
      </c>
      <c r="J64" s="470" t="s">
        <v>494</v>
      </c>
      <c r="K64" s="37">
        <f>VLOOKUP(J64,BoonRef!$AF$2:$AH$27,2,FALSE)</f>
        <v>0</v>
      </c>
      <c r="L64" s="37" t="s">
        <v>494</v>
      </c>
      <c r="M64" s="37">
        <f>VLOOKUP(L64,BoonRef!$AI$2:$AJ$42,2,FALSE)</f>
        <v>0</v>
      </c>
      <c r="N64" s="37" t="s">
        <v>347</v>
      </c>
      <c r="O64" s="37">
        <f>IF(N64="Yes",BoonRef!$AJ$56,0)</f>
        <v>0</v>
      </c>
      <c r="P64" s="37" t="s">
        <v>494</v>
      </c>
      <c r="Q64" s="37">
        <f>VLOOKUP(P64,BoonRef!$AI$43:$AJ$55,2,FALSE)</f>
        <v>0</v>
      </c>
      <c r="R64" s="470" t="s">
        <v>347</v>
      </c>
      <c r="S64" s="470">
        <f>IF(R64="Yes",BoonRef!$AJ$57,0)</f>
        <v>0</v>
      </c>
      <c r="T64" s="470" t="s">
        <v>346</v>
      </c>
      <c r="U64" s="37">
        <f>IF(T64="Yes",VLOOKUP(H64,BoonRef!$AC$2:$AE$12,3,FALSE),0)</f>
        <v>0</v>
      </c>
      <c r="V64" s="470" t="s">
        <v>347</v>
      </c>
      <c r="W64" s="470">
        <f>IF(V64="Yes",BoonRef!$AJ$57,0)</f>
        <v>0</v>
      </c>
      <c r="X64" s="470" t="s">
        <v>346</v>
      </c>
      <c r="Y64" s="111">
        <f>IF(OR(K64="V",J64="None"),0,VLOOKUP(J64,'Purchased Boons'!$AR$4:$AS$27,2,FALSE))</f>
        <v>0</v>
      </c>
    </row>
    <row r="65" spans="1:25" x14ac:dyDescent="0.25">
      <c r="A65" s="37" t="s">
        <v>407</v>
      </c>
      <c r="B65" s="519" t="s">
        <v>14</v>
      </c>
      <c r="C65" s="519" t="s">
        <v>494</v>
      </c>
      <c r="D65" s="519" t="str">
        <f t="shared" si="2"/>
        <v>None</v>
      </c>
      <c r="E65" s="519" t="s">
        <v>1764</v>
      </c>
      <c r="F65" s="519" t="s">
        <v>133</v>
      </c>
      <c r="G65" s="520">
        <v>129</v>
      </c>
      <c r="H65" s="475" t="s">
        <v>494</v>
      </c>
      <c r="I65" s="37">
        <f>VLOOKUP(H65,BoonRef!$AC$2:$AD$12,2,FALSE)</f>
        <v>0</v>
      </c>
      <c r="J65" s="470" t="s">
        <v>494</v>
      </c>
      <c r="K65" s="37">
        <f>VLOOKUP(J65,BoonRef!$AF$2:$AH$27,2,FALSE)</f>
        <v>0</v>
      </c>
      <c r="L65" s="37" t="s">
        <v>494</v>
      </c>
      <c r="M65" s="37">
        <f>VLOOKUP(L65,BoonRef!$AI$2:$AJ$42,2,FALSE)</f>
        <v>0</v>
      </c>
      <c r="N65" s="37" t="s">
        <v>347</v>
      </c>
      <c r="O65" s="37">
        <f>IF(N65="Yes",BoonRef!$AJ$56,0)</f>
        <v>0</v>
      </c>
      <c r="P65" s="37" t="s">
        <v>494</v>
      </c>
      <c r="Q65" s="37">
        <f>VLOOKUP(P65,BoonRef!$AI$43:$AJ$55,2,FALSE)</f>
        <v>0</v>
      </c>
      <c r="R65" s="470" t="s">
        <v>347</v>
      </c>
      <c r="S65" s="470">
        <f>IF(R65="Yes",BoonRef!$AJ$57,0)</f>
        <v>0</v>
      </c>
      <c r="T65" s="470" t="s">
        <v>346</v>
      </c>
      <c r="U65" s="37">
        <f>IF(T65="Yes",VLOOKUP(H65,BoonRef!$AC$2:$AE$12,3,FALSE),0)</f>
        <v>0</v>
      </c>
      <c r="V65" s="470" t="s">
        <v>347</v>
      </c>
      <c r="W65" s="470">
        <f>IF(V65="Yes",BoonRef!$AJ$57,0)</f>
        <v>0</v>
      </c>
      <c r="X65" s="470" t="s">
        <v>346</v>
      </c>
      <c r="Y65" s="111">
        <f>IF(OR(K65="V",J65="None"),0,VLOOKUP(J65,'Purchased Boons'!$AR$4:$AS$27,2,FALSE))</f>
        <v>0</v>
      </c>
    </row>
    <row r="66" spans="1:25" x14ac:dyDescent="0.25">
      <c r="A66" s="37" t="s">
        <v>379</v>
      </c>
      <c r="B66" s="519" t="s">
        <v>30</v>
      </c>
      <c r="C66" s="519" t="s">
        <v>494</v>
      </c>
      <c r="D66" s="519" t="str">
        <f t="shared" si="2"/>
        <v>None</v>
      </c>
      <c r="E66" s="519" t="s">
        <v>1050</v>
      </c>
      <c r="F66" s="519" t="s">
        <v>133</v>
      </c>
      <c r="G66" s="520">
        <v>126</v>
      </c>
      <c r="H66" s="475" t="s">
        <v>494</v>
      </c>
      <c r="I66" s="37">
        <f>VLOOKUP(H66,BoonRef!$AC$2:$AD$12,2,FALSE)</f>
        <v>0</v>
      </c>
      <c r="J66" s="470" t="s">
        <v>494</v>
      </c>
      <c r="K66" s="37">
        <f>VLOOKUP(J66,BoonRef!$AF$2:$AH$27,2,FALSE)</f>
        <v>0</v>
      </c>
      <c r="L66" s="37" t="s">
        <v>494</v>
      </c>
      <c r="M66" s="37">
        <f>VLOOKUP(L66,BoonRef!$AI$2:$AJ$42,2,FALSE)</f>
        <v>0</v>
      </c>
      <c r="N66" s="37" t="s">
        <v>347</v>
      </c>
      <c r="O66" s="37">
        <f>IF(N66="Yes",BoonRef!$AJ$56,0)</f>
        <v>0</v>
      </c>
      <c r="P66" s="37" t="s">
        <v>494</v>
      </c>
      <c r="Q66" s="37">
        <f>VLOOKUP(P66,BoonRef!$AI$43:$AJ$55,2,FALSE)</f>
        <v>0</v>
      </c>
      <c r="R66" s="470" t="s">
        <v>347</v>
      </c>
      <c r="S66" s="470">
        <f>IF(R66="Yes",BoonRef!$AJ$57,0)</f>
        <v>0</v>
      </c>
      <c r="T66" s="470" t="s">
        <v>346</v>
      </c>
      <c r="U66" s="37">
        <f>IF(T66="Yes",VLOOKUP(H66,BoonRef!$AC$2:$AE$12,3,FALSE),0)</f>
        <v>0</v>
      </c>
      <c r="V66" s="470" t="s">
        <v>347</v>
      </c>
      <c r="W66" s="470">
        <f>IF(V66="Yes",BoonRef!$AJ$57,0)</f>
        <v>0</v>
      </c>
      <c r="X66" s="470" t="s">
        <v>346</v>
      </c>
      <c r="Y66" s="111">
        <f>IF(OR(K66="V",J66="None"),0,VLOOKUP(J66,'Purchased Boons'!$AR$4:$AS$27,2,FALSE))</f>
        <v>0</v>
      </c>
    </row>
    <row r="67" spans="1:25" x14ac:dyDescent="0.25">
      <c r="A67" s="37" t="s">
        <v>1044</v>
      </c>
      <c r="B67" s="519" t="s">
        <v>30</v>
      </c>
      <c r="C67" s="519" t="s">
        <v>494</v>
      </c>
      <c r="D67" s="519" t="str">
        <f t="shared" si="2"/>
        <v>None</v>
      </c>
      <c r="E67" s="519" t="s">
        <v>1764</v>
      </c>
      <c r="F67" s="519" t="s">
        <v>133</v>
      </c>
      <c r="G67" s="520">
        <v>126</v>
      </c>
      <c r="H67" s="475" t="s">
        <v>494</v>
      </c>
      <c r="I67" s="37">
        <f>VLOOKUP(H67,BoonRef!$AC$2:$AD$12,2,FALSE)</f>
        <v>0</v>
      </c>
      <c r="J67" s="470" t="s">
        <v>494</v>
      </c>
      <c r="K67" s="37">
        <f>VLOOKUP(J67,BoonRef!$AF$2:$AH$27,2,FALSE)</f>
        <v>0</v>
      </c>
      <c r="L67" s="37" t="s">
        <v>494</v>
      </c>
      <c r="M67" s="37">
        <f>VLOOKUP(L67,BoonRef!$AI$2:$AJ$42,2,FALSE)</f>
        <v>0</v>
      </c>
      <c r="N67" s="37" t="s">
        <v>347</v>
      </c>
      <c r="O67" s="37">
        <f>IF(N67="Yes",BoonRef!$AJ$56,0)</f>
        <v>0</v>
      </c>
      <c r="P67" s="37" t="s">
        <v>494</v>
      </c>
      <c r="Q67" s="37">
        <f>VLOOKUP(P67,BoonRef!$AI$43:$AJ$55,2,FALSE)</f>
        <v>0</v>
      </c>
      <c r="R67" s="470" t="s">
        <v>347</v>
      </c>
      <c r="S67" s="470">
        <f>IF(R67="Yes",BoonRef!$AJ$57,0)</f>
        <v>0</v>
      </c>
      <c r="T67" s="470" t="s">
        <v>346</v>
      </c>
      <c r="U67" s="37">
        <f>IF(T67="Yes",VLOOKUP(H67,BoonRef!$AC$2:$AE$12,3,FALSE),0)</f>
        <v>0</v>
      </c>
      <c r="V67" s="470" t="s">
        <v>347</v>
      </c>
      <c r="W67" s="470">
        <f>IF(V67="Yes",BoonRef!$AJ$57,0)</f>
        <v>0</v>
      </c>
      <c r="X67" s="470" t="s">
        <v>346</v>
      </c>
      <c r="Y67" s="111">
        <f>IF(OR(K67="V",J67="None"),0,VLOOKUP(J67,'Purchased Boons'!$AR$4:$AS$27,2,FALSE))</f>
        <v>0</v>
      </c>
    </row>
    <row r="68" spans="1:25" x14ac:dyDescent="0.25">
      <c r="A68" s="37" t="s">
        <v>380</v>
      </c>
      <c r="B68" s="519" t="s">
        <v>30</v>
      </c>
      <c r="C68" s="519" t="s">
        <v>384</v>
      </c>
      <c r="D68" s="519" t="str">
        <f t="shared" si="2"/>
        <v>None</v>
      </c>
      <c r="E68" s="519" t="s">
        <v>1054</v>
      </c>
      <c r="F68" s="519" t="s">
        <v>5</v>
      </c>
      <c r="G68" s="520">
        <v>61</v>
      </c>
      <c r="H68" s="475" t="s">
        <v>494</v>
      </c>
      <c r="I68" s="37">
        <f>VLOOKUP(H68,BoonRef!$AC$2:$AD$12,2,FALSE)</f>
        <v>0</v>
      </c>
      <c r="J68" s="470" t="s">
        <v>494</v>
      </c>
      <c r="K68" s="37">
        <f>VLOOKUP(J68,BoonRef!$AF$2:$AH$27,2,FALSE)</f>
        <v>0</v>
      </c>
      <c r="L68" s="37" t="s">
        <v>494</v>
      </c>
      <c r="M68" s="37">
        <f>VLOOKUP(L68,BoonRef!$AI$2:$AJ$42,2,FALSE)</f>
        <v>0</v>
      </c>
      <c r="N68" s="37" t="s">
        <v>347</v>
      </c>
      <c r="O68" s="37">
        <f>IF(N68="Yes",BoonRef!$AJ$56,0)</f>
        <v>0</v>
      </c>
      <c r="P68" s="37" t="s">
        <v>494</v>
      </c>
      <c r="Q68" s="37">
        <f>VLOOKUP(P68,BoonRef!$AI$43:$AJ$55,2,FALSE)</f>
        <v>0</v>
      </c>
      <c r="R68" s="470" t="s">
        <v>347</v>
      </c>
      <c r="S68" s="470">
        <f>IF(R68="Yes",BoonRef!$AJ$57,0)</f>
        <v>0</v>
      </c>
      <c r="T68" s="470" t="s">
        <v>346</v>
      </c>
      <c r="U68" s="37">
        <f>IF(T68="Yes",VLOOKUP(H68,BoonRef!$AC$2:$AE$12,3,FALSE),0)</f>
        <v>0</v>
      </c>
      <c r="V68" s="470" t="s">
        <v>347</v>
      </c>
      <c r="W68" s="470">
        <f>IF(V68="Yes",BoonRef!$AJ$57,0)</f>
        <v>0</v>
      </c>
      <c r="X68" s="470" t="s">
        <v>346</v>
      </c>
      <c r="Y68" s="111">
        <f>IF(OR(K68="V",J68="None"),0,VLOOKUP(J68,'Purchased Boons'!$AR$4:$AS$27,2,FALSE))</f>
        <v>0</v>
      </c>
    </row>
    <row r="69" spans="1:25" x14ac:dyDescent="0.25">
      <c r="A69" s="519" t="s">
        <v>408</v>
      </c>
      <c r="B69" s="519" t="s">
        <v>14</v>
      </c>
      <c r="C69" s="519" t="s">
        <v>105</v>
      </c>
      <c r="D69" s="519" t="str">
        <f t="shared" si="2"/>
        <v>None</v>
      </c>
      <c r="E69" s="519" t="s">
        <v>1764</v>
      </c>
      <c r="F69" s="519" t="s">
        <v>5</v>
      </c>
      <c r="G69" s="520">
        <v>66</v>
      </c>
      <c r="H69" s="475" t="s">
        <v>494</v>
      </c>
      <c r="I69" s="37">
        <f>VLOOKUP(H69,BoonRef!$AC$2:$AD$12,2,FALSE)</f>
        <v>0</v>
      </c>
      <c r="J69" s="470" t="s">
        <v>494</v>
      </c>
      <c r="K69" s="37">
        <f>VLOOKUP(J69,BoonRef!$AF$2:$AH$27,2,FALSE)</f>
        <v>0</v>
      </c>
      <c r="L69" s="37" t="s">
        <v>494</v>
      </c>
      <c r="M69" s="37">
        <f>VLOOKUP(L69,BoonRef!$AI$2:$AJ$42,2,FALSE)</f>
        <v>0</v>
      </c>
      <c r="N69" s="37" t="s">
        <v>347</v>
      </c>
      <c r="O69" s="37">
        <f>IF(N69="Yes",BoonRef!$AJ$56,0)</f>
        <v>0</v>
      </c>
      <c r="P69" s="37" t="s">
        <v>494</v>
      </c>
      <c r="Q69" s="37">
        <f>VLOOKUP(P69,BoonRef!$AI$43:$AJ$55,2,FALSE)</f>
        <v>0</v>
      </c>
      <c r="R69" s="470" t="s">
        <v>347</v>
      </c>
      <c r="S69" s="470">
        <f>IF(R69="Yes",BoonRef!$AJ$57,0)</f>
        <v>0</v>
      </c>
      <c r="T69" s="470" t="s">
        <v>346</v>
      </c>
      <c r="U69" s="37">
        <f>IF(T69="Yes",VLOOKUP(H69,BoonRef!$AC$2:$AE$12,3,FALSE),0)</f>
        <v>0</v>
      </c>
      <c r="V69" s="470" t="s">
        <v>347</v>
      </c>
      <c r="W69" s="470">
        <f>IF(V69="Yes",BoonRef!$AJ$57,0)</f>
        <v>0</v>
      </c>
      <c r="X69" s="470" t="s">
        <v>346</v>
      </c>
      <c r="Y69" s="111">
        <f>IF(OR(K69="V",J69="None"),0,VLOOKUP(J69,'Purchased Boons'!$AR$4:$AS$27,2,FALSE))</f>
        <v>0</v>
      </c>
    </row>
    <row r="70" spans="1:25" x14ac:dyDescent="0.25">
      <c r="A70" s="519" t="s">
        <v>957</v>
      </c>
      <c r="B70" s="519" t="s">
        <v>17</v>
      </c>
      <c r="C70" s="519" t="s">
        <v>954</v>
      </c>
      <c r="D70" s="519" t="str">
        <f t="shared" si="2"/>
        <v>3 + 0</v>
      </c>
      <c r="E70" s="519" t="s">
        <v>1051</v>
      </c>
      <c r="F70" s="519" t="s">
        <v>5</v>
      </c>
      <c r="G70" s="520">
        <v>69</v>
      </c>
      <c r="H70" s="475" t="s">
        <v>17</v>
      </c>
      <c r="I70" s="37">
        <f>VLOOKUP(H70,BoonRef!$AC$2:$AD$12,2,FALSE)</f>
        <v>1</v>
      </c>
      <c r="J70" s="470" t="s">
        <v>40</v>
      </c>
      <c r="K70" s="37">
        <f>VLOOKUP(J70,BoonRef!$AF$2:$AH$27,2,FALSE)</f>
        <v>0</v>
      </c>
      <c r="L70" s="37" t="s">
        <v>494</v>
      </c>
      <c r="M70" s="37">
        <f>VLOOKUP(L70,BoonRef!$AI$2:$AJ$42,2,FALSE)</f>
        <v>0</v>
      </c>
      <c r="N70" s="37" t="s">
        <v>347</v>
      </c>
      <c r="O70" s="37">
        <f>IF(N70="Yes",BoonRef!$AJ$56,0)</f>
        <v>0</v>
      </c>
      <c r="P70" s="37" t="s">
        <v>494</v>
      </c>
      <c r="Q70" s="37">
        <f>VLOOKUP(P70,BoonRef!$AI$43:$AJ$55,2,FALSE)</f>
        <v>0</v>
      </c>
      <c r="R70" s="470" t="s">
        <v>346</v>
      </c>
      <c r="S70" s="470">
        <f>IF(R70="Yes",BoonRef!$AJ$57,0)</f>
        <v>2</v>
      </c>
      <c r="T70" s="470" t="s">
        <v>346</v>
      </c>
      <c r="U70" s="37">
        <f>IF(T70="Yes",VLOOKUP(H70,BoonRef!$AC$2:$AE$12,3,FALSE),0)</f>
        <v>0</v>
      </c>
      <c r="V70" s="470" t="s">
        <v>347</v>
      </c>
      <c r="W70" s="470">
        <f>IF(V70="Yes",BoonRef!$AJ$57,0)</f>
        <v>0</v>
      </c>
      <c r="X70" s="470" t="s">
        <v>346</v>
      </c>
      <c r="Y70" s="111">
        <f>IF(OR(K70="V",J70="None"),0,VLOOKUP(J70,'Purchased Boons'!$AR$4:$AS$27,2,FALSE))</f>
        <v>0</v>
      </c>
    </row>
    <row r="71" spans="1:25" x14ac:dyDescent="0.25">
      <c r="A71" s="519" t="s">
        <v>998</v>
      </c>
      <c r="B71" s="519" t="s">
        <v>19</v>
      </c>
      <c r="C71" s="519" t="s">
        <v>986</v>
      </c>
      <c r="D71" s="519" t="str">
        <f t="shared" si="2"/>
        <v>None</v>
      </c>
      <c r="E71" s="519" t="s">
        <v>1050</v>
      </c>
      <c r="F71" s="519" t="s">
        <v>1046</v>
      </c>
      <c r="G71" s="520">
        <v>56</v>
      </c>
      <c r="H71" s="475" t="s">
        <v>494</v>
      </c>
      <c r="I71" s="37">
        <f>VLOOKUP(H71,BoonRef!$AC$2:$AD$12,2,FALSE)</f>
        <v>0</v>
      </c>
      <c r="J71" s="470" t="s">
        <v>494</v>
      </c>
      <c r="K71" s="37">
        <f>VLOOKUP(J71,BoonRef!$AF$2:$AH$27,2,FALSE)</f>
        <v>0</v>
      </c>
      <c r="L71" s="37" t="s">
        <v>494</v>
      </c>
      <c r="M71" s="37">
        <f>VLOOKUP(L71,BoonRef!$AI$2:$AJ$42,2,FALSE)</f>
        <v>0</v>
      </c>
      <c r="N71" s="37" t="s">
        <v>347</v>
      </c>
      <c r="O71" s="37">
        <f>IF(N71="Yes",BoonRef!$AJ$56,0)</f>
        <v>0</v>
      </c>
      <c r="P71" s="37" t="s">
        <v>494</v>
      </c>
      <c r="Q71" s="37">
        <f>VLOOKUP(P71,BoonRef!$AI$43:$AJ$55,2,FALSE)</f>
        <v>0</v>
      </c>
      <c r="R71" s="470" t="s">
        <v>347</v>
      </c>
      <c r="S71" s="470">
        <f>IF(R71="Yes",BoonRef!$AJ$57,0)</f>
        <v>0</v>
      </c>
      <c r="T71" s="470" t="s">
        <v>346</v>
      </c>
      <c r="U71" s="37">
        <f>IF(T71="Yes",VLOOKUP(H71,BoonRef!$AC$2:$AE$12,3,FALSE),0)</f>
        <v>0</v>
      </c>
      <c r="V71" s="470" t="s">
        <v>347</v>
      </c>
      <c r="W71" s="470">
        <f>IF(V71="Yes",BoonRef!$AJ$57,0)</f>
        <v>0</v>
      </c>
      <c r="X71" s="470" t="s">
        <v>346</v>
      </c>
      <c r="Y71" s="111">
        <f>IF(OR(K71="V",J71="None"),0,VLOOKUP(J71,'Purchased Boons'!$AR$4:$AS$27,2,FALSE))</f>
        <v>0</v>
      </c>
    </row>
    <row r="72" spans="1:25" x14ac:dyDescent="0.25">
      <c r="A72" s="519" t="s">
        <v>972</v>
      </c>
      <c r="B72" s="519" t="s">
        <v>18</v>
      </c>
      <c r="C72" s="519" t="s">
        <v>968</v>
      </c>
      <c r="D72" s="519" t="str">
        <f t="shared" si="2"/>
        <v>None</v>
      </c>
      <c r="E72" s="519" t="s">
        <v>1060</v>
      </c>
      <c r="F72" s="519" t="s">
        <v>1045</v>
      </c>
      <c r="G72" s="520">
        <v>62</v>
      </c>
      <c r="H72" s="475" t="s">
        <v>494</v>
      </c>
      <c r="I72" s="37">
        <f>VLOOKUP(H72,BoonRef!$AC$2:$AD$12,2,FALSE)</f>
        <v>0</v>
      </c>
      <c r="J72" s="470" t="s">
        <v>494</v>
      </c>
      <c r="K72" s="37">
        <f>VLOOKUP(J72,BoonRef!$AF$2:$AH$27,2,FALSE)</f>
        <v>0</v>
      </c>
      <c r="L72" s="37" t="s">
        <v>494</v>
      </c>
      <c r="M72" s="37">
        <f>VLOOKUP(L72,BoonRef!$AI$2:$AJ$42,2,FALSE)</f>
        <v>0</v>
      </c>
      <c r="N72" s="37" t="s">
        <v>347</v>
      </c>
      <c r="O72" s="37">
        <f>IF(N72="Yes",BoonRef!$AJ$56,0)</f>
        <v>0</v>
      </c>
      <c r="P72" s="37" t="s">
        <v>494</v>
      </c>
      <c r="Q72" s="37">
        <f>VLOOKUP(P72,BoonRef!$AI$43:$AJ$55,2,FALSE)</f>
        <v>0</v>
      </c>
      <c r="R72" s="470" t="s">
        <v>347</v>
      </c>
      <c r="S72" s="470">
        <f>IF(R72="Yes",BoonRef!$AJ$57,0)</f>
        <v>0</v>
      </c>
      <c r="T72" s="470" t="s">
        <v>346</v>
      </c>
      <c r="U72" s="37">
        <f>IF(T72="Yes",VLOOKUP(H72,BoonRef!$AC$2:$AE$12,3,FALSE),0)</f>
        <v>0</v>
      </c>
      <c r="V72" s="470" t="s">
        <v>347</v>
      </c>
      <c r="W72" s="470">
        <f>IF(V72="Yes",BoonRef!$AJ$57,0)</f>
        <v>0</v>
      </c>
      <c r="X72" s="470" t="s">
        <v>346</v>
      </c>
      <c r="Y72" s="111">
        <f>IF(OR(K72="V",J72="None"),0,VLOOKUP(J72,'Purchased Boons'!$AR$4:$AS$27,2,FALSE))</f>
        <v>0</v>
      </c>
    </row>
    <row r="73" spans="1:25" x14ac:dyDescent="0.25">
      <c r="A73" s="37" t="s">
        <v>409</v>
      </c>
      <c r="B73" s="519" t="s">
        <v>14</v>
      </c>
      <c r="C73" s="519" t="s">
        <v>494</v>
      </c>
      <c r="D73" s="519" t="str">
        <f t="shared" si="2"/>
        <v>None</v>
      </c>
      <c r="E73" s="519" t="s">
        <v>1764</v>
      </c>
      <c r="F73" s="519" t="s">
        <v>133</v>
      </c>
      <c r="G73" s="520">
        <v>129</v>
      </c>
      <c r="H73" s="475" t="s">
        <v>494</v>
      </c>
      <c r="I73" s="37">
        <f>VLOOKUP(H73,BoonRef!$AC$2:$AD$12,2,FALSE)</f>
        <v>0</v>
      </c>
      <c r="J73" s="470" t="s">
        <v>494</v>
      </c>
      <c r="K73" s="37">
        <f>VLOOKUP(J73,BoonRef!$AF$2:$AH$27,2,FALSE)</f>
        <v>0</v>
      </c>
      <c r="L73" s="37" t="s">
        <v>494</v>
      </c>
      <c r="M73" s="37">
        <f>VLOOKUP(L73,BoonRef!$AI$2:$AJ$42,2,FALSE)</f>
        <v>0</v>
      </c>
      <c r="N73" s="37" t="s">
        <v>347</v>
      </c>
      <c r="O73" s="37">
        <f>IF(N73="Yes",BoonRef!$AJ$56,0)</f>
        <v>0</v>
      </c>
      <c r="P73" s="37" t="s">
        <v>494</v>
      </c>
      <c r="Q73" s="37">
        <f>VLOOKUP(P73,BoonRef!$AI$43:$AJ$55,2,FALSE)</f>
        <v>0</v>
      </c>
      <c r="R73" s="470" t="s">
        <v>347</v>
      </c>
      <c r="S73" s="470">
        <f>IF(R73="Yes",BoonRef!$AJ$57,0)</f>
        <v>0</v>
      </c>
      <c r="T73" s="470" t="s">
        <v>346</v>
      </c>
      <c r="U73" s="37">
        <f>IF(T73="Yes",VLOOKUP(H73,BoonRef!$AC$2:$AE$12,3,FALSE),0)</f>
        <v>0</v>
      </c>
      <c r="V73" s="470" t="s">
        <v>347</v>
      </c>
      <c r="W73" s="470">
        <f>IF(V73="Yes",BoonRef!$AJ$57,0)</f>
        <v>0</v>
      </c>
      <c r="X73" s="470" t="s">
        <v>346</v>
      </c>
      <c r="Y73" s="111">
        <f>IF(OR(K73="V",J73="None"),0,VLOOKUP(J73,'Purchased Boons'!$AR$4:$AS$27,2,FALSE))</f>
        <v>0</v>
      </c>
    </row>
    <row r="74" spans="1:25" x14ac:dyDescent="0.25">
      <c r="A74" s="519" t="s">
        <v>430</v>
      </c>
      <c r="B74" s="519" t="s">
        <v>16</v>
      </c>
      <c r="C74" s="519" t="s">
        <v>494</v>
      </c>
      <c r="D74" s="519" t="str">
        <f t="shared" si="2"/>
        <v>None</v>
      </c>
      <c r="E74" s="519" t="s">
        <v>1050</v>
      </c>
      <c r="F74" s="519" t="s">
        <v>133</v>
      </c>
      <c r="G74" s="520">
        <v>130</v>
      </c>
      <c r="H74" s="475" t="s">
        <v>494</v>
      </c>
      <c r="I74" s="37">
        <f>VLOOKUP(H74,BoonRef!$AC$2:$AD$12,2,FALSE)</f>
        <v>0</v>
      </c>
      <c r="J74" s="470" t="s">
        <v>494</v>
      </c>
      <c r="K74" s="37">
        <f>VLOOKUP(J74,BoonRef!$AF$2:$AH$27,2,FALSE)</f>
        <v>0</v>
      </c>
      <c r="L74" s="37" t="s">
        <v>494</v>
      </c>
      <c r="M74" s="37">
        <f>VLOOKUP(L74,BoonRef!$AI$2:$AJ$42,2,FALSE)</f>
        <v>0</v>
      </c>
      <c r="N74" s="37" t="s">
        <v>347</v>
      </c>
      <c r="O74" s="37">
        <f>IF(N74="Yes",BoonRef!$AJ$56,0)</f>
        <v>0</v>
      </c>
      <c r="P74" s="37" t="s">
        <v>494</v>
      </c>
      <c r="Q74" s="37">
        <f>VLOOKUP(P74,BoonRef!$AI$43:$AJ$55,2,FALSE)</f>
        <v>0</v>
      </c>
      <c r="R74" s="470" t="s">
        <v>347</v>
      </c>
      <c r="S74" s="470">
        <f>IF(R74="Yes",BoonRef!$AJ$57,0)</f>
        <v>0</v>
      </c>
      <c r="T74" s="470" t="s">
        <v>346</v>
      </c>
      <c r="U74" s="37">
        <f>IF(T74="Yes",VLOOKUP(H74,BoonRef!$AC$2:$AE$12,3,FALSE),0)</f>
        <v>0</v>
      </c>
      <c r="V74" s="470" t="s">
        <v>347</v>
      </c>
      <c r="W74" s="470">
        <f>IF(V74="Yes",BoonRef!$AJ$57,0)</f>
        <v>0</v>
      </c>
      <c r="X74" s="470" t="s">
        <v>346</v>
      </c>
      <c r="Y74" s="111">
        <f>IF(OR(K74="V",J74="None"),0,VLOOKUP(J74,'Purchased Boons'!$AR$4:$AS$27,2,FALSE))</f>
        <v>0</v>
      </c>
    </row>
    <row r="75" spans="1:25" x14ac:dyDescent="0.25">
      <c r="A75" s="519" t="s">
        <v>1026</v>
      </c>
      <c r="B75" s="519" t="s">
        <v>21</v>
      </c>
      <c r="C75" s="519" t="s">
        <v>494</v>
      </c>
      <c r="D75" s="519" t="str">
        <f t="shared" si="2"/>
        <v>None</v>
      </c>
      <c r="E75" s="519" t="s">
        <v>1050</v>
      </c>
      <c r="F75" s="519" t="s">
        <v>1045</v>
      </c>
      <c r="G75" s="520">
        <v>67</v>
      </c>
      <c r="H75" s="475" t="s">
        <v>494</v>
      </c>
      <c r="I75" s="37">
        <f>VLOOKUP(H75,BoonRef!$AC$2:$AD$12,2,FALSE)</f>
        <v>0</v>
      </c>
      <c r="J75" s="470" t="s">
        <v>494</v>
      </c>
      <c r="K75" s="37">
        <f>VLOOKUP(J75,BoonRef!$AF$2:$AH$27,2,FALSE)</f>
        <v>0</v>
      </c>
      <c r="L75" s="37" t="s">
        <v>494</v>
      </c>
      <c r="M75" s="37">
        <f>VLOOKUP(L75,BoonRef!$AI$2:$AJ$42,2,FALSE)</f>
        <v>0</v>
      </c>
      <c r="N75" s="37" t="s">
        <v>347</v>
      </c>
      <c r="O75" s="37">
        <f>IF(N75="Yes",BoonRef!$AJ$56,0)</f>
        <v>0</v>
      </c>
      <c r="P75" s="37" t="s">
        <v>494</v>
      </c>
      <c r="Q75" s="37">
        <f>VLOOKUP(P75,BoonRef!$AI$43:$AJ$55,2,FALSE)</f>
        <v>0</v>
      </c>
      <c r="R75" s="470" t="s">
        <v>347</v>
      </c>
      <c r="S75" s="470">
        <f>IF(R75="Yes",BoonRef!$AJ$57,0)</f>
        <v>0</v>
      </c>
      <c r="T75" s="470" t="s">
        <v>346</v>
      </c>
      <c r="U75" s="37">
        <f>IF(T75="Yes",VLOOKUP(H75,BoonRef!$AC$2:$AE$12,3,FALSE),0)</f>
        <v>0</v>
      </c>
      <c r="V75" s="470" t="s">
        <v>347</v>
      </c>
      <c r="W75" s="470">
        <f>IF(V75="Yes",BoonRef!$AJ$57,0)</f>
        <v>0</v>
      </c>
      <c r="X75" s="470" t="s">
        <v>346</v>
      </c>
      <c r="Y75" s="111">
        <f>IF(OR(K75="V",J75="None"),0,VLOOKUP(J75,'Purchased Boons'!$AR$4:$AS$27,2,FALSE))</f>
        <v>0</v>
      </c>
    </row>
    <row r="76" spans="1:25" x14ac:dyDescent="0.25">
      <c r="A76" s="519" t="s">
        <v>954</v>
      </c>
      <c r="B76" s="519" t="s">
        <v>17</v>
      </c>
      <c r="C76" s="519" t="s">
        <v>949</v>
      </c>
      <c r="D76" s="519" t="str">
        <f t="shared" si="2"/>
        <v>3 + 0</v>
      </c>
      <c r="E76" s="519" t="s">
        <v>1051</v>
      </c>
      <c r="F76" s="519" t="s">
        <v>1045</v>
      </c>
      <c r="G76" s="520">
        <v>61</v>
      </c>
      <c r="H76" s="475" t="s">
        <v>17</v>
      </c>
      <c r="I76" s="37">
        <f>VLOOKUP(H76,BoonRef!$AC$2:$AD$12,2,FALSE)</f>
        <v>1</v>
      </c>
      <c r="J76" s="470" t="s">
        <v>40</v>
      </c>
      <c r="K76" s="37">
        <f>VLOOKUP(J76,BoonRef!$AF$2:$AH$27,2,FALSE)</f>
        <v>0</v>
      </c>
      <c r="L76" s="37" t="s">
        <v>494</v>
      </c>
      <c r="M76" s="37">
        <f>VLOOKUP(L76,BoonRef!$AI$2:$AJ$42,2,FALSE)</f>
        <v>0</v>
      </c>
      <c r="N76" s="37" t="s">
        <v>347</v>
      </c>
      <c r="O76" s="37">
        <f>IF(N76="Yes",BoonRef!$AJ$56,0)</f>
        <v>0</v>
      </c>
      <c r="P76" s="37" t="s">
        <v>494</v>
      </c>
      <c r="Q76" s="37">
        <f>VLOOKUP(P76,BoonRef!$AI$43:$AJ$55,2,FALSE)</f>
        <v>0</v>
      </c>
      <c r="R76" s="470" t="s">
        <v>346</v>
      </c>
      <c r="S76" s="470">
        <f>IF(R76="Yes",BoonRef!$AJ$57,0)</f>
        <v>2</v>
      </c>
      <c r="T76" s="470" t="s">
        <v>346</v>
      </c>
      <c r="U76" s="37">
        <f>IF(T76="Yes",VLOOKUP(H76,BoonRef!$AC$2:$AE$12,3,FALSE),0)</f>
        <v>0</v>
      </c>
      <c r="V76" s="470" t="s">
        <v>347</v>
      </c>
      <c r="W76" s="470">
        <f>IF(V76="Yes",BoonRef!$AJ$57,0)</f>
        <v>0</v>
      </c>
      <c r="X76" s="470" t="s">
        <v>346</v>
      </c>
      <c r="Y76" s="111">
        <f>IF(OR(K76="V",J76="None"),0,VLOOKUP(J76,'Purchased Boons'!$AR$4:$AS$27,2,FALSE))</f>
        <v>0</v>
      </c>
    </row>
    <row r="77" spans="1:25" x14ac:dyDescent="0.25">
      <c r="A77" s="519" t="s">
        <v>1019</v>
      </c>
      <c r="B77" s="519" t="s">
        <v>21</v>
      </c>
      <c r="C77" s="519" t="s">
        <v>494</v>
      </c>
      <c r="D77" s="519" t="str">
        <f t="shared" si="2"/>
        <v>1 + 0</v>
      </c>
      <c r="E77" s="519" t="s">
        <v>1050</v>
      </c>
      <c r="F77" s="519" t="s">
        <v>133</v>
      </c>
      <c r="G77" s="520">
        <v>136</v>
      </c>
      <c r="H77" s="475" t="s">
        <v>21</v>
      </c>
      <c r="I77" s="37">
        <f>VLOOKUP(H77,BoonRef!$AC$2:$AD$12,2,FALSE)</f>
        <v>1</v>
      </c>
      <c r="J77" s="470" t="s">
        <v>44</v>
      </c>
      <c r="K77" s="37">
        <f>VLOOKUP(J77,BoonRef!$AF$2:$AH$27,2,FALSE)</f>
        <v>0</v>
      </c>
      <c r="L77" s="37" t="s">
        <v>494</v>
      </c>
      <c r="M77" s="37">
        <f>VLOOKUP(L77,BoonRef!$AI$2:$AJ$42,2,FALSE)</f>
        <v>0</v>
      </c>
      <c r="N77" s="37" t="s">
        <v>347</v>
      </c>
      <c r="O77" s="37">
        <f>IF(N77="Yes",BoonRef!$AJ$56,0)</f>
        <v>0</v>
      </c>
      <c r="P77" s="37" t="s">
        <v>494</v>
      </c>
      <c r="Q77" s="37">
        <f>VLOOKUP(P77,BoonRef!$AI$43:$AJ$55,2,FALSE)</f>
        <v>0</v>
      </c>
      <c r="R77" s="470" t="s">
        <v>347</v>
      </c>
      <c r="S77" s="470">
        <f>IF(R77="Yes",BoonRef!$AJ$57,0)</f>
        <v>0</v>
      </c>
      <c r="T77" s="470" t="s">
        <v>346</v>
      </c>
      <c r="U77" s="37">
        <f>IF(T77="Yes",VLOOKUP(H77,BoonRef!$AC$2:$AE$12,3,FALSE),0)</f>
        <v>0</v>
      </c>
      <c r="V77" s="470" t="s">
        <v>347</v>
      </c>
      <c r="W77" s="470">
        <f>IF(V77="Yes",BoonRef!$AJ$57,0)</f>
        <v>0</v>
      </c>
      <c r="X77" s="470" t="s">
        <v>346</v>
      </c>
      <c r="Y77" s="111">
        <f>IF(OR(K77="V",J77="None"),0,VLOOKUP(J77,'Purchased Boons'!$AR$4:$AS$27,2,FALSE))</f>
        <v>0</v>
      </c>
    </row>
    <row r="78" spans="1:25" x14ac:dyDescent="0.25">
      <c r="A78" s="519" t="s">
        <v>431</v>
      </c>
      <c r="B78" s="519" t="s">
        <v>16</v>
      </c>
      <c r="C78" s="519" t="s">
        <v>430</v>
      </c>
      <c r="D78" s="519" t="str">
        <f t="shared" si="2"/>
        <v>3 + 0</v>
      </c>
      <c r="E78" s="519" t="s">
        <v>1054</v>
      </c>
      <c r="F78" s="519" t="s">
        <v>1046</v>
      </c>
      <c r="G78" s="520">
        <v>54</v>
      </c>
      <c r="H78" s="475" t="s">
        <v>16</v>
      </c>
      <c r="I78" s="37">
        <f>VLOOKUP(H78,BoonRef!$AC$2:$AD$12,2,FALSE)</f>
        <v>1</v>
      </c>
      <c r="J78" s="470" t="s">
        <v>51</v>
      </c>
      <c r="K78" s="37">
        <f>VLOOKUP(J78,BoonRef!$AF$2:$AH$27,2,FALSE)</f>
        <v>0</v>
      </c>
      <c r="L78" s="37" t="s">
        <v>494</v>
      </c>
      <c r="M78" s="37">
        <f>VLOOKUP(L78,BoonRef!$AI$2:$AJ$42,2,FALSE)</f>
        <v>0</v>
      </c>
      <c r="N78" s="37" t="s">
        <v>347</v>
      </c>
      <c r="O78" s="37">
        <f>IF(N78="Yes",BoonRef!$AJ$56,0)</f>
        <v>0</v>
      </c>
      <c r="P78" s="37" t="s">
        <v>494</v>
      </c>
      <c r="Q78" s="37">
        <f>VLOOKUP(P78,BoonRef!$AI$43:$AJ$55,2,FALSE)</f>
        <v>0</v>
      </c>
      <c r="R78" s="470" t="s">
        <v>346</v>
      </c>
      <c r="S78" s="470">
        <f>IF(R78="Yes",BoonRef!$AJ$57,0)</f>
        <v>2</v>
      </c>
      <c r="T78" s="470" t="s">
        <v>346</v>
      </c>
      <c r="U78" s="37">
        <f>IF(T78="Yes",VLOOKUP(H78,BoonRef!$AC$2:$AE$12,3,FALSE),0)</f>
        <v>0</v>
      </c>
      <c r="V78" s="470" t="s">
        <v>347</v>
      </c>
      <c r="W78" s="470">
        <f>IF(V78="Yes",BoonRef!$AJ$57,0)</f>
        <v>0</v>
      </c>
      <c r="X78" s="470" t="s">
        <v>346</v>
      </c>
      <c r="Y78" s="111">
        <f>IF(OR(K78="V",J78="None"),0,VLOOKUP(J78,'Purchased Boons'!$AR$4:$AS$27,2,FALSE))</f>
        <v>0</v>
      </c>
    </row>
    <row r="79" spans="1:25" x14ac:dyDescent="0.25">
      <c r="A79" s="519" t="s">
        <v>1012</v>
      </c>
      <c r="B79" s="519" t="s">
        <v>20</v>
      </c>
      <c r="C79" s="519" t="s">
        <v>1007</v>
      </c>
      <c r="D79" s="519" t="str">
        <f t="shared" si="2"/>
        <v>None</v>
      </c>
      <c r="E79" s="519" t="s">
        <v>1764</v>
      </c>
      <c r="F79" s="519" t="s">
        <v>5</v>
      </c>
      <c r="G79" s="520">
        <v>74</v>
      </c>
      <c r="H79" s="475" t="s">
        <v>494</v>
      </c>
      <c r="I79" s="37">
        <f>VLOOKUP(H79,BoonRef!$AC$2:$AD$12,2,FALSE)</f>
        <v>0</v>
      </c>
      <c r="J79" s="470" t="s">
        <v>494</v>
      </c>
      <c r="K79" s="37">
        <f>VLOOKUP(J79,BoonRef!$AF$2:$AH$27,2,FALSE)</f>
        <v>0</v>
      </c>
      <c r="L79" s="37" t="s">
        <v>494</v>
      </c>
      <c r="M79" s="37">
        <f>VLOOKUP(L79,BoonRef!$AI$2:$AJ$42,2,FALSE)</f>
        <v>0</v>
      </c>
      <c r="N79" s="37" t="s">
        <v>347</v>
      </c>
      <c r="O79" s="37">
        <f>IF(N79="Yes",BoonRef!$AJ$56,0)</f>
        <v>0</v>
      </c>
      <c r="P79" s="37" t="s">
        <v>494</v>
      </c>
      <c r="Q79" s="37">
        <f>VLOOKUP(P79,BoonRef!$AI$43:$AJ$55,2,FALSE)</f>
        <v>0</v>
      </c>
      <c r="R79" s="470" t="s">
        <v>347</v>
      </c>
      <c r="S79" s="470">
        <f>IF(R79="Yes",BoonRef!$AJ$57,0)</f>
        <v>0</v>
      </c>
      <c r="T79" s="470" t="s">
        <v>346</v>
      </c>
      <c r="U79" s="37">
        <f>IF(T79="Yes",VLOOKUP(H79,BoonRef!$AC$2:$AE$12,3,FALSE),0)</f>
        <v>0</v>
      </c>
      <c r="V79" s="470" t="s">
        <v>347</v>
      </c>
      <c r="W79" s="470">
        <f>IF(V79="Yes",BoonRef!$AJ$57,0)</f>
        <v>0</v>
      </c>
      <c r="X79" s="470" t="s">
        <v>346</v>
      </c>
      <c r="Y79" s="111">
        <f>IF(OR(K79="V",J79="None"),0,VLOOKUP(J79,'Purchased Boons'!$AR$4:$AS$27,2,FALSE))</f>
        <v>0</v>
      </c>
    </row>
    <row r="80" spans="1:25" x14ac:dyDescent="0.25">
      <c r="A80" s="519" t="s">
        <v>410</v>
      </c>
      <c r="B80" s="519" t="s">
        <v>14</v>
      </c>
      <c r="C80" s="519" t="s">
        <v>403</v>
      </c>
      <c r="D80" s="519" t="str">
        <f t="shared" si="2"/>
        <v>None</v>
      </c>
      <c r="E80" s="519" t="s">
        <v>1061</v>
      </c>
      <c r="F80" s="519" t="s">
        <v>5</v>
      </c>
      <c r="G80" s="520">
        <v>66</v>
      </c>
      <c r="H80" s="475" t="s">
        <v>494</v>
      </c>
      <c r="I80" s="37">
        <f>VLOOKUP(H80,BoonRef!$AC$2:$AD$12,2,FALSE)</f>
        <v>0</v>
      </c>
      <c r="J80" s="470" t="s">
        <v>494</v>
      </c>
      <c r="K80" s="37">
        <f>VLOOKUP(J80,BoonRef!$AF$2:$AH$27,2,FALSE)</f>
        <v>0</v>
      </c>
      <c r="L80" s="37" t="s">
        <v>494</v>
      </c>
      <c r="M80" s="37">
        <f>VLOOKUP(L80,BoonRef!$AI$2:$AJ$42,2,FALSE)</f>
        <v>0</v>
      </c>
      <c r="N80" s="37" t="s">
        <v>347</v>
      </c>
      <c r="O80" s="37">
        <f>IF(N80="Yes",BoonRef!$AJ$56,0)</f>
        <v>0</v>
      </c>
      <c r="P80" s="37" t="s">
        <v>494</v>
      </c>
      <c r="Q80" s="37">
        <f>VLOOKUP(P80,BoonRef!$AI$43:$AJ$55,2,FALSE)</f>
        <v>0</v>
      </c>
      <c r="R80" s="470" t="s">
        <v>347</v>
      </c>
      <c r="S80" s="470">
        <f>IF(R80="Yes",BoonRef!$AJ$57,0)</f>
        <v>0</v>
      </c>
      <c r="T80" s="470" t="s">
        <v>346</v>
      </c>
      <c r="U80" s="37">
        <f>IF(T80="Yes",VLOOKUP(H80,BoonRef!$AC$2:$AE$12,3,FALSE),0)</f>
        <v>0</v>
      </c>
      <c r="V80" s="470" t="s">
        <v>347</v>
      </c>
      <c r="W80" s="470">
        <f>IF(V80="Yes",BoonRef!$AJ$57,0)</f>
        <v>0</v>
      </c>
      <c r="X80" s="470" t="s">
        <v>346</v>
      </c>
      <c r="Y80" s="111">
        <f>IF(OR(K80="V",J80="None"),0,VLOOKUP(J80,'Purchased Boons'!$AR$4:$AS$27,2,FALSE))</f>
        <v>0</v>
      </c>
    </row>
    <row r="81" spans="1:25" x14ac:dyDescent="0.25">
      <c r="A81" s="519" t="s">
        <v>411</v>
      </c>
      <c r="B81" s="519" t="s">
        <v>14</v>
      </c>
      <c r="C81" s="519" t="s">
        <v>105</v>
      </c>
      <c r="D81" s="519" t="str">
        <f t="shared" si="2"/>
        <v>None</v>
      </c>
      <c r="E81" s="519" t="s">
        <v>1054</v>
      </c>
      <c r="F81" s="519" t="s">
        <v>1046</v>
      </c>
      <c r="G81" s="520">
        <v>53</v>
      </c>
      <c r="H81" s="475" t="s">
        <v>494</v>
      </c>
      <c r="I81" s="37">
        <f>VLOOKUP(H81,BoonRef!$AC$2:$AD$12,2,FALSE)</f>
        <v>0</v>
      </c>
      <c r="J81" s="470" t="s">
        <v>494</v>
      </c>
      <c r="K81" s="37">
        <f>VLOOKUP(J81,BoonRef!$AF$2:$AH$27,2,FALSE)</f>
        <v>0</v>
      </c>
      <c r="L81" s="37" t="s">
        <v>494</v>
      </c>
      <c r="M81" s="37">
        <f>VLOOKUP(L81,BoonRef!$AI$2:$AJ$42,2,FALSE)</f>
        <v>0</v>
      </c>
      <c r="N81" s="37" t="s">
        <v>347</v>
      </c>
      <c r="O81" s="37">
        <f>IF(N81="Yes",BoonRef!$AJ$56,0)</f>
        <v>0</v>
      </c>
      <c r="P81" s="37" t="s">
        <v>494</v>
      </c>
      <c r="Q81" s="37">
        <f>VLOOKUP(P81,BoonRef!$AI$43:$AJ$55,2,FALSE)</f>
        <v>0</v>
      </c>
      <c r="R81" s="470" t="s">
        <v>347</v>
      </c>
      <c r="S81" s="470">
        <f>IF(R81="Yes",BoonRef!$AJ$57,0)</f>
        <v>0</v>
      </c>
      <c r="T81" s="470" t="s">
        <v>346</v>
      </c>
      <c r="U81" s="37">
        <f>IF(T81="Yes",VLOOKUP(H81,BoonRef!$AC$2:$AE$12,3,FALSE),0)</f>
        <v>0</v>
      </c>
      <c r="V81" s="470" t="s">
        <v>347</v>
      </c>
      <c r="W81" s="470">
        <f>IF(V81="Yes",BoonRef!$AJ$57,0)</f>
        <v>0</v>
      </c>
      <c r="X81" s="470" t="s">
        <v>346</v>
      </c>
      <c r="Y81" s="111">
        <f>IF(OR(K81="V",J81="None"),0,VLOOKUP(J81,'Purchased Boons'!$AR$4:$AS$27,2,FALSE))</f>
        <v>0</v>
      </c>
    </row>
    <row r="82" spans="1:25" x14ac:dyDescent="0.25">
      <c r="A82" s="519" t="s">
        <v>1029</v>
      </c>
      <c r="B82" s="519" t="s">
        <v>21</v>
      </c>
      <c r="C82" s="519" t="s">
        <v>494</v>
      </c>
      <c r="D82" s="519" t="str">
        <f t="shared" si="2"/>
        <v>None</v>
      </c>
      <c r="E82" s="519" t="s">
        <v>1054</v>
      </c>
      <c r="F82" s="519" t="s">
        <v>5</v>
      </c>
      <c r="G82" s="520">
        <v>76</v>
      </c>
      <c r="H82" s="475" t="s">
        <v>494</v>
      </c>
      <c r="I82" s="37">
        <f>VLOOKUP(H82,BoonRef!$AC$2:$AD$12,2,FALSE)</f>
        <v>0</v>
      </c>
      <c r="J82" s="470" t="s">
        <v>494</v>
      </c>
      <c r="K82" s="37">
        <f>VLOOKUP(J82,BoonRef!$AF$2:$AH$27,2,FALSE)</f>
        <v>0</v>
      </c>
      <c r="L82" s="37" t="s">
        <v>494</v>
      </c>
      <c r="M82" s="37">
        <f>VLOOKUP(L82,BoonRef!$AI$2:$AJ$42,2,FALSE)</f>
        <v>0</v>
      </c>
      <c r="N82" s="37" t="s">
        <v>347</v>
      </c>
      <c r="O82" s="37">
        <f>IF(N82="Yes",BoonRef!$AJ$56,0)</f>
        <v>0</v>
      </c>
      <c r="P82" s="37" t="s">
        <v>494</v>
      </c>
      <c r="Q82" s="37">
        <f>VLOOKUP(P82,BoonRef!$AI$43:$AJ$55,2,FALSE)</f>
        <v>0</v>
      </c>
      <c r="R82" s="470" t="s">
        <v>347</v>
      </c>
      <c r="S82" s="470">
        <f>IF(R82="Yes",BoonRef!$AJ$57,0)</f>
        <v>0</v>
      </c>
      <c r="T82" s="470" t="s">
        <v>346</v>
      </c>
      <c r="U82" s="37">
        <f>IF(T82="Yes",VLOOKUP(H82,BoonRef!$AC$2:$AE$12,3,FALSE),0)</f>
        <v>0</v>
      </c>
      <c r="V82" s="470" t="s">
        <v>347</v>
      </c>
      <c r="W82" s="470">
        <f>IF(V82="Yes",BoonRef!$AJ$57,0)</f>
        <v>0</v>
      </c>
      <c r="X82" s="470" t="s">
        <v>346</v>
      </c>
      <c r="Y82" s="111">
        <f>IF(OR(K82="V",J82="None"),0,VLOOKUP(J82,'Purchased Boons'!$AR$4:$AS$27,2,FALSE))</f>
        <v>0</v>
      </c>
    </row>
    <row r="83" spans="1:25" x14ac:dyDescent="0.25">
      <c r="A83" s="519" t="s">
        <v>958</v>
      </c>
      <c r="B83" s="519" t="s">
        <v>17</v>
      </c>
      <c r="C83" s="519" t="s">
        <v>947</v>
      </c>
      <c r="D83" s="519" t="str">
        <f t="shared" si="2"/>
        <v>None</v>
      </c>
      <c r="E83" s="519" t="s">
        <v>1055</v>
      </c>
      <c r="F83" s="519" t="s">
        <v>5</v>
      </c>
      <c r="G83" s="520">
        <v>69</v>
      </c>
      <c r="H83" s="475" t="s">
        <v>494</v>
      </c>
      <c r="I83" s="37">
        <f>VLOOKUP(H83,BoonRef!$AC$2:$AD$12,2,FALSE)</f>
        <v>0</v>
      </c>
      <c r="J83" s="470" t="s">
        <v>494</v>
      </c>
      <c r="K83" s="37">
        <f>VLOOKUP(J83,BoonRef!$AF$2:$AH$27,2,FALSE)</f>
        <v>0</v>
      </c>
      <c r="L83" s="37" t="s">
        <v>494</v>
      </c>
      <c r="M83" s="37">
        <f>VLOOKUP(L83,BoonRef!$AI$2:$AJ$42,2,FALSE)</f>
        <v>0</v>
      </c>
      <c r="N83" s="37" t="s">
        <v>347</v>
      </c>
      <c r="O83" s="37">
        <f>IF(N83="Yes",BoonRef!$AJ$56,0)</f>
        <v>0</v>
      </c>
      <c r="P83" s="37" t="s">
        <v>494</v>
      </c>
      <c r="Q83" s="37">
        <f>VLOOKUP(P83,BoonRef!$AI$43:$AJ$55,2,FALSE)</f>
        <v>0</v>
      </c>
      <c r="R83" s="470" t="s">
        <v>347</v>
      </c>
      <c r="S83" s="470">
        <f>IF(R83="Yes",BoonRef!$AJ$57,0)</f>
        <v>0</v>
      </c>
      <c r="T83" s="470" t="s">
        <v>346</v>
      </c>
      <c r="U83" s="37">
        <f>IF(T83="Yes",VLOOKUP(H83,BoonRef!$AC$2:$AE$12,3,FALSE),0)</f>
        <v>0</v>
      </c>
      <c r="V83" s="470" t="s">
        <v>347</v>
      </c>
      <c r="W83" s="470">
        <f>IF(V83="Yes",BoonRef!$AJ$57,0)</f>
        <v>0</v>
      </c>
      <c r="X83" s="470" t="s">
        <v>346</v>
      </c>
      <c r="Y83" s="111">
        <f>IF(OR(K83="V",J83="None"),0,VLOOKUP(J83,'Purchased Boons'!$AR$4:$AS$27,2,FALSE))</f>
        <v>0</v>
      </c>
    </row>
    <row r="84" spans="1:25" x14ac:dyDescent="0.25">
      <c r="A84" s="37" t="s">
        <v>381</v>
      </c>
      <c r="B84" s="519" t="s">
        <v>30</v>
      </c>
      <c r="C84" s="519" t="s">
        <v>494</v>
      </c>
      <c r="D84" s="519" t="str">
        <f t="shared" si="2"/>
        <v>None</v>
      </c>
      <c r="E84" s="519" t="s">
        <v>1051</v>
      </c>
      <c r="F84" s="519" t="s">
        <v>1045</v>
      </c>
      <c r="G84" s="520">
        <v>54</v>
      </c>
      <c r="H84" s="475" t="s">
        <v>494</v>
      </c>
      <c r="I84" s="37">
        <f>VLOOKUP(H84,BoonRef!$AC$2:$AD$12,2,FALSE)</f>
        <v>0</v>
      </c>
      <c r="J84" s="470" t="s">
        <v>494</v>
      </c>
      <c r="K84" s="37">
        <f>VLOOKUP(J84,BoonRef!$AF$2:$AH$27,2,FALSE)</f>
        <v>0</v>
      </c>
      <c r="L84" s="37" t="s">
        <v>494</v>
      </c>
      <c r="M84" s="37">
        <f>VLOOKUP(L84,BoonRef!$AI$2:$AJ$42,2,FALSE)</f>
        <v>0</v>
      </c>
      <c r="N84" s="37" t="s">
        <v>347</v>
      </c>
      <c r="O84" s="37">
        <f>IF(N84="Yes",BoonRef!$AJ$56,0)</f>
        <v>0</v>
      </c>
      <c r="P84" s="37" t="s">
        <v>494</v>
      </c>
      <c r="Q84" s="37">
        <f>VLOOKUP(P84,BoonRef!$AI$43:$AJ$55,2,FALSE)</f>
        <v>0</v>
      </c>
      <c r="R84" s="470" t="s">
        <v>347</v>
      </c>
      <c r="S84" s="470">
        <f>IF(R84="Yes",BoonRef!$AJ$57,0)</f>
        <v>0</v>
      </c>
      <c r="T84" s="470" t="s">
        <v>346</v>
      </c>
      <c r="U84" s="37">
        <f>IF(T84="Yes",VLOOKUP(H84,BoonRef!$AC$2:$AE$12,3,FALSE),0)</f>
        <v>0</v>
      </c>
      <c r="V84" s="470" t="s">
        <v>347</v>
      </c>
      <c r="W84" s="470">
        <f>IF(V84="Yes",BoonRef!$AJ$57,0)</f>
        <v>0</v>
      </c>
      <c r="X84" s="470" t="s">
        <v>346</v>
      </c>
      <c r="Y84" s="111">
        <f>IF(OR(K84="V",J84="None"),0,VLOOKUP(J84,'Purchased Boons'!$AR$4:$AS$27,2,FALSE))</f>
        <v>0</v>
      </c>
    </row>
    <row r="85" spans="1:25" x14ac:dyDescent="0.25">
      <c r="A85" s="37" t="s">
        <v>382</v>
      </c>
      <c r="B85" s="519" t="s">
        <v>30</v>
      </c>
      <c r="C85" s="519" t="s">
        <v>1047</v>
      </c>
      <c r="D85" s="519" t="str">
        <f t="shared" si="2"/>
        <v>None</v>
      </c>
      <c r="E85" s="519" t="s">
        <v>1052</v>
      </c>
      <c r="F85" s="519" t="s">
        <v>5</v>
      </c>
      <c r="G85" s="520">
        <v>61</v>
      </c>
      <c r="H85" s="475" t="s">
        <v>494</v>
      </c>
      <c r="I85" s="37">
        <f>VLOOKUP(H85,BoonRef!$AC$2:$AD$12,2,FALSE)</f>
        <v>0</v>
      </c>
      <c r="J85" s="470" t="s">
        <v>494</v>
      </c>
      <c r="K85" s="37">
        <f>VLOOKUP(J85,BoonRef!$AF$2:$AH$27,2,FALSE)</f>
        <v>0</v>
      </c>
      <c r="L85" s="37" t="s">
        <v>494</v>
      </c>
      <c r="M85" s="37">
        <f>VLOOKUP(L85,BoonRef!$AI$2:$AJ$42,2,FALSE)</f>
        <v>0</v>
      </c>
      <c r="N85" s="37" t="s">
        <v>347</v>
      </c>
      <c r="O85" s="37">
        <f>IF(N85="Yes",BoonRef!$AJ$56,0)</f>
        <v>0</v>
      </c>
      <c r="P85" s="37" t="s">
        <v>494</v>
      </c>
      <c r="Q85" s="37">
        <f>VLOOKUP(P85,BoonRef!$AI$43:$AJ$55,2,FALSE)</f>
        <v>0</v>
      </c>
      <c r="R85" s="470" t="s">
        <v>347</v>
      </c>
      <c r="S85" s="470">
        <f>IF(R85="Yes",BoonRef!$AJ$57,0)</f>
        <v>0</v>
      </c>
      <c r="T85" s="470" t="s">
        <v>346</v>
      </c>
      <c r="U85" s="37">
        <f>IF(T85="Yes",VLOOKUP(H85,BoonRef!$AC$2:$AE$12,3,FALSE),0)</f>
        <v>0</v>
      </c>
      <c r="V85" s="470" t="s">
        <v>347</v>
      </c>
      <c r="W85" s="470">
        <f>IF(V85="Yes",BoonRef!$AJ$57,0)</f>
        <v>0</v>
      </c>
      <c r="X85" s="470" t="s">
        <v>346</v>
      </c>
      <c r="Y85" s="111">
        <f>IF(OR(K85="V",J85="None"),0,VLOOKUP(J85,'Purchased Boons'!$AR$4:$AS$27,2,FALSE))</f>
        <v>0</v>
      </c>
    </row>
    <row r="86" spans="1:25" x14ac:dyDescent="0.25">
      <c r="A86" s="519" t="s">
        <v>955</v>
      </c>
      <c r="B86" s="519" t="s">
        <v>17</v>
      </c>
      <c r="C86" s="519" t="s">
        <v>494</v>
      </c>
      <c r="D86" s="519" t="str">
        <f t="shared" si="2"/>
        <v>None</v>
      </c>
      <c r="E86" s="519" t="s">
        <v>1050</v>
      </c>
      <c r="F86" s="519" t="s">
        <v>1045</v>
      </c>
      <c r="G86" s="520">
        <v>61</v>
      </c>
      <c r="H86" s="475" t="s">
        <v>494</v>
      </c>
      <c r="I86" s="37">
        <f>VLOOKUP(H86,BoonRef!$AC$2:$AD$12,2,FALSE)</f>
        <v>0</v>
      </c>
      <c r="J86" s="470" t="s">
        <v>494</v>
      </c>
      <c r="K86" s="37">
        <f>VLOOKUP(J86,BoonRef!$AF$2:$AH$27,2,FALSE)</f>
        <v>0</v>
      </c>
      <c r="L86" s="37" t="s">
        <v>494</v>
      </c>
      <c r="M86" s="37">
        <f>VLOOKUP(L86,BoonRef!$AI$2:$AJ$42,2,FALSE)</f>
        <v>0</v>
      </c>
      <c r="N86" s="37" t="s">
        <v>347</v>
      </c>
      <c r="O86" s="37">
        <f>IF(N86="Yes",BoonRef!$AJ$56,0)</f>
        <v>0</v>
      </c>
      <c r="P86" s="37" t="s">
        <v>494</v>
      </c>
      <c r="Q86" s="37">
        <f>VLOOKUP(P86,BoonRef!$AI$43:$AJ$55,2,FALSE)</f>
        <v>0</v>
      </c>
      <c r="R86" s="470" t="s">
        <v>347</v>
      </c>
      <c r="S86" s="470">
        <f>IF(R86="Yes",BoonRef!$AJ$57,0)</f>
        <v>0</v>
      </c>
      <c r="T86" s="470" t="s">
        <v>346</v>
      </c>
      <c r="U86" s="37">
        <f>IF(T86="Yes",VLOOKUP(H86,BoonRef!$AC$2:$AE$12,3,FALSE),0)</f>
        <v>0</v>
      </c>
      <c r="V86" s="470" t="s">
        <v>347</v>
      </c>
      <c r="W86" s="470">
        <f>IF(V86="Yes",BoonRef!$AJ$57,0)</f>
        <v>0</v>
      </c>
      <c r="X86" s="470" t="s">
        <v>346</v>
      </c>
      <c r="Y86" s="111">
        <f>IF(OR(K86="V",J86="None"),0,VLOOKUP(J86,'Purchased Boons'!$AR$4:$AS$27,2,FALSE))</f>
        <v>0</v>
      </c>
    </row>
    <row r="87" spans="1:25" x14ac:dyDescent="0.25">
      <c r="A87" s="519" t="s">
        <v>1002</v>
      </c>
      <c r="B87" s="519" t="s">
        <v>20</v>
      </c>
      <c r="C87" s="519" t="s">
        <v>494</v>
      </c>
      <c r="D87" s="519" t="str">
        <f t="shared" si="2"/>
        <v>None</v>
      </c>
      <c r="E87" s="519" t="s">
        <v>1764</v>
      </c>
      <c r="F87" s="519" t="s">
        <v>133</v>
      </c>
      <c r="G87" s="520">
        <v>135</v>
      </c>
      <c r="H87" s="475" t="s">
        <v>494</v>
      </c>
      <c r="I87" s="37">
        <f>VLOOKUP(H87,BoonRef!$AC$2:$AD$12,2,FALSE)</f>
        <v>0</v>
      </c>
      <c r="J87" s="470" t="s">
        <v>494</v>
      </c>
      <c r="K87" s="37">
        <f>VLOOKUP(J87,BoonRef!$AF$2:$AH$27,2,FALSE)</f>
        <v>0</v>
      </c>
      <c r="L87" s="37" t="s">
        <v>494</v>
      </c>
      <c r="M87" s="37">
        <f>VLOOKUP(L87,BoonRef!$AI$2:$AJ$42,2,FALSE)</f>
        <v>0</v>
      </c>
      <c r="N87" s="37" t="s">
        <v>347</v>
      </c>
      <c r="O87" s="37">
        <f>IF(N87="Yes",BoonRef!$AJ$56,0)</f>
        <v>0</v>
      </c>
      <c r="P87" s="37" t="s">
        <v>494</v>
      </c>
      <c r="Q87" s="37">
        <f>VLOOKUP(P87,BoonRef!$AI$43:$AJ$55,2,FALSE)</f>
        <v>0</v>
      </c>
      <c r="R87" s="470" t="s">
        <v>347</v>
      </c>
      <c r="S87" s="470">
        <f>IF(R87="Yes",BoonRef!$AJ$57,0)</f>
        <v>0</v>
      </c>
      <c r="T87" s="470" t="s">
        <v>346</v>
      </c>
      <c r="U87" s="37">
        <f>IF(T87="Yes",VLOOKUP(H87,BoonRef!$AC$2:$AE$12,3,FALSE),0)</f>
        <v>0</v>
      </c>
      <c r="V87" s="470" t="s">
        <v>347</v>
      </c>
      <c r="W87" s="470">
        <f>IF(V87="Yes",BoonRef!$AJ$57,0)</f>
        <v>0</v>
      </c>
      <c r="X87" s="470" t="s">
        <v>346</v>
      </c>
      <c r="Y87" s="111">
        <f>IF(OR(K87="V",J87="None"),0,VLOOKUP(J87,'Purchased Boons'!$AR$4:$AS$27,2,FALSE))</f>
        <v>0</v>
      </c>
    </row>
    <row r="88" spans="1:25" x14ac:dyDescent="0.25">
      <c r="A88" s="519" t="s">
        <v>1007</v>
      </c>
      <c r="B88" s="519" t="s">
        <v>20</v>
      </c>
      <c r="C88" s="519" t="s">
        <v>494</v>
      </c>
      <c r="D88" s="519" t="str">
        <f t="shared" si="2"/>
        <v>None</v>
      </c>
      <c r="E88" s="519" t="s">
        <v>1764</v>
      </c>
      <c r="F88" s="519" t="s">
        <v>1045</v>
      </c>
      <c r="G88" s="520">
        <v>65</v>
      </c>
      <c r="H88" s="475" t="s">
        <v>494</v>
      </c>
      <c r="I88" s="37">
        <f>VLOOKUP(H88,BoonRef!$AC$2:$AD$12,2,FALSE)</f>
        <v>0</v>
      </c>
      <c r="J88" s="470" t="s">
        <v>494</v>
      </c>
      <c r="K88" s="37">
        <f>VLOOKUP(J88,BoonRef!$AF$2:$AH$27,2,FALSE)</f>
        <v>0</v>
      </c>
      <c r="L88" s="37" t="s">
        <v>494</v>
      </c>
      <c r="M88" s="37">
        <f>VLOOKUP(L88,BoonRef!$AI$2:$AJ$42,2,FALSE)</f>
        <v>0</v>
      </c>
      <c r="N88" s="37" t="s">
        <v>347</v>
      </c>
      <c r="O88" s="37">
        <f>IF(N88="Yes",BoonRef!$AJ$56,0)</f>
        <v>0</v>
      </c>
      <c r="P88" s="37" t="s">
        <v>494</v>
      </c>
      <c r="Q88" s="37">
        <f>VLOOKUP(P88,BoonRef!$AI$43:$AJ$55,2,FALSE)</f>
        <v>0</v>
      </c>
      <c r="R88" s="470" t="s">
        <v>347</v>
      </c>
      <c r="S88" s="470">
        <f>IF(R88="Yes",BoonRef!$AJ$57,0)</f>
        <v>0</v>
      </c>
      <c r="T88" s="470" t="s">
        <v>346</v>
      </c>
      <c r="U88" s="37">
        <f>IF(T88="Yes",VLOOKUP(H88,BoonRef!$AC$2:$AE$12,3,FALSE),0)</f>
        <v>0</v>
      </c>
      <c r="V88" s="470" t="s">
        <v>347</v>
      </c>
      <c r="W88" s="470">
        <f>IF(V88="Yes",BoonRef!$AJ$57,0)</f>
        <v>0</v>
      </c>
      <c r="X88" s="470" t="s">
        <v>346</v>
      </c>
      <c r="Y88" s="111">
        <f>IF(OR(K88="V",J88="None"),0,VLOOKUP(J88,'Purchased Boons'!$AR$4:$AS$27,2,FALSE))</f>
        <v>0</v>
      </c>
    </row>
    <row r="89" spans="1:25" x14ac:dyDescent="0.25">
      <c r="A89" s="519" t="s">
        <v>968</v>
      </c>
      <c r="B89" s="519" t="s">
        <v>18</v>
      </c>
      <c r="C89" s="519" t="s">
        <v>494</v>
      </c>
      <c r="D89" s="519" t="str">
        <f t="shared" si="2"/>
        <v>None</v>
      </c>
      <c r="E89" s="519" t="s">
        <v>1050</v>
      </c>
      <c r="F89" s="519" t="s">
        <v>133</v>
      </c>
      <c r="G89" s="520">
        <v>133</v>
      </c>
      <c r="H89" s="475" t="s">
        <v>494</v>
      </c>
      <c r="I89" s="37">
        <f>VLOOKUP(H89,BoonRef!$AC$2:$AD$12,2,FALSE)</f>
        <v>0</v>
      </c>
      <c r="J89" s="470" t="s">
        <v>494</v>
      </c>
      <c r="K89" s="37">
        <f>VLOOKUP(J89,BoonRef!$AF$2:$AH$27,2,FALSE)</f>
        <v>0</v>
      </c>
      <c r="L89" s="37" t="s">
        <v>494</v>
      </c>
      <c r="M89" s="37">
        <f>VLOOKUP(L89,BoonRef!$AI$2:$AJ$42,2,FALSE)</f>
        <v>0</v>
      </c>
      <c r="N89" s="37" t="s">
        <v>347</v>
      </c>
      <c r="O89" s="37">
        <f>IF(N89="Yes",BoonRef!$AJ$56,0)</f>
        <v>0</v>
      </c>
      <c r="P89" s="37" t="s">
        <v>494</v>
      </c>
      <c r="Q89" s="37">
        <f>VLOOKUP(P89,BoonRef!$AI$43:$AJ$55,2,FALSE)</f>
        <v>0</v>
      </c>
      <c r="R89" s="470" t="s">
        <v>347</v>
      </c>
      <c r="S89" s="470">
        <f>IF(R89="Yes",BoonRef!$AJ$57,0)</f>
        <v>0</v>
      </c>
      <c r="T89" s="470" t="s">
        <v>346</v>
      </c>
      <c r="U89" s="37">
        <f>IF(T89="Yes",VLOOKUP(H89,BoonRef!$AC$2:$AE$12,3,FALSE),0)</f>
        <v>0</v>
      </c>
      <c r="V89" s="470" t="s">
        <v>347</v>
      </c>
      <c r="W89" s="470">
        <f>IF(V89="Yes",BoonRef!$AJ$57,0)</f>
        <v>0</v>
      </c>
      <c r="X89" s="470" t="s">
        <v>346</v>
      </c>
      <c r="Y89" s="111">
        <f>IF(OR(K89="V",J89="None"),0,VLOOKUP(J89,'Purchased Boons'!$AR$4:$AS$27,2,FALSE))</f>
        <v>0</v>
      </c>
    </row>
    <row r="90" spans="1:25" x14ac:dyDescent="0.25">
      <c r="A90" s="37" t="s">
        <v>106</v>
      </c>
      <c r="B90" s="519" t="s">
        <v>13</v>
      </c>
      <c r="C90" s="519" t="s">
        <v>494</v>
      </c>
      <c r="D90" s="519" t="str">
        <f t="shared" si="2"/>
        <v>None</v>
      </c>
      <c r="E90" s="519" t="s">
        <v>1050</v>
      </c>
      <c r="F90" s="519" t="s">
        <v>133</v>
      </c>
      <c r="G90" s="520">
        <v>127</v>
      </c>
      <c r="H90" s="475" t="s">
        <v>494</v>
      </c>
      <c r="I90" s="37">
        <f>VLOOKUP(H90,BoonRef!$AC$2:$AD$12,2,FALSE)</f>
        <v>0</v>
      </c>
      <c r="J90" s="470" t="s">
        <v>494</v>
      </c>
      <c r="K90" s="37">
        <f>VLOOKUP(J90,BoonRef!$AF$2:$AH$27,2,FALSE)</f>
        <v>0</v>
      </c>
      <c r="L90" s="37" t="s">
        <v>494</v>
      </c>
      <c r="M90" s="37">
        <f>VLOOKUP(L90,BoonRef!$AI$2:$AJ$42,2,FALSE)</f>
        <v>0</v>
      </c>
      <c r="N90" s="37" t="s">
        <v>347</v>
      </c>
      <c r="O90" s="37">
        <f>IF(N90="Yes",BoonRef!$AJ$56,0)</f>
        <v>0</v>
      </c>
      <c r="P90" s="37" t="s">
        <v>494</v>
      </c>
      <c r="Q90" s="37">
        <f>VLOOKUP(P90,BoonRef!$AI$43:$AJ$55,2,FALSE)</f>
        <v>0</v>
      </c>
      <c r="R90" s="470" t="s">
        <v>347</v>
      </c>
      <c r="S90" s="470">
        <f>IF(R90="Yes",BoonRef!$AJ$57,0)</f>
        <v>0</v>
      </c>
      <c r="T90" s="470" t="s">
        <v>346</v>
      </c>
      <c r="U90" s="37">
        <f>IF(T90="Yes",VLOOKUP(H90,BoonRef!$AC$2:$AE$12,3,FALSE),0)</f>
        <v>0</v>
      </c>
      <c r="V90" s="470" t="s">
        <v>347</v>
      </c>
      <c r="W90" s="470">
        <f>IF(V90="Yes",BoonRef!$AJ$57,0)</f>
        <v>0</v>
      </c>
      <c r="X90" s="470" t="s">
        <v>346</v>
      </c>
      <c r="Y90" s="111">
        <f>IF(OR(K90="V",J90="None"),0,VLOOKUP(J90,'Purchased Boons'!$AR$4:$AS$27,2,FALSE))</f>
        <v>0</v>
      </c>
    </row>
    <row r="91" spans="1:25" x14ac:dyDescent="0.25">
      <c r="A91" s="37" t="s">
        <v>383</v>
      </c>
      <c r="B91" s="519" t="s">
        <v>30</v>
      </c>
      <c r="C91" s="519" t="s">
        <v>494</v>
      </c>
      <c r="D91" s="519" t="str">
        <f t="shared" si="2"/>
        <v>None</v>
      </c>
      <c r="E91" s="519" t="s">
        <v>1764</v>
      </c>
      <c r="F91" s="519" t="s">
        <v>5</v>
      </c>
      <c r="G91" s="520">
        <v>62</v>
      </c>
      <c r="H91" s="475" t="s">
        <v>494</v>
      </c>
      <c r="I91" s="37">
        <f>VLOOKUP(H91,BoonRef!$AC$2:$AD$12,2,FALSE)</f>
        <v>0</v>
      </c>
      <c r="J91" s="470" t="s">
        <v>494</v>
      </c>
      <c r="K91" s="37">
        <f>VLOOKUP(J91,BoonRef!$AF$2:$AH$27,2,FALSE)</f>
        <v>0</v>
      </c>
      <c r="L91" s="37" t="s">
        <v>494</v>
      </c>
      <c r="M91" s="37">
        <f>VLOOKUP(L91,BoonRef!$AI$2:$AJ$42,2,FALSE)</f>
        <v>0</v>
      </c>
      <c r="N91" s="37" t="s">
        <v>347</v>
      </c>
      <c r="O91" s="37">
        <f>IF(N91="Yes",BoonRef!$AJ$56,0)</f>
        <v>0</v>
      </c>
      <c r="P91" s="37" t="s">
        <v>494</v>
      </c>
      <c r="Q91" s="37">
        <f>VLOOKUP(P91,BoonRef!$AI$43:$AJ$55,2,FALSE)</f>
        <v>0</v>
      </c>
      <c r="R91" s="470" t="s">
        <v>347</v>
      </c>
      <c r="S91" s="470">
        <f>IF(R91="Yes",BoonRef!$AJ$57,0)</f>
        <v>0</v>
      </c>
      <c r="T91" s="470" t="s">
        <v>346</v>
      </c>
      <c r="U91" s="37">
        <f>IF(T91="Yes",VLOOKUP(H91,BoonRef!$AC$2:$AE$12,3,FALSE),0)</f>
        <v>0</v>
      </c>
      <c r="V91" s="470" t="s">
        <v>347</v>
      </c>
      <c r="W91" s="470">
        <f>IF(V91="Yes",BoonRef!$AJ$57,0)</f>
        <v>0</v>
      </c>
      <c r="X91" s="470" t="s">
        <v>346</v>
      </c>
      <c r="Y91" s="111">
        <f>IF(OR(K91="V",J91="None"),0,VLOOKUP(J91,'Purchased Boons'!$AR$4:$AS$27,2,FALSE))</f>
        <v>0</v>
      </c>
    </row>
    <row r="92" spans="1:25" x14ac:dyDescent="0.25">
      <c r="A92" s="519" t="s">
        <v>959</v>
      </c>
      <c r="B92" s="519" t="s">
        <v>17</v>
      </c>
      <c r="C92" s="519" t="s">
        <v>954</v>
      </c>
      <c r="D92" s="519" t="str">
        <f t="shared" si="2"/>
        <v>3 + 0</v>
      </c>
      <c r="E92" s="519" t="s">
        <v>1060</v>
      </c>
      <c r="F92" s="519" t="s">
        <v>5</v>
      </c>
      <c r="G92" s="520">
        <v>69</v>
      </c>
      <c r="H92" s="475" t="s">
        <v>17</v>
      </c>
      <c r="I92" s="37">
        <f>VLOOKUP(H92,BoonRef!$AC$2:$AD$12,2,FALSE)</f>
        <v>1</v>
      </c>
      <c r="J92" s="470" t="s">
        <v>40</v>
      </c>
      <c r="K92" s="37">
        <f>VLOOKUP(J92,BoonRef!$AF$2:$AH$27,2,FALSE)</f>
        <v>0</v>
      </c>
      <c r="L92" s="37" t="s">
        <v>494</v>
      </c>
      <c r="M92" s="37">
        <f>VLOOKUP(L92,BoonRef!$AI$2:$AJ$42,2,FALSE)</f>
        <v>0</v>
      </c>
      <c r="N92" s="37" t="s">
        <v>347</v>
      </c>
      <c r="O92" s="37">
        <f>IF(N92="Yes",BoonRef!$AJ$56,0)</f>
        <v>0</v>
      </c>
      <c r="P92" s="37" t="s">
        <v>494</v>
      </c>
      <c r="Q92" s="37">
        <f>VLOOKUP(P92,BoonRef!$AI$43:$AJ$55,2,FALSE)</f>
        <v>0</v>
      </c>
      <c r="R92" s="470" t="s">
        <v>346</v>
      </c>
      <c r="S92" s="470">
        <f>IF(R92="Yes",BoonRef!$AJ$57,0)</f>
        <v>2</v>
      </c>
      <c r="T92" s="470" t="s">
        <v>346</v>
      </c>
      <c r="U92" s="37">
        <f>IF(T92="Yes",VLOOKUP(H92,BoonRef!$AC$2:$AE$12,3,FALSE),0)</f>
        <v>0</v>
      </c>
      <c r="V92" s="470" t="s">
        <v>347</v>
      </c>
      <c r="W92" s="470">
        <f>IF(V92="Yes",BoonRef!$AJ$57,0)</f>
        <v>0</v>
      </c>
      <c r="X92" s="470" t="s">
        <v>346</v>
      </c>
      <c r="Y92" s="111">
        <f>IF(OR(K92="V",J92="None"),0,VLOOKUP(J92,'Purchased Boons'!$AR$4:$AS$27,2,FALSE))</f>
        <v>0</v>
      </c>
    </row>
    <row r="93" spans="1:25" x14ac:dyDescent="0.25">
      <c r="A93" s="519" t="s">
        <v>1003</v>
      </c>
      <c r="B93" s="519" t="s">
        <v>20</v>
      </c>
      <c r="C93" s="519" t="s">
        <v>494</v>
      </c>
      <c r="D93" s="519" t="str">
        <f t="shared" ref="D93:D124" si="3">IF(AND(H93="None",J93="None",L93="None",N93="No",P93="None",R93="No"),"None",IF(OR(H93="Varies",J93="Varies",L93="Varies",P93="Varies"),"Varies",CONCATENATE(I93+S93+K93+M93+O93+Q93+Y93," + ",W93+U93)))</f>
        <v>None</v>
      </c>
      <c r="E93" s="519" t="s">
        <v>1764</v>
      </c>
      <c r="F93" s="519" t="s">
        <v>133</v>
      </c>
      <c r="G93" s="520">
        <v>135</v>
      </c>
      <c r="H93" s="475" t="s">
        <v>494</v>
      </c>
      <c r="I93" s="37">
        <f>VLOOKUP(H93,BoonRef!$AC$2:$AD$12,2,FALSE)</f>
        <v>0</v>
      </c>
      <c r="J93" s="470" t="s">
        <v>494</v>
      </c>
      <c r="K93" s="37">
        <f>VLOOKUP(J93,BoonRef!$AF$2:$AH$27,2,FALSE)</f>
        <v>0</v>
      </c>
      <c r="L93" s="37" t="s">
        <v>494</v>
      </c>
      <c r="M93" s="37">
        <f>VLOOKUP(L93,BoonRef!$AI$2:$AJ$42,2,FALSE)</f>
        <v>0</v>
      </c>
      <c r="N93" s="37" t="s">
        <v>347</v>
      </c>
      <c r="O93" s="37">
        <f>IF(N93="Yes",BoonRef!$AJ$56,0)</f>
        <v>0</v>
      </c>
      <c r="P93" s="37" t="s">
        <v>494</v>
      </c>
      <c r="Q93" s="37">
        <f>VLOOKUP(P93,BoonRef!$AI$43:$AJ$55,2,FALSE)</f>
        <v>0</v>
      </c>
      <c r="R93" s="470" t="s">
        <v>347</v>
      </c>
      <c r="S93" s="470">
        <f>IF(R93="Yes",BoonRef!$AJ$57,0)</f>
        <v>0</v>
      </c>
      <c r="T93" s="470" t="s">
        <v>346</v>
      </c>
      <c r="U93" s="37">
        <f>IF(T93="Yes",VLOOKUP(H93,BoonRef!$AC$2:$AE$12,3,FALSE),0)</f>
        <v>0</v>
      </c>
      <c r="V93" s="470" t="s">
        <v>347</v>
      </c>
      <c r="W93" s="470">
        <f>IF(V93="Yes",BoonRef!$AJ$57,0)</f>
        <v>0</v>
      </c>
      <c r="X93" s="470" t="s">
        <v>346</v>
      </c>
      <c r="Y93" s="111">
        <f>IF(OR(K93="V",J93="None"),0,VLOOKUP(J93,'Purchased Boons'!$AR$4:$AS$27,2,FALSE))</f>
        <v>0</v>
      </c>
    </row>
    <row r="94" spans="1:25" x14ac:dyDescent="0.25">
      <c r="A94" s="519" t="s">
        <v>1020</v>
      </c>
      <c r="B94" s="519" t="s">
        <v>21</v>
      </c>
      <c r="C94" s="519" t="s">
        <v>494</v>
      </c>
      <c r="D94" s="519" t="str">
        <f t="shared" si="3"/>
        <v>None</v>
      </c>
      <c r="E94" s="519" t="s">
        <v>1764</v>
      </c>
      <c r="F94" s="519" t="s">
        <v>133</v>
      </c>
      <c r="G94" s="520">
        <v>136</v>
      </c>
      <c r="H94" s="475" t="s">
        <v>494</v>
      </c>
      <c r="I94" s="37">
        <f>VLOOKUP(H94,BoonRef!$AC$2:$AD$12,2,FALSE)</f>
        <v>0</v>
      </c>
      <c r="J94" s="470" t="s">
        <v>494</v>
      </c>
      <c r="K94" s="37">
        <f>VLOOKUP(J94,BoonRef!$AF$2:$AH$27,2,FALSE)</f>
        <v>0</v>
      </c>
      <c r="L94" s="37" t="s">
        <v>494</v>
      </c>
      <c r="M94" s="37">
        <f>VLOOKUP(L94,BoonRef!$AI$2:$AJ$42,2,FALSE)</f>
        <v>0</v>
      </c>
      <c r="N94" s="37" t="s">
        <v>347</v>
      </c>
      <c r="O94" s="37">
        <f>IF(N94="Yes",BoonRef!$AJ$56,0)</f>
        <v>0</v>
      </c>
      <c r="P94" s="37" t="s">
        <v>494</v>
      </c>
      <c r="Q94" s="37">
        <f>VLOOKUP(P94,BoonRef!$AI$43:$AJ$55,2,FALSE)</f>
        <v>0</v>
      </c>
      <c r="R94" s="470" t="s">
        <v>347</v>
      </c>
      <c r="S94" s="470">
        <f>IF(R94="Yes",BoonRef!$AJ$57,0)</f>
        <v>0</v>
      </c>
      <c r="T94" s="470" t="s">
        <v>346</v>
      </c>
      <c r="U94" s="37">
        <f>IF(T94="Yes",VLOOKUP(H94,BoonRef!$AC$2:$AE$12,3,FALSE),0)</f>
        <v>0</v>
      </c>
      <c r="V94" s="470" t="s">
        <v>347</v>
      </c>
      <c r="W94" s="470">
        <f>IF(V94="Yes",BoonRef!$AJ$57,0)</f>
        <v>0</v>
      </c>
      <c r="X94" s="470" t="s">
        <v>346</v>
      </c>
      <c r="Y94" s="111">
        <f>IF(OR(K94="V",J94="None"),0,VLOOKUP(J94,'Purchased Boons'!$AR$4:$AS$27,2,FALSE))</f>
        <v>0</v>
      </c>
    </row>
    <row r="95" spans="1:25" x14ac:dyDescent="0.25">
      <c r="A95" s="519" t="s">
        <v>981</v>
      </c>
      <c r="B95" s="519" t="s">
        <v>18</v>
      </c>
      <c r="C95" s="519" t="s">
        <v>966</v>
      </c>
      <c r="D95" s="519" t="str">
        <f t="shared" si="3"/>
        <v>None</v>
      </c>
      <c r="E95" s="519" t="s">
        <v>494</v>
      </c>
      <c r="F95" s="519" t="s">
        <v>1046</v>
      </c>
      <c r="G95" s="520">
        <v>55</v>
      </c>
      <c r="H95" s="475" t="s">
        <v>494</v>
      </c>
      <c r="I95" s="37">
        <f>VLOOKUP(H95,BoonRef!$AC$2:$AD$12,2,FALSE)</f>
        <v>0</v>
      </c>
      <c r="J95" s="470" t="s">
        <v>494</v>
      </c>
      <c r="K95" s="37">
        <f>VLOOKUP(J95,BoonRef!$AF$2:$AH$27,2,FALSE)</f>
        <v>0</v>
      </c>
      <c r="L95" s="37" t="s">
        <v>494</v>
      </c>
      <c r="M95" s="37">
        <f>VLOOKUP(L95,BoonRef!$AI$2:$AJ$42,2,FALSE)</f>
        <v>0</v>
      </c>
      <c r="N95" s="37" t="s">
        <v>347</v>
      </c>
      <c r="O95" s="37">
        <f>IF(N95="Yes",BoonRef!$AJ$56,0)</f>
        <v>0</v>
      </c>
      <c r="P95" s="37" t="s">
        <v>494</v>
      </c>
      <c r="Q95" s="37">
        <f>VLOOKUP(P95,BoonRef!$AI$43:$AJ$55,2,FALSE)</f>
        <v>0</v>
      </c>
      <c r="R95" s="470" t="s">
        <v>347</v>
      </c>
      <c r="S95" s="470">
        <f>IF(R95="Yes",BoonRef!$AJ$57,0)</f>
        <v>0</v>
      </c>
      <c r="T95" s="470" t="s">
        <v>346</v>
      </c>
      <c r="U95" s="37">
        <f>IF(T95="Yes",VLOOKUP(H95,BoonRef!$AC$2:$AE$12,3,FALSE),0)</f>
        <v>0</v>
      </c>
      <c r="V95" s="470" t="s">
        <v>347</v>
      </c>
      <c r="W95" s="470">
        <f>IF(V95="Yes",BoonRef!$AJ$57,0)</f>
        <v>0</v>
      </c>
      <c r="X95" s="470" t="s">
        <v>346</v>
      </c>
      <c r="Y95" s="111">
        <f>IF(OR(K95="V",J95="None"),0,VLOOKUP(J95,'Purchased Boons'!$AR$4:$AS$27,2,FALSE))</f>
        <v>0</v>
      </c>
    </row>
    <row r="96" spans="1:25" x14ac:dyDescent="0.25">
      <c r="A96" s="37" t="s">
        <v>391</v>
      </c>
      <c r="B96" s="519" t="s">
        <v>13</v>
      </c>
      <c r="C96" s="519" t="s">
        <v>494</v>
      </c>
      <c r="D96" s="519" t="str">
        <f t="shared" si="3"/>
        <v>None</v>
      </c>
      <c r="E96" s="519" t="s">
        <v>1056</v>
      </c>
      <c r="F96" s="519" t="s">
        <v>1046</v>
      </c>
      <c r="G96" s="520">
        <v>52</v>
      </c>
      <c r="H96" s="475" t="s">
        <v>494</v>
      </c>
      <c r="I96" s="37">
        <f>VLOOKUP(H96,BoonRef!$AC$2:$AD$12,2,FALSE)</f>
        <v>0</v>
      </c>
      <c r="J96" s="470" t="s">
        <v>494</v>
      </c>
      <c r="K96" s="37">
        <f>VLOOKUP(J96,BoonRef!$AF$2:$AH$27,2,FALSE)</f>
        <v>0</v>
      </c>
      <c r="L96" s="37" t="s">
        <v>494</v>
      </c>
      <c r="M96" s="37">
        <f>VLOOKUP(L96,BoonRef!$AI$2:$AJ$42,2,FALSE)</f>
        <v>0</v>
      </c>
      <c r="N96" s="37" t="s">
        <v>347</v>
      </c>
      <c r="O96" s="37">
        <f>IF(N96="Yes",BoonRef!$AJ$56,0)</f>
        <v>0</v>
      </c>
      <c r="P96" s="37" t="s">
        <v>494</v>
      </c>
      <c r="Q96" s="37">
        <f>VLOOKUP(P96,BoonRef!$AI$43:$AJ$55,2,FALSE)</f>
        <v>0</v>
      </c>
      <c r="R96" s="470" t="s">
        <v>347</v>
      </c>
      <c r="S96" s="470">
        <f>IF(R96="Yes",BoonRef!$AJ$57,0)</f>
        <v>0</v>
      </c>
      <c r="T96" s="470" t="s">
        <v>346</v>
      </c>
      <c r="U96" s="37">
        <f>IF(T96="Yes",VLOOKUP(H96,BoonRef!$AC$2:$AE$12,3,FALSE),0)</f>
        <v>0</v>
      </c>
      <c r="V96" s="470" t="s">
        <v>347</v>
      </c>
      <c r="W96" s="470">
        <f>IF(V96="Yes",BoonRef!$AJ$57,0)</f>
        <v>0</v>
      </c>
      <c r="X96" s="470" t="s">
        <v>346</v>
      </c>
      <c r="Y96" s="111">
        <f>IF(OR(K96="V",J96="None"),0,VLOOKUP(J96,'Purchased Boons'!$AR$4:$AS$27,2,FALSE))</f>
        <v>0</v>
      </c>
    </row>
    <row r="97" spans="1:25" x14ac:dyDescent="0.25">
      <c r="A97" s="37" t="s">
        <v>384</v>
      </c>
      <c r="B97" s="519" t="s">
        <v>30</v>
      </c>
      <c r="C97" s="519" t="s">
        <v>1044</v>
      </c>
      <c r="D97" s="519" t="str">
        <f t="shared" si="3"/>
        <v>None</v>
      </c>
      <c r="E97" s="519" t="s">
        <v>1050</v>
      </c>
      <c r="F97" s="519" t="s">
        <v>1045</v>
      </c>
      <c r="G97" s="520">
        <v>55</v>
      </c>
      <c r="H97" s="475" t="s">
        <v>494</v>
      </c>
      <c r="I97" s="37">
        <f>VLOOKUP(H97,BoonRef!$AC$2:$AD$12,2,FALSE)</f>
        <v>0</v>
      </c>
      <c r="J97" s="470" t="s">
        <v>494</v>
      </c>
      <c r="K97" s="37">
        <f>VLOOKUP(J97,BoonRef!$AF$2:$AH$27,2,FALSE)</f>
        <v>0</v>
      </c>
      <c r="L97" s="37" t="s">
        <v>494</v>
      </c>
      <c r="M97" s="37">
        <f>VLOOKUP(L97,BoonRef!$AI$2:$AJ$42,2,FALSE)</f>
        <v>0</v>
      </c>
      <c r="N97" s="37" t="s">
        <v>347</v>
      </c>
      <c r="O97" s="37">
        <f>IF(N97="Yes",BoonRef!$AJ$56,0)</f>
        <v>0</v>
      </c>
      <c r="P97" s="37" t="s">
        <v>494</v>
      </c>
      <c r="Q97" s="37">
        <f>VLOOKUP(P97,BoonRef!$AI$43:$AJ$55,2,FALSE)</f>
        <v>0</v>
      </c>
      <c r="R97" s="470" t="s">
        <v>347</v>
      </c>
      <c r="S97" s="470">
        <f>IF(R97="Yes",BoonRef!$AJ$57,0)</f>
        <v>0</v>
      </c>
      <c r="T97" s="470" t="s">
        <v>346</v>
      </c>
      <c r="U97" s="37">
        <f>IF(T97="Yes",VLOOKUP(H97,BoonRef!$AC$2:$AE$12,3,FALSE),0)</f>
        <v>0</v>
      </c>
      <c r="V97" s="470" t="s">
        <v>347</v>
      </c>
      <c r="W97" s="470">
        <f>IF(V97="Yes",BoonRef!$AJ$57,0)</f>
        <v>0</v>
      </c>
      <c r="X97" s="470" t="s">
        <v>346</v>
      </c>
      <c r="Y97" s="111">
        <f>IF(OR(K97="V",J97="None"),0,VLOOKUP(J97,'Purchased Boons'!$AR$4:$AS$27,2,FALSE))</f>
        <v>0</v>
      </c>
    </row>
    <row r="98" spans="1:25" x14ac:dyDescent="0.25">
      <c r="A98" s="37" t="s">
        <v>101</v>
      </c>
      <c r="B98" s="519" t="s">
        <v>13</v>
      </c>
      <c r="C98" s="519" t="s">
        <v>494</v>
      </c>
      <c r="D98" s="519" t="str">
        <f t="shared" si="3"/>
        <v>None</v>
      </c>
      <c r="E98" s="519" t="s">
        <v>1764</v>
      </c>
      <c r="F98" s="519" t="s">
        <v>133</v>
      </c>
      <c r="G98" s="520">
        <v>128</v>
      </c>
      <c r="H98" s="475" t="s">
        <v>494</v>
      </c>
      <c r="I98" s="37">
        <f>VLOOKUP(H98,BoonRef!$AC$2:$AD$12,2,FALSE)</f>
        <v>0</v>
      </c>
      <c r="J98" s="470" t="s">
        <v>494</v>
      </c>
      <c r="K98" s="37">
        <f>VLOOKUP(J98,BoonRef!$AF$2:$AH$27,2,FALSE)</f>
        <v>0</v>
      </c>
      <c r="L98" s="37" t="s">
        <v>494</v>
      </c>
      <c r="M98" s="37">
        <f>VLOOKUP(L98,BoonRef!$AI$2:$AJ$42,2,FALSE)</f>
        <v>0</v>
      </c>
      <c r="N98" s="37" t="s">
        <v>347</v>
      </c>
      <c r="O98" s="37">
        <f>IF(N98="Yes",BoonRef!$AJ$56,0)</f>
        <v>0</v>
      </c>
      <c r="P98" s="37" t="s">
        <v>494</v>
      </c>
      <c r="Q98" s="37">
        <f>VLOOKUP(P98,BoonRef!$AI$43:$AJ$55,2,FALSE)</f>
        <v>0</v>
      </c>
      <c r="R98" s="470" t="s">
        <v>347</v>
      </c>
      <c r="S98" s="470">
        <f>IF(R98="Yes",BoonRef!$AJ$57,0)</f>
        <v>0</v>
      </c>
      <c r="T98" s="470" t="s">
        <v>346</v>
      </c>
      <c r="U98" s="37">
        <f>IF(T98="Yes",VLOOKUP(H98,BoonRef!$AC$2:$AE$12,3,FALSE),0)</f>
        <v>0</v>
      </c>
      <c r="V98" s="470" t="s">
        <v>347</v>
      </c>
      <c r="W98" s="470">
        <f>IF(V98="Yes",BoonRef!$AJ$57,0)</f>
        <v>0</v>
      </c>
      <c r="X98" s="470" t="s">
        <v>346</v>
      </c>
      <c r="Y98" s="111">
        <f>IF(OR(K98="V",J98="None"),0,VLOOKUP(J98,'Purchased Boons'!$AR$4:$AS$27,2,FALSE))</f>
        <v>0</v>
      </c>
    </row>
    <row r="99" spans="1:25" x14ac:dyDescent="0.25">
      <c r="A99" s="519" t="s">
        <v>1027</v>
      </c>
      <c r="B99" s="519" t="s">
        <v>21</v>
      </c>
      <c r="C99" s="519" t="s">
        <v>494</v>
      </c>
      <c r="D99" s="519" t="str">
        <f t="shared" si="3"/>
        <v>None</v>
      </c>
      <c r="E99" s="519" t="s">
        <v>1764</v>
      </c>
      <c r="F99" s="519" t="s">
        <v>1045</v>
      </c>
      <c r="G99" s="520">
        <v>67</v>
      </c>
      <c r="H99" s="475" t="s">
        <v>494</v>
      </c>
      <c r="I99" s="37">
        <f>VLOOKUP(H99,BoonRef!$AC$2:$AD$12,2,FALSE)</f>
        <v>0</v>
      </c>
      <c r="J99" s="470" t="s">
        <v>494</v>
      </c>
      <c r="K99" s="37">
        <f>VLOOKUP(J99,BoonRef!$AF$2:$AH$27,2,FALSE)</f>
        <v>0</v>
      </c>
      <c r="L99" s="37" t="s">
        <v>494</v>
      </c>
      <c r="M99" s="37">
        <f>VLOOKUP(L99,BoonRef!$AI$2:$AJ$42,2,FALSE)</f>
        <v>0</v>
      </c>
      <c r="N99" s="37" t="s">
        <v>347</v>
      </c>
      <c r="O99" s="37">
        <f>IF(N99="Yes",BoonRef!$AJ$56,0)</f>
        <v>0</v>
      </c>
      <c r="P99" s="37" t="s">
        <v>494</v>
      </c>
      <c r="Q99" s="37">
        <f>VLOOKUP(P99,BoonRef!$AI$43:$AJ$55,2,FALSE)</f>
        <v>0</v>
      </c>
      <c r="R99" s="470" t="s">
        <v>347</v>
      </c>
      <c r="S99" s="470">
        <f>IF(R99="Yes",BoonRef!$AJ$57,0)</f>
        <v>0</v>
      </c>
      <c r="T99" s="470" t="s">
        <v>346</v>
      </c>
      <c r="U99" s="37">
        <f>IF(T99="Yes",VLOOKUP(H99,BoonRef!$AC$2:$AE$12,3,FALSE),0)</f>
        <v>0</v>
      </c>
      <c r="V99" s="470" t="s">
        <v>347</v>
      </c>
      <c r="W99" s="470">
        <f>IF(V99="Yes",BoonRef!$AJ$57,0)</f>
        <v>0</v>
      </c>
      <c r="X99" s="470" t="s">
        <v>346</v>
      </c>
      <c r="Y99" s="111">
        <f>IF(OR(K99="V",J99="None"),0,VLOOKUP(J99,'Purchased Boons'!$AR$4:$AS$27,2,FALSE))</f>
        <v>0</v>
      </c>
    </row>
    <row r="100" spans="1:25" x14ac:dyDescent="0.25">
      <c r="A100" s="519" t="s">
        <v>1008</v>
      </c>
      <c r="B100" s="519" t="s">
        <v>20</v>
      </c>
      <c r="C100" s="519" t="s">
        <v>494</v>
      </c>
      <c r="D100" s="519" t="str">
        <f t="shared" si="3"/>
        <v>None</v>
      </c>
      <c r="E100" s="519" t="s">
        <v>1764</v>
      </c>
      <c r="F100" s="519" t="s">
        <v>1045</v>
      </c>
      <c r="G100" s="520">
        <v>65</v>
      </c>
      <c r="H100" s="475" t="s">
        <v>494</v>
      </c>
      <c r="I100" s="37">
        <f>VLOOKUP(H100,BoonRef!$AC$2:$AD$12,2,FALSE)</f>
        <v>0</v>
      </c>
      <c r="J100" s="470" t="s">
        <v>494</v>
      </c>
      <c r="K100" s="37">
        <f>VLOOKUP(J100,BoonRef!$AF$2:$AH$27,2,FALSE)</f>
        <v>0</v>
      </c>
      <c r="L100" s="37" t="s">
        <v>494</v>
      </c>
      <c r="M100" s="37">
        <f>VLOOKUP(L100,BoonRef!$AI$2:$AJ$42,2,FALSE)</f>
        <v>0</v>
      </c>
      <c r="N100" s="37" t="s">
        <v>347</v>
      </c>
      <c r="O100" s="37">
        <f>IF(N100="Yes",BoonRef!$AJ$56,0)</f>
        <v>0</v>
      </c>
      <c r="P100" s="37" t="s">
        <v>494</v>
      </c>
      <c r="Q100" s="37">
        <f>VLOOKUP(P100,BoonRef!$AI$43:$AJ$55,2,FALSE)</f>
        <v>0</v>
      </c>
      <c r="R100" s="470" t="s">
        <v>347</v>
      </c>
      <c r="S100" s="470">
        <f>IF(R100="Yes",BoonRef!$AJ$57,0)</f>
        <v>0</v>
      </c>
      <c r="T100" s="470" t="s">
        <v>346</v>
      </c>
      <c r="U100" s="37">
        <f>IF(T100="Yes",VLOOKUP(H100,BoonRef!$AC$2:$AE$12,3,FALSE),0)</f>
        <v>0</v>
      </c>
      <c r="V100" s="470" t="s">
        <v>347</v>
      </c>
      <c r="W100" s="470">
        <f>IF(V100="Yes",BoonRef!$AJ$57,0)</f>
        <v>0</v>
      </c>
      <c r="X100" s="470" t="s">
        <v>346</v>
      </c>
      <c r="Y100" s="111">
        <f>IF(OR(K100="V",J100="None"),0,VLOOKUP(J100,'Purchased Boons'!$AR$4:$AS$27,2,FALSE))</f>
        <v>0</v>
      </c>
    </row>
    <row r="101" spans="1:25" x14ac:dyDescent="0.25">
      <c r="A101" s="519" t="s">
        <v>973</v>
      </c>
      <c r="B101" s="519" t="s">
        <v>18</v>
      </c>
      <c r="C101" s="519" t="s">
        <v>494</v>
      </c>
      <c r="D101" s="519" t="str">
        <f t="shared" si="3"/>
        <v>None</v>
      </c>
      <c r="E101" s="519" t="s">
        <v>1051</v>
      </c>
      <c r="F101" s="519" t="s">
        <v>1045</v>
      </c>
      <c r="G101" s="520">
        <v>63</v>
      </c>
      <c r="H101" s="475" t="s">
        <v>494</v>
      </c>
      <c r="I101" s="37">
        <f>VLOOKUP(H101,BoonRef!$AC$2:$AD$12,2,FALSE)</f>
        <v>0</v>
      </c>
      <c r="J101" s="470" t="s">
        <v>494</v>
      </c>
      <c r="K101" s="37">
        <f>VLOOKUP(J101,BoonRef!$AF$2:$AH$27,2,FALSE)</f>
        <v>0</v>
      </c>
      <c r="L101" s="37" t="s">
        <v>494</v>
      </c>
      <c r="M101" s="37">
        <f>VLOOKUP(L101,BoonRef!$AI$2:$AJ$42,2,FALSE)</f>
        <v>0</v>
      </c>
      <c r="N101" s="37" t="s">
        <v>347</v>
      </c>
      <c r="O101" s="37">
        <f>IF(N101="Yes",BoonRef!$AJ$56,0)</f>
        <v>0</v>
      </c>
      <c r="P101" s="37" t="s">
        <v>494</v>
      </c>
      <c r="Q101" s="37">
        <f>VLOOKUP(P101,BoonRef!$AI$43:$AJ$55,2,FALSE)</f>
        <v>0</v>
      </c>
      <c r="R101" s="470" t="s">
        <v>347</v>
      </c>
      <c r="S101" s="470">
        <f>IF(R101="Yes",BoonRef!$AJ$57,0)</f>
        <v>0</v>
      </c>
      <c r="T101" s="470" t="s">
        <v>346</v>
      </c>
      <c r="U101" s="37">
        <f>IF(T101="Yes",VLOOKUP(H101,BoonRef!$AC$2:$AE$12,3,FALSE),0)</f>
        <v>0</v>
      </c>
      <c r="V101" s="470" t="s">
        <v>347</v>
      </c>
      <c r="W101" s="470">
        <f>IF(V101="Yes",BoonRef!$AJ$57,0)</f>
        <v>0</v>
      </c>
      <c r="X101" s="470" t="s">
        <v>346</v>
      </c>
      <c r="Y101" s="111">
        <f>IF(OR(K101="V",J101="None"),0,VLOOKUP(J101,'Purchased Boons'!$AR$4:$AS$27,2,FALSE))</f>
        <v>0</v>
      </c>
    </row>
    <row r="102" spans="1:25" x14ac:dyDescent="0.25">
      <c r="A102" s="519" t="s">
        <v>432</v>
      </c>
      <c r="B102" s="519" t="s">
        <v>16</v>
      </c>
      <c r="C102" s="519" t="s">
        <v>494</v>
      </c>
      <c r="D102" s="519" t="str">
        <f t="shared" si="3"/>
        <v>None</v>
      </c>
      <c r="E102" s="519" t="s">
        <v>494</v>
      </c>
      <c r="F102" s="519" t="s">
        <v>133</v>
      </c>
      <c r="G102" s="520">
        <v>130</v>
      </c>
      <c r="H102" s="475" t="s">
        <v>494</v>
      </c>
      <c r="I102" s="37">
        <f>VLOOKUP(H102,BoonRef!$AC$2:$AD$12,2,FALSE)</f>
        <v>0</v>
      </c>
      <c r="J102" s="470" t="s">
        <v>494</v>
      </c>
      <c r="K102" s="37">
        <f>VLOOKUP(J102,BoonRef!$AF$2:$AH$27,2,FALSE)</f>
        <v>0</v>
      </c>
      <c r="L102" s="37" t="s">
        <v>494</v>
      </c>
      <c r="M102" s="37">
        <f>VLOOKUP(L102,BoonRef!$AI$2:$AJ$42,2,FALSE)</f>
        <v>0</v>
      </c>
      <c r="N102" s="37" t="s">
        <v>347</v>
      </c>
      <c r="O102" s="37">
        <f>IF(N102="Yes",BoonRef!$AJ$56,0)</f>
        <v>0</v>
      </c>
      <c r="P102" s="37" t="s">
        <v>494</v>
      </c>
      <c r="Q102" s="37">
        <f>VLOOKUP(P102,BoonRef!$AI$43:$AJ$55,2,FALSE)</f>
        <v>0</v>
      </c>
      <c r="R102" s="470" t="s">
        <v>347</v>
      </c>
      <c r="S102" s="470">
        <f>IF(R102="Yes",BoonRef!$AJ$57,0)</f>
        <v>0</v>
      </c>
      <c r="T102" s="470" t="s">
        <v>346</v>
      </c>
      <c r="U102" s="37">
        <f>IF(T102="Yes",VLOOKUP(H102,BoonRef!$AC$2:$AE$12,3,FALSE),0)</f>
        <v>0</v>
      </c>
      <c r="V102" s="470" t="s">
        <v>347</v>
      </c>
      <c r="W102" s="470">
        <f>IF(V102="Yes",BoonRef!$AJ$57,0)</f>
        <v>0</v>
      </c>
      <c r="X102" s="470" t="s">
        <v>346</v>
      </c>
      <c r="Y102" s="111">
        <f>IF(OR(K102="V",J102="None"),0,VLOOKUP(J102,'Purchased Boons'!$AR$4:$AS$27,2,FALSE))</f>
        <v>0</v>
      </c>
    </row>
    <row r="103" spans="1:25" x14ac:dyDescent="0.25">
      <c r="A103" s="519" t="s">
        <v>963</v>
      </c>
      <c r="B103" s="519" t="s">
        <v>17</v>
      </c>
      <c r="C103" s="519" t="s">
        <v>494</v>
      </c>
      <c r="D103" s="519" t="str">
        <f t="shared" si="3"/>
        <v>3 + 0</v>
      </c>
      <c r="E103" s="519" t="s">
        <v>1050</v>
      </c>
      <c r="F103" s="519" t="s">
        <v>1046</v>
      </c>
      <c r="G103" s="520">
        <v>54</v>
      </c>
      <c r="H103" s="475" t="s">
        <v>17</v>
      </c>
      <c r="I103" s="37">
        <f>VLOOKUP(H103,BoonRef!$AC$2:$AD$12,2,FALSE)</f>
        <v>1</v>
      </c>
      <c r="J103" s="470" t="s">
        <v>41</v>
      </c>
      <c r="K103" s="37">
        <f>VLOOKUP(J103,BoonRef!$AF$2:$AH$27,2,FALSE)</f>
        <v>0</v>
      </c>
      <c r="L103" s="37" t="s">
        <v>494</v>
      </c>
      <c r="M103" s="37">
        <f>VLOOKUP(L103,BoonRef!$AI$2:$AJ$42,2,FALSE)</f>
        <v>0</v>
      </c>
      <c r="N103" s="37" t="s">
        <v>347</v>
      </c>
      <c r="O103" s="37">
        <f>IF(N103="Yes",BoonRef!$AJ$56,0)</f>
        <v>0</v>
      </c>
      <c r="P103" s="37" t="s">
        <v>494</v>
      </c>
      <c r="Q103" s="37">
        <f>VLOOKUP(P103,BoonRef!$AI$43:$AJ$55,2,FALSE)</f>
        <v>0</v>
      </c>
      <c r="R103" s="470" t="s">
        <v>346</v>
      </c>
      <c r="S103" s="470">
        <f>IF(R103="Yes",BoonRef!$AJ$57,0)</f>
        <v>2</v>
      </c>
      <c r="T103" s="470" t="s">
        <v>346</v>
      </c>
      <c r="U103" s="37">
        <f>IF(T103="Yes",VLOOKUP(H103,BoonRef!$AC$2:$AE$12,3,FALSE),0)</f>
        <v>0</v>
      </c>
      <c r="V103" s="470" t="s">
        <v>347</v>
      </c>
      <c r="W103" s="470">
        <f>IF(V103="Yes",BoonRef!$AJ$57,0)</f>
        <v>0</v>
      </c>
      <c r="X103" s="470" t="s">
        <v>346</v>
      </c>
      <c r="Y103" s="111">
        <f>IF(OR(K103="V",J103="None"),0,VLOOKUP(J103,'Purchased Boons'!$AR$4:$AS$27,2,FALSE))</f>
        <v>0</v>
      </c>
    </row>
    <row r="104" spans="1:25" x14ac:dyDescent="0.25">
      <c r="A104" s="37" t="s">
        <v>392</v>
      </c>
      <c r="B104" s="519" t="s">
        <v>13</v>
      </c>
      <c r="C104" s="519" t="s">
        <v>494</v>
      </c>
      <c r="D104" s="519" t="str">
        <f t="shared" si="3"/>
        <v>None</v>
      </c>
      <c r="E104" s="519" t="s">
        <v>1764</v>
      </c>
      <c r="F104" s="519" t="s">
        <v>1046</v>
      </c>
      <c r="G104" s="520">
        <v>52</v>
      </c>
      <c r="H104" s="475" t="s">
        <v>494</v>
      </c>
      <c r="I104" s="37">
        <f>VLOOKUP(H104,BoonRef!$AC$2:$AD$12,2,FALSE)</f>
        <v>0</v>
      </c>
      <c r="J104" s="470" t="s">
        <v>494</v>
      </c>
      <c r="K104" s="37">
        <f>VLOOKUP(J104,BoonRef!$AF$2:$AH$27,2,FALSE)</f>
        <v>0</v>
      </c>
      <c r="L104" s="37" t="s">
        <v>494</v>
      </c>
      <c r="M104" s="37">
        <f>VLOOKUP(L104,BoonRef!$AI$2:$AJ$42,2,FALSE)</f>
        <v>0</v>
      </c>
      <c r="N104" s="37" t="s">
        <v>347</v>
      </c>
      <c r="O104" s="37">
        <f>IF(N104="Yes",BoonRef!$AJ$56,0)</f>
        <v>0</v>
      </c>
      <c r="P104" s="37" t="s">
        <v>494</v>
      </c>
      <c r="Q104" s="37">
        <f>VLOOKUP(P104,BoonRef!$AI$43:$AJ$55,2,FALSE)</f>
        <v>0</v>
      </c>
      <c r="R104" s="470" t="s">
        <v>347</v>
      </c>
      <c r="S104" s="470">
        <f>IF(R104="Yes",BoonRef!$AJ$57,0)</f>
        <v>0</v>
      </c>
      <c r="T104" s="470" t="s">
        <v>346</v>
      </c>
      <c r="U104" s="37">
        <f>IF(T104="Yes",VLOOKUP(H104,BoonRef!$AC$2:$AE$12,3,FALSE),0)</f>
        <v>0</v>
      </c>
      <c r="V104" s="470" t="s">
        <v>347</v>
      </c>
      <c r="W104" s="470">
        <f>IF(V104="Yes",BoonRef!$AJ$57,0)</f>
        <v>0</v>
      </c>
      <c r="X104" s="470" t="s">
        <v>346</v>
      </c>
      <c r="Y104" s="111">
        <f>IF(OR(K104="V",J104="None"),0,VLOOKUP(J104,'Purchased Boons'!$AR$4:$AS$27,2,FALSE))</f>
        <v>0</v>
      </c>
    </row>
    <row r="105" spans="1:25" x14ac:dyDescent="0.25">
      <c r="A105" s="37" t="s">
        <v>385</v>
      </c>
      <c r="B105" s="519" t="s">
        <v>30</v>
      </c>
      <c r="C105" s="519" t="s">
        <v>375</v>
      </c>
      <c r="D105" s="519" t="str">
        <f t="shared" si="3"/>
        <v>None</v>
      </c>
      <c r="E105" s="519" t="s">
        <v>1055</v>
      </c>
      <c r="F105" s="519" t="s">
        <v>1046</v>
      </c>
      <c r="G105" s="520">
        <v>51</v>
      </c>
      <c r="H105" s="475" t="s">
        <v>494</v>
      </c>
      <c r="I105" s="37">
        <f>VLOOKUP(H105,BoonRef!$AC$2:$AD$12,2,FALSE)</f>
        <v>0</v>
      </c>
      <c r="J105" s="470" t="s">
        <v>494</v>
      </c>
      <c r="K105" s="37">
        <f>VLOOKUP(J105,BoonRef!$AF$2:$AH$27,2,FALSE)</f>
        <v>0</v>
      </c>
      <c r="L105" s="37" t="s">
        <v>494</v>
      </c>
      <c r="M105" s="37">
        <f>VLOOKUP(L105,BoonRef!$AI$2:$AJ$42,2,FALSE)</f>
        <v>0</v>
      </c>
      <c r="N105" s="37" t="s">
        <v>347</v>
      </c>
      <c r="O105" s="37">
        <f>IF(N105="Yes",BoonRef!$AJ$56,0)</f>
        <v>0</v>
      </c>
      <c r="P105" s="37" t="s">
        <v>494</v>
      </c>
      <c r="Q105" s="37">
        <f>VLOOKUP(P105,BoonRef!$AI$43:$AJ$55,2,FALSE)</f>
        <v>0</v>
      </c>
      <c r="R105" s="470" t="s">
        <v>347</v>
      </c>
      <c r="S105" s="470">
        <f>IF(R105="Yes",BoonRef!$AJ$57,0)</f>
        <v>0</v>
      </c>
      <c r="T105" s="470" t="s">
        <v>346</v>
      </c>
      <c r="U105" s="37">
        <f>IF(T105="Yes",VLOOKUP(H105,BoonRef!$AC$2:$AE$12,3,FALSE),0)</f>
        <v>0</v>
      </c>
      <c r="V105" s="470" t="s">
        <v>347</v>
      </c>
      <c r="W105" s="470">
        <f>IF(V105="Yes",BoonRef!$AJ$57,0)</f>
        <v>0</v>
      </c>
      <c r="X105" s="470" t="s">
        <v>346</v>
      </c>
      <c r="Y105" s="111">
        <f>IF(OR(K105="V",J105="None"),0,VLOOKUP(J105,'Purchased Boons'!$AR$4:$AS$27,2,FALSE))</f>
        <v>0</v>
      </c>
    </row>
    <row r="106" spans="1:25" x14ac:dyDescent="0.25">
      <c r="A106" s="519" t="s">
        <v>1021</v>
      </c>
      <c r="B106" s="519" t="s">
        <v>21</v>
      </c>
      <c r="C106" s="519" t="s">
        <v>494</v>
      </c>
      <c r="D106" s="519" t="str">
        <f t="shared" si="3"/>
        <v>None</v>
      </c>
      <c r="E106" s="519" t="s">
        <v>1050</v>
      </c>
      <c r="F106" s="519" t="s">
        <v>133</v>
      </c>
      <c r="G106" s="520">
        <v>136</v>
      </c>
      <c r="H106" s="475" t="s">
        <v>494</v>
      </c>
      <c r="I106" s="37">
        <f>VLOOKUP(H106,BoonRef!$AC$2:$AD$12,2,FALSE)</f>
        <v>0</v>
      </c>
      <c r="J106" s="470" t="s">
        <v>494</v>
      </c>
      <c r="K106" s="37">
        <f>VLOOKUP(J106,BoonRef!$AF$2:$AH$27,2,FALSE)</f>
        <v>0</v>
      </c>
      <c r="L106" s="37" t="s">
        <v>494</v>
      </c>
      <c r="M106" s="37">
        <f>VLOOKUP(L106,BoonRef!$AI$2:$AJ$42,2,FALSE)</f>
        <v>0</v>
      </c>
      <c r="N106" s="37" t="s">
        <v>347</v>
      </c>
      <c r="O106" s="37">
        <f>IF(N106="Yes",BoonRef!$AJ$56,0)</f>
        <v>0</v>
      </c>
      <c r="P106" s="37" t="s">
        <v>494</v>
      </c>
      <c r="Q106" s="37">
        <f>VLOOKUP(P106,BoonRef!$AI$43:$AJ$55,2,FALSE)</f>
        <v>0</v>
      </c>
      <c r="R106" s="470" t="s">
        <v>347</v>
      </c>
      <c r="S106" s="470">
        <f>IF(R106="Yes",BoonRef!$AJ$57,0)</f>
        <v>0</v>
      </c>
      <c r="T106" s="470" t="s">
        <v>346</v>
      </c>
      <c r="U106" s="37">
        <f>IF(T106="Yes",VLOOKUP(H106,BoonRef!$AC$2:$AE$12,3,FALSE),0)</f>
        <v>0</v>
      </c>
      <c r="V106" s="470" t="s">
        <v>347</v>
      </c>
      <c r="W106" s="470">
        <f>IF(V106="Yes",BoonRef!$AJ$57,0)</f>
        <v>0</v>
      </c>
      <c r="X106" s="470" t="s">
        <v>346</v>
      </c>
      <c r="Y106" s="111">
        <f>IF(OR(K106="V",J106="None"),0,VLOOKUP(J106,'Purchased Boons'!$AR$4:$AS$27,2,FALSE))</f>
        <v>0</v>
      </c>
    </row>
    <row r="107" spans="1:25" x14ac:dyDescent="0.25">
      <c r="A107" s="519" t="s">
        <v>1030</v>
      </c>
      <c r="B107" s="519" t="s">
        <v>21</v>
      </c>
      <c r="C107" s="519" t="s">
        <v>494</v>
      </c>
      <c r="D107" s="519" t="str">
        <f t="shared" si="3"/>
        <v>None</v>
      </c>
      <c r="E107" s="519" t="s">
        <v>1050</v>
      </c>
      <c r="F107" s="519" t="s">
        <v>5</v>
      </c>
      <c r="G107" s="520">
        <v>76</v>
      </c>
      <c r="H107" s="475" t="s">
        <v>494</v>
      </c>
      <c r="I107" s="37">
        <f>VLOOKUP(H107,BoonRef!$AC$2:$AD$12,2,FALSE)</f>
        <v>0</v>
      </c>
      <c r="J107" s="470" t="s">
        <v>494</v>
      </c>
      <c r="K107" s="37">
        <f>VLOOKUP(J107,BoonRef!$AF$2:$AH$27,2,FALSE)</f>
        <v>0</v>
      </c>
      <c r="L107" s="37" t="s">
        <v>494</v>
      </c>
      <c r="M107" s="37">
        <f>VLOOKUP(L107,BoonRef!$AI$2:$AJ$42,2,FALSE)</f>
        <v>0</v>
      </c>
      <c r="N107" s="37" t="s">
        <v>347</v>
      </c>
      <c r="O107" s="37">
        <f>IF(N107="Yes",BoonRef!$AJ$56,0)</f>
        <v>0</v>
      </c>
      <c r="P107" s="37" t="s">
        <v>494</v>
      </c>
      <c r="Q107" s="37">
        <f>VLOOKUP(P107,BoonRef!$AI$43:$AJ$55,2,FALSE)</f>
        <v>0</v>
      </c>
      <c r="R107" s="470" t="s">
        <v>347</v>
      </c>
      <c r="S107" s="470">
        <f>IF(R107="Yes",BoonRef!$AJ$57,0)</f>
        <v>0</v>
      </c>
      <c r="T107" s="470" t="s">
        <v>346</v>
      </c>
      <c r="U107" s="37">
        <f>IF(T107="Yes",VLOOKUP(H107,BoonRef!$AC$2:$AE$12,3,FALSE),0)</f>
        <v>0</v>
      </c>
      <c r="V107" s="470" t="s">
        <v>347</v>
      </c>
      <c r="W107" s="470">
        <f>IF(V107="Yes",BoonRef!$AJ$57,0)</f>
        <v>0</v>
      </c>
      <c r="X107" s="470" t="s">
        <v>346</v>
      </c>
      <c r="Y107" s="111">
        <f>IF(OR(K107="V",J107="None"),0,VLOOKUP(J107,'Purchased Boons'!$AR$4:$AS$27,2,FALSE))</f>
        <v>0</v>
      </c>
    </row>
    <row r="108" spans="1:25" x14ac:dyDescent="0.25">
      <c r="A108" s="519" t="s">
        <v>949</v>
      </c>
      <c r="B108" s="519" t="s">
        <v>17</v>
      </c>
      <c r="C108" s="519" t="s">
        <v>494</v>
      </c>
      <c r="D108" s="519" t="str">
        <f t="shared" si="3"/>
        <v>None</v>
      </c>
      <c r="E108" s="519" t="s">
        <v>1051</v>
      </c>
      <c r="F108" s="519" t="s">
        <v>133</v>
      </c>
      <c r="G108" s="520">
        <v>131</v>
      </c>
      <c r="H108" s="475" t="s">
        <v>494</v>
      </c>
      <c r="I108" s="37">
        <f>VLOOKUP(H108,BoonRef!$AC$2:$AD$12,2,FALSE)</f>
        <v>0</v>
      </c>
      <c r="J108" s="470" t="s">
        <v>494</v>
      </c>
      <c r="K108" s="37">
        <f>VLOOKUP(J108,BoonRef!$AF$2:$AH$27,2,FALSE)</f>
        <v>0</v>
      </c>
      <c r="L108" s="37" t="s">
        <v>494</v>
      </c>
      <c r="M108" s="37">
        <f>VLOOKUP(L108,BoonRef!$AI$2:$AJ$42,2,FALSE)</f>
        <v>0</v>
      </c>
      <c r="N108" s="37" t="s">
        <v>347</v>
      </c>
      <c r="O108" s="37">
        <f>IF(N108="Yes",BoonRef!$AJ$56,0)</f>
        <v>0</v>
      </c>
      <c r="P108" s="37" t="s">
        <v>494</v>
      </c>
      <c r="Q108" s="37">
        <f>VLOOKUP(P108,BoonRef!$AI$43:$AJ$55,2,FALSE)</f>
        <v>0</v>
      </c>
      <c r="R108" s="470" t="s">
        <v>347</v>
      </c>
      <c r="S108" s="470">
        <f>IF(R108="Yes",BoonRef!$AJ$57,0)</f>
        <v>0</v>
      </c>
      <c r="T108" s="470" t="s">
        <v>346</v>
      </c>
      <c r="U108" s="37">
        <f>IF(T108="Yes",VLOOKUP(H108,BoonRef!$AC$2:$AE$12,3,FALSE),0)</f>
        <v>0</v>
      </c>
      <c r="V108" s="470" t="s">
        <v>347</v>
      </c>
      <c r="W108" s="470">
        <f>IF(V108="Yes",BoonRef!$AJ$57,0)</f>
        <v>0</v>
      </c>
      <c r="X108" s="470" t="s">
        <v>346</v>
      </c>
      <c r="Y108" s="111">
        <f>IF(OR(K108="V",J108="None"),0,VLOOKUP(J108,'Purchased Boons'!$AR$4:$AS$27,2,FALSE))</f>
        <v>0</v>
      </c>
    </row>
    <row r="109" spans="1:25" x14ac:dyDescent="0.25">
      <c r="A109" s="519" t="s">
        <v>433</v>
      </c>
      <c r="B109" s="519" t="s">
        <v>16</v>
      </c>
      <c r="C109" s="519" t="s">
        <v>430</v>
      </c>
      <c r="D109" s="519" t="str">
        <f t="shared" si="3"/>
        <v>3 + 0</v>
      </c>
      <c r="E109" s="519" t="s">
        <v>1054</v>
      </c>
      <c r="F109" s="519" t="s">
        <v>1046</v>
      </c>
      <c r="G109" s="520">
        <v>54</v>
      </c>
      <c r="H109" s="475" t="s">
        <v>16</v>
      </c>
      <c r="I109" s="37">
        <f>VLOOKUP(H109,BoonRef!$AC$2:$AD$12,2,FALSE)</f>
        <v>1</v>
      </c>
      <c r="J109" s="470" t="s">
        <v>40</v>
      </c>
      <c r="K109" s="37">
        <f>VLOOKUP(J109,BoonRef!$AF$2:$AH$27,2,FALSE)</f>
        <v>0</v>
      </c>
      <c r="L109" s="37" t="s">
        <v>494</v>
      </c>
      <c r="M109" s="37">
        <f>VLOOKUP(L109,BoonRef!$AI$2:$AJ$42,2,FALSE)</f>
        <v>0</v>
      </c>
      <c r="N109" s="37" t="s">
        <v>347</v>
      </c>
      <c r="O109" s="37">
        <f>IF(N109="Yes",BoonRef!$AJ$56,0)</f>
        <v>0</v>
      </c>
      <c r="P109" s="37" t="s">
        <v>494</v>
      </c>
      <c r="Q109" s="37">
        <f>VLOOKUP(P109,BoonRef!$AI$43:$AJ$55,2,FALSE)</f>
        <v>0</v>
      </c>
      <c r="R109" s="470" t="s">
        <v>346</v>
      </c>
      <c r="S109" s="470">
        <f>IF(R109="Yes",BoonRef!$AJ$57,0)</f>
        <v>2</v>
      </c>
      <c r="T109" s="470" t="s">
        <v>346</v>
      </c>
      <c r="U109" s="37">
        <f>IF(T109="Yes",VLOOKUP(H109,BoonRef!$AC$2:$AE$12,3,FALSE),0)</f>
        <v>0</v>
      </c>
      <c r="V109" s="470" t="s">
        <v>347</v>
      </c>
      <c r="W109" s="470">
        <f>IF(V109="Yes",BoonRef!$AJ$57,0)</f>
        <v>0</v>
      </c>
      <c r="X109" s="470" t="s">
        <v>346</v>
      </c>
      <c r="Y109" s="111">
        <f>IF(OR(K109="V",J109="None"),0,VLOOKUP(J109,'Purchased Boons'!$AR$4:$AS$27,2,FALSE))</f>
        <v>0</v>
      </c>
    </row>
    <row r="110" spans="1:25" x14ac:dyDescent="0.25">
      <c r="A110" s="519" t="s">
        <v>995</v>
      </c>
      <c r="B110" s="519" t="s">
        <v>19</v>
      </c>
      <c r="C110" s="519" t="s">
        <v>494</v>
      </c>
      <c r="D110" s="519" t="str">
        <f t="shared" si="3"/>
        <v>None</v>
      </c>
      <c r="E110" s="519" t="s">
        <v>1058</v>
      </c>
      <c r="F110" s="519" t="s">
        <v>5</v>
      </c>
      <c r="G110" s="520">
        <v>73</v>
      </c>
      <c r="H110" s="475" t="s">
        <v>494</v>
      </c>
      <c r="I110" s="37">
        <f>VLOOKUP(H110,BoonRef!$AC$2:$AD$12,2,FALSE)</f>
        <v>0</v>
      </c>
      <c r="J110" s="470" t="s">
        <v>494</v>
      </c>
      <c r="K110" s="37">
        <f>VLOOKUP(J110,BoonRef!$AF$2:$AH$27,2,FALSE)</f>
        <v>0</v>
      </c>
      <c r="L110" s="37" t="s">
        <v>494</v>
      </c>
      <c r="M110" s="37">
        <f>VLOOKUP(L110,BoonRef!$AI$2:$AJ$42,2,FALSE)</f>
        <v>0</v>
      </c>
      <c r="N110" s="37" t="s">
        <v>347</v>
      </c>
      <c r="O110" s="37">
        <f>IF(N110="Yes",BoonRef!$AJ$56,0)</f>
        <v>0</v>
      </c>
      <c r="P110" s="37" t="s">
        <v>494</v>
      </c>
      <c r="Q110" s="37">
        <f>VLOOKUP(P110,BoonRef!$AI$43:$AJ$55,2,FALSE)</f>
        <v>0</v>
      </c>
      <c r="R110" s="470" t="s">
        <v>347</v>
      </c>
      <c r="S110" s="470">
        <f>IF(R110="Yes",BoonRef!$AJ$57,0)</f>
        <v>0</v>
      </c>
      <c r="T110" s="470" t="s">
        <v>346</v>
      </c>
      <c r="U110" s="37">
        <f>IF(T110="Yes",VLOOKUP(H110,BoonRef!$AC$2:$AE$12,3,FALSE),0)</f>
        <v>0</v>
      </c>
      <c r="V110" s="470" t="s">
        <v>347</v>
      </c>
      <c r="W110" s="470">
        <f>IF(V110="Yes",BoonRef!$AJ$57,0)</f>
        <v>0</v>
      </c>
      <c r="X110" s="470" t="s">
        <v>346</v>
      </c>
      <c r="Y110" s="111">
        <f>IF(OR(K110="V",J110="None"),0,VLOOKUP(J110,'Purchased Boons'!$AR$4:$AS$27,2,FALSE))</f>
        <v>0</v>
      </c>
    </row>
    <row r="111" spans="1:25" x14ac:dyDescent="0.25">
      <c r="A111" s="519" t="s">
        <v>974</v>
      </c>
      <c r="B111" s="519" t="s">
        <v>18</v>
      </c>
      <c r="C111" s="519" t="s">
        <v>494</v>
      </c>
      <c r="D111" s="519" t="str">
        <f t="shared" si="3"/>
        <v>None</v>
      </c>
      <c r="E111" s="519" t="s">
        <v>1763</v>
      </c>
      <c r="F111" s="519" t="s">
        <v>1045</v>
      </c>
      <c r="G111" s="520">
        <v>63</v>
      </c>
      <c r="H111" s="475" t="s">
        <v>494</v>
      </c>
      <c r="I111" s="37">
        <f>VLOOKUP(H111,BoonRef!$AC$2:$AD$12,2,FALSE)</f>
        <v>0</v>
      </c>
      <c r="J111" s="470" t="s">
        <v>494</v>
      </c>
      <c r="K111" s="37">
        <f>VLOOKUP(J111,BoonRef!$AF$2:$AH$27,2,FALSE)</f>
        <v>0</v>
      </c>
      <c r="L111" s="37" t="s">
        <v>494</v>
      </c>
      <c r="M111" s="37">
        <f>VLOOKUP(L111,BoonRef!$AI$2:$AJ$42,2,FALSE)</f>
        <v>0</v>
      </c>
      <c r="N111" s="37" t="s">
        <v>347</v>
      </c>
      <c r="O111" s="37">
        <f>IF(N111="Yes",BoonRef!$AJ$56,0)</f>
        <v>0</v>
      </c>
      <c r="P111" s="37" t="s">
        <v>494</v>
      </c>
      <c r="Q111" s="37">
        <f>VLOOKUP(P111,BoonRef!$AI$43:$AJ$55,2,FALSE)</f>
        <v>0</v>
      </c>
      <c r="R111" s="470" t="s">
        <v>347</v>
      </c>
      <c r="S111" s="470">
        <f>IF(R111="Yes",BoonRef!$AJ$57,0)</f>
        <v>0</v>
      </c>
      <c r="T111" s="470" t="s">
        <v>346</v>
      </c>
      <c r="U111" s="37">
        <f>IF(T111="Yes",VLOOKUP(H111,BoonRef!$AC$2:$AE$12,3,FALSE),0)</f>
        <v>0</v>
      </c>
      <c r="V111" s="470" t="s">
        <v>347</v>
      </c>
      <c r="W111" s="470">
        <f>IF(V111="Yes",BoonRef!$AJ$57,0)</f>
        <v>0</v>
      </c>
      <c r="X111" s="470" t="s">
        <v>346</v>
      </c>
      <c r="Y111" s="111">
        <f>IF(OR(K111="V",J111="None"),0,VLOOKUP(J111,'Purchased Boons'!$AR$4:$AS$27,2,FALSE))</f>
        <v>0</v>
      </c>
    </row>
    <row r="112" spans="1:25" x14ac:dyDescent="0.25">
      <c r="A112" s="519" t="s">
        <v>1028</v>
      </c>
      <c r="B112" s="519" t="s">
        <v>21</v>
      </c>
      <c r="C112" s="519" t="s">
        <v>1023</v>
      </c>
      <c r="D112" s="519" t="str">
        <f t="shared" si="3"/>
        <v>None</v>
      </c>
      <c r="E112" s="519" t="s">
        <v>1764</v>
      </c>
      <c r="F112" s="519" t="s">
        <v>1045</v>
      </c>
      <c r="G112" s="520">
        <v>67</v>
      </c>
      <c r="H112" s="475" t="s">
        <v>494</v>
      </c>
      <c r="I112" s="37">
        <f>VLOOKUP(H112,BoonRef!$AC$2:$AD$12,2,FALSE)</f>
        <v>0</v>
      </c>
      <c r="J112" s="470" t="s">
        <v>494</v>
      </c>
      <c r="K112" s="37">
        <f>VLOOKUP(J112,BoonRef!$AF$2:$AH$27,2,FALSE)</f>
        <v>0</v>
      </c>
      <c r="L112" s="37" t="s">
        <v>494</v>
      </c>
      <c r="M112" s="37">
        <f>VLOOKUP(L112,BoonRef!$AI$2:$AJ$42,2,FALSE)</f>
        <v>0</v>
      </c>
      <c r="N112" s="37" t="s">
        <v>347</v>
      </c>
      <c r="O112" s="37">
        <f>IF(N112="Yes",BoonRef!$AJ$56,0)</f>
        <v>0</v>
      </c>
      <c r="P112" s="37" t="s">
        <v>494</v>
      </c>
      <c r="Q112" s="37">
        <f>VLOOKUP(P112,BoonRef!$AI$43:$AJ$55,2,FALSE)</f>
        <v>0</v>
      </c>
      <c r="R112" s="470" t="s">
        <v>347</v>
      </c>
      <c r="S112" s="470">
        <f>IF(R112="Yes",BoonRef!$AJ$57,0)</f>
        <v>0</v>
      </c>
      <c r="T112" s="470" t="s">
        <v>346</v>
      </c>
      <c r="U112" s="37">
        <f>IF(T112="Yes",VLOOKUP(H112,BoonRef!$AC$2:$AE$12,3,FALSE),0)</f>
        <v>0</v>
      </c>
      <c r="V112" s="470" t="s">
        <v>347</v>
      </c>
      <c r="W112" s="470">
        <f>IF(V112="Yes",BoonRef!$AJ$57,0)</f>
        <v>0</v>
      </c>
      <c r="X112" s="470" t="s">
        <v>346</v>
      </c>
      <c r="Y112" s="111">
        <f>IF(OR(K112="V",J112="None"),0,VLOOKUP(J112,'Purchased Boons'!$AR$4:$AS$27,2,FALSE))</f>
        <v>0</v>
      </c>
    </row>
    <row r="113" spans="1:25" x14ac:dyDescent="0.25">
      <c r="A113" s="519" t="s">
        <v>1004</v>
      </c>
      <c r="B113" s="519" t="s">
        <v>20</v>
      </c>
      <c r="C113" s="519" t="s">
        <v>494</v>
      </c>
      <c r="D113" s="519" t="str">
        <f t="shared" si="3"/>
        <v>None</v>
      </c>
      <c r="E113" s="519" t="s">
        <v>1764</v>
      </c>
      <c r="F113" s="519" t="s">
        <v>133</v>
      </c>
      <c r="G113" s="520">
        <v>135</v>
      </c>
      <c r="H113" s="475" t="s">
        <v>494</v>
      </c>
      <c r="I113" s="37">
        <f>VLOOKUP(H113,BoonRef!$AC$2:$AD$12,2,FALSE)</f>
        <v>0</v>
      </c>
      <c r="J113" s="470" t="s">
        <v>494</v>
      </c>
      <c r="K113" s="37">
        <f>VLOOKUP(J113,BoonRef!$AF$2:$AH$27,2,FALSE)</f>
        <v>0</v>
      </c>
      <c r="L113" s="37" t="s">
        <v>494</v>
      </c>
      <c r="M113" s="37">
        <f>VLOOKUP(L113,BoonRef!$AI$2:$AJ$42,2,FALSE)</f>
        <v>0</v>
      </c>
      <c r="N113" s="37" t="s">
        <v>347</v>
      </c>
      <c r="O113" s="37">
        <f>IF(N113="Yes",BoonRef!$AJ$56,0)</f>
        <v>0</v>
      </c>
      <c r="P113" s="37" t="s">
        <v>494</v>
      </c>
      <c r="Q113" s="37">
        <f>VLOOKUP(P113,BoonRef!$AI$43:$AJ$55,2,FALSE)</f>
        <v>0</v>
      </c>
      <c r="R113" s="470" t="s">
        <v>347</v>
      </c>
      <c r="S113" s="470">
        <f>IF(R113="Yes",BoonRef!$AJ$57,0)</f>
        <v>0</v>
      </c>
      <c r="T113" s="470" t="s">
        <v>346</v>
      </c>
      <c r="U113" s="37">
        <f>IF(T113="Yes",VLOOKUP(H113,BoonRef!$AC$2:$AE$12,3,FALSE),0)</f>
        <v>0</v>
      </c>
      <c r="V113" s="470" t="s">
        <v>347</v>
      </c>
      <c r="W113" s="470">
        <f>IF(V113="Yes",BoonRef!$AJ$57,0)</f>
        <v>0</v>
      </c>
      <c r="X113" s="470" t="s">
        <v>346</v>
      </c>
      <c r="Y113" s="111">
        <f>IF(OR(K113="V",J113="None"),0,VLOOKUP(J113,'Purchased Boons'!$AR$4:$AS$27,2,FALSE))</f>
        <v>0</v>
      </c>
    </row>
    <row r="114" spans="1:25" x14ac:dyDescent="0.25">
      <c r="A114" s="37" t="s">
        <v>393</v>
      </c>
      <c r="B114" s="519" t="s">
        <v>13</v>
      </c>
      <c r="C114" s="519" t="s">
        <v>494</v>
      </c>
      <c r="D114" s="519" t="str">
        <f t="shared" si="3"/>
        <v>None</v>
      </c>
      <c r="E114" s="519" t="s">
        <v>1764</v>
      </c>
      <c r="F114" s="519" t="s">
        <v>5</v>
      </c>
      <c r="G114" s="520">
        <v>63</v>
      </c>
      <c r="H114" s="475" t="s">
        <v>494</v>
      </c>
      <c r="I114" s="37">
        <f>VLOOKUP(H114,BoonRef!$AC$2:$AD$12,2,FALSE)</f>
        <v>0</v>
      </c>
      <c r="J114" s="470" t="s">
        <v>494</v>
      </c>
      <c r="K114" s="37">
        <f>VLOOKUP(J114,BoonRef!$AF$2:$AH$27,2,FALSE)</f>
        <v>0</v>
      </c>
      <c r="L114" s="37" t="s">
        <v>494</v>
      </c>
      <c r="M114" s="37">
        <f>VLOOKUP(L114,BoonRef!$AI$2:$AJ$42,2,FALSE)</f>
        <v>0</v>
      </c>
      <c r="N114" s="37" t="s">
        <v>347</v>
      </c>
      <c r="O114" s="37">
        <f>IF(N114="Yes",BoonRef!$AJ$56,0)</f>
        <v>0</v>
      </c>
      <c r="P114" s="37" t="s">
        <v>494</v>
      </c>
      <c r="Q114" s="37">
        <f>VLOOKUP(P114,BoonRef!$AI$43:$AJ$55,2,FALSE)</f>
        <v>0</v>
      </c>
      <c r="R114" s="470" t="s">
        <v>347</v>
      </c>
      <c r="S114" s="470">
        <f>IF(R114="Yes",BoonRef!$AJ$57,0)</f>
        <v>0</v>
      </c>
      <c r="T114" s="470" t="s">
        <v>346</v>
      </c>
      <c r="U114" s="37">
        <f>IF(T114="Yes",VLOOKUP(H114,BoonRef!$AC$2:$AE$12,3,FALSE),0)</f>
        <v>0</v>
      </c>
      <c r="V114" s="470" t="s">
        <v>347</v>
      </c>
      <c r="W114" s="470">
        <f>IF(V114="Yes",BoonRef!$AJ$57,0)</f>
        <v>0</v>
      </c>
      <c r="X114" s="470" t="s">
        <v>346</v>
      </c>
      <c r="Y114" s="111">
        <f>IF(OR(K114="V",J114="None"),0,VLOOKUP(J114,'Purchased Boons'!$AR$4:$AS$27,2,FALSE))</f>
        <v>0</v>
      </c>
    </row>
    <row r="115" spans="1:25" x14ac:dyDescent="0.25">
      <c r="A115" s="519" t="s">
        <v>983</v>
      </c>
      <c r="B115" s="519" t="s">
        <v>19</v>
      </c>
      <c r="C115" s="519" t="s">
        <v>494</v>
      </c>
      <c r="D115" s="519" t="str">
        <f t="shared" si="3"/>
        <v>None</v>
      </c>
      <c r="E115" s="519" t="s">
        <v>1764</v>
      </c>
      <c r="F115" s="519" t="s">
        <v>133</v>
      </c>
      <c r="G115" s="520">
        <v>134</v>
      </c>
      <c r="H115" s="475" t="s">
        <v>494</v>
      </c>
      <c r="I115" s="37">
        <f>VLOOKUP(H115,BoonRef!$AC$2:$AD$12,2,FALSE)</f>
        <v>0</v>
      </c>
      <c r="J115" s="470" t="s">
        <v>494</v>
      </c>
      <c r="K115" s="37">
        <f>VLOOKUP(J115,BoonRef!$AF$2:$AH$27,2,FALSE)</f>
        <v>0</v>
      </c>
      <c r="L115" s="37" t="s">
        <v>494</v>
      </c>
      <c r="M115" s="37">
        <f>VLOOKUP(L115,BoonRef!$AI$2:$AJ$42,2,FALSE)</f>
        <v>0</v>
      </c>
      <c r="N115" s="37" t="s">
        <v>347</v>
      </c>
      <c r="O115" s="37">
        <f>IF(N115="Yes",BoonRef!$AJ$56,0)</f>
        <v>0</v>
      </c>
      <c r="P115" s="37" t="s">
        <v>494</v>
      </c>
      <c r="Q115" s="37">
        <f>VLOOKUP(P115,BoonRef!$AI$43:$AJ$55,2,FALSE)</f>
        <v>0</v>
      </c>
      <c r="R115" s="470" t="s">
        <v>347</v>
      </c>
      <c r="S115" s="470">
        <f>IF(R115="Yes",BoonRef!$AJ$57,0)</f>
        <v>0</v>
      </c>
      <c r="T115" s="470" t="s">
        <v>346</v>
      </c>
      <c r="U115" s="37">
        <f>IF(T115="Yes",VLOOKUP(H115,BoonRef!$AC$2:$AE$12,3,FALSE),0)</f>
        <v>0</v>
      </c>
      <c r="V115" s="470" t="s">
        <v>347</v>
      </c>
      <c r="W115" s="470">
        <f>IF(V115="Yes",BoonRef!$AJ$57,0)</f>
        <v>0</v>
      </c>
      <c r="X115" s="470" t="s">
        <v>346</v>
      </c>
      <c r="Y115" s="111">
        <f>IF(OR(K115="V",J115="None"),0,VLOOKUP(J115,'Purchased Boons'!$AR$4:$AS$27,2,FALSE))</f>
        <v>0</v>
      </c>
    </row>
    <row r="116" spans="1:25" x14ac:dyDescent="0.25">
      <c r="A116" s="37" t="s">
        <v>394</v>
      </c>
      <c r="B116" s="519" t="s">
        <v>13</v>
      </c>
      <c r="C116" s="519" t="s">
        <v>494</v>
      </c>
      <c r="D116" s="519" t="str">
        <f t="shared" si="3"/>
        <v>None</v>
      </c>
      <c r="E116" s="519" t="s">
        <v>1057</v>
      </c>
      <c r="F116" s="519" t="s">
        <v>5</v>
      </c>
      <c r="G116" s="520">
        <v>63</v>
      </c>
      <c r="H116" s="475" t="s">
        <v>494</v>
      </c>
      <c r="I116" s="37">
        <f>VLOOKUP(H116,BoonRef!$AC$2:$AD$12,2,FALSE)</f>
        <v>0</v>
      </c>
      <c r="J116" s="470" t="s">
        <v>494</v>
      </c>
      <c r="K116" s="37">
        <f>VLOOKUP(J116,BoonRef!$AF$2:$AH$27,2,FALSE)</f>
        <v>0</v>
      </c>
      <c r="L116" s="37" t="s">
        <v>494</v>
      </c>
      <c r="M116" s="37">
        <f>VLOOKUP(L116,BoonRef!$AI$2:$AJ$42,2,FALSE)</f>
        <v>0</v>
      </c>
      <c r="N116" s="37" t="s">
        <v>347</v>
      </c>
      <c r="O116" s="37">
        <f>IF(N116="Yes",BoonRef!$AJ$56,0)</f>
        <v>0</v>
      </c>
      <c r="P116" s="37" t="s">
        <v>494</v>
      </c>
      <c r="Q116" s="37">
        <f>VLOOKUP(P116,BoonRef!$AI$43:$AJ$55,2,FALSE)</f>
        <v>0</v>
      </c>
      <c r="R116" s="470" t="s">
        <v>347</v>
      </c>
      <c r="S116" s="470">
        <f>IF(R116="Yes",BoonRef!$AJ$57,0)</f>
        <v>0</v>
      </c>
      <c r="T116" s="470" t="s">
        <v>346</v>
      </c>
      <c r="U116" s="37">
        <f>IF(T116="Yes",VLOOKUP(H116,BoonRef!$AC$2:$AE$12,3,FALSE),0)</f>
        <v>0</v>
      </c>
      <c r="V116" s="470" t="s">
        <v>347</v>
      </c>
      <c r="W116" s="470">
        <f>IF(V116="Yes",BoonRef!$AJ$57,0)</f>
        <v>0</v>
      </c>
      <c r="X116" s="470" t="s">
        <v>346</v>
      </c>
      <c r="Y116" s="111">
        <f>IF(OR(K116="V",J116="None"),0,VLOOKUP(J116,'Purchased Boons'!$AR$4:$AS$27,2,FALSE))</f>
        <v>0</v>
      </c>
    </row>
    <row r="117" spans="1:25" x14ac:dyDescent="0.25">
      <c r="A117" s="519" t="s">
        <v>434</v>
      </c>
      <c r="B117" s="519" t="s">
        <v>16</v>
      </c>
      <c r="C117" s="519" t="s">
        <v>494</v>
      </c>
      <c r="D117" s="519" t="str">
        <f t="shared" si="3"/>
        <v>None</v>
      </c>
      <c r="E117" s="519" t="s">
        <v>1062</v>
      </c>
      <c r="F117" s="519" t="s">
        <v>1045</v>
      </c>
      <c r="G117" s="520">
        <v>59</v>
      </c>
      <c r="H117" s="475" t="s">
        <v>494</v>
      </c>
      <c r="I117" s="37">
        <f>VLOOKUP(H117,BoonRef!$AC$2:$AD$12,2,FALSE)</f>
        <v>0</v>
      </c>
      <c r="J117" s="470" t="s">
        <v>494</v>
      </c>
      <c r="K117" s="37">
        <f>VLOOKUP(J117,BoonRef!$AF$2:$AH$27,2,FALSE)</f>
        <v>0</v>
      </c>
      <c r="L117" s="37" t="s">
        <v>494</v>
      </c>
      <c r="M117" s="37">
        <f>VLOOKUP(L117,BoonRef!$AI$2:$AJ$42,2,FALSE)</f>
        <v>0</v>
      </c>
      <c r="N117" s="37" t="s">
        <v>347</v>
      </c>
      <c r="O117" s="37">
        <f>IF(N117="Yes",BoonRef!$AJ$56,0)</f>
        <v>0</v>
      </c>
      <c r="P117" s="37" t="s">
        <v>494</v>
      </c>
      <c r="Q117" s="37">
        <f>VLOOKUP(P117,BoonRef!$AI$43:$AJ$55,2,FALSE)</f>
        <v>0</v>
      </c>
      <c r="R117" s="470" t="s">
        <v>347</v>
      </c>
      <c r="S117" s="470">
        <f>IF(R117="Yes",BoonRef!$AJ$57,0)</f>
        <v>0</v>
      </c>
      <c r="T117" s="470" t="s">
        <v>346</v>
      </c>
      <c r="U117" s="37">
        <f>IF(T117="Yes",VLOOKUP(H117,BoonRef!$AC$2:$AE$12,3,FALSE),0)</f>
        <v>0</v>
      </c>
      <c r="V117" s="470" t="s">
        <v>347</v>
      </c>
      <c r="W117" s="470">
        <f>IF(V117="Yes",BoonRef!$AJ$57,0)</f>
        <v>0</v>
      </c>
      <c r="X117" s="470" t="s">
        <v>346</v>
      </c>
      <c r="Y117" s="111">
        <f>IF(OR(K117="V",J117="None"),0,VLOOKUP(J117,'Purchased Boons'!$AR$4:$AS$27,2,FALSE))</f>
        <v>0</v>
      </c>
    </row>
    <row r="118" spans="1:25" x14ac:dyDescent="0.25">
      <c r="A118" s="519" t="s">
        <v>435</v>
      </c>
      <c r="B118" s="519" t="s">
        <v>16</v>
      </c>
      <c r="C118" s="519" t="s">
        <v>430</v>
      </c>
      <c r="D118" s="519" t="str">
        <f t="shared" si="3"/>
        <v>None</v>
      </c>
      <c r="E118" s="519" t="s">
        <v>1050</v>
      </c>
      <c r="F118" s="519" t="s">
        <v>1045</v>
      </c>
      <c r="G118" s="520">
        <v>60</v>
      </c>
      <c r="H118" s="475" t="s">
        <v>494</v>
      </c>
      <c r="I118" s="37">
        <f>VLOOKUP(H118,BoonRef!$AC$2:$AD$12,2,FALSE)</f>
        <v>0</v>
      </c>
      <c r="J118" s="470" t="s">
        <v>494</v>
      </c>
      <c r="K118" s="37">
        <f>VLOOKUP(J118,BoonRef!$AF$2:$AH$27,2,FALSE)</f>
        <v>0</v>
      </c>
      <c r="L118" s="37" t="s">
        <v>494</v>
      </c>
      <c r="M118" s="37">
        <f>VLOOKUP(L118,BoonRef!$AI$2:$AJ$42,2,FALSE)</f>
        <v>0</v>
      </c>
      <c r="N118" s="37" t="s">
        <v>347</v>
      </c>
      <c r="O118" s="37">
        <f>IF(N118="Yes",BoonRef!$AJ$56,0)</f>
        <v>0</v>
      </c>
      <c r="P118" s="37" t="s">
        <v>494</v>
      </c>
      <c r="Q118" s="37">
        <f>VLOOKUP(P118,BoonRef!$AI$43:$AJ$55,2,FALSE)</f>
        <v>0</v>
      </c>
      <c r="R118" s="470" t="s">
        <v>347</v>
      </c>
      <c r="S118" s="470">
        <f>IF(R118="Yes",BoonRef!$AJ$57,0)</f>
        <v>0</v>
      </c>
      <c r="T118" s="470" t="s">
        <v>346</v>
      </c>
      <c r="U118" s="37">
        <f>IF(T118="Yes",VLOOKUP(H118,BoonRef!$AC$2:$AE$12,3,FALSE),0)</f>
        <v>0</v>
      </c>
      <c r="V118" s="470" t="s">
        <v>347</v>
      </c>
      <c r="W118" s="470">
        <f>IF(V118="Yes",BoonRef!$AJ$57,0)</f>
        <v>0</v>
      </c>
      <c r="X118" s="470" t="s">
        <v>346</v>
      </c>
      <c r="Y118" s="111">
        <f>IF(OR(K118="V",J118="None"),0,VLOOKUP(J118,'Purchased Boons'!$AR$4:$AS$27,2,FALSE))</f>
        <v>0</v>
      </c>
    </row>
    <row r="119" spans="1:25" x14ac:dyDescent="0.25">
      <c r="A119" s="519" t="s">
        <v>984</v>
      </c>
      <c r="B119" s="519" t="s">
        <v>19</v>
      </c>
      <c r="C119" s="519" t="s">
        <v>494</v>
      </c>
      <c r="D119" s="519" t="str">
        <f t="shared" si="3"/>
        <v>1 + 0</v>
      </c>
      <c r="E119" s="519" t="s">
        <v>1764</v>
      </c>
      <c r="F119" s="519" t="s">
        <v>133</v>
      </c>
      <c r="G119" s="520">
        <v>134</v>
      </c>
      <c r="H119" s="475" t="s">
        <v>19</v>
      </c>
      <c r="I119" s="37">
        <f>VLOOKUP(H119,BoonRef!$AC$2:$AD$12,2,FALSE)</f>
        <v>1</v>
      </c>
      <c r="J119" s="470" t="s">
        <v>53</v>
      </c>
      <c r="K119" s="37">
        <f>VLOOKUP(J119,BoonRef!$AF$2:$AH$27,2,FALSE)</f>
        <v>0</v>
      </c>
      <c r="L119" s="37" t="s">
        <v>494</v>
      </c>
      <c r="M119" s="37">
        <f>VLOOKUP(L119,BoonRef!$AI$2:$AJ$42,2,FALSE)</f>
        <v>0</v>
      </c>
      <c r="N119" s="37" t="s">
        <v>347</v>
      </c>
      <c r="O119" s="37">
        <f>IF(N119="Yes",BoonRef!$AJ$56,0)</f>
        <v>0</v>
      </c>
      <c r="P119" s="37" t="s">
        <v>494</v>
      </c>
      <c r="Q119" s="37">
        <f>VLOOKUP(P119,BoonRef!$AI$43:$AJ$55,2,FALSE)</f>
        <v>0</v>
      </c>
      <c r="R119" s="470" t="s">
        <v>347</v>
      </c>
      <c r="S119" s="470">
        <f>IF(R119="Yes",BoonRef!$AJ$57,0)</f>
        <v>0</v>
      </c>
      <c r="T119" s="470" t="s">
        <v>346</v>
      </c>
      <c r="U119" s="37">
        <f>IF(T119="Yes",VLOOKUP(H119,BoonRef!$AC$2:$AE$12,3,FALSE),0)</f>
        <v>0</v>
      </c>
      <c r="V119" s="470" t="s">
        <v>347</v>
      </c>
      <c r="W119" s="470">
        <f>IF(V119="Yes",BoonRef!$AJ$57,0)</f>
        <v>0</v>
      </c>
      <c r="X119" s="470" t="s">
        <v>346</v>
      </c>
      <c r="Y119" s="111">
        <f>IF(OR(K119="V",J119="None"),0,VLOOKUP(J119,'Purchased Boons'!$AR$4:$AS$27,2,FALSE))</f>
        <v>0</v>
      </c>
    </row>
    <row r="120" spans="1:25" x14ac:dyDescent="0.25">
      <c r="A120" s="519" t="s">
        <v>1031</v>
      </c>
      <c r="B120" s="519" t="s">
        <v>21</v>
      </c>
      <c r="C120" s="519" t="s">
        <v>494</v>
      </c>
      <c r="D120" s="519" t="str">
        <f t="shared" si="3"/>
        <v>None</v>
      </c>
      <c r="E120" s="519" t="s">
        <v>1764</v>
      </c>
      <c r="F120" s="519" t="s">
        <v>5</v>
      </c>
      <c r="G120" s="520">
        <v>76</v>
      </c>
      <c r="H120" s="475" t="s">
        <v>494</v>
      </c>
      <c r="I120" s="37">
        <f>VLOOKUP(H120,BoonRef!$AC$2:$AD$12,2,FALSE)</f>
        <v>0</v>
      </c>
      <c r="J120" s="470" t="s">
        <v>494</v>
      </c>
      <c r="K120" s="37">
        <f>VLOOKUP(J120,BoonRef!$AF$2:$AH$27,2,FALSE)</f>
        <v>0</v>
      </c>
      <c r="L120" s="37" t="s">
        <v>494</v>
      </c>
      <c r="M120" s="37">
        <f>VLOOKUP(L120,BoonRef!$AI$2:$AJ$42,2,FALSE)</f>
        <v>0</v>
      </c>
      <c r="N120" s="37" t="s">
        <v>347</v>
      </c>
      <c r="O120" s="37">
        <f>IF(N120="Yes",BoonRef!$AJ$56,0)</f>
        <v>0</v>
      </c>
      <c r="P120" s="37" t="s">
        <v>494</v>
      </c>
      <c r="Q120" s="37">
        <f>VLOOKUP(P120,BoonRef!$AI$43:$AJ$55,2,FALSE)</f>
        <v>0</v>
      </c>
      <c r="R120" s="470" t="s">
        <v>347</v>
      </c>
      <c r="S120" s="470">
        <f>IF(R120="Yes",BoonRef!$AJ$57,0)</f>
        <v>0</v>
      </c>
      <c r="T120" s="470" t="s">
        <v>346</v>
      </c>
      <c r="U120" s="37">
        <f>IF(T120="Yes",VLOOKUP(H120,BoonRef!$AC$2:$AE$12,3,FALSE),0)</f>
        <v>0</v>
      </c>
      <c r="V120" s="470" t="s">
        <v>347</v>
      </c>
      <c r="W120" s="470">
        <f>IF(V120="Yes",BoonRef!$AJ$57,0)</f>
        <v>0</v>
      </c>
      <c r="X120" s="470" t="s">
        <v>346</v>
      </c>
      <c r="Y120" s="111">
        <f>IF(OR(K120="V",J120="None"),0,VLOOKUP(J120,'Purchased Boons'!$AR$4:$AS$27,2,FALSE))</f>
        <v>0</v>
      </c>
    </row>
    <row r="121" spans="1:25" x14ac:dyDescent="0.25">
      <c r="A121" s="519" t="s">
        <v>1022</v>
      </c>
      <c r="B121" s="519" t="s">
        <v>21</v>
      </c>
      <c r="C121" s="519" t="s">
        <v>494</v>
      </c>
      <c r="D121" s="519" t="str">
        <f t="shared" si="3"/>
        <v>None</v>
      </c>
      <c r="E121" s="519" t="s">
        <v>1764</v>
      </c>
      <c r="F121" s="519" t="s">
        <v>133</v>
      </c>
      <c r="G121" s="520">
        <v>136</v>
      </c>
      <c r="H121" s="475" t="s">
        <v>494</v>
      </c>
      <c r="I121" s="37">
        <f>VLOOKUP(H121,BoonRef!$AC$2:$AD$12,2,FALSE)</f>
        <v>0</v>
      </c>
      <c r="J121" s="470" t="s">
        <v>494</v>
      </c>
      <c r="K121" s="37">
        <f>VLOOKUP(J121,BoonRef!$AF$2:$AH$27,2,FALSE)</f>
        <v>0</v>
      </c>
      <c r="L121" s="37" t="s">
        <v>494</v>
      </c>
      <c r="M121" s="37">
        <f>VLOOKUP(L121,BoonRef!$AI$2:$AJ$42,2,FALSE)</f>
        <v>0</v>
      </c>
      <c r="N121" s="37" t="s">
        <v>347</v>
      </c>
      <c r="O121" s="37">
        <f>IF(N121="Yes",BoonRef!$AJ$56,0)</f>
        <v>0</v>
      </c>
      <c r="P121" s="37" t="s">
        <v>494</v>
      </c>
      <c r="Q121" s="37">
        <f>VLOOKUP(P121,BoonRef!$AI$43:$AJ$55,2,FALSE)</f>
        <v>0</v>
      </c>
      <c r="R121" s="470" t="s">
        <v>347</v>
      </c>
      <c r="S121" s="470">
        <f>IF(R121="Yes",BoonRef!$AJ$57,0)</f>
        <v>0</v>
      </c>
      <c r="T121" s="470" t="s">
        <v>346</v>
      </c>
      <c r="U121" s="37">
        <f>IF(T121="Yes",VLOOKUP(H121,BoonRef!$AC$2:$AE$12,3,FALSE),0)</f>
        <v>0</v>
      </c>
      <c r="V121" s="470" t="s">
        <v>347</v>
      </c>
      <c r="W121" s="470">
        <f>IF(V121="Yes",BoonRef!$AJ$57,0)</f>
        <v>0</v>
      </c>
      <c r="X121" s="470" t="s">
        <v>346</v>
      </c>
      <c r="Y121" s="111">
        <f>IF(OR(K121="V",J121="None"),0,VLOOKUP(J121,'Purchased Boons'!$AR$4:$AS$27,2,FALSE))</f>
        <v>0</v>
      </c>
    </row>
    <row r="122" spans="1:25" x14ac:dyDescent="0.25">
      <c r="A122" s="519" t="s">
        <v>412</v>
      </c>
      <c r="B122" s="519" t="s">
        <v>14</v>
      </c>
      <c r="C122" s="519" t="s">
        <v>494</v>
      </c>
      <c r="D122" s="519" t="str">
        <f t="shared" si="3"/>
        <v>None</v>
      </c>
      <c r="E122" s="519" t="s">
        <v>1055</v>
      </c>
      <c r="F122" s="519" t="s">
        <v>1046</v>
      </c>
      <c r="G122" s="520">
        <v>53</v>
      </c>
      <c r="H122" s="475" t="s">
        <v>494</v>
      </c>
      <c r="I122" s="37">
        <f>VLOOKUP(H122,BoonRef!$AC$2:$AD$12,2,FALSE)</f>
        <v>0</v>
      </c>
      <c r="J122" s="470" t="s">
        <v>494</v>
      </c>
      <c r="K122" s="37">
        <f>VLOOKUP(J122,BoonRef!$AF$2:$AH$27,2,FALSE)</f>
        <v>0</v>
      </c>
      <c r="L122" s="37" t="s">
        <v>494</v>
      </c>
      <c r="M122" s="37">
        <f>VLOOKUP(L122,BoonRef!$AI$2:$AJ$42,2,FALSE)</f>
        <v>0</v>
      </c>
      <c r="N122" s="37" t="s">
        <v>347</v>
      </c>
      <c r="O122" s="37">
        <f>IF(N122="Yes",BoonRef!$AJ$56,0)</f>
        <v>0</v>
      </c>
      <c r="P122" s="37" t="s">
        <v>494</v>
      </c>
      <c r="Q122" s="37">
        <f>VLOOKUP(P122,BoonRef!$AI$43:$AJ$55,2,FALSE)</f>
        <v>0</v>
      </c>
      <c r="R122" s="470" t="s">
        <v>347</v>
      </c>
      <c r="S122" s="470">
        <f>IF(R122="Yes",BoonRef!$AJ$57,0)</f>
        <v>0</v>
      </c>
      <c r="T122" s="470" t="s">
        <v>346</v>
      </c>
      <c r="U122" s="37">
        <f>IF(T122="Yes",VLOOKUP(H122,BoonRef!$AC$2:$AE$12,3,FALSE),0)</f>
        <v>0</v>
      </c>
      <c r="V122" s="470" t="s">
        <v>347</v>
      </c>
      <c r="W122" s="470">
        <f>IF(V122="Yes",BoonRef!$AJ$57,0)</f>
        <v>0</v>
      </c>
      <c r="X122" s="470" t="s">
        <v>346</v>
      </c>
      <c r="Y122" s="111">
        <f>IF(OR(K122="V",J122="None"),0,VLOOKUP(J122,'Purchased Boons'!$AR$4:$AS$27,2,FALSE))</f>
        <v>0</v>
      </c>
    </row>
    <row r="123" spans="1:25" x14ac:dyDescent="0.25">
      <c r="A123" s="519" t="s">
        <v>1039</v>
      </c>
      <c r="B123" s="519" t="s">
        <v>14</v>
      </c>
      <c r="C123" s="519" t="s">
        <v>494</v>
      </c>
      <c r="D123" s="519" t="str">
        <f t="shared" si="3"/>
        <v>None</v>
      </c>
      <c r="E123" s="519" t="s">
        <v>494</v>
      </c>
      <c r="F123" s="519" t="s">
        <v>350</v>
      </c>
      <c r="G123" s="520">
        <v>32</v>
      </c>
      <c r="H123" s="475" t="s">
        <v>494</v>
      </c>
      <c r="I123" s="37">
        <f>VLOOKUP(H123,BoonRef!$AC$2:$AD$12,2,FALSE)</f>
        <v>0</v>
      </c>
      <c r="J123" s="470" t="s">
        <v>494</v>
      </c>
      <c r="K123" s="37">
        <f>VLOOKUP(J123,BoonRef!$AF$2:$AH$27,2,FALSE)</f>
        <v>0</v>
      </c>
      <c r="L123" s="37" t="s">
        <v>494</v>
      </c>
      <c r="M123" s="37">
        <f>VLOOKUP(L123,BoonRef!$AI$2:$AJ$42,2,FALSE)</f>
        <v>0</v>
      </c>
      <c r="N123" s="37" t="s">
        <v>347</v>
      </c>
      <c r="O123" s="37">
        <f>IF(N123="Yes",BoonRef!$AJ$56,0)</f>
        <v>0</v>
      </c>
      <c r="P123" s="37" t="s">
        <v>494</v>
      </c>
      <c r="Q123" s="37">
        <f>VLOOKUP(P123,BoonRef!$AI$43:$AJ$55,2,FALSE)</f>
        <v>0</v>
      </c>
      <c r="R123" s="470" t="s">
        <v>347</v>
      </c>
      <c r="S123" s="470">
        <f>IF(R123="Yes",BoonRef!$AJ$57,0)</f>
        <v>0</v>
      </c>
      <c r="T123" s="470" t="s">
        <v>346</v>
      </c>
      <c r="U123" s="37">
        <f>IF(T123="Yes",VLOOKUP(H123,BoonRef!$AC$2:$AE$12,3,FALSE),0)</f>
        <v>0</v>
      </c>
      <c r="V123" s="470" t="s">
        <v>347</v>
      </c>
      <c r="W123" s="470">
        <f>IF(V123="Yes",BoonRef!$AJ$57,0)</f>
        <v>0</v>
      </c>
      <c r="X123" s="470" t="s">
        <v>346</v>
      </c>
      <c r="Y123" s="111">
        <f>IF(OR(K123="V",J123="None"),0,VLOOKUP(J123,'Purchased Boons'!$AR$4:$AS$27,2,FALSE))</f>
        <v>0</v>
      </c>
    </row>
    <row r="124" spans="1:25" x14ac:dyDescent="0.25">
      <c r="A124" s="519" t="s">
        <v>996</v>
      </c>
      <c r="B124" s="519" t="s">
        <v>19</v>
      </c>
      <c r="C124" s="519" t="s">
        <v>988</v>
      </c>
      <c r="D124" s="519" t="str">
        <f t="shared" si="3"/>
        <v>None</v>
      </c>
      <c r="E124" s="519" t="s">
        <v>1056</v>
      </c>
      <c r="F124" s="519" t="s">
        <v>5</v>
      </c>
      <c r="G124" s="520">
        <v>74</v>
      </c>
      <c r="H124" s="475" t="s">
        <v>494</v>
      </c>
      <c r="I124" s="37">
        <f>VLOOKUP(H124,BoonRef!$AC$2:$AD$12,2,FALSE)</f>
        <v>0</v>
      </c>
      <c r="J124" s="470" t="s">
        <v>494</v>
      </c>
      <c r="K124" s="37">
        <f>VLOOKUP(J124,BoonRef!$AF$2:$AH$27,2,FALSE)</f>
        <v>0</v>
      </c>
      <c r="L124" s="37" t="s">
        <v>494</v>
      </c>
      <c r="M124" s="37">
        <f>VLOOKUP(L124,BoonRef!$AI$2:$AJ$42,2,FALSE)</f>
        <v>0</v>
      </c>
      <c r="N124" s="37" t="s">
        <v>347</v>
      </c>
      <c r="O124" s="37">
        <f>IF(N124="Yes",BoonRef!$AJ$56,0)</f>
        <v>0</v>
      </c>
      <c r="P124" s="37" t="s">
        <v>494</v>
      </c>
      <c r="Q124" s="37">
        <f>VLOOKUP(P124,BoonRef!$AI$43:$AJ$55,2,FALSE)</f>
        <v>0</v>
      </c>
      <c r="R124" s="470" t="s">
        <v>347</v>
      </c>
      <c r="S124" s="470">
        <f>IF(R124="Yes",BoonRef!$AJ$57,0)</f>
        <v>0</v>
      </c>
      <c r="T124" s="470" t="s">
        <v>346</v>
      </c>
      <c r="U124" s="37">
        <f>IF(T124="Yes",VLOOKUP(H124,BoonRef!$AC$2:$AE$12,3,FALSE),0)</f>
        <v>0</v>
      </c>
      <c r="V124" s="470" t="s">
        <v>347</v>
      </c>
      <c r="W124" s="470">
        <f>IF(V124="Yes",BoonRef!$AJ$57,0)</f>
        <v>0</v>
      </c>
      <c r="X124" s="470" t="s">
        <v>346</v>
      </c>
      <c r="Y124" s="111">
        <f>IF(OR(K124="V",J124="None"),0,VLOOKUP(J124,'Purchased Boons'!$AR$4:$AS$27,2,FALSE))</f>
        <v>0</v>
      </c>
    </row>
    <row r="125" spans="1:25" x14ac:dyDescent="0.25">
      <c r="A125" s="519" t="s">
        <v>999</v>
      </c>
      <c r="B125" s="519" t="s">
        <v>19</v>
      </c>
      <c r="C125" s="519" t="s">
        <v>494</v>
      </c>
      <c r="D125" s="519" t="str">
        <f t="shared" ref="D125:D156" si="4">IF(AND(H125="None",J125="None",L125="None",N125="No",P125="None",R125="No"),"None",IF(OR(H125="Varies",J125="Varies",L125="Varies",P125="Varies"),"Varies",CONCATENATE(I125+S125+K125+M125+O125+Q125+Y125," + ",W125+U125)))</f>
        <v>None</v>
      </c>
      <c r="E125" s="519" t="s">
        <v>1050</v>
      </c>
      <c r="F125" s="519" t="s">
        <v>1046</v>
      </c>
      <c r="G125" s="520">
        <v>56</v>
      </c>
      <c r="H125" s="475" t="s">
        <v>494</v>
      </c>
      <c r="I125" s="37">
        <f>VLOOKUP(H125,BoonRef!$AC$2:$AD$12,2,FALSE)</f>
        <v>0</v>
      </c>
      <c r="J125" s="470" t="s">
        <v>494</v>
      </c>
      <c r="K125" s="37">
        <f>VLOOKUP(J125,BoonRef!$AF$2:$AH$27,2,FALSE)</f>
        <v>0</v>
      </c>
      <c r="L125" s="37" t="s">
        <v>494</v>
      </c>
      <c r="M125" s="37">
        <f>VLOOKUP(L125,BoonRef!$AI$2:$AJ$42,2,FALSE)</f>
        <v>0</v>
      </c>
      <c r="N125" s="37" t="s">
        <v>347</v>
      </c>
      <c r="O125" s="37">
        <f>IF(N125="Yes",BoonRef!$AJ$56,0)</f>
        <v>0</v>
      </c>
      <c r="P125" s="37" t="s">
        <v>494</v>
      </c>
      <c r="Q125" s="37">
        <f>VLOOKUP(P125,BoonRef!$AI$43:$AJ$55,2,FALSE)</f>
        <v>0</v>
      </c>
      <c r="R125" s="470" t="s">
        <v>347</v>
      </c>
      <c r="S125" s="470">
        <f>IF(R125="Yes",BoonRef!$AJ$57,0)</f>
        <v>0</v>
      </c>
      <c r="T125" s="470" t="s">
        <v>346</v>
      </c>
      <c r="U125" s="37">
        <f>IF(T125="Yes",VLOOKUP(H125,BoonRef!$AC$2:$AE$12,3,FALSE),0)</f>
        <v>0</v>
      </c>
      <c r="V125" s="470" t="s">
        <v>347</v>
      </c>
      <c r="W125" s="470">
        <f>IF(V125="Yes",BoonRef!$AJ$57,0)</f>
        <v>0</v>
      </c>
      <c r="X125" s="470" t="s">
        <v>346</v>
      </c>
      <c r="Y125" s="111">
        <f>IF(OR(K125="V",J125="None"),0,VLOOKUP(J125,'Purchased Boons'!$AR$4:$AS$27,2,FALSE))</f>
        <v>0</v>
      </c>
    </row>
    <row r="126" spans="1:25" x14ac:dyDescent="0.25">
      <c r="A126" s="519" t="s">
        <v>985</v>
      </c>
      <c r="B126" s="519" t="s">
        <v>19</v>
      </c>
      <c r="C126" s="519" t="s">
        <v>494</v>
      </c>
      <c r="D126" s="519" t="str">
        <f t="shared" si="4"/>
        <v>None</v>
      </c>
      <c r="E126" s="519" t="s">
        <v>1764</v>
      </c>
      <c r="F126" s="519" t="s">
        <v>133</v>
      </c>
      <c r="G126" s="520">
        <v>134</v>
      </c>
      <c r="H126" s="475" t="s">
        <v>494</v>
      </c>
      <c r="I126" s="37">
        <f>VLOOKUP(H126,BoonRef!$AC$2:$AD$12,2,FALSE)</f>
        <v>0</v>
      </c>
      <c r="J126" s="470" t="s">
        <v>494</v>
      </c>
      <c r="K126" s="37">
        <f>VLOOKUP(J126,BoonRef!$AF$2:$AH$27,2,FALSE)</f>
        <v>0</v>
      </c>
      <c r="L126" s="37" t="s">
        <v>494</v>
      </c>
      <c r="M126" s="37">
        <f>VLOOKUP(L126,BoonRef!$AI$2:$AJ$42,2,FALSE)</f>
        <v>0</v>
      </c>
      <c r="N126" s="37" t="s">
        <v>347</v>
      </c>
      <c r="O126" s="37">
        <f>IF(N126="Yes",BoonRef!$AJ$56,0)</f>
        <v>0</v>
      </c>
      <c r="P126" s="37" t="s">
        <v>494</v>
      </c>
      <c r="Q126" s="37">
        <f>VLOOKUP(P126,BoonRef!$AI$43:$AJ$55,2,FALSE)</f>
        <v>0</v>
      </c>
      <c r="R126" s="470" t="s">
        <v>347</v>
      </c>
      <c r="S126" s="470">
        <f>IF(R126="Yes",BoonRef!$AJ$57,0)</f>
        <v>0</v>
      </c>
      <c r="T126" s="470" t="s">
        <v>346</v>
      </c>
      <c r="U126" s="37">
        <f>IF(T126="Yes",VLOOKUP(H126,BoonRef!$AC$2:$AE$12,3,FALSE),0)</f>
        <v>0</v>
      </c>
      <c r="V126" s="470" t="s">
        <v>347</v>
      </c>
      <c r="W126" s="470">
        <f>IF(V126="Yes",BoonRef!$AJ$57,0)</f>
        <v>0</v>
      </c>
      <c r="X126" s="470" t="s">
        <v>346</v>
      </c>
      <c r="Y126" s="111">
        <f>IF(OR(K126="V",J126="None"),0,VLOOKUP(J126,'Purchased Boons'!$AR$4:$AS$27,2,FALSE))</f>
        <v>0</v>
      </c>
    </row>
    <row r="127" spans="1:25" x14ac:dyDescent="0.25">
      <c r="A127" s="519" t="s">
        <v>413</v>
      </c>
      <c r="B127" s="519" t="s">
        <v>14</v>
      </c>
      <c r="C127" s="519" t="s">
        <v>414</v>
      </c>
      <c r="D127" s="519" t="str">
        <f t="shared" si="4"/>
        <v>None</v>
      </c>
      <c r="E127" s="519" t="s">
        <v>1050</v>
      </c>
      <c r="F127" s="519" t="s">
        <v>1045</v>
      </c>
      <c r="G127" s="520">
        <v>58</v>
      </c>
      <c r="H127" s="475" t="s">
        <v>494</v>
      </c>
      <c r="I127" s="37">
        <f>VLOOKUP(H127,BoonRef!$AC$2:$AD$12,2,FALSE)</f>
        <v>0</v>
      </c>
      <c r="J127" s="470" t="s">
        <v>494</v>
      </c>
      <c r="K127" s="37">
        <f>VLOOKUP(J127,BoonRef!$AF$2:$AH$27,2,FALSE)</f>
        <v>0</v>
      </c>
      <c r="L127" s="37" t="s">
        <v>494</v>
      </c>
      <c r="M127" s="37">
        <f>VLOOKUP(L127,BoonRef!$AI$2:$AJ$42,2,FALSE)</f>
        <v>0</v>
      </c>
      <c r="N127" s="37" t="s">
        <v>347</v>
      </c>
      <c r="O127" s="37">
        <f>IF(N127="Yes",BoonRef!$AJ$56,0)</f>
        <v>0</v>
      </c>
      <c r="P127" s="37" t="s">
        <v>494</v>
      </c>
      <c r="Q127" s="37">
        <f>VLOOKUP(P127,BoonRef!$AI$43:$AJ$55,2,FALSE)</f>
        <v>0</v>
      </c>
      <c r="R127" s="470" t="s">
        <v>347</v>
      </c>
      <c r="S127" s="470">
        <f>IF(R127="Yes",BoonRef!$AJ$57,0)</f>
        <v>0</v>
      </c>
      <c r="T127" s="470" t="s">
        <v>346</v>
      </c>
      <c r="U127" s="37">
        <f>IF(T127="Yes",VLOOKUP(H127,BoonRef!$AC$2:$AE$12,3,FALSE),0)</f>
        <v>0</v>
      </c>
      <c r="V127" s="470" t="s">
        <v>347</v>
      </c>
      <c r="W127" s="470">
        <f>IF(V127="Yes",BoonRef!$AJ$57,0)</f>
        <v>0</v>
      </c>
      <c r="X127" s="470" t="s">
        <v>346</v>
      </c>
      <c r="Y127" s="111">
        <f>IF(OR(K127="V",J127="None"),0,VLOOKUP(J127,'Purchased Boons'!$AR$4:$AS$27,2,FALSE))</f>
        <v>0</v>
      </c>
    </row>
    <row r="128" spans="1:25" x14ac:dyDescent="0.25">
      <c r="A128" s="519" t="s">
        <v>964</v>
      </c>
      <c r="B128" s="519" t="s">
        <v>17</v>
      </c>
      <c r="C128" s="519" t="s">
        <v>949</v>
      </c>
      <c r="D128" s="519" t="str">
        <f t="shared" si="4"/>
        <v>None</v>
      </c>
      <c r="E128" s="519" t="s">
        <v>1050</v>
      </c>
      <c r="F128" s="519" t="s">
        <v>1046</v>
      </c>
      <c r="G128" s="520">
        <v>55</v>
      </c>
      <c r="H128" s="475" t="s">
        <v>494</v>
      </c>
      <c r="I128" s="37">
        <f>VLOOKUP(H128,BoonRef!$AC$2:$AD$12,2,FALSE)</f>
        <v>0</v>
      </c>
      <c r="J128" s="470" t="s">
        <v>494</v>
      </c>
      <c r="K128" s="37">
        <f>VLOOKUP(J128,BoonRef!$AF$2:$AH$27,2,FALSE)</f>
        <v>0</v>
      </c>
      <c r="L128" s="37" t="s">
        <v>494</v>
      </c>
      <c r="M128" s="37">
        <f>VLOOKUP(L128,BoonRef!$AI$2:$AJ$42,2,FALSE)</f>
        <v>0</v>
      </c>
      <c r="N128" s="37" t="s">
        <v>347</v>
      </c>
      <c r="O128" s="37">
        <f>IF(N128="Yes",BoonRef!$AJ$56,0)</f>
        <v>0</v>
      </c>
      <c r="P128" s="37" t="s">
        <v>494</v>
      </c>
      <c r="Q128" s="37">
        <f>VLOOKUP(P128,BoonRef!$AI$43:$AJ$55,2,FALSE)</f>
        <v>0</v>
      </c>
      <c r="R128" s="470" t="s">
        <v>347</v>
      </c>
      <c r="S128" s="470">
        <f>IF(R128="Yes",BoonRef!$AJ$57,0)</f>
        <v>0</v>
      </c>
      <c r="T128" s="470" t="s">
        <v>346</v>
      </c>
      <c r="U128" s="37">
        <f>IF(T128="Yes",VLOOKUP(H128,BoonRef!$AC$2:$AE$12,3,FALSE),0)</f>
        <v>0</v>
      </c>
      <c r="V128" s="470" t="s">
        <v>347</v>
      </c>
      <c r="W128" s="470">
        <f>IF(V128="Yes",BoonRef!$AJ$57,0)</f>
        <v>0</v>
      </c>
      <c r="X128" s="470" t="s">
        <v>346</v>
      </c>
      <c r="Y128" s="111">
        <f>IF(OR(K128="V",J128="None"),0,VLOOKUP(J128,'Purchased Boons'!$AR$4:$AS$27,2,FALSE))</f>
        <v>0</v>
      </c>
    </row>
    <row r="129" spans="1:25" x14ac:dyDescent="0.25">
      <c r="A129" s="37" t="s">
        <v>395</v>
      </c>
      <c r="B129" s="519" t="s">
        <v>13</v>
      </c>
      <c r="C129" s="519" t="s">
        <v>494</v>
      </c>
      <c r="D129" s="519" t="str">
        <f t="shared" si="4"/>
        <v>None</v>
      </c>
      <c r="E129" s="519" t="s">
        <v>1050</v>
      </c>
      <c r="F129" s="519" t="s">
        <v>1045</v>
      </c>
      <c r="G129" s="520">
        <v>56</v>
      </c>
      <c r="H129" s="475" t="s">
        <v>494</v>
      </c>
      <c r="I129" s="37">
        <f>VLOOKUP(H129,BoonRef!$AC$2:$AD$12,2,FALSE)</f>
        <v>0</v>
      </c>
      <c r="J129" s="470" t="s">
        <v>494</v>
      </c>
      <c r="K129" s="37">
        <f>VLOOKUP(J129,BoonRef!$AF$2:$AH$27,2,FALSE)</f>
        <v>0</v>
      </c>
      <c r="L129" s="37" t="s">
        <v>494</v>
      </c>
      <c r="M129" s="37">
        <f>VLOOKUP(L129,BoonRef!$AI$2:$AJ$42,2,FALSE)</f>
        <v>0</v>
      </c>
      <c r="N129" s="37" t="s">
        <v>347</v>
      </c>
      <c r="O129" s="37">
        <f>IF(N129="Yes",BoonRef!$AJ$56,0)</f>
        <v>0</v>
      </c>
      <c r="P129" s="37" t="s">
        <v>494</v>
      </c>
      <c r="Q129" s="37">
        <f>VLOOKUP(P129,BoonRef!$AI$43:$AJ$55,2,FALSE)</f>
        <v>0</v>
      </c>
      <c r="R129" s="470" t="s">
        <v>347</v>
      </c>
      <c r="S129" s="470">
        <f>IF(R129="Yes",BoonRef!$AJ$57,0)</f>
        <v>0</v>
      </c>
      <c r="T129" s="470" t="s">
        <v>346</v>
      </c>
      <c r="U129" s="37">
        <f>IF(T129="Yes",VLOOKUP(H129,BoonRef!$AC$2:$AE$12,3,FALSE),0)</f>
        <v>0</v>
      </c>
      <c r="V129" s="470" t="s">
        <v>347</v>
      </c>
      <c r="W129" s="470">
        <f>IF(V129="Yes",BoonRef!$AJ$57,0)</f>
        <v>0</v>
      </c>
      <c r="X129" s="470" t="s">
        <v>346</v>
      </c>
      <c r="Y129" s="111">
        <f>IF(OR(K129="V",J129="None"),0,VLOOKUP(J129,'Purchased Boons'!$AR$4:$AS$27,2,FALSE))</f>
        <v>0</v>
      </c>
    </row>
    <row r="130" spans="1:25" x14ac:dyDescent="0.25">
      <c r="A130" s="37" t="s">
        <v>396</v>
      </c>
      <c r="B130" s="519" t="s">
        <v>13</v>
      </c>
      <c r="C130" s="519" t="s">
        <v>494</v>
      </c>
      <c r="D130" s="519" t="str">
        <f t="shared" si="4"/>
        <v>None</v>
      </c>
      <c r="E130" s="519" t="s">
        <v>1050</v>
      </c>
      <c r="F130" s="519" t="s">
        <v>5</v>
      </c>
      <c r="G130" s="520">
        <v>64</v>
      </c>
      <c r="H130" s="475" t="s">
        <v>494</v>
      </c>
      <c r="I130" s="37">
        <f>VLOOKUP(H130,BoonRef!$AC$2:$AD$12,2,FALSE)</f>
        <v>0</v>
      </c>
      <c r="J130" s="470" t="s">
        <v>494</v>
      </c>
      <c r="K130" s="37">
        <f>VLOOKUP(J130,BoonRef!$AF$2:$AH$27,2,FALSE)</f>
        <v>0</v>
      </c>
      <c r="L130" s="37" t="s">
        <v>494</v>
      </c>
      <c r="M130" s="37">
        <f>VLOOKUP(L130,BoonRef!$AI$2:$AJ$42,2,FALSE)</f>
        <v>0</v>
      </c>
      <c r="N130" s="37" t="s">
        <v>347</v>
      </c>
      <c r="O130" s="37">
        <f>IF(N130="Yes",BoonRef!$AJ$56,0)</f>
        <v>0</v>
      </c>
      <c r="P130" s="37" t="s">
        <v>494</v>
      </c>
      <c r="Q130" s="37">
        <f>VLOOKUP(P130,BoonRef!$AI$43:$AJ$55,2,FALSE)</f>
        <v>0</v>
      </c>
      <c r="R130" s="470" t="s">
        <v>347</v>
      </c>
      <c r="S130" s="470">
        <f>IF(R130="Yes",BoonRef!$AJ$57,0)</f>
        <v>0</v>
      </c>
      <c r="T130" s="470" t="s">
        <v>346</v>
      </c>
      <c r="U130" s="37">
        <f>IF(T130="Yes",VLOOKUP(H130,BoonRef!$AC$2:$AE$12,3,FALSE),0)</f>
        <v>0</v>
      </c>
      <c r="V130" s="470" t="s">
        <v>347</v>
      </c>
      <c r="W130" s="470">
        <f>IF(V130="Yes",BoonRef!$AJ$57,0)</f>
        <v>0</v>
      </c>
      <c r="X130" s="470" t="s">
        <v>346</v>
      </c>
      <c r="Y130" s="111">
        <f>IF(OR(K130="V",J130="None"),0,VLOOKUP(J130,'Purchased Boons'!$AR$4:$AS$27,2,FALSE))</f>
        <v>0</v>
      </c>
    </row>
    <row r="131" spans="1:25" x14ac:dyDescent="0.25">
      <c r="A131" s="519" t="s">
        <v>956</v>
      </c>
      <c r="B131" s="519" t="s">
        <v>17</v>
      </c>
      <c r="C131" s="519" t="s">
        <v>494</v>
      </c>
      <c r="D131" s="519" t="str">
        <f t="shared" si="4"/>
        <v>1 + 0</v>
      </c>
      <c r="E131" s="519" t="s">
        <v>1050</v>
      </c>
      <c r="F131" s="519" t="s">
        <v>1045</v>
      </c>
      <c r="G131" s="520">
        <v>61</v>
      </c>
      <c r="H131" s="475" t="s">
        <v>17</v>
      </c>
      <c r="I131" s="37">
        <f>VLOOKUP(H131,BoonRef!$AC$2:$AD$12,2,FALSE)</f>
        <v>1</v>
      </c>
      <c r="J131" s="470" t="s">
        <v>50</v>
      </c>
      <c r="K131" s="37">
        <f>VLOOKUP(J131,BoonRef!$AF$2:$AH$27,2,FALSE)</f>
        <v>0</v>
      </c>
      <c r="L131" s="37" t="s">
        <v>494</v>
      </c>
      <c r="M131" s="37">
        <f>VLOOKUP(L131,BoonRef!$AI$2:$AJ$42,2,FALSE)</f>
        <v>0</v>
      </c>
      <c r="N131" s="37" t="s">
        <v>347</v>
      </c>
      <c r="O131" s="37">
        <f>IF(N131="Yes",BoonRef!$AJ$56,0)</f>
        <v>0</v>
      </c>
      <c r="P131" s="37" t="s">
        <v>494</v>
      </c>
      <c r="Q131" s="37">
        <f>VLOOKUP(P131,BoonRef!$AI$43:$AJ$55,2,FALSE)</f>
        <v>0</v>
      </c>
      <c r="R131" s="470" t="s">
        <v>347</v>
      </c>
      <c r="S131" s="470">
        <f>IF(R131="Yes",BoonRef!$AJ$57,0)</f>
        <v>0</v>
      </c>
      <c r="T131" s="470" t="s">
        <v>346</v>
      </c>
      <c r="U131" s="37">
        <f>IF(T131="Yes",VLOOKUP(H131,BoonRef!$AC$2:$AE$12,3,FALSE),0)</f>
        <v>0</v>
      </c>
      <c r="V131" s="470" t="s">
        <v>347</v>
      </c>
      <c r="W131" s="470">
        <f>IF(V131="Yes",BoonRef!$AJ$57,0)</f>
        <v>0</v>
      </c>
      <c r="X131" s="470" t="s">
        <v>346</v>
      </c>
      <c r="Y131" s="111">
        <f>IF(OR(K131="V",J131="None"),0,VLOOKUP(J131,'Purchased Boons'!$AR$4:$AS$27,2,FALSE))</f>
        <v>0</v>
      </c>
    </row>
    <row r="132" spans="1:25" x14ac:dyDescent="0.25">
      <c r="A132" s="519" t="s">
        <v>1032</v>
      </c>
      <c r="B132" s="519" t="s">
        <v>21</v>
      </c>
      <c r="C132" s="519" t="s">
        <v>1030</v>
      </c>
      <c r="D132" s="519" t="str">
        <f t="shared" si="4"/>
        <v>None</v>
      </c>
      <c r="E132" s="519" t="s">
        <v>1050</v>
      </c>
      <c r="F132" s="519" t="s">
        <v>5</v>
      </c>
      <c r="G132" s="520">
        <v>76</v>
      </c>
      <c r="H132" s="475" t="s">
        <v>494</v>
      </c>
      <c r="I132" s="37">
        <f>VLOOKUP(H132,BoonRef!$AC$2:$AD$12,2,FALSE)</f>
        <v>0</v>
      </c>
      <c r="J132" s="470" t="s">
        <v>494</v>
      </c>
      <c r="K132" s="37">
        <f>VLOOKUP(J132,BoonRef!$AF$2:$AH$27,2,FALSE)</f>
        <v>0</v>
      </c>
      <c r="L132" s="37" t="s">
        <v>494</v>
      </c>
      <c r="M132" s="37">
        <f>VLOOKUP(L132,BoonRef!$AI$2:$AJ$42,2,FALSE)</f>
        <v>0</v>
      </c>
      <c r="N132" s="37" t="s">
        <v>347</v>
      </c>
      <c r="O132" s="37">
        <f>IF(N132="Yes",BoonRef!$AJ$56,0)</f>
        <v>0</v>
      </c>
      <c r="P132" s="37" t="s">
        <v>494</v>
      </c>
      <c r="Q132" s="37">
        <f>VLOOKUP(P132,BoonRef!$AI$43:$AJ$55,2,FALSE)</f>
        <v>0</v>
      </c>
      <c r="R132" s="470" t="s">
        <v>347</v>
      </c>
      <c r="S132" s="470">
        <f>IF(R132="Yes",BoonRef!$AJ$57,0)</f>
        <v>0</v>
      </c>
      <c r="T132" s="470" t="s">
        <v>346</v>
      </c>
      <c r="U132" s="37">
        <f>IF(T132="Yes",VLOOKUP(H132,BoonRef!$AC$2:$AE$12,3,FALSE),0)</f>
        <v>0</v>
      </c>
      <c r="V132" s="470" t="s">
        <v>347</v>
      </c>
      <c r="W132" s="470">
        <f>IF(V132="Yes",BoonRef!$AJ$57,0)</f>
        <v>0</v>
      </c>
      <c r="X132" s="470" t="s">
        <v>346</v>
      </c>
      <c r="Y132" s="111">
        <f>IF(OR(K132="V",J132="None"),0,VLOOKUP(J132,'Purchased Boons'!$AR$4:$AS$27,2,FALSE))</f>
        <v>0</v>
      </c>
    </row>
    <row r="133" spans="1:25" x14ac:dyDescent="0.25">
      <c r="A133" s="519" t="s">
        <v>1000</v>
      </c>
      <c r="B133" s="519" t="s">
        <v>19</v>
      </c>
      <c r="C133" s="519" t="s">
        <v>494</v>
      </c>
      <c r="D133" s="519" t="str">
        <f t="shared" si="4"/>
        <v>None</v>
      </c>
      <c r="E133" s="519" t="s">
        <v>1050</v>
      </c>
      <c r="F133" s="519" t="s">
        <v>1046</v>
      </c>
      <c r="G133" s="520">
        <v>56</v>
      </c>
      <c r="H133" s="475" t="s">
        <v>494</v>
      </c>
      <c r="I133" s="37">
        <f>VLOOKUP(H133,BoonRef!$AC$2:$AD$12,2,FALSE)</f>
        <v>0</v>
      </c>
      <c r="J133" s="470" t="s">
        <v>494</v>
      </c>
      <c r="K133" s="37">
        <f>VLOOKUP(J133,BoonRef!$AF$2:$AH$27,2,FALSE)</f>
        <v>0</v>
      </c>
      <c r="L133" s="37" t="s">
        <v>494</v>
      </c>
      <c r="M133" s="37">
        <f>VLOOKUP(L133,BoonRef!$AI$2:$AJ$42,2,FALSE)</f>
        <v>0</v>
      </c>
      <c r="N133" s="37" t="s">
        <v>347</v>
      </c>
      <c r="O133" s="37">
        <f>IF(N133="Yes",BoonRef!$AJ$56,0)</f>
        <v>0</v>
      </c>
      <c r="P133" s="37" t="s">
        <v>494</v>
      </c>
      <c r="Q133" s="37">
        <f>VLOOKUP(P133,BoonRef!$AI$43:$AJ$55,2,FALSE)</f>
        <v>0</v>
      </c>
      <c r="R133" s="470" t="s">
        <v>347</v>
      </c>
      <c r="S133" s="470">
        <f>IF(R133="Yes",BoonRef!$AJ$57,0)</f>
        <v>0</v>
      </c>
      <c r="T133" s="470" t="s">
        <v>346</v>
      </c>
      <c r="U133" s="37">
        <f>IF(T133="Yes",VLOOKUP(H133,BoonRef!$AC$2:$AE$12,3,FALSE),0)</f>
        <v>0</v>
      </c>
      <c r="V133" s="470" t="s">
        <v>347</v>
      </c>
      <c r="W133" s="470">
        <f>IF(V133="Yes",BoonRef!$AJ$57,0)</f>
        <v>0</v>
      </c>
      <c r="X133" s="470" t="s">
        <v>346</v>
      </c>
      <c r="Y133" s="111">
        <f>IF(OR(K133="V",J133="None"),0,VLOOKUP(J133,'Purchased Boons'!$AR$4:$AS$27,2,FALSE))</f>
        <v>0</v>
      </c>
    </row>
    <row r="134" spans="1:25" x14ac:dyDescent="0.25">
      <c r="A134" s="519" t="s">
        <v>960</v>
      </c>
      <c r="B134" s="519" t="s">
        <v>17</v>
      </c>
      <c r="C134" s="519" t="s">
        <v>494</v>
      </c>
      <c r="D134" s="519" t="str">
        <f t="shared" si="4"/>
        <v>None</v>
      </c>
      <c r="E134" s="519" t="s">
        <v>1050</v>
      </c>
      <c r="F134" s="519" t="s">
        <v>5</v>
      </c>
      <c r="G134" s="520">
        <v>69</v>
      </c>
      <c r="H134" s="475" t="s">
        <v>494</v>
      </c>
      <c r="I134" s="37">
        <f>VLOOKUP(H134,BoonRef!$AC$2:$AD$12,2,FALSE)</f>
        <v>0</v>
      </c>
      <c r="J134" s="470" t="s">
        <v>494</v>
      </c>
      <c r="K134" s="37">
        <f>VLOOKUP(J134,BoonRef!$AF$2:$AH$27,2,FALSE)</f>
        <v>0</v>
      </c>
      <c r="L134" s="37" t="s">
        <v>494</v>
      </c>
      <c r="M134" s="37">
        <f>VLOOKUP(L134,BoonRef!$AI$2:$AJ$42,2,FALSE)</f>
        <v>0</v>
      </c>
      <c r="N134" s="37" t="s">
        <v>347</v>
      </c>
      <c r="O134" s="37">
        <f>IF(N134="Yes",BoonRef!$AJ$56,0)</f>
        <v>0</v>
      </c>
      <c r="P134" s="37" t="s">
        <v>494</v>
      </c>
      <c r="Q134" s="37">
        <f>VLOOKUP(P134,BoonRef!$AI$43:$AJ$55,2,FALSE)</f>
        <v>0</v>
      </c>
      <c r="R134" s="470" t="s">
        <v>347</v>
      </c>
      <c r="S134" s="470">
        <f>IF(R134="Yes",BoonRef!$AJ$57,0)</f>
        <v>0</v>
      </c>
      <c r="T134" s="470" t="s">
        <v>346</v>
      </c>
      <c r="U134" s="37">
        <f>IF(T134="Yes",VLOOKUP(H134,BoonRef!$AC$2:$AE$12,3,FALSE),0)</f>
        <v>0</v>
      </c>
      <c r="V134" s="470" t="s">
        <v>347</v>
      </c>
      <c r="W134" s="470">
        <f>IF(V134="Yes",BoonRef!$AJ$57,0)</f>
        <v>0</v>
      </c>
      <c r="X134" s="470" t="s">
        <v>346</v>
      </c>
      <c r="Y134" s="111">
        <f>IF(OR(K134="V",J134="None"),0,VLOOKUP(J134,'Purchased Boons'!$AR$4:$AS$27,2,FALSE))</f>
        <v>0</v>
      </c>
    </row>
    <row r="135" spans="1:25" x14ac:dyDescent="0.25">
      <c r="A135" s="519" t="s">
        <v>414</v>
      </c>
      <c r="B135" s="519" t="s">
        <v>14</v>
      </c>
      <c r="C135" s="519" t="s">
        <v>494</v>
      </c>
      <c r="D135" s="519" t="str">
        <f t="shared" si="4"/>
        <v>None</v>
      </c>
      <c r="E135" s="519" t="s">
        <v>1059</v>
      </c>
      <c r="F135" s="519" t="s">
        <v>133</v>
      </c>
      <c r="G135" s="520">
        <v>129</v>
      </c>
      <c r="H135" s="475" t="s">
        <v>494</v>
      </c>
      <c r="I135" s="37">
        <f>VLOOKUP(H135,BoonRef!$AC$2:$AD$12,2,FALSE)</f>
        <v>0</v>
      </c>
      <c r="J135" s="470" t="s">
        <v>494</v>
      </c>
      <c r="K135" s="37">
        <f>VLOOKUP(J135,BoonRef!$AF$2:$AH$27,2,FALSE)</f>
        <v>0</v>
      </c>
      <c r="L135" s="37" t="s">
        <v>494</v>
      </c>
      <c r="M135" s="37">
        <f>VLOOKUP(L135,BoonRef!$AI$2:$AJ$42,2,FALSE)</f>
        <v>0</v>
      </c>
      <c r="N135" s="37" t="s">
        <v>347</v>
      </c>
      <c r="O135" s="37">
        <f>IF(N135="Yes",BoonRef!$AJ$56,0)</f>
        <v>0</v>
      </c>
      <c r="P135" s="37" t="s">
        <v>494</v>
      </c>
      <c r="Q135" s="37">
        <f>VLOOKUP(P135,BoonRef!$AI$43:$AJ$55,2,FALSE)</f>
        <v>0</v>
      </c>
      <c r="R135" s="470" t="s">
        <v>347</v>
      </c>
      <c r="S135" s="470">
        <f>IF(R135="Yes",BoonRef!$AJ$57,0)</f>
        <v>0</v>
      </c>
      <c r="T135" s="470" t="s">
        <v>346</v>
      </c>
      <c r="U135" s="37">
        <f>IF(T135="Yes",VLOOKUP(H135,BoonRef!$AC$2:$AE$12,3,FALSE),0)</f>
        <v>0</v>
      </c>
      <c r="V135" s="470" t="s">
        <v>347</v>
      </c>
      <c r="W135" s="470">
        <f>IF(V135="Yes",BoonRef!$AJ$57,0)</f>
        <v>0</v>
      </c>
      <c r="X135" s="470" t="s">
        <v>346</v>
      </c>
      <c r="Y135" s="111">
        <f>IF(OR(K135="V",J135="None"),0,VLOOKUP(J135,'Purchased Boons'!$AR$4:$AS$27,2,FALSE))</f>
        <v>0</v>
      </c>
    </row>
    <row r="136" spans="1:25" x14ac:dyDescent="0.25">
      <c r="A136" s="519" t="s">
        <v>997</v>
      </c>
      <c r="B136" s="519" t="s">
        <v>19</v>
      </c>
      <c r="C136" s="519" t="s">
        <v>494</v>
      </c>
      <c r="D136" s="519" t="str">
        <f t="shared" si="4"/>
        <v>None</v>
      </c>
      <c r="E136" s="519" t="s">
        <v>1764</v>
      </c>
      <c r="F136" s="519" t="s">
        <v>5</v>
      </c>
      <c r="G136" s="520">
        <v>74</v>
      </c>
      <c r="H136" s="475" t="s">
        <v>494</v>
      </c>
      <c r="I136" s="37">
        <f>VLOOKUP(H136,BoonRef!$AC$2:$AD$12,2,FALSE)</f>
        <v>0</v>
      </c>
      <c r="J136" s="470" t="s">
        <v>494</v>
      </c>
      <c r="K136" s="37">
        <f>VLOOKUP(J136,BoonRef!$AF$2:$AH$27,2,FALSE)</f>
        <v>0</v>
      </c>
      <c r="L136" s="37" t="s">
        <v>494</v>
      </c>
      <c r="M136" s="37">
        <f>VLOOKUP(L136,BoonRef!$AI$2:$AJ$42,2,FALSE)</f>
        <v>0</v>
      </c>
      <c r="N136" s="37" t="s">
        <v>347</v>
      </c>
      <c r="O136" s="37">
        <f>IF(N136="Yes",BoonRef!$AJ$56,0)</f>
        <v>0</v>
      </c>
      <c r="P136" s="37" t="s">
        <v>494</v>
      </c>
      <c r="Q136" s="37">
        <f>VLOOKUP(P136,BoonRef!$AI$43:$AJ$55,2,FALSE)</f>
        <v>0</v>
      </c>
      <c r="R136" s="470" t="s">
        <v>347</v>
      </c>
      <c r="S136" s="470">
        <f>IF(R136="Yes",BoonRef!$AJ$57,0)</f>
        <v>0</v>
      </c>
      <c r="T136" s="470" t="s">
        <v>346</v>
      </c>
      <c r="U136" s="37">
        <f>IF(T136="Yes",VLOOKUP(H136,BoonRef!$AC$2:$AE$12,3,FALSE),0)</f>
        <v>0</v>
      </c>
      <c r="V136" s="470" t="s">
        <v>347</v>
      </c>
      <c r="W136" s="470">
        <f>IF(V136="Yes",BoonRef!$AJ$57,0)</f>
        <v>0</v>
      </c>
      <c r="X136" s="470" t="s">
        <v>346</v>
      </c>
      <c r="Y136" s="111">
        <f>IF(OR(K136="V",J136="None"),0,VLOOKUP(J136,'Purchased Boons'!$AR$4:$AS$27,2,FALSE))</f>
        <v>0</v>
      </c>
    </row>
    <row r="137" spans="1:25" x14ac:dyDescent="0.25">
      <c r="A137" s="519" t="s">
        <v>969</v>
      </c>
      <c r="B137" s="519" t="s">
        <v>18</v>
      </c>
      <c r="C137" s="519" t="s">
        <v>494</v>
      </c>
      <c r="D137" s="519" t="str">
        <f t="shared" si="4"/>
        <v>None</v>
      </c>
      <c r="E137" s="519" t="s">
        <v>1050</v>
      </c>
      <c r="F137" s="519" t="s">
        <v>133</v>
      </c>
      <c r="G137" s="520">
        <v>133</v>
      </c>
      <c r="H137" s="475" t="s">
        <v>494</v>
      </c>
      <c r="I137" s="37">
        <f>VLOOKUP(H137,BoonRef!$AC$2:$AD$12,2,FALSE)</f>
        <v>0</v>
      </c>
      <c r="J137" s="470" t="s">
        <v>494</v>
      </c>
      <c r="K137" s="37">
        <f>VLOOKUP(J137,BoonRef!$AF$2:$AH$27,2,FALSE)</f>
        <v>0</v>
      </c>
      <c r="L137" s="37" t="s">
        <v>494</v>
      </c>
      <c r="M137" s="37">
        <f>VLOOKUP(L137,BoonRef!$AI$2:$AJ$42,2,FALSE)</f>
        <v>0</v>
      </c>
      <c r="N137" s="37" t="s">
        <v>347</v>
      </c>
      <c r="O137" s="37">
        <f>IF(N137="Yes",BoonRef!$AJ$56,0)</f>
        <v>0</v>
      </c>
      <c r="P137" s="37" t="s">
        <v>494</v>
      </c>
      <c r="Q137" s="37">
        <f>VLOOKUP(P137,BoonRef!$AI$43:$AJ$55,2,FALSE)</f>
        <v>0</v>
      </c>
      <c r="R137" s="470" t="s">
        <v>347</v>
      </c>
      <c r="S137" s="470">
        <f>IF(R137="Yes",BoonRef!$AJ$57,0)</f>
        <v>0</v>
      </c>
      <c r="T137" s="470" t="s">
        <v>346</v>
      </c>
      <c r="U137" s="37">
        <f>IF(T137="Yes",VLOOKUP(H137,BoonRef!$AC$2:$AE$12,3,FALSE),0)</f>
        <v>0</v>
      </c>
      <c r="V137" s="470" t="s">
        <v>347</v>
      </c>
      <c r="W137" s="470">
        <f>IF(V137="Yes",BoonRef!$AJ$57,0)</f>
        <v>0</v>
      </c>
      <c r="X137" s="470" t="s">
        <v>346</v>
      </c>
      <c r="Y137" s="111">
        <f>IF(OR(K137="V",J137="None"),0,VLOOKUP(J137,'Purchased Boons'!$AR$4:$AS$27,2,FALSE))</f>
        <v>0</v>
      </c>
    </row>
    <row r="138" spans="1:25" x14ac:dyDescent="0.25">
      <c r="A138" s="37" t="s">
        <v>945</v>
      </c>
      <c r="B138" s="519" t="s">
        <v>30</v>
      </c>
      <c r="C138" s="519" t="s">
        <v>494</v>
      </c>
      <c r="D138" s="519" t="str">
        <f t="shared" si="4"/>
        <v>Varies</v>
      </c>
      <c r="E138" s="519" t="s">
        <v>1050</v>
      </c>
      <c r="F138" s="519" t="s">
        <v>1045</v>
      </c>
      <c r="G138" s="520">
        <v>55</v>
      </c>
      <c r="H138" s="475" t="s">
        <v>1063</v>
      </c>
      <c r="I138" s="37" t="str">
        <f>VLOOKUP(H138,BoonRef!$AC$2:$AD$12,2,FALSE)</f>
        <v>V</v>
      </c>
      <c r="J138" s="470" t="s">
        <v>494</v>
      </c>
      <c r="K138" s="37">
        <f>VLOOKUP(J138,BoonRef!$AF$2:$AH$27,2,FALSE)</f>
        <v>0</v>
      </c>
      <c r="L138" s="37" t="s">
        <v>494</v>
      </c>
      <c r="M138" s="37">
        <f>VLOOKUP(L138,BoonRef!$AI$2:$AJ$42,2,FALSE)</f>
        <v>0</v>
      </c>
      <c r="N138" s="37" t="s">
        <v>347</v>
      </c>
      <c r="O138" s="37">
        <f>IF(N138="Yes",BoonRef!$AJ$56,0)</f>
        <v>0</v>
      </c>
      <c r="P138" s="37" t="s">
        <v>494</v>
      </c>
      <c r="Q138" s="37">
        <f>VLOOKUP(P138,BoonRef!$AI$43:$AJ$55,2,FALSE)</f>
        <v>0</v>
      </c>
      <c r="R138" s="470" t="s">
        <v>347</v>
      </c>
      <c r="S138" s="470">
        <f>IF(R138="Yes",BoonRef!$AJ$57,0)</f>
        <v>0</v>
      </c>
      <c r="T138" s="470" t="s">
        <v>346</v>
      </c>
      <c r="U138" s="37" t="str">
        <f>IF(T138="Yes",VLOOKUP(H138,BoonRef!$AC$2:$AE$12,3,FALSE),0)</f>
        <v>V</v>
      </c>
      <c r="V138" s="470" t="s">
        <v>347</v>
      </c>
      <c r="W138" s="470">
        <f>IF(V138="Yes",BoonRef!$AJ$57,0)</f>
        <v>0</v>
      </c>
      <c r="X138" s="470" t="s">
        <v>346</v>
      </c>
      <c r="Y138" s="111">
        <f>IF(OR(K138="V",J138="None"),0,VLOOKUP(J138,'Purchased Boons'!$AR$4:$AS$27,2,FALSE))</f>
        <v>0</v>
      </c>
    </row>
    <row r="139" spans="1:25" x14ac:dyDescent="0.25">
      <c r="A139" s="37" t="s">
        <v>397</v>
      </c>
      <c r="B139" s="519" t="s">
        <v>13</v>
      </c>
      <c r="C139" s="519" t="s">
        <v>399</v>
      </c>
      <c r="D139" s="519" t="str">
        <f t="shared" si="4"/>
        <v>None</v>
      </c>
      <c r="E139" s="519" t="s">
        <v>1058</v>
      </c>
      <c r="F139" s="519" t="s">
        <v>1046</v>
      </c>
      <c r="G139" s="520">
        <v>52</v>
      </c>
      <c r="H139" s="475" t="s">
        <v>494</v>
      </c>
      <c r="I139" s="37">
        <f>VLOOKUP(H139,BoonRef!$AC$2:$AD$12,2,FALSE)</f>
        <v>0</v>
      </c>
      <c r="J139" s="470" t="s">
        <v>494</v>
      </c>
      <c r="K139" s="37">
        <f>VLOOKUP(J139,BoonRef!$AF$2:$AH$27,2,FALSE)</f>
        <v>0</v>
      </c>
      <c r="L139" s="37" t="s">
        <v>494</v>
      </c>
      <c r="M139" s="37">
        <f>VLOOKUP(L139,BoonRef!$AI$2:$AJ$42,2,FALSE)</f>
        <v>0</v>
      </c>
      <c r="N139" s="37" t="s">
        <v>347</v>
      </c>
      <c r="O139" s="37">
        <f>IF(N139="Yes",BoonRef!$AJ$56,0)</f>
        <v>0</v>
      </c>
      <c r="P139" s="37" t="s">
        <v>494</v>
      </c>
      <c r="Q139" s="37">
        <f>VLOOKUP(P139,BoonRef!$AI$43:$AJ$55,2,FALSE)</f>
        <v>0</v>
      </c>
      <c r="R139" s="470" t="s">
        <v>347</v>
      </c>
      <c r="S139" s="470">
        <f>IF(R139="Yes",BoonRef!$AJ$57,0)</f>
        <v>0</v>
      </c>
      <c r="T139" s="470" t="s">
        <v>346</v>
      </c>
      <c r="U139" s="37">
        <f>IF(T139="Yes",VLOOKUP(H139,BoonRef!$AC$2:$AE$12,3,FALSE),0)</f>
        <v>0</v>
      </c>
      <c r="V139" s="470" t="s">
        <v>347</v>
      </c>
      <c r="W139" s="470">
        <f>IF(V139="Yes",BoonRef!$AJ$57,0)</f>
        <v>0</v>
      </c>
      <c r="X139" s="470" t="s">
        <v>346</v>
      </c>
      <c r="Y139" s="111">
        <f>IF(OR(K139="V",J139="None"),0,VLOOKUP(J139,'Purchased Boons'!$AR$4:$AS$27,2,FALSE))</f>
        <v>0</v>
      </c>
    </row>
    <row r="140" spans="1:25" x14ac:dyDescent="0.25">
      <c r="A140" s="519" t="s">
        <v>415</v>
      </c>
      <c r="B140" s="519" t="s">
        <v>14</v>
      </c>
      <c r="C140" s="519" t="s">
        <v>494</v>
      </c>
      <c r="D140" s="519" t="str">
        <f t="shared" si="4"/>
        <v>None</v>
      </c>
      <c r="E140" s="519" t="s">
        <v>1060</v>
      </c>
      <c r="F140" s="519" t="s">
        <v>1045</v>
      </c>
      <c r="G140" s="520">
        <v>59</v>
      </c>
      <c r="H140" s="475" t="s">
        <v>494</v>
      </c>
      <c r="I140" s="37">
        <f>VLOOKUP(H140,BoonRef!$AC$2:$AD$12,2,FALSE)</f>
        <v>0</v>
      </c>
      <c r="J140" s="470" t="s">
        <v>494</v>
      </c>
      <c r="K140" s="37">
        <f>VLOOKUP(J140,BoonRef!$AF$2:$AH$27,2,FALSE)</f>
        <v>0</v>
      </c>
      <c r="L140" s="37" t="s">
        <v>494</v>
      </c>
      <c r="M140" s="37">
        <f>VLOOKUP(L140,BoonRef!$AI$2:$AJ$42,2,FALSE)</f>
        <v>0</v>
      </c>
      <c r="N140" s="37" t="s">
        <v>347</v>
      </c>
      <c r="O140" s="37">
        <f>IF(N140="Yes",BoonRef!$AJ$56,0)</f>
        <v>0</v>
      </c>
      <c r="P140" s="37" t="s">
        <v>494</v>
      </c>
      <c r="Q140" s="37">
        <f>VLOOKUP(P140,BoonRef!$AI$43:$AJ$55,2,FALSE)</f>
        <v>0</v>
      </c>
      <c r="R140" s="470" t="s">
        <v>347</v>
      </c>
      <c r="S140" s="470">
        <f>IF(R140="Yes",BoonRef!$AJ$57,0)</f>
        <v>0</v>
      </c>
      <c r="T140" s="470" t="s">
        <v>346</v>
      </c>
      <c r="U140" s="37">
        <f>IF(T140="Yes",VLOOKUP(H140,BoonRef!$AC$2:$AE$12,3,FALSE),0)</f>
        <v>0</v>
      </c>
      <c r="V140" s="470" t="s">
        <v>347</v>
      </c>
      <c r="W140" s="470">
        <f>IF(V140="Yes",BoonRef!$AJ$57,0)</f>
        <v>0</v>
      </c>
      <c r="X140" s="470" t="s">
        <v>346</v>
      </c>
      <c r="Y140" s="111">
        <f>IF(OR(K140="V",J140="None"),0,VLOOKUP(J140,'Purchased Boons'!$AR$4:$AS$27,2,FALSE))</f>
        <v>0</v>
      </c>
    </row>
    <row r="141" spans="1:25" x14ac:dyDescent="0.25">
      <c r="A141" s="519" t="s">
        <v>1023</v>
      </c>
      <c r="B141" s="519" t="s">
        <v>21</v>
      </c>
      <c r="C141" s="519" t="s">
        <v>494</v>
      </c>
      <c r="D141" s="519" t="str">
        <f t="shared" si="4"/>
        <v>None</v>
      </c>
      <c r="E141" s="519" t="s">
        <v>1764</v>
      </c>
      <c r="F141" s="519" t="s">
        <v>133</v>
      </c>
      <c r="G141" s="520">
        <v>136</v>
      </c>
      <c r="H141" s="475" t="s">
        <v>494</v>
      </c>
      <c r="I141" s="37">
        <f>VLOOKUP(H141,BoonRef!$AC$2:$AD$12,2,FALSE)</f>
        <v>0</v>
      </c>
      <c r="J141" s="470" t="s">
        <v>494</v>
      </c>
      <c r="K141" s="37">
        <f>VLOOKUP(J141,BoonRef!$AF$2:$AH$27,2,FALSE)</f>
        <v>0</v>
      </c>
      <c r="L141" s="37" t="s">
        <v>494</v>
      </c>
      <c r="M141" s="37">
        <f>VLOOKUP(L141,BoonRef!$AI$2:$AJ$42,2,FALSE)</f>
        <v>0</v>
      </c>
      <c r="N141" s="37" t="s">
        <v>347</v>
      </c>
      <c r="O141" s="37">
        <f>IF(N141="Yes",BoonRef!$AJ$56,0)</f>
        <v>0</v>
      </c>
      <c r="P141" s="37" t="s">
        <v>494</v>
      </c>
      <c r="Q141" s="37">
        <f>VLOOKUP(P141,BoonRef!$AI$43:$AJ$55,2,FALSE)</f>
        <v>0</v>
      </c>
      <c r="R141" s="470" t="s">
        <v>347</v>
      </c>
      <c r="S141" s="470">
        <f>IF(R141="Yes",BoonRef!$AJ$57,0)</f>
        <v>0</v>
      </c>
      <c r="T141" s="470" t="s">
        <v>346</v>
      </c>
      <c r="U141" s="37">
        <f>IF(T141="Yes",VLOOKUP(H141,BoonRef!$AC$2:$AE$12,3,FALSE),0)</f>
        <v>0</v>
      </c>
      <c r="V141" s="470" t="s">
        <v>347</v>
      </c>
      <c r="W141" s="470">
        <f>IF(V141="Yes",BoonRef!$AJ$57,0)</f>
        <v>0</v>
      </c>
      <c r="X141" s="470" t="s">
        <v>346</v>
      </c>
      <c r="Y141" s="111">
        <f>IF(OR(K141="V",J141="None"),0,VLOOKUP(J141,'Purchased Boons'!$AR$4:$AS$27,2,FALSE))</f>
        <v>0</v>
      </c>
    </row>
    <row r="142" spans="1:25" x14ac:dyDescent="0.25">
      <c r="A142" s="519" t="s">
        <v>416</v>
      </c>
      <c r="B142" s="519" t="s">
        <v>14</v>
      </c>
      <c r="C142" s="519" t="s">
        <v>494</v>
      </c>
      <c r="D142" s="519" t="str">
        <f t="shared" si="4"/>
        <v>None</v>
      </c>
      <c r="E142" s="519" t="s">
        <v>1060</v>
      </c>
      <c r="F142" s="519" t="s">
        <v>133</v>
      </c>
      <c r="G142" s="520">
        <v>129</v>
      </c>
      <c r="H142" s="475" t="s">
        <v>494</v>
      </c>
      <c r="I142" s="37">
        <f>VLOOKUP(H142,BoonRef!$AC$2:$AD$12,2,FALSE)</f>
        <v>0</v>
      </c>
      <c r="J142" s="470" t="s">
        <v>494</v>
      </c>
      <c r="K142" s="37">
        <f>VLOOKUP(J142,BoonRef!$AF$2:$AH$27,2,FALSE)</f>
        <v>0</v>
      </c>
      <c r="L142" s="37" t="s">
        <v>494</v>
      </c>
      <c r="M142" s="37">
        <f>VLOOKUP(L142,BoonRef!$AI$2:$AJ$42,2,FALSE)</f>
        <v>0</v>
      </c>
      <c r="N142" s="37" t="s">
        <v>347</v>
      </c>
      <c r="O142" s="37">
        <f>IF(N142="Yes",BoonRef!$AJ$56,0)</f>
        <v>0</v>
      </c>
      <c r="P142" s="37" t="s">
        <v>494</v>
      </c>
      <c r="Q142" s="37">
        <f>VLOOKUP(P142,BoonRef!$AI$43:$AJ$55,2,FALSE)</f>
        <v>0</v>
      </c>
      <c r="R142" s="470" t="s">
        <v>347</v>
      </c>
      <c r="S142" s="470">
        <f>IF(R142="Yes",BoonRef!$AJ$57,0)</f>
        <v>0</v>
      </c>
      <c r="T142" s="470" t="s">
        <v>346</v>
      </c>
      <c r="U142" s="37">
        <f>IF(T142="Yes",VLOOKUP(H142,BoonRef!$AC$2:$AE$12,3,FALSE),0)</f>
        <v>0</v>
      </c>
      <c r="V142" s="470" t="s">
        <v>347</v>
      </c>
      <c r="W142" s="470">
        <f>IF(V142="Yes",BoonRef!$AJ$57,0)</f>
        <v>0</v>
      </c>
      <c r="X142" s="470" t="s">
        <v>346</v>
      </c>
      <c r="Y142" s="111">
        <f>IF(OR(K142="V",J142="None"),0,VLOOKUP(J142,'Purchased Boons'!$AR$4:$AS$27,2,FALSE))</f>
        <v>0</v>
      </c>
    </row>
    <row r="143" spans="1:25" x14ac:dyDescent="0.25">
      <c r="A143" s="519" t="s">
        <v>990</v>
      </c>
      <c r="B143" s="519" t="s">
        <v>19</v>
      </c>
      <c r="C143" s="519" t="s">
        <v>494</v>
      </c>
      <c r="D143" s="519" t="str">
        <f t="shared" si="4"/>
        <v>None</v>
      </c>
      <c r="E143" s="519" t="s">
        <v>1764</v>
      </c>
      <c r="F143" s="519" t="s">
        <v>1045</v>
      </c>
      <c r="G143" s="520">
        <v>64</v>
      </c>
      <c r="H143" s="475" t="s">
        <v>494</v>
      </c>
      <c r="I143" s="37">
        <f>VLOOKUP(H143,BoonRef!$AC$2:$AD$12,2,FALSE)</f>
        <v>0</v>
      </c>
      <c r="J143" s="470" t="s">
        <v>494</v>
      </c>
      <c r="K143" s="37">
        <f>VLOOKUP(J143,BoonRef!$AF$2:$AH$27,2,FALSE)</f>
        <v>0</v>
      </c>
      <c r="L143" s="37" t="s">
        <v>494</v>
      </c>
      <c r="M143" s="37">
        <f>VLOOKUP(L143,BoonRef!$AI$2:$AJ$42,2,FALSE)</f>
        <v>0</v>
      </c>
      <c r="N143" s="37" t="s">
        <v>347</v>
      </c>
      <c r="O143" s="37">
        <f>IF(N143="Yes",BoonRef!$AJ$56,0)</f>
        <v>0</v>
      </c>
      <c r="P143" s="37" t="s">
        <v>494</v>
      </c>
      <c r="Q143" s="37">
        <f>VLOOKUP(P143,BoonRef!$AI$43:$AJ$55,2,FALSE)</f>
        <v>0</v>
      </c>
      <c r="R143" s="470" t="s">
        <v>347</v>
      </c>
      <c r="S143" s="470">
        <f>IF(R143="Yes",BoonRef!$AJ$57,0)</f>
        <v>0</v>
      </c>
      <c r="T143" s="470" t="s">
        <v>346</v>
      </c>
      <c r="U143" s="37">
        <f>IF(T143="Yes",VLOOKUP(H143,BoonRef!$AC$2:$AE$12,3,FALSE),0)</f>
        <v>0</v>
      </c>
      <c r="V143" s="470" t="s">
        <v>347</v>
      </c>
      <c r="W143" s="470">
        <f>IF(V143="Yes",BoonRef!$AJ$57,0)</f>
        <v>0</v>
      </c>
      <c r="X143" s="470" t="s">
        <v>346</v>
      </c>
      <c r="Y143" s="111">
        <f>IF(OR(K143="V",J143="None"),0,VLOOKUP(J143,'Purchased Boons'!$AR$4:$AS$27,2,FALSE))</f>
        <v>0</v>
      </c>
    </row>
    <row r="144" spans="1:25" x14ac:dyDescent="0.25">
      <c r="A144" s="519" t="s">
        <v>1013</v>
      </c>
      <c r="B144" s="519" t="s">
        <v>20</v>
      </c>
      <c r="C144" s="519" t="s">
        <v>494</v>
      </c>
      <c r="D144" s="519" t="str">
        <f t="shared" si="4"/>
        <v>None</v>
      </c>
      <c r="E144" s="519" t="s">
        <v>1764</v>
      </c>
      <c r="F144" s="519" t="s">
        <v>5</v>
      </c>
      <c r="G144" s="520">
        <v>75</v>
      </c>
      <c r="H144" s="475" t="s">
        <v>494</v>
      </c>
      <c r="I144" s="37">
        <f>VLOOKUP(H144,BoonRef!$AC$2:$AD$12,2,FALSE)</f>
        <v>0</v>
      </c>
      <c r="J144" s="470" t="s">
        <v>494</v>
      </c>
      <c r="K144" s="37">
        <f>VLOOKUP(J144,BoonRef!$AF$2:$AH$27,2,FALSE)</f>
        <v>0</v>
      </c>
      <c r="L144" s="37" t="s">
        <v>494</v>
      </c>
      <c r="M144" s="37">
        <f>VLOOKUP(L144,BoonRef!$AI$2:$AJ$42,2,FALSE)</f>
        <v>0</v>
      </c>
      <c r="N144" s="37" t="s">
        <v>347</v>
      </c>
      <c r="O144" s="37">
        <f>IF(N144="Yes",BoonRef!$AJ$56,0)</f>
        <v>0</v>
      </c>
      <c r="P144" s="37" t="s">
        <v>494</v>
      </c>
      <c r="Q144" s="37">
        <f>VLOOKUP(P144,BoonRef!$AI$43:$AJ$55,2,FALSE)</f>
        <v>0</v>
      </c>
      <c r="R144" s="470" t="s">
        <v>347</v>
      </c>
      <c r="S144" s="470">
        <f>IF(R144="Yes",BoonRef!$AJ$57,0)</f>
        <v>0</v>
      </c>
      <c r="T144" s="470" t="s">
        <v>346</v>
      </c>
      <c r="U144" s="37">
        <f>IF(T144="Yes",VLOOKUP(H144,BoonRef!$AC$2:$AE$12,3,FALSE),0)</f>
        <v>0</v>
      </c>
      <c r="V144" s="470" t="s">
        <v>347</v>
      </c>
      <c r="W144" s="470">
        <f>IF(V144="Yes",BoonRef!$AJ$57,0)</f>
        <v>0</v>
      </c>
      <c r="X144" s="470" t="s">
        <v>346</v>
      </c>
      <c r="Y144" s="111">
        <f>IF(OR(K144="V",J144="None"),0,VLOOKUP(J144,'Purchased Boons'!$AR$4:$AS$27,2,FALSE))</f>
        <v>0</v>
      </c>
    </row>
    <row r="145" spans="1:25" x14ac:dyDescent="0.25">
      <c r="A145" s="37" t="s">
        <v>398</v>
      </c>
      <c r="B145" s="519" t="s">
        <v>13</v>
      </c>
      <c r="C145" s="519" t="s">
        <v>101</v>
      </c>
      <c r="D145" s="519" t="str">
        <f t="shared" si="4"/>
        <v>None</v>
      </c>
      <c r="E145" s="519" t="s">
        <v>1056</v>
      </c>
      <c r="F145" s="519" t="s">
        <v>1045</v>
      </c>
      <c r="G145" s="520">
        <v>56</v>
      </c>
      <c r="H145" s="475" t="s">
        <v>494</v>
      </c>
      <c r="I145" s="37">
        <f>VLOOKUP(H145,BoonRef!$AC$2:$AD$12,2,FALSE)</f>
        <v>0</v>
      </c>
      <c r="J145" s="470" t="s">
        <v>494</v>
      </c>
      <c r="K145" s="37">
        <f>VLOOKUP(J145,BoonRef!$AF$2:$AH$27,2,FALSE)</f>
        <v>0</v>
      </c>
      <c r="L145" s="37" t="s">
        <v>494</v>
      </c>
      <c r="M145" s="37">
        <f>VLOOKUP(L145,BoonRef!$AI$2:$AJ$42,2,FALSE)</f>
        <v>0</v>
      </c>
      <c r="N145" s="37" t="s">
        <v>347</v>
      </c>
      <c r="O145" s="37">
        <f>IF(N145="Yes",BoonRef!$AJ$56,0)</f>
        <v>0</v>
      </c>
      <c r="P145" s="37" t="s">
        <v>494</v>
      </c>
      <c r="Q145" s="37">
        <f>VLOOKUP(P145,BoonRef!$AI$43:$AJ$55,2,FALSE)</f>
        <v>0</v>
      </c>
      <c r="R145" s="470" t="s">
        <v>347</v>
      </c>
      <c r="S145" s="470">
        <f>IF(R145="Yes",BoonRef!$AJ$57,0)</f>
        <v>0</v>
      </c>
      <c r="T145" s="470" t="s">
        <v>346</v>
      </c>
      <c r="U145" s="37">
        <f>IF(T145="Yes",VLOOKUP(H145,BoonRef!$AC$2:$AE$12,3,FALSE),0)</f>
        <v>0</v>
      </c>
      <c r="V145" s="470" t="s">
        <v>347</v>
      </c>
      <c r="W145" s="470">
        <f>IF(V145="Yes",BoonRef!$AJ$57,0)</f>
        <v>0</v>
      </c>
      <c r="X145" s="470" t="s">
        <v>346</v>
      </c>
      <c r="Y145" s="111">
        <f>IF(OR(K145="V",J145="None"),0,VLOOKUP(J145,'Purchased Boons'!$AR$4:$AS$27,2,FALSE))</f>
        <v>0</v>
      </c>
    </row>
    <row r="146" spans="1:25" x14ac:dyDescent="0.25">
      <c r="A146" s="519" t="s">
        <v>1009</v>
      </c>
      <c r="B146" s="519" t="s">
        <v>20</v>
      </c>
      <c r="C146" s="519" t="s">
        <v>1001</v>
      </c>
      <c r="D146" s="519" t="str">
        <f t="shared" si="4"/>
        <v>None</v>
      </c>
      <c r="E146" s="519" t="s">
        <v>1764</v>
      </c>
      <c r="F146" s="519" t="s">
        <v>1045</v>
      </c>
      <c r="G146" s="520">
        <v>65</v>
      </c>
      <c r="H146" s="475" t="s">
        <v>494</v>
      </c>
      <c r="I146" s="37">
        <f>VLOOKUP(H146,BoonRef!$AC$2:$AD$12,2,FALSE)</f>
        <v>0</v>
      </c>
      <c r="J146" s="470" t="s">
        <v>494</v>
      </c>
      <c r="K146" s="37">
        <f>VLOOKUP(J146,BoonRef!$AF$2:$AH$27,2,FALSE)</f>
        <v>0</v>
      </c>
      <c r="L146" s="37" t="s">
        <v>494</v>
      </c>
      <c r="M146" s="37">
        <f>VLOOKUP(L146,BoonRef!$AI$2:$AJ$42,2,FALSE)</f>
        <v>0</v>
      </c>
      <c r="N146" s="37" t="s">
        <v>347</v>
      </c>
      <c r="O146" s="37">
        <f>IF(N146="Yes",BoonRef!$AJ$56,0)</f>
        <v>0</v>
      </c>
      <c r="P146" s="37" t="s">
        <v>494</v>
      </c>
      <c r="Q146" s="37">
        <f>VLOOKUP(P146,BoonRef!$AI$43:$AJ$55,2,FALSE)</f>
        <v>0</v>
      </c>
      <c r="R146" s="470" t="s">
        <v>347</v>
      </c>
      <c r="S146" s="470">
        <f>IF(R146="Yes",BoonRef!$AJ$57,0)</f>
        <v>0</v>
      </c>
      <c r="T146" s="470" t="s">
        <v>346</v>
      </c>
      <c r="U146" s="37">
        <f>IF(T146="Yes",VLOOKUP(H146,BoonRef!$AC$2:$AE$12,3,FALSE),0)</f>
        <v>0</v>
      </c>
      <c r="V146" s="470" t="s">
        <v>347</v>
      </c>
      <c r="W146" s="470">
        <f>IF(V146="Yes",BoonRef!$AJ$57,0)</f>
        <v>0</v>
      </c>
      <c r="X146" s="470" t="s">
        <v>346</v>
      </c>
      <c r="Y146" s="111">
        <f>IF(OR(K146="V",J146="None"),0,VLOOKUP(J146,'Purchased Boons'!$AR$4:$AS$27,2,FALSE))</f>
        <v>0</v>
      </c>
    </row>
    <row r="147" spans="1:25" x14ac:dyDescent="0.25">
      <c r="A147" s="519" t="s">
        <v>950</v>
      </c>
      <c r="B147" s="519" t="s">
        <v>17</v>
      </c>
      <c r="C147" s="519" t="s">
        <v>494</v>
      </c>
      <c r="D147" s="519" t="str">
        <f t="shared" si="4"/>
        <v>None</v>
      </c>
      <c r="E147" s="519" t="s">
        <v>1764</v>
      </c>
      <c r="F147" s="519" t="s">
        <v>133</v>
      </c>
      <c r="G147" s="520">
        <v>132</v>
      </c>
      <c r="H147" s="475" t="s">
        <v>494</v>
      </c>
      <c r="I147" s="37">
        <f>VLOOKUP(H147,BoonRef!$AC$2:$AD$12,2,FALSE)</f>
        <v>0</v>
      </c>
      <c r="J147" s="470" t="s">
        <v>494</v>
      </c>
      <c r="K147" s="37">
        <f>VLOOKUP(J147,BoonRef!$AF$2:$AH$27,2,FALSE)</f>
        <v>0</v>
      </c>
      <c r="L147" s="37" t="s">
        <v>494</v>
      </c>
      <c r="M147" s="37">
        <f>VLOOKUP(L147,BoonRef!$AI$2:$AJ$42,2,FALSE)</f>
        <v>0</v>
      </c>
      <c r="N147" s="37" t="s">
        <v>347</v>
      </c>
      <c r="O147" s="37">
        <f>IF(N147="Yes",BoonRef!$AJ$56,0)</f>
        <v>0</v>
      </c>
      <c r="P147" s="37" t="s">
        <v>494</v>
      </c>
      <c r="Q147" s="37">
        <f>VLOOKUP(P147,BoonRef!$AI$43:$AJ$55,2,FALSE)</f>
        <v>0</v>
      </c>
      <c r="R147" s="470" t="s">
        <v>347</v>
      </c>
      <c r="S147" s="470">
        <f>IF(R147="Yes",BoonRef!$AJ$57,0)</f>
        <v>0</v>
      </c>
      <c r="T147" s="470" t="s">
        <v>346</v>
      </c>
      <c r="U147" s="37">
        <f>IF(T147="Yes",VLOOKUP(H147,BoonRef!$AC$2:$AE$12,3,FALSE),0)</f>
        <v>0</v>
      </c>
      <c r="V147" s="470" t="s">
        <v>347</v>
      </c>
      <c r="W147" s="470">
        <f>IF(V147="Yes",BoonRef!$AJ$57,0)</f>
        <v>0</v>
      </c>
      <c r="X147" s="470" t="s">
        <v>346</v>
      </c>
      <c r="Y147" s="111">
        <f>IF(OR(K147="V",J147="None"),0,VLOOKUP(J147,'Purchased Boons'!$AR$4:$AS$27,2,FALSE))</f>
        <v>0</v>
      </c>
    </row>
    <row r="148" spans="1:25" x14ac:dyDescent="0.25">
      <c r="A148" s="519" t="s">
        <v>986</v>
      </c>
      <c r="B148" s="519" t="s">
        <v>19</v>
      </c>
      <c r="C148" s="519" t="s">
        <v>494</v>
      </c>
      <c r="D148" s="519" t="str">
        <f t="shared" si="4"/>
        <v>None</v>
      </c>
      <c r="E148" s="519" t="s">
        <v>1764</v>
      </c>
      <c r="F148" s="519" t="s">
        <v>133</v>
      </c>
      <c r="G148" s="520">
        <v>134</v>
      </c>
      <c r="H148" s="475" t="s">
        <v>494</v>
      </c>
      <c r="I148" s="37">
        <f>VLOOKUP(H148,BoonRef!$AC$2:$AD$12,2,FALSE)</f>
        <v>0</v>
      </c>
      <c r="J148" s="470" t="s">
        <v>494</v>
      </c>
      <c r="K148" s="37">
        <f>VLOOKUP(J148,BoonRef!$AF$2:$AH$27,2,FALSE)</f>
        <v>0</v>
      </c>
      <c r="L148" s="37" t="s">
        <v>494</v>
      </c>
      <c r="M148" s="37">
        <f>VLOOKUP(L148,BoonRef!$AI$2:$AJ$42,2,FALSE)</f>
        <v>0</v>
      </c>
      <c r="N148" s="37" t="s">
        <v>347</v>
      </c>
      <c r="O148" s="37">
        <f>IF(N148="Yes",BoonRef!$AJ$56,0)</f>
        <v>0</v>
      </c>
      <c r="P148" s="37" t="s">
        <v>494</v>
      </c>
      <c r="Q148" s="37">
        <f>VLOOKUP(P148,BoonRef!$AI$43:$AJ$55,2,FALSE)</f>
        <v>0</v>
      </c>
      <c r="R148" s="470" t="s">
        <v>347</v>
      </c>
      <c r="S148" s="470">
        <f>IF(R148="Yes",BoonRef!$AJ$57,0)</f>
        <v>0</v>
      </c>
      <c r="T148" s="470" t="s">
        <v>346</v>
      </c>
      <c r="U148" s="37">
        <f>IF(T148="Yes",VLOOKUP(H148,BoonRef!$AC$2:$AE$12,3,FALSE),0)</f>
        <v>0</v>
      </c>
      <c r="V148" s="470" t="s">
        <v>347</v>
      </c>
      <c r="W148" s="470">
        <f>IF(V148="Yes",BoonRef!$AJ$57,0)</f>
        <v>0</v>
      </c>
      <c r="X148" s="470" t="s">
        <v>346</v>
      </c>
      <c r="Y148" s="111">
        <f>IF(OR(K148="V",J148="None"),0,VLOOKUP(J148,'Purchased Boons'!$AR$4:$AS$27,2,FALSE))</f>
        <v>0</v>
      </c>
    </row>
    <row r="149" spans="1:25" x14ac:dyDescent="0.25">
      <c r="A149" s="519" t="s">
        <v>991</v>
      </c>
      <c r="B149" s="519" t="s">
        <v>19</v>
      </c>
      <c r="C149" s="519" t="s">
        <v>984</v>
      </c>
      <c r="D149" s="519" t="str">
        <f t="shared" si="4"/>
        <v>None</v>
      </c>
      <c r="E149" s="519" t="s">
        <v>1764</v>
      </c>
      <c r="F149" s="519" t="s">
        <v>1045</v>
      </c>
      <c r="G149" s="520">
        <v>64</v>
      </c>
      <c r="H149" s="475" t="s">
        <v>494</v>
      </c>
      <c r="I149" s="37">
        <f>VLOOKUP(H149,BoonRef!$AC$2:$AD$12,2,FALSE)</f>
        <v>0</v>
      </c>
      <c r="J149" s="470" t="s">
        <v>494</v>
      </c>
      <c r="K149" s="37">
        <f>VLOOKUP(J149,BoonRef!$AF$2:$AH$27,2,FALSE)</f>
        <v>0</v>
      </c>
      <c r="L149" s="37" t="s">
        <v>494</v>
      </c>
      <c r="M149" s="37">
        <f>VLOOKUP(L149,BoonRef!$AI$2:$AJ$42,2,FALSE)</f>
        <v>0</v>
      </c>
      <c r="N149" s="37" t="s">
        <v>347</v>
      </c>
      <c r="O149" s="37">
        <f>IF(N149="Yes",BoonRef!$AJ$56,0)</f>
        <v>0</v>
      </c>
      <c r="P149" s="37" t="s">
        <v>494</v>
      </c>
      <c r="Q149" s="37">
        <f>VLOOKUP(P149,BoonRef!$AI$43:$AJ$55,2,FALSE)</f>
        <v>0</v>
      </c>
      <c r="R149" s="470" t="s">
        <v>347</v>
      </c>
      <c r="S149" s="470">
        <f>IF(R149="Yes",BoonRef!$AJ$57,0)</f>
        <v>0</v>
      </c>
      <c r="T149" s="470" t="s">
        <v>346</v>
      </c>
      <c r="U149" s="37">
        <f>IF(T149="Yes",VLOOKUP(H149,BoonRef!$AC$2:$AE$12,3,FALSE),0)</f>
        <v>0</v>
      </c>
      <c r="V149" s="470" t="s">
        <v>347</v>
      </c>
      <c r="W149" s="470">
        <f>IF(V149="Yes",BoonRef!$AJ$57,0)</f>
        <v>0</v>
      </c>
      <c r="X149" s="470" t="s">
        <v>346</v>
      </c>
      <c r="Y149" s="111">
        <f>IF(OR(K149="V",J149="None"),0,VLOOKUP(J149,'Purchased Boons'!$AR$4:$AS$27,2,FALSE))</f>
        <v>0</v>
      </c>
    </row>
    <row r="150" spans="1:25" x14ac:dyDescent="0.25">
      <c r="A150" s="519" t="s">
        <v>1018</v>
      </c>
      <c r="B150" s="519" t="s">
        <v>20</v>
      </c>
      <c r="C150" s="519" t="s">
        <v>494</v>
      </c>
      <c r="D150" s="519" t="str">
        <f t="shared" si="4"/>
        <v>None</v>
      </c>
      <c r="E150" s="519" t="s">
        <v>1764</v>
      </c>
      <c r="F150" s="519" t="s">
        <v>1046</v>
      </c>
      <c r="G150" s="520">
        <v>59</v>
      </c>
      <c r="H150" s="475" t="s">
        <v>494</v>
      </c>
      <c r="I150" s="37">
        <f>VLOOKUP(H150,BoonRef!$AC$2:$AD$12,2,FALSE)</f>
        <v>0</v>
      </c>
      <c r="J150" s="470" t="s">
        <v>494</v>
      </c>
      <c r="K150" s="37">
        <f>VLOOKUP(J150,BoonRef!$AF$2:$AH$27,2,FALSE)</f>
        <v>0</v>
      </c>
      <c r="L150" s="37" t="s">
        <v>494</v>
      </c>
      <c r="M150" s="37">
        <f>VLOOKUP(L150,BoonRef!$AI$2:$AJ$42,2,FALSE)</f>
        <v>0</v>
      </c>
      <c r="N150" s="37" t="s">
        <v>347</v>
      </c>
      <c r="O150" s="37">
        <f>IF(N150="Yes",BoonRef!$AJ$56,0)</f>
        <v>0</v>
      </c>
      <c r="P150" s="37" t="s">
        <v>494</v>
      </c>
      <c r="Q150" s="37">
        <f>VLOOKUP(P150,BoonRef!$AI$43:$AJ$55,2,FALSE)</f>
        <v>0</v>
      </c>
      <c r="R150" s="470" t="s">
        <v>347</v>
      </c>
      <c r="S150" s="470">
        <f>IF(R150="Yes",BoonRef!$AJ$57,0)</f>
        <v>0</v>
      </c>
      <c r="T150" s="470" t="s">
        <v>346</v>
      </c>
      <c r="U150" s="37">
        <f>IF(T150="Yes",VLOOKUP(H150,BoonRef!$AC$2:$AE$12,3,FALSE),0)</f>
        <v>0</v>
      </c>
      <c r="V150" s="470" t="s">
        <v>347</v>
      </c>
      <c r="W150" s="470">
        <f>IF(V150="Yes",BoonRef!$AJ$57,0)</f>
        <v>0</v>
      </c>
      <c r="X150" s="470" t="s">
        <v>346</v>
      </c>
      <c r="Y150" s="111">
        <f>IF(OR(K150="V",J150="None"),0,VLOOKUP(J150,'Purchased Boons'!$AR$4:$AS$27,2,FALSE))</f>
        <v>0</v>
      </c>
    </row>
    <row r="151" spans="1:25" x14ac:dyDescent="0.25">
      <c r="A151" s="519" t="s">
        <v>977</v>
      </c>
      <c r="B151" s="519" t="s">
        <v>18</v>
      </c>
      <c r="C151" s="519" t="s">
        <v>975</v>
      </c>
      <c r="D151" s="519" t="str">
        <f t="shared" si="4"/>
        <v>None</v>
      </c>
      <c r="E151" s="519" t="s">
        <v>1050</v>
      </c>
      <c r="F151" s="519" t="s">
        <v>5</v>
      </c>
      <c r="G151" s="520">
        <v>72</v>
      </c>
      <c r="H151" s="475" t="s">
        <v>494</v>
      </c>
      <c r="I151" s="37">
        <f>VLOOKUP(H151,BoonRef!$AC$2:$AD$12,2,FALSE)</f>
        <v>0</v>
      </c>
      <c r="J151" s="470" t="s">
        <v>494</v>
      </c>
      <c r="K151" s="37">
        <f>VLOOKUP(J151,BoonRef!$AF$2:$AH$27,2,FALSE)</f>
        <v>0</v>
      </c>
      <c r="L151" s="37" t="s">
        <v>494</v>
      </c>
      <c r="M151" s="37">
        <f>VLOOKUP(L151,BoonRef!$AI$2:$AJ$42,2,FALSE)</f>
        <v>0</v>
      </c>
      <c r="N151" s="37" t="s">
        <v>347</v>
      </c>
      <c r="O151" s="37">
        <f>IF(N151="Yes",BoonRef!$AJ$56,0)</f>
        <v>0</v>
      </c>
      <c r="P151" s="37" t="s">
        <v>494</v>
      </c>
      <c r="Q151" s="37">
        <f>VLOOKUP(P151,BoonRef!$AI$43:$AJ$55,2,FALSE)</f>
        <v>0</v>
      </c>
      <c r="R151" s="470" t="s">
        <v>347</v>
      </c>
      <c r="S151" s="470">
        <f>IF(R151="Yes",BoonRef!$AJ$57,0)</f>
        <v>0</v>
      </c>
      <c r="T151" s="470" t="s">
        <v>346</v>
      </c>
      <c r="U151" s="37">
        <f>IF(T151="Yes",VLOOKUP(H151,BoonRef!$AC$2:$AE$12,3,FALSE),0)</f>
        <v>0</v>
      </c>
      <c r="V151" s="470" t="s">
        <v>347</v>
      </c>
      <c r="W151" s="470">
        <f>IF(V151="Yes",BoonRef!$AJ$57,0)</f>
        <v>0</v>
      </c>
      <c r="X151" s="470" t="s">
        <v>346</v>
      </c>
      <c r="Y151" s="111">
        <f>IF(OR(K151="V",J151="None"),0,VLOOKUP(J151,'Purchased Boons'!$AR$4:$AS$27,2,FALSE))</f>
        <v>0</v>
      </c>
    </row>
    <row r="152" spans="1:25" x14ac:dyDescent="0.25">
      <c r="A152" s="519" t="s">
        <v>951</v>
      </c>
      <c r="B152" s="519" t="s">
        <v>17</v>
      </c>
      <c r="C152" s="519" t="s">
        <v>494</v>
      </c>
      <c r="D152" s="519" t="str">
        <f t="shared" si="4"/>
        <v>None</v>
      </c>
      <c r="E152" s="519" t="s">
        <v>1764</v>
      </c>
      <c r="F152" s="519" t="s">
        <v>133</v>
      </c>
      <c r="G152" s="520">
        <v>132</v>
      </c>
      <c r="H152" s="475" t="s">
        <v>494</v>
      </c>
      <c r="I152" s="37">
        <f>VLOOKUP(H152,BoonRef!$AC$2:$AD$12,2,FALSE)</f>
        <v>0</v>
      </c>
      <c r="J152" s="470" t="s">
        <v>494</v>
      </c>
      <c r="K152" s="37">
        <f>VLOOKUP(J152,BoonRef!$AF$2:$AH$27,2,FALSE)</f>
        <v>0</v>
      </c>
      <c r="L152" s="37" t="s">
        <v>494</v>
      </c>
      <c r="M152" s="37">
        <f>VLOOKUP(L152,BoonRef!$AI$2:$AJ$42,2,FALSE)</f>
        <v>0</v>
      </c>
      <c r="N152" s="37" t="s">
        <v>347</v>
      </c>
      <c r="O152" s="37">
        <f>IF(N152="Yes",BoonRef!$AJ$56,0)</f>
        <v>0</v>
      </c>
      <c r="P152" s="37" t="s">
        <v>494</v>
      </c>
      <c r="Q152" s="37">
        <f>VLOOKUP(P152,BoonRef!$AI$43:$AJ$55,2,FALSE)</f>
        <v>0</v>
      </c>
      <c r="R152" s="470" t="s">
        <v>347</v>
      </c>
      <c r="S152" s="470">
        <f>IF(R152="Yes",BoonRef!$AJ$57,0)</f>
        <v>0</v>
      </c>
      <c r="T152" s="470" t="s">
        <v>346</v>
      </c>
      <c r="U152" s="37">
        <f>IF(T152="Yes",VLOOKUP(H152,BoonRef!$AC$2:$AE$12,3,FALSE),0)</f>
        <v>0</v>
      </c>
      <c r="V152" s="470" t="s">
        <v>347</v>
      </c>
      <c r="W152" s="470">
        <f>IF(V152="Yes",BoonRef!$AJ$57,0)</f>
        <v>0</v>
      </c>
      <c r="X152" s="470" t="s">
        <v>346</v>
      </c>
      <c r="Y152" s="111">
        <f>IF(OR(K152="V",J152="None"),0,VLOOKUP(J152,'Purchased Boons'!$AR$4:$AS$27,2,FALSE))</f>
        <v>0</v>
      </c>
    </row>
    <row r="153" spans="1:25" x14ac:dyDescent="0.25">
      <c r="A153" s="519" t="s">
        <v>1033</v>
      </c>
      <c r="B153" s="519" t="s">
        <v>21</v>
      </c>
      <c r="C153" s="519" t="s">
        <v>1026</v>
      </c>
      <c r="D153" s="519" t="str">
        <f t="shared" si="4"/>
        <v>None</v>
      </c>
      <c r="E153" s="519" t="s">
        <v>1054</v>
      </c>
      <c r="F153" s="519" t="s">
        <v>5</v>
      </c>
      <c r="G153" s="520">
        <v>76</v>
      </c>
      <c r="H153" s="475" t="s">
        <v>494</v>
      </c>
      <c r="I153" s="37">
        <f>VLOOKUP(H153,BoonRef!$AC$2:$AD$12,2,FALSE)</f>
        <v>0</v>
      </c>
      <c r="J153" s="470" t="s">
        <v>494</v>
      </c>
      <c r="K153" s="37">
        <f>VLOOKUP(J153,BoonRef!$AF$2:$AH$27,2,FALSE)</f>
        <v>0</v>
      </c>
      <c r="L153" s="37" t="s">
        <v>494</v>
      </c>
      <c r="M153" s="37">
        <f>VLOOKUP(L153,BoonRef!$AI$2:$AJ$42,2,FALSE)</f>
        <v>0</v>
      </c>
      <c r="N153" s="37" t="s">
        <v>347</v>
      </c>
      <c r="O153" s="37">
        <f>IF(N153="Yes",BoonRef!$AJ$56,0)</f>
        <v>0</v>
      </c>
      <c r="P153" s="37" t="s">
        <v>494</v>
      </c>
      <c r="Q153" s="37">
        <f>VLOOKUP(P153,BoonRef!$AI$43:$AJ$55,2,FALSE)</f>
        <v>0</v>
      </c>
      <c r="R153" s="470" t="s">
        <v>347</v>
      </c>
      <c r="S153" s="470">
        <f>IF(R153="Yes",BoonRef!$AJ$57,0)</f>
        <v>0</v>
      </c>
      <c r="T153" s="470" t="s">
        <v>346</v>
      </c>
      <c r="U153" s="37">
        <f>IF(T153="Yes",VLOOKUP(H153,BoonRef!$AC$2:$AE$12,3,FALSE),0)</f>
        <v>0</v>
      </c>
      <c r="V153" s="470" t="s">
        <v>347</v>
      </c>
      <c r="W153" s="470">
        <f>IF(V153="Yes",BoonRef!$AJ$57,0)</f>
        <v>0</v>
      </c>
      <c r="X153" s="470" t="s">
        <v>346</v>
      </c>
      <c r="Y153" s="111">
        <f>IF(OR(K153="V",J153="None"),0,VLOOKUP(J153,'Purchased Boons'!$AR$4:$AS$27,2,FALSE))</f>
        <v>0</v>
      </c>
    </row>
    <row r="154" spans="1:25" x14ac:dyDescent="0.25">
      <c r="A154" s="519" t="s">
        <v>1005</v>
      </c>
      <c r="B154" s="519" t="s">
        <v>20</v>
      </c>
      <c r="C154" s="519" t="s">
        <v>494</v>
      </c>
      <c r="D154" s="519" t="str">
        <f t="shared" si="4"/>
        <v>None</v>
      </c>
      <c r="E154" s="519" t="s">
        <v>1764</v>
      </c>
      <c r="F154" s="519" t="s">
        <v>133</v>
      </c>
      <c r="G154" s="520">
        <v>136</v>
      </c>
      <c r="H154" s="475" t="s">
        <v>494</v>
      </c>
      <c r="I154" s="37">
        <f>VLOOKUP(H154,BoonRef!$AC$2:$AD$12,2,FALSE)</f>
        <v>0</v>
      </c>
      <c r="J154" s="470" t="s">
        <v>494</v>
      </c>
      <c r="K154" s="37">
        <f>VLOOKUP(J154,BoonRef!$AF$2:$AH$27,2,FALSE)</f>
        <v>0</v>
      </c>
      <c r="L154" s="37" t="s">
        <v>494</v>
      </c>
      <c r="M154" s="37">
        <f>VLOOKUP(L154,BoonRef!$AI$2:$AJ$42,2,FALSE)</f>
        <v>0</v>
      </c>
      <c r="N154" s="37" t="s">
        <v>347</v>
      </c>
      <c r="O154" s="37">
        <f>IF(N154="Yes",BoonRef!$AJ$56,0)</f>
        <v>0</v>
      </c>
      <c r="P154" s="37" t="s">
        <v>494</v>
      </c>
      <c r="Q154" s="37">
        <f>VLOOKUP(P154,BoonRef!$AI$43:$AJ$55,2,FALSE)</f>
        <v>0</v>
      </c>
      <c r="R154" s="470" t="s">
        <v>347</v>
      </c>
      <c r="S154" s="470">
        <f>IF(R154="Yes",BoonRef!$AJ$57,0)</f>
        <v>0</v>
      </c>
      <c r="T154" s="470" t="s">
        <v>346</v>
      </c>
      <c r="U154" s="37">
        <f>IF(T154="Yes",VLOOKUP(H154,BoonRef!$AC$2:$AE$12,3,FALSE),0)</f>
        <v>0</v>
      </c>
      <c r="V154" s="470" t="s">
        <v>347</v>
      </c>
      <c r="W154" s="470">
        <f>IF(V154="Yes",BoonRef!$AJ$57,0)</f>
        <v>0</v>
      </c>
      <c r="X154" s="470" t="s">
        <v>346</v>
      </c>
      <c r="Y154" s="111">
        <f>IF(OR(K154="V",J154="None"),0,VLOOKUP(J154,'Purchased Boons'!$AR$4:$AS$27,2,FALSE))</f>
        <v>0</v>
      </c>
    </row>
    <row r="155" spans="1:25" x14ac:dyDescent="0.25">
      <c r="A155" s="519" t="s">
        <v>1014</v>
      </c>
      <c r="B155" s="519" t="s">
        <v>20</v>
      </c>
      <c r="C155" s="519" t="s">
        <v>494</v>
      </c>
      <c r="D155" s="519" t="str">
        <f t="shared" si="4"/>
        <v>None</v>
      </c>
      <c r="E155" s="519" t="s">
        <v>1765</v>
      </c>
      <c r="F155" s="519" t="s">
        <v>5</v>
      </c>
      <c r="G155" s="520">
        <v>75</v>
      </c>
      <c r="H155" s="475" t="s">
        <v>494</v>
      </c>
      <c r="I155" s="37">
        <f>VLOOKUP(H155,BoonRef!$AC$2:$AD$12,2,FALSE)</f>
        <v>0</v>
      </c>
      <c r="J155" s="470" t="s">
        <v>494</v>
      </c>
      <c r="K155" s="37">
        <f>VLOOKUP(J155,BoonRef!$AF$2:$AH$27,2,FALSE)</f>
        <v>0</v>
      </c>
      <c r="L155" s="37" t="s">
        <v>494</v>
      </c>
      <c r="M155" s="37">
        <f>VLOOKUP(L155,BoonRef!$AI$2:$AJ$42,2,FALSE)</f>
        <v>0</v>
      </c>
      <c r="N155" s="37" t="s">
        <v>347</v>
      </c>
      <c r="O155" s="37">
        <f>IF(N155="Yes",BoonRef!$AJ$56,0)</f>
        <v>0</v>
      </c>
      <c r="P155" s="37" t="s">
        <v>494</v>
      </c>
      <c r="Q155" s="37">
        <f>VLOOKUP(P155,BoonRef!$AI$43:$AJ$55,2,FALSE)</f>
        <v>0</v>
      </c>
      <c r="R155" s="470" t="s">
        <v>347</v>
      </c>
      <c r="S155" s="470">
        <f>IF(R155="Yes",BoonRef!$AJ$57,0)</f>
        <v>0</v>
      </c>
      <c r="T155" s="470" t="s">
        <v>346</v>
      </c>
      <c r="U155" s="37">
        <f>IF(T155="Yes",VLOOKUP(H155,BoonRef!$AC$2:$AE$12,3,FALSE),0)</f>
        <v>0</v>
      </c>
      <c r="V155" s="470" t="s">
        <v>347</v>
      </c>
      <c r="W155" s="470">
        <f>IF(V155="Yes",BoonRef!$AJ$57,0)</f>
        <v>0</v>
      </c>
      <c r="X155" s="470" t="s">
        <v>346</v>
      </c>
      <c r="Y155" s="111">
        <f>IF(OR(K155="V",J155="None"),0,VLOOKUP(J155,'Purchased Boons'!$AR$4:$AS$27,2,FALSE))</f>
        <v>0</v>
      </c>
    </row>
    <row r="156" spans="1:25" x14ac:dyDescent="0.25">
      <c r="A156" s="519" t="s">
        <v>992</v>
      </c>
      <c r="B156" s="519" t="s">
        <v>19</v>
      </c>
      <c r="C156" s="519" t="s">
        <v>494</v>
      </c>
      <c r="D156" s="519" t="str">
        <f t="shared" si="4"/>
        <v>None</v>
      </c>
      <c r="E156" s="519" t="s">
        <v>1764</v>
      </c>
      <c r="F156" s="519" t="s">
        <v>1045</v>
      </c>
      <c r="G156" s="520">
        <v>64</v>
      </c>
      <c r="H156" s="475" t="s">
        <v>494</v>
      </c>
      <c r="I156" s="37">
        <f>VLOOKUP(H156,BoonRef!$AC$2:$AD$12,2,FALSE)</f>
        <v>0</v>
      </c>
      <c r="J156" s="470" t="s">
        <v>494</v>
      </c>
      <c r="K156" s="37">
        <f>VLOOKUP(J156,BoonRef!$AF$2:$AH$27,2,FALSE)</f>
        <v>0</v>
      </c>
      <c r="L156" s="37" t="s">
        <v>494</v>
      </c>
      <c r="M156" s="37">
        <f>VLOOKUP(L156,BoonRef!$AI$2:$AJ$42,2,FALSE)</f>
        <v>0</v>
      </c>
      <c r="N156" s="37" t="s">
        <v>347</v>
      </c>
      <c r="O156" s="37">
        <f>IF(N156="Yes",BoonRef!$AJ$56,0)</f>
        <v>0</v>
      </c>
      <c r="P156" s="37" t="s">
        <v>494</v>
      </c>
      <c r="Q156" s="37">
        <f>VLOOKUP(P156,BoonRef!$AI$43:$AJ$55,2,FALSE)</f>
        <v>0</v>
      </c>
      <c r="R156" s="470" t="s">
        <v>347</v>
      </c>
      <c r="S156" s="470">
        <f>IF(R156="Yes",BoonRef!$AJ$57,0)</f>
        <v>0</v>
      </c>
      <c r="T156" s="470" t="s">
        <v>346</v>
      </c>
      <c r="U156" s="37">
        <f>IF(T156="Yes",VLOOKUP(H156,BoonRef!$AC$2:$AE$12,3,FALSE),0)</f>
        <v>0</v>
      </c>
      <c r="V156" s="470" t="s">
        <v>347</v>
      </c>
      <c r="W156" s="470">
        <f>IF(V156="Yes",BoonRef!$AJ$57,0)</f>
        <v>0</v>
      </c>
      <c r="X156" s="470" t="s">
        <v>346</v>
      </c>
      <c r="Y156" s="111">
        <f>IF(OR(K156="V",J156="None"),0,VLOOKUP(J156,'Purchased Boons'!$AR$4:$AS$27,2,FALSE))</f>
        <v>0</v>
      </c>
    </row>
    <row r="157" spans="1:25" x14ac:dyDescent="0.25">
      <c r="A157" s="519" t="s">
        <v>417</v>
      </c>
      <c r="B157" s="519" t="s">
        <v>14</v>
      </c>
      <c r="C157" s="519" t="s">
        <v>405</v>
      </c>
      <c r="D157" s="519" t="str">
        <f t="shared" ref="D157:D172" si="5">IF(AND(H157="None",J157="None",L157="None",N157="No",P157="None",R157="No"),"None",IF(OR(H157="Varies",J157="Varies",L157="Varies",P157="Varies"),"Varies",CONCATENATE(I157+S157+K157+M157+O157+Q157+Y157," + ",W157+U157)))</f>
        <v>None</v>
      </c>
      <c r="E157" s="519" t="s">
        <v>1764</v>
      </c>
      <c r="F157" s="519" t="s">
        <v>5</v>
      </c>
      <c r="G157" s="520">
        <v>66</v>
      </c>
      <c r="H157" s="475" t="s">
        <v>494</v>
      </c>
      <c r="I157" s="37">
        <f>VLOOKUP(H157,BoonRef!$AC$2:$AD$12,2,FALSE)</f>
        <v>0</v>
      </c>
      <c r="J157" s="470" t="s">
        <v>494</v>
      </c>
      <c r="K157" s="37">
        <f>VLOOKUP(J157,BoonRef!$AF$2:$AH$27,2,FALSE)</f>
        <v>0</v>
      </c>
      <c r="L157" s="37" t="s">
        <v>494</v>
      </c>
      <c r="M157" s="37">
        <f>VLOOKUP(L157,BoonRef!$AI$2:$AJ$42,2,FALSE)</f>
        <v>0</v>
      </c>
      <c r="N157" s="37" t="s">
        <v>347</v>
      </c>
      <c r="O157" s="37">
        <f>IF(N157="Yes",BoonRef!$AJ$56,0)</f>
        <v>0</v>
      </c>
      <c r="P157" s="37" t="s">
        <v>494</v>
      </c>
      <c r="Q157" s="37">
        <f>VLOOKUP(P157,BoonRef!$AI$43:$AJ$55,2,FALSE)</f>
        <v>0</v>
      </c>
      <c r="R157" s="470" t="s">
        <v>347</v>
      </c>
      <c r="S157" s="470">
        <f>IF(R157="Yes",BoonRef!$AJ$57,0)</f>
        <v>0</v>
      </c>
      <c r="T157" s="470" t="s">
        <v>346</v>
      </c>
      <c r="U157" s="37">
        <f>IF(T157="Yes",VLOOKUP(H157,BoonRef!$AC$2:$AE$12,3,FALSE),0)</f>
        <v>0</v>
      </c>
      <c r="V157" s="470" t="s">
        <v>347</v>
      </c>
      <c r="W157" s="470">
        <f>IF(V157="Yes",BoonRef!$AJ$57,0)</f>
        <v>0</v>
      </c>
      <c r="X157" s="470" t="s">
        <v>346</v>
      </c>
      <c r="Y157" s="111">
        <f>IF(OR(K157="V",J157="None"),0,VLOOKUP(J157,'Purchased Boons'!$AR$4:$AS$27,2,FALSE))</f>
        <v>0</v>
      </c>
    </row>
    <row r="158" spans="1:25" x14ac:dyDescent="0.25">
      <c r="A158" s="37" t="s">
        <v>386</v>
      </c>
      <c r="B158" s="519" t="s">
        <v>30</v>
      </c>
      <c r="C158" s="519" t="s">
        <v>494</v>
      </c>
      <c r="D158" s="519" t="str">
        <f t="shared" si="5"/>
        <v>None</v>
      </c>
      <c r="E158" s="519" t="s">
        <v>1764</v>
      </c>
      <c r="F158" s="519" t="s">
        <v>1046</v>
      </c>
      <c r="G158" s="520">
        <v>52</v>
      </c>
      <c r="H158" s="475" t="s">
        <v>494</v>
      </c>
      <c r="I158" s="37">
        <f>VLOOKUP(H158,BoonRef!$AC$2:$AD$12,2,FALSE)</f>
        <v>0</v>
      </c>
      <c r="J158" s="470" t="s">
        <v>494</v>
      </c>
      <c r="K158" s="37">
        <f>VLOOKUP(J158,BoonRef!$AF$2:$AH$27,2,FALSE)</f>
        <v>0</v>
      </c>
      <c r="L158" s="37" t="s">
        <v>494</v>
      </c>
      <c r="M158" s="37">
        <f>VLOOKUP(L158,BoonRef!$AI$2:$AJ$42,2,FALSE)</f>
        <v>0</v>
      </c>
      <c r="N158" s="37" t="s">
        <v>347</v>
      </c>
      <c r="O158" s="37">
        <f>IF(N158="Yes",BoonRef!$AJ$56,0)</f>
        <v>0</v>
      </c>
      <c r="P158" s="37" t="s">
        <v>494</v>
      </c>
      <c r="Q158" s="37">
        <f>VLOOKUP(P158,BoonRef!$AI$43:$AJ$55,2,FALSE)</f>
        <v>0</v>
      </c>
      <c r="R158" s="470" t="s">
        <v>347</v>
      </c>
      <c r="S158" s="470">
        <f>IF(R158="Yes",BoonRef!$AJ$57,0)</f>
        <v>0</v>
      </c>
      <c r="T158" s="470" t="s">
        <v>346</v>
      </c>
      <c r="U158" s="37">
        <f>IF(T158="Yes",VLOOKUP(H158,BoonRef!$AC$2:$AE$12,3,FALSE),0)</f>
        <v>0</v>
      </c>
      <c r="V158" s="470" t="s">
        <v>347</v>
      </c>
      <c r="W158" s="470">
        <f>IF(V158="Yes",BoonRef!$AJ$57,0)</f>
        <v>0</v>
      </c>
      <c r="X158" s="470" t="s">
        <v>346</v>
      </c>
      <c r="Y158" s="111">
        <f>IF(OR(K158="V",J158="None"),0,VLOOKUP(J158,'Purchased Boons'!$AR$4:$AS$27,2,FALSE))</f>
        <v>0</v>
      </c>
    </row>
    <row r="159" spans="1:25" x14ac:dyDescent="0.25">
      <c r="A159" s="519" t="s">
        <v>961</v>
      </c>
      <c r="B159" s="519" t="s">
        <v>17</v>
      </c>
      <c r="C159" s="519" t="s">
        <v>956</v>
      </c>
      <c r="D159" s="519" t="str">
        <f t="shared" si="5"/>
        <v>1 + 0</v>
      </c>
      <c r="E159" s="519" t="s">
        <v>1054</v>
      </c>
      <c r="F159" s="519" t="s">
        <v>5</v>
      </c>
      <c r="G159" s="520">
        <v>70</v>
      </c>
      <c r="H159" s="475" t="s">
        <v>17</v>
      </c>
      <c r="I159" s="37">
        <f>VLOOKUP(H159,BoonRef!$AC$2:$AD$12,2,FALSE)</f>
        <v>1</v>
      </c>
      <c r="J159" s="470" t="s">
        <v>51</v>
      </c>
      <c r="K159" s="37">
        <f>VLOOKUP(J159,BoonRef!$AF$2:$AH$27,2,FALSE)</f>
        <v>0</v>
      </c>
      <c r="L159" s="37" t="s">
        <v>494</v>
      </c>
      <c r="M159" s="37">
        <f>VLOOKUP(L159,BoonRef!$AI$2:$AJ$42,2,FALSE)</f>
        <v>0</v>
      </c>
      <c r="N159" s="37" t="s">
        <v>347</v>
      </c>
      <c r="O159" s="37">
        <f>IF(N159="Yes",BoonRef!$AJ$56,0)</f>
        <v>0</v>
      </c>
      <c r="P159" s="37" t="s">
        <v>494</v>
      </c>
      <c r="Q159" s="37">
        <f>VLOOKUP(P159,BoonRef!$AI$43:$AJ$55,2,FALSE)</f>
        <v>0</v>
      </c>
      <c r="R159" s="470" t="s">
        <v>347</v>
      </c>
      <c r="S159" s="470">
        <f>IF(R159="Yes",BoonRef!$AJ$57,0)</f>
        <v>0</v>
      </c>
      <c r="T159" s="470" t="s">
        <v>346</v>
      </c>
      <c r="U159" s="37">
        <f>IF(T159="Yes",VLOOKUP(H159,BoonRef!$AC$2:$AE$12,3,FALSE),0)</f>
        <v>0</v>
      </c>
      <c r="V159" s="470" t="s">
        <v>347</v>
      </c>
      <c r="W159" s="470">
        <f>IF(V159="Yes",BoonRef!$AJ$57,0)</f>
        <v>0</v>
      </c>
      <c r="X159" s="470" t="s">
        <v>346</v>
      </c>
      <c r="Y159" s="111">
        <f>IF(OR(K159="V",J159="None"),0,VLOOKUP(J159,'Purchased Boons'!$AR$4:$AS$27,2,FALSE))</f>
        <v>0</v>
      </c>
    </row>
    <row r="160" spans="1:25" x14ac:dyDescent="0.25">
      <c r="A160" s="37" t="s">
        <v>399</v>
      </c>
      <c r="B160" s="519" t="s">
        <v>13</v>
      </c>
      <c r="C160" s="519" t="s">
        <v>494</v>
      </c>
      <c r="D160" s="519" t="str">
        <f t="shared" si="5"/>
        <v>None</v>
      </c>
      <c r="E160" s="519" t="s">
        <v>1764</v>
      </c>
      <c r="F160" s="519" t="s">
        <v>133</v>
      </c>
      <c r="G160" s="520">
        <v>128</v>
      </c>
      <c r="H160" s="475" t="s">
        <v>494</v>
      </c>
      <c r="I160" s="37">
        <f>VLOOKUP(H160,BoonRef!$AC$2:$AD$12,2,FALSE)</f>
        <v>0</v>
      </c>
      <c r="J160" s="470" t="s">
        <v>494</v>
      </c>
      <c r="K160" s="37">
        <f>VLOOKUP(J160,BoonRef!$AF$2:$AH$27,2,FALSE)</f>
        <v>0</v>
      </c>
      <c r="L160" s="37" t="s">
        <v>494</v>
      </c>
      <c r="M160" s="37">
        <f>VLOOKUP(L160,BoonRef!$AI$2:$AJ$42,2,FALSE)</f>
        <v>0</v>
      </c>
      <c r="N160" s="37" t="s">
        <v>347</v>
      </c>
      <c r="O160" s="37">
        <f>IF(N160="Yes",BoonRef!$AJ$56,0)</f>
        <v>0</v>
      </c>
      <c r="P160" s="37" t="s">
        <v>494</v>
      </c>
      <c r="Q160" s="37">
        <f>VLOOKUP(P160,BoonRef!$AI$43:$AJ$55,2,FALSE)</f>
        <v>0</v>
      </c>
      <c r="R160" s="470" t="s">
        <v>347</v>
      </c>
      <c r="S160" s="470">
        <f>IF(R160="Yes",BoonRef!$AJ$57,0)</f>
        <v>0</v>
      </c>
      <c r="T160" s="470" t="s">
        <v>346</v>
      </c>
      <c r="U160" s="37">
        <f>IF(T160="Yes",VLOOKUP(H160,BoonRef!$AC$2:$AE$12,3,FALSE),0)</f>
        <v>0</v>
      </c>
      <c r="V160" s="470" t="s">
        <v>347</v>
      </c>
      <c r="W160" s="470">
        <f>IF(V160="Yes",BoonRef!$AJ$57,0)</f>
        <v>0</v>
      </c>
      <c r="X160" s="470" t="s">
        <v>346</v>
      </c>
      <c r="Y160" s="111">
        <f>IF(OR(K160="V",J160="None"),0,VLOOKUP(J160,'Purchased Boons'!$AR$4:$AS$27,2,FALSE))</f>
        <v>0</v>
      </c>
    </row>
    <row r="161" spans="1:25" x14ac:dyDescent="0.25">
      <c r="A161" s="519" t="s">
        <v>978</v>
      </c>
      <c r="B161" s="519" t="s">
        <v>18</v>
      </c>
      <c r="C161" s="519" t="s">
        <v>975</v>
      </c>
      <c r="D161" s="519" t="str">
        <f t="shared" si="5"/>
        <v>1 + 0</v>
      </c>
      <c r="E161" s="519" t="s">
        <v>1052</v>
      </c>
      <c r="F161" s="519" t="s">
        <v>5</v>
      </c>
      <c r="G161" s="520">
        <v>72</v>
      </c>
      <c r="H161" s="475" t="s">
        <v>13</v>
      </c>
      <c r="I161" s="37">
        <f>VLOOKUP(H161,BoonRef!$AC$2:$AD$12,2,FALSE)</f>
        <v>1</v>
      </c>
      <c r="J161" s="470" t="s">
        <v>41</v>
      </c>
      <c r="K161" s="37">
        <f>VLOOKUP(J161,BoonRef!$AF$2:$AH$27,2,FALSE)</f>
        <v>0</v>
      </c>
      <c r="L161" s="37" t="s">
        <v>494</v>
      </c>
      <c r="M161" s="37">
        <f>VLOOKUP(L161,BoonRef!$AI$2:$AJ$42,2,FALSE)</f>
        <v>0</v>
      </c>
      <c r="N161" s="37" t="s">
        <v>347</v>
      </c>
      <c r="O161" s="37">
        <f>IF(N161="Yes",BoonRef!$AJ$56,0)</f>
        <v>0</v>
      </c>
      <c r="P161" s="37" t="s">
        <v>494</v>
      </c>
      <c r="Q161" s="37">
        <f>VLOOKUP(P161,BoonRef!$AI$43:$AJ$55,2,FALSE)</f>
        <v>0</v>
      </c>
      <c r="R161" s="470" t="s">
        <v>347</v>
      </c>
      <c r="S161" s="470">
        <f>IF(R161="Yes",BoonRef!$AJ$57,0)</f>
        <v>0</v>
      </c>
      <c r="T161" s="470" t="s">
        <v>346</v>
      </c>
      <c r="U161" s="37">
        <f>IF(T161="Yes",VLOOKUP(H161,BoonRef!$AC$2:$AE$12,3,FALSE),0)</f>
        <v>0</v>
      </c>
      <c r="V161" s="470" t="s">
        <v>347</v>
      </c>
      <c r="W161" s="470">
        <f>IF(V161="Yes",BoonRef!$AJ$57,0)</f>
        <v>0</v>
      </c>
      <c r="X161" s="470" t="s">
        <v>346</v>
      </c>
      <c r="Y161" s="111">
        <f>IF(OR(K161="V",J161="None"),0,VLOOKUP(J161,'Purchased Boons'!$AR$4:$AS$27,2,FALSE))</f>
        <v>0</v>
      </c>
    </row>
    <row r="162" spans="1:25" x14ac:dyDescent="0.25">
      <c r="A162" s="519" t="s">
        <v>418</v>
      </c>
      <c r="B162" s="519" t="s">
        <v>14</v>
      </c>
      <c r="C162" s="519" t="s">
        <v>494</v>
      </c>
      <c r="D162" s="519" t="str">
        <f t="shared" si="5"/>
        <v>None</v>
      </c>
      <c r="E162" s="519" t="s">
        <v>1764</v>
      </c>
      <c r="F162" s="519" t="s">
        <v>1046</v>
      </c>
      <c r="G162" s="520">
        <v>53</v>
      </c>
      <c r="H162" s="475" t="s">
        <v>494</v>
      </c>
      <c r="I162" s="37">
        <f>VLOOKUP(H162,BoonRef!$AC$2:$AD$12,2,FALSE)</f>
        <v>0</v>
      </c>
      <c r="J162" s="470" t="s">
        <v>494</v>
      </c>
      <c r="K162" s="37">
        <f>VLOOKUP(J162,BoonRef!$AF$2:$AH$27,2,FALSE)</f>
        <v>0</v>
      </c>
      <c r="L162" s="37" t="s">
        <v>494</v>
      </c>
      <c r="M162" s="37">
        <f>VLOOKUP(L162,BoonRef!$AI$2:$AJ$42,2,FALSE)</f>
        <v>0</v>
      </c>
      <c r="N162" s="37" t="s">
        <v>347</v>
      </c>
      <c r="O162" s="37">
        <f>IF(N162="Yes",BoonRef!$AJ$56,0)</f>
        <v>0</v>
      </c>
      <c r="P162" s="37" t="s">
        <v>494</v>
      </c>
      <c r="Q162" s="37">
        <f>VLOOKUP(P162,BoonRef!$AI$43:$AJ$55,2,FALSE)</f>
        <v>0</v>
      </c>
      <c r="R162" s="470" t="s">
        <v>347</v>
      </c>
      <c r="S162" s="470">
        <f>IF(R162="Yes",BoonRef!$AJ$57,0)</f>
        <v>0</v>
      </c>
      <c r="T162" s="470" t="s">
        <v>346</v>
      </c>
      <c r="U162" s="37">
        <f>IF(T162="Yes",VLOOKUP(H162,BoonRef!$AC$2:$AE$12,3,FALSE),0)</f>
        <v>0</v>
      </c>
      <c r="V162" s="470" t="s">
        <v>347</v>
      </c>
      <c r="W162" s="470">
        <f>IF(V162="Yes",BoonRef!$AJ$57,0)</f>
        <v>0</v>
      </c>
      <c r="X162" s="470" t="s">
        <v>346</v>
      </c>
      <c r="Y162" s="111">
        <f>IF(OR(K162="V",J162="None"),0,VLOOKUP(J162,'Purchased Boons'!$AR$4:$AS$27,2,FALSE))</f>
        <v>0</v>
      </c>
    </row>
    <row r="163" spans="1:25" x14ac:dyDescent="0.25">
      <c r="A163" s="519" t="s">
        <v>987</v>
      </c>
      <c r="B163" s="519" t="s">
        <v>19</v>
      </c>
      <c r="C163" s="519" t="s">
        <v>494</v>
      </c>
      <c r="D163" s="519" t="str">
        <f t="shared" si="5"/>
        <v>None</v>
      </c>
      <c r="E163" s="519" t="s">
        <v>1764</v>
      </c>
      <c r="F163" s="519" t="s">
        <v>133</v>
      </c>
      <c r="G163" s="520">
        <v>134</v>
      </c>
      <c r="H163" s="475" t="s">
        <v>494</v>
      </c>
      <c r="I163" s="37">
        <f>VLOOKUP(H163,BoonRef!$AC$2:$AD$12,2,FALSE)</f>
        <v>0</v>
      </c>
      <c r="J163" s="470" t="s">
        <v>494</v>
      </c>
      <c r="K163" s="37">
        <f>VLOOKUP(J163,BoonRef!$AF$2:$AH$27,2,FALSE)</f>
        <v>0</v>
      </c>
      <c r="L163" s="37" t="s">
        <v>494</v>
      </c>
      <c r="M163" s="37">
        <f>VLOOKUP(L163,BoonRef!$AI$2:$AJ$42,2,FALSE)</f>
        <v>0</v>
      </c>
      <c r="N163" s="37" t="s">
        <v>347</v>
      </c>
      <c r="O163" s="37">
        <f>IF(N163="Yes",BoonRef!$AJ$56,0)</f>
        <v>0</v>
      </c>
      <c r="P163" s="37" t="s">
        <v>494</v>
      </c>
      <c r="Q163" s="37">
        <f>VLOOKUP(P163,BoonRef!$AI$43:$AJ$55,2,FALSE)</f>
        <v>0</v>
      </c>
      <c r="R163" s="470" t="s">
        <v>347</v>
      </c>
      <c r="S163" s="470">
        <f>IF(R163="Yes",BoonRef!$AJ$57,0)</f>
        <v>0</v>
      </c>
      <c r="T163" s="470" t="s">
        <v>346</v>
      </c>
      <c r="U163" s="37">
        <f>IF(T163="Yes",VLOOKUP(H163,BoonRef!$AC$2:$AE$12,3,FALSE),0)</f>
        <v>0</v>
      </c>
      <c r="V163" s="470" t="s">
        <v>347</v>
      </c>
      <c r="W163" s="470">
        <f>IF(V163="Yes",BoonRef!$AJ$57,0)</f>
        <v>0</v>
      </c>
      <c r="X163" s="470" t="s">
        <v>346</v>
      </c>
      <c r="Y163" s="111">
        <f>IF(OR(K163="V",J163="None"),0,VLOOKUP(J163,'Purchased Boons'!$AR$4:$AS$27,2,FALSE))</f>
        <v>0</v>
      </c>
    </row>
    <row r="164" spans="1:25" x14ac:dyDescent="0.25">
      <c r="A164" s="519" t="s">
        <v>436</v>
      </c>
      <c r="B164" s="519" t="s">
        <v>16</v>
      </c>
      <c r="C164" s="519" t="s">
        <v>494</v>
      </c>
      <c r="D164" s="519" t="str">
        <f t="shared" si="5"/>
        <v>None</v>
      </c>
      <c r="E164" s="519" t="s">
        <v>1050</v>
      </c>
      <c r="F164" s="519" t="s">
        <v>1045</v>
      </c>
      <c r="G164" s="520">
        <v>60</v>
      </c>
      <c r="H164" s="475" t="s">
        <v>494</v>
      </c>
      <c r="I164" s="37">
        <f>VLOOKUP(H164,BoonRef!$AC$2:$AD$12,2,FALSE)</f>
        <v>0</v>
      </c>
      <c r="J164" s="470" t="s">
        <v>494</v>
      </c>
      <c r="K164" s="37">
        <f>VLOOKUP(J164,BoonRef!$AF$2:$AH$27,2,FALSE)</f>
        <v>0</v>
      </c>
      <c r="L164" s="37" t="s">
        <v>494</v>
      </c>
      <c r="M164" s="37">
        <f>VLOOKUP(L164,BoonRef!$AI$2:$AJ$42,2,FALSE)</f>
        <v>0</v>
      </c>
      <c r="N164" s="37" t="s">
        <v>347</v>
      </c>
      <c r="O164" s="37">
        <f>IF(N164="Yes",BoonRef!$AJ$56,0)</f>
        <v>0</v>
      </c>
      <c r="P164" s="37" t="s">
        <v>494</v>
      </c>
      <c r="Q164" s="37">
        <f>VLOOKUP(P164,BoonRef!$AI$43:$AJ$55,2,FALSE)</f>
        <v>0</v>
      </c>
      <c r="R164" s="470" t="s">
        <v>347</v>
      </c>
      <c r="S164" s="470">
        <f>IF(R164="Yes",BoonRef!$AJ$57,0)</f>
        <v>0</v>
      </c>
      <c r="T164" s="470" t="s">
        <v>346</v>
      </c>
      <c r="U164" s="37">
        <f>IF(T164="Yes",VLOOKUP(H164,BoonRef!$AC$2:$AE$12,3,FALSE),0)</f>
        <v>0</v>
      </c>
      <c r="V164" s="470" t="s">
        <v>347</v>
      </c>
      <c r="W164" s="470">
        <f>IF(V164="Yes",BoonRef!$AJ$57,0)</f>
        <v>0</v>
      </c>
      <c r="X164" s="470" t="s">
        <v>346</v>
      </c>
      <c r="Y164" s="111">
        <f>IF(OR(K164="V",J164="None"),0,VLOOKUP(J164,'Purchased Boons'!$AR$4:$AS$27,2,FALSE))</f>
        <v>0</v>
      </c>
    </row>
    <row r="165" spans="1:25" x14ac:dyDescent="0.25">
      <c r="A165" s="37" t="s">
        <v>400</v>
      </c>
      <c r="B165" s="519" t="s">
        <v>13</v>
      </c>
      <c r="C165" s="519" t="s">
        <v>494</v>
      </c>
      <c r="D165" s="519" t="str">
        <f t="shared" si="5"/>
        <v>None</v>
      </c>
      <c r="E165" s="519" t="s">
        <v>1056</v>
      </c>
      <c r="F165" s="519" t="s">
        <v>133</v>
      </c>
      <c r="G165" s="520">
        <v>128</v>
      </c>
      <c r="H165" s="475" t="s">
        <v>494</v>
      </c>
      <c r="I165" s="37">
        <f>VLOOKUP(H165,BoonRef!$AC$2:$AD$12,2,FALSE)</f>
        <v>0</v>
      </c>
      <c r="J165" s="470" t="s">
        <v>494</v>
      </c>
      <c r="K165" s="37">
        <f>VLOOKUP(J165,BoonRef!$AF$2:$AH$27,2,FALSE)</f>
        <v>0</v>
      </c>
      <c r="L165" s="37" t="s">
        <v>494</v>
      </c>
      <c r="M165" s="37">
        <f>VLOOKUP(L165,BoonRef!$AI$2:$AJ$42,2,FALSE)</f>
        <v>0</v>
      </c>
      <c r="N165" s="37" t="s">
        <v>347</v>
      </c>
      <c r="O165" s="37">
        <f>IF(N165="Yes",BoonRef!$AJ$56,0)</f>
        <v>0</v>
      </c>
      <c r="P165" s="37" t="s">
        <v>494</v>
      </c>
      <c r="Q165" s="37">
        <f>VLOOKUP(P165,BoonRef!$AI$43:$AJ$55,2,FALSE)</f>
        <v>0</v>
      </c>
      <c r="R165" s="470" t="s">
        <v>347</v>
      </c>
      <c r="S165" s="470">
        <f>IF(R165="Yes",BoonRef!$AJ$57,0)</f>
        <v>0</v>
      </c>
      <c r="T165" s="470" t="s">
        <v>346</v>
      </c>
      <c r="U165" s="37">
        <f>IF(T165="Yes",VLOOKUP(H165,BoonRef!$AC$2:$AE$12,3,FALSE),0)</f>
        <v>0</v>
      </c>
      <c r="V165" s="470" t="s">
        <v>347</v>
      </c>
      <c r="W165" s="470">
        <f>IF(V165="Yes",BoonRef!$AJ$57,0)</f>
        <v>0</v>
      </c>
      <c r="X165" s="470" t="s">
        <v>346</v>
      </c>
      <c r="Y165" s="111">
        <f>IF(OR(K165="V",J165="None"),0,VLOOKUP(J165,'Purchased Boons'!$AR$4:$AS$27,2,FALSE))</f>
        <v>0</v>
      </c>
    </row>
    <row r="166" spans="1:25" x14ac:dyDescent="0.25">
      <c r="A166" s="519" t="s">
        <v>979</v>
      </c>
      <c r="B166" s="519" t="s">
        <v>18</v>
      </c>
      <c r="C166" s="519" t="s">
        <v>978</v>
      </c>
      <c r="D166" s="519" t="str">
        <f t="shared" si="5"/>
        <v>None</v>
      </c>
      <c r="E166" s="519" t="s">
        <v>1050</v>
      </c>
      <c r="F166" s="519" t="s">
        <v>5</v>
      </c>
      <c r="G166" s="520">
        <v>72</v>
      </c>
      <c r="H166" s="475" t="s">
        <v>494</v>
      </c>
      <c r="I166" s="37">
        <f>VLOOKUP(H166,BoonRef!$AC$2:$AD$12,2,FALSE)</f>
        <v>0</v>
      </c>
      <c r="J166" s="470" t="s">
        <v>494</v>
      </c>
      <c r="K166" s="37">
        <f>VLOOKUP(J166,BoonRef!$AF$2:$AH$27,2,FALSE)</f>
        <v>0</v>
      </c>
      <c r="L166" s="37" t="s">
        <v>494</v>
      </c>
      <c r="M166" s="37">
        <f>VLOOKUP(L166,BoonRef!$AI$2:$AJ$42,2,FALSE)</f>
        <v>0</v>
      </c>
      <c r="N166" s="37" t="s">
        <v>347</v>
      </c>
      <c r="O166" s="37">
        <f>IF(N166="Yes",BoonRef!$AJ$56,0)</f>
        <v>0</v>
      </c>
      <c r="P166" s="37" t="s">
        <v>494</v>
      </c>
      <c r="Q166" s="37">
        <f>VLOOKUP(P166,BoonRef!$AI$43:$AJ$55,2,FALSE)</f>
        <v>0</v>
      </c>
      <c r="R166" s="470" t="s">
        <v>347</v>
      </c>
      <c r="S166" s="470">
        <f>IF(R166="Yes",BoonRef!$AJ$57,0)</f>
        <v>0</v>
      </c>
      <c r="T166" s="470" t="s">
        <v>346</v>
      </c>
      <c r="U166" s="37">
        <f>IF(T166="Yes",VLOOKUP(H166,BoonRef!$AC$2:$AE$12,3,FALSE),0)</f>
        <v>0</v>
      </c>
      <c r="V166" s="470" t="s">
        <v>347</v>
      </c>
      <c r="W166" s="470">
        <f>IF(V166="Yes",BoonRef!$AJ$57,0)</f>
        <v>0</v>
      </c>
      <c r="X166" s="470" t="s">
        <v>346</v>
      </c>
      <c r="Y166" s="111">
        <f>IF(OR(K166="V",J166="None"),0,VLOOKUP(J166,'Purchased Boons'!$AR$4:$AS$27,2,FALSE))</f>
        <v>0</v>
      </c>
    </row>
    <row r="167" spans="1:25" x14ac:dyDescent="0.25">
      <c r="A167" s="37" t="s">
        <v>104</v>
      </c>
      <c r="B167" s="519" t="s">
        <v>30</v>
      </c>
      <c r="C167" s="519" t="s">
        <v>494</v>
      </c>
      <c r="D167" s="519" t="str">
        <f t="shared" si="5"/>
        <v>None</v>
      </c>
      <c r="E167" s="519" t="s">
        <v>1050</v>
      </c>
      <c r="F167" s="519" t="s">
        <v>133</v>
      </c>
      <c r="G167" s="520">
        <v>127</v>
      </c>
      <c r="H167" s="475" t="s">
        <v>494</v>
      </c>
      <c r="I167" s="37">
        <f>VLOOKUP(H167,BoonRef!$AC$2:$AD$12,2,FALSE)</f>
        <v>0</v>
      </c>
      <c r="J167" s="470" t="s">
        <v>494</v>
      </c>
      <c r="K167" s="37">
        <f>VLOOKUP(J167,BoonRef!$AF$2:$AH$27,2,FALSE)</f>
        <v>0</v>
      </c>
      <c r="L167" s="37" t="s">
        <v>494</v>
      </c>
      <c r="M167" s="37">
        <f>VLOOKUP(L167,BoonRef!$AI$2:$AJ$42,2,FALSE)</f>
        <v>0</v>
      </c>
      <c r="N167" s="37" t="s">
        <v>347</v>
      </c>
      <c r="O167" s="37">
        <f>IF(N167="Yes",BoonRef!$AJ$56,0)</f>
        <v>0</v>
      </c>
      <c r="P167" s="37" t="s">
        <v>494</v>
      </c>
      <c r="Q167" s="37">
        <f>VLOOKUP(P167,BoonRef!$AI$43:$AJ$55,2,FALSE)</f>
        <v>0</v>
      </c>
      <c r="R167" s="470" t="s">
        <v>347</v>
      </c>
      <c r="S167" s="470">
        <f>IF(R167="Yes",BoonRef!$AJ$57,0)</f>
        <v>0</v>
      </c>
      <c r="T167" s="470" t="s">
        <v>346</v>
      </c>
      <c r="U167" s="37">
        <f>IF(T167="Yes",VLOOKUP(H167,BoonRef!$AC$2:$AE$12,3,FALSE),0)</f>
        <v>0</v>
      </c>
      <c r="V167" s="470" t="s">
        <v>347</v>
      </c>
      <c r="W167" s="470">
        <f>IF(V167="Yes",BoonRef!$AJ$57,0)</f>
        <v>0</v>
      </c>
      <c r="X167" s="470" t="s">
        <v>346</v>
      </c>
      <c r="Y167" s="111">
        <f>IF(OR(K167="V",J167="None"),0,VLOOKUP(J167,'Purchased Boons'!$AR$4:$AS$27,2,FALSE))</f>
        <v>0</v>
      </c>
    </row>
    <row r="168" spans="1:25" x14ac:dyDescent="0.25">
      <c r="A168" s="519" t="s">
        <v>982</v>
      </c>
      <c r="B168" s="519" t="s">
        <v>18</v>
      </c>
      <c r="C168" s="519" t="s">
        <v>494</v>
      </c>
      <c r="D168" s="519" t="str">
        <f t="shared" si="5"/>
        <v>None</v>
      </c>
      <c r="E168" s="519" t="s">
        <v>1055</v>
      </c>
      <c r="F168" s="519" t="s">
        <v>1046</v>
      </c>
      <c r="G168" s="520">
        <v>56</v>
      </c>
      <c r="H168" s="475" t="s">
        <v>494</v>
      </c>
      <c r="I168" s="37">
        <f>VLOOKUP(H168,BoonRef!$AC$2:$AD$12,2,FALSE)</f>
        <v>0</v>
      </c>
      <c r="J168" s="470" t="s">
        <v>494</v>
      </c>
      <c r="K168" s="37">
        <f>VLOOKUP(J168,BoonRef!$AF$2:$AH$27,2,FALSE)</f>
        <v>0</v>
      </c>
      <c r="L168" s="37" t="s">
        <v>494</v>
      </c>
      <c r="M168" s="37">
        <f>VLOOKUP(L168,BoonRef!$AI$2:$AJ$42,2,FALSE)</f>
        <v>0</v>
      </c>
      <c r="N168" s="37" t="s">
        <v>347</v>
      </c>
      <c r="O168" s="37">
        <f>IF(N168="Yes",BoonRef!$AJ$56,0)</f>
        <v>0</v>
      </c>
      <c r="P168" s="37" t="s">
        <v>494</v>
      </c>
      <c r="Q168" s="37">
        <f>VLOOKUP(P168,BoonRef!$AI$43:$AJ$55,2,FALSE)</f>
        <v>0</v>
      </c>
      <c r="R168" s="470" t="s">
        <v>347</v>
      </c>
      <c r="S168" s="470">
        <f>IF(R168="Yes",BoonRef!$AJ$57,0)</f>
        <v>0</v>
      </c>
      <c r="T168" s="470" t="s">
        <v>346</v>
      </c>
      <c r="U168" s="37">
        <f>IF(T168="Yes",VLOOKUP(H168,BoonRef!$AC$2:$AE$12,3,FALSE),0)</f>
        <v>0</v>
      </c>
      <c r="V168" s="470" t="s">
        <v>347</v>
      </c>
      <c r="W168" s="470">
        <f>IF(V168="Yes",BoonRef!$AJ$57,0)</f>
        <v>0</v>
      </c>
      <c r="X168" s="470" t="s">
        <v>346</v>
      </c>
      <c r="Y168" s="111">
        <f>IF(OR(K168="V",J168="None"),0,VLOOKUP(J168,'Purchased Boons'!$AR$4:$AS$27,2,FALSE))</f>
        <v>0</v>
      </c>
    </row>
    <row r="169" spans="1:25" x14ac:dyDescent="0.25">
      <c r="A169" s="519" t="s">
        <v>1015</v>
      </c>
      <c r="B169" s="519" t="s">
        <v>20</v>
      </c>
      <c r="C169" s="519" t="s">
        <v>1002</v>
      </c>
      <c r="D169" s="519" t="str">
        <f t="shared" si="5"/>
        <v>None</v>
      </c>
      <c r="E169" s="519" t="s">
        <v>494</v>
      </c>
      <c r="F169" s="519" t="s">
        <v>5</v>
      </c>
      <c r="G169" s="520">
        <v>75</v>
      </c>
      <c r="H169" s="475" t="s">
        <v>494</v>
      </c>
      <c r="I169" s="37">
        <f>VLOOKUP(H169,BoonRef!$AC$2:$AD$12,2,FALSE)</f>
        <v>0</v>
      </c>
      <c r="J169" s="470" t="s">
        <v>494</v>
      </c>
      <c r="K169" s="37">
        <f>VLOOKUP(J169,BoonRef!$AF$2:$AH$27,2,FALSE)</f>
        <v>0</v>
      </c>
      <c r="L169" s="37" t="s">
        <v>494</v>
      </c>
      <c r="M169" s="37">
        <f>VLOOKUP(L169,BoonRef!$AI$2:$AJ$42,2,FALSE)</f>
        <v>0</v>
      </c>
      <c r="N169" s="37" t="s">
        <v>347</v>
      </c>
      <c r="O169" s="37">
        <f>IF(N169="Yes",BoonRef!$AJ$56,0)</f>
        <v>0</v>
      </c>
      <c r="P169" s="37" t="s">
        <v>494</v>
      </c>
      <c r="Q169" s="37">
        <f>VLOOKUP(P169,BoonRef!$AI$43:$AJ$55,2,FALSE)</f>
        <v>0</v>
      </c>
      <c r="R169" s="470" t="s">
        <v>347</v>
      </c>
      <c r="S169" s="470">
        <f>IF(R169="Yes",BoonRef!$AJ$57,0)</f>
        <v>0</v>
      </c>
      <c r="T169" s="470" t="s">
        <v>346</v>
      </c>
      <c r="U169" s="37">
        <f>IF(T169="Yes",VLOOKUP(H169,BoonRef!$AC$2:$AE$12,3,FALSE),0)</f>
        <v>0</v>
      </c>
      <c r="V169" s="470" t="s">
        <v>347</v>
      </c>
      <c r="W169" s="470">
        <f>IF(V169="Yes",BoonRef!$AJ$57,0)</f>
        <v>0</v>
      </c>
      <c r="X169" s="470" t="s">
        <v>346</v>
      </c>
      <c r="Y169" s="111">
        <f>IF(OR(K169="V",J169="None"),0,VLOOKUP(J169,'Purchased Boons'!$AR$4:$AS$27,2,FALSE))</f>
        <v>0</v>
      </c>
    </row>
    <row r="170" spans="1:25" x14ac:dyDescent="0.25">
      <c r="A170" s="519" t="s">
        <v>1040</v>
      </c>
      <c r="B170" s="519" t="s">
        <v>14</v>
      </c>
      <c r="C170" s="519" t="s">
        <v>494</v>
      </c>
      <c r="D170" s="519" t="str">
        <f t="shared" si="5"/>
        <v>None</v>
      </c>
      <c r="E170" s="519" t="s">
        <v>1050</v>
      </c>
      <c r="F170" s="519" t="s">
        <v>350</v>
      </c>
      <c r="G170" s="520">
        <v>33</v>
      </c>
      <c r="H170" s="475" t="s">
        <v>494</v>
      </c>
      <c r="I170" s="37">
        <f>VLOOKUP(H170,BoonRef!$AC$2:$AD$12,2,FALSE)</f>
        <v>0</v>
      </c>
      <c r="J170" s="470" t="s">
        <v>494</v>
      </c>
      <c r="K170" s="37">
        <f>VLOOKUP(J170,BoonRef!$AF$2:$AH$27,2,FALSE)</f>
        <v>0</v>
      </c>
      <c r="L170" s="37" t="s">
        <v>494</v>
      </c>
      <c r="M170" s="37">
        <f>VLOOKUP(L170,BoonRef!$AI$2:$AJ$42,2,FALSE)</f>
        <v>0</v>
      </c>
      <c r="N170" s="37" t="s">
        <v>347</v>
      </c>
      <c r="O170" s="37">
        <f>IF(N170="Yes",BoonRef!$AJ$56,0)</f>
        <v>0</v>
      </c>
      <c r="P170" s="37" t="s">
        <v>494</v>
      </c>
      <c r="Q170" s="37">
        <f>VLOOKUP(P170,BoonRef!$AI$43:$AJ$55,2,FALSE)</f>
        <v>0</v>
      </c>
      <c r="R170" s="470" t="s">
        <v>347</v>
      </c>
      <c r="S170" s="470">
        <f>IF(R170="Yes",BoonRef!$AJ$57,0)</f>
        <v>0</v>
      </c>
      <c r="T170" s="470" t="s">
        <v>346</v>
      </c>
      <c r="U170" s="37">
        <f>IF(T170="Yes",VLOOKUP(H170,BoonRef!$AC$2:$AE$12,3,FALSE),0)</f>
        <v>0</v>
      </c>
      <c r="V170" s="470" t="s">
        <v>347</v>
      </c>
      <c r="W170" s="470">
        <f>IF(V170="Yes",BoonRef!$AJ$57,0)</f>
        <v>0</v>
      </c>
      <c r="X170" s="470" t="s">
        <v>346</v>
      </c>
      <c r="Y170" s="111">
        <f>IF(OR(K170="V",J170="None"),0,VLOOKUP(J170,'Purchased Boons'!$AR$4:$AS$27,2,FALSE))</f>
        <v>0</v>
      </c>
    </row>
    <row r="171" spans="1:25" x14ac:dyDescent="0.25">
      <c r="A171" s="37" t="s">
        <v>401</v>
      </c>
      <c r="B171" s="519" t="s">
        <v>13</v>
      </c>
      <c r="C171" s="519" t="s">
        <v>400</v>
      </c>
      <c r="D171" s="519" t="str">
        <f t="shared" si="5"/>
        <v>None</v>
      </c>
      <c r="E171" s="519" t="s">
        <v>1056</v>
      </c>
      <c r="F171" s="519" t="s">
        <v>1045</v>
      </c>
      <c r="G171" s="520">
        <v>57</v>
      </c>
      <c r="H171" s="475" t="s">
        <v>494</v>
      </c>
      <c r="I171" s="37">
        <f>VLOOKUP(H171,BoonRef!$AC$2:$AD$12,2,FALSE)</f>
        <v>0</v>
      </c>
      <c r="J171" s="470" t="s">
        <v>494</v>
      </c>
      <c r="K171" s="37">
        <f>VLOOKUP(J171,BoonRef!$AF$2:$AH$27,2,FALSE)</f>
        <v>0</v>
      </c>
      <c r="L171" s="37" t="s">
        <v>494</v>
      </c>
      <c r="M171" s="37">
        <f>VLOOKUP(L171,BoonRef!$AI$2:$AJ$42,2,FALSE)</f>
        <v>0</v>
      </c>
      <c r="N171" s="37" t="s">
        <v>347</v>
      </c>
      <c r="O171" s="37">
        <f>IF(N171="Yes",BoonRef!$AJ$56,0)</f>
        <v>0</v>
      </c>
      <c r="P171" s="37" t="s">
        <v>494</v>
      </c>
      <c r="Q171" s="37">
        <f>VLOOKUP(P171,BoonRef!$AI$43:$AJ$55,2,FALSE)</f>
        <v>0</v>
      </c>
      <c r="R171" s="470" t="s">
        <v>347</v>
      </c>
      <c r="S171" s="470">
        <f>IF(R171="Yes",BoonRef!$AJ$57,0)</f>
        <v>0</v>
      </c>
      <c r="T171" s="470" t="s">
        <v>346</v>
      </c>
      <c r="U171" s="37">
        <f>IF(T171="Yes",VLOOKUP(H171,BoonRef!$AC$2:$AE$12,3,FALSE),0)</f>
        <v>0</v>
      </c>
      <c r="V171" s="470" t="s">
        <v>347</v>
      </c>
      <c r="W171" s="470">
        <f>IF(V171="Yes",BoonRef!$AJ$57,0)</f>
        <v>0</v>
      </c>
      <c r="X171" s="470" t="s">
        <v>346</v>
      </c>
      <c r="Y171" s="111">
        <f>IF(OR(K171="V",J171="None"),0,VLOOKUP(J171,'Purchased Boons'!$AR$4:$AS$27,2,FALSE))</f>
        <v>0</v>
      </c>
    </row>
    <row r="172" spans="1:25" ht="15.75" thickBot="1" x14ac:dyDescent="0.3">
      <c r="A172" s="519" t="s">
        <v>1010</v>
      </c>
      <c r="B172" s="519" t="s">
        <v>20</v>
      </c>
      <c r="C172" s="519" t="s">
        <v>494</v>
      </c>
      <c r="D172" s="519" t="str">
        <f t="shared" si="5"/>
        <v>None</v>
      </c>
      <c r="E172" s="519" t="s">
        <v>1764</v>
      </c>
      <c r="F172" s="519" t="s">
        <v>1045</v>
      </c>
      <c r="G172" s="520">
        <v>65</v>
      </c>
      <c r="H172" s="518" t="s">
        <v>494</v>
      </c>
      <c r="I172" s="479">
        <f>VLOOKUP(H172,BoonRef!$AC$2:$AD$12,2,FALSE)</f>
        <v>0</v>
      </c>
      <c r="J172" s="478" t="s">
        <v>494</v>
      </c>
      <c r="K172" s="479">
        <f>VLOOKUP(J172,BoonRef!$AF$2:$AH$27,2,FALSE)</f>
        <v>0</v>
      </c>
      <c r="L172" s="479" t="s">
        <v>494</v>
      </c>
      <c r="M172" s="479">
        <f>VLOOKUP(L172,BoonRef!$AI$2:$AJ$42,2,FALSE)</f>
        <v>0</v>
      </c>
      <c r="N172" s="479" t="s">
        <v>347</v>
      </c>
      <c r="O172" s="479">
        <f>IF(N172="Yes",BoonRef!$AJ$56,0)</f>
        <v>0</v>
      </c>
      <c r="P172" s="479" t="s">
        <v>494</v>
      </c>
      <c r="Q172" s="479">
        <f>VLOOKUP(P172,BoonRef!$AI$43:$AJ$55,2,FALSE)</f>
        <v>0</v>
      </c>
      <c r="R172" s="478" t="s">
        <v>347</v>
      </c>
      <c r="S172" s="478">
        <f>IF(R172="Yes",BoonRef!$AJ$57,0)</f>
        <v>0</v>
      </c>
      <c r="T172" s="478" t="s">
        <v>346</v>
      </c>
      <c r="U172" s="479">
        <f>IF(T172="Yes",VLOOKUP(H172,BoonRef!$AC$2:$AE$12,3,FALSE),0)</f>
        <v>0</v>
      </c>
      <c r="V172" s="478" t="s">
        <v>347</v>
      </c>
      <c r="W172" s="478">
        <f>IF(V172="Yes",BoonRef!$AJ$57,0)</f>
        <v>0</v>
      </c>
      <c r="X172" s="478" t="s">
        <v>346</v>
      </c>
      <c r="Y172" s="112">
        <f>IF(OR(K172="V",J172="None"),0,VLOOKUP(J172,'Purchased Boons'!$AR$4:$AS$27,2,FALSE))</f>
        <v>0</v>
      </c>
    </row>
  </sheetData>
  <sheetProtection password="E9C2" sheet="1" objects="1" scenarios="1" selectLockedCells="1" selectUnlockedCells="1"/>
  <sortState ref="A2:Y172">
    <sortCondition ref="A2:A172"/>
  </sortState>
  <dataValidations count="5">
    <dataValidation type="list" allowBlank="1" showInputMessage="1" showErrorMessage="1" sqref="P2:P172">
      <formula1>BRList4</formula1>
    </dataValidation>
    <dataValidation type="list" allowBlank="1" showInputMessage="1" showErrorMessage="1" sqref="L2:L172">
      <formula1>BRList3</formula1>
    </dataValidation>
    <dataValidation type="list" allowBlank="1" showInputMessage="1" showErrorMessage="1" sqref="J2:J172">
      <formula1>BRList2</formula1>
    </dataValidation>
    <dataValidation type="list" allowBlank="1" showInputMessage="1" showErrorMessage="1" sqref="H2:H172">
      <formula1>BRList1</formula1>
    </dataValidation>
    <dataValidation type="list" allowBlank="1" showInputMessage="1" showErrorMessage="1" sqref="T2:T172 X2:X172 V2:V172 R2:R172">
      <formula1>Test</formula1>
    </dataValidation>
  </dataValidations>
  <pageMargins left="0.7" right="0.7" top="0.75" bottom="0.75" header="0.3" footer="0.3"/>
  <pageSetup scale="62" orientation="portrait" r:id="rId1"/>
  <colBreaks count="1" manualBreakCount="1">
    <brk id="7" max="17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S278"/>
  <sheetViews>
    <sheetView view="pageBreakPreview" topLeftCell="J1" zoomScale="75" zoomScaleNormal="90" zoomScaleSheetLayoutView="75" workbookViewId="0">
      <selection sqref="A1:I1048576"/>
    </sheetView>
  </sheetViews>
  <sheetFormatPr defaultRowHeight="15" x14ac:dyDescent="0.25"/>
  <cols>
    <col min="1" max="1" width="18.28515625" style="15" hidden="1" customWidth="1"/>
    <col min="2" max="2" width="17.5703125" style="15" hidden="1" customWidth="1"/>
    <col min="3" max="3" width="12.5703125" style="15" hidden="1" customWidth="1"/>
    <col min="4" max="6" width="14.28515625" style="15" hidden="1" customWidth="1"/>
    <col min="7" max="7" width="12.5703125" style="15" hidden="1" customWidth="1"/>
    <col min="8" max="8" width="84.42578125" style="2" hidden="1" customWidth="1"/>
    <col min="9" max="9" width="80.140625" style="2" hidden="1" customWidth="1"/>
    <col min="10" max="15" width="9.140625" style="15" customWidth="1"/>
    <col min="16" max="16384" width="9.140625" style="15"/>
  </cols>
  <sheetData>
    <row r="1" spans="1:19" x14ac:dyDescent="0.25">
      <c r="A1" s="1" t="s">
        <v>3</v>
      </c>
      <c r="B1" s="1" t="s">
        <v>129</v>
      </c>
      <c r="C1" s="1" t="s">
        <v>150</v>
      </c>
      <c r="D1" s="1" t="s">
        <v>151</v>
      </c>
      <c r="E1" s="1" t="s">
        <v>152</v>
      </c>
      <c r="F1" s="1" t="s">
        <v>153</v>
      </c>
    </row>
    <row r="2" spans="1:19" x14ac:dyDescent="0.25">
      <c r="A2" s="2" t="s">
        <v>59</v>
      </c>
      <c r="B2" s="1"/>
      <c r="C2" s="3"/>
      <c r="D2" s="3"/>
      <c r="E2" s="3"/>
      <c r="F2" s="3"/>
    </row>
    <row r="3" spans="1:19" x14ac:dyDescent="0.25">
      <c r="A3" s="2" t="s">
        <v>154</v>
      </c>
      <c r="B3" s="2" t="s">
        <v>155</v>
      </c>
      <c r="C3" s="2" t="s">
        <v>156</v>
      </c>
      <c r="D3" s="2" t="s">
        <v>157</v>
      </c>
      <c r="E3" s="2" t="s">
        <v>158</v>
      </c>
      <c r="F3" s="2" t="s">
        <v>159</v>
      </c>
    </row>
    <row r="4" spans="1:19" x14ac:dyDescent="0.25">
      <c r="A4" s="2" t="str">
        <f>IF('House Rules'!B4="Available","Allied","")</f>
        <v>Allied</v>
      </c>
      <c r="B4" s="2" t="s">
        <v>182</v>
      </c>
      <c r="C4" s="2" t="s">
        <v>167</v>
      </c>
      <c r="D4" s="2" t="s">
        <v>162</v>
      </c>
      <c r="E4" s="2" t="s">
        <v>157</v>
      </c>
      <c r="F4" s="2" t="s">
        <v>164</v>
      </c>
    </row>
    <row r="5" spans="1:19" x14ac:dyDescent="0.25">
      <c r="A5" s="2" t="s">
        <v>160</v>
      </c>
      <c r="B5" s="2" t="s">
        <v>691</v>
      </c>
      <c r="C5" s="2" t="s">
        <v>162</v>
      </c>
      <c r="D5" s="2" t="s">
        <v>157</v>
      </c>
      <c r="E5" s="2" t="s">
        <v>163</v>
      </c>
      <c r="F5" s="2" t="s">
        <v>164</v>
      </c>
      <c r="H5" s="15"/>
      <c r="I5" s="15"/>
    </row>
    <row r="6" spans="1:19" x14ac:dyDescent="0.25">
      <c r="A6" s="2" t="s">
        <v>1356</v>
      </c>
      <c r="B6" s="2" t="s">
        <v>1343</v>
      </c>
      <c r="C6" s="2" t="s">
        <v>158</v>
      </c>
      <c r="D6" s="2" t="s">
        <v>169</v>
      </c>
      <c r="E6" s="2" t="s">
        <v>163</v>
      </c>
      <c r="F6" s="2" t="s">
        <v>164</v>
      </c>
      <c r="H6" s="15"/>
      <c r="I6" s="15"/>
    </row>
    <row r="7" spans="1:19" x14ac:dyDescent="0.25">
      <c r="A7" s="2" t="s">
        <v>165</v>
      </c>
      <c r="B7" s="2" t="s">
        <v>166</v>
      </c>
      <c r="C7" s="2" t="s">
        <v>167</v>
      </c>
      <c r="D7" s="2" t="s">
        <v>156</v>
      </c>
      <c r="E7" s="2" t="s">
        <v>162</v>
      </c>
      <c r="F7" s="2" t="s">
        <v>159</v>
      </c>
    </row>
    <row r="8" spans="1:19" x14ac:dyDescent="0.25">
      <c r="A8" s="2" t="str">
        <f>IF('House Rules'!B4="Available","Celestial_Bureaucracy","")</f>
        <v>Celestial_Bureaucracy</v>
      </c>
      <c r="B8" s="2" t="s">
        <v>168</v>
      </c>
      <c r="C8" s="2" t="s">
        <v>162</v>
      </c>
      <c r="D8" s="2" t="s">
        <v>169</v>
      </c>
      <c r="E8" s="2" t="s">
        <v>163</v>
      </c>
      <c r="F8" s="2" t="s">
        <v>164</v>
      </c>
    </row>
    <row r="9" spans="1:19" x14ac:dyDescent="0.25">
      <c r="A9" s="2" t="str">
        <f>IF('House Rules'!B4="Available","Devas","")</f>
        <v>Devas</v>
      </c>
      <c r="B9" s="2" t="s">
        <v>170</v>
      </c>
      <c r="C9" s="2" t="s">
        <v>157</v>
      </c>
      <c r="D9" s="2" t="s">
        <v>169</v>
      </c>
      <c r="E9" s="2" t="s">
        <v>163</v>
      </c>
      <c r="F9" s="2" t="s">
        <v>171</v>
      </c>
    </row>
    <row r="10" spans="1:19" x14ac:dyDescent="0.25">
      <c r="A10" s="2" t="s">
        <v>172</v>
      </c>
      <c r="B10" s="2" t="s">
        <v>87</v>
      </c>
      <c r="C10" s="2" t="s">
        <v>158</v>
      </c>
      <c r="D10" s="2" t="s">
        <v>163</v>
      </c>
      <c r="E10" s="2" t="s">
        <v>164</v>
      </c>
      <c r="F10" s="2" t="s">
        <v>173</v>
      </c>
    </row>
    <row r="11" spans="1:19" x14ac:dyDescent="0.25">
      <c r="A11" s="2" t="s">
        <v>174</v>
      </c>
      <c r="B11" s="2" t="s">
        <v>175</v>
      </c>
      <c r="C11" s="2" t="s">
        <v>169</v>
      </c>
      <c r="D11" s="2" t="s">
        <v>171</v>
      </c>
      <c r="E11" s="2" t="s">
        <v>176</v>
      </c>
      <c r="F11" s="2" t="s">
        <v>173</v>
      </c>
    </row>
    <row r="12" spans="1:19" x14ac:dyDescent="0.25">
      <c r="A12" s="2" t="s">
        <v>177</v>
      </c>
      <c r="B12" s="2" t="s">
        <v>178</v>
      </c>
      <c r="C12" s="2" t="s">
        <v>167</v>
      </c>
      <c r="D12" s="2" t="s">
        <v>169</v>
      </c>
      <c r="E12" s="2" t="s">
        <v>171</v>
      </c>
      <c r="F12" s="2" t="s">
        <v>176</v>
      </c>
    </row>
    <row r="13" spans="1:19" x14ac:dyDescent="0.25">
      <c r="A13" s="2" t="str">
        <f>IF('House Rules'!B4="Available","Tuatha","")</f>
        <v>Tuatha</v>
      </c>
      <c r="B13" s="2" t="s">
        <v>179</v>
      </c>
      <c r="C13" s="2" t="s">
        <v>156</v>
      </c>
      <c r="D13" s="2" t="s">
        <v>158</v>
      </c>
      <c r="E13" s="2" t="s">
        <v>163</v>
      </c>
      <c r="F13" s="2" t="s">
        <v>176</v>
      </c>
    </row>
    <row r="14" spans="1:19" x14ac:dyDescent="0.25">
      <c r="A14" s="2" t="str">
        <f>IF('House Rules'!B4="Available","Yankee","")</f>
        <v>Yankee</v>
      </c>
      <c r="B14" s="2" t="s">
        <v>181</v>
      </c>
      <c r="C14" s="2" t="s">
        <v>167</v>
      </c>
      <c r="D14" s="2" t="s">
        <v>162</v>
      </c>
      <c r="E14" s="2" t="s">
        <v>163</v>
      </c>
      <c r="F14" s="2" t="s">
        <v>164</v>
      </c>
    </row>
    <row r="15" spans="1:19" x14ac:dyDescent="0.25">
      <c r="A15" s="2" t="str">
        <f>IF('House Rules'!B5="Available","Yazata","")</f>
        <v>Yazata</v>
      </c>
      <c r="B15" s="2" t="s">
        <v>180</v>
      </c>
      <c r="C15" s="2" t="s">
        <v>167</v>
      </c>
      <c r="D15" s="2" t="s">
        <v>162</v>
      </c>
      <c r="E15" s="2" t="s">
        <v>158</v>
      </c>
      <c r="F15" s="2" t="s">
        <v>164</v>
      </c>
    </row>
    <row r="16" spans="1:19" x14ac:dyDescent="0.25">
      <c r="O16" s="2"/>
      <c r="P16" s="2"/>
      <c r="Q16" s="2"/>
      <c r="R16" s="2"/>
      <c r="S16" s="2"/>
    </row>
    <row r="17" spans="1:19" x14ac:dyDescent="0.25">
      <c r="A17" s="1" t="s">
        <v>59</v>
      </c>
      <c r="B17" s="1" t="s">
        <v>183</v>
      </c>
      <c r="C17" s="1" t="s">
        <v>184</v>
      </c>
      <c r="D17" s="1" t="s">
        <v>185</v>
      </c>
      <c r="E17" s="1" t="s">
        <v>186</v>
      </c>
      <c r="F17" s="1" t="s">
        <v>187</v>
      </c>
      <c r="G17" s="1" t="s">
        <v>188</v>
      </c>
      <c r="H17" s="1" t="s">
        <v>64</v>
      </c>
      <c r="I17" s="1" t="s">
        <v>63</v>
      </c>
      <c r="O17" s="2"/>
      <c r="P17" s="2"/>
      <c r="Q17" s="2"/>
      <c r="R17" s="2"/>
      <c r="S17" s="2"/>
    </row>
    <row r="18" spans="1:19" x14ac:dyDescent="0.25">
      <c r="A18" s="103" t="s">
        <v>281</v>
      </c>
      <c r="B18" s="103" t="s">
        <v>36</v>
      </c>
      <c r="C18" s="103" t="s">
        <v>55</v>
      </c>
      <c r="D18" s="103" t="s">
        <v>41</v>
      </c>
      <c r="E18" s="103" t="s">
        <v>47</v>
      </c>
      <c r="F18" s="103" t="s">
        <v>49</v>
      </c>
      <c r="G18" s="103" t="s">
        <v>51</v>
      </c>
      <c r="H18" s="103" t="s">
        <v>511</v>
      </c>
      <c r="I18" s="103" t="s">
        <v>588</v>
      </c>
      <c r="O18" s="2"/>
      <c r="P18" s="2"/>
      <c r="Q18" s="2"/>
      <c r="R18" s="2"/>
      <c r="S18" s="2"/>
    </row>
    <row r="19" spans="1:19" x14ac:dyDescent="0.25">
      <c r="A19" s="103" t="s">
        <v>235</v>
      </c>
      <c r="B19" s="103" t="s">
        <v>38</v>
      </c>
      <c r="C19" s="103" t="s">
        <v>40</v>
      </c>
      <c r="D19" s="103" t="s">
        <v>56</v>
      </c>
      <c r="E19" s="103" t="s">
        <v>41</v>
      </c>
      <c r="F19" s="103" t="s">
        <v>51</v>
      </c>
      <c r="G19" s="103" t="s">
        <v>52</v>
      </c>
      <c r="H19" s="103" t="s">
        <v>603</v>
      </c>
      <c r="I19" s="103" t="s">
        <v>604</v>
      </c>
      <c r="O19" s="2"/>
      <c r="P19" s="2"/>
      <c r="Q19" s="2"/>
      <c r="R19" s="2"/>
      <c r="S19" s="2"/>
    </row>
    <row r="20" spans="1:19" x14ac:dyDescent="0.25">
      <c r="A20" s="103" t="s">
        <v>205</v>
      </c>
      <c r="B20" s="103" t="s">
        <v>55</v>
      </c>
      <c r="C20" s="103" t="s">
        <v>38</v>
      </c>
      <c r="D20" s="103" t="s">
        <v>57</v>
      </c>
      <c r="E20" s="103" t="s">
        <v>41</v>
      </c>
      <c r="F20" s="103" t="s">
        <v>43</v>
      </c>
      <c r="G20" s="103" t="s">
        <v>51</v>
      </c>
      <c r="H20" s="103" t="s">
        <v>570</v>
      </c>
      <c r="I20" s="103" t="s">
        <v>571</v>
      </c>
      <c r="O20" s="2"/>
      <c r="P20" s="2"/>
      <c r="Q20" s="2"/>
      <c r="R20" s="2"/>
      <c r="S20" s="2"/>
    </row>
    <row r="21" spans="1:19" x14ac:dyDescent="0.25">
      <c r="A21" s="103" t="s">
        <v>1336</v>
      </c>
      <c r="B21" s="103" t="s">
        <v>41</v>
      </c>
      <c r="C21" s="103" t="s">
        <v>43</v>
      </c>
      <c r="D21" s="103" t="s">
        <v>47</v>
      </c>
      <c r="E21" s="103" t="s">
        <v>51</v>
      </c>
      <c r="F21" s="103" t="s">
        <v>58</v>
      </c>
      <c r="G21" s="103" t="s">
        <v>53</v>
      </c>
      <c r="H21" s="103" t="s">
        <v>1344</v>
      </c>
      <c r="I21" s="103" t="s">
        <v>1345</v>
      </c>
      <c r="O21" s="2"/>
      <c r="P21" s="2"/>
      <c r="Q21" s="2"/>
      <c r="R21" s="2"/>
      <c r="S21" s="2"/>
    </row>
    <row r="22" spans="1:19" x14ac:dyDescent="0.25">
      <c r="A22" s="103" t="s">
        <v>290</v>
      </c>
      <c r="B22" s="103" t="s">
        <v>35</v>
      </c>
      <c r="C22" s="103" t="s">
        <v>39</v>
      </c>
      <c r="D22" s="103" t="s">
        <v>41</v>
      </c>
      <c r="E22" s="103" t="s">
        <v>42</v>
      </c>
      <c r="F22" s="103" t="s">
        <v>47</v>
      </c>
      <c r="G22" s="103" t="s">
        <v>50</v>
      </c>
      <c r="H22" s="103" t="s">
        <v>646</v>
      </c>
      <c r="I22" s="103" t="s">
        <v>647</v>
      </c>
      <c r="O22" s="2"/>
      <c r="P22" s="2"/>
      <c r="Q22" s="2"/>
      <c r="R22" s="2"/>
      <c r="S22" s="2"/>
    </row>
    <row r="23" spans="1:19" x14ac:dyDescent="0.25">
      <c r="A23" s="103" t="s">
        <v>270</v>
      </c>
      <c r="B23" s="103" t="s">
        <v>36</v>
      </c>
      <c r="C23" s="103" t="s">
        <v>41</v>
      </c>
      <c r="D23" s="103" t="s">
        <v>43</v>
      </c>
      <c r="E23" s="103" t="s">
        <v>47</v>
      </c>
      <c r="F23" s="103" t="s">
        <v>48</v>
      </c>
      <c r="G23" s="103" t="s">
        <v>49</v>
      </c>
      <c r="H23" s="103" t="s">
        <v>502</v>
      </c>
      <c r="I23" s="103" t="s">
        <v>503</v>
      </c>
      <c r="O23" s="2"/>
      <c r="P23" s="2"/>
      <c r="Q23" s="2"/>
      <c r="R23" s="2"/>
      <c r="S23" s="2"/>
    </row>
    <row r="24" spans="1:19" x14ac:dyDescent="0.25">
      <c r="A24" s="103" t="s">
        <v>247</v>
      </c>
      <c r="B24" s="103" t="s">
        <v>36</v>
      </c>
      <c r="C24" s="103" t="s">
        <v>55</v>
      </c>
      <c r="D24" s="103" t="s">
        <v>41</v>
      </c>
      <c r="E24" s="103" t="s">
        <v>43</v>
      </c>
      <c r="F24" s="103" t="s">
        <v>45</v>
      </c>
      <c r="G24" s="103" t="s">
        <v>51</v>
      </c>
      <c r="H24" s="103" t="s">
        <v>521</v>
      </c>
      <c r="I24" s="103" t="s">
        <v>494</v>
      </c>
      <c r="O24" s="2"/>
      <c r="P24" s="2"/>
      <c r="Q24" s="2"/>
      <c r="R24" s="2"/>
      <c r="S24" s="2"/>
    </row>
    <row r="25" spans="1:19" x14ac:dyDescent="0.25">
      <c r="A25" s="103" t="s">
        <v>248</v>
      </c>
      <c r="B25" s="103" t="s">
        <v>55</v>
      </c>
      <c r="C25" s="103" t="s">
        <v>37</v>
      </c>
      <c r="D25" s="103" t="s">
        <v>47</v>
      </c>
      <c r="E25" s="103" t="s">
        <v>46</v>
      </c>
      <c r="F25" s="103" t="s">
        <v>51</v>
      </c>
      <c r="G25" s="103" t="s">
        <v>58</v>
      </c>
      <c r="H25" s="103" t="s">
        <v>529</v>
      </c>
      <c r="I25" s="103" t="s">
        <v>530</v>
      </c>
      <c r="O25" s="2"/>
      <c r="P25" s="2"/>
      <c r="Q25" s="2"/>
      <c r="R25" s="2"/>
      <c r="S25" s="2"/>
    </row>
    <row r="26" spans="1:19" x14ac:dyDescent="0.25">
      <c r="A26" s="103" t="s">
        <v>291</v>
      </c>
      <c r="B26" s="103" t="s">
        <v>35</v>
      </c>
      <c r="C26" s="103" t="s">
        <v>37</v>
      </c>
      <c r="D26" s="103" t="s">
        <v>41</v>
      </c>
      <c r="E26" s="103" t="s">
        <v>44</v>
      </c>
      <c r="F26" s="103" t="s">
        <v>45</v>
      </c>
      <c r="G26" s="103" t="s">
        <v>52</v>
      </c>
      <c r="H26" s="103" t="s">
        <v>648</v>
      </c>
      <c r="I26" s="103" t="s">
        <v>649</v>
      </c>
      <c r="O26" s="2"/>
      <c r="P26" s="2"/>
      <c r="Q26" s="2"/>
      <c r="R26" s="2"/>
      <c r="S26" s="2"/>
    </row>
    <row r="27" spans="1:19" x14ac:dyDescent="0.25">
      <c r="A27" s="103" t="s">
        <v>249</v>
      </c>
      <c r="B27" s="103" t="s">
        <v>39</v>
      </c>
      <c r="C27" s="103" t="s">
        <v>40</v>
      </c>
      <c r="D27" s="103" t="s">
        <v>46</v>
      </c>
      <c r="E27" s="103" t="s">
        <v>48</v>
      </c>
      <c r="F27" s="103" t="s">
        <v>51</v>
      </c>
      <c r="G27" s="103" t="s">
        <v>54</v>
      </c>
      <c r="H27" s="103" t="s">
        <v>518</v>
      </c>
      <c r="I27" s="103" t="s">
        <v>366</v>
      </c>
      <c r="O27" s="2"/>
      <c r="P27" s="2"/>
      <c r="Q27" s="2"/>
      <c r="R27" s="2"/>
      <c r="S27" s="2"/>
    </row>
    <row r="28" spans="1:19" x14ac:dyDescent="0.25">
      <c r="A28" s="103" t="s">
        <v>250</v>
      </c>
      <c r="B28" s="103" t="s">
        <v>36</v>
      </c>
      <c r="C28" s="103" t="s">
        <v>38</v>
      </c>
      <c r="D28" s="103" t="s">
        <v>41</v>
      </c>
      <c r="E28" s="103" t="s">
        <v>42</v>
      </c>
      <c r="F28" s="103" t="s">
        <v>46</v>
      </c>
      <c r="G28" s="103" t="s">
        <v>53</v>
      </c>
      <c r="H28" s="103" t="s">
        <v>531</v>
      </c>
      <c r="I28" s="103" t="s">
        <v>532</v>
      </c>
      <c r="O28" s="2"/>
      <c r="P28" s="2"/>
      <c r="Q28" s="2"/>
      <c r="R28" s="2"/>
      <c r="S28" s="2"/>
    </row>
    <row r="29" spans="1:19" x14ac:dyDescent="0.25">
      <c r="A29" s="103" t="s">
        <v>251</v>
      </c>
      <c r="B29" s="103" t="s">
        <v>35</v>
      </c>
      <c r="C29" s="103" t="s">
        <v>40</v>
      </c>
      <c r="D29" s="103" t="s">
        <v>57</v>
      </c>
      <c r="E29" s="103" t="s">
        <v>48</v>
      </c>
      <c r="F29" s="103" t="s">
        <v>44</v>
      </c>
      <c r="G29" s="103" t="s">
        <v>58</v>
      </c>
      <c r="H29" s="103" t="s">
        <v>533</v>
      </c>
      <c r="I29" s="103" t="s">
        <v>534</v>
      </c>
      <c r="O29" s="2"/>
      <c r="P29" s="2"/>
      <c r="Q29" s="2"/>
      <c r="R29" s="2"/>
      <c r="S29" s="2"/>
    </row>
    <row r="30" spans="1:19" x14ac:dyDescent="0.25">
      <c r="A30" s="103" t="s">
        <v>271</v>
      </c>
      <c r="B30" s="103" t="s">
        <v>35</v>
      </c>
      <c r="C30" s="103" t="s">
        <v>55</v>
      </c>
      <c r="D30" s="103" t="s">
        <v>42</v>
      </c>
      <c r="E30" s="103" t="s">
        <v>44</v>
      </c>
      <c r="F30" s="103" t="s">
        <v>50</v>
      </c>
      <c r="G30" s="103" t="s">
        <v>51</v>
      </c>
      <c r="H30" s="103" t="s">
        <v>504</v>
      </c>
      <c r="I30" s="103" t="s">
        <v>505</v>
      </c>
      <c r="O30" s="2"/>
      <c r="P30" s="2"/>
      <c r="Q30" s="2"/>
      <c r="R30" s="2"/>
      <c r="S30" s="2"/>
    </row>
    <row r="31" spans="1:19" x14ac:dyDescent="0.25">
      <c r="A31" s="103" t="s">
        <v>317</v>
      </c>
      <c r="B31" s="103" t="s">
        <v>36</v>
      </c>
      <c r="C31" s="103" t="s">
        <v>38</v>
      </c>
      <c r="D31" s="103" t="s">
        <v>57</v>
      </c>
      <c r="E31" s="103" t="s">
        <v>47</v>
      </c>
      <c r="F31" s="103" t="s">
        <v>49</v>
      </c>
      <c r="G31" s="103" t="s">
        <v>52</v>
      </c>
      <c r="H31" s="103" t="s">
        <v>615</v>
      </c>
      <c r="I31" s="103" t="s">
        <v>684</v>
      </c>
      <c r="O31" s="2"/>
      <c r="P31" s="2"/>
      <c r="Q31" s="2"/>
      <c r="R31" s="2"/>
      <c r="S31" s="2"/>
    </row>
    <row r="32" spans="1:19" x14ac:dyDescent="0.25">
      <c r="A32" s="103" t="s">
        <v>1337</v>
      </c>
      <c r="B32" s="103" t="s">
        <v>35</v>
      </c>
      <c r="C32" s="103" t="s">
        <v>38</v>
      </c>
      <c r="D32" s="103" t="s">
        <v>56</v>
      </c>
      <c r="E32" s="103" t="s">
        <v>44</v>
      </c>
      <c r="F32" s="103" t="s">
        <v>58</v>
      </c>
      <c r="G32" s="103" t="s">
        <v>53</v>
      </c>
      <c r="H32" s="103" t="s">
        <v>1346</v>
      </c>
      <c r="I32" s="103" t="s">
        <v>1347</v>
      </c>
      <c r="O32" s="2"/>
      <c r="P32" s="2"/>
      <c r="Q32" s="2"/>
      <c r="R32" s="2"/>
      <c r="S32" s="2"/>
    </row>
    <row r="33" spans="1:19" x14ac:dyDescent="0.25">
      <c r="A33" s="103" t="s">
        <v>190</v>
      </c>
      <c r="B33" s="103" t="s">
        <v>55</v>
      </c>
      <c r="C33" s="103" t="s">
        <v>37</v>
      </c>
      <c r="D33" s="103" t="s">
        <v>39</v>
      </c>
      <c r="E33" s="103" t="s">
        <v>48</v>
      </c>
      <c r="F33" s="103" t="s">
        <v>46</v>
      </c>
      <c r="G33" s="103" t="s">
        <v>51</v>
      </c>
      <c r="H33" s="103" t="s">
        <v>529</v>
      </c>
      <c r="I33" s="103" t="s">
        <v>546</v>
      </c>
      <c r="O33" s="2"/>
      <c r="P33" s="2"/>
      <c r="Q33" s="2"/>
      <c r="R33" s="2"/>
      <c r="S33" s="2"/>
    </row>
    <row r="34" spans="1:19" x14ac:dyDescent="0.25">
      <c r="A34" s="103" t="s">
        <v>262</v>
      </c>
      <c r="B34" s="103" t="s">
        <v>40</v>
      </c>
      <c r="C34" s="103" t="s">
        <v>42</v>
      </c>
      <c r="D34" s="103" t="s">
        <v>43</v>
      </c>
      <c r="E34" s="103" t="s">
        <v>49</v>
      </c>
      <c r="F34" s="103" t="s">
        <v>50</v>
      </c>
      <c r="G34" s="103" t="s">
        <v>51</v>
      </c>
      <c r="H34" s="103" t="s">
        <v>548</v>
      </c>
      <c r="I34" s="103" t="s">
        <v>580</v>
      </c>
      <c r="O34" s="2"/>
      <c r="P34" s="2"/>
      <c r="Q34" s="2"/>
      <c r="R34" s="2"/>
      <c r="S34" s="2"/>
    </row>
    <row r="35" spans="1:19" x14ac:dyDescent="0.25">
      <c r="A35" s="103" t="s">
        <v>272</v>
      </c>
      <c r="B35" s="103" t="s">
        <v>37</v>
      </c>
      <c r="C35" s="103" t="s">
        <v>38</v>
      </c>
      <c r="D35" s="103" t="s">
        <v>39</v>
      </c>
      <c r="E35" s="103" t="s">
        <v>45</v>
      </c>
      <c r="F35" s="103" t="s">
        <v>52</v>
      </c>
      <c r="G35" s="103" t="s">
        <v>53</v>
      </c>
      <c r="H35" s="103" t="s">
        <v>506</v>
      </c>
      <c r="I35" s="103" t="s">
        <v>908</v>
      </c>
      <c r="O35" s="2"/>
      <c r="P35" s="2"/>
      <c r="Q35" s="2"/>
      <c r="R35" s="2"/>
      <c r="S35" s="2"/>
    </row>
    <row r="36" spans="1:19" x14ac:dyDescent="0.25">
      <c r="A36" s="103" t="s">
        <v>301</v>
      </c>
      <c r="B36" s="103" t="s">
        <v>35</v>
      </c>
      <c r="C36" s="103" t="s">
        <v>55</v>
      </c>
      <c r="D36" s="103" t="s">
        <v>57</v>
      </c>
      <c r="E36" s="103" t="s">
        <v>41</v>
      </c>
      <c r="F36" s="103" t="s">
        <v>47</v>
      </c>
      <c r="G36" s="103" t="s">
        <v>50</v>
      </c>
      <c r="H36" s="103" t="s">
        <v>665</v>
      </c>
      <c r="I36" s="103" t="s">
        <v>108</v>
      </c>
      <c r="O36" s="2"/>
      <c r="P36" s="2"/>
      <c r="Q36" s="2"/>
      <c r="R36" s="2"/>
      <c r="S36" s="2"/>
    </row>
    <row r="37" spans="1:19" x14ac:dyDescent="0.25">
      <c r="A37" s="103" t="s">
        <v>236</v>
      </c>
      <c r="B37" s="103" t="s">
        <v>35</v>
      </c>
      <c r="C37" s="103" t="s">
        <v>55</v>
      </c>
      <c r="D37" s="103" t="s">
        <v>57</v>
      </c>
      <c r="E37" s="103" t="s">
        <v>41</v>
      </c>
      <c r="F37" s="103" t="s">
        <v>43</v>
      </c>
      <c r="G37" s="103" t="s">
        <v>58</v>
      </c>
      <c r="H37" s="103" t="s">
        <v>605</v>
      </c>
      <c r="I37" s="103" t="s">
        <v>606</v>
      </c>
      <c r="O37" s="2"/>
      <c r="P37" s="2"/>
      <c r="Q37" s="2"/>
      <c r="R37" s="2"/>
      <c r="S37" s="2"/>
    </row>
    <row r="38" spans="1:19" x14ac:dyDescent="0.25">
      <c r="A38" s="103" t="s">
        <v>302</v>
      </c>
      <c r="B38" s="103" t="s">
        <v>38</v>
      </c>
      <c r="C38" s="103" t="s">
        <v>41</v>
      </c>
      <c r="D38" s="103" t="s">
        <v>44</v>
      </c>
      <c r="E38" s="103" t="s">
        <v>45</v>
      </c>
      <c r="F38" s="103" t="s">
        <v>52</v>
      </c>
      <c r="G38" s="103" t="s">
        <v>53</v>
      </c>
      <c r="H38" s="103" t="s">
        <v>603</v>
      </c>
      <c r="I38" s="103" t="s">
        <v>666</v>
      </c>
      <c r="O38" s="2"/>
      <c r="P38" s="2"/>
      <c r="Q38" s="2"/>
      <c r="R38" s="2"/>
      <c r="S38" s="2"/>
    </row>
    <row r="39" spans="1:19" x14ac:dyDescent="0.25">
      <c r="A39" s="103" t="s">
        <v>282</v>
      </c>
      <c r="B39" s="103" t="s">
        <v>55</v>
      </c>
      <c r="C39" s="103" t="s">
        <v>57</v>
      </c>
      <c r="D39" s="103" t="s">
        <v>41</v>
      </c>
      <c r="E39" s="103" t="s">
        <v>43</v>
      </c>
      <c r="F39" s="103" t="s">
        <v>47</v>
      </c>
      <c r="G39" s="103" t="s">
        <v>48</v>
      </c>
      <c r="H39" s="103" t="s">
        <v>518</v>
      </c>
      <c r="I39" s="103" t="s">
        <v>589</v>
      </c>
      <c r="O39" s="2"/>
      <c r="P39" s="2"/>
      <c r="Q39" s="2"/>
      <c r="R39" s="2"/>
      <c r="S39" s="2"/>
    </row>
    <row r="40" spans="1:19" x14ac:dyDescent="0.25">
      <c r="A40" s="103" t="s">
        <v>252</v>
      </c>
      <c r="B40" s="103" t="s">
        <v>40</v>
      </c>
      <c r="C40" s="103" t="s">
        <v>43</v>
      </c>
      <c r="D40" s="103" t="s">
        <v>44</v>
      </c>
      <c r="E40" s="103" t="s">
        <v>45</v>
      </c>
      <c r="F40" s="103" t="s">
        <v>50</v>
      </c>
      <c r="G40" s="103" t="s">
        <v>51</v>
      </c>
      <c r="H40" s="103" t="s">
        <v>552</v>
      </c>
      <c r="I40" s="103" t="s">
        <v>663</v>
      </c>
      <c r="O40" s="2"/>
      <c r="P40" s="2"/>
      <c r="Q40" s="2"/>
      <c r="R40" s="2"/>
      <c r="S40" s="2"/>
    </row>
    <row r="41" spans="1:19" x14ac:dyDescent="0.25">
      <c r="A41" s="103" t="s">
        <v>222</v>
      </c>
      <c r="B41" s="103" t="s">
        <v>38</v>
      </c>
      <c r="C41" s="103" t="s">
        <v>41</v>
      </c>
      <c r="D41" s="103" t="s">
        <v>43</v>
      </c>
      <c r="E41" s="103" t="s">
        <v>44</v>
      </c>
      <c r="F41" s="103" t="s">
        <v>45</v>
      </c>
      <c r="G41" s="103" t="s">
        <v>51</v>
      </c>
      <c r="H41" s="103" t="s">
        <v>626</v>
      </c>
      <c r="I41" s="103" t="s">
        <v>627</v>
      </c>
      <c r="O41" s="2"/>
      <c r="P41" s="2"/>
      <c r="Q41" s="2"/>
      <c r="R41" s="2"/>
      <c r="S41" s="2"/>
    </row>
    <row r="42" spans="1:19" x14ac:dyDescent="0.25">
      <c r="A42" s="103" t="s">
        <v>303</v>
      </c>
      <c r="B42" s="103" t="s">
        <v>38</v>
      </c>
      <c r="C42" s="103" t="s">
        <v>56</v>
      </c>
      <c r="D42" s="103" t="s">
        <v>42</v>
      </c>
      <c r="E42" s="103" t="s">
        <v>44</v>
      </c>
      <c r="F42" s="103" t="s">
        <v>58</v>
      </c>
      <c r="G42" s="103" t="s">
        <v>53</v>
      </c>
      <c r="H42" s="103" t="s">
        <v>667</v>
      </c>
      <c r="I42" s="103" t="s">
        <v>668</v>
      </c>
      <c r="O42" s="2"/>
      <c r="P42" s="2"/>
      <c r="Q42" s="2"/>
      <c r="R42" s="2"/>
      <c r="S42" s="2"/>
    </row>
    <row r="43" spans="1:19" x14ac:dyDescent="0.25">
      <c r="A43" s="103" t="s">
        <v>688</v>
      </c>
      <c r="B43" s="103" t="s">
        <v>36</v>
      </c>
      <c r="C43" s="103" t="s">
        <v>40</v>
      </c>
      <c r="D43" s="103" t="s">
        <v>42</v>
      </c>
      <c r="E43" s="103" t="s">
        <v>48</v>
      </c>
      <c r="F43" s="103" t="s">
        <v>51</v>
      </c>
      <c r="G43" s="103" t="s">
        <v>54</v>
      </c>
      <c r="H43" s="103" t="s">
        <v>557</v>
      </c>
      <c r="I43" s="103" t="s">
        <v>590</v>
      </c>
      <c r="O43" s="2"/>
      <c r="P43" s="2"/>
      <c r="Q43" s="2"/>
      <c r="R43" s="2"/>
      <c r="S43" s="2"/>
    </row>
    <row r="44" spans="1:19" x14ac:dyDescent="0.25">
      <c r="A44" s="103" t="s">
        <v>263</v>
      </c>
      <c r="B44" s="103" t="s">
        <v>36</v>
      </c>
      <c r="C44" s="103" t="s">
        <v>38</v>
      </c>
      <c r="D44" s="103" t="s">
        <v>39</v>
      </c>
      <c r="E44" s="103" t="s">
        <v>41</v>
      </c>
      <c r="F44" s="103" t="s">
        <v>47</v>
      </c>
      <c r="G44" s="103" t="s">
        <v>58</v>
      </c>
      <c r="H44" s="103" t="s">
        <v>548</v>
      </c>
      <c r="I44" s="103" t="s">
        <v>581</v>
      </c>
      <c r="O44" s="2"/>
      <c r="P44" s="2"/>
      <c r="Q44" s="2"/>
      <c r="R44" s="2"/>
      <c r="S44" s="2"/>
    </row>
    <row r="45" spans="1:19" x14ac:dyDescent="0.25">
      <c r="A45" s="103" t="s">
        <v>283</v>
      </c>
      <c r="B45" s="103" t="s">
        <v>36</v>
      </c>
      <c r="C45" s="103" t="s">
        <v>38</v>
      </c>
      <c r="D45" s="103" t="s">
        <v>40</v>
      </c>
      <c r="E45" s="103" t="s">
        <v>41</v>
      </c>
      <c r="F45" s="103" t="s">
        <v>42</v>
      </c>
      <c r="G45" s="103" t="s">
        <v>43</v>
      </c>
      <c r="H45" s="103" t="s">
        <v>591</v>
      </c>
      <c r="I45" s="103" t="s">
        <v>592</v>
      </c>
      <c r="O45" s="2"/>
      <c r="P45" s="2"/>
      <c r="Q45" s="2"/>
      <c r="R45" s="2"/>
      <c r="S45" s="2"/>
    </row>
    <row r="46" spans="1:19" x14ac:dyDescent="0.25">
      <c r="A46" s="103" t="s">
        <v>314</v>
      </c>
      <c r="B46" s="103" t="s">
        <v>40</v>
      </c>
      <c r="C46" s="103" t="s">
        <v>56</v>
      </c>
      <c r="D46" s="103" t="s">
        <v>44</v>
      </c>
      <c r="E46" s="103" t="s">
        <v>46</v>
      </c>
      <c r="F46" s="103" t="s">
        <v>48</v>
      </c>
      <c r="G46" s="103" t="s">
        <v>51</v>
      </c>
      <c r="H46" s="103" t="s">
        <v>648</v>
      </c>
      <c r="I46" s="103" t="s">
        <v>582</v>
      </c>
      <c r="O46" s="2"/>
      <c r="P46" s="2"/>
      <c r="Q46" s="2"/>
      <c r="R46" s="2"/>
      <c r="S46" s="2"/>
    </row>
    <row r="47" spans="1:19" x14ac:dyDescent="0.25">
      <c r="A47" s="103" t="s">
        <v>1338</v>
      </c>
      <c r="B47" s="103" t="s">
        <v>38</v>
      </c>
      <c r="C47" s="103" t="s">
        <v>41</v>
      </c>
      <c r="D47" s="103" t="s">
        <v>43</v>
      </c>
      <c r="E47" s="103" t="s">
        <v>45</v>
      </c>
      <c r="F47" s="103" t="s">
        <v>49</v>
      </c>
      <c r="G47" s="103" t="s">
        <v>52</v>
      </c>
      <c r="H47" s="103" t="s">
        <v>1348</v>
      </c>
      <c r="I47" s="103" t="s">
        <v>1349</v>
      </c>
      <c r="O47" s="2"/>
      <c r="P47" s="2"/>
      <c r="Q47" s="2"/>
      <c r="R47" s="2"/>
      <c r="S47" s="2"/>
    </row>
    <row r="48" spans="1:19" x14ac:dyDescent="0.25">
      <c r="A48" s="103" t="s">
        <v>284</v>
      </c>
      <c r="B48" s="103" t="s">
        <v>57</v>
      </c>
      <c r="C48" s="103" t="s">
        <v>41</v>
      </c>
      <c r="D48" s="103" t="s">
        <v>47</v>
      </c>
      <c r="E48" s="103" t="s">
        <v>49</v>
      </c>
      <c r="F48" s="103" t="s">
        <v>51</v>
      </c>
      <c r="G48" s="103" t="s">
        <v>53</v>
      </c>
      <c r="H48" s="103" t="s">
        <v>593</v>
      </c>
      <c r="I48" s="103" t="s">
        <v>594</v>
      </c>
      <c r="O48" s="2"/>
      <c r="P48" s="2"/>
      <c r="Q48" s="2"/>
      <c r="R48" s="2"/>
      <c r="S48" s="2"/>
    </row>
    <row r="49" spans="1:19" x14ac:dyDescent="0.25">
      <c r="A49" s="103" t="s">
        <v>253</v>
      </c>
      <c r="B49" s="103" t="s">
        <v>55</v>
      </c>
      <c r="C49" s="103" t="s">
        <v>41</v>
      </c>
      <c r="D49" s="103" t="s">
        <v>43</v>
      </c>
      <c r="E49" s="103" t="s">
        <v>42</v>
      </c>
      <c r="F49" s="103" t="s">
        <v>49</v>
      </c>
      <c r="G49" s="103" t="s">
        <v>51</v>
      </c>
      <c r="H49" s="103" t="s">
        <v>535</v>
      </c>
      <c r="I49" s="103" t="s">
        <v>536</v>
      </c>
      <c r="O49" s="2"/>
      <c r="P49" s="2"/>
      <c r="Q49" s="2"/>
      <c r="R49" s="2"/>
      <c r="S49" s="2"/>
    </row>
    <row r="50" spans="1:19" x14ac:dyDescent="0.25">
      <c r="A50" s="103" t="s">
        <v>264</v>
      </c>
      <c r="B50" s="103" t="s">
        <v>55</v>
      </c>
      <c r="C50" s="103" t="s">
        <v>37</v>
      </c>
      <c r="D50" s="103" t="s">
        <v>41</v>
      </c>
      <c r="E50" s="103" t="s">
        <v>43</v>
      </c>
      <c r="F50" s="103" t="s">
        <v>51</v>
      </c>
      <c r="G50" s="103" t="s">
        <v>53</v>
      </c>
      <c r="H50" s="103" t="s">
        <v>529</v>
      </c>
      <c r="I50" s="103" t="s">
        <v>582</v>
      </c>
      <c r="O50" s="2"/>
      <c r="P50" s="2"/>
      <c r="Q50" s="2"/>
      <c r="R50" s="2"/>
      <c r="S50" s="2"/>
    </row>
    <row r="51" spans="1:19" x14ac:dyDescent="0.25">
      <c r="A51" s="103" t="s">
        <v>191</v>
      </c>
      <c r="B51" s="103" t="s">
        <v>55</v>
      </c>
      <c r="C51" s="103" t="s">
        <v>57</v>
      </c>
      <c r="D51" s="103" t="s">
        <v>41</v>
      </c>
      <c r="E51" s="103" t="s">
        <v>43</v>
      </c>
      <c r="F51" s="103" t="s">
        <v>48</v>
      </c>
      <c r="G51" s="103" t="s">
        <v>51</v>
      </c>
      <c r="H51" s="103" t="s">
        <v>529</v>
      </c>
      <c r="I51" s="103" t="s">
        <v>547</v>
      </c>
      <c r="O51" s="2"/>
      <c r="P51" s="2"/>
      <c r="Q51" s="2"/>
      <c r="R51" s="2"/>
      <c r="S51" s="2"/>
    </row>
    <row r="52" spans="1:19" x14ac:dyDescent="0.25">
      <c r="A52" s="103" t="s">
        <v>192</v>
      </c>
      <c r="B52" s="103" t="s">
        <v>36</v>
      </c>
      <c r="C52" s="103" t="s">
        <v>39</v>
      </c>
      <c r="D52" s="103" t="s">
        <v>56</v>
      </c>
      <c r="E52" s="103" t="s">
        <v>42</v>
      </c>
      <c r="F52" s="103" t="s">
        <v>44</v>
      </c>
      <c r="G52" s="103" t="s">
        <v>51</v>
      </c>
      <c r="H52" s="103" t="s">
        <v>548</v>
      </c>
      <c r="I52" s="103" t="s">
        <v>549</v>
      </c>
      <c r="O52" s="2"/>
      <c r="P52" s="2"/>
      <c r="Q52" s="2"/>
      <c r="R52" s="2"/>
      <c r="S52" s="2"/>
    </row>
    <row r="53" spans="1:19" x14ac:dyDescent="0.25">
      <c r="A53" s="103" t="s">
        <v>193</v>
      </c>
      <c r="B53" s="103" t="s">
        <v>35</v>
      </c>
      <c r="C53" s="103" t="s">
        <v>40</v>
      </c>
      <c r="D53" s="103" t="s">
        <v>42</v>
      </c>
      <c r="E53" s="103" t="s">
        <v>47</v>
      </c>
      <c r="F53" s="103" t="s">
        <v>49</v>
      </c>
      <c r="G53" s="103" t="s">
        <v>58</v>
      </c>
      <c r="H53" s="103" t="s">
        <v>550</v>
      </c>
      <c r="I53" s="103" t="s">
        <v>551</v>
      </c>
      <c r="O53" s="2"/>
      <c r="P53" s="2"/>
      <c r="Q53" s="2"/>
      <c r="R53" s="2"/>
      <c r="S53" s="2"/>
    </row>
    <row r="54" spans="1:19" x14ac:dyDescent="0.25">
      <c r="A54" s="103" t="s">
        <v>223</v>
      </c>
      <c r="B54" s="103" t="s">
        <v>36</v>
      </c>
      <c r="C54" s="103" t="s">
        <v>55</v>
      </c>
      <c r="D54" s="103" t="s">
        <v>38</v>
      </c>
      <c r="E54" s="103" t="s">
        <v>57</v>
      </c>
      <c r="F54" s="103" t="s">
        <v>43</v>
      </c>
      <c r="G54" s="103" t="s">
        <v>49</v>
      </c>
      <c r="H54" s="103" t="s">
        <v>628</v>
      </c>
      <c r="I54" s="103" t="s">
        <v>629</v>
      </c>
      <c r="O54" s="2"/>
      <c r="P54" s="2"/>
      <c r="Q54" s="2"/>
      <c r="R54" s="2"/>
      <c r="S54" s="2"/>
    </row>
    <row r="55" spans="1:19" x14ac:dyDescent="0.25">
      <c r="A55" s="103" t="s">
        <v>237</v>
      </c>
      <c r="B55" s="103" t="s">
        <v>35</v>
      </c>
      <c r="C55" s="103" t="s">
        <v>37</v>
      </c>
      <c r="D55" s="103" t="s">
        <v>38</v>
      </c>
      <c r="E55" s="103" t="s">
        <v>40</v>
      </c>
      <c r="F55" s="103" t="s">
        <v>42</v>
      </c>
      <c r="G55" s="103" t="s">
        <v>58</v>
      </c>
      <c r="H55" s="103" t="s">
        <v>607</v>
      </c>
      <c r="I55" s="103" t="s">
        <v>608</v>
      </c>
      <c r="O55" s="2"/>
      <c r="P55" s="2"/>
      <c r="Q55" s="2"/>
      <c r="R55" s="2"/>
      <c r="S55" s="2"/>
    </row>
    <row r="56" spans="1:19" x14ac:dyDescent="0.25">
      <c r="A56" s="103" t="s">
        <v>273</v>
      </c>
      <c r="B56" s="103" t="s">
        <v>55</v>
      </c>
      <c r="C56" s="103" t="s">
        <v>40</v>
      </c>
      <c r="D56" s="103" t="s">
        <v>41</v>
      </c>
      <c r="E56" s="103" t="s">
        <v>42</v>
      </c>
      <c r="F56" s="103" t="s">
        <v>50</v>
      </c>
      <c r="G56" s="103" t="s">
        <v>58</v>
      </c>
      <c r="H56" s="103" t="s">
        <v>494</v>
      </c>
      <c r="I56" s="103" t="s">
        <v>507</v>
      </c>
      <c r="O56" s="2"/>
      <c r="P56" s="2"/>
      <c r="Q56" s="2"/>
      <c r="R56" s="2"/>
      <c r="S56" s="2"/>
    </row>
    <row r="57" spans="1:19" x14ac:dyDescent="0.25">
      <c r="A57" s="103" t="s">
        <v>224</v>
      </c>
      <c r="B57" s="103" t="s">
        <v>40</v>
      </c>
      <c r="C57" s="103" t="s">
        <v>56</v>
      </c>
      <c r="D57" s="103" t="s">
        <v>42</v>
      </c>
      <c r="E57" s="103" t="s">
        <v>43</v>
      </c>
      <c r="F57" s="103" t="s">
        <v>48</v>
      </c>
      <c r="G57" s="103" t="s">
        <v>50</v>
      </c>
      <c r="H57" s="103" t="s">
        <v>630</v>
      </c>
      <c r="I57" s="103" t="s">
        <v>601</v>
      </c>
      <c r="O57" s="2"/>
      <c r="P57" s="2"/>
      <c r="Q57" s="2"/>
      <c r="R57" s="2"/>
      <c r="S57" s="2"/>
    </row>
    <row r="58" spans="1:19" x14ac:dyDescent="0.25">
      <c r="A58" s="103" t="s">
        <v>225</v>
      </c>
      <c r="B58" s="103" t="s">
        <v>35</v>
      </c>
      <c r="C58" s="103" t="s">
        <v>38</v>
      </c>
      <c r="D58" s="103" t="s">
        <v>41</v>
      </c>
      <c r="E58" s="103" t="s">
        <v>44</v>
      </c>
      <c r="F58" s="103" t="s">
        <v>47</v>
      </c>
      <c r="G58" s="103" t="s">
        <v>51</v>
      </c>
      <c r="H58" s="103" t="s">
        <v>631</v>
      </c>
      <c r="I58" s="103" t="s">
        <v>632</v>
      </c>
      <c r="O58" s="2"/>
      <c r="P58" s="2"/>
      <c r="Q58" s="2"/>
      <c r="R58" s="2"/>
      <c r="S58" s="2"/>
    </row>
    <row r="59" spans="1:19" x14ac:dyDescent="0.25">
      <c r="A59" s="103" t="s">
        <v>206</v>
      </c>
      <c r="B59" s="103" t="s">
        <v>37</v>
      </c>
      <c r="C59" s="103" t="s">
        <v>40</v>
      </c>
      <c r="D59" s="103" t="s">
        <v>44</v>
      </c>
      <c r="E59" s="103" t="s">
        <v>46</v>
      </c>
      <c r="F59" s="103" t="s">
        <v>48</v>
      </c>
      <c r="G59" s="103" t="s">
        <v>58</v>
      </c>
      <c r="H59" s="103" t="s">
        <v>572</v>
      </c>
      <c r="I59" s="103" t="s">
        <v>573</v>
      </c>
      <c r="O59" s="2"/>
      <c r="P59" s="2"/>
      <c r="Q59" s="2"/>
      <c r="R59" s="2"/>
      <c r="S59" s="2"/>
    </row>
    <row r="60" spans="1:19" x14ac:dyDescent="0.25">
      <c r="A60" s="103" t="s">
        <v>254</v>
      </c>
      <c r="B60" s="103" t="s">
        <v>35</v>
      </c>
      <c r="C60" s="103" t="s">
        <v>40</v>
      </c>
      <c r="D60" s="103" t="s">
        <v>49</v>
      </c>
      <c r="E60" s="103" t="s">
        <v>51</v>
      </c>
      <c r="F60" s="103" t="s">
        <v>52</v>
      </c>
      <c r="G60" s="103" t="s">
        <v>54</v>
      </c>
      <c r="H60" s="103" t="s">
        <v>511</v>
      </c>
      <c r="I60" s="103" t="s">
        <v>537</v>
      </c>
      <c r="O60" s="2"/>
      <c r="P60" s="2"/>
      <c r="Q60" s="2"/>
      <c r="R60" s="2"/>
      <c r="S60" s="2"/>
    </row>
    <row r="61" spans="1:19" x14ac:dyDescent="0.25">
      <c r="A61" s="103" t="s">
        <v>292</v>
      </c>
      <c r="B61" s="103" t="s">
        <v>37</v>
      </c>
      <c r="C61" s="103" t="s">
        <v>39</v>
      </c>
      <c r="D61" s="103" t="s">
        <v>57</v>
      </c>
      <c r="E61" s="103" t="s">
        <v>47</v>
      </c>
      <c r="F61" s="103" t="s">
        <v>58</v>
      </c>
      <c r="G61" s="103" t="s">
        <v>53</v>
      </c>
      <c r="H61" s="103" t="s">
        <v>508</v>
      </c>
      <c r="I61" s="103" t="s">
        <v>650</v>
      </c>
      <c r="O61" s="2"/>
      <c r="P61" s="2"/>
      <c r="Q61" s="2"/>
      <c r="R61" s="2"/>
      <c r="S61" s="2"/>
    </row>
    <row r="62" spans="1:19" x14ac:dyDescent="0.25">
      <c r="A62" s="103" t="s">
        <v>194</v>
      </c>
      <c r="B62" s="103" t="s">
        <v>38</v>
      </c>
      <c r="C62" s="103" t="s">
        <v>40</v>
      </c>
      <c r="D62" s="103" t="s">
        <v>44</v>
      </c>
      <c r="E62" s="103" t="s">
        <v>46</v>
      </c>
      <c r="F62" s="103" t="s">
        <v>195</v>
      </c>
      <c r="G62" s="103" t="s">
        <v>52</v>
      </c>
      <c r="H62" s="103" t="s">
        <v>502</v>
      </c>
      <c r="I62" s="103" t="s">
        <v>546</v>
      </c>
      <c r="O62" s="2"/>
      <c r="P62" s="2"/>
      <c r="Q62" s="2"/>
      <c r="R62" s="2"/>
      <c r="S62" s="2"/>
    </row>
    <row r="63" spans="1:19" x14ac:dyDescent="0.25">
      <c r="A63" s="103" t="s">
        <v>196</v>
      </c>
      <c r="B63" s="103" t="s">
        <v>40</v>
      </c>
      <c r="C63" s="103" t="s">
        <v>56</v>
      </c>
      <c r="D63" s="103" t="s">
        <v>42</v>
      </c>
      <c r="E63" s="103" t="s">
        <v>44</v>
      </c>
      <c r="F63" s="103" t="s">
        <v>48</v>
      </c>
      <c r="G63" s="103" t="s">
        <v>51</v>
      </c>
      <c r="H63" s="103" t="s">
        <v>552</v>
      </c>
      <c r="I63" s="103" t="s">
        <v>355</v>
      </c>
      <c r="O63" s="2"/>
      <c r="P63" s="2"/>
      <c r="Q63" s="2"/>
      <c r="R63" s="2"/>
      <c r="S63" s="2"/>
    </row>
    <row r="64" spans="1:19" x14ac:dyDescent="0.25">
      <c r="A64" s="103" t="s">
        <v>255</v>
      </c>
      <c r="B64" s="103" t="s">
        <v>55</v>
      </c>
      <c r="C64" s="103" t="s">
        <v>56</v>
      </c>
      <c r="D64" s="103" t="s">
        <v>57</v>
      </c>
      <c r="E64" s="103" t="s">
        <v>44</v>
      </c>
      <c r="F64" s="103" t="s">
        <v>48</v>
      </c>
      <c r="G64" s="103" t="s">
        <v>58</v>
      </c>
      <c r="H64" s="103" t="s">
        <v>538</v>
      </c>
      <c r="I64" s="103" t="s">
        <v>539</v>
      </c>
      <c r="O64" s="2"/>
      <c r="P64" s="2"/>
      <c r="Q64" s="2"/>
      <c r="R64" s="2"/>
      <c r="S64" s="2"/>
    </row>
    <row r="65" spans="1:19" x14ac:dyDescent="0.25">
      <c r="A65" s="103" t="s">
        <v>256</v>
      </c>
      <c r="B65" s="103" t="s">
        <v>35</v>
      </c>
      <c r="C65" s="33" t="s">
        <v>40</v>
      </c>
      <c r="D65" s="103" t="s">
        <v>42</v>
      </c>
      <c r="E65" s="103" t="s">
        <v>44</v>
      </c>
      <c r="F65" s="103" t="s">
        <v>50</v>
      </c>
      <c r="G65" s="103" t="s">
        <v>51</v>
      </c>
      <c r="H65" s="103" t="s">
        <v>511</v>
      </c>
      <c r="I65" s="103" t="s">
        <v>540</v>
      </c>
      <c r="O65" s="2"/>
      <c r="P65" s="2"/>
      <c r="Q65" s="2"/>
      <c r="R65" s="2"/>
      <c r="S65" s="2"/>
    </row>
    <row r="66" spans="1:19" x14ac:dyDescent="0.25">
      <c r="A66" s="103" t="s">
        <v>257</v>
      </c>
      <c r="B66" s="103" t="s">
        <v>37</v>
      </c>
      <c r="C66" s="103" t="s">
        <v>38</v>
      </c>
      <c r="D66" s="103" t="s">
        <v>45</v>
      </c>
      <c r="E66" s="103" t="s">
        <v>49</v>
      </c>
      <c r="F66" s="103" t="s">
        <v>52</v>
      </c>
      <c r="G66" s="103" t="s">
        <v>53</v>
      </c>
      <c r="H66" s="103" t="s">
        <v>541</v>
      </c>
      <c r="I66" s="103" t="s">
        <v>542</v>
      </c>
      <c r="O66" s="2"/>
      <c r="P66" s="2"/>
      <c r="Q66" s="2"/>
      <c r="R66" s="2"/>
      <c r="S66" s="2"/>
    </row>
    <row r="67" spans="1:19" x14ac:dyDescent="0.25">
      <c r="A67" s="103" t="s">
        <v>1339</v>
      </c>
      <c r="B67" s="103" t="s">
        <v>36</v>
      </c>
      <c r="C67" s="103" t="s">
        <v>37</v>
      </c>
      <c r="D67" s="103" t="s">
        <v>39</v>
      </c>
      <c r="E67" s="103" t="s">
        <v>48</v>
      </c>
      <c r="F67" s="103" t="s">
        <v>52</v>
      </c>
      <c r="G67" s="103" t="s">
        <v>53</v>
      </c>
      <c r="H67" s="103" t="s">
        <v>1350</v>
      </c>
      <c r="I67" s="103" t="s">
        <v>1351</v>
      </c>
      <c r="O67" s="2"/>
      <c r="P67" s="2"/>
      <c r="Q67" s="2"/>
      <c r="R67" s="2"/>
      <c r="S67" s="2"/>
    </row>
    <row r="68" spans="1:19" x14ac:dyDescent="0.25">
      <c r="A68" s="103" t="s">
        <v>274</v>
      </c>
      <c r="B68" s="103" t="s">
        <v>37</v>
      </c>
      <c r="C68" s="103" t="s">
        <v>38</v>
      </c>
      <c r="D68" s="103" t="s">
        <v>39</v>
      </c>
      <c r="E68" s="103" t="s">
        <v>40</v>
      </c>
      <c r="F68" s="103" t="s">
        <v>48</v>
      </c>
      <c r="G68" s="103" t="s">
        <v>50</v>
      </c>
      <c r="H68" s="103" t="s">
        <v>508</v>
      </c>
      <c r="I68" s="103" t="s">
        <v>509</v>
      </c>
      <c r="O68" s="2"/>
      <c r="P68" s="2"/>
      <c r="Q68" s="2"/>
      <c r="R68" s="2"/>
      <c r="S68" s="2"/>
    </row>
    <row r="69" spans="1:19" x14ac:dyDescent="0.25">
      <c r="A69" s="103" t="s">
        <v>226</v>
      </c>
      <c r="B69" s="103" t="s">
        <v>37</v>
      </c>
      <c r="C69" s="103" t="s">
        <v>40</v>
      </c>
      <c r="D69" s="103" t="s">
        <v>57</v>
      </c>
      <c r="E69" s="103" t="s">
        <v>46</v>
      </c>
      <c r="F69" s="103" t="s">
        <v>52</v>
      </c>
      <c r="G69" s="103" t="s">
        <v>53</v>
      </c>
      <c r="H69" s="103" t="s">
        <v>633</v>
      </c>
      <c r="I69" s="103" t="s">
        <v>365</v>
      </c>
      <c r="O69" s="2"/>
      <c r="P69" s="2"/>
      <c r="Q69" s="2"/>
      <c r="R69" s="2"/>
      <c r="S69" s="2"/>
    </row>
    <row r="70" spans="1:19" x14ac:dyDescent="0.25">
      <c r="A70" s="103" t="s">
        <v>227</v>
      </c>
      <c r="B70" s="103" t="s">
        <v>35</v>
      </c>
      <c r="C70" s="103" t="s">
        <v>38</v>
      </c>
      <c r="D70" s="103" t="s">
        <v>40</v>
      </c>
      <c r="E70" s="103" t="s">
        <v>43</v>
      </c>
      <c r="F70" s="103" t="s">
        <v>48</v>
      </c>
      <c r="G70" s="103" t="s">
        <v>50</v>
      </c>
      <c r="H70" s="103" t="s">
        <v>634</v>
      </c>
      <c r="I70" s="103" t="s">
        <v>635</v>
      </c>
      <c r="O70" s="2"/>
      <c r="P70" s="2"/>
      <c r="Q70" s="2"/>
      <c r="R70" s="2"/>
      <c r="S70" s="2"/>
    </row>
    <row r="71" spans="1:19" x14ac:dyDescent="0.25">
      <c r="A71" s="103" t="s">
        <v>214</v>
      </c>
      <c r="B71" s="103" t="s">
        <v>37</v>
      </c>
      <c r="C71" s="103" t="s">
        <v>38</v>
      </c>
      <c r="D71" s="103" t="s">
        <v>39</v>
      </c>
      <c r="E71" s="103" t="s">
        <v>46</v>
      </c>
      <c r="F71" s="103" t="s">
        <v>48</v>
      </c>
      <c r="G71" s="103" t="s">
        <v>54</v>
      </c>
      <c r="H71" s="103" t="s">
        <v>557</v>
      </c>
      <c r="I71" s="103" t="s">
        <v>561</v>
      </c>
      <c r="O71" s="2"/>
      <c r="P71" s="2"/>
      <c r="Q71" s="2"/>
      <c r="R71" s="2"/>
      <c r="S71" s="2"/>
    </row>
    <row r="72" spans="1:19" x14ac:dyDescent="0.25">
      <c r="A72" s="103" t="s">
        <v>238</v>
      </c>
      <c r="B72" s="103" t="s">
        <v>39</v>
      </c>
      <c r="C72" s="103" t="s">
        <v>56</v>
      </c>
      <c r="D72" s="103" t="s">
        <v>46</v>
      </c>
      <c r="E72" s="103" t="s">
        <v>47</v>
      </c>
      <c r="F72" s="103" t="s">
        <v>48</v>
      </c>
      <c r="G72" s="103" t="s">
        <v>50</v>
      </c>
      <c r="H72" s="103" t="s">
        <v>518</v>
      </c>
      <c r="I72" s="103" t="s">
        <v>609</v>
      </c>
      <c r="O72" s="2"/>
      <c r="P72" s="2"/>
      <c r="Q72" s="2"/>
      <c r="R72" s="2"/>
      <c r="S72" s="2"/>
    </row>
    <row r="73" spans="1:19" x14ac:dyDescent="0.25">
      <c r="A73" s="103" t="s">
        <v>510</v>
      </c>
      <c r="B73" s="103" t="s">
        <v>35</v>
      </c>
      <c r="C73" s="103" t="s">
        <v>43</v>
      </c>
      <c r="D73" s="103" t="s">
        <v>44</v>
      </c>
      <c r="E73" s="103" t="s">
        <v>49</v>
      </c>
      <c r="F73" s="103" t="s">
        <v>50</v>
      </c>
      <c r="G73" s="103" t="s">
        <v>51</v>
      </c>
      <c r="H73" s="103" t="s">
        <v>511</v>
      </c>
      <c r="I73" s="103" t="s">
        <v>512</v>
      </c>
      <c r="O73" s="2"/>
      <c r="P73" s="2"/>
      <c r="Q73" s="2"/>
      <c r="R73" s="2"/>
      <c r="S73" s="2"/>
    </row>
    <row r="74" spans="1:19" x14ac:dyDescent="0.25">
      <c r="A74" s="103" t="s">
        <v>207</v>
      </c>
      <c r="B74" s="103" t="s">
        <v>35</v>
      </c>
      <c r="C74" s="103" t="s">
        <v>38</v>
      </c>
      <c r="D74" s="103" t="s">
        <v>42</v>
      </c>
      <c r="E74" s="103" t="s">
        <v>48</v>
      </c>
      <c r="F74" s="103" t="s">
        <v>51</v>
      </c>
      <c r="G74" s="103" t="s">
        <v>54</v>
      </c>
      <c r="H74" s="103" t="s">
        <v>574</v>
      </c>
      <c r="I74" s="103" t="s">
        <v>575</v>
      </c>
      <c r="O74" s="2"/>
      <c r="P74" s="2"/>
      <c r="Q74" s="2"/>
      <c r="R74" s="2"/>
      <c r="S74" s="2"/>
    </row>
    <row r="75" spans="1:19" x14ac:dyDescent="0.25">
      <c r="A75" s="103" t="s">
        <v>208</v>
      </c>
      <c r="B75" s="103" t="s">
        <v>39</v>
      </c>
      <c r="C75" s="103" t="s">
        <v>40</v>
      </c>
      <c r="D75" s="103" t="s">
        <v>42</v>
      </c>
      <c r="E75" s="103" t="s">
        <v>43</v>
      </c>
      <c r="F75" s="103" t="s">
        <v>49</v>
      </c>
      <c r="G75" s="103" t="s">
        <v>52</v>
      </c>
      <c r="H75" s="103" t="s">
        <v>529</v>
      </c>
      <c r="I75" s="103" t="s">
        <v>537</v>
      </c>
      <c r="O75" s="2"/>
      <c r="P75" s="2"/>
      <c r="Q75" s="2"/>
      <c r="R75" s="2"/>
      <c r="S75" s="2"/>
    </row>
    <row r="76" spans="1:19" x14ac:dyDescent="0.25">
      <c r="A76" s="103" t="s">
        <v>312</v>
      </c>
      <c r="B76" s="103" t="s">
        <v>37</v>
      </c>
      <c r="C76" s="103" t="s">
        <v>39</v>
      </c>
      <c r="D76" s="103" t="s">
        <v>56</v>
      </c>
      <c r="E76" s="103" t="s">
        <v>40</v>
      </c>
      <c r="F76" s="103" t="s">
        <v>43</v>
      </c>
      <c r="G76" s="103" t="s">
        <v>53</v>
      </c>
      <c r="H76" s="103" t="s">
        <v>568</v>
      </c>
      <c r="I76" s="103" t="s">
        <v>678</v>
      </c>
      <c r="O76" s="2"/>
      <c r="P76" s="4"/>
      <c r="Q76" s="2"/>
      <c r="R76" s="2"/>
      <c r="S76" s="2"/>
    </row>
    <row r="77" spans="1:19" x14ac:dyDescent="0.25">
      <c r="A77" s="103" t="s">
        <v>304</v>
      </c>
      <c r="B77" s="103" t="s">
        <v>37</v>
      </c>
      <c r="C77" s="103" t="s">
        <v>39</v>
      </c>
      <c r="D77" s="103" t="s">
        <v>57</v>
      </c>
      <c r="E77" s="103" t="s">
        <v>42</v>
      </c>
      <c r="F77" s="103" t="s">
        <v>43</v>
      </c>
      <c r="G77" s="103" t="s">
        <v>48</v>
      </c>
      <c r="H77" s="103" t="s">
        <v>656</v>
      </c>
      <c r="I77" s="103" t="s">
        <v>358</v>
      </c>
      <c r="O77" s="2"/>
      <c r="P77" s="2"/>
      <c r="Q77" s="2"/>
      <c r="R77" s="2"/>
      <c r="S77" s="2"/>
    </row>
    <row r="78" spans="1:19" x14ac:dyDescent="0.25">
      <c r="A78" s="103" t="s">
        <v>305</v>
      </c>
      <c r="B78" s="103" t="s">
        <v>36</v>
      </c>
      <c r="C78" s="103" t="s">
        <v>57</v>
      </c>
      <c r="D78" s="103" t="s">
        <v>41</v>
      </c>
      <c r="E78" s="103" t="s">
        <v>47</v>
      </c>
      <c r="F78" s="103" t="s">
        <v>58</v>
      </c>
      <c r="G78" s="103" t="s">
        <v>53</v>
      </c>
      <c r="H78" s="103" t="s">
        <v>548</v>
      </c>
      <c r="I78" s="103" t="s">
        <v>669</v>
      </c>
      <c r="O78" s="2"/>
      <c r="P78" s="2"/>
      <c r="Q78" s="2"/>
      <c r="R78" s="2"/>
      <c r="S78" s="2"/>
    </row>
    <row r="79" spans="1:19" x14ac:dyDescent="0.25">
      <c r="A79" s="103" t="s">
        <v>265</v>
      </c>
      <c r="B79" s="103" t="s">
        <v>36</v>
      </c>
      <c r="C79" s="103" t="s">
        <v>37</v>
      </c>
      <c r="D79" s="103" t="s">
        <v>49</v>
      </c>
      <c r="E79" s="103" t="s">
        <v>51</v>
      </c>
      <c r="F79" s="103" t="s">
        <v>52</v>
      </c>
      <c r="G79" s="103" t="s">
        <v>53</v>
      </c>
      <c r="H79" s="103" t="s">
        <v>548</v>
      </c>
      <c r="I79" s="103" t="s">
        <v>583</v>
      </c>
      <c r="O79" s="2"/>
      <c r="P79" s="2"/>
      <c r="Q79" s="2"/>
      <c r="R79" s="2"/>
      <c r="S79" s="2"/>
    </row>
    <row r="80" spans="1:19" x14ac:dyDescent="0.25">
      <c r="A80" s="103" t="s">
        <v>239</v>
      </c>
      <c r="B80" s="103" t="s">
        <v>38</v>
      </c>
      <c r="C80" s="103" t="s">
        <v>39</v>
      </c>
      <c r="D80" s="103" t="s">
        <v>42</v>
      </c>
      <c r="E80" s="103" t="s">
        <v>48</v>
      </c>
      <c r="F80" s="103" t="s">
        <v>49</v>
      </c>
      <c r="G80" s="103" t="s">
        <v>51</v>
      </c>
      <c r="H80" s="103" t="s">
        <v>598</v>
      </c>
      <c r="I80" s="103" t="s">
        <v>610</v>
      </c>
      <c r="O80" s="2"/>
      <c r="P80" s="2"/>
      <c r="Q80" s="2"/>
      <c r="R80" s="2"/>
      <c r="S80" s="2"/>
    </row>
    <row r="81" spans="1:19" x14ac:dyDescent="0.25">
      <c r="A81" s="103" t="s">
        <v>1340</v>
      </c>
      <c r="B81" s="103" t="s">
        <v>35</v>
      </c>
      <c r="C81" s="103" t="s">
        <v>38</v>
      </c>
      <c r="D81" s="103" t="s">
        <v>44</v>
      </c>
      <c r="E81" s="103" t="s">
        <v>49</v>
      </c>
      <c r="F81" s="103" t="s">
        <v>58</v>
      </c>
      <c r="G81" s="103" t="s">
        <v>52</v>
      </c>
      <c r="H81" s="103" t="s">
        <v>541</v>
      </c>
      <c r="I81" s="103" t="s">
        <v>1352</v>
      </c>
      <c r="O81" s="2"/>
      <c r="P81" s="2"/>
      <c r="Q81" s="2"/>
      <c r="R81" s="2"/>
      <c r="S81" s="2"/>
    </row>
    <row r="82" spans="1:19" x14ac:dyDescent="0.25">
      <c r="A82" s="103" t="s">
        <v>311</v>
      </c>
      <c r="B82" s="103" t="s">
        <v>35</v>
      </c>
      <c r="C82" s="103" t="s">
        <v>38</v>
      </c>
      <c r="D82" s="103" t="s">
        <v>40</v>
      </c>
      <c r="E82" s="103" t="s">
        <v>43</v>
      </c>
      <c r="F82" s="103" t="s">
        <v>50</v>
      </c>
      <c r="G82" s="103" t="s">
        <v>51</v>
      </c>
      <c r="H82" s="103" t="s">
        <v>550</v>
      </c>
      <c r="I82" s="103" t="s">
        <v>677</v>
      </c>
      <c r="O82" s="2"/>
      <c r="P82" s="2"/>
      <c r="Q82" s="2"/>
      <c r="R82" s="2"/>
      <c r="S82" s="2"/>
    </row>
    <row r="83" spans="1:19" x14ac:dyDescent="0.25">
      <c r="A83" s="103" t="s">
        <v>240</v>
      </c>
      <c r="B83" s="103" t="s">
        <v>38</v>
      </c>
      <c r="C83" s="103" t="s">
        <v>41</v>
      </c>
      <c r="D83" s="103" t="s">
        <v>43</v>
      </c>
      <c r="E83" s="103" t="s">
        <v>50</v>
      </c>
      <c r="F83" s="103" t="s">
        <v>51</v>
      </c>
      <c r="G83" s="103" t="s">
        <v>54</v>
      </c>
      <c r="H83" s="103" t="s">
        <v>611</v>
      </c>
      <c r="I83" s="103" t="s">
        <v>612</v>
      </c>
      <c r="O83" s="2"/>
      <c r="P83" s="2"/>
      <c r="Q83" s="2"/>
      <c r="R83" s="2"/>
      <c r="S83" s="2"/>
    </row>
    <row r="84" spans="1:19" x14ac:dyDescent="0.25">
      <c r="A84" s="103" t="s">
        <v>266</v>
      </c>
      <c r="B84" s="103" t="s">
        <v>40</v>
      </c>
      <c r="C84" s="103" t="s">
        <v>41</v>
      </c>
      <c r="D84" s="103" t="s">
        <v>43</v>
      </c>
      <c r="E84" s="103" t="s">
        <v>45</v>
      </c>
      <c r="F84" s="103" t="s">
        <v>49</v>
      </c>
      <c r="G84" s="103" t="s">
        <v>50</v>
      </c>
      <c r="H84" s="103" t="s">
        <v>584</v>
      </c>
      <c r="I84" s="103" t="s">
        <v>585</v>
      </c>
      <c r="O84" s="2"/>
      <c r="P84" s="2"/>
      <c r="Q84" s="2"/>
      <c r="R84" s="2"/>
      <c r="S84" s="2"/>
    </row>
    <row r="85" spans="1:19" x14ac:dyDescent="0.25">
      <c r="A85" s="103" t="s">
        <v>197</v>
      </c>
      <c r="B85" s="103" t="s">
        <v>39</v>
      </c>
      <c r="C85" s="103" t="s">
        <v>41</v>
      </c>
      <c r="D85" s="103" t="s">
        <v>45</v>
      </c>
      <c r="E85" s="103" t="s">
        <v>49</v>
      </c>
      <c r="F85" s="103" t="s">
        <v>50</v>
      </c>
      <c r="G85" s="103" t="s">
        <v>52</v>
      </c>
      <c r="H85" s="103" t="s">
        <v>553</v>
      </c>
      <c r="I85" s="103" t="s">
        <v>554</v>
      </c>
      <c r="O85" s="2"/>
      <c r="P85" s="2"/>
      <c r="Q85" s="2"/>
      <c r="R85" s="2"/>
      <c r="S85" s="2"/>
    </row>
    <row r="86" spans="1:19" x14ac:dyDescent="0.25">
      <c r="A86" s="103" t="s">
        <v>285</v>
      </c>
      <c r="B86" s="103" t="s">
        <v>55</v>
      </c>
      <c r="C86" s="103" t="s">
        <v>37</v>
      </c>
      <c r="D86" s="103" t="s">
        <v>43</v>
      </c>
      <c r="E86" s="103" t="s">
        <v>48</v>
      </c>
      <c r="F86" s="103" t="s">
        <v>49</v>
      </c>
      <c r="G86" s="103" t="s">
        <v>54</v>
      </c>
      <c r="H86" s="103" t="s">
        <v>572</v>
      </c>
      <c r="I86" s="103" t="s">
        <v>595</v>
      </c>
      <c r="O86" s="2"/>
      <c r="P86" s="2"/>
      <c r="Q86" s="2"/>
      <c r="R86" s="2"/>
      <c r="S86" s="2"/>
    </row>
    <row r="87" spans="1:19" x14ac:dyDescent="0.25">
      <c r="A87" s="103" t="s">
        <v>315</v>
      </c>
      <c r="B87" s="103" t="s">
        <v>38</v>
      </c>
      <c r="C87" s="103" t="s">
        <v>41</v>
      </c>
      <c r="D87" s="103" t="s">
        <v>43</v>
      </c>
      <c r="E87" s="103" t="s">
        <v>44</v>
      </c>
      <c r="F87" s="103" t="s">
        <v>50</v>
      </c>
      <c r="G87" s="103" t="s">
        <v>58</v>
      </c>
      <c r="H87" s="103" t="s">
        <v>502</v>
      </c>
      <c r="I87" s="103" t="s">
        <v>681</v>
      </c>
      <c r="O87" s="2"/>
      <c r="P87" s="2"/>
      <c r="Q87" s="2"/>
      <c r="R87" s="2"/>
      <c r="S87" s="2"/>
    </row>
    <row r="88" spans="1:19" x14ac:dyDescent="0.25">
      <c r="A88" s="103" t="s">
        <v>293</v>
      </c>
      <c r="B88" s="103" t="s">
        <v>36</v>
      </c>
      <c r="C88" s="103" t="s">
        <v>55</v>
      </c>
      <c r="D88" s="103" t="s">
        <v>45</v>
      </c>
      <c r="E88" s="103" t="s">
        <v>49</v>
      </c>
      <c r="F88" s="103" t="s">
        <v>58</v>
      </c>
      <c r="G88" s="103" t="s">
        <v>52</v>
      </c>
      <c r="H88" s="103" t="s">
        <v>533</v>
      </c>
      <c r="I88" s="103" t="s">
        <v>651</v>
      </c>
      <c r="O88" s="2"/>
      <c r="P88" s="2"/>
      <c r="Q88" s="2"/>
      <c r="R88" s="2"/>
      <c r="S88" s="2"/>
    </row>
    <row r="89" spans="1:19" x14ac:dyDescent="0.25">
      <c r="A89" s="103" t="s">
        <v>286</v>
      </c>
      <c r="B89" s="103" t="s">
        <v>36</v>
      </c>
      <c r="C89" s="103" t="s">
        <v>37</v>
      </c>
      <c r="D89" s="103" t="s">
        <v>39</v>
      </c>
      <c r="E89" s="103" t="s">
        <v>56</v>
      </c>
      <c r="F89" s="103" t="s">
        <v>44</v>
      </c>
      <c r="G89" s="103" t="s">
        <v>49</v>
      </c>
      <c r="H89" s="103" t="s">
        <v>596</v>
      </c>
      <c r="I89" s="103" t="s">
        <v>597</v>
      </c>
      <c r="O89" s="2"/>
      <c r="P89" s="2"/>
      <c r="Q89" s="2"/>
      <c r="R89" s="2"/>
      <c r="S89" s="2"/>
    </row>
    <row r="90" spans="1:19" x14ac:dyDescent="0.25">
      <c r="A90" s="103" t="s">
        <v>316</v>
      </c>
      <c r="B90" s="103" t="s">
        <v>55</v>
      </c>
      <c r="C90" s="103" t="s">
        <v>38</v>
      </c>
      <c r="D90" s="103" t="s">
        <v>40</v>
      </c>
      <c r="E90" s="103" t="s">
        <v>41</v>
      </c>
      <c r="F90" s="103" t="s">
        <v>43</v>
      </c>
      <c r="G90" s="103" t="s">
        <v>51</v>
      </c>
      <c r="H90" s="103" t="s">
        <v>682</v>
      </c>
      <c r="I90" s="103" t="s">
        <v>683</v>
      </c>
      <c r="O90" s="2"/>
      <c r="P90" s="2"/>
      <c r="Q90" s="2"/>
      <c r="R90" s="2"/>
      <c r="S90" s="2"/>
    </row>
    <row r="91" spans="1:19" x14ac:dyDescent="0.25">
      <c r="A91" s="103" t="s">
        <v>209</v>
      </c>
      <c r="B91" s="103" t="s">
        <v>38</v>
      </c>
      <c r="C91" s="103" t="s">
        <v>41</v>
      </c>
      <c r="D91" s="103" t="s">
        <v>43</v>
      </c>
      <c r="E91" s="103" t="s">
        <v>45</v>
      </c>
      <c r="F91" s="103" t="s">
        <v>42</v>
      </c>
      <c r="G91" s="103" t="s">
        <v>52</v>
      </c>
      <c r="H91" s="103" t="s">
        <v>576</v>
      </c>
      <c r="I91" s="103" t="s">
        <v>662</v>
      </c>
      <c r="O91" s="2"/>
      <c r="P91" s="2"/>
      <c r="Q91" s="2"/>
      <c r="R91" s="2"/>
      <c r="S91" s="2"/>
    </row>
    <row r="92" spans="1:19" x14ac:dyDescent="0.25">
      <c r="A92" s="103" t="s">
        <v>215</v>
      </c>
      <c r="B92" s="103" t="s">
        <v>40</v>
      </c>
      <c r="C92" s="103" t="s">
        <v>44</v>
      </c>
      <c r="D92" s="103" t="s">
        <v>45</v>
      </c>
      <c r="E92" s="103" t="s">
        <v>50</v>
      </c>
      <c r="F92" s="103" t="s">
        <v>51</v>
      </c>
      <c r="G92" s="103" t="s">
        <v>54</v>
      </c>
      <c r="H92" s="103" t="s">
        <v>529</v>
      </c>
      <c r="I92" s="103" t="s">
        <v>562</v>
      </c>
      <c r="O92" s="2"/>
      <c r="P92" s="2"/>
      <c r="Q92" s="2"/>
      <c r="R92" s="2"/>
      <c r="S92" s="2"/>
    </row>
    <row r="93" spans="1:19" x14ac:dyDescent="0.25">
      <c r="A93" s="103" t="s">
        <v>294</v>
      </c>
      <c r="B93" s="103" t="s">
        <v>40</v>
      </c>
      <c r="C93" s="103" t="s">
        <v>43</v>
      </c>
      <c r="D93" s="103" t="s">
        <v>44</v>
      </c>
      <c r="E93" s="103" t="s">
        <v>48</v>
      </c>
      <c r="F93" s="103" t="s">
        <v>50</v>
      </c>
      <c r="G93" s="103" t="s">
        <v>51</v>
      </c>
      <c r="H93" s="103" t="s">
        <v>652</v>
      </c>
      <c r="I93" s="103" t="s">
        <v>653</v>
      </c>
      <c r="O93" s="2"/>
      <c r="P93" s="2"/>
      <c r="Q93" s="2"/>
      <c r="R93" s="2"/>
      <c r="S93" s="2"/>
    </row>
    <row r="94" spans="1:19" x14ac:dyDescent="0.25">
      <c r="A94" s="103" t="s">
        <v>687</v>
      </c>
      <c r="B94" s="103" t="s">
        <v>36</v>
      </c>
      <c r="C94" s="103" t="s">
        <v>39</v>
      </c>
      <c r="D94" s="103" t="s">
        <v>42</v>
      </c>
      <c r="E94" s="103" t="s">
        <v>46</v>
      </c>
      <c r="F94" s="103" t="s">
        <v>48</v>
      </c>
      <c r="G94" s="103" t="s">
        <v>54</v>
      </c>
      <c r="H94" s="103" t="s">
        <v>598</v>
      </c>
      <c r="I94" s="103" t="s">
        <v>599</v>
      </c>
      <c r="O94" s="2"/>
      <c r="P94" s="2"/>
      <c r="Q94" s="2"/>
      <c r="R94" s="2"/>
      <c r="S94" s="2"/>
    </row>
    <row r="95" spans="1:19" x14ac:dyDescent="0.25">
      <c r="A95" s="103" t="s">
        <v>228</v>
      </c>
      <c r="B95" s="103" t="s">
        <v>37</v>
      </c>
      <c r="C95" s="103" t="s">
        <v>39</v>
      </c>
      <c r="D95" s="103" t="s">
        <v>56</v>
      </c>
      <c r="E95" s="103" t="s">
        <v>45</v>
      </c>
      <c r="F95" s="103" t="s">
        <v>48</v>
      </c>
      <c r="G95" s="103" t="s">
        <v>54</v>
      </c>
      <c r="H95" s="103" t="s">
        <v>636</v>
      </c>
      <c r="I95" s="103" t="s">
        <v>637</v>
      </c>
      <c r="O95" s="2"/>
      <c r="P95" s="2"/>
      <c r="Q95" s="2"/>
      <c r="R95" s="2"/>
      <c r="S95" s="2"/>
    </row>
    <row r="96" spans="1:19" x14ac:dyDescent="0.25">
      <c r="A96" s="103" t="s">
        <v>198</v>
      </c>
      <c r="B96" s="103" t="s">
        <v>37</v>
      </c>
      <c r="C96" s="103" t="s">
        <v>38</v>
      </c>
      <c r="D96" s="103" t="s">
        <v>56</v>
      </c>
      <c r="E96" s="103" t="s">
        <v>42</v>
      </c>
      <c r="F96" s="103" t="s">
        <v>52</v>
      </c>
      <c r="G96" s="103" t="s">
        <v>53</v>
      </c>
      <c r="H96" s="103" t="s">
        <v>568</v>
      </c>
      <c r="I96" s="103" t="s">
        <v>661</v>
      </c>
      <c r="O96" s="2"/>
      <c r="P96" s="2"/>
      <c r="Q96" s="2"/>
      <c r="R96" s="2"/>
      <c r="S96" s="2"/>
    </row>
    <row r="97" spans="1:19" x14ac:dyDescent="0.25">
      <c r="A97" s="103" t="s">
        <v>287</v>
      </c>
      <c r="B97" s="103" t="s">
        <v>37</v>
      </c>
      <c r="C97" s="103" t="s">
        <v>40</v>
      </c>
      <c r="D97" s="103" t="s">
        <v>43</v>
      </c>
      <c r="E97" s="103" t="s">
        <v>48</v>
      </c>
      <c r="F97" s="103" t="s">
        <v>51</v>
      </c>
      <c r="G97" s="103" t="s">
        <v>54</v>
      </c>
      <c r="H97" s="103" t="s">
        <v>600</v>
      </c>
      <c r="I97" s="103" t="s">
        <v>601</v>
      </c>
      <c r="O97" s="2"/>
      <c r="P97" s="2"/>
      <c r="Q97" s="2"/>
      <c r="R97" s="2"/>
      <c r="S97" s="2"/>
    </row>
    <row r="98" spans="1:19" x14ac:dyDescent="0.25">
      <c r="A98" s="103" t="s">
        <v>229</v>
      </c>
      <c r="B98" s="103" t="s">
        <v>35</v>
      </c>
      <c r="C98" s="103" t="s">
        <v>38</v>
      </c>
      <c r="D98" s="103" t="s">
        <v>57</v>
      </c>
      <c r="E98" s="103" t="s">
        <v>43</v>
      </c>
      <c r="F98" s="103" t="s">
        <v>44</v>
      </c>
      <c r="G98" s="103" t="s">
        <v>58</v>
      </c>
      <c r="H98" s="103" t="s">
        <v>638</v>
      </c>
      <c r="I98" s="103" t="s">
        <v>639</v>
      </c>
      <c r="O98" s="2"/>
      <c r="P98" s="2"/>
      <c r="Q98" s="2"/>
      <c r="R98" s="2"/>
      <c r="S98" s="2"/>
    </row>
    <row r="99" spans="1:19" x14ac:dyDescent="0.25">
      <c r="A99" s="103" t="s">
        <v>199</v>
      </c>
      <c r="B99" s="103" t="s">
        <v>55</v>
      </c>
      <c r="C99" s="103" t="s">
        <v>42</v>
      </c>
      <c r="D99" s="103" t="s">
        <v>43</v>
      </c>
      <c r="E99" s="103" t="s">
        <v>44</v>
      </c>
      <c r="F99" s="103" t="s">
        <v>49</v>
      </c>
      <c r="G99" s="103" t="s">
        <v>51</v>
      </c>
      <c r="H99" s="103" t="s">
        <v>555</v>
      </c>
      <c r="I99" s="103" t="s">
        <v>556</v>
      </c>
      <c r="O99" s="2"/>
      <c r="P99" s="2"/>
      <c r="Q99" s="2"/>
      <c r="R99" s="2"/>
      <c r="S99" s="2"/>
    </row>
    <row r="100" spans="1:19" x14ac:dyDescent="0.25">
      <c r="A100" s="103" t="s">
        <v>288</v>
      </c>
      <c r="B100" s="103" t="s">
        <v>35</v>
      </c>
      <c r="C100" s="103" t="s">
        <v>55</v>
      </c>
      <c r="D100" s="103" t="s">
        <v>41</v>
      </c>
      <c r="E100" s="103" t="s">
        <v>48</v>
      </c>
      <c r="F100" s="103" t="s">
        <v>51</v>
      </c>
      <c r="G100" s="103" t="s">
        <v>54</v>
      </c>
      <c r="H100" s="103" t="s">
        <v>602</v>
      </c>
      <c r="I100" s="103" t="s">
        <v>582</v>
      </c>
      <c r="O100" s="2"/>
      <c r="P100" s="2"/>
      <c r="Q100" s="2"/>
      <c r="R100" s="2"/>
      <c r="S100" s="2"/>
    </row>
    <row r="101" spans="1:19" x14ac:dyDescent="0.25">
      <c r="A101" s="103" t="s">
        <v>267</v>
      </c>
      <c r="B101" s="103" t="s">
        <v>55</v>
      </c>
      <c r="C101" s="103" t="s">
        <v>57</v>
      </c>
      <c r="D101" s="103" t="s">
        <v>42</v>
      </c>
      <c r="E101" s="103" t="s">
        <v>48</v>
      </c>
      <c r="F101" s="103" t="s">
        <v>50</v>
      </c>
      <c r="G101" s="103" t="s">
        <v>51</v>
      </c>
      <c r="H101" s="103" t="s">
        <v>516</v>
      </c>
      <c r="I101" s="103" t="s">
        <v>586</v>
      </c>
      <c r="O101" s="2"/>
      <c r="P101" s="2"/>
      <c r="Q101" s="2"/>
      <c r="R101" s="2"/>
      <c r="S101" s="2"/>
    </row>
    <row r="102" spans="1:19" x14ac:dyDescent="0.25">
      <c r="A102" s="103" t="s">
        <v>275</v>
      </c>
      <c r="B102" s="103" t="s">
        <v>38</v>
      </c>
      <c r="C102" s="103" t="s">
        <v>40</v>
      </c>
      <c r="D102" s="103" t="s">
        <v>42</v>
      </c>
      <c r="E102" s="103" t="s">
        <v>44</v>
      </c>
      <c r="F102" s="103" t="s">
        <v>50</v>
      </c>
      <c r="G102" s="103" t="s">
        <v>51</v>
      </c>
      <c r="H102" s="103" t="s">
        <v>511</v>
      </c>
      <c r="I102" s="103" t="s">
        <v>513</v>
      </c>
      <c r="O102" s="2"/>
      <c r="P102" s="2"/>
      <c r="Q102" s="2"/>
      <c r="R102" s="2"/>
      <c r="S102" s="2"/>
    </row>
    <row r="103" spans="1:19" x14ac:dyDescent="0.25">
      <c r="A103" s="103" t="s">
        <v>241</v>
      </c>
      <c r="B103" s="103" t="s">
        <v>57</v>
      </c>
      <c r="C103" s="103" t="s">
        <v>41</v>
      </c>
      <c r="D103" s="103" t="s">
        <v>47</v>
      </c>
      <c r="E103" s="103" t="s">
        <v>49</v>
      </c>
      <c r="F103" s="103" t="s">
        <v>51</v>
      </c>
      <c r="G103" s="103" t="s">
        <v>53</v>
      </c>
      <c r="H103" s="103" t="s">
        <v>613</v>
      </c>
      <c r="I103" s="103" t="s">
        <v>614</v>
      </c>
      <c r="O103" s="2"/>
      <c r="P103" s="2"/>
      <c r="Q103" s="2"/>
      <c r="R103" s="2"/>
      <c r="S103" s="2"/>
    </row>
    <row r="104" spans="1:19" x14ac:dyDescent="0.25">
      <c r="A104" s="103" t="s">
        <v>306</v>
      </c>
      <c r="B104" s="103" t="s">
        <v>36</v>
      </c>
      <c r="C104" s="103" t="s">
        <v>37</v>
      </c>
      <c r="D104" s="103" t="s">
        <v>57</v>
      </c>
      <c r="E104" s="103" t="s">
        <v>42</v>
      </c>
      <c r="F104" s="103" t="s">
        <v>48</v>
      </c>
      <c r="G104" s="103" t="s">
        <v>58</v>
      </c>
      <c r="H104" s="103" t="s">
        <v>670</v>
      </c>
      <c r="I104" s="103" t="s">
        <v>671</v>
      </c>
      <c r="O104" s="2"/>
      <c r="P104" s="2"/>
      <c r="Q104" s="2"/>
      <c r="R104" s="2"/>
      <c r="S104" s="2"/>
    </row>
    <row r="105" spans="1:19" x14ac:dyDescent="0.25">
      <c r="A105" s="103" t="s">
        <v>307</v>
      </c>
      <c r="B105" s="103" t="s">
        <v>36</v>
      </c>
      <c r="C105" s="103" t="s">
        <v>37</v>
      </c>
      <c r="D105" s="103" t="s">
        <v>56</v>
      </c>
      <c r="E105" s="103" t="s">
        <v>42</v>
      </c>
      <c r="F105" s="103" t="s">
        <v>46</v>
      </c>
      <c r="G105" s="103" t="s">
        <v>53</v>
      </c>
      <c r="H105" s="103" t="s">
        <v>672</v>
      </c>
      <c r="I105" s="103" t="s">
        <v>673</v>
      </c>
      <c r="O105" s="2"/>
      <c r="P105" s="2"/>
      <c r="Q105" s="2"/>
      <c r="R105" s="2"/>
      <c r="S105" s="2"/>
    </row>
    <row r="106" spans="1:19" x14ac:dyDescent="0.25">
      <c r="A106" s="103" t="s">
        <v>258</v>
      </c>
      <c r="B106" s="103" t="s">
        <v>36</v>
      </c>
      <c r="C106" s="103" t="s">
        <v>56</v>
      </c>
      <c r="D106" s="103" t="s">
        <v>42</v>
      </c>
      <c r="E106" s="103" t="s">
        <v>43</v>
      </c>
      <c r="F106" s="103" t="s">
        <v>48</v>
      </c>
      <c r="G106" s="103" t="s">
        <v>54</v>
      </c>
      <c r="H106" s="103" t="s">
        <v>511</v>
      </c>
      <c r="I106" s="103" t="s">
        <v>543</v>
      </c>
      <c r="O106" s="2"/>
      <c r="P106" s="2"/>
      <c r="Q106" s="2"/>
      <c r="R106" s="2"/>
      <c r="S106" s="2"/>
    </row>
    <row r="107" spans="1:19" x14ac:dyDescent="0.25">
      <c r="A107" s="103" t="s">
        <v>276</v>
      </c>
      <c r="B107" s="103" t="s">
        <v>55</v>
      </c>
      <c r="C107" s="103" t="s">
        <v>57</v>
      </c>
      <c r="D107" s="103" t="s">
        <v>44</v>
      </c>
      <c r="E107" s="103" t="s">
        <v>45</v>
      </c>
      <c r="F107" s="103" t="s">
        <v>58</v>
      </c>
      <c r="G107" s="103" t="s">
        <v>54</v>
      </c>
      <c r="H107" s="103" t="s">
        <v>514</v>
      </c>
      <c r="I107" s="103" t="s">
        <v>515</v>
      </c>
      <c r="O107" s="2"/>
      <c r="P107" s="2"/>
      <c r="Q107" s="2"/>
      <c r="R107" s="2"/>
      <c r="S107" s="2"/>
    </row>
    <row r="108" spans="1:19" x14ac:dyDescent="0.25">
      <c r="A108" s="103" t="s">
        <v>216</v>
      </c>
      <c r="B108" s="103" t="s">
        <v>35</v>
      </c>
      <c r="C108" s="103" t="s">
        <v>40</v>
      </c>
      <c r="D108" s="103" t="s">
        <v>44</v>
      </c>
      <c r="E108" s="103" t="s">
        <v>47</v>
      </c>
      <c r="F108" s="103" t="s">
        <v>48</v>
      </c>
      <c r="G108" s="103" t="s">
        <v>58</v>
      </c>
      <c r="H108" s="103" t="s">
        <v>550</v>
      </c>
      <c r="I108" s="103" t="s">
        <v>563</v>
      </c>
      <c r="O108" s="2"/>
      <c r="P108" s="2"/>
      <c r="Q108" s="2"/>
      <c r="R108" s="2"/>
      <c r="S108" s="2"/>
    </row>
    <row r="109" spans="1:19" x14ac:dyDescent="0.25">
      <c r="A109" s="103" t="s">
        <v>259</v>
      </c>
      <c r="B109" s="103" t="s">
        <v>36</v>
      </c>
      <c r="C109" s="103" t="s">
        <v>37</v>
      </c>
      <c r="D109" s="103" t="s">
        <v>40</v>
      </c>
      <c r="E109" s="103" t="s">
        <v>48</v>
      </c>
      <c r="F109" s="103" t="s">
        <v>51</v>
      </c>
      <c r="G109" s="103" t="s">
        <v>53</v>
      </c>
      <c r="H109" s="103" t="s">
        <v>508</v>
      </c>
      <c r="I109" s="103" t="s">
        <v>664</v>
      </c>
      <c r="O109" s="2"/>
      <c r="P109" s="2"/>
      <c r="Q109" s="2"/>
      <c r="R109" s="2"/>
      <c r="S109" s="2"/>
    </row>
    <row r="110" spans="1:19" x14ac:dyDescent="0.25">
      <c r="A110" s="103" t="s">
        <v>210</v>
      </c>
      <c r="B110" s="103" t="s">
        <v>37</v>
      </c>
      <c r="C110" s="103" t="s">
        <v>39</v>
      </c>
      <c r="D110" s="103" t="s">
        <v>42</v>
      </c>
      <c r="E110" s="103" t="s">
        <v>46</v>
      </c>
      <c r="F110" s="103" t="s">
        <v>51</v>
      </c>
      <c r="G110" s="103" t="s">
        <v>58</v>
      </c>
      <c r="H110" s="103" t="s">
        <v>576</v>
      </c>
      <c r="I110" s="103" t="s">
        <v>558</v>
      </c>
      <c r="O110" s="2"/>
      <c r="P110" s="2"/>
      <c r="Q110" s="2"/>
      <c r="R110" s="2"/>
      <c r="S110" s="2"/>
    </row>
    <row r="111" spans="1:19" x14ac:dyDescent="0.25">
      <c r="A111" s="103" t="s">
        <v>313</v>
      </c>
      <c r="B111" s="103" t="s">
        <v>37</v>
      </c>
      <c r="C111" s="103" t="s">
        <v>45</v>
      </c>
      <c r="D111" s="103" t="s">
        <v>46</v>
      </c>
      <c r="E111" s="103" t="s">
        <v>48</v>
      </c>
      <c r="F111" s="103" t="s">
        <v>51</v>
      </c>
      <c r="G111" s="103" t="s">
        <v>52</v>
      </c>
      <c r="H111" s="103" t="s">
        <v>679</v>
      </c>
      <c r="I111" s="103" t="s">
        <v>680</v>
      </c>
      <c r="O111" s="2"/>
      <c r="P111" s="2"/>
      <c r="Q111" s="2"/>
      <c r="R111" s="2"/>
      <c r="S111" s="2"/>
    </row>
    <row r="112" spans="1:19" x14ac:dyDescent="0.25">
      <c r="A112" s="103" t="s">
        <v>319</v>
      </c>
      <c r="B112" s="103" t="s">
        <v>37</v>
      </c>
      <c r="C112" s="103" t="s">
        <v>40</v>
      </c>
      <c r="D112" s="103" t="s">
        <v>56</v>
      </c>
      <c r="E112" s="103" t="s">
        <v>42</v>
      </c>
      <c r="F112" s="103" t="s">
        <v>43</v>
      </c>
      <c r="G112" s="103" t="s">
        <v>53</v>
      </c>
      <c r="H112" s="103" t="s">
        <v>656</v>
      </c>
      <c r="I112" s="103" t="s">
        <v>686</v>
      </c>
      <c r="O112" s="2"/>
      <c r="P112" s="2"/>
      <c r="Q112" s="2"/>
      <c r="R112" s="2"/>
      <c r="S112" s="2"/>
    </row>
    <row r="113" spans="1:19" x14ac:dyDescent="0.25">
      <c r="A113" s="103" t="s">
        <v>308</v>
      </c>
      <c r="B113" s="103" t="s">
        <v>35</v>
      </c>
      <c r="C113" s="103" t="s">
        <v>40</v>
      </c>
      <c r="D113" s="103" t="s">
        <v>57</v>
      </c>
      <c r="E113" s="103" t="s">
        <v>42</v>
      </c>
      <c r="F113" s="103" t="s">
        <v>43</v>
      </c>
      <c r="G113" s="103" t="s">
        <v>50</v>
      </c>
      <c r="H113" s="103" t="s">
        <v>670</v>
      </c>
      <c r="I113" s="103" t="s">
        <v>674</v>
      </c>
      <c r="O113" s="2"/>
      <c r="P113" s="2"/>
      <c r="Q113" s="2"/>
      <c r="R113" s="2"/>
      <c r="S113" s="2"/>
    </row>
    <row r="114" spans="1:19" x14ac:dyDescent="0.25">
      <c r="A114" s="103" t="s">
        <v>242</v>
      </c>
      <c r="B114" s="103" t="s">
        <v>35</v>
      </c>
      <c r="C114" s="103" t="s">
        <v>55</v>
      </c>
      <c r="D114" s="103" t="s">
        <v>38</v>
      </c>
      <c r="E114" s="103" t="s">
        <v>57</v>
      </c>
      <c r="F114" s="103" t="s">
        <v>47</v>
      </c>
      <c r="G114" s="103" t="s">
        <v>58</v>
      </c>
      <c r="H114" s="103" t="s">
        <v>615</v>
      </c>
      <c r="I114" s="103" t="s">
        <v>616</v>
      </c>
      <c r="O114" s="2"/>
      <c r="P114" s="2"/>
      <c r="Q114" s="2"/>
      <c r="R114" s="2"/>
      <c r="S114" s="2"/>
    </row>
    <row r="115" spans="1:19" x14ac:dyDescent="0.25">
      <c r="A115" s="103" t="s">
        <v>277</v>
      </c>
      <c r="B115" s="103" t="s">
        <v>39</v>
      </c>
      <c r="C115" s="103" t="s">
        <v>40</v>
      </c>
      <c r="D115" s="103" t="s">
        <v>56</v>
      </c>
      <c r="E115" s="103" t="s">
        <v>48</v>
      </c>
      <c r="F115" s="103" t="s">
        <v>51</v>
      </c>
      <c r="G115" s="103" t="s">
        <v>53</v>
      </c>
      <c r="H115" s="103" t="s">
        <v>516</v>
      </c>
      <c r="I115" s="103" t="s">
        <v>517</v>
      </c>
      <c r="O115" s="2"/>
      <c r="P115" s="2"/>
      <c r="Q115" s="2"/>
      <c r="R115" s="2"/>
      <c r="S115" s="2"/>
    </row>
    <row r="116" spans="1:19" x14ac:dyDescent="0.25">
      <c r="A116" s="103" t="s">
        <v>268</v>
      </c>
      <c r="B116" s="103" t="s">
        <v>55</v>
      </c>
      <c r="C116" s="103" t="s">
        <v>40</v>
      </c>
      <c r="D116" s="103" t="s">
        <v>42</v>
      </c>
      <c r="E116" s="103" t="s">
        <v>43</v>
      </c>
      <c r="F116" s="103" t="s">
        <v>48</v>
      </c>
      <c r="G116" s="103" t="s">
        <v>51</v>
      </c>
      <c r="H116" s="103" t="s">
        <v>574</v>
      </c>
      <c r="I116" s="103" t="s">
        <v>587</v>
      </c>
      <c r="O116" s="2"/>
      <c r="P116" s="2"/>
      <c r="Q116" s="2"/>
      <c r="R116" s="2"/>
      <c r="S116" s="2"/>
    </row>
    <row r="117" spans="1:19" x14ac:dyDescent="0.25">
      <c r="A117" s="103" t="s">
        <v>230</v>
      </c>
      <c r="B117" s="103" t="s">
        <v>38</v>
      </c>
      <c r="C117" s="103" t="s">
        <v>40</v>
      </c>
      <c r="D117" s="103" t="s">
        <v>42</v>
      </c>
      <c r="E117" s="103" t="s">
        <v>43</v>
      </c>
      <c r="F117" s="103" t="s">
        <v>47</v>
      </c>
      <c r="G117" s="103" t="s">
        <v>53</v>
      </c>
      <c r="H117" s="103" t="s">
        <v>628</v>
      </c>
      <c r="I117" s="103" t="s">
        <v>640</v>
      </c>
      <c r="O117" s="2"/>
      <c r="P117" s="2"/>
      <c r="Q117" s="2"/>
      <c r="R117" s="2"/>
      <c r="S117" s="2"/>
    </row>
    <row r="118" spans="1:19" x14ac:dyDescent="0.25">
      <c r="A118" s="103" t="s">
        <v>243</v>
      </c>
      <c r="B118" s="103" t="s">
        <v>37</v>
      </c>
      <c r="C118" s="103" t="s">
        <v>39</v>
      </c>
      <c r="D118" s="103" t="s">
        <v>40</v>
      </c>
      <c r="E118" s="103" t="s">
        <v>42</v>
      </c>
      <c r="F118" s="103" t="s">
        <v>195</v>
      </c>
      <c r="G118" s="103" t="s">
        <v>53</v>
      </c>
      <c r="H118" s="103" t="s">
        <v>617</v>
      </c>
      <c r="I118" s="103" t="s">
        <v>618</v>
      </c>
      <c r="O118" s="2"/>
      <c r="P118" s="2"/>
      <c r="Q118" s="2"/>
      <c r="R118" s="2"/>
      <c r="S118" s="2"/>
    </row>
    <row r="119" spans="1:19" x14ac:dyDescent="0.25">
      <c r="A119" s="103" t="s">
        <v>200</v>
      </c>
      <c r="B119" s="103" t="s">
        <v>37</v>
      </c>
      <c r="C119" s="103" t="s">
        <v>41</v>
      </c>
      <c r="D119" s="103" t="s">
        <v>43</v>
      </c>
      <c r="E119" s="103" t="s">
        <v>48</v>
      </c>
      <c r="F119" s="103" t="s">
        <v>58</v>
      </c>
      <c r="G119" s="103" t="s">
        <v>53</v>
      </c>
      <c r="H119" s="103" t="s">
        <v>529</v>
      </c>
      <c r="I119" s="103" t="s">
        <v>357</v>
      </c>
      <c r="O119" s="2"/>
      <c r="P119" s="2"/>
      <c r="Q119" s="2"/>
      <c r="R119" s="2"/>
      <c r="S119" s="2"/>
    </row>
    <row r="120" spans="1:19" x14ac:dyDescent="0.25">
      <c r="A120" s="103" t="s">
        <v>1341</v>
      </c>
      <c r="B120" s="103" t="s">
        <v>35</v>
      </c>
      <c r="C120" s="103" t="s">
        <v>55</v>
      </c>
      <c r="D120" s="103" t="s">
        <v>57</v>
      </c>
      <c r="E120" s="103" t="s">
        <v>43</v>
      </c>
      <c r="F120" s="103" t="s">
        <v>44</v>
      </c>
      <c r="G120" s="103" t="s">
        <v>58</v>
      </c>
      <c r="H120" s="103" t="s">
        <v>1353</v>
      </c>
      <c r="I120" s="103" t="s">
        <v>539</v>
      </c>
      <c r="O120" s="2"/>
      <c r="P120" s="2"/>
      <c r="Q120" s="2"/>
      <c r="R120" s="2"/>
      <c r="S120" s="2"/>
    </row>
    <row r="121" spans="1:19" x14ac:dyDescent="0.25">
      <c r="A121" s="103" t="s">
        <v>278</v>
      </c>
      <c r="B121" s="103" t="s">
        <v>37</v>
      </c>
      <c r="C121" s="103" t="s">
        <v>38</v>
      </c>
      <c r="D121" s="103" t="s">
        <v>39</v>
      </c>
      <c r="E121" s="103" t="s">
        <v>45</v>
      </c>
      <c r="F121" s="103" t="s">
        <v>51</v>
      </c>
      <c r="G121" s="103" t="s">
        <v>52</v>
      </c>
      <c r="H121" s="103" t="s">
        <v>518</v>
      </c>
      <c r="I121" s="103" t="s">
        <v>519</v>
      </c>
      <c r="O121" s="2"/>
      <c r="P121" s="2"/>
      <c r="Q121" s="2"/>
      <c r="R121" s="2"/>
      <c r="S121" s="2"/>
    </row>
    <row r="122" spans="1:19" x14ac:dyDescent="0.25">
      <c r="A122" s="103" t="s">
        <v>295</v>
      </c>
      <c r="B122" s="103" t="s">
        <v>38</v>
      </c>
      <c r="C122" s="103" t="s">
        <v>41</v>
      </c>
      <c r="D122" s="103" t="s">
        <v>42</v>
      </c>
      <c r="E122" s="103" t="s">
        <v>43</v>
      </c>
      <c r="F122" s="103" t="s">
        <v>47</v>
      </c>
      <c r="G122" s="103" t="s">
        <v>51</v>
      </c>
      <c r="H122" s="103" t="s">
        <v>611</v>
      </c>
      <c r="I122" s="103" t="s">
        <v>654</v>
      </c>
      <c r="O122" s="2"/>
      <c r="P122" s="2"/>
      <c r="Q122" s="2"/>
      <c r="R122" s="2"/>
      <c r="S122" s="2"/>
    </row>
    <row r="123" spans="1:19" x14ac:dyDescent="0.25">
      <c r="A123" s="103" t="s">
        <v>231</v>
      </c>
      <c r="B123" s="103" t="s">
        <v>37</v>
      </c>
      <c r="C123" s="103" t="s">
        <v>39</v>
      </c>
      <c r="D123" s="103" t="s">
        <v>42</v>
      </c>
      <c r="E123" s="103" t="s">
        <v>45</v>
      </c>
      <c r="F123" s="103" t="s">
        <v>48</v>
      </c>
      <c r="G123" s="103" t="s">
        <v>53</v>
      </c>
      <c r="H123" s="103" t="s">
        <v>633</v>
      </c>
      <c r="I123" s="103" t="s">
        <v>641</v>
      </c>
      <c r="O123" s="2"/>
      <c r="P123" s="2"/>
      <c r="Q123" s="2"/>
      <c r="R123" s="2"/>
      <c r="S123" s="2"/>
    </row>
    <row r="124" spans="1:19" x14ac:dyDescent="0.25">
      <c r="A124" s="103" t="s">
        <v>619</v>
      </c>
      <c r="B124" s="103" t="s">
        <v>38</v>
      </c>
      <c r="C124" s="103" t="s">
        <v>39</v>
      </c>
      <c r="D124" s="103" t="s">
        <v>44</v>
      </c>
      <c r="E124" s="103" t="s">
        <v>46</v>
      </c>
      <c r="F124" s="103" t="s">
        <v>49</v>
      </c>
      <c r="G124" s="103" t="s">
        <v>54</v>
      </c>
      <c r="H124" s="103" t="s">
        <v>620</v>
      </c>
      <c r="I124" s="103" t="s">
        <v>621</v>
      </c>
    </row>
    <row r="125" spans="1:19" x14ac:dyDescent="0.25">
      <c r="A125" s="103" t="s">
        <v>211</v>
      </c>
      <c r="B125" s="103" t="s">
        <v>38</v>
      </c>
      <c r="C125" s="103" t="s">
        <v>39</v>
      </c>
      <c r="D125" s="103" t="s">
        <v>57</v>
      </c>
      <c r="E125" s="103" t="s">
        <v>42</v>
      </c>
      <c r="F125" s="103" t="s">
        <v>48</v>
      </c>
      <c r="G125" s="103" t="s">
        <v>51</v>
      </c>
      <c r="H125" s="103" t="s">
        <v>577</v>
      </c>
      <c r="I125" s="103" t="s">
        <v>578</v>
      </c>
    </row>
    <row r="126" spans="1:19" x14ac:dyDescent="0.25">
      <c r="A126" s="103" t="s">
        <v>217</v>
      </c>
      <c r="B126" s="103" t="s">
        <v>37</v>
      </c>
      <c r="C126" s="103" t="s">
        <v>39</v>
      </c>
      <c r="D126" s="103" t="s">
        <v>42</v>
      </c>
      <c r="E126" s="103" t="s">
        <v>49</v>
      </c>
      <c r="F126" s="103" t="s">
        <v>51</v>
      </c>
      <c r="G126" s="103" t="s">
        <v>52</v>
      </c>
      <c r="H126" s="103" t="s">
        <v>564</v>
      </c>
      <c r="I126" s="103" t="s">
        <v>565</v>
      </c>
    </row>
    <row r="127" spans="1:19" x14ac:dyDescent="0.25">
      <c r="A127" s="103" t="s">
        <v>318</v>
      </c>
      <c r="B127" s="103" t="s">
        <v>37</v>
      </c>
      <c r="C127" s="103" t="s">
        <v>56</v>
      </c>
      <c r="D127" s="103" t="s">
        <v>57</v>
      </c>
      <c r="E127" s="103" t="s">
        <v>42</v>
      </c>
      <c r="F127" s="103" t="s">
        <v>43</v>
      </c>
      <c r="G127" s="103" t="s">
        <v>53</v>
      </c>
      <c r="H127" s="103" t="s">
        <v>568</v>
      </c>
      <c r="I127" s="103" t="s">
        <v>685</v>
      </c>
    </row>
    <row r="128" spans="1:19" x14ac:dyDescent="0.25">
      <c r="A128" s="103" t="s">
        <v>201</v>
      </c>
      <c r="B128" s="103" t="s">
        <v>37</v>
      </c>
      <c r="C128" s="103" t="s">
        <v>39</v>
      </c>
      <c r="D128" s="103" t="s">
        <v>56</v>
      </c>
      <c r="E128" s="103" t="s">
        <v>48</v>
      </c>
      <c r="F128" s="103" t="s">
        <v>51</v>
      </c>
      <c r="G128" s="103" t="s">
        <v>54</v>
      </c>
      <c r="H128" s="103" t="s">
        <v>557</v>
      </c>
      <c r="I128" s="103" t="s">
        <v>558</v>
      </c>
    </row>
    <row r="129" spans="1:9" x14ac:dyDescent="0.25">
      <c r="A129" s="103" t="s">
        <v>279</v>
      </c>
      <c r="B129" s="103" t="s">
        <v>35</v>
      </c>
      <c r="C129" s="103" t="s">
        <v>44</v>
      </c>
      <c r="D129" s="103" t="s">
        <v>43</v>
      </c>
      <c r="E129" s="103" t="s">
        <v>49</v>
      </c>
      <c r="F129" s="103" t="s">
        <v>50</v>
      </c>
      <c r="G129" s="103" t="s">
        <v>58</v>
      </c>
      <c r="H129" s="103" t="s">
        <v>514</v>
      </c>
      <c r="I129" s="103" t="s">
        <v>520</v>
      </c>
    </row>
    <row r="130" spans="1:9" x14ac:dyDescent="0.25">
      <c r="A130" s="103" t="s">
        <v>296</v>
      </c>
      <c r="B130" s="103" t="s">
        <v>55</v>
      </c>
      <c r="C130" s="103" t="s">
        <v>41</v>
      </c>
      <c r="D130" s="103" t="s">
        <v>42</v>
      </c>
      <c r="E130" s="103" t="s">
        <v>43</v>
      </c>
      <c r="F130" s="103" t="s">
        <v>46</v>
      </c>
      <c r="G130" s="103" t="s">
        <v>54</v>
      </c>
      <c r="H130" s="103" t="s">
        <v>568</v>
      </c>
      <c r="I130" s="103" t="s">
        <v>655</v>
      </c>
    </row>
    <row r="131" spans="1:9" x14ac:dyDescent="0.25">
      <c r="A131" s="103" t="s">
        <v>218</v>
      </c>
      <c r="B131" s="103" t="s">
        <v>35</v>
      </c>
      <c r="C131" s="103" t="s">
        <v>39</v>
      </c>
      <c r="D131" s="103" t="s">
        <v>40</v>
      </c>
      <c r="E131" s="103" t="s">
        <v>47</v>
      </c>
      <c r="F131" s="103" t="s">
        <v>52</v>
      </c>
      <c r="G131" s="103" t="s">
        <v>53</v>
      </c>
      <c r="H131" s="103" t="s">
        <v>566</v>
      </c>
      <c r="I131" s="103" t="s">
        <v>567</v>
      </c>
    </row>
    <row r="132" spans="1:9" x14ac:dyDescent="0.25">
      <c r="A132" s="103" t="s">
        <v>219</v>
      </c>
      <c r="B132" s="103" t="s">
        <v>55</v>
      </c>
      <c r="C132" s="103" t="s">
        <v>57</v>
      </c>
      <c r="D132" s="103" t="s">
        <v>41</v>
      </c>
      <c r="E132" s="103" t="s">
        <v>44</v>
      </c>
      <c r="F132" s="103" t="s">
        <v>47</v>
      </c>
      <c r="G132" s="103" t="s">
        <v>50</v>
      </c>
      <c r="H132" s="103" t="s">
        <v>521</v>
      </c>
      <c r="I132" s="103" t="s">
        <v>356</v>
      </c>
    </row>
    <row r="133" spans="1:9" x14ac:dyDescent="0.25">
      <c r="A133" s="103" t="s">
        <v>212</v>
      </c>
      <c r="B133" s="103" t="s">
        <v>35</v>
      </c>
      <c r="C133" s="103" t="s">
        <v>38</v>
      </c>
      <c r="D133" s="103" t="s">
        <v>41</v>
      </c>
      <c r="E133" s="103" t="s">
        <v>44</v>
      </c>
      <c r="F133" s="103" t="s">
        <v>46</v>
      </c>
      <c r="G133" s="103" t="s">
        <v>50</v>
      </c>
      <c r="H133" s="103" t="s">
        <v>548</v>
      </c>
      <c r="I133" s="103" t="s">
        <v>579</v>
      </c>
    </row>
    <row r="134" spans="1:9" x14ac:dyDescent="0.25">
      <c r="A134" s="103" t="s">
        <v>202</v>
      </c>
      <c r="B134" s="103" t="s">
        <v>35</v>
      </c>
      <c r="C134" s="103" t="s">
        <v>40</v>
      </c>
      <c r="D134" s="103" t="s">
        <v>43</v>
      </c>
      <c r="E134" s="103" t="s">
        <v>44</v>
      </c>
      <c r="F134" s="103" t="s">
        <v>195</v>
      </c>
      <c r="G134" s="103" t="s">
        <v>50</v>
      </c>
      <c r="H134" s="103" t="s">
        <v>559</v>
      </c>
      <c r="I134" s="103" t="s">
        <v>560</v>
      </c>
    </row>
    <row r="135" spans="1:9" x14ac:dyDescent="0.25">
      <c r="A135" s="103" t="s">
        <v>309</v>
      </c>
      <c r="B135" s="103" t="s">
        <v>40</v>
      </c>
      <c r="C135" s="103" t="s">
        <v>42</v>
      </c>
      <c r="D135" s="103" t="s">
        <v>43</v>
      </c>
      <c r="E135" s="103" t="s">
        <v>46</v>
      </c>
      <c r="F135" s="103" t="s">
        <v>50</v>
      </c>
      <c r="G135" s="103" t="s">
        <v>51</v>
      </c>
      <c r="H135" s="103" t="s">
        <v>675</v>
      </c>
      <c r="I135" s="103" t="s">
        <v>676</v>
      </c>
    </row>
    <row r="136" spans="1:9" x14ac:dyDescent="0.25">
      <c r="A136" s="103" t="s">
        <v>297</v>
      </c>
      <c r="B136" s="103" t="s">
        <v>39</v>
      </c>
      <c r="C136" s="103" t="s">
        <v>40</v>
      </c>
      <c r="D136" s="103" t="s">
        <v>57</v>
      </c>
      <c r="E136" s="103" t="s">
        <v>46</v>
      </c>
      <c r="F136" s="103" t="s">
        <v>48</v>
      </c>
      <c r="G136" s="103" t="s">
        <v>54</v>
      </c>
      <c r="H136" s="103" t="s">
        <v>656</v>
      </c>
      <c r="I136" s="103" t="s">
        <v>657</v>
      </c>
    </row>
    <row r="137" spans="1:9" x14ac:dyDescent="0.25">
      <c r="A137" s="103" t="s">
        <v>298</v>
      </c>
      <c r="B137" s="103" t="s">
        <v>37</v>
      </c>
      <c r="C137" s="103" t="s">
        <v>38</v>
      </c>
      <c r="D137" s="103" t="s">
        <v>56</v>
      </c>
      <c r="E137" s="103" t="s">
        <v>48</v>
      </c>
      <c r="F137" s="103" t="s">
        <v>51</v>
      </c>
      <c r="G137" s="103" t="s">
        <v>52</v>
      </c>
      <c r="H137" s="103" t="s">
        <v>658</v>
      </c>
      <c r="I137" s="103" t="s">
        <v>659</v>
      </c>
    </row>
    <row r="138" spans="1:9" x14ac:dyDescent="0.25">
      <c r="A138" s="103" t="s">
        <v>1342</v>
      </c>
      <c r="B138" s="103" t="s">
        <v>35</v>
      </c>
      <c r="C138" s="103" t="s">
        <v>38</v>
      </c>
      <c r="D138" s="103" t="s">
        <v>40</v>
      </c>
      <c r="E138" s="103" t="s">
        <v>41</v>
      </c>
      <c r="F138" s="103" t="s">
        <v>43</v>
      </c>
      <c r="G138" s="103" t="s">
        <v>44</v>
      </c>
      <c r="H138" s="103" t="s">
        <v>1354</v>
      </c>
      <c r="I138" s="103" t="s">
        <v>1355</v>
      </c>
    </row>
    <row r="139" spans="1:9" x14ac:dyDescent="0.25">
      <c r="A139" s="103" t="s">
        <v>203</v>
      </c>
      <c r="B139" s="103" t="s">
        <v>38</v>
      </c>
      <c r="C139" s="103" t="s">
        <v>39</v>
      </c>
      <c r="D139" s="103" t="s">
        <v>42</v>
      </c>
      <c r="E139" s="103" t="s">
        <v>44</v>
      </c>
      <c r="F139" s="103" t="s">
        <v>50</v>
      </c>
      <c r="G139" s="103" t="s">
        <v>52</v>
      </c>
      <c r="H139" s="103" t="s">
        <v>518</v>
      </c>
      <c r="I139" s="103" t="s">
        <v>360</v>
      </c>
    </row>
    <row r="140" spans="1:9" x14ac:dyDescent="0.25">
      <c r="A140" s="103" t="s">
        <v>244</v>
      </c>
      <c r="B140" s="103" t="s">
        <v>36</v>
      </c>
      <c r="C140" s="103" t="s">
        <v>38</v>
      </c>
      <c r="D140" s="103" t="s">
        <v>40</v>
      </c>
      <c r="E140" s="103" t="s">
        <v>41</v>
      </c>
      <c r="F140" s="103" t="s">
        <v>51</v>
      </c>
      <c r="G140" s="103" t="s">
        <v>52</v>
      </c>
      <c r="H140" s="103" t="s">
        <v>622</v>
      </c>
      <c r="I140" s="103" t="s">
        <v>623</v>
      </c>
    </row>
    <row r="141" spans="1:9" x14ac:dyDescent="0.25">
      <c r="A141" s="103" t="s">
        <v>220</v>
      </c>
      <c r="B141" s="103" t="s">
        <v>57</v>
      </c>
      <c r="C141" s="103" t="s">
        <v>42</v>
      </c>
      <c r="D141" s="103" t="s">
        <v>43</v>
      </c>
      <c r="E141" s="103" t="s">
        <v>45</v>
      </c>
      <c r="F141" s="103" t="s">
        <v>47</v>
      </c>
      <c r="G141" s="103" t="s">
        <v>53</v>
      </c>
      <c r="H141" s="103" t="s">
        <v>568</v>
      </c>
      <c r="I141" s="103" t="s">
        <v>569</v>
      </c>
    </row>
    <row r="142" spans="1:9" x14ac:dyDescent="0.25">
      <c r="A142" s="103" t="s">
        <v>232</v>
      </c>
      <c r="B142" s="103" t="s">
        <v>36</v>
      </c>
      <c r="C142" s="103" t="s">
        <v>38</v>
      </c>
      <c r="D142" s="103" t="s">
        <v>39</v>
      </c>
      <c r="E142" s="103" t="s">
        <v>43</v>
      </c>
      <c r="F142" s="103" t="s">
        <v>49</v>
      </c>
      <c r="G142" s="103" t="s">
        <v>51</v>
      </c>
      <c r="H142" s="103" t="s">
        <v>642</v>
      </c>
      <c r="I142" s="103" t="s">
        <v>643</v>
      </c>
    </row>
    <row r="143" spans="1:9" x14ac:dyDescent="0.25">
      <c r="A143" s="103" t="s">
        <v>245</v>
      </c>
      <c r="B143" s="103" t="s">
        <v>36</v>
      </c>
      <c r="C143" s="103" t="s">
        <v>56</v>
      </c>
      <c r="D143" s="103" t="s">
        <v>43</v>
      </c>
      <c r="E143" s="103" t="s">
        <v>49</v>
      </c>
      <c r="F143" s="103" t="s">
        <v>52</v>
      </c>
      <c r="G143" s="103" t="s">
        <v>53</v>
      </c>
      <c r="H143" s="103" t="s">
        <v>624</v>
      </c>
      <c r="I143" s="103" t="s">
        <v>625</v>
      </c>
    </row>
    <row r="144" spans="1:9" x14ac:dyDescent="0.25">
      <c r="A144" s="103" t="s">
        <v>233</v>
      </c>
      <c r="B144" s="103" t="s">
        <v>41</v>
      </c>
      <c r="C144" s="103" t="s">
        <v>43</v>
      </c>
      <c r="D144" s="103" t="s">
        <v>44</v>
      </c>
      <c r="E144" s="103" t="s">
        <v>49</v>
      </c>
      <c r="F144" s="103" t="s">
        <v>50</v>
      </c>
      <c r="G144" s="103" t="s">
        <v>51</v>
      </c>
      <c r="H144" s="103" t="s">
        <v>644</v>
      </c>
      <c r="I144" s="103" t="s">
        <v>645</v>
      </c>
    </row>
    <row r="145" spans="1:9" x14ac:dyDescent="0.25">
      <c r="A145" s="103" t="s">
        <v>299</v>
      </c>
      <c r="B145" s="103" t="s">
        <v>35</v>
      </c>
      <c r="C145" s="103" t="s">
        <v>42</v>
      </c>
      <c r="D145" s="103" t="s">
        <v>49</v>
      </c>
      <c r="E145" s="103" t="s">
        <v>50</v>
      </c>
      <c r="F145" s="103" t="s">
        <v>58</v>
      </c>
      <c r="G145" s="103" t="s">
        <v>53</v>
      </c>
      <c r="H145" s="103" t="s">
        <v>568</v>
      </c>
      <c r="I145" s="103" t="s">
        <v>660</v>
      </c>
    </row>
    <row r="146" spans="1:9" x14ac:dyDescent="0.25">
      <c r="A146" s="103" t="s">
        <v>260</v>
      </c>
      <c r="B146" s="103" t="s">
        <v>38</v>
      </c>
      <c r="C146" s="103" t="s">
        <v>40</v>
      </c>
      <c r="D146" s="103" t="s">
        <v>43</v>
      </c>
      <c r="E146" s="103" t="s">
        <v>51</v>
      </c>
      <c r="F146" s="103" t="s">
        <v>50</v>
      </c>
      <c r="G146" s="103" t="s">
        <v>54</v>
      </c>
      <c r="H146" s="103" t="s">
        <v>544</v>
      </c>
      <c r="I146" s="103" t="s">
        <v>545</v>
      </c>
    </row>
    <row r="147" spans="1:9" x14ac:dyDescent="0.25">
      <c r="A147" s="1"/>
      <c r="B147" s="2"/>
      <c r="C147" s="2"/>
      <c r="D147" s="2"/>
      <c r="E147" s="2"/>
      <c r="F147" s="2"/>
      <c r="G147" s="2"/>
    </row>
    <row r="148" spans="1:9" x14ac:dyDescent="0.25">
      <c r="A148" s="1"/>
      <c r="B148" s="2"/>
      <c r="C148" s="2"/>
      <c r="D148" s="2"/>
      <c r="E148" s="2"/>
      <c r="F148" s="2"/>
      <c r="G148" s="2"/>
    </row>
    <row r="149" spans="1:9" x14ac:dyDescent="0.25">
      <c r="A149" s="1" t="s">
        <v>59</v>
      </c>
      <c r="B149" s="1" t="s">
        <v>183</v>
      </c>
      <c r="C149" s="1" t="s">
        <v>184</v>
      </c>
      <c r="D149" s="1" t="s">
        <v>185</v>
      </c>
      <c r="E149" s="1" t="s">
        <v>186</v>
      </c>
      <c r="F149" s="1" t="s">
        <v>187</v>
      </c>
      <c r="G149" s="1" t="s">
        <v>188</v>
      </c>
    </row>
    <row r="150" spans="1:9" x14ac:dyDescent="0.25">
      <c r="A150" s="253" t="s">
        <v>281</v>
      </c>
      <c r="B150" s="15" t="s">
        <v>2652</v>
      </c>
      <c r="C150" s="15" t="s">
        <v>2651</v>
      </c>
      <c r="D150" s="15" t="s">
        <v>2653</v>
      </c>
      <c r="E150" s="15" t="s">
        <v>2654</v>
      </c>
      <c r="F150" s="15" t="s">
        <v>2655</v>
      </c>
      <c r="G150" s="15" t="s">
        <v>2656</v>
      </c>
    </row>
    <row r="151" spans="1:9" x14ac:dyDescent="0.25">
      <c r="A151" s="253" t="s">
        <v>235</v>
      </c>
      <c r="B151" s="15" t="s">
        <v>2657</v>
      </c>
      <c r="C151" s="15" t="s">
        <v>2658</v>
      </c>
      <c r="D151" s="15" t="s">
        <v>2659</v>
      </c>
      <c r="E151" s="15" t="s">
        <v>2653</v>
      </c>
      <c r="F151" s="15" t="s">
        <v>2656</v>
      </c>
      <c r="G151" s="15" t="s">
        <v>2660</v>
      </c>
    </row>
    <row r="152" spans="1:9" x14ac:dyDescent="0.25">
      <c r="A152" s="253" t="s">
        <v>205</v>
      </c>
      <c r="B152" s="15" t="s">
        <v>2651</v>
      </c>
      <c r="C152" s="15" t="s">
        <v>2657</v>
      </c>
      <c r="D152" s="15" t="s">
        <v>2661</v>
      </c>
      <c r="E152" s="15" t="s">
        <v>2653</v>
      </c>
      <c r="F152" s="15" t="s">
        <v>2662</v>
      </c>
      <c r="G152" s="15" t="s">
        <v>2656</v>
      </c>
    </row>
    <row r="153" spans="1:9" x14ac:dyDescent="0.25">
      <c r="A153" s="253" t="s">
        <v>1336</v>
      </c>
      <c r="B153" s="15" t="s">
        <v>2653</v>
      </c>
      <c r="C153" s="15" t="s">
        <v>2662</v>
      </c>
      <c r="D153" s="15" t="s">
        <v>2654</v>
      </c>
      <c r="E153" s="15" t="s">
        <v>2656</v>
      </c>
      <c r="F153" s="15" t="s">
        <v>2663</v>
      </c>
      <c r="G153" s="15" t="s">
        <v>2664</v>
      </c>
    </row>
    <row r="154" spans="1:9" x14ac:dyDescent="0.25">
      <c r="A154" s="253" t="s">
        <v>290</v>
      </c>
      <c r="B154" s="15" t="s">
        <v>2665</v>
      </c>
      <c r="C154" s="15" t="s">
        <v>2666</v>
      </c>
      <c r="D154" s="15" t="s">
        <v>2653</v>
      </c>
      <c r="E154" s="15" t="s">
        <v>2667</v>
      </c>
      <c r="F154" s="15" t="s">
        <v>2654</v>
      </c>
      <c r="G154" s="15" t="s">
        <v>2668</v>
      </c>
    </row>
    <row r="155" spans="1:9" x14ac:dyDescent="0.25">
      <c r="A155" s="253" t="s">
        <v>270</v>
      </c>
      <c r="B155" s="15" t="s">
        <v>2652</v>
      </c>
      <c r="C155" s="15" t="s">
        <v>2653</v>
      </c>
      <c r="D155" s="15" t="s">
        <v>2662</v>
      </c>
      <c r="E155" s="15" t="s">
        <v>2654</v>
      </c>
      <c r="F155" s="15" t="s">
        <v>2669</v>
      </c>
      <c r="G155" s="15" t="s">
        <v>2655</v>
      </c>
    </row>
    <row r="156" spans="1:9" x14ac:dyDescent="0.25">
      <c r="A156" s="253" t="s">
        <v>247</v>
      </c>
      <c r="B156" s="15" t="s">
        <v>2652</v>
      </c>
      <c r="C156" s="15" t="s">
        <v>2651</v>
      </c>
      <c r="D156" s="15" t="s">
        <v>2653</v>
      </c>
      <c r="E156" s="15" t="s">
        <v>2662</v>
      </c>
      <c r="F156" s="15" t="s">
        <v>2670</v>
      </c>
      <c r="G156" s="15" t="s">
        <v>2656</v>
      </c>
    </row>
    <row r="157" spans="1:9" x14ac:dyDescent="0.25">
      <c r="A157" s="253" t="s">
        <v>248</v>
      </c>
      <c r="B157" s="15" t="s">
        <v>2651</v>
      </c>
      <c r="C157" s="15" t="s">
        <v>2671</v>
      </c>
      <c r="D157" s="15" t="s">
        <v>2654</v>
      </c>
      <c r="E157" s="15" t="s">
        <v>2672</v>
      </c>
      <c r="F157" s="15" t="s">
        <v>2656</v>
      </c>
      <c r="G157" s="15" t="s">
        <v>2663</v>
      </c>
    </row>
    <row r="158" spans="1:9" x14ac:dyDescent="0.25">
      <c r="A158" s="253" t="s">
        <v>291</v>
      </c>
      <c r="B158" s="15" t="s">
        <v>2665</v>
      </c>
      <c r="C158" s="15" t="s">
        <v>2671</v>
      </c>
      <c r="D158" s="15" t="s">
        <v>2653</v>
      </c>
      <c r="E158" s="15" t="s">
        <v>2673</v>
      </c>
      <c r="F158" s="15" t="s">
        <v>2670</v>
      </c>
      <c r="G158" s="15" t="s">
        <v>2660</v>
      </c>
    </row>
    <row r="159" spans="1:9" x14ac:dyDescent="0.25">
      <c r="A159" s="253" t="s">
        <v>249</v>
      </c>
      <c r="B159" s="15" t="s">
        <v>2666</v>
      </c>
      <c r="C159" s="15" t="s">
        <v>2658</v>
      </c>
      <c r="D159" s="15" t="s">
        <v>2672</v>
      </c>
      <c r="E159" s="15" t="s">
        <v>2669</v>
      </c>
      <c r="F159" s="15" t="s">
        <v>2656</v>
      </c>
      <c r="G159" s="15" t="s">
        <v>2674</v>
      </c>
    </row>
    <row r="160" spans="1:9" x14ac:dyDescent="0.25">
      <c r="A160" s="253" t="s">
        <v>250</v>
      </c>
      <c r="B160" s="15" t="s">
        <v>2652</v>
      </c>
      <c r="C160" s="15" t="s">
        <v>2657</v>
      </c>
      <c r="D160" s="15" t="s">
        <v>2653</v>
      </c>
      <c r="E160" s="15" t="s">
        <v>2667</v>
      </c>
      <c r="F160" s="15" t="s">
        <v>2672</v>
      </c>
      <c r="G160" s="15" t="s">
        <v>2664</v>
      </c>
    </row>
    <row r="161" spans="1:7" x14ac:dyDescent="0.25">
      <c r="A161" s="253" t="s">
        <v>251</v>
      </c>
      <c r="B161" s="15" t="s">
        <v>2665</v>
      </c>
      <c r="C161" s="15" t="s">
        <v>2658</v>
      </c>
      <c r="D161" s="15" t="s">
        <v>2661</v>
      </c>
      <c r="E161" s="15" t="s">
        <v>2669</v>
      </c>
      <c r="F161" s="15" t="s">
        <v>2673</v>
      </c>
      <c r="G161" s="15" t="s">
        <v>2663</v>
      </c>
    </row>
    <row r="162" spans="1:7" x14ac:dyDescent="0.25">
      <c r="A162" s="253" t="s">
        <v>271</v>
      </c>
      <c r="B162" s="15" t="s">
        <v>2665</v>
      </c>
      <c r="C162" s="15" t="s">
        <v>2651</v>
      </c>
      <c r="D162" s="15" t="s">
        <v>2667</v>
      </c>
      <c r="E162" s="15" t="s">
        <v>2673</v>
      </c>
      <c r="F162" s="15" t="s">
        <v>2668</v>
      </c>
      <c r="G162" s="15" t="s">
        <v>2656</v>
      </c>
    </row>
    <row r="163" spans="1:7" x14ac:dyDescent="0.25">
      <c r="A163" s="253" t="s">
        <v>317</v>
      </c>
      <c r="B163" s="15" t="s">
        <v>2652</v>
      </c>
      <c r="C163" s="15" t="s">
        <v>2657</v>
      </c>
      <c r="D163" s="15" t="s">
        <v>2661</v>
      </c>
      <c r="E163" s="15" t="s">
        <v>2654</v>
      </c>
      <c r="F163" s="15" t="s">
        <v>2655</v>
      </c>
      <c r="G163" s="15" t="s">
        <v>2660</v>
      </c>
    </row>
    <row r="164" spans="1:7" x14ac:dyDescent="0.25">
      <c r="A164" s="253" t="s">
        <v>1337</v>
      </c>
      <c r="B164" s="15" t="s">
        <v>2665</v>
      </c>
      <c r="C164" s="15" t="s">
        <v>2657</v>
      </c>
      <c r="D164" s="15" t="s">
        <v>2659</v>
      </c>
      <c r="E164" s="15" t="s">
        <v>2673</v>
      </c>
      <c r="F164" s="15" t="s">
        <v>2663</v>
      </c>
      <c r="G164" s="15" t="s">
        <v>2664</v>
      </c>
    </row>
    <row r="165" spans="1:7" x14ac:dyDescent="0.25">
      <c r="A165" s="253" t="s">
        <v>190</v>
      </c>
      <c r="B165" s="15" t="s">
        <v>2651</v>
      </c>
      <c r="C165" s="15" t="s">
        <v>2671</v>
      </c>
      <c r="D165" s="15" t="s">
        <v>2666</v>
      </c>
      <c r="E165" s="15" t="s">
        <v>2669</v>
      </c>
      <c r="F165" s="15" t="s">
        <v>2672</v>
      </c>
      <c r="G165" s="15" t="s">
        <v>2656</v>
      </c>
    </row>
    <row r="166" spans="1:7" x14ac:dyDescent="0.25">
      <c r="A166" s="253" t="s">
        <v>262</v>
      </c>
      <c r="B166" s="15" t="s">
        <v>2658</v>
      </c>
      <c r="C166" s="15" t="s">
        <v>2667</v>
      </c>
      <c r="D166" s="15" t="s">
        <v>2662</v>
      </c>
      <c r="E166" s="15" t="s">
        <v>2655</v>
      </c>
      <c r="F166" s="15" t="s">
        <v>2668</v>
      </c>
      <c r="G166" s="15" t="s">
        <v>2656</v>
      </c>
    </row>
    <row r="167" spans="1:7" x14ac:dyDescent="0.25">
      <c r="A167" s="253" t="s">
        <v>272</v>
      </c>
      <c r="B167" s="15" t="s">
        <v>2671</v>
      </c>
      <c r="C167" s="15" t="s">
        <v>2657</v>
      </c>
      <c r="D167" s="15" t="s">
        <v>2666</v>
      </c>
      <c r="E167" s="15" t="s">
        <v>2670</v>
      </c>
      <c r="F167" s="15" t="s">
        <v>2660</v>
      </c>
      <c r="G167" s="15" t="s">
        <v>2664</v>
      </c>
    </row>
    <row r="168" spans="1:7" x14ac:dyDescent="0.25">
      <c r="A168" s="253" t="s">
        <v>301</v>
      </c>
      <c r="B168" s="15" t="s">
        <v>2665</v>
      </c>
      <c r="C168" s="15" t="s">
        <v>2651</v>
      </c>
      <c r="D168" s="15" t="s">
        <v>2661</v>
      </c>
      <c r="E168" s="15" t="s">
        <v>2653</v>
      </c>
      <c r="F168" s="15" t="s">
        <v>2654</v>
      </c>
      <c r="G168" s="15" t="s">
        <v>2668</v>
      </c>
    </row>
    <row r="169" spans="1:7" x14ac:dyDescent="0.25">
      <c r="A169" s="253" t="s">
        <v>236</v>
      </c>
      <c r="B169" s="15" t="s">
        <v>2665</v>
      </c>
      <c r="C169" s="15" t="s">
        <v>2651</v>
      </c>
      <c r="D169" s="15" t="s">
        <v>2661</v>
      </c>
      <c r="E169" s="15" t="s">
        <v>2653</v>
      </c>
      <c r="F169" s="15" t="s">
        <v>2662</v>
      </c>
      <c r="G169" s="15" t="s">
        <v>2663</v>
      </c>
    </row>
    <row r="170" spans="1:7" x14ac:dyDescent="0.25">
      <c r="A170" s="253" t="s">
        <v>302</v>
      </c>
      <c r="B170" s="15" t="s">
        <v>2657</v>
      </c>
      <c r="C170" s="15" t="s">
        <v>2653</v>
      </c>
      <c r="D170" s="15" t="s">
        <v>2673</v>
      </c>
      <c r="E170" s="15" t="s">
        <v>2670</v>
      </c>
      <c r="F170" s="15" t="s">
        <v>2660</v>
      </c>
      <c r="G170" s="15" t="s">
        <v>2664</v>
      </c>
    </row>
    <row r="171" spans="1:7" x14ac:dyDescent="0.25">
      <c r="A171" s="253" t="s">
        <v>282</v>
      </c>
      <c r="B171" s="15" t="s">
        <v>2651</v>
      </c>
      <c r="C171" s="15" t="s">
        <v>2661</v>
      </c>
      <c r="D171" s="15" t="s">
        <v>2653</v>
      </c>
      <c r="E171" s="15" t="s">
        <v>2662</v>
      </c>
      <c r="F171" s="15" t="s">
        <v>2654</v>
      </c>
      <c r="G171" s="15" t="s">
        <v>2669</v>
      </c>
    </row>
    <row r="172" spans="1:7" x14ac:dyDescent="0.25">
      <c r="A172" s="253" t="s">
        <v>252</v>
      </c>
      <c r="B172" s="15" t="s">
        <v>2658</v>
      </c>
      <c r="C172" s="15" t="s">
        <v>2662</v>
      </c>
      <c r="D172" s="15" t="s">
        <v>2673</v>
      </c>
      <c r="E172" s="15" t="s">
        <v>2670</v>
      </c>
      <c r="F172" s="15" t="s">
        <v>2668</v>
      </c>
      <c r="G172" s="15" t="s">
        <v>2656</v>
      </c>
    </row>
    <row r="173" spans="1:7" x14ac:dyDescent="0.25">
      <c r="A173" s="253" t="s">
        <v>222</v>
      </c>
      <c r="B173" s="15" t="s">
        <v>2657</v>
      </c>
      <c r="C173" s="15" t="s">
        <v>2653</v>
      </c>
      <c r="D173" s="15" t="s">
        <v>2662</v>
      </c>
      <c r="E173" s="15" t="s">
        <v>2673</v>
      </c>
      <c r="F173" s="15" t="s">
        <v>2670</v>
      </c>
      <c r="G173" s="15" t="s">
        <v>2656</v>
      </c>
    </row>
    <row r="174" spans="1:7" x14ac:dyDescent="0.25">
      <c r="A174" s="253" t="s">
        <v>303</v>
      </c>
      <c r="B174" s="15" t="s">
        <v>2657</v>
      </c>
      <c r="C174" s="15" t="s">
        <v>2659</v>
      </c>
      <c r="D174" s="15" t="s">
        <v>2667</v>
      </c>
      <c r="E174" s="15" t="s">
        <v>2673</v>
      </c>
      <c r="F174" s="15" t="s">
        <v>2663</v>
      </c>
      <c r="G174" s="15" t="s">
        <v>2664</v>
      </c>
    </row>
    <row r="175" spans="1:7" x14ac:dyDescent="0.25">
      <c r="A175" s="253" t="s">
        <v>688</v>
      </c>
      <c r="B175" s="15" t="s">
        <v>2652</v>
      </c>
      <c r="C175" s="15" t="s">
        <v>2658</v>
      </c>
      <c r="D175" s="15" t="s">
        <v>2667</v>
      </c>
      <c r="E175" s="15" t="s">
        <v>2669</v>
      </c>
      <c r="F175" s="15" t="s">
        <v>2656</v>
      </c>
      <c r="G175" s="15" t="s">
        <v>2674</v>
      </c>
    </row>
    <row r="176" spans="1:7" x14ac:dyDescent="0.25">
      <c r="A176" s="253" t="s">
        <v>263</v>
      </c>
      <c r="B176" s="15" t="s">
        <v>2652</v>
      </c>
      <c r="C176" s="15" t="s">
        <v>2657</v>
      </c>
      <c r="D176" s="15" t="s">
        <v>2666</v>
      </c>
      <c r="E176" s="15" t="s">
        <v>2653</v>
      </c>
      <c r="F176" s="15" t="s">
        <v>2654</v>
      </c>
      <c r="G176" s="15" t="s">
        <v>2663</v>
      </c>
    </row>
    <row r="177" spans="1:7" x14ac:dyDescent="0.25">
      <c r="A177" s="253" t="s">
        <v>283</v>
      </c>
      <c r="B177" s="15" t="s">
        <v>2652</v>
      </c>
      <c r="C177" s="15" t="s">
        <v>2657</v>
      </c>
      <c r="D177" s="15" t="s">
        <v>2658</v>
      </c>
      <c r="E177" s="15" t="s">
        <v>2653</v>
      </c>
      <c r="F177" s="15" t="s">
        <v>2667</v>
      </c>
      <c r="G177" s="15" t="s">
        <v>2662</v>
      </c>
    </row>
    <row r="178" spans="1:7" x14ac:dyDescent="0.25">
      <c r="A178" s="253" t="s">
        <v>314</v>
      </c>
      <c r="B178" s="15" t="s">
        <v>2658</v>
      </c>
      <c r="C178" s="15" t="s">
        <v>2659</v>
      </c>
      <c r="D178" s="15" t="s">
        <v>2673</v>
      </c>
      <c r="E178" s="15" t="s">
        <v>2672</v>
      </c>
      <c r="F178" s="15" t="s">
        <v>2669</v>
      </c>
      <c r="G178" s="15" t="s">
        <v>2656</v>
      </c>
    </row>
    <row r="179" spans="1:7" x14ac:dyDescent="0.25">
      <c r="A179" s="253" t="s">
        <v>1338</v>
      </c>
      <c r="B179" s="15" t="s">
        <v>2657</v>
      </c>
      <c r="C179" s="15" t="s">
        <v>2653</v>
      </c>
      <c r="D179" s="15" t="s">
        <v>2662</v>
      </c>
      <c r="E179" s="15" t="s">
        <v>2670</v>
      </c>
      <c r="F179" s="15" t="s">
        <v>2655</v>
      </c>
      <c r="G179" s="15" t="s">
        <v>2660</v>
      </c>
    </row>
    <row r="180" spans="1:7" x14ac:dyDescent="0.25">
      <c r="A180" s="253" t="s">
        <v>284</v>
      </c>
      <c r="B180" s="15" t="s">
        <v>2661</v>
      </c>
      <c r="C180" s="15" t="s">
        <v>2653</v>
      </c>
      <c r="D180" s="15" t="s">
        <v>2654</v>
      </c>
      <c r="E180" s="15" t="s">
        <v>2655</v>
      </c>
      <c r="F180" s="15" t="s">
        <v>2656</v>
      </c>
      <c r="G180" s="15" t="s">
        <v>2664</v>
      </c>
    </row>
    <row r="181" spans="1:7" x14ac:dyDescent="0.25">
      <c r="A181" s="253" t="s">
        <v>253</v>
      </c>
      <c r="B181" s="15" t="s">
        <v>2651</v>
      </c>
      <c r="C181" s="15" t="s">
        <v>2653</v>
      </c>
      <c r="D181" s="15" t="s">
        <v>2662</v>
      </c>
      <c r="E181" s="15" t="s">
        <v>2667</v>
      </c>
      <c r="F181" s="15" t="s">
        <v>2655</v>
      </c>
      <c r="G181" s="15" t="s">
        <v>2656</v>
      </c>
    </row>
    <row r="182" spans="1:7" x14ac:dyDescent="0.25">
      <c r="A182" s="253" t="s">
        <v>264</v>
      </c>
      <c r="B182" s="15" t="s">
        <v>2651</v>
      </c>
      <c r="C182" s="15" t="s">
        <v>2671</v>
      </c>
      <c r="D182" s="15" t="s">
        <v>2653</v>
      </c>
      <c r="E182" s="15" t="s">
        <v>2662</v>
      </c>
      <c r="F182" s="15" t="s">
        <v>2656</v>
      </c>
      <c r="G182" s="15" t="s">
        <v>2664</v>
      </c>
    </row>
    <row r="183" spans="1:7" x14ac:dyDescent="0.25">
      <c r="A183" s="253" t="s">
        <v>191</v>
      </c>
      <c r="B183" s="15" t="s">
        <v>2651</v>
      </c>
      <c r="C183" s="15" t="s">
        <v>2661</v>
      </c>
      <c r="D183" s="15" t="s">
        <v>2653</v>
      </c>
      <c r="E183" s="15" t="s">
        <v>2662</v>
      </c>
      <c r="F183" s="15" t="s">
        <v>2669</v>
      </c>
      <c r="G183" s="15" t="s">
        <v>2656</v>
      </c>
    </row>
    <row r="184" spans="1:7" x14ac:dyDescent="0.25">
      <c r="A184" s="253" t="s">
        <v>192</v>
      </c>
      <c r="B184" s="15" t="s">
        <v>2652</v>
      </c>
      <c r="C184" s="15" t="s">
        <v>2666</v>
      </c>
      <c r="D184" s="15" t="s">
        <v>2659</v>
      </c>
      <c r="E184" s="15" t="s">
        <v>2667</v>
      </c>
      <c r="F184" s="15" t="s">
        <v>2673</v>
      </c>
      <c r="G184" s="15" t="s">
        <v>2656</v>
      </c>
    </row>
    <row r="185" spans="1:7" x14ac:dyDescent="0.25">
      <c r="A185" s="253" t="s">
        <v>193</v>
      </c>
      <c r="B185" s="15" t="s">
        <v>2665</v>
      </c>
      <c r="C185" s="15" t="s">
        <v>2658</v>
      </c>
      <c r="D185" s="15" t="s">
        <v>2667</v>
      </c>
      <c r="E185" s="15" t="s">
        <v>2654</v>
      </c>
      <c r="F185" s="15" t="s">
        <v>2655</v>
      </c>
      <c r="G185" s="15" t="s">
        <v>2663</v>
      </c>
    </row>
    <row r="186" spans="1:7" x14ac:dyDescent="0.25">
      <c r="A186" s="253" t="s">
        <v>223</v>
      </c>
      <c r="B186" s="15" t="s">
        <v>2652</v>
      </c>
      <c r="C186" s="15" t="s">
        <v>2651</v>
      </c>
      <c r="D186" s="15" t="s">
        <v>2657</v>
      </c>
      <c r="E186" s="15" t="s">
        <v>2661</v>
      </c>
      <c r="F186" s="15" t="s">
        <v>2662</v>
      </c>
      <c r="G186" s="15" t="s">
        <v>2655</v>
      </c>
    </row>
    <row r="187" spans="1:7" x14ac:dyDescent="0.25">
      <c r="A187" s="253" t="s">
        <v>237</v>
      </c>
      <c r="B187" s="15" t="s">
        <v>2665</v>
      </c>
      <c r="C187" s="15" t="s">
        <v>2671</v>
      </c>
      <c r="D187" s="15" t="s">
        <v>2657</v>
      </c>
      <c r="E187" s="15" t="s">
        <v>2658</v>
      </c>
      <c r="F187" s="15" t="s">
        <v>2667</v>
      </c>
      <c r="G187" s="15" t="s">
        <v>2663</v>
      </c>
    </row>
    <row r="188" spans="1:7" x14ac:dyDescent="0.25">
      <c r="A188" s="253" t="s">
        <v>273</v>
      </c>
      <c r="B188" s="15" t="s">
        <v>2651</v>
      </c>
      <c r="C188" s="15" t="s">
        <v>2658</v>
      </c>
      <c r="D188" s="15" t="s">
        <v>2653</v>
      </c>
      <c r="E188" s="15" t="s">
        <v>2667</v>
      </c>
      <c r="F188" s="15" t="s">
        <v>2668</v>
      </c>
      <c r="G188" s="15" t="s">
        <v>2663</v>
      </c>
    </row>
    <row r="189" spans="1:7" x14ac:dyDescent="0.25">
      <c r="A189" s="253" t="s">
        <v>224</v>
      </c>
      <c r="B189" s="15" t="s">
        <v>2658</v>
      </c>
      <c r="C189" s="15" t="s">
        <v>2659</v>
      </c>
      <c r="D189" s="15" t="s">
        <v>2667</v>
      </c>
      <c r="E189" s="15" t="s">
        <v>2662</v>
      </c>
      <c r="F189" s="15" t="s">
        <v>2669</v>
      </c>
      <c r="G189" s="15" t="s">
        <v>2668</v>
      </c>
    </row>
    <row r="190" spans="1:7" x14ac:dyDescent="0.25">
      <c r="A190" s="253" t="s">
        <v>225</v>
      </c>
      <c r="B190" s="15" t="s">
        <v>2665</v>
      </c>
      <c r="C190" s="15" t="s">
        <v>2657</v>
      </c>
      <c r="D190" s="15" t="s">
        <v>2653</v>
      </c>
      <c r="E190" s="15" t="s">
        <v>2673</v>
      </c>
      <c r="F190" s="15" t="s">
        <v>2654</v>
      </c>
      <c r="G190" s="15" t="s">
        <v>2656</v>
      </c>
    </row>
    <row r="191" spans="1:7" x14ac:dyDescent="0.25">
      <c r="A191" s="253" t="s">
        <v>206</v>
      </c>
      <c r="B191" s="15" t="s">
        <v>2671</v>
      </c>
      <c r="C191" s="15" t="s">
        <v>2658</v>
      </c>
      <c r="D191" s="15" t="s">
        <v>2673</v>
      </c>
      <c r="E191" s="15" t="s">
        <v>2672</v>
      </c>
      <c r="F191" s="15" t="s">
        <v>2669</v>
      </c>
      <c r="G191" s="15" t="s">
        <v>2663</v>
      </c>
    </row>
    <row r="192" spans="1:7" x14ac:dyDescent="0.25">
      <c r="A192" s="253" t="s">
        <v>254</v>
      </c>
      <c r="B192" s="15" t="s">
        <v>2665</v>
      </c>
      <c r="C192" s="15" t="s">
        <v>2658</v>
      </c>
      <c r="D192" s="15" t="s">
        <v>2655</v>
      </c>
      <c r="E192" s="15" t="s">
        <v>2656</v>
      </c>
      <c r="F192" s="15" t="s">
        <v>2660</v>
      </c>
      <c r="G192" s="15" t="s">
        <v>2674</v>
      </c>
    </row>
    <row r="193" spans="1:7" x14ac:dyDescent="0.25">
      <c r="A193" s="253" t="s">
        <v>292</v>
      </c>
      <c r="B193" s="15" t="s">
        <v>2671</v>
      </c>
      <c r="C193" s="15" t="s">
        <v>2666</v>
      </c>
      <c r="D193" s="15" t="s">
        <v>2661</v>
      </c>
      <c r="E193" s="15" t="s">
        <v>2654</v>
      </c>
      <c r="F193" s="15" t="s">
        <v>2663</v>
      </c>
      <c r="G193" s="15" t="s">
        <v>2664</v>
      </c>
    </row>
    <row r="194" spans="1:7" x14ac:dyDescent="0.25">
      <c r="A194" s="253" t="s">
        <v>194</v>
      </c>
      <c r="B194" s="15" t="s">
        <v>2657</v>
      </c>
      <c r="C194" s="15" t="s">
        <v>2658</v>
      </c>
      <c r="D194" s="15" t="s">
        <v>2673</v>
      </c>
      <c r="E194" s="15" t="s">
        <v>2672</v>
      </c>
      <c r="F194" s="15" t="s">
        <v>2675</v>
      </c>
      <c r="G194" s="15" t="s">
        <v>2660</v>
      </c>
    </row>
    <row r="195" spans="1:7" x14ac:dyDescent="0.25">
      <c r="A195" s="253" t="s">
        <v>196</v>
      </c>
      <c r="B195" s="15" t="s">
        <v>2658</v>
      </c>
      <c r="C195" s="15" t="s">
        <v>2659</v>
      </c>
      <c r="D195" s="15" t="s">
        <v>2667</v>
      </c>
      <c r="E195" s="15" t="s">
        <v>2673</v>
      </c>
      <c r="F195" s="15" t="s">
        <v>2669</v>
      </c>
      <c r="G195" s="15" t="s">
        <v>2656</v>
      </c>
    </row>
    <row r="196" spans="1:7" x14ac:dyDescent="0.25">
      <c r="A196" s="253" t="s">
        <v>255</v>
      </c>
      <c r="B196" s="15" t="s">
        <v>2651</v>
      </c>
      <c r="C196" s="15" t="s">
        <v>2659</v>
      </c>
      <c r="D196" s="15" t="s">
        <v>2661</v>
      </c>
      <c r="E196" s="15" t="s">
        <v>2673</v>
      </c>
      <c r="F196" s="15" t="s">
        <v>2669</v>
      </c>
      <c r="G196" s="15" t="s">
        <v>2663</v>
      </c>
    </row>
    <row r="197" spans="1:7" x14ac:dyDescent="0.25">
      <c r="A197" s="253" t="s">
        <v>256</v>
      </c>
      <c r="B197" s="15" t="s">
        <v>2665</v>
      </c>
      <c r="C197" s="15" t="s">
        <v>2658</v>
      </c>
      <c r="D197" s="15" t="s">
        <v>2667</v>
      </c>
      <c r="E197" s="15" t="s">
        <v>2673</v>
      </c>
      <c r="F197" s="15" t="s">
        <v>2668</v>
      </c>
      <c r="G197" s="15" t="s">
        <v>2656</v>
      </c>
    </row>
    <row r="198" spans="1:7" x14ac:dyDescent="0.25">
      <c r="A198" s="253" t="s">
        <v>257</v>
      </c>
      <c r="B198" s="15" t="s">
        <v>2671</v>
      </c>
      <c r="C198" s="15" t="s">
        <v>2657</v>
      </c>
      <c r="D198" s="15" t="s">
        <v>2670</v>
      </c>
      <c r="E198" s="15" t="s">
        <v>2655</v>
      </c>
      <c r="F198" s="15" t="s">
        <v>2660</v>
      </c>
      <c r="G198" s="15" t="s">
        <v>2664</v>
      </c>
    </row>
    <row r="199" spans="1:7" x14ac:dyDescent="0.25">
      <c r="A199" s="253" t="s">
        <v>1339</v>
      </c>
      <c r="B199" s="15" t="s">
        <v>2652</v>
      </c>
      <c r="C199" s="15" t="s">
        <v>2671</v>
      </c>
      <c r="D199" s="15" t="s">
        <v>2666</v>
      </c>
      <c r="E199" s="15" t="s">
        <v>2669</v>
      </c>
      <c r="F199" s="15" t="s">
        <v>2660</v>
      </c>
      <c r="G199" s="15" t="s">
        <v>2664</v>
      </c>
    </row>
    <row r="200" spans="1:7" x14ac:dyDescent="0.25">
      <c r="A200" s="253" t="s">
        <v>274</v>
      </c>
      <c r="B200" s="15" t="s">
        <v>2671</v>
      </c>
      <c r="C200" s="15" t="s">
        <v>2657</v>
      </c>
      <c r="D200" s="15" t="s">
        <v>2666</v>
      </c>
      <c r="E200" s="15" t="s">
        <v>2658</v>
      </c>
      <c r="F200" s="15" t="s">
        <v>2669</v>
      </c>
      <c r="G200" s="15" t="s">
        <v>2668</v>
      </c>
    </row>
    <row r="201" spans="1:7" x14ac:dyDescent="0.25">
      <c r="A201" s="253" t="s">
        <v>226</v>
      </c>
      <c r="B201" s="15" t="s">
        <v>2671</v>
      </c>
      <c r="C201" s="15" t="s">
        <v>2658</v>
      </c>
      <c r="D201" s="15" t="s">
        <v>2661</v>
      </c>
      <c r="E201" s="15" t="s">
        <v>2672</v>
      </c>
      <c r="F201" s="15" t="s">
        <v>2660</v>
      </c>
      <c r="G201" s="15" t="s">
        <v>2664</v>
      </c>
    </row>
    <row r="202" spans="1:7" x14ac:dyDescent="0.25">
      <c r="A202" s="253" t="s">
        <v>227</v>
      </c>
      <c r="B202" s="15" t="s">
        <v>2665</v>
      </c>
      <c r="C202" s="15" t="s">
        <v>2657</v>
      </c>
      <c r="D202" s="15" t="s">
        <v>2658</v>
      </c>
      <c r="E202" s="15" t="s">
        <v>2662</v>
      </c>
      <c r="F202" s="15" t="s">
        <v>2669</v>
      </c>
      <c r="G202" s="15" t="s">
        <v>2668</v>
      </c>
    </row>
    <row r="203" spans="1:7" x14ac:dyDescent="0.25">
      <c r="A203" s="253" t="s">
        <v>214</v>
      </c>
      <c r="B203" s="15" t="s">
        <v>2671</v>
      </c>
      <c r="C203" s="15" t="s">
        <v>2657</v>
      </c>
      <c r="D203" s="15" t="s">
        <v>2666</v>
      </c>
      <c r="E203" s="15" t="s">
        <v>2672</v>
      </c>
      <c r="F203" s="15" t="s">
        <v>2669</v>
      </c>
      <c r="G203" s="15" t="s">
        <v>2674</v>
      </c>
    </row>
    <row r="204" spans="1:7" x14ac:dyDescent="0.25">
      <c r="A204" s="253" t="s">
        <v>238</v>
      </c>
      <c r="B204" s="15" t="s">
        <v>2666</v>
      </c>
      <c r="C204" s="15" t="s">
        <v>2659</v>
      </c>
      <c r="D204" s="15" t="s">
        <v>2672</v>
      </c>
      <c r="E204" s="15" t="s">
        <v>2654</v>
      </c>
      <c r="F204" s="15" t="s">
        <v>2669</v>
      </c>
      <c r="G204" s="15" t="s">
        <v>2668</v>
      </c>
    </row>
    <row r="205" spans="1:7" x14ac:dyDescent="0.25">
      <c r="A205" s="253" t="s">
        <v>510</v>
      </c>
      <c r="B205" s="15" t="s">
        <v>2665</v>
      </c>
      <c r="C205" s="15" t="s">
        <v>2662</v>
      </c>
      <c r="D205" s="15" t="s">
        <v>2673</v>
      </c>
      <c r="E205" s="15" t="s">
        <v>2655</v>
      </c>
      <c r="F205" s="15" t="s">
        <v>2668</v>
      </c>
      <c r="G205" s="15" t="s">
        <v>2656</v>
      </c>
    </row>
    <row r="206" spans="1:7" x14ac:dyDescent="0.25">
      <c r="A206" s="253" t="s">
        <v>207</v>
      </c>
      <c r="B206" s="15" t="s">
        <v>2665</v>
      </c>
      <c r="C206" s="15" t="s">
        <v>2657</v>
      </c>
      <c r="D206" s="15" t="s">
        <v>2667</v>
      </c>
      <c r="E206" s="15" t="s">
        <v>2669</v>
      </c>
      <c r="F206" s="15" t="s">
        <v>2656</v>
      </c>
      <c r="G206" s="15" t="s">
        <v>2674</v>
      </c>
    </row>
    <row r="207" spans="1:7" x14ac:dyDescent="0.25">
      <c r="A207" s="253" t="s">
        <v>208</v>
      </c>
      <c r="B207" s="15" t="s">
        <v>2666</v>
      </c>
      <c r="C207" s="15" t="s">
        <v>2658</v>
      </c>
      <c r="D207" s="15" t="s">
        <v>2667</v>
      </c>
      <c r="E207" s="15" t="s">
        <v>2662</v>
      </c>
      <c r="F207" s="15" t="s">
        <v>2655</v>
      </c>
      <c r="G207" s="15" t="s">
        <v>2660</v>
      </c>
    </row>
    <row r="208" spans="1:7" x14ac:dyDescent="0.25">
      <c r="A208" s="253" t="s">
        <v>312</v>
      </c>
      <c r="B208" s="15" t="s">
        <v>2671</v>
      </c>
      <c r="C208" s="15" t="s">
        <v>2666</v>
      </c>
      <c r="D208" s="15" t="s">
        <v>2659</v>
      </c>
      <c r="E208" s="15" t="s">
        <v>2658</v>
      </c>
      <c r="F208" s="15" t="s">
        <v>2662</v>
      </c>
      <c r="G208" s="15" t="s">
        <v>2664</v>
      </c>
    </row>
    <row r="209" spans="1:7" x14ac:dyDescent="0.25">
      <c r="A209" s="253" t="s">
        <v>304</v>
      </c>
      <c r="B209" s="15" t="s">
        <v>2671</v>
      </c>
      <c r="C209" s="15" t="s">
        <v>2666</v>
      </c>
      <c r="D209" s="15" t="s">
        <v>2661</v>
      </c>
      <c r="E209" s="15" t="s">
        <v>2667</v>
      </c>
      <c r="F209" s="15" t="s">
        <v>2662</v>
      </c>
      <c r="G209" s="15" t="s">
        <v>2669</v>
      </c>
    </row>
    <row r="210" spans="1:7" x14ac:dyDescent="0.25">
      <c r="A210" s="253" t="s">
        <v>305</v>
      </c>
      <c r="B210" s="15" t="s">
        <v>2652</v>
      </c>
      <c r="C210" s="15" t="s">
        <v>2661</v>
      </c>
      <c r="D210" s="15" t="s">
        <v>2653</v>
      </c>
      <c r="E210" s="15" t="s">
        <v>2654</v>
      </c>
      <c r="F210" s="15" t="s">
        <v>2663</v>
      </c>
      <c r="G210" s="15" t="s">
        <v>2664</v>
      </c>
    </row>
    <row r="211" spans="1:7" x14ac:dyDescent="0.25">
      <c r="A211" s="253" t="s">
        <v>265</v>
      </c>
      <c r="B211" s="15" t="s">
        <v>2652</v>
      </c>
      <c r="C211" s="15" t="s">
        <v>2671</v>
      </c>
      <c r="D211" s="15" t="s">
        <v>2655</v>
      </c>
      <c r="E211" s="15" t="s">
        <v>2656</v>
      </c>
      <c r="F211" s="15" t="s">
        <v>2660</v>
      </c>
      <c r="G211" s="15" t="s">
        <v>2664</v>
      </c>
    </row>
    <row r="212" spans="1:7" x14ac:dyDescent="0.25">
      <c r="A212" s="253" t="s">
        <v>239</v>
      </c>
      <c r="B212" s="15" t="s">
        <v>2657</v>
      </c>
      <c r="C212" s="15" t="s">
        <v>2666</v>
      </c>
      <c r="D212" s="15" t="s">
        <v>2667</v>
      </c>
      <c r="E212" s="15" t="s">
        <v>2669</v>
      </c>
      <c r="F212" s="15" t="s">
        <v>2655</v>
      </c>
      <c r="G212" s="15" t="s">
        <v>2656</v>
      </c>
    </row>
    <row r="213" spans="1:7" x14ac:dyDescent="0.25">
      <c r="A213" s="253" t="s">
        <v>1340</v>
      </c>
      <c r="B213" s="15" t="s">
        <v>2665</v>
      </c>
      <c r="C213" s="15" t="s">
        <v>2657</v>
      </c>
      <c r="D213" s="15" t="s">
        <v>2673</v>
      </c>
      <c r="E213" s="15" t="s">
        <v>2655</v>
      </c>
      <c r="F213" s="15" t="s">
        <v>2663</v>
      </c>
      <c r="G213" s="15" t="s">
        <v>2660</v>
      </c>
    </row>
    <row r="214" spans="1:7" x14ac:dyDescent="0.25">
      <c r="A214" s="253" t="s">
        <v>311</v>
      </c>
      <c r="B214" s="15" t="s">
        <v>2665</v>
      </c>
      <c r="C214" s="15" t="s">
        <v>2657</v>
      </c>
      <c r="D214" s="15" t="s">
        <v>2658</v>
      </c>
      <c r="E214" s="15" t="s">
        <v>2662</v>
      </c>
      <c r="F214" s="15" t="s">
        <v>2668</v>
      </c>
      <c r="G214" s="15" t="s">
        <v>2656</v>
      </c>
    </row>
    <row r="215" spans="1:7" x14ac:dyDescent="0.25">
      <c r="A215" s="253" t="s">
        <v>240</v>
      </c>
      <c r="B215" s="15" t="s">
        <v>2657</v>
      </c>
      <c r="C215" s="15" t="s">
        <v>2653</v>
      </c>
      <c r="D215" s="15" t="s">
        <v>2662</v>
      </c>
      <c r="E215" s="15" t="s">
        <v>2668</v>
      </c>
      <c r="F215" s="15" t="s">
        <v>2656</v>
      </c>
      <c r="G215" s="15" t="s">
        <v>2674</v>
      </c>
    </row>
    <row r="216" spans="1:7" x14ac:dyDescent="0.25">
      <c r="A216" s="253" t="s">
        <v>266</v>
      </c>
      <c r="B216" s="15" t="s">
        <v>2658</v>
      </c>
      <c r="C216" s="15" t="s">
        <v>2653</v>
      </c>
      <c r="D216" s="15" t="s">
        <v>2662</v>
      </c>
      <c r="E216" s="15" t="s">
        <v>2670</v>
      </c>
      <c r="F216" s="15" t="s">
        <v>2655</v>
      </c>
      <c r="G216" s="15" t="s">
        <v>2668</v>
      </c>
    </row>
    <row r="217" spans="1:7" x14ac:dyDescent="0.25">
      <c r="A217" s="253" t="s">
        <v>197</v>
      </c>
      <c r="B217" s="15" t="s">
        <v>2666</v>
      </c>
      <c r="C217" s="15" t="s">
        <v>2653</v>
      </c>
      <c r="D217" s="15" t="s">
        <v>2670</v>
      </c>
      <c r="E217" s="15" t="s">
        <v>2655</v>
      </c>
      <c r="F217" s="15" t="s">
        <v>2668</v>
      </c>
      <c r="G217" s="15" t="s">
        <v>2660</v>
      </c>
    </row>
    <row r="218" spans="1:7" x14ac:dyDescent="0.25">
      <c r="A218" s="253" t="s">
        <v>285</v>
      </c>
      <c r="B218" s="15" t="s">
        <v>2651</v>
      </c>
      <c r="C218" s="15" t="s">
        <v>2671</v>
      </c>
      <c r="D218" s="15" t="s">
        <v>2662</v>
      </c>
      <c r="E218" s="15" t="s">
        <v>2669</v>
      </c>
      <c r="F218" s="15" t="s">
        <v>2655</v>
      </c>
      <c r="G218" s="15" t="s">
        <v>2674</v>
      </c>
    </row>
    <row r="219" spans="1:7" x14ac:dyDescent="0.25">
      <c r="A219" s="253" t="s">
        <v>315</v>
      </c>
      <c r="B219" s="15" t="s">
        <v>2657</v>
      </c>
      <c r="C219" s="15" t="s">
        <v>2653</v>
      </c>
      <c r="D219" s="15" t="s">
        <v>2662</v>
      </c>
      <c r="E219" s="15" t="s">
        <v>2673</v>
      </c>
      <c r="F219" s="15" t="s">
        <v>2668</v>
      </c>
      <c r="G219" s="15" t="s">
        <v>2663</v>
      </c>
    </row>
    <row r="220" spans="1:7" x14ac:dyDescent="0.25">
      <c r="A220" s="253" t="s">
        <v>293</v>
      </c>
      <c r="B220" s="15" t="s">
        <v>2652</v>
      </c>
      <c r="C220" s="15" t="s">
        <v>2651</v>
      </c>
      <c r="D220" s="15" t="s">
        <v>2670</v>
      </c>
      <c r="E220" s="15" t="s">
        <v>2655</v>
      </c>
      <c r="F220" s="15" t="s">
        <v>2663</v>
      </c>
      <c r="G220" s="15" t="s">
        <v>2660</v>
      </c>
    </row>
    <row r="221" spans="1:7" x14ac:dyDescent="0.25">
      <c r="A221" s="253" t="s">
        <v>286</v>
      </c>
      <c r="B221" s="15" t="s">
        <v>2652</v>
      </c>
      <c r="C221" s="15" t="s">
        <v>2671</v>
      </c>
      <c r="D221" s="15" t="s">
        <v>2666</v>
      </c>
      <c r="E221" s="15" t="s">
        <v>2659</v>
      </c>
      <c r="F221" s="15" t="s">
        <v>2673</v>
      </c>
      <c r="G221" s="15" t="s">
        <v>2655</v>
      </c>
    </row>
    <row r="222" spans="1:7" x14ac:dyDescent="0.25">
      <c r="A222" s="253" t="s">
        <v>316</v>
      </c>
      <c r="B222" s="15" t="s">
        <v>2651</v>
      </c>
      <c r="C222" s="15" t="s">
        <v>2657</v>
      </c>
      <c r="D222" s="15" t="s">
        <v>2658</v>
      </c>
      <c r="E222" s="15" t="s">
        <v>2653</v>
      </c>
      <c r="F222" s="15" t="s">
        <v>2662</v>
      </c>
      <c r="G222" s="15" t="s">
        <v>2656</v>
      </c>
    </row>
    <row r="223" spans="1:7" x14ac:dyDescent="0.25">
      <c r="A223" s="253" t="s">
        <v>209</v>
      </c>
      <c r="B223" s="15" t="s">
        <v>2657</v>
      </c>
      <c r="C223" s="15" t="s">
        <v>2653</v>
      </c>
      <c r="D223" s="15" t="s">
        <v>2662</v>
      </c>
      <c r="E223" s="15" t="s">
        <v>2670</v>
      </c>
      <c r="F223" s="15" t="s">
        <v>2667</v>
      </c>
      <c r="G223" s="15" t="s">
        <v>2660</v>
      </c>
    </row>
    <row r="224" spans="1:7" x14ac:dyDescent="0.25">
      <c r="A224" s="253" t="s">
        <v>215</v>
      </c>
      <c r="B224" s="15" t="s">
        <v>2658</v>
      </c>
      <c r="C224" s="15" t="s">
        <v>2673</v>
      </c>
      <c r="D224" s="15" t="s">
        <v>2670</v>
      </c>
      <c r="E224" s="15" t="s">
        <v>2668</v>
      </c>
      <c r="F224" s="15" t="s">
        <v>2656</v>
      </c>
      <c r="G224" s="15" t="s">
        <v>2674</v>
      </c>
    </row>
    <row r="225" spans="1:7" x14ac:dyDescent="0.25">
      <c r="A225" s="253" t="s">
        <v>294</v>
      </c>
      <c r="B225" s="15" t="s">
        <v>2658</v>
      </c>
      <c r="C225" s="15" t="s">
        <v>2662</v>
      </c>
      <c r="D225" s="15" t="s">
        <v>2673</v>
      </c>
      <c r="E225" s="15" t="s">
        <v>2669</v>
      </c>
      <c r="F225" s="15" t="s">
        <v>2668</v>
      </c>
      <c r="G225" s="15" t="s">
        <v>2656</v>
      </c>
    </row>
    <row r="226" spans="1:7" x14ac:dyDescent="0.25">
      <c r="A226" s="253" t="s">
        <v>687</v>
      </c>
      <c r="B226" s="15" t="s">
        <v>2652</v>
      </c>
      <c r="C226" s="15" t="s">
        <v>2666</v>
      </c>
      <c r="D226" s="15" t="s">
        <v>2667</v>
      </c>
      <c r="E226" s="15" t="s">
        <v>2672</v>
      </c>
      <c r="F226" s="15" t="s">
        <v>2669</v>
      </c>
      <c r="G226" s="15" t="s">
        <v>2674</v>
      </c>
    </row>
    <row r="227" spans="1:7" x14ac:dyDescent="0.25">
      <c r="A227" s="253" t="s">
        <v>228</v>
      </c>
      <c r="B227" s="15" t="s">
        <v>2671</v>
      </c>
      <c r="C227" s="15" t="s">
        <v>2666</v>
      </c>
      <c r="D227" s="15" t="s">
        <v>2659</v>
      </c>
      <c r="E227" s="15" t="s">
        <v>2670</v>
      </c>
      <c r="F227" s="15" t="s">
        <v>2669</v>
      </c>
      <c r="G227" s="15" t="s">
        <v>2674</v>
      </c>
    </row>
    <row r="228" spans="1:7" x14ac:dyDescent="0.25">
      <c r="A228" s="253" t="s">
        <v>198</v>
      </c>
      <c r="B228" s="15" t="s">
        <v>2671</v>
      </c>
      <c r="C228" s="15" t="s">
        <v>2657</v>
      </c>
      <c r="D228" s="15" t="s">
        <v>2659</v>
      </c>
      <c r="E228" s="15" t="s">
        <v>2667</v>
      </c>
      <c r="F228" s="15" t="s">
        <v>2660</v>
      </c>
      <c r="G228" s="15" t="s">
        <v>2664</v>
      </c>
    </row>
    <row r="229" spans="1:7" x14ac:dyDescent="0.25">
      <c r="A229" s="253" t="s">
        <v>287</v>
      </c>
      <c r="B229" s="15" t="s">
        <v>2671</v>
      </c>
      <c r="C229" s="15" t="s">
        <v>2658</v>
      </c>
      <c r="D229" s="15" t="s">
        <v>2662</v>
      </c>
      <c r="E229" s="15" t="s">
        <v>2669</v>
      </c>
      <c r="F229" s="15" t="s">
        <v>2656</v>
      </c>
      <c r="G229" s="15" t="s">
        <v>2674</v>
      </c>
    </row>
    <row r="230" spans="1:7" x14ac:dyDescent="0.25">
      <c r="A230" s="253" t="s">
        <v>229</v>
      </c>
      <c r="B230" s="15" t="s">
        <v>2665</v>
      </c>
      <c r="C230" s="15" t="s">
        <v>2657</v>
      </c>
      <c r="D230" s="15" t="s">
        <v>2661</v>
      </c>
      <c r="E230" s="15" t="s">
        <v>2662</v>
      </c>
      <c r="F230" s="15" t="s">
        <v>2673</v>
      </c>
      <c r="G230" s="15" t="s">
        <v>2663</v>
      </c>
    </row>
    <row r="231" spans="1:7" x14ac:dyDescent="0.25">
      <c r="A231" s="253" t="s">
        <v>199</v>
      </c>
      <c r="B231" s="15" t="s">
        <v>2651</v>
      </c>
      <c r="C231" s="15" t="s">
        <v>2667</v>
      </c>
      <c r="D231" s="15" t="s">
        <v>2662</v>
      </c>
      <c r="E231" s="15" t="s">
        <v>2673</v>
      </c>
      <c r="F231" s="15" t="s">
        <v>2655</v>
      </c>
      <c r="G231" s="15" t="s">
        <v>2656</v>
      </c>
    </row>
    <row r="232" spans="1:7" x14ac:dyDescent="0.25">
      <c r="A232" s="253" t="s">
        <v>288</v>
      </c>
      <c r="B232" s="15" t="s">
        <v>2665</v>
      </c>
      <c r="C232" s="15" t="s">
        <v>2651</v>
      </c>
      <c r="D232" s="15" t="s">
        <v>2653</v>
      </c>
      <c r="E232" s="15" t="s">
        <v>2669</v>
      </c>
      <c r="F232" s="15" t="s">
        <v>2656</v>
      </c>
      <c r="G232" s="15" t="s">
        <v>2674</v>
      </c>
    </row>
    <row r="233" spans="1:7" x14ac:dyDescent="0.25">
      <c r="A233" s="253" t="s">
        <v>267</v>
      </c>
      <c r="B233" s="15" t="s">
        <v>2651</v>
      </c>
      <c r="C233" s="15" t="s">
        <v>2661</v>
      </c>
      <c r="D233" s="15" t="s">
        <v>2667</v>
      </c>
      <c r="E233" s="15" t="s">
        <v>2669</v>
      </c>
      <c r="F233" s="15" t="s">
        <v>2668</v>
      </c>
      <c r="G233" s="15" t="s">
        <v>2656</v>
      </c>
    </row>
    <row r="234" spans="1:7" x14ac:dyDescent="0.25">
      <c r="A234" s="253" t="s">
        <v>275</v>
      </c>
      <c r="B234" s="15" t="s">
        <v>2657</v>
      </c>
      <c r="C234" s="15" t="s">
        <v>2658</v>
      </c>
      <c r="D234" s="15" t="s">
        <v>2667</v>
      </c>
      <c r="E234" s="15" t="s">
        <v>2673</v>
      </c>
      <c r="F234" s="15" t="s">
        <v>2668</v>
      </c>
      <c r="G234" s="15" t="s">
        <v>2656</v>
      </c>
    </row>
    <row r="235" spans="1:7" x14ac:dyDescent="0.25">
      <c r="A235" s="253" t="s">
        <v>241</v>
      </c>
      <c r="B235" s="15" t="s">
        <v>2661</v>
      </c>
      <c r="C235" s="15" t="s">
        <v>2653</v>
      </c>
      <c r="D235" s="15" t="s">
        <v>2654</v>
      </c>
      <c r="E235" s="15" t="s">
        <v>2655</v>
      </c>
      <c r="F235" s="15" t="s">
        <v>2656</v>
      </c>
      <c r="G235" s="15" t="s">
        <v>2664</v>
      </c>
    </row>
    <row r="236" spans="1:7" x14ac:dyDescent="0.25">
      <c r="A236" s="253" t="s">
        <v>306</v>
      </c>
      <c r="B236" s="15" t="s">
        <v>2652</v>
      </c>
      <c r="C236" s="15" t="s">
        <v>2671</v>
      </c>
      <c r="D236" s="15" t="s">
        <v>2661</v>
      </c>
      <c r="E236" s="15" t="s">
        <v>2667</v>
      </c>
      <c r="F236" s="15" t="s">
        <v>2669</v>
      </c>
      <c r="G236" s="15" t="s">
        <v>2663</v>
      </c>
    </row>
    <row r="237" spans="1:7" x14ac:dyDescent="0.25">
      <c r="A237" s="253" t="s">
        <v>307</v>
      </c>
      <c r="B237" s="15" t="s">
        <v>2652</v>
      </c>
      <c r="C237" s="15" t="s">
        <v>2671</v>
      </c>
      <c r="D237" s="15" t="s">
        <v>2659</v>
      </c>
      <c r="E237" s="15" t="s">
        <v>2667</v>
      </c>
      <c r="F237" s="15" t="s">
        <v>2672</v>
      </c>
      <c r="G237" s="15" t="s">
        <v>2664</v>
      </c>
    </row>
    <row r="238" spans="1:7" x14ac:dyDescent="0.25">
      <c r="A238" s="253" t="s">
        <v>258</v>
      </c>
      <c r="B238" s="15" t="s">
        <v>2652</v>
      </c>
      <c r="C238" s="15" t="s">
        <v>2659</v>
      </c>
      <c r="D238" s="15" t="s">
        <v>2667</v>
      </c>
      <c r="E238" s="15" t="s">
        <v>2662</v>
      </c>
      <c r="F238" s="15" t="s">
        <v>2669</v>
      </c>
      <c r="G238" s="15" t="s">
        <v>2674</v>
      </c>
    </row>
    <row r="239" spans="1:7" x14ac:dyDescent="0.25">
      <c r="A239" s="253" t="s">
        <v>276</v>
      </c>
      <c r="B239" s="15" t="s">
        <v>2651</v>
      </c>
      <c r="C239" s="15" t="s">
        <v>2661</v>
      </c>
      <c r="D239" s="15" t="s">
        <v>2673</v>
      </c>
      <c r="E239" s="15" t="s">
        <v>2670</v>
      </c>
      <c r="F239" s="15" t="s">
        <v>2663</v>
      </c>
      <c r="G239" s="15" t="s">
        <v>2674</v>
      </c>
    </row>
    <row r="240" spans="1:7" x14ac:dyDescent="0.25">
      <c r="A240" s="253" t="s">
        <v>216</v>
      </c>
      <c r="B240" s="15" t="s">
        <v>2665</v>
      </c>
      <c r="C240" s="15" t="s">
        <v>2658</v>
      </c>
      <c r="D240" s="15" t="s">
        <v>2673</v>
      </c>
      <c r="E240" s="15" t="s">
        <v>2654</v>
      </c>
      <c r="F240" s="15" t="s">
        <v>2669</v>
      </c>
      <c r="G240" s="15" t="s">
        <v>2663</v>
      </c>
    </row>
    <row r="241" spans="1:7" x14ac:dyDescent="0.25">
      <c r="A241" s="253" t="s">
        <v>259</v>
      </c>
      <c r="B241" s="15" t="s">
        <v>2652</v>
      </c>
      <c r="C241" s="15" t="s">
        <v>2671</v>
      </c>
      <c r="D241" s="15" t="s">
        <v>2658</v>
      </c>
      <c r="E241" s="15" t="s">
        <v>2669</v>
      </c>
      <c r="F241" s="15" t="s">
        <v>2656</v>
      </c>
      <c r="G241" s="15" t="s">
        <v>2664</v>
      </c>
    </row>
    <row r="242" spans="1:7" x14ac:dyDescent="0.25">
      <c r="A242" s="253" t="s">
        <v>210</v>
      </c>
      <c r="B242" s="15" t="s">
        <v>2671</v>
      </c>
      <c r="C242" s="15" t="s">
        <v>2666</v>
      </c>
      <c r="D242" s="15" t="s">
        <v>2667</v>
      </c>
      <c r="E242" s="15" t="s">
        <v>2672</v>
      </c>
      <c r="F242" s="15" t="s">
        <v>2656</v>
      </c>
      <c r="G242" s="15" t="s">
        <v>2663</v>
      </c>
    </row>
    <row r="243" spans="1:7" x14ac:dyDescent="0.25">
      <c r="A243" s="253" t="s">
        <v>313</v>
      </c>
      <c r="B243" s="15" t="s">
        <v>2671</v>
      </c>
      <c r="C243" s="15" t="s">
        <v>2670</v>
      </c>
      <c r="D243" s="15" t="s">
        <v>2672</v>
      </c>
      <c r="E243" s="15" t="s">
        <v>2669</v>
      </c>
      <c r="F243" s="15" t="s">
        <v>2656</v>
      </c>
      <c r="G243" s="15" t="s">
        <v>2660</v>
      </c>
    </row>
    <row r="244" spans="1:7" x14ac:dyDescent="0.25">
      <c r="A244" s="253" t="s">
        <v>319</v>
      </c>
      <c r="B244" s="15" t="s">
        <v>2671</v>
      </c>
      <c r="C244" s="15" t="s">
        <v>2658</v>
      </c>
      <c r="D244" s="15" t="s">
        <v>2659</v>
      </c>
      <c r="E244" s="15" t="s">
        <v>2667</v>
      </c>
      <c r="F244" s="15" t="s">
        <v>2662</v>
      </c>
      <c r="G244" s="15" t="s">
        <v>2664</v>
      </c>
    </row>
    <row r="245" spans="1:7" x14ac:dyDescent="0.25">
      <c r="A245" s="253" t="s">
        <v>308</v>
      </c>
      <c r="B245" s="15" t="s">
        <v>2665</v>
      </c>
      <c r="C245" s="15" t="s">
        <v>2658</v>
      </c>
      <c r="D245" s="15" t="s">
        <v>2661</v>
      </c>
      <c r="E245" s="15" t="s">
        <v>2667</v>
      </c>
      <c r="F245" s="15" t="s">
        <v>2662</v>
      </c>
      <c r="G245" s="15" t="s">
        <v>2668</v>
      </c>
    </row>
    <row r="246" spans="1:7" x14ac:dyDescent="0.25">
      <c r="A246" s="253" t="s">
        <v>242</v>
      </c>
      <c r="B246" s="15" t="s">
        <v>2665</v>
      </c>
      <c r="C246" s="15" t="s">
        <v>2651</v>
      </c>
      <c r="D246" s="15" t="s">
        <v>2657</v>
      </c>
      <c r="E246" s="15" t="s">
        <v>2661</v>
      </c>
      <c r="F246" s="15" t="s">
        <v>2654</v>
      </c>
      <c r="G246" s="15" t="s">
        <v>2663</v>
      </c>
    </row>
    <row r="247" spans="1:7" x14ac:dyDescent="0.25">
      <c r="A247" s="253" t="s">
        <v>277</v>
      </c>
      <c r="B247" s="15" t="s">
        <v>2666</v>
      </c>
      <c r="C247" s="15" t="s">
        <v>2658</v>
      </c>
      <c r="D247" s="15" t="s">
        <v>2659</v>
      </c>
      <c r="E247" s="15" t="s">
        <v>2669</v>
      </c>
      <c r="F247" s="15" t="s">
        <v>2656</v>
      </c>
      <c r="G247" s="15" t="s">
        <v>2664</v>
      </c>
    </row>
    <row r="248" spans="1:7" x14ac:dyDescent="0.25">
      <c r="A248" s="253" t="s">
        <v>268</v>
      </c>
      <c r="B248" s="15" t="s">
        <v>2651</v>
      </c>
      <c r="C248" s="15" t="s">
        <v>2658</v>
      </c>
      <c r="D248" s="15" t="s">
        <v>2667</v>
      </c>
      <c r="E248" s="15" t="s">
        <v>2662</v>
      </c>
      <c r="F248" s="15" t="s">
        <v>2669</v>
      </c>
      <c r="G248" s="15" t="s">
        <v>2656</v>
      </c>
    </row>
    <row r="249" spans="1:7" x14ac:dyDescent="0.25">
      <c r="A249" s="253" t="s">
        <v>230</v>
      </c>
      <c r="B249" s="15" t="s">
        <v>2657</v>
      </c>
      <c r="C249" s="15" t="s">
        <v>2658</v>
      </c>
      <c r="D249" s="15" t="s">
        <v>2667</v>
      </c>
      <c r="E249" s="15" t="s">
        <v>2662</v>
      </c>
      <c r="F249" s="15" t="s">
        <v>2654</v>
      </c>
      <c r="G249" s="15" t="s">
        <v>2664</v>
      </c>
    </row>
    <row r="250" spans="1:7" x14ac:dyDescent="0.25">
      <c r="A250" s="253" t="s">
        <v>243</v>
      </c>
      <c r="B250" s="15" t="s">
        <v>2671</v>
      </c>
      <c r="C250" s="15" t="s">
        <v>2666</v>
      </c>
      <c r="D250" s="15" t="s">
        <v>2658</v>
      </c>
      <c r="E250" s="15" t="s">
        <v>2667</v>
      </c>
      <c r="F250" s="15" t="s">
        <v>2675</v>
      </c>
      <c r="G250" s="15" t="s">
        <v>2664</v>
      </c>
    </row>
    <row r="251" spans="1:7" x14ac:dyDescent="0.25">
      <c r="A251" s="253" t="s">
        <v>200</v>
      </c>
      <c r="B251" s="15" t="s">
        <v>2671</v>
      </c>
      <c r="C251" s="15" t="s">
        <v>2653</v>
      </c>
      <c r="D251" s="15" t="s">
        <v>2662</v>
      </c>
      <c r="E251" s="15" t="s">
        <v>2669</v>
      </c>
      <c r="F251" s="15" t="s">
        <v>2663</v>
      </c>
      <c r="G251" s="15" t="s">
        <v>2664</v>
      </c>
    </row>
    <row r="252" spans="1:7" x14ac:dyDescent="0.25">
      <c r="A252" s="253" t="s">
        <v>1341</v>
      </c>
      <c r="B252" s="15" t="s">
        <v>2665</v>
      </c>
      <c r="C252" s="15" t="s">
        <v>2651</v>
      </c>
      <c r="D252" s="15" t="s">
        <v>2661</v>
      </c>
      <c r="E252" s="15" t="s">
        <v>2662</v>
      </c>
      <c r="F252" s="15" t="s">
        <v>2673</v>
      </c>
      <c r="G252" s="15" t="s">
        <v>2663</v>
      </c>
    </row>
    <row r="253" spans="1:7" x14ac:dyDescent="0.25">
      <c r="A253" s="253" t="s">
        <v>278</v>
      </c>
      <c r="B253" s="15" t="s">
        <v>2671</v>
      </c>
      <c r="C253" s="15" t="s">
        <v>2657</v>
      </c>
      <c r="D253" s="15" t="s">
        <v>2666</v>
      </c>
      <c r="E253" s="15" t="s">
        <v>2670</v>
      </c>
      <c r="F253" s="15" t="s">
        <v>2656</v>
      </c>
      <c r="G253" s="15" t="s">
        <v>2660</v>
      </c>
    </row>
    <row r="254" spans="1:7" x14ac:dyDescent="0.25">
      <c r="A254" s="253" t="s">
        <v>295</v>
      </c>
      <c r="B254" s="15" t="s">
        <v>2657</v>
      </c>
      <c r="C254" s="15" t="s">
        <v>2653</v>
      </c>
      <c r="D254" s="15" t="s">
        <v>2667</v>
      </c>
      <c r="E254" s="15" t="s">
        <v>2662</v>
      </c>
      <c r="F254" s="15" t="s">
        <v>2654</v>
      </c>
      <c r="G254" s="15" t="s">
        <v>2656</v>
      </c>
    </row>
    <row r="255" spans="1:7" x14ac:dyDescent="0.25">
      <c r="A255" s="253" t="s">
        <v>231</v>
      </c>
      <c r="B255" s="15" t="s">
        <v>2671</v>
      </c>
      <c r="C255" s="15" t="s">
        <v>2666</v>
      </c>
      <c r="D255" s="15" t="s">
        <v>2667</v>
      </c>
      <c r="E255" s="15" t="s">
        <v>2670</v>
      </c>
      <c r="F255" s="15" t="s">
        <v>2669</v>
      </c>
      <c r="G255" s="15" t="s">
        <v>2664</v>
      </c>
    </row>
    <row r="256" spans="1:7" x14ac:dyDescent="0.25">
      <c r="A256" s="253" t="s">
        <v>619</v>
      </c>
      <c r="B256" s="15" t="s">
        <v>2657</v>
      </c>
      <c r="C256" s="15" t="s">
        <v>2666</v>
      </c>
      <c r="D256" s="15" t="s">
        <v>2673</v>
      </c>
      <c r="E256" s="15" t="s">
        <v>2672</v>
      </c>
      <c r="F256" s="15" t="s">
        <v>2655</v>
      </c>
      <c r="G256" s="15" t="s">
        <v>2674</v>
      </c>
    </row>
    <row r="257" spans="1:7" x14ac:dyDescent="0.25">
      <c r="A257" s="253" t="s">
        <v>211</v>
      </c>
      <c r="B257" s="15" t="s">
        <v>2657</v>
      </c>
      <c r="C257" s="15" t="s">
        <v>2666</v>
      </c>
      <c r="D257" s="15" t="s">
        <v>2661</v>
      </c>
      <c r="E257" s="15" t="s">
        <v>2667</v>
      </c>
      <c r="F257" s="15" t="s">
        <v>2669</v>
      </c>
      <c r="G257" s="15" t="s">
        <v>2656</v>
      </c>
    </row>
    <row r="258" spans="1:7" x14ac:dyDescent="0.25">
      <c r="A258" s="253" t="s">
        <v>217</v>
      </c>
      <c r="B258" s="15" t="s">
        <v>2671</v>
      </c>
      <c r="C258" s="15" t="s">
        <v>2666</v>
      </c>
      <c r="D258" s="15" t="s">
        <v>2667</v>
      </c>
      <c r="E258" s="15" t="s">
        <v>2655</v>
      </c>
      <c r="F258" s="15" t="s">
        <v>2656</v>
      </c>
      <c r="G258" s="15" t="s">
        <v>2660</v>
      </c>
    </row>
    <row r="259" spans="1:7" x14ac:dyDescent="0.25">
      <c r="A259" s="253" t="s">
        <v>318</v>
      </c>
      <c r="B259" s="15" t="s">
        <v>2671</v>
      </c>
      <c r="C259" s="15" t="s">
        <v>2659</v>
      </c>
      <c r="D259" s="15" t="s">
        <v>2661</v>
      </c>
      <c r="E259" s="15" t="s">
        <v>2667</v>
      </c>
      <c r="F259" s="15" t="s">
        <v>2662</v>
      </c>
      <c r="G259" s="15" t="s">
        <v>2664</v>
      </c>
    </row>
    <row r="260" spans="1:7" x14ac:dyDescent="0.25">
      <c r="A260" s="253" t="s">
        <v>201</v>
      </c>
      <c r="B260" s="15" t="s">
        <v>2671</v>
      </c>
      <c r="C260" s="15" t="s">
        <v>2666</v>
      </c>
      <c r="D260" s="15" t="s">
        <v>2659</v>
      </c>
      <c r="E260" s="15" t="s">
        <v>2669</v>
      </c>
      <c r="F260" s="15" t="s">
        <v>2656</v>
      </c>
      <c r="G260" s="15" t="s">
        <v>2674</v>
      </c>
    </row>
    <row r="261" spans="1:7" x14ac:dyDescent="0.25">
      <c r="A261" s="253" t="s">
        <v>279</v>
      </c>
      <c r="B261" s="15" t="s">
        <v>2665</v>
      </c>
      <c r="C261" s="15" t="s">
        <v>2673</v>
      </c>
      <c r="D261" s="15" t="s">
        <v>2662</v>
      </c>
      <c r="E261" s="15" t="s">
        <v>2655</v>
      </c>
      <c r="F261" s="15" t="s">
        <v>2668</v>
      </c>
      <c r="G261" s="15" t="s">
        <v>2663</v>
      </c>
    </row>
    <row r="262" spans="1:7" x14ac:dyDescent="0.25">
      <c r="A262" s="253" t="s">
        <v>296</v>
      </c>
      <c r="B262" s="15" t="s">
        <v>2651</v>
      </c>
      <c r="C262" s="15" t="s">
        <v>2653</v>
      </c>
      <c r="D262" s="15" t="s">
        <v>2667</v>
      </c>
      <c r="E262" s="15" t="s">
        <v>2662</v>
      </c>
      <c r="F262" s="15" t="s">
        <v>2672</v>
      </c>
      <c r="G262" s="15" t="s">
        <v>2674</v>
      </c>
    </row>
    <row r="263" spans="1:7" x14ac:dyDescent="0.25">
      <c r="A263" s="253" t="s">
        <v>218</v>
      </c>
      <c r="B263" s="15" t="s">
        <v>2665</v>
      </c>
      <c r="C263" s="15" t="s">
        <v>2666</v>
      </c>
      <c r="D263" s="15" t="s">
        <v>2658</v>
      </c>
      <c r="E263" s="15" t="s">
        <v>2654</v>
      </c>
      <c r="F263" s="15" t="s">
        <v>2660</v>
      </c>
      <c r="G263" s="15" t="s">
        <v>2664</v>
      </c>
    </row>
    <row r="264" spans="1:7" x14ac:dyDescent="0.25">
      <c r="A264" s="253" t="s">
        <v>219</v>
      </c>
      <c r="B264" s="15" t="s">
        <v>2651</v>
      </c>
      <c r="C264" s="15" t="s">
        <v>2661</v>
      </c>
      <c r="D264" s="15" t="s">
        <v>2653</v>
      </c>
      <c r="E264" s="15" t="s">
        <v>2673</v>
      </c>
      <c r="F264" s="15" t="s">
        <v>2654</v>
      </c>
      <c r="G264" s="15" t="s">
        <v>2668</v>
      </c>
    </row>
    <row r="265" spans="1:7" x14ac:dyDescent="0.25">
      <c r="A265" s="253" t="s">
        <v>212</v>
      </c>
      <c r="B265" s="15" t="s">
        <v>2665</v>
      </c>
      <c r="C265" s="15" t="s">
        <v>2657</v>
      </c>
      <c r="D265" s="15" t="s">
        <v>2653</v>
      </c>
      <c r="E265" s="15" t="s">
        <v>2673</v>
      </c>
      <c r="F265" s="15" t="s">
        <v>2672</v>
      </c>
      <c r="G265" s="15" t="s">
        <v>2668</v>
      </c>
    </row>
    <row r="266" spans="1:7" x14ac:dyDescent="0.25">
      <c r="A266" s="253" t="s">
        <v>202</v>
      </c>
      <c r="B266" s="15" t="s">
        <v>2665</v>
      </c>
      <c r="C266" s="15" t="s">
        <v>2658</v>
      </c>
      <c r="D266" s="15" t="s">
        <v>2662</v>
      </c>
      <c r="E266" s="15" t="s">
        <v>2673</v>
      </c>
      <c r="F266" s="15" t="s">
        <v>2675</v>
      </c>
      <c r="G266" s="15" t="s">
        <v>2668</v>
      </c>
    </row>
    <row r="267" spans="1:7" x14ac:dyDescent="0.25">
      <c r="A267" s="253" t="s">
        <v>309</v>
      </c>
      <c r="B267" s="15" t="s">
        <v>2658</v>
      </c>
      <c r="C267" s="15" t="s">
        <v>2667</v>
      </c>
      <c r="D267" s="15" t="s">
        <v>2662</v>
      </c>
      <c r="E267" s="15" t="s">
        <v>2672</v>
      </c>
      <c r="F267" s="15" t="s">
        <v>2668</v>
      </c>
      <c r="G267" s="15" t="s">
        <v>2656</v>
      </c>
    </row>
    <row r="268" spans="1:7" x14ac:dyDescent="0.25">
      <c r="A268" s="253" t="s">
        <v>297</v>
      </c>
      <c r="B268" s="15" t="s">
        <v>2666</v>
      </c>
      <c r="C268" s="15" t="s">
        <v>2658</v>
      </c>
      <c r="D268" s="15" t="s">
        <v>2661</v>
      </c>
      <c r="E268" s="15" t="s">
        <v>2672</v>
      </c>
      <c r="F268" s="15" t="s">
        <v>2669</v>
      </c>
      <c r="G268" s="15" t="s">
        <v>2674</v>
      </c>
    </row>
    <row r="269" spans="1:7" x14ac:dyDescent="0.25">
      <c r="A269" s="253" t="s">
        <v>298</v>
      </c>
      <c r="B269" s="15" t="s">
        <v>2671</v>
      </c>
      <c r="C269" s="15" t="s">
        <v>2657</v>
      </c>
      <c r="D269" s="15" t="s">
        <v>2659</v>
      </c>
      <c r="E269" s="15" t="s">
        <v>2669</v>
      </c>
      <c r="F269" s="15" t="s">
        <v>2656</v>
      </c>
      <c r="G269" s="15" t="s">
        <v>2660</v>
      </c>
    </row>
    <row r="270" spans="1:7" x14ac:dyDescent="0.25">
      <c r="A270" s="253" t="s">
        <v>1342</v>
      </c>
      <c r="B270" s="15" t="s">
        <v>2665</v>
      </c>
      <c r="C270" s="15" t="s">
        <v>2657</v>
      </c>
      <c r="D270" s="15" t="s">
        <v>2658</v>
      </c>
      <c r="E270" s="15" t="s">
        <v>2653</v>
      </c>
      <c r="F270" s="15" t="s">
        <v>2662</v>
      </c>
      <c r="G270" s="15" t="s">
        <v>2673</v>
      </c>
    </row>
    <row r="271" spans="1:7" x14ac:dyDescent="0.25">
      <c r="A271" s="253" t="s">
        <v>203</v>
      </c>
      <c r="B271" s="15" t="s">
        <v>2657</v>
      </c>
      <c r="C271" s="15" t="s">
        <v>2666</v>
      </c>
      <c r="D271" s="15" t="s">
        <v>2667</v>
      </c>
      <c r="E271" s="15" t="s">
        <v>2673</v>
      </c>
      <c r="F271" s="15" t="s">
        <v>2668</v>
      </c>
      <c r="G271" s="15" t="s">
        <v>2660</v>
      </c>
    </row>
    <row r="272" spans="1:7" x14ac:dyDescent="0.25">
      <c r="A272" s="253" t="s">
        <v>244</v>
      </c>
      <c r="B272" s="15" t="s">
        <v>2652</v>
      </c>
      <c r="C272" s="15" t="s">
        <v>2657</v>
      </c>
      <c r="D272" s="15" t="s">
        <v>2658</v>
      </c>
      <c r="E272" s="15" t="s">
        <v>2653</v>
      </c>
      <c r="F272" s="15" t="s">
        <v>2656</v>
      </c>
      <c r="G272" s="15" t="s">
        <v>2660</v>
      </c>
    </row>
    <row r="273" spans="1:7" x14ac:dyDescent="0.25">
      <c r="A273" s="253" t="s">
        <v>220</v>
      </c>
      <c r="B273" s="15" t="s">
        <v>2661</v>
      </c>
      <c r="C273" s="15" t="s">
        <v>2667</v>
      </c>
      <c r="D273" s="15" t="s">
        <v>2662</v>
      </c>
      <c r="E273" s="15" t="s">
        <v>2670</v>
      </c>
      <c r="F273" s="15" t="s">
        <v>2654</v>
      </c>
      <c r="G273" s="15" t="s">
        <v>2664</v>
      </c>
    </row>
    <row r="274" spans="1:7" x14ac:dyDescent="0.25">
      <c r="A274" s="253" t="s">
        <v>232</v>
      </c>
      <c r="B274" s="15" t="s">
        <v>2652</v>
      </c>
      <c r="C274" s="15" t="s">
        <v>2657</v>
      </c>
      <c r="D274" s="15" t="s">
        <v>2666</v>
      </c>
      <c r="E274" s="15" t="s">
        <v>2662</v>
      </c>
      <c r="F274" s="15" t="s">
        <v>2655</v>
      </c>
      <c r="G274" s="15" t="s">
        <v>2656</v>
      </c>
    </row>
    <row r="275" spans="1:7" x14ac:dyDescent="0.25">
      <c r="A275" s="253" t="s">
        <v>245</v>
      </c>
      <c r="B275" s="15" t="s">
        <v>2652</v>
      </c>
      <c r="C275" s="15" t="s">
        <v>2659</v>
      </c>
      <c r="D275" s="15" t="s">
        <v>2662</v>
      </c>
      <c r="E275" s="15" t="s">
        <v>2655</v>
      </c>
      <c r="F275" s="15" t="s">
        <v>2660</v>
      </c>
      <c r="G275" s="15" t="s">
        <v>2664</v>
      </c>
    </row>
    <row r="276" spans="1:7" x14ac:dyDescent="0.25">
      <c r="A276" s="253" t="s">
        <v>233</v>
      </c>
      <c r="B276" s="15" t="s">
        <v>2653</v>
      </c>
      <c r="C276" s="15" t="s">
        <v>2662</v>
      </c>
      <c r="D276" s="15" t="s">
        <v>2673</v>
      </c>
      <c r="E276" s="15" t="s">
        <v>2655</v>
      </c>
      <c r="F276" s="15" t="s">
        <v>2668</v>
      </c>
      <c r="G276" s="15" t="s">
        <v>2656</v>
      </c>
    </row>
    <row r="277" spans="1:7" x14ac:dyDescent="0.25">
      <c r="A277" s="253" t="s">
        <v>299</v>
      </c>
      <c r="B277" s="15" t="s">
        <v>2665</v>
      </c>
      <c r="C277" s="15" t="s">
        <v>2667</v>
      </c>
      <c r="D277" s="15" t="s">
        <v>2655</v>
      </c>
      <c r="E277" s="15" t="s">
        <v>2668</v>
      </c>
      <c r="F277" s="15" t="s">
        <v>2663</v>
      </c>
      <c r="G277" s="15" t="s">
        <v>2664</v>
      </c>
    </row>
    <row r="278" spans="1:7" x14ac:dyDescent="0.25">
      <c r="A278" s="253" t="s">
        <v>260</v>
      </c>
      <c r="B278" s="15" t="s">
        <v>2657</v>
      </c>
      <c r="C278" s="15" t="s">
        <v>2658</v>
      </c>
      <c r="D278" s="15" t="s">
        <v>2662</v>
      </c>
      <c r="E278" s="15" t="s">
        <v>2656</v>
      </c>
      <c r="F278" s="15" t="s">
        <v>2668</v>
      </c>
      <c r="G278" s="15" t="s">
        <v>2674</v>
      </c>
    </row>
  </sheetData>
  <sheetProtection password="E9C2" sheet="1" objects="1" scenarios="1" selectLockedCells="1" selectUnlockedCells="1"/>
  <sortState ref="A3:F15">
    <sortCondition ref="A3:A15"/>
  </sortStat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Z253"/>
  <sheetViews>
    <sheetView view="pageBreakPreview" topLeftCell="AA1" zoomScale="60" zoomScaleNormal="100" workbookViewId="0">
      <selection sqref="A1:Z1048576"/>
    </sheetView>
  </sheetViews>
  <sheetFormatPr defaultRowHeight="15" x14ac:dyDescent="0.25"/>
  <cols>
    <col min="1" max="1" width="33.42578125" style="2" hidden="1" customWidth="1"/>
    <col min="2" max="2" width="37" style="2" hidden="1" customWidth="1"/>
    <col min="3" max="3" width="36.140625" style="2" hidden="1" customWidth="1"/>
    <col min="4" max="4" width="45.140625" style="2" hidden="1" customWidth="1"/>
    <col min="5" max="5" width="35.140625" style="2" hidden="1" customWidth="1"/>
    <col min="6" max="6" width="32.5703125" style="2" hidden="1" customWidth="1"/>
    <col min="7" max="7" width="39.7109375" style="19" hidden="1" customWidth="1"/>
    <col min="8" max="8" width="19.7109375" style="15" hidden="1" customWidth="1"/>
    <col min="9" max="9" width="30" style="15" hidden="1" customWidth="1"/>
    <col min="10" max="10" width="36.42578125" style="15" hidden="1" customWidth="1"/>
    <col min="11" max="11" width="4.7109375" style="15" hidden="1" customWidth="1"/>
    <col min="12" max="12" width="9.140625" style="15" hidden="1" customWidth="1"/>
    <col min="13" max="13" width="6.5703125" style="15" hidden="1" customWidth="1"/>
    <col min="14" max="14" width="14.42578125" style="15" hidden="1" customWidth="1"/>
    <col min="15" max="15" width="8.7109375" style="15" hidden="1" customWidth="1"/>
    <col min="16" max="16" width="13" style="15" hidden="1" customWidth="1"/>
    <col min="17" max="20" width="9.140625" style="15" hidden="1" customWidth="1"/>
    <col min="21" max="21" width="45.140625" style="41" hidden="1" customWidth="1"/>
    <col min="22" max="22" width="16.5703125" style="19" hidden="1" customWidth="1"/>
    <col min="23" max="26" width="9.140625" style="15" hidden="1" customWidth="1"/>
    <col min="27" max="29" width="9.140625" style="15" customWidth="1"/>
    <col min="30" max="16384" width="9.140625" style="15"/>
  </cols>
  <sheetData>
    <row r="1" spans="1:22" x14ac:dyDescent="0.25">
      <c r="A1" s="5" t="s">
        <v>320</v>
      </c>
      <c r="B1" s="85" t="s">
        <v>885</v>
      </c>
      <c r="C1" s="90" t="s">
        <v>886</v>
      </c>
      <c r="D1" s="85" t="s">
        <v>344</v>
      </c>
      <c r="E1" s="107" t="s">
        <v>11</v>
      </c>
      <c r="F1" s="77" t="s">
        <v>970</v>
      </c>
      <c r="G1" s="61" t="s">
        <v>437</v>
      </c>
      <c r="H1" s="85" t="s">
        <v>508</v>
      </c>
      <c r="I1" s="86" t="s">
        <v>887</v>
      </c>
      <c r="J1" s="90" t="s">
        <v>888</v>
      </c>
      <c r="K1" s="20"/>
      <c r="N1" s="15" t="s">
        <v>1766</v>
      </c>
      <c r="O1" s="15" t="s">
        <v>66</v>
      </c>
      <c r="P1" s="15" t="s">
        <v>527</v>
      </c>
      <c r="U1" s="15"/>
      <c r="V1" s="15"/>
    </row>
    <row r="2" spans="1:22" ht="15.75" x14ac:dyDescent="0.25">
      <c r="A2" s="6" t="s">
        <v>59</v>
      </c>
      <c r="B2" s="109">
        <v>1</v>
      </c>
      <c r="C2" s="91">
        <v>40</v>
      </c>
      <c r="D2" s="9">
        <v>0</v>
      </c>
      <c r="E2" s="56">
        <v>0</v>
      </c>
      <c r="F2" s="77" t="s">
        <v>965</v>
      </c>
      <c r="G2" s="62" t="s">
        <v>59</v>
      </c>
      <c r="H2" s="21">
        <v>0</v>
      </c>
      <c r="I2" s="22">
        <v>0</v>
      </c>
      <c r="J2" s="23">
        <v>1</v>
      </c>
      <c r="K2" s="24"/>
      <c r="N2" s="15" t="s">
        <v>18</v>
      </c>
      <c r="O2" s="15">
        <f>CharacterSheet!N8</f>
        <v>0</v>
      </c>
      <c r="P2" s="15">
        <f>CharacterSheet!O8</f>
        <v>0</v>
      </c>
      <c r="U2" s="15"/>
      <c r="V2" s="15"/>
    </row>
    <row r="3" spans="1:22" ht="15.75" x14ac:dyDescent="0.25">
      <c r="A3" s="6" t="s">
        <v>321</v>
      </c>
      <c r="B3" s="109">
        <v>2</v>
      </c>
      <c r="C3" s="91">
        <v>80</v>
      </c>
      <c r="D3" s="9">
        <v>1</v>
      </c>
      <c r="E3" s="56">
        <v>1</v>
      </c>
      <c r="F3" s="77" t="s">
        <v>966</v>
      </c>
      <c r="G3" s="63" t="s">
        <v>351</v>
      </c>
      <c r="H3" s="109">
        <v>1</v>
      </c>
      <c r="I3" s="88">
        <v>500</v>
      </c>
      <c r="J3" s="91">
        <v>2</v>
      </c>
      <c r="K3" s="24"/>
      <c r="N3" s="15" t="s">
        <v>16</v>
      </c>
      <c r="O3" s="15">
        <f>CharacterSheet!N6</f>
        <v>0</v>
      </c>
      <c r="P3" s="15">
        <f>CharacterSheet!O6</f>
        <v>0</v>
      </c>
      <c r="U3" s="15"/>
      <c r="V3" s="15"/>
    </row>
    <row r="4" spans="1:22" ht="15.75" x14ac:dyDescent="0.25">
      <c r="A4" s="6" t="s">
        <v>322</v>
      </c>
      <c r="B4" s="109">
        <v>3</v>
      </c>
      <c r="C4" s="91">
        <v>220</v>
      </c>
      <c r="D4" s="9">
        <v>2</v>
      </c>
      <c r="E4" s="56">
        <f t="shared" ref="E4:E12" si="0">E3+D3</f>
        <v>2</v>
      </c>
      <c r="F4" s="77" t="s">
        <v>971</v>
      </c>
      <c r="G4" s="62" t="s">
        <v>352</v>
      </c>
      <c r="H4" s="109">
        <v>2</v>
      </c>
      <c r="I4" s="88">
        <v>1000</v>
      </c>
      <c r="J4" s="91">
        <v>4</v>
      </c>
      <c r="K4" s="24"/>
      <c r="N4" s="15" t="s">
        <v>13</v>
      </c>
      <c r="O4" s="15">
        <f>CharacterSheet!F7</f>
        <v>0</v>
      </c>
      <c r="P4" s="15">
        <f>CharacterSheet!G7</f>
        <v>0</v>
      </c>
      <c r="U4" s="15"/>
      <c r="V4" s="15"/>
    </row>
    <row r="5" spans="1:22" ht="15.75" x14ac:dyDescent="0.25">
      <c r="A5" s="6" t="s">
        <v>323</v>
      </c>
      <c r="B5" s="109">
        <v>4</v>
      </c>
      <c r="C5" s="91">
        <v>350</v>
      </c>
      <c r="D5" s="9">
        <v>3</v>
      </c>
      <c r="E5" s="56">
        <f t="shared" si="0"/>
        <v>4</v>
      </c>
      <c r="F5" s="77" t="s">
        <v>975</v>
      </c>
      <c r="G5" s="62" t="s">
        <v>353</v>
      </c>
      <c r="H5" s="109">
        <v>3</v>
      </c>
      <c r="I5" s="88">
        <v>2000</v>
      </c>
      <c r="J5" s="91">
        <v>8</v>
      </c>
      <c r="N5" s="15" t="s">
        <v>20</v>
      </c>
      <c r="O5" s="15">
        <f>CharacterSheet!V7</f>
        <v>0</v>
      </c>
      <c r="P5" s="15">
        <f>CharacterSheet!W7</f>
        <v>0</v>
      </c>
      <c r="U5" s="15"/>
      <c r="V5" s="15"/>
    </row>
    <row r="6" spans="1:22" ht="15.75" x14ac:dyDescent="0.25">
      <c r="A6" s="6" t="s">
        <v>324</v>
      </c>
      <c r="B6" s="109">
        <v>5</v>
      </c>
      <c r="C6" s="91">
        <v>450</v>
      </c>
      <c r="D6" s="9">
        <v>4</v>
      </c>
      <c r="E6" s="56">
        <f t="shared" si="0"/>
        <v>7</v>
      </c>
      <c r="F6" s="77" t="s">
        <v>980</v>
      </c>
      <c r="G6" s="62" t="s">
        <v>354</v>
      </c>
      <c r="H6" s="109">
        <v>4</v>
      </c>
      <c r="I6" s="88">
        <v>10000</v>
      </c>
      <c r="J6" s="91">
        <v>40</v>
      </c>
      <c r="N6" s="15" t="s">
        <v>17</v>
      </c>
      <c r="O6" s="15">
        <f>CharacterSheet!N7</f>
        <v>0</v>
      </c>
      <c r="P6" s="15">
        <f>CharacterSheet!O7</f>
        <v>0</v>
      </c>
      <c r="U6" s="15"/>
      <c r="V6" s="15"/>
    </row>
    <row r="7" spans="1:22" ht="15.75" x14ac:dyDescent="0.25">
      <c r="A7" s="6" t="s">
        <v>325</v>
      </c>
      <c r="B7" s="109">
        <v>6</v>
      </c>
      <c r="C7" s="91">
        <v>550</v>
      </c>
      <c r="D7" s="9">
        <v>5</v>
      </c>
      <c r="E7" s="56">
        <f t="shared" si="0"/>
        <v>11</v>
      </c>
      <c r="F7" s="77" t="s">
        <v>976</v>
      </c>
      <c r="G7" s="62" t="s">
        <v>355</v>
      </c>
      <c r="H7" s="109">
        <v>5</v>
      </c>
      <c r="I7" s="88">
        <v>50000</v>
      </c>
      <c r="J7" s="91">
        <v>200</v>
      </c>
      <c r="N7" s="15" t="s">
        <v>19</v>
      </c>
      <c r="O7" s="15">
        <f>CharacterSheet!V6</f>
        <v>0</v>
      </c>
      <c r="P7" s="15">
        <f>CharacterSheet!W6</f>
        <v>0</v>
      </c>
      <c r="U7" s="15"/>
      <c r="V7" s="15"/>
    </row>
    <row r="8" spans="1:22" ht="15.75" x14ac:dyDescent="0.25">
      <c r="A8" s="6" t="s">
        <v>326</v>
      </c>
      <c r="B8" s="109">
        <v>7</v>
      </c>
      <c r="C8" s="91">
        <v>650</v>
      </c>
      <c r="D8" s="9">
        <v>6</v>
      </c>
      <c r="E8" s="56">
        <f t="shared" si="0"/>
        <v>16</v>
      </c>
      <c r="F8" s="77" t="s">
        <v>967</v>
      </c>
      <c r="G8" s="62" t="s">
        <v>356</v>
      </c>
      <c r="H8" s="109">
        <v>6</v>
      </c>
      <c r="I8" s="88">
        <v>250000</v>
      </c>
      <c r="J8" s="91">
        <v>1000</v>
      </c>
      <c r="N8" s="15" t="s">
        <v>14</v>
      </c>
      <c r="O8" s="15">
        <f>CharacterSheet!F8</f>
        <v>0</v>
      </c>
      <c r="P8" s="15">
        <f>CharacterSheet!G8</f>
        <v>0</v>
      </c>
      <c r="U8" s="15"/>
      <c r="V8" s="15"/>
    </row>
    <row r="9" spans="1:22" ht="15.75" x14ac:dyDescent="0.25">
      <c r="A9" s="6" t="s">
        <v>327</v>
      </c>
      <c r="B9" s="109">
        <v>8</v>
      </c>
      <c r="C9" s="91">
        <v>800</v>
      </c>
      <c r="D9" s="9">
        <v>7</v>
      </c>
      <c r="E9" s="56">
        <f t="shared" si="0"/>
        <v>22</v>
      </c>
      <c r="F9" s="77" t="s">
        <v>1041</v>
      </c>
      <c r="G9" s="62" t="s">
        <v>357</v>
      </c>
      <c r="H9" s="109">
        <v>7</v>
      </c>
      <c r="I9" s="88">
        <v>1250000</v>
      </c>
      <c r="J9" s="91">
        <v>5000</v>
      </c>
      <c r="N9" s="15" t="s">
        <v>30</v>
      </c>
      <c r="O9" s="15">
        <f>CharacterSheet!F6</f>
        <v>0</v>
      </c>
      <c r="P9" s="15">
        <f>CharacterSheet!G6</f>
        <v>0</v>
      </c>
      <c r="U9" s="15"/>
      <c r="V9" s="15"/>
    </row>
    <row r="10" spans="1:22" ht="15.75" x14ac:dyDescent="0.25">
      <c r="A10" s="6" t="s">
        <v>328</v>
      </c>
      <c r="B10" s="109">
        <v>9</v>
      </c>
      <c r="C10" s="91">
        <v>1000</v>
      </c>
      <c r="D10" s="9">
        <v>8</v>
      </c>
      <c r="E10" s="56">
        <f t="shared" si="0"/>
        <v>29</v>
      </c>
      <c r="F10" s="77" t="s">
        <v>972</v>
      </c>
      <c r="G10" s="62" t="s">
        <v>358</v>
      </c>
      <c r="H10" s="109">
        <v>8</v>
      </c>
      <c r="I10" s="88">
        <v>12500000</v>
      </c>
      <c r="J10" s="91">
        <v>50000</v>
      </c>
      <c r="N10" s="15" t="s">
        <v>21</v>
      </c>
      <c r="O10" s="15">
        <f>CharacterSheet!V8</f>
        <v>0</v>
      </c>
      <c r="P10" s="15">
        <f>CharacterSheet!W8</f>
        <v>0</v>
      </c>
      <c r="U10" s="15"/>
      <c r="V10" s="15"/>
    </row>
    <row r="11" spans="1:22" ht="15.75" x14ac:dyDescent="0.25">
      <c r="A11" s="6" t="s">
        <v>329</v>
      </c>
      <c r="B11" s="109">
        <v>10</v>
      </c>
      <c r="C11" s="91">
        <v>1200</v>
      </c>
      <c r="D11" s="9">
        <v>9</v>
      </c>
      <c r="E11" s="56">
        <f t="shared" si="0"/>
        <v>37</v>
      </c>
      <c r="F11" s="77" t="s">
        <v>968</v>
      </c>
      <c r="G11" s="62" t="s">
        <v>690</v>
      </c>
      <c r="H11" s="109">
        <v>9</v>
      </c>
      <c r="I11" s="88">
        <v>125000000</v>
      </c>
      <c r="J11" s="91">
        <v>500000</v>
      </c>
      <c r="U11" s="15"/>
      <c r="V11" s="15"/>
    </row>
    <row r="12" spans="1:22" ht="16.5" thickBot="1" x14ac:dyDescent="0.3">
      <c r="A12" s="6" t="s">
        <v>330</v>
      </c>
      <c r="B12" s="109">
        <v>11</v>
      </c>
      <c r="C12" s="91">
        <v>1400</v>
      </c>
      <c r="D12" s="10">
        <v>10</v>
      </c>
      <c r="E12" s="57">
        <f t="shared" si="0"/>
        <v>46</v>
      </c>
      <c r="F12" s="77" t="s">
        <v>981</v>
      </c>
      <c r="G12" s="62" t="s">
        <v>359</v>
      </c>
      <c r="H12" s="108">
        <v>10</v>
      </c>
      <c r="I12" s="92">
        <v>1250000000</v>
      </c>
      <c r="J12" s="98">
        <v>5000000</v>
      </c>
      <c r="U12" s="15"/>
      <c r="V12" s="15"/>
    </row>
    <row r="13" spans="1:22" ht="15.75" x14ac:dyDescent="0.25">
      <c r="A13" s="6" t="s">
        <v>331</v>
      </c>
      <c r="B13" s="109">
        <v>12</v>
      </c>
      <c r="C13" s="91">
        <v>1600</v>
      </c>
      <c r="D13" s="85" t="s">
        <v>87</v>
      </c>
      <c r="E13" s="107" t="s">
        <v>10</v>
      </c>
      <c r="F13" s="77" t="s">
        <v>973</v>
      </c>
      <c r="G13" s="62" t="s">
        <v>108</v>
      </c>
      <c r="H13" s="85" t="s">
        <v>440</v>
      </c>
      <c r="I13" s="86" t="s">
        <v>132</v>
      </c>
      <c r="J13" s="90" t="s">
        <v>5</v>
      </c>
      <c r="N13" s="647" t="s">
        <v>2270</v>
      </c>
      <c r="O13" s="648"/>
      <c r="P13" s="648"/>
      <c r="U13" s="15"/>
      <c r="V13" s="15"/>
    </row>
    <row r="14" spans="1:22" ht="15.75" x14ac:dyDescent="0.25">
      <c r="A14" s="6" t="s">
        <v>332</v>
      </c>
      <c r="B14" s="109">
        <v>13</v>
      </c>
      <c r="C14" s="91">
        <v>1800</v>
      </c>
      <c r="D14" s="9">
        <v>0</v>
      </c>
      <c r="E14" s="56">
        <v>0</v>
      </c>
      <c r="F14" s="77" t="s">
        <v>974</v>
      </c>
      <c r="G14" s="62" t="s">
        <v>360</v>
      </c>
      <c r="H14" s="109" t="s">
        <v>449</v>
      </c>
      <c r="I14" s="88"/>
      <c r="J14" s="91"/>
      <c r="N14" s="15" t="s">
        <v>66</v>
      </c>
      <c r="O14" s="15" t="s">
        <v>119</v>
      </c>
      <c r="P14" s="15" t="s">
        <v>111</v>
      </c>
      <c r="U14" s="15"/>
      <c r="V14" s="15"/>
    </row>
    <row r="15" spans="1:22" ht="15.75" x14ac:dyDescent="0.25">
      <c r="A15" s="6" t="s">
        <v>333</v>
      </c>
      <c r="B15" s="109">
        <v>14</v>
      </c>
      <c r="C15" s="91">
        <v>2000</v>
      </c>
      <c r="D15" s="9">
        <v>1</v>
      </c>
      <c r="E15" s="56">
        <v>1</v>
      </c>
      <c r="F15" s="77" t="s">
        <v>969</v>
      </c>
      <c r="G15" s="62" t="s">
        <v>361</v>
      </c>
      <c r="H15" s="109"/>
      <c r="I15" s="88"/>
      <c r="J15" s="91" t="s">
        <v>461</v>
      </c>
      <c r="N15" s="15">
        <v>0</v>
      </c>
      <c r="O15" s="15">
        <f>CharacterSheet!$E$8</f>
        <v>1</v>
      </c>
      <c r="P15" s="15">
        <f>ROUNDUP((CharacterSheet!$E$8)/2,0)</f>
        <v>1</v>
      </c>
      <c r="U15" s="15"/>
      <c r="V15" s="15"/>
    </row>
    <row r="16" spans="1:22" ht="15.75" x14ac:dyDescent="0.25">
      <c r="A16" s="6" t="s">
        <v>334</v>
      </c>
      <c r="B16" s="109">
        <v>15</v>
      </c>
      <c r="C16" s="91">
        <v>2200</v>
      </c>
      <c r="D16" s="9">
        <v>2</v>
      </c>
      <c r="E16" s="56">
        <v>2</v>
      </c>
      <c r="F16" s="77" t="s">
        <v>977</v>
      </c>
      <c r="G16" s="62" t="s">
        <v>362</v>
      </c>
      <c r="H16" s="109" t="s">
        <v>462</v>
      </c>
      <c r="I16" s="88"/>
      <c r="J16" s="91"/>
      <c r="N16" s="15">
        <v>1</v>
      </c>
      <c r="O16" s="15">
        <f>CharacterSheet!$E$8+1</f>
        <v>2</v>
      </c>
      <c r="P16" s="15">
        <f>ROUNDUP((CharacterSheet!$E$8)/2,0)+1</f>
        <v>2</v>
      </c>
      <c r="U16" s="15"/>
      <c r="V16" s="15"/>
    </row>
    <row r="17" spans="1:22" ht="15.75" x14ac:dyDescent="0.25">
      <c r="A17" s="6" t="s">
        <v>335</v>
      </c>
      <c r="B17" s="109">
        <v>16</v>
      </c>
      <c r="C17" s="91">
        <v>2500</v>
      </c>
      <c r="D17" s="9">
        <v>3</v>
      </c>
      <c r="E17" s="56">
        <v>3</v>
      </c>
      <c r="F17" s="77" t="s">
        <v>978</v>
      </c>
      <c r="G17" s="62" t="s">
        <v>363</v>
      </c>
      <c r="H17" s="109" t="s">
        <v>463</v>
      </c>
      <c r="I17" s="88"/>
      <c r="J17" s="91"/>
      <c r="N17" s="15">
        <v>2</v>
      </c>
      <c r="O17" s="15">
        <f>CharacterSheet!$E$8+2</f>
        <v>3</v>
      </c>
      <c r="P17" s="15">
        <f>ROUNDUP((CharacterSheet!$E$8)/2,0)+2</f>
        <v>3</v>
      </c>
      <c r="U17" s="15"/>
      <c r="V17" s="15"/>
    </row>
    <row r="18" spans="1:22" ht="15.75" x14ac:dyDescent="0.25">
      <c r="A18" s="6" t="s">
        <v>336</v>
      </c>
      <c r="B18" s="109">
        <v>17</v>
      </c>
      <c r="C18" s="91">
        <v>3000</v>
      </c>
      <c r="D18" s="9">
        <v>4</v>
      </c>
      <c r="E18" s="56">
        <v>4</v>
      </c>
      <c r="F18" s="77" t="s">
        <v>979</v>
      </c>
      <c r="G18" s="62" t="s">
        <v>364</v>
      </c>
      <c r="H18" s="109" t="s">
        <v>464</v>
      </c>
      <c r="I18" s="88" t="s">
        <v>472</v>
      </c>
      <c r="J18" s="91" t="s">
        <v>477</v>
      </c>
      <c r="N18" s="15">
        <v>3</v>
      </c>
      <c r="O18" s="15">
        <f>CharacterSheet!$E$8+4</f>
        <v>5</v>
      </c>
      <c r="P18" s="15">
        <v>3</v>
      </c>
      <c r="U18" s="15"/>
      <c r="V18" s="15"/>
    </row>
    <row r="19" spans="1:22" ht="15.75" x14ac:dyDescent="0.25">
      <c r="A19" s="6" t="s">
        <v>337</v>
      </c>
      <c r="B19" s="109">
        <v>18</v>
      </c>
      <c r="C19" s="91">
        <v>3500</v>
      </c>
      <c r="D19" s="9">
        <v>5</v>
      </c>
      <c r="E19" s="56">
        <v>5</v>
      </c>
      <c r="F19" s="77" t="s">
        <v>982</v>
      </c>
      <c r="G19" s="62" t="s">
        <v>365</v>
      </c>
      <c r="H19" s="109" t="s">
        <v>465</v>
      </c>
      <c r="I19" s="88" t="s">
        <v>473</v>
      </c>
      <c r="J19" s="91" t="s">
        <v>474</v>
      </c>
      <c r="N19" s="15">
        <v>4</v>
      </c>
      <c r="O19" s="15">
        <f>CharacterSheet!$E$8+7</f>
        <v>8</v>
      </c>
      <c r="P19" s="15">
        <f>ROUNDUP((CharacterSheet!$E$8)/2,0)+4</f>
        <v>5</v>
      </c>
      <c r="U19" s="15"/>
      <c r="V19" s="15"/>
    </row>
    <row r="20" spans="1:22" ht="15.75" x14ac:dyDescent="0.25">
      <c r="A20" s="6" t="s">
        <v>338</v>
      </c>
      <c r="B20" s="109">
        <v>19</v>
      </c>
      <c r="C20" s="91">
        <v>4000</v>
      </c>
      <c r="D20" s="9">
        <v>6</v>
      </c>
      <c r="E20" s="56">
        <v>6</v>
      </c>
      <c r="F20" s="77" t="s">
        <v>419</v>
      </c>
      <c r="G20" s="62" t="s">
        <v>366</v>
      </c>
      <c r="H20" s="109" t="s">
        <v>466</v>
      </c>
      <c r="I20" s="88" t="s">
        <v>473</v>
      </c>
      <c r="J20" s="91" t="s">
        <v>474</v>
      </c>
      <c r="N20" s="15">
        <v>5</v>
      </c>
      <c r="O20" s="15">
        <f>CharacterSheet!$E$8+11</f>
        <v>12</v>
      </c>
      <c r="P20" s="15">
        <f>ROUNDUP((CharacterSheet!$E$8)/2,0)+5</f>
        <v>6</v>
      </c>
      <c r="U20" s="15"/>
      <c r="V20" s="15"/>
    </row>
    <row r="21" spans="1:22" ht="16.5" thickBot="1" x14ac:dyDescent="0.3">
      <c r="A21" s="6" t="s">
        <v>339</v>
      </c>
      <c r="B21" s="108">
        <v>20</v>
      </c>
      <c r="C21" s="98">
        <v>4500</v>
      </c>
      <c r="D21" s="9">
        <v>7</v>
      </c>
      <c r="E21" s="56">
        <v>7</v>
      </c>
      <c r="F21" s="77" t="s">
        <v>420</v>
      </c>
      <c r="G21" s="62" t="s">
        <v>367</v>
      </c>
      <c r="H21" s="109" t="s">
        <v>467</v>
      </c>
      <c r="I21" s="88" t="s">
        <v>473</v>
      </c>
      <c r="J21" s="91" t="s">
        <v>474</v>
      </c>
      <c r="N21" s="15">
        <v>6</v>
      </c>
      <c r="O21" s="15">
        <f>CharacterSheet!$E$8+16</f>
        <v>17</v>
      </c>
      <c r="P21" s="15">
        <f>ROUNDUP((CharacterSheet!$E$8)/2,0)+6</f>
        <v>7</v>
      </c>
      <c r="U21" s="15"/>
      <c r="V21" s="15"/>
    </row>
    <row r="22" spans="1:22" ht="15.75" x14ac:dyDescent="0.25">
      <c r="A22" s="6" t="s">
        <v>340</v>
      </c>
      <c r="B22" s="5" t="s">
        <v>343</v>
      </c>
      <c r="C22" s="5" t="s">
        <v>131</v>
      </c>
      <c r="D22" s="9">
        <v>8</v>
      </c>
      <c r="E22" s="56">
        <v>8</v>
      </c>
      <c r="F22" s="77" t="s">
        <v>421</v>
      </c>
      <c r="G22" s="63" t="s">
        <v>368</v>
      </c>
      <c r="H22" s="109" t="s">
        <v>481</v>
      </c>
      <c r="I22" s="88"/>
      <c r="J22" s="91"/>
      <c r="N22" s="15">
        <v>7</v>
      </c>
      <c r="O22" s="15">
        <f>CharacterSheet!$E$8+22</f>
        <v>23</v>
      </c>
      <c r="P22" s="15">
        <f>ROUNDUP((CharacterSheet!$E$8)/2,0)+7</f>
        <v>8</v>
      </c>
      <c r="U22" s="15"/>
      <c r="V22" s="15"/>
    </row>
    <row r="23" spans="1:22" ht="15.75" x14ac:dyDescent="0.25">
      <c r="A23" s="6" t="s">
        <v>341</v>
      </c>
      <c r="B23" s="6" t="s">
        <v>522</v>
      </c>
      <c r="C23" s="6" t="s">
        <v>348</v>
      </c>
      <c r="D23" s="9">
        <v>9</v>
      </c>
      <c r="E23" s="56">
        <v>9</v>
      </c>
      <c r="F23" s="77" t="s">
        <v>422</v>
      </c>
      <c r="G23" s="62" t="s">
        <v>689</v>
      </c>
      <c r="H23" s="109" t="s">
        <v>482</v>
      </c>
      <c r="I23" s="88" t="s">
        <v>476</v>
      </c>
      <c r="J23" s="91" t="s">
        <v>478</v>
      </c>
      <c r="N23" s="15">
        <v>8</v>
      </c>
      <c r="O23" s="15">
        <f>CharacterSheet!$E$8+29</f>
        <v>30</v>
      </c>
      <c r="P23" s="15">
        <f>ROUNDUP((CharacterSheet!$E$8)/2,0)+8</f>
        <v>9</v>
      </c>
      <c r="U23" s="15"/>
      <c r="V23" s="15"/>
    </row>
    <row r="24" spans="1:22" ht="16.5" thickBot="1" x14ac:dyDescent="0.3">
      <c r="A24" s="11" t="s">
        <v>342</v>
      </c>
      <c r="B24" s="6" t="str">
        <f>IF(Creation!M19="Select","Art",IF(AND(VLOOKUP(Creation!M19,AssociatedRef!K2:AO130,10,FALSE)="Yes",'House Rules'!B10="Potent"),"Art*","Art"))</f>
        <v>Art</v>
      </c>
      <c r="C24" s="6" t="s">
        <v>133</v>
      </c>
      <c r="D24" s="10">
        <v>10</v>
      </c>
      <c r="E24" s="57">
        <v>10</v>
      </c>
      <c r="F24" s="77" t="s">
        <v>423</v>
      </c>
      <c r="G24" s="62" t="s">
        <v>369</v>
      </c>
      <c r="H24" s="109" t="s">
        <v>484</v>
      </c>
      <c r="I24" s="88"/>
      <c r="J24" s="91"/>
      <c r="N24" s="15">
        <v>9</v>
      </c>
      <c r="O24" s="15">
        <f>CharacterSheet!$E$8+37</f>
        <v>38</v>
      </c>
      <c r="P24" s="15">
        <f>ROUNDUP((CharacterSheet!$E$8)/2,0)+9</f>
        <v>10</v>
      </c>
      <c r="U24" s="15"/>
      <c r="V24" s="15"/>
    </row>
    <row r="25" spans="1:22" ht="15.75" x14ac:dyDescent="0.25">
      <c r="A25" s="5" t="s">
        <v>448</v>
      </c>
      <c r="B25" s="6" t="str">
        <f>IF(Creation!$M$19="Select","Control",IF(AND(VLOOKUP(Creation!$M$19,AssociatedRef!$K$2:$AO$130,15,FALSE)="Yes",'House Rules'!$B$10="Potent"),"Control*","Control"))</f>
        <v>Control</v>
      </c>
      <c r="C25" s="6" t="s">
        <v>132</v>
      </c>
      <c r="D25" s="12" t="s">
        <v>59</v>
      </c>
      <c r="E25" s="58" t="s">
        <v>74</v>
      </c>
      <c r="F25" s="77" t="s">
        <v>424</v>
      </c>
      <c r="G25" s="62" t="s">
        <v>370</v>
      </c>
      <c r="H25" s="109" t="s">
        <v>468</v>
      </c>
      <c r="I25" s="88"/>
      <c r="J25" s="91"/>
      <c r="N25" s="15">
        <v>10</v>
      </c>
      <c r="O25" s="15">
        <f>CharacterSheet!$E$8+46</f>
        <v>47</v>
      </c>
      <c r="P25" s="15">
        <f>ROUNDUP((CharacterSheet!$E$8)/2,0)+10</f>
        <v>11</v>
      </c>
      <c r="U25" s="15"/>
      <c r="V25" s="15"/>
    </row>
    <row r="26" spans="1:22" ht="15.75" x14ac:dyDescent="0.25">
      <c r="A26" s="13" t="s">
        <v>446</v>
      </c>
      <c r="B26" s="6" t="str">
        <f>IF(Creation!$M$19="Select","Craft",IF(AND(VLOOKUP(Creation!$M$19,AssociatedRef!$K$2:$AO$130,16,FALSE)="Yes",'House Rules'!B10="Potent"),"Craft*","Craft"))</f>
        <v>Craft</v>
      </c>
      <c r="C26" s="6" t="s">
        <v>5</v>
      </c>
      <c r="D26" s="7" t="s">
        <v>500</v>
      </c>
      <c r="E26" s="59" t="s">
        <v>373</v>
      </c>
      <c r="F26" s="77" t="s">
        <v>425</v>
      </c>
      <c r="G26" s="62" t="s">
        <v>371</v>
      </c>
      <c r="H26" s="109" t="s">
        <v>469</v>
      </c>
      <c r="I26" s="88"/>
      <c r="J26" s="91"/>
      <c r="N26" s="15">
        <v>11</v>
      </c>
      <c r="O26" s="15">
        <f>CharacterSheet!$E$8+46</f>
        <v>47</v>
      </c>
      <c r="P26" s="15">
        <f>ROUNDUP((CharacterSheet!$E$8)/2,0)+10</f>
        <v>11</v>
      </c>
      <c r="U26" s="15"/>
      <c r="V26" s="15"/>
    </row>
    <row r="27" spans="1:22" ht="16.5" thickBot="1" x14ac:dyDescent="0.3">
      <c r="A27" s="13" t="s">
        <v>480</v>
      </c>
      <c r="B27" s="11" t="str">
        <f>IF(Creation!$M$19="Select","Science",IF(AND(VLOOKUP(Creation!$M$19,AssociatedRef!$K$2:$AO$130,28,FALSE)="Yes",'House Rules'!B10="Potent"),"Science*","Science"))</f>
        <v>Science</v>
      </c>
      <c r="C27" s="6" t="s">
        <v>350</v>
      </c>
      <c r="D27" s="7" t="s">
        <v>499</v>
      </c>
      <c r="E27" s="59" t="s">
        <v>134</v>
      </c>
      <c r="F27" s="77" t="s">
        <v>426</v>
      </c>
      <c r="G27" s="63" t="s">
        <v>372</v>
      </c>
      <c r="H27" s="109" t="s">
        <v>470</v>
      </c>
      <c r="I27" s="88" t="s">
        <v>475</v>
      </c>
      <c r="J27" s="91" t="s">
        <v>479</v>
      </c>
      <c r="U27" s="15"/>
      <c r="V27" s="15"/>
    </row>
    <row r="28" spans="1:22" ht="16.5" thickBot="1" x14ac:dyDescent="0.3">
      <c r="A28" s="13" t="s">
        <v>450</v>
      </c>
      <c r="B28" s="25" t="s">
        <v>39</v>
      </c>
      <c r="C28" s="11" t="s">
        <v>349</v>
      </c>
      <c r="D28" s="14" t="s">
        <v>501</v>
      </c>
      <c r="E28" s="59" t="s">
        <v>135</v>
      </c>
      <c r="F28" s="77" t="s">
        <v>427</v>
      </c>
      <c r="G28" s="62" t="str">
        <f>IF(Creation!$M$17="Select","",VLOOKUP(Creation!$M$17,PantheonList!$A$3:$B$15,2,FALSE))</f>
        <v/>
      </c>
      <c r="H28" s="108" t="s">
        <v>471</v>
      </c>
      <c r="I28" s="92" t="s">
        <v>495</v>
      </c>
      <c r="J28" s="98" t="s">
        <v>496</v>
      </c>
      <c r="U28" s="15"/>
      <c r="V28" s="15"/>
    </row>
    <row r="29" spans="1:22" ht="15.75" x14ac:dyDescent="0.25">
      <c r="A29" s="13" t="s">
        <v>451</v>
      </c>
      <c r="B29" s="13" t="s">
        <v>48</v>
      </c>
      <c r="C29" s="5" t="s">
        <v>345</v>
      </c>
      <c r="D29" s="12" t="s">
        <v>62</v>
      </c>
      <c r="E29" s="59" t="s">
        <v>137</v>
      </c>
      <c r="F29" s="77" t="s">
        <v>428</v>
      </c>
      <c r="G29" s="64" t="s">
        <v>438</v>
      </c>
      <c r="H29" s="26"/>
      <c r="U29" s="15"/>
      <c r="V29" s="15"/>
    </row>
    <row r="30" spans="1:22" ht="16.5" thickBot="1" x14ac:dyDescent="0.3">
      <c r="A30" s="13" t="s">
        <v>452</v>
      </c>
      <c r="B30" s="13" t="s">
        <v>815</v>
      </c>
      <c r="C30" s="6" t="s">
        <v>346</v>
      </c>
      <c r="D30" s="8" t="s">
        <v>523</v>
      </c>
      <c r="E30" s="60" t="s">
        <v>136</v>
      </c>
      <c r="F30" s="77" t="s">
        <v>429</v>
      </c>
      <c r="G30" s="65" t="s">
        <v>30</v>
      </c>
      <c r="U30" s="15"/>
      <c r="V30" s="15"/>
    </row>
    <row r="31" spans="1:22" ht="16.5" thickBot="1" x14ac:dyDescent="0.3">
      <c r="A31" s="13" t="s">
        <v>453</v>
      </c>
      <c r="B31" s="34" t="s">
        <v>54</v>
      </c>
      <c r="C31" s="45" t="s">
        <v>347</v>
      </c>
      <c r="D31" s="1251" t="s">
        <v>1723</v>
      </c>
      <c r="E31" s="1253"/>
      <c r="F31" s="77" t="s">
        <v>430</v>
      </c>
      <c r="G31" s="65" t="s">
        <v>13</v>
      </c>
      <c r="I31" s="230"/>
      <c r="U31" s="15"/>
      <c r="V31" s="15"/>
    </row>
    <row r="32" spans="1:22" ht="15.75" x14ac:dyDescent="0.25">
      <c r="A32" s="43" t="s">
        <v>454</v>
      </c>
      <c r="B32" s="1251" t="s">
        <v>1722</v>
      </c>
      <c r="C32" s="1252"/>
      <c r="D32" s="55" t="s">
        <v>36</v>
      </c>
      <c r="E32" s="101">
        <f>CharacterSheet!E52+CharacterSheet!E52</f>
        <v>0</v>
      </c>
      <c r="F32" s="77" t="s">
        <v>431</v>
      </c>
      <c r="G32" s="65" t="s">
        <v>14</v>
      </c>
      <c r="I32" s="230"/>
      <c r="U32" s="15"/>
      <c r="V32" s="15"/>
    </row>
    <row r="33" spans="1:22" ht="15.75" x14ac:dyDescent="0.25">
      <c r="A33" s="43" t="s">
        <v>455</v>
      </c>
      <c r="B33" s="39" t="s">
        <v>18</v>
      </c>
      <c r="C33" s="99">
        <f>CharacterSheet!M8</f>
        <v>1</v>
      </c>
      <c r="D33" s="55" t="s">
        <v>55</v>
      </c>
      <c r="E33" s="101">
        <f>K47</f>
        <v>0</v>
      </c>
      <c r="F33" s="77" t="s">
        <v>432</v>
      </c>
      <c r="G33" s="65" t="s">
        <v>16</v>
      </c>
      <c r="I33" s="230"/>
      <c r="U33" s="15"/>
      <c r="V33" s="15"/>
    </row>
    <row r="34" spans="1:22" ht="15.75" x14ac:dyDescent="0.25">
      <c r="A34" s="43" t="s">
        <v>456</v>
      </c>
      <c r="B34" s="39" t="s">
        <v>16</v>
      </c>
      <c r="C34" s="99">
        <f>CharacterSheet!M6</f>
        <v>1</v>
      </c>
      <c r="D34" s="55" t="s">
        <v>38</v>
      </c>
      <c r="E34" s="101">
        <f>IF(CharacterSheet!G54="",CharacterSheet!E54,CharacterSheet!E54+CharacterSheet!G54)</f>
        <v>0</v>
      </c>
      <c r="F34" s="77" t="s">
        <v>433</v>
      </c>
      <c r="G34" s="65" t="s">
        <v>17</v>
      </c>
      <c r="H34" s="2"/>
      <c r="I34" s="230"/>
      <c r="U34" s="15"/>
      <c r="V34" s="15"/>
    </row>
    <row r="35" spans="1:22" ht="16.5" thickBot="1" x14ac:dyDescent="0.3">
      <c r="A35" s="43" t="s">
        <v>457</v>
      </c>
      <c r="B35" s="39" t="s">
        <v>167</v>
      </c>
      <c r="C35" s="99">
        <f>O49</f>
        <v>0</v>
      </c>
      <c r="D35" s="55" t="s">
        <v>39</v>
      </c>
      <c r="E35" s="101">
        <f>IF(CharacterSheet!G55="",CharacterSheet!E55,CharacterSheet!E55+CharacterSheet!G55)</f>
        <v>0</v>
      </c>
      <c r="F35" s="77" t="s">
        <v>434</v>
      </c>
      <c r="G35" s="65" t="s">
        <v>18</v>
      </c>
      <c r="I35" s="230"/>
      <c r="U35" s="15"/>
      <c r="V35" s="15"/>
    </row>
    <row r="36" spans="1:22" ht="15.75" x14ac:dyDescent="0.25">
      <c r="A36" s="43" t="s">
        <v>483</v>
      </c>
      <c r="B36" s="39" t="s">
        <v>13</v>
      </c>
      <c r="C36" s="99">
        <f>CharacterSheet!E7</f>
        <v>1</v>
      </c>
      <c r="D36" s="55" t="s">
        <v>175</v>
      </c>
      <c r="E36" s="101">
        <f>IF(CharacterSheet!Y9="Cheval",LOOKUP(CharacterSheet!AC9,Reference!J51:J70,Reference!K51:K70),0)</f>
        <v>0</v>
      </c>
      <c r="F36" s="77" t="s">
        <v>435</v>
      </c>
      <c r="G36" s="65" t="s">
        <v>19</v>
      </c>
      <c r="I36" s="230"/>
      <c r="J36" s="93"/>
      <c r="K36" s="94" t="s">
        <v>55</v>
      </c>
      <c r="L36" s="94" t="s">
        <v>56</v>
      </c>
      <c r="M36" s="94" t="s">
        <v>57</v>
      </c>
      <c r="N36" s="95" t="s">
        <v>58</v>
      </c>
      <c r="O36" s="102"/>
      <c r="U36" s="15"/>
      <c r="V36" s="15"/>
    </row>
    <row r="37" spans="1:22" ht="15.75" x14ac:dyDescent="0.25">
      <c r="A37" s="43" t="s">
        <v>458</v>
      </c>
      <c r="B37" s="39" t="s">
        <v>20</v>
      </c>
      <c r="C37" s="99">
        <f>CharacterSheet!U7</f>
        <v>1</v>
      </c>
      <c r="D37" s="55" t="s">
        <v>40</v>
      </c>
      <c r="E37" s="101">
        <f>IF(CharacterSheet!G56="",CharacterSheet!E56,CharacterSheet!E56+CharacterSheet!G56)</f>
        <v>0</v>
      </c>
      <c r="F37" s="77" t="s">
        <v>436</v>
      </c>
      <c r="G37" s="65" t="s">
        <v>20</v>
      </c>
      <c r="I37" s="230"/>
      <c r="J37" s="81" t="s">
        <v>1724</v>
      </c>
      <c r="K37" s="82">
        <f>IF(CharacterSheet!Q51="art",CharacterSheet!U51+CharacterSheet!W51,0)</f>
        <v>0</v>
      </c>
      <c r="L37" s="82">
        <f>IF(CharacterSheet!Q51="Control",CharacterSheet!U51+CharacterSheet!W51,0)</f>
        <v>0</v>
      </c>
      <c r="M37" s="82">
        <f>IF(CharacterSheet!Q51="Craft",CharacterSheet!U51+CharacterSheet!W51,0)</f>
        <v>0</v>
      </c>
      <c r="N37" s="99">
        <f>IF(CharacterSheet!Q51="Science",CharacterSheet!U51+CharacterSheet!W51,0)</f>
        <v>0</v>
      </c>
      <c r="O37" s="102"/>
      <c r="U37" s="15"/>
      <c r="V37" s="15"/>
    </row>
    <row r="38" spans="1:22" ht="16.5" thickBot="1" x14ac:dyDescent="0.3">
      <c r="A38" s="43" t="s">
        <v>459</v>
      </c>
      <c r="B38" s="39" t="s">
        <v>60</v>
      </c>
      <c r="C38" s="99">
        <v>0</v>
      </c>
      <c r="D38" s="55" t="s">
        <v>56</v>
      </c>
      <c r="E38" s="101">
        <f>L47</f>
        <v>0</v>
      </c>
      <c r="F38" s="77" t="s">
        <v>946</v>
      </c>
      <c r="G38" s="66" t="s">
        <v>21</v>
      </c>
      <c r="I38" s="230"/>
      <c r="J38" s="81" t="s">
        <v>1725</v>
      </c>
      <c r="K38" s="82">
        <f>IF(CharacterSheet!Q52="art",CharacterSheet!U52+CharacterSheet!W52,0)</f>
        <v>0</v>
      </c>
      <c r="L38" s="82">
        <f>IF(CharacterSheet!Q52="Control",CharacterSheet!U52+CharacterSheet!W52,0)</f>
        <v>0</v>
      </c>
      <c r="M38" s="82">
        <f>IF(CharacterSheet!Q52="Craft",CharacterSheet!U52+CharacterSheet!W52,0)</f>
        <v>0</v>
      </c>
      <c r="N38" s="99">
        <f>IF(CharacterSheet!Q52="Science",CharacterSheet!U52+CharacterSheet!W52,0)</f>
        <v>0</v>
      </c>
      <c r="O38" s="102"/>
      <c r="U38" s="15"/>
      <c r="V38" s="15"/>
    </row>
    <row r="39" spans="1:22" ht="15.75" x14ac:dyDescent="0.25">
      <c r="A39" s="43" t="s">
        <v>460</v>
      </c>
      <c r="B39" s="39" t="s">
        <v>17</v>
      </c>
      <c r="C39" s="99">
        <f>CharacterSheet!M7</f>
        <v>1</v>
      </c>
      <c r="D39" s="55" t="s">
        <v>57</v>
      </c>
      <c r="E39" s="101">
        <f>M47</f>
        <v>0</v>
      </c>
      <c r="F39" s="77" t="s">
        <v>387</v>
      </c>
      <c r="G39" s="67" t="s">
        <v>31</v>
      </c>
      <c r="I39" s="230"/>
      <c r="J39" s="81" t="s">
        <v>1726</v>
      </c>
      <c r="K39" s="82">
        <f>IF(CharacterSheet!Q53="art",CharacterSheet!U53+CharacterSheet!W53,0)</f>
        <v>0</v>
      </c>
      <c r="L39" s="82">
        <f>IF(CharacterSheet!Q53="Control",CharacterSheet!U53+CharacterSheet!W53,0)</f>
        <v>0</v>
      </c>
      <c r="M39" s="82">
        <f>IF(CharacterSheet!Q53="Craft",CharacterSheet!U53+CharacterSheet!W53,0)</f>
        <v>0</v>
      </c>
      <c r="N39" s="99">
        <f>IF(CharacterSheet!Q53="Science",CharacterSheet!U53+CharacterSheet!W53,0)</f>
        <v>0</v>
      </c>
      <c r="O39" s="102"/>
    </row>
    <row r="40" spans="1:22" ht="15.75" thickBot="1" x14ac:dyDescent="0.3">
      <c r="A40" s="35" t="s">
        <v>447</v>
      </c>
      <c r="B40" s="39" t="s">
        <v>494</v>
      </c>
      <c r="C40" s="99" t="s">
        <v>494</v>
      </c>
      <c r="D40" s="55" t="s">
        <v>41</v>
      </c>
      <c r="E40" s="101">
        <f>IF(CharacterSheet!G57="",CharacterSheet!E57,CharacterSheet!E57+CharacterSheet!G57)</f>
        <v>0</v>
      </c>
      <c r="F40" s="77" t="s">
        <v>388</v>
      </c>
      <c r="G40" s="68" t="s">
        <v>167</v>
      </c>
      <c r="I40" s="233"/>
      <c r="J40" s="81" t="s">
        <v>1727</v>
      </c>
      <c r="K40" s="82">
        <f>IF(CharacterSheet!Q54="art",CharacterSheet!U54+CharacterSheet!W54,0)</f>
        <v>0</v>
      </c>
      <c r="L40" s="82">
        <f>IF(CharacterSheet!Q54="Control",CharacterSheet!U54+CharacterSheet!W54,0)</f>
        <v>0</v>
      </c>
      <c r="M40" s="82">
        <f>IF(CharacterSheet!Q54="Craft",CharacterSheet!U54+CharacterSheet!W54,0)</f>
        <v>0</v>
      </c>
      <c r="N40" s="99">
        <f>IF(CharacterSheet!Q54="Science",CharacterSheet!U54+CharacterSheet!W54,0)</f>
        <v>0</v>
      </c>
      <c r="O40" s="102"/>
    </row>
    <row r="41" spans="1:22" x14ac:dyDescent="0.25">
      <c r="A41" s="44" t="s">
        <v>189</v>
      </c>
      <c r="B41" s="39" t="s">
        <v>19</v>
      </c>
      <c r="C41" s="99">
        <f>CharacterSheet!U6</f>
        <v>1</v>
      </c>
      <c r="D41" s="55" t="s">
        <v>42</v>
      </c>
      <c r="E41" s="101">
        <f>IF(CharacterSheet!G58="",CharacterSheet!E58,CharacterSheet!E58+CharacterSheet!G58)</f>
        <v>0</v>
      </c>
      <c r="F41" s="77" t="s">
        <v>389</v>
      </c>
      <c r="G41" s="68" t="s">
        <v>156</v>
      </c>
      <c r="I41" s="236"/>
      <c r="J41" s="81" t="s">
        <v>1728</v>
      </c>
      <c r="K41" s="82">
        <f>IF(CharacterSheet!Q55="art",CharacterSheet!U55+CharacterSheet!W55,0)</f>
        <v>0</v>
      </c>
      <c r="L41" s="82">
        <f>IF(CharacterSheet!Q55="Control",CharacterSheet!U55+CharacterSheet!W55,0)</f>
        <v>0</v>
      </c>
      <c r="M41" s="82">
        <f>IF(CharacterSheet!Q55="Craft",CharacterSheet!U55+CharacterSheet!W55,0)</f>
        <v>0</v>
      </c>
      <c r="N41" s="99">
        <f>IF(CharacterSheet!Q55="Science",CharacterSheet!U55+CharacterSheet!W55,0)</f>
        <v>0</v>
      </c>
      <c r="O41" s="102"/>
    </row>
    <row r="42" spans="1:22" x14ac:dyDescent="0.25">
      <c r="A42" s="43" t="s">
        <v>190</v>
      </c>
      <c r="B42" s="39" t="s">
        <v>14</v>
      </c>
      <c r="C42" s="99">
        <f>CharacterSheet!E8</f>
        <v>1</v>
      </c>
      <c r="D42" s="55" t="s">
        <v>43</v>
      </c>
      <c r="E42" s="101">
        <f>IF(CharacterSheet!G59="",CharacterSheet!E59,CharacterSheet!E59+CharacterSheet!G59)</f>
        <v>0</v>
      </c>
      <c r="F42" s="77" t="s">
        <v>390</v>
      </c>
      <c r="G42" s="68" t="s">
        <v>162</v>
      </c>
      <c r="I42" s="230"/>
      <c r="J42" s="81" t="s">
        <v>1729</v>
      </c>
      <c r="K42" s="82">
        <f>IF(CharacterSheet!Q56="art",CharacterSheet!U56+CharacterSheet!W56,0)</f>
        <v>0</v>
      </c>
      <c r="L42" s="82">
        <f>IF(CharacterSheet!Q56="Control",CharacterSheet!U56+CharacterSheet!W56,0)</f>
        <v>0</v>
      </c>
      <c r="M42" s="82">
        <f>IF(CharacterSheet!Q56="Craft",CharacterSheet!U56+CharacterSheet!W56,0)</f>
        <v>0</v>
      </c>
      <c r="N42" s="99">
        <f>IF(CharacterSheet!Q56="Science",CharacterSheet!U56+CharacterSheet!W56,0)</f>
        <v>0</v>
      </c>
      <c r="O42" s="102"/>
    </row>
    <row r="43" spans="1:22" x14ac:dyDescent="0.25">
      <c r="A43" s="43" t="s">
        <v>191</v>
      </c>
      <c r="B43" s="39" t="s">
        <v>30</v>
      </c>
      <c r="C43" s="99">
        <f>CharacterSheet!E6</f>
        <v>1</v>
      </c>
      <c r="D43" s="55" t="s">
        <v>45</v>
      </c>
      <c r="E43" s="89">
        <f>IF(CharacterSheet!O51="",CharacterSheet!M51,CharacterSheet!M51+CharacterSheet!O51)</f>
        <v>0</v>
      </c>
      <c r="F43" s="77" t="s">
        <v>1038</v>
      </c>
      <c r="G43" s="68" t="s">
        <v>157</v>
      </c>
      <c r="I43" s="230"/>
      <c r="J43" s="81" t="s">
        <v>1730</v>
      </c>
      <c r="K43" s="82">
        <f>IF(CharacterSheet!Q57="art",CharacterSheet!U57+CharacterSheet!W57,0)</f>
        <v>0</v>
      </c>
      <c r="L43" s="82">
        <f>IF(CharacterSheet!Q57="Control",CharacterSheet!U57+CharacterSheet!W57,0)</f>
        <v>0</v>
      </c>
      <c r="M43" s="82">
        <f>IF(CharacterSheet!Q57="Craft",CharacterSheet!U57+CharacterSheet!W57,0)</f>
        <v>0</v>
      </c>
      <c r="N43" s="99">
        <f>IF(CharacterSheet!Q57="Science",CharacterSheet!U57+CharacterSheet!W57,0)</f>
        <v>0</v>
      </c>
      <c r="O43" s="102"/>
    </row>
    <row r="44" spans="1:22" x14ac:dyDescent="0.25">
      <c r="A44" s="43" t="s">
        <v>192</v>
      </c>
      <c r="B44" s="39" t="s">
        <v>1063</v>
      </c>
      <c r="C44" s="99" t="s">
        <v>819</v>
      </c>
      <c r="D44" s="55" t="s">
        <v>60</v>
      </c>
      <c r="E44" s="89">
        <v>0</v>
      </c>
      <c r="F44" s="77" t="s">
        <v>106</v>
      </c>
      <c r="G44" s="68" t="s">
        <v>158</v>
      </c>
      <c r="I44" s="230"/>
      <c r="J44" s="81" t="s">
        <v>1731</v>
      </c>
      <c r="K44" s="82">
        <f>IF(CharacterSheet!Q58="art",CharacterSheet!U58+CharacterSheet!W58,0)</f>
        <v>0</v>
      </c>
      <c r="L44" s="82">
        <f>IF(CharacterSheet!Q58="Control",CharacterSheet!U58+CharacterSheet!W58,0)</f>
        <v>0</v>
      </c>
      <c r="M44" s="82">
        <f>IF(CharacterSheet!Q58="Craft",CharacterSheet!U58+CharacterSheet!W58,0)</f>
        <v>0</v>
      </c>
      <c r="N44" s="99">
        <f>IF(CharacterSheet!Q58="Science",CharacterSheet!U58+CharacterSheet!W58,0)</f>
        <v>0</v>
      </c>
      <c r="O44" s="102"/>
    </row>
    <row r="45" spans="1:22" x14ac:dyDescent="0.25">
      <c r="A45" s="43" t="s">
        <v>193</v>
      </c>
      <c r="B45" s="39" t="s">
        <v>83</v>
      </c>
      <c r="C45" s="99">
        <f>CharacterSheet!V31</f>
        <v>2</v>
      </c>
      <c r="D45" s="55" t="s">
        <v>46</v>
      </c>
      <c r="E45" s="89">
        <f>IF(CharacterSheet!O52="",CharacterSheet!M52,CharacterSheet!M52+CharacterSheet!O52)</f>
        <v>0</v>
      </c>
      <c r="F45" s="77" t="s">
        <v>391</v>
      </c>
      <c r="G45" s="68" t="s">
        <v>169</v>
      </c>
      <c r="I45" s="230"/>
      <c r="J45" s="81" t="s">
        <v>1732</v>
      </c>
      <c r="K45" s="82">
        <f>IF(CharacterSheet!Q59="art",CharacterSheet!U59+CharacterSheet!W59,0)</f>
        <v>0</v>
      </c>
      <c r="L45" s="82">
        <f>IF(CharacterSheet!Q59="Control",CharacterSheet!U59+CharacterSheet!W59,0)</f>
        <v>0</v>
      </c>
      <c r="M45" s="82">
        <f>IF(CharacterSheet!Q59="Craft",CharacterSheet!U59+CharacterSheet!W59,0)</f>
        <v>0</v>
      </c>
      <c r="N45" s="99">
        <f>IF(CharacterSheet!Q59="Science",CharacterSheet!U59+CharacterSheet!W59,0)</f>
        <v>0</v>
      </c>
      <c r="O45" s="102"/>
    </row>
    <row r="46" spans="1:22" ht="15.75" thickBot="1" x14ac:dyDescent="0.3">
      <c r="A46" s="43" t="s">
        <v>194</v>
      </c>
      <c r="B46" s="129" t="s">
        <v>21</v>
      </c>
      <c r="C46" s="105">
        <f>CharacterSheet!U8</f>
        <v>1</v>
      </c>
      <c r="D46" s="55" t="s">
        <v>47</v>
      </c>
      <c r="E46" s="153">
        <f>IF(CharacterSheet!O53="",CharacterSheet!M53,CharacterSheet!M53+CharacterSheet!O53)</f>
        <v>0</v>
      </c>
      <c r="F46" s="77" t="s">
        <v>101</v>
      </c>
      <c r="G46" s="68" t="s">
        <v>163</v>
      </c>
      <c r="I46" s="230"/>
      <c r="J46" s="81" t="s">
        <v>1733</v>
      </c>
      <c r="K46" s="82">
        <f>IF(CharacterSheet!Q60="art",CharacterSheet!U60+CharacterSheet!W60,0)</f>
        <v>0</v>
      </c>
      <c r="L46" s="82">
        <f>IF(CharacterSheet!Q60="Control",CharacterSheet!U60+CharacterSheet!W60,0)</f>
        <v>0</v>
      </c>
      <c r="M46" s="82">
        <f>IF(CharacterSheet!Q60="Craft",CharacterSheet!U60+CharacterSheet!W60,0)</f>
        <v>0</v>
      </c>
      <c r="N46" s="99">
        <f>IF(CharacterSheet!Q60="Science",CharacterSheet!U60+CharacterSheet!W60,0)</f>
        <v>0</v>
      </c>
      <c r="O46" s="102"/>
    </row>
    <row r="47" spans="1:22" ht="15.75" thickBot="1" x14ac:dyDescent="0.3">
      <c r="A47" s="43" t="s">
        <v>196</v>
      </c>
      <c r="B47" s="130" t="s">
        <v>1740</v>
      </c>
      <c r="C47" s="124" t="s">
        <v>1130</v>
      </c>
      <c r="D47" s="55" t="s">
        <v>494</v>
      </c>
      <c r="E47" s="89" t="s">
        <v>494</v>
      </c>
      <c r="F47" s="77" t="s">
        <v>392</v>
      </c>
      <c r="G47" s="68" t="s">
        <v>159</v>
      </c>
      <c r="I47" s="230"/>
      <c r="J47" s="17" t="s">
        <v>1734</v>
      </c>
      <c r="K47" s="87">
        <f>LARGE(K37:K46,1)</f>
        <v>0</v>
      </c>
      <c r="L47" s="87">
        <f t="shared" ref="L47:N47" si="1">LARGE(L37:L46,1)</f>
        <v>0</v>
      </c>
      <c r="M47" s="87">
        <f t="shared" si="1"/>
        <v>0</v>
      </c>
      <c r="N47" s="105">
        <f t="shared" si="1"/>
        <v>0</v>
      </c>
      <c r="O47" s="102"/>
    </row>
    <row r="48" spans="1:22" x14ac:dyDescent="0.25">
      <c r="A48" s="43" t="s">
        <v>197</v>
      </c>
      <c r="B48" s="131" t="s">
        <v>760</v>
      </c>
      <c r="C48" s="125" t="s">
        <v>1411</v>
      </c>
      <c r="D48" s="55" t="s">
        <v>49</v>
      </c>
      <c r="E48" s="153">
        <f>IF(CharacterSheet!O55="",CharacterSheet!M55,CharacterSheet!M55+CharacterSheet!O55)</f>
        <v>0</v>
      </c>
      <c r="F48" s="77" t="s">
        <v>393</v>
      </c>
      <c r="G48" s="68" t="s">
        <v>171</v>
      </c>
      <c r="I48" s="230"/>
      <c r="J48" s="93"/>
      <c r="K48" s="94">
        <v>1</v>
      </c>
      <c r="L48" s="94">
        <v>2</v>
      </c>
      <c r="M48" s="94">
        <v>3</v>
      </c>
      <c r="N48" s="94">
        <v>4</v>
      </c>
      <c r="O48" s="95" t="s">
        <v>1735</v>
      </c>
    </row>
    <row r="49" spans="1:20" ht="15.75" thickBot="1" x14ac:dyDescent="0.3">
      <c r="A49" s="43" t="str">
        <f>IF('House Rules'!B4="Available","Njord","")</f>
        <v>Njord</v>
      </c>
      <c r="B49" s="131" t="s">
        <v>702</v>
      </c>
      <c r="C49" s="125" t="s">
        <v>1510</v>
      </c>
      <c r="D49" s="55" t="s">
        <v>50</v>
      </c>
      <c r="E49" s="153">
        <f>IF(CharacterSheet!O56="",CharacterSheet!M56,CharacterSheet!M56+CharacterSheet!O56)</f>
        <v>0</v>
      </c>
      <c r="F49" s="77" t="s">
        <v>394</v>
      </c>
      <c r="G49" s="68" t="s">
        <v>176</v>
      </c>
      <c r="I49" s="230"/>
      <c r="J49" s="83" t="s">
        <v>167</v>
      </c>
      <c r="K49" s="84">
        <f>IF(CharacterSheet!G40="Conviction",CharacterSheet!L40,0)</f>
        <v>0</v>
      </c>
      <c r="L49" s="84">
        <f>IF(CharacterSheet!G41="Conviction",CharacterSheet!L41,0)</f>
        <v>0</v>
      </c>
      <c r="M49" s="84">
        <f>IF(CharacterSheet!M40="Conviction",CharacterSheet!R40,0)</f>
        <v>0</v>
      </c>
      <c r="N49" s="84">
        <f>IF(CharacterSheet!M41="Conviction",CharacterSheet!R41,0)</f>
        <v>0</v>
      </c>
      <c r="O49" s="96">
        <f>LARGE(K49:N49,1)</f>
        <v>0</v>
      </c>
    </row>
    <row r="50" spans="1:20" ht="15.75" thickBot="1" x14ac:dyDescent="0.3">
      <c r="A50" s="43" t="s">
        <v>199</v>
      </c>
      <c r="B50" s="131" t="s">
        <v>720</v>
      </c>
      <c r="C50" s="125" t="s">
        <v>1131</v>
      </c>
      <c r="D50" s="55" t="s">
        <v>51</v>
      </c>
      <c r="E50" s="153">
        <f>IF(CharacterSheet!O57="",CharacterSheet!M57,CharacterSheet!M57+CharacterSheet!O57)</f>
        <v>0</v>
      </c>
      <c r="F50" s="77" t="s">
        <v>395</v>
      </c>
      <c r="G50" s="68" t="s">
        <v>164</v>
      </c>
      <c r="I50" s="233"/>
    </row>
    <row r="51" spans="1:20" x14ac:dyDescent="0.25">
      <c r="A51" s="43" t="s">
        <v>200</v>
      </c>
      <c r="B51" s="131" t="s">
        <v>721</v>
      </c>
      <c r="C51" s="125" t="s">
        <v>1511</v>
      </c>
      <c r="D51" s="55" t="s">
        <v>58</v>
      </c>
      <c r="E51" s="89">
        <f>N47</f>
        <v>0</v>
      </c>
      <c r="F51" s="77" t="s">
        <v>396</v>
      </c>
      <c r="G51" s="46" t="s">
        <v>173</v>
      </c>
      <c r="J51" s="48" t="s">
        <v>1117</v>
      </c>
      <c r="K51" s="49">
        <v>3</v>
      </c>
      <c r="Q51" s="41"/>
      <c r="T51" s="41"/>
    </row>
    <row r="52" spans="1:20" x14ac:dyDescent="0.25">
      <c r="A52" s="43" t="s">
        <v>201</v>
      </c>
      <c r="B52" s="132" t="s">
        <v>1741</v>
      </c>
      <c r="C52" s="125" t="s">
        <v>1132</v>
      </c>
      <c r="D52" s="55" t="s">
        <v>52</v>
      </c>
      <c r="E52" s="153">
        <f>IF(CharacterSheet!O58="",CharacterSheet!M58,CharacterSheet!M58+CharacterSheet!O58)</f>
        <v>0</v>
      </c>
      <c r="F52" s="77" t="s">
        <v>397</v>
      </c>
      <c r="G52" s="77" t="s">
        <v>988</v>
      </c>
      <c r="J52" s="36" t="s">
        <v>1213</v>
      </c>
      <c r="K52" s="50">
        <v>6</v>
      </c>
      <c r="Q52" s="41"/>
      <c r="T52" s="41"/>
    </row>
    <row r="53" spans="1:20" x14ac:dyDescent="0.25">
      <c r="A53" s="43" t="s">
        <v>202</v>
      </c>
      <c r="B53" s="131" t="s">
        <v>725</v>
      </c>
      <c r="C53" s="125" t="s">
        <v>1133</v>
      </c>
      <c r="D53" s="55" t="s">
        <v>53</v>
      </c>
      <c r="E53" s="153">
        <f>IF(CharacterSheet!O59="",CharacterSheet!M59,CharacterSheet!M59+CharacterSheet!O59)</f>
        <v>0</v>
      </c>
      <c r="F53" s="77" t="s">
        <v>398</v>
      </c>
      <c r="G53" s="77" t="s">
        <v>993</v>
      </c>
      <c r="J53" s="36" t="s">
        <v>1309</v>
      </c>
      <c r="K53" s="50">
        <v>8</v>
      </c>
      <c r="Q53" s="41"/>
      <c r="T53" s="41"/>
    </row>
    <row r="54" spans="1:20" x14ac:dyDescent="0.25">
      <c r="A54" s="43" t="str">
        <f>IF('House Rules'!B4="Available","Vidar","")</f>
        <v>Vidar</v>
      </c>
      <c r="B54" s="131" t="s">
        <v>726</v>
      </c>
      <c r="C54" s="125" t="s">
        <v>1512</v>
      </c>
      <c r="D54" s="55" t="s">
        <v>1721</v>
      </c>
      <c r="E54" s="89">
        <f>IF(CharacterSheet!Y9="TsukumoGami",LOOKUP(CharacterSheet!AC9,Reference!J51:J70,K51:K70),0)</f>
        <v>0</v>
      </c>
      <c r="F54" s="77" t="s">
        <v>399</v>
      </c>
      <c r="G54" s="77" t="s">
        <v>989</v>
      </c>
      <c r="J54" s="36" t="s">
        <v>1211</v>
      </c>
      <c r="K54" s="50">
        <v>4</v>
      </c>
      <c r="Q54" s="41"/>
      <c r="T54" s="41"/>
    </row>
    <row r="55" spans="1:20" ht="15.75" thickBot="1" x14ac:dyDescent="0.3">
      <c r="A55" s="47" t="s">
        <v>204</v>
      </c>
      <c r="B55" s="131" t="s">
        <v>728</v>
      </c>
      <c r="C55" s="125" t="s">
        <v>1412</v>
      </c>
      <c r="D55" s="69" t="s">
        <v>1063</v>
      </c>
      <c r="E55" s="106" t="s">
        <v>819</v>
      </c>
      <c r="F55" s="77" t="s">
        <v>400</v>
      </c>
      <c r="G55" s="77" t="s">
        <v>1042</v>
      </c>
      <c r="J55" s="36" t="s">
        <v>1116</v>
      </c>
      <c r="K55" s="50">
        <v>2</v>
      </c>
      <c r="Q55" s="41"/>
      <c r="T55" s="41"/>
    </row>
    <row r="56" spans="1:20" x14ac:dyDescent="0.25">
      <c r="A56" s="43" t="s">
        <v>205</v>
      </c>
      <c r="B56" s="132" t="s">
        <v>1742</v>
      </c>
      <c r="C56" s="126" t="s">
        <v>1134</v>
      </c>
      <c r="D56" s="76" t="s">
        <v>1064</v>
      </c>
      <c r="E56" s="75" t="s">
        <v>1112</v>
      </c>
      <c r="F56" s="77" t="s">
        <v>401</v>
      </c>
      <c r="G56" s="77" t="s">
        <v>994</v>
      </c>
      <c r="J56" s="36" t="s">
        <v>1115</v>
      </c>
      <c r="K56" s="50">
        <v>1</v>
      </c>
      <c r="Q56" s="41"/>
      <c r="T56" s="41"/>
    </row>
    <row r="57" spans="1:20" x14ac:dyDescent="0.25">
      <c r="A57" s="43" t="str">
        <f>IF('House Rules'!B4="Available","Hachiman","")</f>
        <v>Hachiman</v>
      </c>
      <c r="B57" s="131" t="s">
        <v>739</v>
      </c>
      <c r="C57" s="127" t="s">
        <v>1513</v>
      </c>
      <c r="D57" s="70" t="s">
        <v>1065</v>
      </c>
      <c r="E57" s="71" t="s">
        <v>1113</v>
      </c>
      <c r="F57" s="77" t="s">
        <v>1016</v>
      </c>
      <c r="G57" s="77" t="s">
        <v>998</v>
      </c>
      <c r="J57" s="36" t="s">
        <v>1214</v>
      </c>
      <c r="K57" s="50">
        <v>7</v>
      </c>
      <c r="Q57" s="41"/>
      <c r="T57" s="41"/>
    </row>
    <row r="58" spans="1:20" x14ac:dyDescent="0.25">
      <c r="A58" s="43" t="s">
        <v>207</v>
      </c>
      <c r="B58" s="131" t="s">
        <v>731</v>
      </c>
      <c r="C58" s="127" t="s">
        <v>1136</v>
      </c>
      <c r="D58" s="70" t="s">
        <v>1066</v>
      </c>
      <c r="E58" s="71" t="s">
        <v>1114</v>
      </c>
      <c r="F58" s="77" t="s">
        <v>1011</v>
      </c>
      <c r="G58" s="77" t="s">
        <v>995</v>
      </c>
      <c r="J58" s="36" t="s">
        <v>1230</v>
      </c>
      <c r="K58" s="50">
        <v>7</v>
      </c>
      <c r="Q58" s="41"/>
      <c r="T58" s="41"/>
    </row>
    <row r="59" spans="1:20" x14ac:dyDescent="0.25">
      <c r="A59" s="43" t="s">
        <v>208</v>
      </c>
      <c r="B59" s="131" t="s">
        <v>786</v>
      </c>
      <c r="C59" s="127" t="s">
        <v>1135</v>
      </c>
      <c r="D59" s="70" t="s">
        <v>1379</v>
      </c>
      <c r="E59" s="71" t="s">
        <v>1207</v>
      </c>
      <c r="F59" s="77" t="s">
        <v>1006</v>
      </c>
      <c r="G59" s="77" t="s">
        <v>983</v>
      </c>
      <c r="J59" s="36" t="s">
        <v>1229</v>
      </c>
      <c r="K59" s="50">
        <v>6</v>
      </c>
      <c r="Q59" s="41"/>
      <c r="T59" s="41"/>
    </row>
    <row r="60" spans="1:20" x14ac:dyDescent="0.25">
      <c r="A60" s="43" t="str">
        <f>IF('House Rules'!B4="Available","Marishiten","")</f>
        <v>Marishiten</v>
      </c>
      <c r="B60" s="131" t="s">
        <v>733</v>
      </c>
      <c r="C60" s="127" t="s">
        <v>1413</v>
      </c>
      <c r="D60" s="70" t="s">
        <v>1143</v>
      </c>
      <c r="E60" s="71" t="s">
        <v>1208</v>
      </c>
      <c r="F60" s="77" t="s">
        <v>1017</v>
      </c>
      <c r="G60" s="77" t="s">
        <v>984</v>
      </c>
      <c r="J60" s="36" t="s">
        <v>1322</v>
      </c>
      <c r="K60" s="50">
        <v>9</v>
      </c>
      <c r="Q60" s="41"/>
      <c r="T60" s="41"/>
    </row>
    <row r="61" spans="1:20" x14ac:dyDescent="0.25">
      <c r="A61" s="43" t="s">
        <v>210</v>
      </c>
      <c r="B61" s="131" t="s">
        <v>735</v>
      </c>
      <c r="C61" s="127" t="s">
        <v>1414</v>
      </c>
      <c r="D61" s="70" t="s">
        <v>1144</v>
      </c>
      <c r="E61" s="71" t="s">
        <v>1209</v>
      </c>
      <c r="F61" s="77" t="s">
        <v>1001</v>
      </c>
      <c r="G61" s="77" t="s">
        <v>996</v>
      </c>
      <c r="J61" s="36" t="s">
        <v>1129</v>
      </c>
      <c r="K61" s="50">
        <v>3</v>
      </c>
      <c r="Q61" s="41"/>
      <c r="T61" s="41"/>
    </row>
    <row r="62" spans="1:20" x14ac:dyDescent="0.25">
      <c r="A62" s="43" t="s">
        <v>211</v>
      </c>
      <c r="B62" s="131" t="s">
        <v>732</v>
      </c>
      <c r="C62" s="127" t="s">
        <v>1231</v>
      </c>
      <c r="D62" s="70" t="s">
        <v>1145</v>
      </c>
      <c r="E62" s="71" t="s">
        <v>1210</v>
      </c>
      <c r="F62" s="77" t="s">
        <v>1043</v>
      </c>
      <c r="G62" s="77" t="s">
        <v>999</v>
      </c>
      <c r="J62" s="36" t="s">
        <v>1228</v>
      </c>
      <c r="K62" s="50">
        <v>5</v>
      </c>
      <c r="Q62" s="41"/>
      <c r="T62" s="41"/>
    </row>
    <row r="63" spans="1:20" x14ac:dyDescent="0.25">
      <c r="A63" s="43" t="s">
        <v>212</v>
      </c>
      <c r="B63" s="131" t="s">
        <v>736</v>
      </c>
      <c r="C63" s="127" t="s">
        <v>1232</v>
      </c>
      <c r="D63" s="70" t="s">
        <v>1146</v>
      </c>
      <c r="E63" s="71" t="s">
        <v>1306</v>
      </c>
      <c r="F63" s="77" t="s">
        <v>1012</v>
      </c>
      <c r="G63" s="77" t="s">
        <v>985</v>
      </c>
      <c r="J63" s="36" t="s">
        <v>1321</v>
      </c>
      <c r="K63" s="50">
        <v>8</v>
      </c>
      <c r="Q63" s="41"/>
      <c r="T63" s="41"/>
    </row>
    <row r="64" spans="1:20" x14ac:dyDescent="0.25">
      <c r="A64" s="47" t="s">
        <v>1357</v>
      </c>
      <c r="B64" s="131" t="s">
        <v>788</v>
      </c>
      <c r="C64" s="127" t="s">
        <v>1415</v>
      </c>
      <c r="D64" s="70" t="s">
        <v>1380</v>
      </c>
      <c r="E64" s="71" t="s">
        <v>1307</v>
      </c>
      <c r="F64" s="77" t="s">
        <v>1002</v>
      </c>
      <c r="G64" s="77" t="s">
        <v>1000</v>
      </c>
      <c r="J64" s="36" t="s">
        <v>1323</v>
      </c>
      <c r="K64" s="50">
        <v>10</v>
      </c>
      <c r="Q64" s="41"/>
      <c r="T64" s="41"/>
    </row>
    <row r="65" spans="1:20" x14ac:dyDescent="0.25">
      <c r="A65" s="43" t="s">
        <v>1336</v>
      </c>
      <c r="B65" s="131" t="s">
        <v>787</v>
      </c>
      <c r="C65" s="127" t="s">
        <v>1514</v>
      </c>
      <c r="D65" s="70" t="s">
        <v>1243</v>
      </c>
      <c r="E65" s="71" t="s">
        <v>1308</v>
      </c>
      <c r="F65" s="77" t="s">
        <v>1007</v>
      </c>
      <c r="G65" s="77" t="s">
        <v>997</v>
      </c>
      <c r="J65" s="36" t="s">
        <v>1227</v>
      </c>
      <c r="K65" s="50">
        <v>4</v>
      </c>
      <c r="Q65" s="41"/>
      <c r="T65" s="41"/>
    </row>
    <row r="66" spans="1:20" x14ac:dyDescent="0.25">
      <c r="A66" s="43" t="s">
        <v>1337</v>
      </c>
      <c r="B66" s="131" t="s">
        <v>789</v>
      </c>
      <c r="C66" s="127" t="s">
        <v>1515</v>
      </c>
      <c r="D66" s="70" t="s">
        <v>1244</v>
      </c>
      <c r="E66" s="71" t="s">
        <v>1067</v>
      </c>
      <c r="F66" s="77" t="s">
        <v>1003</v>
      </c>
      <c r="G66" s="77" t="s">
        <v>990</v>
      </c>
      <c r="J66" s="36" t="s">
        <v>1127</v>
      </c>
      <c r="K66" s="50">
        <v>1</v>
      </c>
      <c r="Q66" s="41"/>
      <c r="T66" s="41"/>
    </row>
    <row r="67" spans="1:20" x14ac:dyDescent="0.25">
      <c r="A67" s="43" t="s">
        <v>1338</v>
      </c>
      <c r="B67" s="131" t="s">
        <v>738</v>
      </c>
      <c r="C67" s="127" t="s">
        <v>1233</v>
      </c>
      <c r="D67" s="70" t="s">
        <v>1245</v>
      </c>
      <c r="E67" s="71" t="s">
        <v>1068</v>
      </c>
      <c r="F67" s="77" t="s">
        <v>1008</v>
      </c>
      <c r="G67" s="77" t="s">
        <v>986</v>
      </c>
      <c r="J67" s="36" t="s">
        <v>1128</v>
      </c>
      <c r="K67" s="50">
        <v>2</v>
      </c>
      <c r="Q67" s="41"/>
      <c r="T67" s="41"/>
    </row>
    <row r="68" spans="1:20" x14ac:dyDescent="0.25">
      <c r="A68" s="43" t="s">
        <v>1339</v>
      </c>
      <c r="B68" s="131" t="s">
        <v>791</v>
      </c>
      <c r="C68" s="127" t="s">
        <v>1416</v>
      </c>
      <c r="D68" s="70" t="s">
        <v>1246</v>
      </c>
      <c r="E68" s="71" t="s">
        <v>1069</v>
      </c>
      <c r="F68" s="77" t="s">
        <v>1004</v>
      </c>
      <c r="G68" s="77" t="s">
        <v>991</v>
      </c>
      <c r="J68" s="36" t="s">
        <v>1311</v>
      </c>
      <c r="K68" s="50">
        <v>10</v>
      </c>
      <c r="Q68" s="41"/>
      <c r="T68" s="41"/>
    </row>
    <row r="69" spans="1:20" x14ac:dyDescent="0.25">
      <c r="A69" s="43" t="s">
        <v>1340</v>
      </c>
      <c r="B69" s="131" t="s">
        <v>740</v>
      </c>
      <c r="C69" s="127" t="s">
        <v>1234</v>
      </c>
      <c r="D69" s="70" t="s">
        <v>1463</v>
      </c>
      <c r="E69" s="71" t="s">
        <v>1147</v>
      </c>
      <c r="F69" s="77" t="s">
        <v>1013</v>
      </c>
      <c r="G69" s="77" t="s">
        <v>992</v>
      </c>
      <c r="J69" s="36" t="s">
        <v>1310</v>
      </c>
      <c r="K69" s="50">
        <v>9</v>
      </c>
      <c r="Q69" s="41"/>
      <c r="T69" s="41"/>
    </row>
    <row r="70" spans="1:20" ht="15.75" thickBot="1" x14ac:dyDescent="0.3">
      <c r="A70" s="43" t="s">
        <v>1341</v>
      </c>
      <c r="B70" s="131" t="s">
        <v>734</v>
      </c>
      <c r="C70" s="127" t="s">
        <v>1417</v>
      </c>
      <c r="D70" s="70" t="s">
        <v>1464</v>
      </c>
      <c r="E70" s="71" t="s">
        <v>1381</v>
      </c>
      <c r="F70" s="77" t="s">
        <v>1009</v>
      </c>
      <c r="G70" s="77" t="s">
        <v>987</v>
      </c>
      <c r="J70" s="40" t="s">
        <v>1212</v>
      </c>
      <c r="K70" s="51">
        <v>5</v>
      </c>
      <c r="Q70" s="41"/>
      <c r="T70" s="41"/>
    </row>
    <row r="71" spans="1:20" x14ac:dyDescent="0.25">
      <c r="A71" s="43" t="s">
        <v>1342</v>
      </c>
      <c r="B71" s="131" t="s">
        <v>792</v>
      </c>
      <c r="C71" s="127" t="s">
        <v>1324</v>
      </c>
      <c r="D71" s="70" t="s">
        <v>1465</v>
      </c>
      <c r="E71" s="71" t="s">
        <v>1148</v>
      </c>
      <c r="F71" s="77" t="s">
        <v>1018</v>
      </c>
      <c r="G71" s="77" t="s">
        <v>105</v>
      </c>
      <c r="J71" s="2"/>
    </row>
    <row r="72" spans="1:20" x14ac:dyDescent="0.25">
      <c r="A72" s="47" t="s">
        <v>213</v>
      </c>
      <c r="B72" s="131" t="s">
        <v>737</v>
      </c>
      <c r="C72" s="127" t="s">
        <v>1418</v>
      </c>
      <c r="D72" s="70" t="s">
        <v>1466</v>
      </c>
      <c r="E72" s="71" t="s">
        <v>1149</v>
      </c>
      <c r="F72" s="77" t="s">
        <v>1005</v>
      </c>
      <c r="G72" s="77" t="s">
        <v>402</v>
      </c>
      <c r="J72" s="2"/>
    </row>
    <row r="73" spans="1:20" x14ac:dyDescent="0.25">
      <c r="A73" s="43" t="s">
        <v>214</v>
      </c>
      <c r="B73" s="131" t="s">
        <v>793</v>
      </c>
      <c r="C73" s="127" t="s">
        <v>1419</v>
      </c>
      <c r="D73" s="70" t="s">
        <v>1468</v>
      </c>
      <c r="E73" s="71" t="s">
        <v>1150</v>
      </c>
      <c r="F73" s="77" t="s">
        <v>1014</v>
      </c>
      <c r="G73" s="77" t="s">
        <v>403</v>
      </c>
    </row>
    <row r="74" spans="1:20" x14ac:dyDescent="0.25">
      <c r="A74" s="43" t="s">
        <v>215</v>
      </c>
      <c r="B74" s="131" t="s">
        <v>794</v>
      </c>
      <c r="C74" s="127" t="s">
        <v>1325</v>
      </c>
      <c r="D74" s="70" t="s">
        <v>1469</v>
      </c>
      <c r="E74" s="71" t="s">
        <v>1247</v>
      </c>
      <c r="F74" s="77" t="s">
        <v>1015</v>
      </c>
      <c r="G74" s="77" t="s">
        <v>404</v>
      </c>
      <c r="J74" s="2"/>
    </row>
    <row r="75" spans="1:20" x14ac:dyDescent="0.25">
      <c r="A75" s="43" t="s">
        <v>216</v>
      </c>
      <c r="B75" s="132" t="s">
        <v>1743</v>
      </c>
      <c r="C75" s="127" t="s">
        <v>1326</v>
      </c>
      <c r="D75" s="70" t="s">
        <v>1470</v>
      </c>
      <c r="E75" s="71" t="s">
        <v>1382</v>
      </c>
      <c r="F75" s="77" t="s">
        <v>1010</v>
      </c>
      <c r="G75" s="77" t="s">
        <v>405</v>
      </c>
      <c r="J75" s="2"/>
    </row>
    <row r="76" spans="1:20" x14ac:dyDescent="0.25">
      <c r="A76" s="43" t="s">
        <v>217</v>
      </c>
      <c r="B76" s="131" t="s">
        <v>765</v>
      </c>
      <c r="C76" s="127" t="s">
        <v>1420</v>
      </c>
      <c r="D76" s="70" t="s">
        <v>1467</v>
      </c>
      <c r="E76" s="71" t="s">
        <v>1248</v>
      </c>
      <c r="F76" s="77" t="s">
        <v>952</v>
      </c>
      <c r="G76" s="77" t="s">
        <v>406</v>
      </c>
      <c r="J76" s="2"/>
    </row>
    <row r="77" spans="1:20" x14ac:dyDescent="0.25">
      <c r="A77" s="43" t="s">
        <v>218</v>
      </c>
      <c r="B77" s="131" t="s">
        <v>727</v>
      </c>
      <c r="C77" s="127" t="s">
        <v>1327</v>
      </c>
      <c r="D77" s="70" t="s">
        <v>1471</v>
      </c>
      <c r="E77" s="71" t="s">
        <v>1249</v>
      </c>
      <c r="F77" s="77" t="s">
        <v>947</v>
      </c>
      <c r="G77" s="77" t="s">
        <v>407</v>
      </c>
      <c r="J77" s="2"/>
    </row>
    <row r="78" spans="1:20" x14ac:dyDescent="0.25">
      <c r="A78" s="43" t="s">
        <v>219</v>
      </c>
      <c r="B78" s="131" t="s">
        <v>766</v>
      </c>
      <c r="C78" s="127" t="s">
        <v>1094</v>
      </c>
      <c r="D78" s="70" t="s">
        <v>1472</v>
      </c>
      <c r="E78" s="71" t="s">
        <v>1250</v>
      </c>
      <c r="F78" s="77" t="s">
        <v>962</v>
      </c>
      <c r="G78" s="77" t="s">
        <v>408</v>
      </c>
      <c r="J78" s="2"/>
    </row>
    <row r="79" spans="1:20" x14ac:dyDescent="0.25">
      <c r="A79" s="43" t="s">
        <v>220</v>
      </c>
      <c r="B79" s="131" t="s">
        <v>804</v>
      </c>
      <c r="C79" s="127" t="s">
        <v>1399</v>
      </c>
      <c r="D79" s="70" t="s">
        <v>1115</v>
      </c>
      <c r="E79" s="71" t="s">
        <v>1452</v>
      </c>
      <c r="F79" s="77" t="s">
        <v>948</v>
      </c>
      <c r="G79" s="77" t="s">
        <v>409</v>
      </c>
      <c r="J79" s="2"/>
    </row>
    <row r="80" spans="1:20" x14ac:dyDescent="0.25">
      <c r="A80" s="47" t="s">
        <v>221</v>
      </c>
      <c r="B80" s="131" t="s">
        <v>729</v>
      </c>
      <c r="C80" s="127" t="s">
        <v>1095</v>
      </c>
      <c r="D80" s="70" t="s">
        <v>1116</v>
      </c>
      <c r="E80" s="71" t="s">
        <v>1453</v>
      </c>
      <c r="F80" s="77" t="s">
        <v>953</v>
      </c>
      <c r="G80" s="77" t="s">
        <v>410</v>
      </c>
      <c r="J80" s="2"/>
    </row>
    <row r="81" spans="1:12" x14ac:dyDescent="0.25">
      <c r="A81" s="43" t="s">
        <v>222</v>
      </c>
      <c r="B81" s="131" t="s">
        <v>768</v>
      </c>
      <c r="C81" s="127" t="s">
        <v>1096</v>
      </c>
      <c r="D81" s="70" t="s">
        <v>1117</v>
      </c>
      <c r="E81" s="71" t="s">
        <v>1454</v>
      </c>
      <c r="F81" s="77" t="s">
        <v>957</v>
      </c>
      <c r="G81" s="77" t="s">
        <v>411</v>
      </c>
      <c r="J81" s="2"/>
    </row>
    <row r="82" spans="1:12" x14ac:dyDescent="0.25">
      <c r="A82" s="43" t="s">
        <v>223</v>
      </c>
      <c r="B82" s="131" t="s">
        <v>730</v>
      </c>
      <c r="C82" s="127" t="s">
        <v>1183</v>
      </c>
      <c r="D82" s="70" t="s">
        <v>1211</v>
      </c>
      <c r="E82" s="71" t="s">
        <v>1455</v>
      </c>
      <c r="F82" s="77" t="s">
        <v>954</v>
      </c>
      <c r="G82" s="77" t="s">
        <v>412</v>
      </c>
      <c r="J82" s="2"/>
    </row>
    <row r="83" spans="1:12" x14ac:dyDescent="0.25">
      <c r="A83" s="43" t="s">
        <v>224</v>
      </c>
      <c r="B83" s="132" t="s">
        <v>1744</v>
      </c>
      <c r="C83" s="127" t="s">
        <v>1184</v>
      </c>
      <c r="D83" s="70" t="s">
        <v>1212</v>
      </c>
      <c r="E83" s="71" t="s">
        <v>1456</v>
      </c>
      <c r="F83" s="77" t="s">
        <v>958</v>
      </c>
      <c r="G83" s="77" t="s">
        <v>1039</v>
      </c>
      <c r="J83" s="2"/>
    </row>
    <row r="84" spans="1:12" x14ac:dyDescent="0.25">
      <c r="A84" s="43" t="s">
        <v>225</v>
      </c>
      <c r="B84" s="131" t="s">
        <v>883</v>
      </c>
      <c r="C84" s="127" t="s">
        <v>1400</v>
      </c>
      <c r="D84" s="70" t="s">
        <v>1213</v>
      </c>
      <c r="E84" s="71" t="s">
        <v>1457</v>
      </c>
      <c r="F84" s="77" t="s">
        <v>955</v>
      </c>
      <c r="G84" s="77" t="s">
        <v>413</v>
      </c>
      <c r="J84" s="2"/>
    </row>
    <row r="85" spans="1:12" x14ac:dyDescent="0.25">
      <c r="A85" s="43" t="s">
        <v>226</v>
      </c>
      <c r="B85" s="131" t="s">
        <v>701</v>
      </c>
      <c r="C85" s="127" t="s">
        <v>1185</v>
      </c>
      <c r="D85" s="70" t="s">
        <v>1214</v>
      </c>
      <c r="E85" s="71" t="s">
        <v>1458</v>
      </c>
      <c r="F85" s="77" t="s">
        <v>959</v>
      </c>
      <c r="G85" s="77" t="s">
        <v>414</v>
      </c>
      <c r="J85" s="2"/>
    </row>
    <row r="86" spans="1:12" x14ac:dyDescent="0.25">
      <c r="A86" s="43" t="s">
        <v>227</v>
      </c>
      <c r="B86" s="131" t="s">
        <v>762</v>
      </c>
      <c r="C86" s="127" t="s">
        <v>1186</v>
      </c>
      <c r="D86" s="70" t="s">
        <v>1309</v>
      </c>
      <c r="E86" s="71" t="s">
        <v>1459</v>
      </c>
      <c r="F86" s="77" t="s">
        <v>963</v>
      </c>
      <c r="G86" s="77" t="s">
        <v>415</v>
      </c>
      <c r="J86" s="2"/>
    </row>
    <row r="87" spans="1:12" x14ac:dyDescent="0.25">
      <c r="A87" s="43" t="s">
        <v>228</v>
      </c>
      <c r="B87" s="131" t="s">
        <v>761</v>
      </c>
      <c r="C87" s="127" t="s">
        <v>1282</v>
      </c>
      <c r="D87" s="70" t="s">
        <v>1310</v>
      </c>
      <c r="E87" s="71" t="s">
        <v>1460</v>
      </c>
      <c r="F87" s="77" t="s">
        <v>949</v>
      </c>
      <c r="G87" s="77" t="s">
        <v>416</v>
      </c>
    </row>
    <row r="88" spans="1:12" x14ac:dyDescent="0.25">
      <c r="A88" s="43" t="s">
        <v>229</v>
      </c>
      <c r="B88" s="131" t="s">
        <v>703</v>
      </c>
      <c r="C88" s="127" t="s">
        <v>1283</v>
      </c>
      <c r="D88" s="70" t="s">
        <v>1311</v>
      </c>
      <c r="E88" s="71" t="s">
        <v>1461</v>
      </c>
      <c r="F88" s="77" t="s">
        <v>964</v>
      </c>
      <c r="G88" s="77" t="s">
        <v>417</v>
      </c>
    </row>
    <row r="89" spans="1:12" x14ac:dyDescent="0.25">
      <c r="A89" s="43" t="s">
        <v>230</v>
      </c>
      <c r="B89" s="131" t="s">
        <v>704</v>
      </c>
      <c r="C89" s="127" t="s">
        <v>1284</v>
      </c>
      <c r="D89" s="70" t="s">
        <v>1070</v>
      </c>
      <c r="E89" s="71" t="s">
        <v>1073</v>
      </c>
      <c r="F89" s="77" t="s">
        <v>956</v>
      </c>
      <c r="G89" s="77" t="s">
        <v>418</v>
      </c>
    </row>
    <row r="90" spans="1:12" x14ac:dyDescent="0.25">
      <c r="A90" s="43" t="s">
        <v>231</v>
      </c>
      <c r="B90" s="131" t="s">
        <v>763</v>
      </c>
      <c r="C90" s="127" t="s">
        <v>1285</v>
      </c>
      <c r="D90" s="70" t="s">
        <v>1383</v>
      </c>
      <c r="E90" s="71" t="s">
        <v>1385</v>
      </c>
      <c r="F90" s="77" t="s">
        <v>960</v>
      </c>
      <c r="G90" s="77" t="s">
        <v>1040</v>
      </c>
    </row>
    <row r="91" spans="1:12" x14ac:dyDescent="0.25">
      <c r="A91" s="43" t="s">
        <v>232</v>
      </c>
      <c r="B91" s="131" t="s">
        <v>705</v>
      </c>
      <c r="C91" s="127" t="s">
        <v>1137</v>
      </c>
      <c r="D91" s="70" t="s">
        <v>1071</v>
      </c>
      <c r="E91" s="71" t="s">
        <v>1074</v>
      </c>
      <c r="F91" s="77" t="s">
        <v>950</v>
      </c>
      <c r="G91" s="77" t="s">
        <v>1034</v>
      </c>
    </row>
    <row r="92" spans="1:12" x14ac:dyDescent="0.25">
      <c r="A92" s="43" t="s">
        <v>233</v>
      </c>
      <c r="B92" s="131" t="s">
        <v>706</v>
      </c>
      <c r="C92" s="127" t="s">
        <v>1138</v>
      </c>
      <c r="D92" s="70" t="s">
        <v>1072</v>
      </c>
      <c r="E92" s="71" t="s">
        <v>1075</v>
      </c>
      <c r="F92" s="77" t="s">
        <v>951</v>
      </c>
      <c r="G92" s="77" t="s">
        <v>1035</v>
      </c>
    </row>
    <row r="93" spans="1:12" x14ac:dyDescent="0.25">
      <c r="A93" s="47" t="s">
        <v>234</v>
      </c>
      <c r="B93" s="131" t="s">
        <v>707</v>
      </c>
      <c r="C93" s="127" t="s">
        <v>1139</v>
      </c>
      <c r="D93" s="70" t="s">
        <v>1384</v>
      </c>
      <c r="E93" s="71" t="s">
        <v>1155</v>
      </c>
      <c r="F93" s="77" t="s">
        <v>961</v>
      </c>
      <c r="G93" s="77" t="s">
        <v>1024</v>
      </c>
    </row>
    <row r="94" spans="1:12" x14ac:dyDescent="0.25">
      <c r="A94" s="43" t="s">
        <v>235</v>
      </c>
      <c r="B94" s="131" t="s">
        <v>708</v>
      </c>
      <c r="C94" s="127" t="s">
        <v>1235</v>
      </c>
      <c r="D94" s="70" t="s">
        <v>1151</v>
      </c>
      <c r="E94" s="71" t="s">
        <v>1156</v>
      </c>
      <c r="F94" s="77" t="s">
        <v>374</v>
      </c>
      <c r="G94" s="77" t="s">
        <v>1036</v>
      </c>
    </row>
    <row r="95" spans="1:12" x14ac:dyDescent="0.25">
      <c r="A95" s="43" t="s">
        <v>236</v>
      </c>
      <c r="B95" s="131" t="s">
        <v>709</v>
      </c>
      <c r="C95" s="127" t="s">
        <v>1236</v>
      </c>
      <c r="D95" s="70" t="s">
        <v>1152</v>
      </c>
      <c r="E95" s="71" t="s">
        <v>1157</v>
      </c>
      <c r="F95" s="77" t="s">
        <v>375</v>
      </c>
      <c r="G95" s="77" t="s">
        <v>1025</v>
      </c>
    </row>
    <row r="96" spans="1:12" x14ac:dyDescent="0.25">
      <c r="A96" s="43" t="s">
        <v>237</v>
      </c>
      <c r="B96" s="131" t="s">
        <v>710</v>
      </c>
      <c r="C96" s="127" t="s">
        <v>1237</v>
      </c>
      <c r="D96" s="70" t="s">
        <v>1153</v>
      </c>
      <c r="E96" s="71" t="s">
        <v>1158</v>
      </c>
      <c r="F96" s="77" t="s">
        <v>376</v>
      </c>
      <c r="G96" s="77" t="s">
        <v>1026</v>
      </c>
      <c r="J96" s="231"/>
      <c r="K96" s="231"/>
      <c r="L96" s="232"/>
    </row>
    <row r="97" spans="1:12" x14ac:dyDescent="0.25">
      <c r="A97" s="43" t="s">
        <v>238</v>
      </c>
      <c r="B97" s="131" t="s">
        <v>711</v>
      </c>
      <c r="C97" s="127" t="s">
        <v>1238</v>
      </c>
      <c r="D97" s="70" t="s">
        <v>1154</v>
      </c>
      <c r="E97" s="71" t="s">
        <v>1255</v>
      </c>
      <c r="F97" s="77" t="s">
        <v>377</v>
      </c>
      <c r="G97" s="77" t="s">
        <v>1019</v>
      </c>
      <c r="J97" s="231"/>
      <c r="K97" s="231"/>
      <c r="L97" s="232"/>
    </row>
    <row r="98" spans="1:12" x14ac:dyDescent="0.25">
      <c r="A98" s="43" t="s">
        <v>239</v>
      </c>
      <c r="B98" s="131" t="s">
        <v>712</v>
      </c>
      <c r="C98" s="127" t="s">
        <v>1328</v>
      </c>
      <c r="D98" s="70" t="s">
        <v>1251</v>
      </c>
      <c r="E98" s="71" t="s">
        <v>1256</v>
      </c>
      <c r="F98" s="77" t="s">
        <v>378</v>
      </c>
      <c r="G98" s="77" t="s">
        <v>1029</v>
      </c>
      <c r="J98" s="231"/>
      <c r="K98" s="231"/>
      <c r="L98" s="232"/>
    </row>
    <row r="99" spans="1:12" x14ac:dyDescent="0.25">
      <c r="A99" s="43" t="s">
        <v>240</v>
      </c>
      <c r="B99" s="131" t="s">
        <v>713</v>
      </c>
      <c r="C99" s="127" t="s">
        <v>1329</v>
      </c>
      <c r="D99" s="70" t="s">
        <v>1252</v>
      </c>
      <c r="E99" s="71" t="s">
        <v>1386</v>
      </c>
      <c r="F99" s="77" t="s">
        <v>102</v>
      </c>
      <c r="G99" s="77" t="s">
        <v>1020</v>
      </c>
      <c r="J99" s="231"/>
      <c r="K99" s="231"/>
      <c r="L99" s="232"/>
    </row>
    <row r="100" spans="1:12" x14ac:dyDescent="0.25">
      <c r="A100" s="43" t="s">
        <v>241</v>
      </c>
      <c r="B100" s="131" t="s">
        <v>722</v>
      </c>
      <c r="C100" s="127" t="s">
        <v>1330</v>
      </c>
      <c r="D100" s="70" t="s">
        <v>1253</v>
      </c>
      <c r="E100" s="71" t="s">
        <v>1257</v>
      </c>
      <c r="F100" s="77" t="s">
        <v>1037</v>
      </c>
      <c r="G100" s="77" t="s">
        <v>1027</v>
      </c>
      <c r="J100" s="231"/>
      <c r="K100" s="231"/>
      <c r="L100" s="232"/>
    </row>
    <row r="101" spans="1:12" x14ac:dyDescent="0.25">
      <c r="A101" s="43" t="s">
        <v>242</v>
      </c>
      <c r="B101" s="131" t="s">
        <v>881</v>
      </c>
      <c r="C101" s="127" t="s">
        <v>1331</v>
      </c>
      <c r="D101" s="70" t="s">
        <v>1254</v>
      </c>
      <c r="E101" s="71" t="s">
        <v>1258</v>
      </c>
      <c r="F101" s="77" t="s">
        <v>103</v>
      </c>
      <c r="G101" s="79" t="s">
        <v>1021</v>
      </c>
      <c r="J101" s="231"/>
      <c r="K101" s="231"/>
      <c r="L101" s="232"/>
    </row>
    <row r="102" spans="1:12" x14ac:dyDescent="0.25">
      <c r="A102" s="43" t="s">
        <v>243</v>
      </c>
      <c r="B102" s="131" t="s">
        <v>714</v>
      </c>
      <c r="C102" s="127" t="s">
        <v>1140</v>
      </c>
      <c r="D102" s="70" t="s">
        <v>1076</v>
      </c>
      <c r="E102" s="71" t="s">
        <v>1359</v>
      </c>
      <c r="F102" s="77" t="s">
        <v>379</v>
      </c>
      <c r="G102" s="79" t="s">
        <v>1030</v>
      </c>
      <c r="J102" s="231"/>
      <c r="K102" s="231"/>
      <c r="L102" s="232"/>
    </row>
    <row r="103" spans="1:12" x14ac:dyDescent="0.25">
      <c r="A103" s="43" t="s">
        <v>619</v>
      </c>
      <c r="B103" s="131" t="s">
        <v>715</v>
      </c>
      <c r="C103" s="127" t="s">
        <v>1141</v>
      </c>
      <c r="D103" s="70" t="s">
        <v>1077</v>
      </c>
      <c r="E103" s="71" t="s">
        <v>1360</v>
      </c>
      <c r="F103" s="77" t="s">
        <v>1044</v>
      </c>
      <c r="G103" s="79" t="s">
        <v>1028</v>
      </c>
      <c r="J103" s="231"/>
      <c r="K103" s="231"/>
      <c r="L103" s="232"/>
    </row>
    <row r="104" spans="1:12" x14ac:dyDescent="0.25">
      <c r="A104" s="43" t="s">
        <v>244</v>
      </c>
      <c r="B104" s="131" t="s">
        <v>716</v>
      </c>
      <c r="C104" s="127" t="s">
        <v>1142</v>
      </c>
      <c r="D104" s="70" t="s">
        <v>1078</v>
      </c>
      <c r="E104" s="71" t="s">
        <v>1361</v>
      </c>
      <c r="F104" s="77" t="s">
        <v>380</v>
      </c>
      <c r="G104" s="79" t="s">
        <v>1031</v>
      </c>
      <c r="J104" s="231"/>
      <c r="K104" s="231"/>
      <c r="L104" s="232"/>
    </row>
    <row r="105" spans="1:12" ht="15.75" thickBot="1" x14ac:dyDescent="0.3">
      <c r="A105" s="43" t="s">
        <v>245</v>
      </c>
      <c r="B105" s="131" t="s">
        <v>717</v>
      </c>
      <c r="C105" s="127" t="s">
        <v>1239</v>
      </c>
      <c r="D105" s="70" t="s">
        <v>1159</v>
      </c>
      <c r="E105" s="71" t="s">
        <v>1362</v>
      </c>
      <c r="F105" s="77" t="s">
        <v>381</v>
      </c>
      <c r="G105" s="79" t="s">
        <v>1022</v>
      </c>
      <c r="J105" s="234"/>
      <c r="K105" s="234"/>
      <c r="L105" s="235"/>
    </row>
    <row r="106" spans="1:12" x14ac:dyDescent="0.25">
      <c r="A106" s="47" t="s">
        <v>246</v>
      </c>
      <c r="B106" s="131" t="s">
        <v>718</v>
      </c>
      <c r="C106" s="127" t="s">
        <v>1240</v>
      </c>
      <c r="D106" s="70" t="s">
        <v>1387</v>
      </c>
      <c r="E106" s="71" t="s">
        <v>1363</v>
      </c>
      <c r="F106" s="77" t="s">
        <v>382</v>
      </c>
      <c r="G106" s="79" t="s">
        <v>1032</v>
      </c>
      <c r="J106" s="237"/>
      <c r="K106" s="237"/>
      <c r="L106" s="238"/>
    </row>
    <row r="107" spans="1:12" x14ac:dyDescent="0.25">
      <c r="A107" s="43" t="s">
        <v>247</v>
      </c>
      <c r="B107" s="131" t="s">
        <v>719</v>
      </c>
      <c r="C107" s="127" t="s">
        <v>1241</v>
      </c>
      <c r="D107" s="70" t="s">
        <v>1160</v>
      </c>
      <c r="E107" s="71" t="s">
        <v>1364</v>
      </c>
      <c r="F107" s="77" t="s">
        <v>383</v>
      </c>
      <c r="G107" s="79" t="s">
        <v>1023</v>
      </c>
      <c r="J107" s="231"/>
      <c r="K107" s="231"/>
      <c r="L107" s="232"/>
    </row>
    <row r="108" spans="1:12" ht="15.75" thickBot="1" x14ac:dyDescent="0.3">
      <c r="A108" s="43" t="s">
        <v>248</v>
      </c>
      <c r="B108" s="131" t="s">
        <v>723</v>
      </c>
      <c r="C108" s="127" t="s">
        <v>1242</v>
      </c>
      <c r="D108" s="70" t="s">
        <v>1161</v>
      </c>
      <c r="E108" s="71" t="s">
        <v>1365</v>
      </c>
      <c r="F108" s="77" t="s">
        <v>384</v>
      </c>
      <c r="G108" s="134" t="s">
        <v>1033</v>
      </c>
      <c r="J108" s="231"/>
      <c r="K108" s="231"/>
      <c r="L108" s="232"/>
    </row>
    <row r="109" spans="1:12" x14ac:dyDescent="0.25">
      <c r="A109" s="43" t="s">
        <v>249</v>
      </c>
      <c r="B109" s="131" t="s">
        <v>764</v>
      </c>
      <c r="C109" s="127" t="s">
        <v>1332</v>
      </c>
      <c r="D109" s="70" t="s">
        <v>1388</v>
      </c>
      <c r="E109" s="71" t="s">
        <v>1366</v>
      </c>
      <c r="F109" s="77" t="s">
        <v>385</v>
      </c>
      <c r="G109" s="137" t="s">
        <v>1759</v>
      </c>
      <c r="J109" s="231"/>
      <c r="K109" s="231"/>
      <c r="L109" s="232"/>
    </row>
    <row r="110" spans="1:12" x14ac:dyDescent="0.25">
      <c r="A110" s="43" t="s">
        <v>250</v>
      </c>
      <c r="B110" s="131" t="s">
        <v>724</v>
      </c>
      <c r="C110" s="127" t="s">
        <v>1333</v>
      </c>
      <c r="D110" s="70" t="s">
        <v>1162</v>
      </c>
      <c r="E110" s="71" t="s">
        <v>1367</v>
      </c>
      <c r="F110" s="77" t="s">
        <v>945</v>
      </c>
      <c r="G110" s="244" t="s">
        <v>2387</v>
      </c>
      <c r="J110" s="231"/>
      <c r="K110" s="231"/>
      <c r="L110" s="232"/>
    </row>
    <row r="111" spans="1:12" x14ac:dyDescent="0.25">
      <c r="A111" s="43" t="s">
        <v>251</v>
      </c>
      <c r="B111" s="132" t="s">
        <v>1745</v>
      </c>
      <c r="C111" s="127" t="s">
        <v>1334</v>
      </c>
      <c r="D111" s="70" t="s">
        <v>1259</v>
      </c>
      <c r="E111" s="71" t="s">
        <v>1368</v>
      </c>
      <c r="F111" s="77" t="s">
        <v>386</v>
      </c>
      <c r="G111" s="138" t="s">
        <v>742</v>
      </c>
      <c r="J111" s="231"/>
      <c r="K111" s="231"/>
      <c r="L111" s="232"/>
    </row>
    <row r="112" spans="1:12" ht="15.75" thickBot="1" x14ac:dyDescent="0.3">
      <c r="A112" s="43" t="s">
        <v>252</v>
      </c>
      <c r="B112" s="131" t="s">
        <v>767</v>
      </c>
      <c r="C112" s="127" t="s">
        <v>1335</v>
      </c>
      <c r="D112" s="70" t="s">
        <v>1260</v>
      </c>
      <c r="E112" s="71" t="s">
        <v>1082</v>
      </c>
      <c r="F112" s="80" t="s">
        <v>104</v>
      </c>
      <c r="G112" s="138" t="s">
        <v>743</v>
      </c>
      <c r="J112" s="231"/>
      <c r="K112" s="231"/>
      <c r="L112" s="232"/>
    </row>
    <row r="113" spans="1:12" x14ac:dyDescent="0.25">
      <c r="A113" s="43" t="s">
        <v>253</v>
      </c>
      <c r="B113" s="131" t="s">
        <v>769</v>
      </c>
      <c r="C113" s="127" t="s">
        <v>1097</v>
      </c>
      <c r="D113" s="70" t="s">
        <v>1261</v>
      </c>
      <c r="E113" s="78" t="s">
        <v>1083</v>
      </c>
      <c r="F113" s="140" t="s">
        <v>347</v>
      </c>
      <c r="G113" s="138" t="s">
        <v>744</v>
      </c>
      <c r="J113" s="231"/>
      <c r="K113" s="231"/>
      <c r="L113" s="232"/>
    </row>
    <row r="114" spans="1:12" ht="15.75" thickBot="1" x14ac:dyDescent="0.3">
      <c r="A114" s="43" t="s">
        <v>254</v>
      </c>
      <c r="B114" s="132" t="s">
        <v>1746</v>
      </c>
      <c r="C114" s="127" t="s">
        <v>1098</v>
      </c>
      <c r="D114" s="70" t="s">
        <v>1262</v>
      </c>
      <c r="E114" s="78" t="s">
        <v>1084</v>
      </c>
      <c r="F114" s="142" t="s">
        <v>346</v>
      </c>
      <c r="G114" s="138" t="s">
        <v>745</v>
      </c>
      <c r="J114" s="231"/>
      <c r="K114" s="231"/>
      <c r="L114" s="232"/>
    </row>
    <row r="115" spans="1:12" ht="15.75" thickBot="1" x14ac:dyDescent="0.3">
      <c r="A115" s="43" t="s">
        <v>255</v>
      </c>
      <c r="B115" s="131" t="s">
        <v>796</v>
      </c>
      <c r="C115" s="127" t="s">
        <v>1099</v>
      </c>
      <c r="D115" s="70" t="s">
        <v>1079</v>
      </c>
      <c r="E115" s="78" t="s">
        <v>1167</v>
      </c>
      <c r="F115" s="141"/>
      <c r="G115" s="138" t="s">
        <v>747</v>
      </c>
      <c r="J115" s="234"/>
      <c r="K115" s="234"/>
      <c r="L115" s="235"/>
    </row>
    <row r="116" spans="1:12" x14ac:dyDescent="0.25">
      <c r="A116" s="43" t="s">
        <v>256</v>
      </c>
      <c r="B116" s="131" t="s">
        <v>795</v>
      </c>
      <c r="C116" s="127" t="s">
        <v>1187</v>
      </c>
      <c r="D116" s="70" t="s">
        <v>1080</v>
      </c>
      <c r="E116" s="78" t="s">
        <v>1391</v>
      </c>
      <c r="F116" s="141"/>
      <c r="G116" s="138" t="s">
        <v>746</v>
      </c>
    </row>
    <row r="117" spans="1:12" x14ac:dyDescent="0.25">
      <c r="A117" s="43" t="s">
        <v>257</v>
      </c>
      <c r="B117" s="131" t="s">
        <v>797</v>
      </c>
      <c r="C117" s="127" t="s">
        <v>1401</v>
      </c>
      <c r="D117" s="70" t="s">
        <v>1389</v>
      </c>
      <c r="E117" s="78" t="s">
        <v>1168</v>
      </c>
      <c r="F117" s="141"/>
      <c r="G117" s="138" t="s">
        <v>748</v>
      </c>
    </row>
    <row r="118" spans="1:12" x14ac:dyDescent="0.25">
      <c r="A118" s="43" t="s">
        <v>258</v>
      </c>
      <c r="B118" s="131" t="s">
        <v>798</v>
      </c>
      <c r="C118" s="127" t="s">
        <v>1441</v>
      </c>
      <c r="D118" s="70" t="s">
        <v>1081</v>
      </c>
      <c r="E118" s="78" t="s">
        <v>1169</v>
      </c>
      <c r="F118" s="141"/>
      <c r="G118" s="138" t="s">
        <v>773</v>
      </c>
    </row>
    <row r="119" spans="1:12" x14ac:dyDescent="0.25">
      <c r="A119" s="43" t="str">
        <f>IF('House Rules'!B4="Available","Quirinus","")</f>
        <v>Quirinus</v>
      </c>
      <c r="B119" s="131" t="s">
        <v>799</v>
      </c>
      <c r="C119" s="127" t="s">
        <v>1188</v>
      </c>
      <c r="D119" s="70" t="s">
        <v>1390</v>
      </c>
      <c r="E119" s="78" t="s">
        <v>1170</v>
      </c>
      <c r="F119" s="141"/>
      <c r="G119" s="139" t="s">
        <v>1760</v>
      </c>
    </row>
    <row r="120" spans="1:12" x14ac:dyDescent="0.25">
      <c r="A120" s="43" t="s">
        <v>260</v>
      </c>
      <c r="B120" s="131" t="s">
        <v>800</v>
      </c>
      <c r="C120" s="127" t="s">
        <v>1402</v>
      </c>
      <c r="D120" s="70" t="s">
        <v>1163</v>
      </c>
      <c r="E120" s="78" t="s">
        <v>1267</v>
      </c>
      <c r="F120" s="141"/>
      <c r="G120" s="138" t="s">
        <v>770</v>
      </c>
    </row>
    <row r="121" spans="1:12" x14ac:dyDescent="0.25">
      <c r="A121" s="47" t="s">
        <v>261</v>
      </c>
      <c r="B121" s="131" t="s">
        <v>803</v>
      </c>
      <c r="C121" s="127" t="s">
        <v>1189</v>
      </c>
      <c r="D121" s="70" t="s">
        <v>1164</v>
      </c>
      <c r="E121" s="78" t="s">
        <v>1392</v>
      </c>
      <c r="F121" s="141"/>
      <c r="G121" s="138" t="s">
        <v>771</v>
      </c>
    </row>
    <row r="122" spans="1:12" x14ac:dyDescent="0.25">
      <c r="A122" s="43" t="s">
        <v>262</v>
      </c>
      <c r="B122" s="131" t="s">
        <v>802</v>
      </c>
      <c r="C122" s="127" t="s">
        <v>1190</v>
      </c>
      <c r="D122" s="70" t="s">
        <v>1165</v>
      </c>
      <c r="E122" s="78" t="s">
        <v>1268</v>
      </c>
      <c r="F122" s="141"/>
      <c r="G122" s="138" t="s">
        <v>772</v>
      </c>
    </row>
    <row r="123" spans="1:12" x14ac:dyDescent="0.25">
      <c r="A123" s="43" t="s">
        <v>263</v>
      </c>
      <c r="B123" s="131" t="s">
        <v>801</v>
      </c>
      <c r="C123" s="127" t="s">
        <v>1286</v>
      </c>
      <c r="D123" s="70" t="s">
        <v>1166</v>
      </c>
      <c r="E123" s="78" t="s">
        <v>1269</v>
      </c>
      <c r="F123" s="141"/>
      <c r="G123" s="139" t="s">
        <v>1761</v>
      </c>
    </row>
    <row r="124" spans="1:12" x14ac:dyDescent="0.25">
      <c r="A124" s="43" t="s">
        <v>264</v>
      </c>
      <c r="B124" s="131" t="s">
        <v>805</v>
      </c>
      <c r="C124" s="127" t="s">
        <v>1287</v>
      </c>
      <c r="D124" s="70" t="s">
        <v>1263</v>
      </c>
      <c r="E124" s="78" t="s">
        <v>1270</v>
      </c>
      <c r="F124" s="141"/>
      <c r="G124" s="138" t="s">
        <v>875</v>
      </c>
    </row>
    <row r="125" spans="1:12" x14ac:dyDescent="0.25">
      <c r="A125" s="43" t="s">
        <v>265</v>
      </c>
      <c r="B125" s="131" t="s">
        <v>806</v>
      </c>
      <c r="C125" s="127" t="s">
        <v>1288</v>
      </c>
      <c r="D125" s="70" t="s">
        <v>1264</v>
      </c>
      <c r="E125" s="78" t="s">
        <v>1085</v>
      </c>
      <c r="F125" s="141"/>
      <c r="G125" s="138" t="s">
        <v>882</v>
      </c>
    </row>
    <row r="126" spans="1:12" x14ac:dyDescent="0.25">
      <c r="A126" s="43" t="s">
        <v>266</v>
      </c>
      <c r="B126" s="131" t="s">
        <v>807</v>
      </c>
      <c r="C126" s="127" t="s">
        <v>1289</v>
      </c>
      <c r="D126" s="70" t="s">
        <v>1265</v>
      </c>
      <c r="E126" s="78" t="s">
        <v>1393</v>
      </c>
      <c r="F126" s="141"/>
      <c r="G126" s="138" t="s">
        <v>866</v>
      </c>
    </row>
    <row r="127" spans="1:12" x14ac:dyDescent="0.25">
      <c r="A127" s="43" t="s">
        <v>267</v>
      </c>
      <c r="B127" s="131" t="s">
        <v>790</v>
      </c>
      <c r="C127" s="127" t="s">
        <v>1431</v>
      </c>
      <c r="D127" s="70" t="s">
        <v>1266</v>
      </c>
      <c r="E127" s="78" t="s">
        <v>1086</v>
      </c>
      <c r="F127" s="141"/>
      <c r="G127" s="138" t="s">
        <v>852</v>
      </c>
    </row>
    <row r="128" spans="1:12" x14ac:dyDescent="0.25">
      <c r="A128" s="43" t="s">
        <v>268</v>
      </c>
      <c r="B128" s="131" t="s">
        <v>808</v>
      </c>
      <c r="C128" s="127" t="s">
        <v>1432</v>
      </c>
      <c r="D128" s="70" t="s">
        <v>1485</v>
      </c>
      <c r="E128" s="78" t="s">
        <v>1087</v>
      </c>
      <c r="F128" s="141"/>
      <c r="G128" s="138" t="s">
        <v>862</v>
      </c>
    </row>
    <row r="129" spans="1:7" x14ac:dyDescent="0.25">
      <c r="A129" s="47" t="s">
        <v>269</v>
      </c>
      <c r="B129" s="132" t="s">
        <v>1747</v>
      </c>
      <c r="C129" s="127" t="s">
        <v>1433</v>
      </c>
      <c r="D129" s="70" t="s">
        <v>1486</v>
      </c>
      <c r="E129" s="78" t="s">
        <v>1171</v>
      </c>
      <c r="F129" s="141"/>
      <c r="G129" s="138" t="s">
        <v>834</v>
      </c>
    </row>
    <row r="130" spans="1:7" x14ac:dyDescent="0.25">
      <c r="A130" s="43" t="s">
        <v>270</v>
      </c>
      <c r="B130" s="131" t="s">
        <v>858</v>
      </c>
      <c r="C130" s="127" t="s">
        <v>1434</v>
      </c>
      <c r="D130" s="70" t="s">
        <v>1487</v>
      </c>
      <c r="E130" s="78" t="s">
        <v>1172</v>
      </c>
      <c r="F130" s="141"/>
      <c r="G130" s="138" t="s">
        <v>874</v>
      </c>
    </row>
    <row r="131" spans="1:7" x14ac:dyDescent="0.25">
      <c r="A131" s="43" t="s">
        <v>271</v>
      </c>
      <c r="B131" s="131" t="s">
        <v>837</v>
      </c>
      <c r="C131" s="127" t="s">
        <v>1435</v>
      </c>
      <c r="D131" s="70" t="s">
        <v>1488</v>
      </c>
      <c r="E131" s="78" t="s">
        <v>1498</v>
      </c>
      <c r="F131" s="141"/>
      <c r="G131" s="138" t="s">
        <v>854</v>
      </c>
    </row>
    <row r="132" spans="1:7" x14ac:dyDescent="0.25">
      <c r="A132" s="43" t="s">
        <v>272</v>
      </c>
      <c r="B132" s="131" t="s">
        <v>845</v>
      </c>
      <c r="C132" s="127" t="s">
        <v>1436</v>
      </c>
      <c r="D132" s="70" t="s">
        <v>1489</v>
      </c>
      <c r="E132" s="78" t="s">
        <v>1173</v>
      </c>
      <c r="F132" s="141"/>
      <c r="G132" s="138" t="s">
        <v>860</v>
      </c>
    </row>
    <row r="133" spans="1:7" x14ac:dyDescent="0.25">
      <c r="A133" s="43" t="s">
        <v>273</v>
      </c>
      <c r="B133" s="131" t="s">
        <v>879</v>
      </c>
      <c r="C133" s="127" t="s">
        <v>1437</v>
      </c>
      <c r="D133" s="70" t="s">
        <v>1490</v>
      </c>
      <c r="E133" s="78" t="s">
        <v>1394</v>
      </c>
      <c r="F133" s="141"/>
      <c r="G133" s="138" t="s">
        <v>856</v>
      </c>
    </row>
    <row r="134" spans="1:7" x14ac:dyDescent="0.25">
      <c r="A134" s="43" t="s">
        <v>274</v>
      </c>
      <c r="B134" s="131" t="s">
        <v>869</v>
      </c>
      <c r="C134" s="127" t="s">
        <v>1438</v>
      </c>
      <c r="D134" s="70" t="s">
        <v>1491</v>
      </c>
      <c r="E134" s="78" t="s">
        <v>1174</v>
      </c>
      <c r="F134" s="141"/>
      <c r="G134" s="138" t="s">
        <v>855</v>
      </c>
    </row>
    <row r="135" spans="1:7" x14ac:dyDescent="0.25">
      <c r="A135" s="43" t="s">
        <v>510</v>
      </c>
      <c r="B135" s="131" t="s">
        <v>846</v>
      </c>
      <c r="C135" s="127" t="s">
        <v>1439</v>
      </c>
      <c r="D135" s="70" t="s">
        <v>1492</v>
      </c>
      <c r="E135" s="78" t="s">
        <v>1271</v>
      </c>
      <c r="F135" s="141"/>
      <c r="G135" s="136" t="s">
        <v>1748</v>
      </c>
    </row>
    <row r="136" spans="1:7" x14ac:dyDescent="0.25">
      <c r="A136" s="43" t="s">
        <v>275</v>
      </c>
      <c r="B136" s="131" t="s">
        <v>847</v>
      </c>
      <c r="C136" s="127" t="s">
        <v>1440</v>
      </c>
      <c r="D136" s="70" t="s">
        <v>1493</v>
      </c>
      <c r="E136" s="78" t="s">
        <v>1272</v>
      </c>
      <c r="F136" s="141"/>
      <c r="G136" s="135" t="str">
        <f>IF(Sandbox!D21="",Sandbox!A21,Sandbox!D21)</f>
        <v>Custom1</v>
      </c>
    </row>
    <row r="137" spans="1:7" x14ac:dyDescent="0.25">
      <c r="A137" s="43" t="s">
        <v>276</v>
      </c>
      <c r="B137" s="131" t="s">
        <v>884</v>
      </c>
      <c r="C137" s="127" t="s">
        <v>1369</v>
      </c>
      <c r="D137" s="70" t="s">
        <v>1494</v>
      </c>
      <c r="E137" s="78" t="s">
        <v>1273</v>
      </c>
      <c r="F137" s="141"/>
      <c r="G137" s="135" t="str">
        <f>IF(Sandbox!D22="",Sandbox!A22,Sandbox!D22)</f>
        <v>Custom2</v>
      </c>
    </row>
    <row r="138" spans="1:7" x14ac:dyDescent="0.25">
      <c r="A138" s="43" t="s">
        <v>277</v>
      </c>
      <c r="B138" s="131" t="s">
        <v>836</v>
      </c>
      <c r="C138" s="127" t="s">
        <v>1370</v>
      </c>
      <c r="D138" s="70" t="s">
        <v>1495</v>
      </c>
      <c r="E138" s="78" t="s">
        <v>1274</v>
      </c>
      <c r="F138" s="141"/>
      <c r="G138" s="135" t="str">
        <f>IF(Sandbox!D23="",Sandbox!A23,Sandbox!D23)</f>
        <v>Custom3</v>
      </c>
    </row>
    <row r="139" spans="1:7" x14ac:dyDescent="0.25">
      <c r="A139" s="43" t="s">
        <v>278</v>
      </c>
      <c r="B139" s="131" t="s">
        <v>835</v>
      </c>
      <c r="C139" s="127" t="s">
        <v>1371</v>
      </c>
      <c r="D139" s="70" t="s">
        <v>1088</v>
      </c>
      <c r="E139" s="78" t="s">
        <v>1118</v>
      </c>
      <c r="F139" s="141"/>
      <c r="G139" s="135" t="str">
        <f>IF(Sandbox!D24="",Sandbox!A24,Sandbox!D24)</f>
        <v>Custom4</v>
      </c>
    </row>
    <row r="140" spans="1:7" x14ac:dyDescent="0.25">
      <c r="A140" s="43" t="s">
        <v>279</v>
      </c>
      <c r="B140" s="131" t="s">
        <v>865</v>
      </c>
      <c r="C140" s="127" t="s">
        <v>1372</v>
      </c>
      <c r="D140" s="70" t="s">
        <v>1089</v>
      </c>
      <c r="E140" s="78" t="s">
        <v>1119</v>
      </c>
      <c r="F140" s="141"/>
      <c r="G140" s="135" t="str">
        <f>IF(Sandbox!D25="",Sandbox!A25,Sandbox!D25)</f>
        <v>Custom5</v>
      </c>
    </row>
    <row r="141" spans="1:7" x14ac:dyDescent="0.25">
      <c r="A141" s="47" t="s">
        <v>280</v>
      </c>
      <c r="B141" s="131" t="s">
        <v>864</v>
      </c>
      <c r="C141" s="127" t="s">
        <v>1373</v>
      </c>
      <c r="D141" s="70" t="s">
        <v>1395</v>
      </c>
      <c r="E141" s="78" t="s">
        <v>1120</v>
      </c>
      <c r="F141" s="141"/>
      <c r="G141" s="135" t="str">
        <f>IF(Sandbox!D26="",Sandbox!A26,Sandbox!D26)</f>
        <v>Custom6</v>
      </c>
    </row>
    <row r="142" spans="1:7" x14ac:dyDescent="0.25">
      <c r="A142" s="43" t="s">
        <v>281</v>
      </c>
      <c r="B142" s="131" t="s">
        <v>851</v>
      </c>
      <c r="C142" s="127" t="s">
        <v>1374</v>
      </c>
      <c r="D142" s="70" t="s">
        <v>1090</v>
      </c>
      <c r="E142" s="78" t="s">
        <v>1215</v>
      </c>
      <c r="F142" s="141"/>
      <c r="G142" s="135" t="str">
        <f>IF(Sandbox!D27="",Sandbox!A27,Sandbox!D27)</f>
        <v>Custom7</v>
      </c>
    </row>
    <row r="143" spans="1:7" x14ac:dyDescent="0.25">
      <c r="A143" s="43" t="s">
        <v>282</v>
      </c>
      <c r="B143" s="131" t="s">
        <v>871</v>
      </c>
      <c r="C143" s="127" t="s">
        <v>1375</v>
      </c>
      <c r="D143" s="70" t="s">
        <v>1396</v>
      </c>
      <c r="E143" s="78" t="s">
        <v>1216</v>
      </c>
      <c r="F143" s="141"/>
      <c r="G143" s="135" t="str">
        <f>IF(Sandbox!D28="",Sandbox!A28,Sandbox!D28)</f>
        <v>Custom8</v>
      </c>
    </row>
    <row r="144" spans="1:7" x14ac:dyDescent="0.25">
      <c r="A144" s="43" t="s">
        <v>688</v>
      </c>
      <c r="B144" s="131" t="s">
        <v>863</v>
      </c>
      <c r="C144" s="127" t="s">
        <v>1376</v>
      </c>
      <c r="D144" s="70" t="s">
        <v>1175</v>
      </c>
      <c r="E144" s="78" t="s">
        <v>1217</v>
      </c>
      <c r="F144" s="141"/>
      <c r="G144" s="135" t="str">
        <f>IF(Sandbox!D29="",Sandbox!A29,Sandbox!D29)</f>
        <v>Custom9</v>
      </c>
    </row>
    <row r="145" spans="1:7" ht="15.75" thickBot="1" x14ac:dyDescent="0.3">
      <c r="A145" s="43" t="s">
        <v>283</v>
      </c>
      <c r="B145" s="131" t="s">
        <v>861</v>
      </c>
      <c r="C145" s="127" t="s">
        <v>1377</v>
      </c>
      <c r="D145" s="70" t="s">
        <v>1499</v>
      </c>
      <c r="E145" s="78" t="s">
        <v>1218</v>
      </c>
      <c r="F145" s="142"/>
      <c r="G145" s="135" t="str">
        <f>IF(Sandbox!D30="",Sandbox!A30,Sandbox!D30)</f>
        <v>Custom10</v>
      </c>
    </row>
    <row r="146" spans="1:7" x14ac:dyDescent="0.25">
      <c r="A146" s="43" t="s">
        <v>284</v>
      </c>
      <c r="B146" s="131" t="s">
        <v>833</v>
      </c>
      <c r="C146" s="126" t="s">
        <v>1378</v>
      </c>
      <c r="D146" s="74" t="s">
        <v>1176</v>
      </c>
      <c r="E146" s="74" t="s">
        <v>1312</v>
      </c>
      <c r="F146" s="133" t="s">
        <v>1127</v>
      </c>
      <c r="G146" s="135" t="str">
        <f>IF(Sandbox!D31="",Sandbox!A31,Sandbox!D31)</f>
        <v>Custom11</v>
      </c>
    </row>
    <row r="147" spans="1:7" x14ac:dyDescent="0.25">
      <c r="A147" s="43" t="s">
        <v>285</v>
      </c>
      <c r="B147" s="131" t="s">
        <v>853</v>
      </c>
      <c r="C147" s="127" t="s">
        <v>1100</v>
      </c>
      <c r="D147" s="70" t="s">
        <v>1177</v>
      </c>
      <c r="E147" s="70" t="s">
        <v>1313</v>
      </c>
      <c r="F147" s="78" t="s">
        <v>1128</v>
      </c>
      <c r="G147" s="135" t="str">
        <f>IF(Sandbox!D32="",Sandbox!A32,Sandbox!D32)</f>
        <v>Custom12</v>
      </c>
    </row>
    <row r="148" spans="1:7" x14ac:dyDescent="0.25">
      <c r="A148" s="43" t="s">
        <v>286</v>
      </c>
      <c r="B148" s="131" t="s">
        <v>872</v>
      </c>
      <c r="C148" s="127" t="s">
        <v>1403</v>
      </c>
      <c r="D148" s="70" t="s">
        <v>1178</v>
      </c>
      <c r="E148" s="70" t="s">
        <v>1314</v>
      </c>
      <c r="F148" s="78" t="s">
        <v>1129</v>
      </c>
      <c r="G148" s="135" t="str">
        <f>IF(Sandbox!D33="",Sandbox!A33,Sandbox!D33)</f>
        <v>Custom13</v>
      </c>
    </row>
    <row r="149" spans="1:7" x14ac:dyDescent="0.25">
      <c r="A149" s="43" t="s">
        <v>687</v>
      </c>
      <c r="B149" s="131" t="s">
        <v>867</v>
      </c>
      <c r="C149" s="127" t="s">
        <v>1101</v>
      </c>
      <c r="D149" s="70" t="s">
        <v>1275</v>
      </c>
      <c r="E149" s="70" t="s">
        <v>1442</v>
      </c>
      <c r="F149" s="78" t="s">
        <v>1227</v>
      </c>
      <c r="G149" s="135" t="str">
        <f>IF(Sandbox!D34="",Sandbox!A34,Sandbox!D34)</f>
        <v>Custom14</v>
      </c>
    </row>
    <row r="150" spans="1:7" x14ac:dyDescent="0.25">
      <c r="A150" s="43" t="s">
        <v>287</v>
      </c>
      <c r="B150" s="131" t="s">
        <v>876</v>
      </c>
      <c r="C150" s="127" t="s">
        <v>1102</v>
      </c>
      <c r="D150" s="70" t="s">
        <v>1276</v>
      </c>
      <c r="E150" s="70" t="s">
        <v>1443</v>
      </c>
      <c r="F150" s="78" t="s">
        <v>1228</v>
      </c>
      <c r="G150" s="135" t="str">
        <f>IF(Sandbox!D35="",Sandbox!A35,Sandbox!D35)</f>
        <v>Custom15</v>
      </c>
    </row>
    <row r="151" spans="1:7" x14ac:dyDescent="0.25">
      <c r="A151" s="43" t="s">
        <v>288</v>
      </c>
      <c r="B151" s="131" t="s">
        <v>877</v>
      </c>
      <c r="C151" s="127" t="s">
        <v>1404</v>
      </c>
      <c r="D151" s="70" t="s">
        <v>1277</v>
      </c>
      <c r="E151" s="70" t="s">
        <v>1444</v>
      </c>
      <c r="F151" s="78" t="s">
        <v>1229</v>
      </c>
    </row>
    <row r="152" spans="1:7" x14ac:dyDescent="0.25">
      <c r="A152" s="47" t="s">
        <v>289</v>
      </c>
      <c r="B152" s="131" t="s">
        <v>850</v>
      </c>
      <c r="C152" s="127" t="s">
        <v>1191</v>
      </c>
      <c r="D152" s="70" t="s">
        <v>1278</v>
      </c>
      <c r="E152" s="70" t="s">
        <v>1445</v>
      </c>
      <c r="F152" s="78" t="s">
        <v>1230</v>
      </c>
    </row>
    <row r="153" spans="1:7" x14ac:dyDescent="0.25">
      <c r="A153" s="43" t="s">
        <v>290</v>
      </c>
      <c r="B153" s="131" t="s">
        <v>1739</v>
      </c>
      <c r="C153" s="127" t="s">
        <v>1192</v>
      </c>
      <c r="D153" s="70" t="s">
        <v>1496</v>
      </c>
      <c r="E153" s="70" t="s">
        <v>1446</v>
      </c>
      <c r="F153" s="78" t="s">
        <v>1321</v>
      </c>
    </row>
    <row r="154" spans="1:7" x14ac:dyDescent="0.25">
      <c r="A154" s="43" t="s">
        <v>291</v>
      </c>
      <c r="B154" s="131" t="s">
        <v>839</v>
      </c>
      <c r="C154" s="127" t="s">
        <v>1193</v>
      </c>
      <c r="D154" s="70" t="s">
        <v>1497</v>
      </c>
      <c r="E154" s="70" t="s">
        <v>1447</v>
      </c>
      <c r="F154" s="78" t="s">
        <v>1322</v>
      </c>
    </row>
    <row r="155" spans="1:7" x14ac:dyDescent="0.25">
      <c r="A155" s="43" t="s">
        <v>292</v>
      </c>
      <c r="B155" s="131" t="s">
        <v>840</v>
      </c>
      <c r="C155" s="127" t="s">
        <v>1194</v>
      </c>
      <c r="D155" s="70" t="s">
        <v>1501</v>
      </c>
      <c r="E155" s="70" t="s">
        <v>1448</v>
      </c>
      <c r="F155" s="78" t="s">
        <v>1323</v>
      </c>
    </row>
    <row r="156" spans="1:7" x14ac:dyDescent="0.25">
      <c r="A156" s="43" t="s">
        <v>293</v>
      </c>
      <c r="B156" s="131" t="s">
        <v>841</v>
      </c>
      <c r="C156" s="127" t="s">
        <v>1290</v>
      </c>
      <c r="D156" s="70" t="s">
        <v>1502</v>
      </c>
      <c r="E156" s="70" t="s">
        <v>1449</v>
      </c>
      <c r="F156" s="78" t="s">
        <v>1106</v>
      </c>
    </row>
    <row r="157" spans="1:7" x14ac:dyDescent="0.25">
      <c r="A157" s="43" t="s">
        <v>294</v>
      </c>
      <c r="B157" s="131" t="s">
        <v>859</v>
      </c>
      <c r="C157" s="127" t="s">
        <v>1291</v>
      </c>
      <c r="D157" s="70" t="s">
        <v>1503</v>
      </c>
      <c r="E157" s="70" t="s">
        <v>1450</v>
      </c>
      <c r="F157" s="78" t="s">
        <v>1107</v>
      </c>
    </row>
    <row r="158" spans="1:7" x14ac:dyDescent="0.25">
      <c r="A158" s="43" t="s">
        <v>295</v>
      </c>
      <c r="B158" s="131" t="s">
        <v>842</v>
      </c>
      <c r="C158" s="127" t="s">
        <v>1292</v>
      </c>
      <c r="D158" s="70" t="s">
        <v>1504</v>
      </c>
      <c r="E158" s="70" t="s">
        <v>1451</v>
      </c>
      <c r="F158" s="78" t="s">
        <v>1108</v>
      </c>
    </row>
    <row r="159" spans="1:7" x14ac:dyDescent="0.25">
      <c r="A159" s="43" t="s">
        <v>296</v>
      </c>
      <c r="B159" s="131" t="s">
        <v>843</v>
      </c>
      <c r="C159" s="127" t="s">
        <v>1293</v>
      </c>
      <c r="D159" s="70" t="s">
        <v>1505</v>
      </c>
      <c r="E159" s="70" t="s">
        <v>1124</v>
      </c>
      <c r="F159" s="78" t="s">
        <v>1199</v>
      </c>
    </row>
    <row r="160" spans="1:7" x14ac:dyDescent="0.25">
      <c r="A160" s="43" t="s">
        <v>297</v>
      </c>
      <c r="B160" s="131" t="s">
        <v>844</v>
      </c>
      <c r="C160" s="127" t="s">
        <v>1473</v>
      </c>
      <c r="D160" s="70" t="s">
        <v>1506</v>
      </c>
      <c r="E160" s="70" t="s">
        <v>1125</v>
      </c>
      <c r="F160" s="78" t="s">
        <v>1500</v>
      </c>
    </row>
    <row r="161" spans="1:6" x14ac:dyDescent="0.25">
      <c r="A161" s="43" t="s">
        <v>298</v>
      </c>
      <c r="B161" s="131" t="s">
        <v>838</v>
      </c>
      <c r="C161" s="127" t="s">
        <v>1474</v>
      </c>
      <c r="D161" s="70" t="s">
        <v>1507</v>
      </c>
      <c r="E161" s="70" t="s">
        <v>1126</v>
      </c>
      <c r="F161" s="78" t="s">
        <v>1358</v>
      </c>
    </row>
    <row r="162" spans="1:6" x14ac:dyDescent="0.25">
      <c r="A162" s="43" t="s">
        <v>299</v>
      </c>
      <c r="B162" s="131" t="s">
        <v>857</v>
      </c>
      <c r="C162" s="127" t="s">
        <v>1475</v>
      </c>
      <c r="D162" s="70" t="s">
        <v>1508</v>
      </c>
      <c r="E162" s="70" t="s">
        <v>1223</v>
      </c>
      <c r="F162" s="71" t="s">
        <v>1200</v>
      </c>
    </row>
    <row r="163" spans="1:6" x14ac:dyDescent="0.25">
      <c r="A163" s="47" t="s">
        <v>300</v>
      </c>
      <c r="B163" s="131" t="s">
        <v>880</v>
      </c>
      <c r="C163" s="127" t="s">
        <v>1476</v>
      </c>
      <c r="D163" s="70" t="s">
        <v>1509</v>
      </c>
      <c r="E163" s="70" t="s">
        <v>1224</v>
      </c>
      <c r="F163" s="71" t="s">
        <v>1407</v>
      </c>
    </row>
    <row r="164" spans="1:6" x14ac:dyDescent="0.25">
      <c r="A164" s="43" t="s">
        <v>301</v>
      </c>
      <c r="B164" s="131" t="s">
        <v>873</v>
      </c>
      <c r="C164" s="127" t="s">
        <v>1477</v>
      </c>
      <c r="D164" s="70" t="s">
        <v>1121</v>
      </c>
      <c r="E164" s="70" t="s">
        <v>1225</v>
      </c>
      <c r="F164" s="71" t="s">
        <v>1201</v>
      </c>
    </row>
    <row r="165" spans="1:6" x14ac:dyDescent="0.25">
      <c r="A165" s="43" t="s">
        <v>302</v>
      </c>
      <c r="B165" s="131" t="s">
        <v>870</v>
      </c>
      <c r="C165" s="127" t="s">
        <v>1478</v>
      </c>
      <c r="D165" s="70" t="s">
        <v>1122</v>
      </c>
      <c r="E165" s="70" t="s">
        <v>1226</v>
      </c>
      <c r="F165" s="71" t="s">
        <v>1202</v>
      </c>
    </row>
    <row r="166" spans="1:6" x14ac:dyDescent="0.25">
      <c r="A166" s="43" t="s">
        <v>303</v>
      </c>
      <c r="B166" s="131" t="s">
        <v>868</v>
      </c>
      <c r="C166" s="127" t="s">
        <v>1479</v>
      </c>
      <c r="D166" s="70" t="s">
        <v>1123</v>
      </c>
      <c r="E166" s="70" t="s">
        <v>1318</v>
      </c>
      <c r="F166" s="71" t="s">
        <v>1408</v>
      </c>
    </row>
    <row r="167" spans="1:6" x14ac:dyDescent="0.25">
      <c r="A167" s="43" t="s">
        <v>304</v>
      </c>
      <c r="B167" s="131" t="s">
        <v>848</v>
      </c>
      <c r="C167" s="127" t="s">
        <v>1480</v>
      </c>
      <c r="D167" s="70" t="s">
        <v>1219</v>
      </c>
      <c r="E167" s="70" t="s">
        <v>1319</v>
      </c>
      <c r="F167" s="71" t="s">
        <v>1298</v>
      </c>
    </row>
    <row r="168" spans="1:6" x14ac:dyDescent="0.25">
      <c r="A168" s="43" t="s">
        <v>305</v>
      </c>
      <c r="B168" s="131" t="s">
        <v>849</v>
      </c>
      <c r="C168" s="127" t="s">
        <v>1481</v>
      </c>
      <c r="D168" s="70" t="s">
        <v>1220</v>
      </c>
      <c r="E168" s="70" t="s">
        <v>1320</v>
      </c>
      <c r="F168" s="71" t="s">
        <v>1299</v>
      </c>
    </row>
    <row r="169" spans="1:6" x14ac:dyDescent="0.25">
      <c r="A169" s="43" t="s">
        <v>306</v>
      </c>
      <c r="B169" s="132" t="s">
        <v>1748</v>
      </c>
      <c r="C169" s="127" t="s">
        <v>1482</v>
      </c>
      <c r="D169" s="70" t="s">
        <v>1221</v>
      </c>
      <c r="E169" s="70" t="s">
        <v>1091</v>
      </c>
      <c r="F169" s="71" t="s">
        <v>1300</v>
      </c>
    </row>
    <row r="170" spans="1:6" x14ac:dyDescent="0.25">
      <c r="A170" s="43" t="s">
        <v>307</v>
      </c>
      <c r="B170" s="131" t="str">
        <f>IF(Sandbox!D4="",Sandbox!A4,Sandbox!D4)</f>
        <v>Custom1</v>
      </c>
      <c r="C170" s="127" t="s">
        <v>1483</v>
      </c>
      <c r="D170" s="70" t="s">
        <v>1222</v>
      </c>
      <c r="E170" s="70" t="s">
        <v>1092</v>
      </c>
      <c r="F170" s="71" t="s">
        <v>1301</v>
      </c>
    </row>
    <row r="171" spans="1:6" x14ac:dyDescent="0.25">
      <c r="A171" s="43" t="s">
        <v>308</v>
      </c>
      <c r="B171" s="131" t="str">
        <f>IF(Sandbox!D5="",Sandbox!A5,Sandbox!D5)</f>
        <v>Custom2</v>
      </c>
      <c r="C171" s="127" t="s">
        <v>1103</v>
      </c>
      <c r="D171" s="70" t="s">
        <v>1315</v>
      </c>
      <c r="E171" s="70" t="s">
        <v>1397</v>
      </c>
      <c r="F171" s="71" t="s">
        <v>1409</v>
      </c>
    </row>
    <row r="172" spans="1:6" x14ac:dyDescent="0.25">
      <c r="A172" s="43" t="s">
        <v>309</v>
      </c>
      <c r="B172" s="131" t="str">
        <f>IF(Sandbox!D6="",Sandbox!A6,Sandbox!D6)</f>
        <v>Custom3</v>
      </c>
      <c r="C172" s="127" t="s">
        <v>1104</v>
      </c>
      <c r="D172" s="70" t="s">
        <v>1316</v>
      </c>
      <c r="E172" s="70" t="s">
        <v>1093</v>
      </c>
      <c r="F172" s="71" t="s">
        <v>1109</v>
      </c>
    </row>
    <row r="173" spans="1:6" x14ac:dyDescent="0.25">
      <c r="A173" s="47" t="s">
        <v>310</v>
      </c>
      <c r="B173" s="131" t="str">
        <f>IF(Sandbox!D7="",Sandbox!A7,Sandbox!D7)</f>
        <v>Custom4</v>
      </c>
      <c r="C173" s="127" t="s">
        <v>1105</v>
      </c>
      <c r="D173" s="70" t="s">
        <v>1317</v>
      </c>
      <c r="E173" s="70" t="s">
        <v>1179</v>
      </c>
      <c r="F173" s="71" t="s">
        <v>1110</v>
      </c>
    </row>
    <row r="174" spans="1:6" x14ac:dyDescent="0.25">
      <c r="A174" s="43" t="s">
        <v>311</v>
      </c>
      <c r="B174" s="131" t="str">
        <f>IF(Sandbox!D8="",Sandbox!A8,Sandbox!D8)</f>
        <v>Custom5</v>
      </c>
      <c r="C174" s="127" t="s">
        <v>1405</v>
      </c>
      <c r="D174" s="70" t="s">
        <v>1421</v>
      </c>
      <c r="E174" s="70" t="s">
        <v>1180</v>
      </c>
      <c r="F174" s="71" t="s">
        <v>1111</v>
      </c>
    </row>
    <row r="175" spans="1:6" x14ac:dyDescent="0.25">
      <c r="A175" s="43" t="s">
        <v>312</v>
      </c>
      <c r="B175" s="131" t="str">
        <f>IF(Sandbox!D9="",Sandbox!A9,Sandbox!D9)</f>
        <v>Custom6</v>
      </c>
      <c r="C175" s="127" t="s">
        <v>1195</v>
      </c>
      <c r="D175" s="70" t="s">
        <v>1422</v>
      </c>
      <c r="E175" s="70" t="s">
        <v>1181</v>
      </c>
      <c r="F175" s="71" t="s">
        <v>1203</v>
      </c>
    </row>
    <row r="176" spans="1:6" x14ac:dyDescent="0.25">
      <c r="A176" s="43" t="s">
        <v>313</v>
      </c>
      <c r="B176" s="131" t="str">
        <f>IF(Sandbox!D10="",Sandbox!A10,Sandbox!D10)</f>
        <v>Custom7</v>
      </c>
      <c r="C176" s="127" t="s">
        <v>1196</v>
      </c>
      <c r="D176" s="70" t="s">
        <v>1423</v>
      </c>
      <c r="E176" s="70" t="s">
        <v>1182</v>
      </c>
      <c r="F176" s="71" t="s">
        <v>1204</v>
      </c>
    </row>
    <row r="177" spans="1:6" x14ac:dyDescent="0.25">
      <c r="A177" s="43" t="s">
        <v>314</v>
      </c>
      <c r="B177" s="131" t="str">
        <f>IF(Sandbox!D11="",Sandbox!A11,Sandbox!D11)</f>
        <v>Custom8</v>
      </c>
      <c r="C177" s="127" t="s">
        <v>1197</v>
      </c>
      <c r="D177" s="70" t="s">
        <v>1424</v>
      </c>
      <c r="E177" s="70" t="s">
        <v>1398</v>
      </c>
      <c r="F177" s="71" t="s">
        <v>1410</v>
      </c>
    </row>
    <row r="178" spans="1:6" x14ac:dyDescent="0.25">
      <c r="A178" s="43" t="s">
        <v>315</v>
      </c>
      <c r="B178" s="131" t="str">
        <f>IF(Sandbox!D12="",Sandbox!A12,Sandbox!D12)</f>
        <v>Custom9</v>
      </c>
      <c r="C178" s="127" t="s">
        <v>1198</v>
      </c>
      <c r="D178" s="70" t="s">
        <v>1425</v>
      </c>
      <c r="E178" s="70" t="s">
        <v>1279</v>
      </c>
      <c r="F178" s="71" t="s">
        <v>1205</v>
      </c>
    </row>
    <row r="179" spans="1:6" x14ac:dyDescent="0.25">
      <c r="A179" s="43" t="s">
        <v>316</v>
      </c>
      <c r="B179" s="131" t="str">
        <f>IF(Sandbox!D13="",Sandbox!A13,Sandbox!D13)</f>
        <v>Custom10</v>
      </c>
      <c r="C179" s="127" t="s">
        <v>1294</v>
      </c>
      <c r="D179" s="70" t="s">
        <v>1426</v>
      </c>
      <c r="E179" s="70" t="s">
        <v>1280</v>
      </c>
      <c r="F179" s="71" t="s">
        <v>1206</v>
      </c>
    </row>
    <row r="180" spans="1:6" x14ac:dyDescent="0.25">
      <c r="A180" s="43" t="s">
        <v>317</v>
      </c>
      <c r="B180" s="131" t="str">
        <f>IF(Sandbox!D14="",Sandbox!A14,Sandbox!D14)</f>
        <v>Custom11</v>
      </c>
      <c r="C180" s="127" t="s">
        <v>1295</v>
      </c>
      <c r="D180" s="70" t="s">
        <v>1427</v>
      </c>
      <c r="E180" s="70" t="s">
        <v>1281</v>
      </c>
      <c r="F180" s="71" t="s">
        <v>1302</v>
      </c>
    </row>
    <row r="181" spans="1:6" x14ac:dyDescent="0.25">
      <c r="A181" s="43" t="s">
        <v>318</v>
      </c>
      <c r="B181" s="131" t="str">
        <f>IF(Sandbox!D15="",Sandbox!A15,Sandbox!D15)</f>
        <v>Custom12</v>
      </c>
      <c r="C181" s="127" t="s">
        <v>1406</v>
      </c>
      <c r="D181" s="70" t="s">
        <v>1428</v>
      </c>
      <c r="E181" s="70" t="s">
        <v>1632</v>
      </c>
      <c r="F181" s="71" t="s">
        <v>1303</v>
      </c>
    </row>
    <row r="182" spans="1:6" ht="15.75" thickBot="1" x14ac:dyDescent="0.3">
      <c r="A182" s="123" t="s">
        <v>319</v>
      </c>
      <c r="B182" s="131" t="str">
        <f>IF(Sandbox!D16="",Sandbox!A16,Sandbox!D16)</f>
        <v>Custom13</v>
      </c>
      <c r="C182" s="127" t="s">
        <v>1296</v>
      </c>
      <c r="D182" s="70" t="s">
        <v>1429</v>
      </c>
      <c r="E182" s="70"/>
      <c r="F182" s="71" t="s">
        <v>1304</v>
      </c>
    </row>
    <row r="183" spans="1:6" ht="15.75" thickBot="1" x14ac:dyDescent="0.3">
      <c r="B183" s="131" t="str">
        <f>IF(Sandbox!D17="",Sandbox!A17,Sandbox!D17)</f>
        <v>Custom14</v>
      </c>
      <c r="C183" s="128" t="s">
        <v>1297</v>
      </c>
      <c r="D183" s="72" t="s">
        <v>1430</v>
      </c>
      <c r="E183" s="72"/>
      <c r="F183" s="73" t="s">
        <v>1305</v>
      </c>
    </row>
    <row r="184" spans="1:6" x14ac:dyDescent="0.25">
      <c r="B184" s="131" t="str">
        <f>IF(Sandbox!D18="",Sandbox!A18,Sandbox!D18)</f>
        <v>Custom15</v>
      </c>
    </row>
    <row r="253" spans="7:7" x14ac:dyDescent="0.25">
      <c r="G253" s="20"/>
    </row>
  </sheetData>
  <sheetProtection password="E9C2" sheet="1" objects="1" scenarios="1" selectLockedCells="1" selectUnlockedCells="1"/>
  <sortState ref="N2:N10">
    <sortCondition ref="N2"/>
  </sortState>
  <mergeCells count="3">
    <mergeCell ref="B32:C32"/>
    <mergeCell ref="D31:E31"/>
    <mergeCell ref="N13:P1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sheetPr>
  <dimension ref="A1:BU46"/>
  <sheetViews>
    <sheetView view="pageBreakPreview" topLeftCell="A7" zoomScale="75" zoomScaleNormal="100" zoomScaleSheetLayoutView="75" workbookViewId="0">
      <selection activeCell="U22" sqref="U22:V22"/>
    </sheetView>
  </sheetViews>
  <sheetFormatPr defaultRowHeight="15" customHeight="1" x14ac:dyDescent="0.25"/>
  <cols>
    <col min="1" max="72" width="3.7109375" style="283" customWidth="1"/>
    <col min="73" max="73" width="9.140625" style="283" hidden="1" customWidth="1"/>
    <col min="74" max="16384" width="9.140625" style="283"/>
  </cols>
  <sheetData>
    <row r="1" spans="1:73" ht="15" customHeight="1" x14ac:dyDescent="0.25">
      <c r="A1" s="721" t="s">
        <v>6</v>
      </c>
      <c r="B1" s="722"/>
      <c r="C1" s="722"/>
      <c r="D1" s="722"/>
      <c r="E1" s="765" t="s">
        <v>133</v>
      </c>
      <c r="F1" s="765"/>
      <c r="G1" s="765"/>
      <c r="H1" s="765"/>
      <c r="I1" s="805" t="s">
        <v>7</v>
      </c>
      <c r="J1" s="806"/>
      <c r="K1" s="806"/>
      <c r="L1" s="807"/>
      <c r="M1" s="722" t="str">
        <f>IF(OR(M17="Select",M19="Select"),"Select Your God",IF(S13="select","Select Your Nature",IF(E13="","Select Your Calling",IF(OR(E22="Select",E28="Select",E34="Select",E22=E28,E28=E34,E34=E22),"Prioritize Your Attribute Groups",IF(AND(E22="Primary",E23&gt;0),"Select Physical Attributes",IF(AND(E28="primary",E29&gt;0),"Select Social Attributes",IF(AND(E34="Primary",E35&gt;0),"Select Mental Attributes",IF(AND(E22="Secondary",E23&gt;0),"Select Physical Attributes",IF(AND(E28="Secondary",E29&gt;0),"Select Social Attributes",IF(AND(E34="Secondary",E35&gt;0),"Select Mental Attributes",IF(AND(E22="Tertiary",E23&gt;0),"Select Physical Attributes",IF(AND(E28="Tertiary",E29&gt;0),"Select Social Attributes",IF(AND(E34="Tertiary",E35&gt;0),"Select Mental Attributes",IF(OR(AC36="No",U35="No"),"Select Abilities",IF(BO17="no","Select Advantages",IF(BM42="no","Select Your Birthrights",IF(U24="No","Select Virtues",IF(O22&lt;5,"Record Willpower",IF(M46="No","Spend Bonus Points","You're Done!")))))))))))))))))))</f>
        <v>Select Your God</v>
      </c>
      <c r="N1" s="722"/>
      <c r="O1" s="722"/>
      <c r="P1" s="722"/>
      <c r="Q1" s="722"/>
      <c r="R1" s="722"/>
      <c r="S1" s="722"/>
      <c r="T1" s="722"/>
      <c r="U1" s="722"/>
      <c r="V1" s="722"/>
      <c r="W1" s="722"/>
      <c r="X1" s="810"/>
      <c r="Y1" s="695" t="s">
        <v>69</v>
      </c>
      <c r="Z1" s="696"/>
      <c r="AA1" s="696"/>
      <c r="AB1" s="696"/>
      <c r="AC1" s="696"/>
      <c r="AD1" s="696"/>
      <c r="AE1" s="696"/>
      <c r="AF1" s="696"/>
      <c r="AG1" s="696"/>
      <c r="AH1" s="696"/>
      <c r="AI1" s="696"/>
      <c r="AJ1" s="696"/>
      <c r="AK1" s="696"/>
      <c r="AL1" s="696"/>
      <c r="AM1" s="738"/>
      <c r="AN1" s="695" t="s">
        <v>60</v>
      </c>
      <c r="AO1" s="696"/>
      <c r="AP1" s="696"/>
      <c r="AQ1" s="696"/>
      <c r="AR1" s="696"/>
      <c r="AS1" s="696"/>
      <c r="AT1" s="696"/>
      <c r="AU1" s="696"/>
      <c r="AV1" s="696"/>
      <c r="AW1" s="695" t="s">
        <v>68</v>
      </c>
      <c r="AX1" s="696"/>
      <c r="AY1" s="696"/>
      <c r="AZ1" s="696"/>
      <c r="BA1" s="696"/>
      <c r="BB1" s="696"/>
      <c r="BC1" s="696"/>
      <c r="BD1" s="696"/>
      <c r="BE1" s="696"/>
      <c r="BF1" s="696"/>
      <c r="BG1" s="696"/>
      <c r="BH1" s="738"/>
      <c r="BI1" s="695" t="s">
        <v>67</v>
      </c>
      <c r="BJ1" s="696"/>
      <c r="BK1" s="696"/>
      <c r="BL1" s="696"/>
      <c r="BM1" s="696"/>
      <c r="BN1" s="696"/>
      <c r="BO1" s="696"/>
      <c r="BP1" s="696"/>
      <c r="BQ1" s="696"/>
      <c r="BR1" s="696"/>
      <c r="BS1" s="696"/>
      <c r="BT1" s="738"/>
    </row>
    <row r="2" spans="1:73" ht="15" customHeight="1" thickBot="1" x14ac:dyDescent="0.3">
      <c r="A2" s="802"/>
      <c r="B2" s="803"/>
      <c r="C2" s="803"/>
      <c r="D2" s="803"/>
      <c r="E2" s="804"/>
      <c r="F2" s="804"/>
      <c r="G2" s="804"/>
      <c r="H2" s="804"/>
      <c r="I2" s="808"/>
      <c r="J2" s="800"/>
      <c r="K2" s="800"/>
      <c r="L2" s="809"/>
      <c r="M2" s="803"/>
      <c r="N2" s="803"/>
      <c r="O2" s="803"/>
      <c r="P2" s="803"/>
      <c r="Q2" s="803"/>
      <c r="R2" s="803"/>
      <c r="S2" s="803"/>
      <c r="T2" s="803"/>
      <c r="U2" s="803"/>
      <c r="V2" s="803"/>
      <c r="W2" s="803"/>
      <c r="X2" s="811"/>
      <c r="Y2" s="697"/>
      <c r="Z2" s="698"/>
      <c r="AA2" s="698"/>
      <c r="AB2" s="698"/>
      <c r="AC2" s="698"/>
      <c r="AD2" s="698"/>
      <c r="AE2" s="698"/>
      <c r="AF2" s="698"/>
      <c r="AG2" s="698"/>
      <c r="AH2" s="698"/>
      <c r="AI2" s="698"/>
      <c r="AJ2" s="698"/>
      <c r="AK2" s="698"/>
      <c r="AL2" s="698"/>
      <c r="AM2" s="739"/>
      <c r="AN2" s="697"/>
      <c r="AO2" s="698"/>
      <c r="AP2" s="698"/>
      <c r="AQ2" s="698"/>
      <c r="AR2" s="698"/>
      <c r="AS2" s="698"/>
      <c r="AT2" s="698"/>
      <c r="AU2" s="698"/>
      <c r="AV2" s="698"/>
      <c r="AW2" s="697"/>
      <c r="AX2" s="698"/>
      <c r="AY2" s="698"/>
      <c r="AZ2" s="698"/>
      <c r="BA2" s="698"/>
      <c r="BB2" s="698"/>
      <c r="BC2" s="698"/>
      <c r="BD2" s="698"/>
      <c r="BE2" s="698"/>
      <c r="BF2" s="698"/>
      <c r="BG2" s="698"/>
      <c r="BH2" s="739"/>
      <c r="BI2" s="697"/>
      <c r="BJ2" s="698"/>
      <c r="BK2" s="698"/>
      <c r="BL2" s="698"/>
      <c r="BM2" s="698"/>
      <c r="BN2" s="698"/>
      <c r="BO2" s="698"/>
      <c r="BP2" s="698"/>
      <c r="BQ2" s="698"/>
      <c r="BR2" s="698"/>
      <c r="BS2" s="698"/>
      <c r="BT2" s="739"/>
    </row>
    <row r="3" spans="1:73" ht="15" customHeight="1" x14ac:dyDescent="0.25">
      <c r="A3" s="794" t="str">
        <f>IF(M1=Reference!A26,Reference!H14,IF(M1=Reference!A28,Reference!H16,IF(M1=Reference!A29,Reference!H17,IF(M1=Reference!A30,Reference!H18,IF(M1=Reference!A31,Reference!H19,IF(M1=Reference!A32,Reference!H20,IF(M1=Reference!A33,Reference!H21,IF(M1=Reference!A34,Reference!H22,IF(M1=Reference!A35,Reference!H23,IF(M1=Reference!A36,Reference!H24,IF(M1=Reference!A37,Reference!H25,IF(M1=Reference!A38,Reference!H26,IF(M1=Reference!A39,Reference!H27,IF(M1=Reference!A40,Reference!H28))))))))))))))</f>
        <v>Choose your Pantheon and God carefully. Your pantheon dictates which virtues your character must live by and your parent god determines which abilities you learn more quickly and easily than others – both mundane and divine.</v>
      </c>
      <c r="B3" s="795"/>
      <c r="C3" s="795"/>
      <c r="D3" s="795"/>
      <c r="E3" s="795"/>
      <c r="F3" s="795"/>
      <c r="G3" s="795"/>
      <c r="H3" s="795"/>
      <c r="I3" s="795"/>
      <c r="J3" s="795"/>
      <c r="K3" s="795"/>
      <c r="L3" s="795"/>
      <c r="M3" s="795"/>
      <c r="N3" s="795"/>
      <c r="O3" s="795"/>
      <c r="P3" s="795"/>
      <c r="Q3" s="795"/>
      <c r="R3" s="795"/>
      <c r="S3" s="795"/>
      <c r="T3" s="795"/>
      <c r="U3" s="795"/>
      <c r="V3" s="795"/>
      <c r="W3" s="795"/>
      <c r="X3" s="796"/>
      <c r="Y3" s="740"/>
      <c r="Z3" s="671"/>
      <c r="AA3" s="671"/>
      <c r="AB3" s="671"/>
      <c r="AC3" s="691" t="s">
        <v>10</v>
      </c>
      <c r="AD3" s="691"/>
      <c r="AE3" s="691"/>
      <c r="AF3" s="691" t="s">
        <v>11</v>
      </c>
      <c r="AG3" s="691"/>
      <c r="AH3" s="691" t="s">
        <v>33</v>
      </c>
      <c r="AI3" s="691"/>
      <c r="AJ3" s="691" t="s">
        <v>34</v>
      </c>
      <c r="AK3" s="691"/>
      <c r="AL3" s="691"/>
      <c r="AM3" s="773"/>
      <c r="AN3" s="699" t="s">
        <v>61</v>
      </c>
      <c r="AO3" s="700"/>
      <c r="AP3" s="700"/>
      <c r="AQ3" s="700"/>
      <c r="AR3" s="700"/>
      <c r="AS3" s="700"/>
      <c r="AT3" s="701"/>
      <c r="AU3" s="716">
        <v>2</v>
      </c>
      <c r="AV3" s="692"/>
      <c r="AW3" s="690" t="s">
        <v>70</v>
      </c>
      <c r="AX3" s="691"/>
      <c r="AY3" s="691"/>
      <c r="AZ3" s="691"/>
      <c r="BA3" s="691"/>
      <c r="BB3" s="691"/>
      <c r="BC3" s="691" t="s">
        <v>71</v>
      </c>
      <c r="BD3" s="691"/>
      <c r="BE3" s="691" t="s">
        <v>72</v>
      </c>
      <c r="BF3" s="691"/>
      <c r="BG3" s="691" t="s">
        <v>11</v>
      </c>
      <c r="BH3" s="773"/>
      <c r="BI3" s="771"/>
      <c r="BJ3" s="771"/>
      <c r="BK3" s="771"/>
      <c r="BL3" s="777"/>
      <c r="BM3" s="778" t="s">
        <v>65</v>
      </c>
      <c r="BN3" s="778"/>
      <c r="BO3" s="778" t="s">
        <v>66</v>
      </c>
      <c r="BP3" s="778"/>
      <c r="BQ3" s="778" t="s">
        <v>11</v>
      </c>
      <c r="BR3" s="778"/>
      <c r="BS3" s="778" t="s">
        <v>33</v>
      </c>
      <c r="BT3" s="779"/>
    </row>
    <row r="4" spans="1:73" ht="15" customHeight="1" thickBot="1" x14ac:dyDescent="0.3">
      <c r="A4" s="797"/>
      <c r="B4" s="754"/>
      <c r="C4" s="754"/>
      <c r="D4" s="754"/>
      <c r="E4" s="754"/>
      <c r="F4" s="754"/>
      <c r="G4" s="754"/>
      <c r="H4" s="754"/>
      <c r="I4" s="754"/>
      <c r="J4" s="754"/>
      <c r="K4" s="754"/>
      <c r="L4" s="754"/>
      <c r="M4" s="754"/>
      <c r="N4" s="754"/>
      <c r="O4" s="754"/>
      <c r="P4" s="754"/>
      <c r="Q4" s="754"/>
      <c r="R4" s="754"/>
      <c r="S4" s="754"/>
      <c r="T4" s="754"/>
      <c r="U4" s="754"/>
      <c r="V4" s="754"/>
      <c r="W4" s="754"/>
      <c r="X4" s="755"/>
      <c r="Y4" s="690" t="str">
        <f>IF(M19="Select","Academics",IF(AND(VLOOKUP(M19,AssociatedRef!K2:AO130,8,FALSE)="Yes",'House Rules'!B10="Potent"),"Academics*","Academics"))</f>
        <v>Academics</v>
      </c>
      <c r="Z4" s="691"/>
      <c r="AA4" s="691"/>
      <c r="AB4" s="691"/>
      <c r="AC4" s="694"/>
      <c r="AD4" s="694"/>
      <c r="AE4" s="694"/>
      <c r="AF4" s="694"/>
      <c r="AG4" s="694"/>
      <c r="AH4" s="671">
        <f t="shared" ref="AH4:AH33" si="0">IF(OR(Y4=Q$28,Y4=Q$29,Y4=Q$30,Y4=Q$31,Y4=Q$32,Y4=Q$33),AF4,AF4*2)</f>
        <v>0</v>
      </c>
      <c r="AI4" s="671"/>
      <c r="AJ4" s="788"/>
      <c r="AK4" s="788"/>
      <c r="AL4" s="788"/>
      <c r="AM4" s="789"/>
      <c r="AN4" s="702" t="s">
        <v>80</v>
      </c>
      <c r="AO4" s="703"/>
      <c r="AP4" s="703"/>
      <c r="AQ4" s="703"/>
      <c r="AR4" s="703"/>
      <c r="AS4" s="703"/>
      <c r="AT4" s="704"/>
      <c r="AU4" s="717"/>
      <c r="AV4" s="718"/>
      <c r="AW4" s="668"/>
      <c r="AX4" s="669"/>
      <c r="AY4" s="669"/>
      <c r="AZ4" s="669"/>
      <c r="BA4" s="669"/>
      <c r="BB4" s="670"/>
      <c r="BC4" s="120"/>
      <c r="BD4" s="284">
        <f>IF(BG4="No",BC4,0)</f>
        <v>0</v>
      </c>
      <c r="BE4" s="671" t="str">
        <f>IF(AW4="","",HLOOKUP(AW4,AssociatedRef!$AP$1:$BZ$123,LOOKUP($M$19,AssociatedRef!$AP$2:$AP$123,AssociatedRef!$AQ$2:$AQ$123),FALSE))</f>
        <v/>
      </c>
      <c r="BF4" s="671"/>
      <c r="BG4" s="120" t="s">
        <v>347</v>
      </c>
      <c r="BH4" s="285" t="str">
        <f>IF(BG4="Yes",IF(BE4="Yes",4,5),"")</f>
        <v/>
      </c>
      <c r="BI4" s="761" t="str">
        <f>IF($M$19="Select","Strength",IF(AND(VLOOKUP($M$19,AssociatedRef!$A$2:$J$130,2,FALSE)="Yes",'House Rules'!$B$10="Potent"),"Strength*","Strength"))</f>
        <v>Strength</v>
      </c>
      <c r="BJ4" s="691"/>
      <c r="BK4" s="691"/>
      <c r="BL4" s="691"/>
      <c r="BM4" s="671">
        <f>SUM(E19:L19)</f>
        <v>1</v>
      </c>
      <c r="BN4" s="671"/>
      <c r="BO4" s="694"/>
      <c r="BP4" s="694"/>
      <c r="BQ4" s="694"/>
      <c r="BR4" s="694"/>
      <c r="BS4" s="671">
        <f>IF(LOOKUP($M$19,AssociatedRef!$A$2:$A$123,AssociatedRef!$B$2:$B$123)="Yes",BQ4*4,BQ4*5)</f>
        <v>0</v>
      </c>
      <c r="BT4" s="692"/>
      <c r="BU4" s="283" t="str">
        <f>IF(BI4="Strength*","Yes","No")</f>
        <v>No</v>
      </c>
    </row>
    <row r="5" spans="1:73" ht="15" customHeight="1" x14ac:dyDescent="0.25">
      <c r="A5" s="797"/>
      <c r="B5" s="754"/>
      <c r="C5" s="754"/>
      <c r="D5" s="754"/>
      <c r="E5" s="754"/>
      <c r="F5" s="754"/>
      <c r="G5" s="754"/>
      <c r="H5" s="754"/>
      <c r="I5" s="754"/>
      <c r="J5" s="754"/>
      <c r="K5" s="754"/>
      <c r="L5" s="754"/>
      <c r="M5" s="754"/>
      <c r="N5" s="754"/>
      <c r="O5" s="754"/>
      <c r="P5" s="754"/>
      <c r="Q5" s="754"/>
      <c r="R5" s="754"/>
      <c r="S5" s="754"/>
      <c r="T5" s="754"/>
      <c r="U5" s="754"/>
      <c r="V5" s="754"/>
      <c r="W5" s="754"/>
      <c r="X5" s="755"/>
      <c r="Y5" s="690" t="str">
        <f>IF(M19="Select","Animal Ken",IF(AND(VLOOKUP(M19,AssociatedRef!K2:AO130,9,FALSE)="Yes",'House Rules'!B10="Potent"),"Animal Ken*","Animal Ken"))</f>
        <v>Animal Ken</v>
      </c>
      <c r="Z5" s="691"/>
      <c r="AA5" s="691"/>
      <c r="AB5" s="691"/>
      <c r="AC5" s="694"/>
      <c r="AD5" s="694"/>
      <c r="AE5" s="694"/>
      <c r="AF5" s="694"/>
      <c r="AG5" s="694"/>
      <c r="AH5" s="671">
        <f t="shared" si="0"/>
        <v>0</v>
      </c>
      <c r="AI5" s="671"/>
      <c r="AJ5" s="788"/>
      <c r="AK5" s="788"/>
      <c r="AL5" s="788"/>
      <c r="AM5" s="789"/>
      <c r="AN5" s="715" t="s">
        <v>62</v>
      </c>
      <c r="AO5" s="713"/>
      <c r="AP5" s="713"/>
      <c r="AQ5" s="713"/>
      <c r="AR5" s="713"/>
      <c r="AS5" s="713"/>
      <c r="AT5" s="713" t="s">
        <v>33</v>
      </c>
      <c r="AU5" s="713"/>
      <c r="AV5" s="714"/>
      <c r="AW5" s="668"/>
      <c r="AX5" s="669"/>
      <c r="AY5" s="669"/>
      <c r="AZ5" s="669"/>
      <c r="BA5" s="669"/>
      <c r="BB5" s="670"/>
      <c r="BC5" s="120"/>
      <c r="BD5" s="284">
        <f t="shared" ref="BD5:BD46" si="1">IF(BG5="No",BC5,0)</f>
        <v>0</v>
      </c>
      <c r="BE5" s="671" t="str">
        <f>IF(AW5="","",HLOOKUP(AW5,AssociatedRef!$AP$1:$BZ$123,LOOKUP($M$19,AssociatedRef!$AP$2:$AP$123,AssociatedRef!$AQ$2:$AQ$123),FALSE))</f>
        <v/>
      </c>
      <c r="BF5" s="671"/>
      <c r="BG5" s="120" t="s">
        <v>347</v>
      </c>
      <c r="BH5" s="285" t="str">
        <f t="shared" ref="BH5:BH46" si="2">IF(BG5="Yes",IF(BE5="Yes",4,5),"")</f>
        <v/>
      </c>
      <c r="BI5" s="761" t="str">
        <f>IF($M$19="Select","Dexterity",IF(AND(VLOOKUP($M$19,AssociatedRef!$A$2:$J$130,3,FALSE)="Yes",'House Rules'!$B$10="Potent"),"Dexterity*","Dexterity"))</f>
        <v>Dexterity</v>
      </c>
      <c r="BJ5" s="691"/>
      <c r="BK5" s="691"/>
      <c r="BL5" s="691"/>
      <c r="BM5" s="671">
        <f>SUM(E20:L20)</f>
        <v>1</v>
      </c>
      <c r="BN5" s="671"/>
      <c r="BO5" s="694"/>
      <c r="BP5" s="694"/>
      <c r="BQ5" s="694"/>
      <c r="BR5" s="694"/>
      <c r="BS5" s="671">
        <f>IF(LOOKUP($M$19,AssociatedRef!$A$2:$A$123,AssociatedRef!$C$2:$C$123)="Yes",BQ5*4,BQ5*5)</f>
        <v>0</v>
      </c>
      <c r="BT5" s="692"/>
      <c r="BU5" s="283" t="str">
        <f>IF(BI5="Dexterity*","Yes","No")</f>
        <v>No</v>
      </c>
    </row>
    <row r="6" spans="1:73" ht="15" customHeight="1" x14ac:dyDescent="0.25">
      <c r="A6" s="797"/>
      <c r="B6" s="754"/>
      <c r="C6" s="754"/>
      <c r="D6" s="754"/>
      <c r="E6" s="754"/>
      <c r="F6" s="754"/>
      <c r="G6" s="754"/>
      <c r="H6" s="754"/>
      <c r="I6" s="754"/>
      <c r="J6" s="754"/>
      <c r="K6" s="754"/>
      <c r="L6" s="754"/>
      <c r="M6" s="754"/>
      <c r="N6" s="754"/>
      <c r="O6" s="754"/>
      <c r="P6" s="754"/>
      <c r="Q6" s="754"/>
      <c r="R6" s="754"/>
      <c r="S6" s="754"/>
      <c r="T6" s="754"/>
      <c r="U6" s="754"/>
      <c r="V6" s="754"/>
      <c r="W6" s="754"/>
      <c r="X6" s="755"/>
      <c r="Y6" s="690" t="str">
        <f>IF(M19="Select","Athletics",IF(AND(VLOOKUP(M19,AssociatedRef!K2:AO130,11,FALSE)="Yes",'House Rules'!B10="Potent"),"Athletics*","Athletics"))</f>
        <v>Athletics</v>
      </c>
      <c r="Z6" s="691"/>
      <c r="AA6" s="691"/>
      <c r="AB6" s="691"/>
      <c r="AC6" s="694"/>
      <c r="AD6" s="694"/>
      <c r="AE6" s="694"/>
      <c r="AF6" s="694"/>
      <c r="AG6" s="694"/>
      <c r="AH6" s="671">
        <f t="shared" si="0"/>
        <v>0</v>
      </c>
      <c r="AI6" s="671"/>
      <c r="AJ6" s="788"/>
      <c r="AK6" s="788"/>
      <c r="AL6" s="788"/>
      <c r="AM6" s="789"/>
      <c r="AN6" s="693"/>
      <c r="AO6" s="694"/>
      <c r="AP6" s="694"/>
      <c r="AQ6" s="694"/>
      <c r="AR6" s="694"/>
      <c r="AS6" s="694"/>
      <c r="AT6" s="671" t="str">
        <f>IF(AN6="","",3)</f>
        <v/>
      </c>
      <c r="AU6" s="671"/>
      <c r="AV6" s="692"/>
      <c r="AW6" s="668"/>
      <c r="AX6" s="669"/>
      <c r="AY6" s="669"/>
      <c r="AZ6" s="669"/>
      <c r="BA6" s="669"/>
      <c r="BB6" s="670"/>
      <c r="BC6" s="120"/>
      <c r="BD6" s="284">
        <f t="shared" si="1"/>
        <v>0</v>
      </c>
      <c r="BE6" s="671" t="str">
        <f>IF(AW6="","",HLOOKUP(AW6,AssociatedRef!$AP$1:$BZ$123,LOOKUP($M$19,AssociatedRef!$AP$2:$AP$123,AssociatedRef!$AQ$2:$AQ$123),FALSE))</f>
        <v/>
      </c>
      <c r="BF6" s="671"/>
      <c r="BG6" s="120" t="s">
        <v>347</v>
      </c>
      <c r="BH6" s="285" t="str">
        <f t="shared" si="2"/>
        <v/>
      </c>
      <c r="BI6" s="761" t="str">
        <f>IF($M$19="Select","Stamina",IF(AND(VLOOKUP($M$19,AssociatedRef!$A$2:$J$130,4,FALSE)="Yes",'House Rules'!$B$10="Potent"),"Stamina*","Stamina"))</f>
        <v>Stamina</v>
      </c>
      <c r="BJ6" s="691"/>
      <c r="BK6" s="691"/>
      <c r="BL6" s="691"/>
      <c r="BM6" s="671">
        <f>SUM(E21:L21)</f>
        <v>1</v>
      </c>
      <c r="BN6" s="671"/>
      <c r="BO6" s="694"/>
      <c r="BP6" s="694"/>
      <c r="BQ6" s="694"/>
      <c r="BR6" s="694"/>
      <c r="BS6" s="671">
        <f>IF(LOOKUP($M$19,AssociatedRef!$A$2:$A$123,AssociatedRef!$D$2:$D$123)="Yes",BQ6*4,BQ6*5)</f>
        <v>0</v>
      </c>
      <c r="BT6" s="692"/>
      <c r="BU6" s="283" t="str">
        <f>IF(BI6="Stamina*","Yes","No")</f>
        <v>No</v>
      </c>
    </row>
    <row r="7" spans="1:73" ht="15" customHeight="1" x14ac:dyDescent="0.25">
      <c r="A7" s="797"/>
      <c r="B7" s="754"/>
      <c r="C7" s="754"/>
      <c r="D7" s="754"/>
      <c r="E7" s="754"/>
      <c r="F7" s="754"/>
      <c r="G7" s="754"/>
      <c r="H7" s="754"/>
      <c r="I7" s="754"/>
      <c r="J7" s="754"/>
      <c r="K7" s="754"/>
      <c r="L7" s="754"/>
      <c r="M7" s="754"/>
      <c r="N7" s="754"/>
      <c r="O7" s="754"/>
      <c r="P7" s="754"/>
      <c r="Q7" s="754"/>
      <c r="R7" s="754"/>
      <c r="S7" s="754"/>
      <c r="T7" s="754"/>
      <c r="U7" s="754"/>
      <c r="V7" s="754"/>
      <c r="W7" s="754"/>
      <c r="X7" s="755"/>
      <c r="Y7" s="690" t="str">
        <f>IF(M19="Select","Awareness",IF(AND(VLOOKUP(M19,AssociatedRef!K2:AO130,12,FALSE)="Yes",'House Rules'!B10="Potent"),"Awareness*","Awareness"))</f>
        <v>Awareness</v>
      </c>
      <c r="Z7" s="691"/>
      <c r="AA7" s="691"/>
      <c r="AB7" s="691"/>
      <c r="AC7" s="694"/>
      <c r="AD7" s="694"/>
      <c r="AE7" s="694"/>
      <c r="AF7" s="694"/>
      <c r="AG7" s="694"/>
      <c r="AH7" s="671">
        <f t="shared" si="0"/>
        <v>0</v>
      </c>
      <c r="AI7" s="671"/>
      <c r="AJ7" s="788"/>
      <c r="AK7" s="788"/>
      <c r="AL7" s="788"/>
      <c r="AM7" s="789"/>
      <c r="AN7" s="693"/>
      <c r="AO7" s="694"/>
      <c r="AP7" s="694"/>
      <c r="AQ7" s="694"/>
      <c r="AR7" s="694"/>
      <c r="AS7" s="694"/>
      <c r="AT7" s="671" t="str">
        <f t="shared" ref="AT7:AT33" si="3">IF(AN7="","",3)</f>
        <v/>
      </c>
      <c r="AU7" s="671"/>
      <c r="AV7" s="692"/>
      <c r="AW7" s="668"/>
      <c r="AX7" s="669"/>
      <c r="AY7" s="669"/>
      <c r="AZ7" s="669"/>
      <c r="BA7" s="669"/>
      <c r="BB7" s="670"/>
      <c r="BC7" s="120"/>
      <c r="BD7" s="284">
        <f t="shared" si="1"/>
        <v>0</v>
      </c>
      <c r="BE7" s="671" t="str">
        <f>IF(AW7="","",HLOOKUP(AW7,AssociatedRef!$AP$1:$BZ$123,LOOKUP($M$19,AssociatedRef!$AP$2:$AP$123,AssociatedRef!$AQ$2:$AQ$123),FALSE))</f>
        <v/>
      </c>
      <c r="BF7" s="671"/>
      <c r="BG7" s="120" t="s">
        <v>347</v>
      </c>
      <c r="BH7" s="285" t="str">
        <f t="shared" si="2"/>
        <v/>
      </c>
      <c r="BI7" s="761" t="str">
        <f>IF($M$19="Select","Charisma",IF(AND(VLOOKUP($M$19,AssociatedRef!$A$2:$J$130,5,FALSE)="Yes",'House Rules'!$B$10="Potent"),"Charisma*","Charisma"))</f>
        <v>Charisma</v>
      </c>
      <c r="BJ7" s="691"/>
      <c r="BK7" s="691"/>
      <c r="BL7" s="691"/>
      <c r="BM7" s="671">
        <f>SUM(E25:L25)</f>
        <v>1</v>
      </c>
      <c r="BN7" s="671"/>
      <c r="BO7" s="694"/>
      <c r="BP7" s="694"/>
      <c r="BQ7" s="694"/>
      <c r="BR7" s="694"/>
      <c r="BS7" s="671">
        <f>IF(LOOKUP($M$19,AssociatedRef!$A$2:$A$123,AssociatedRef!$E$2:$E$123)="Yes",BQ7*4,BQ7*5)</f>
        <v>0</v>
      </c>
      <c r="BT7" s="692"/>
      <c r="BU7" s="283" t="str">
        <f>IF(BI7="Charisma*","Yes","No")</f>
        <v>No</v>
      </c>
    </row>
    <row r="8" spans="1:73" ht="15" customHeight="1" x14ac:dyDescent="0.25">
      <c r="A8" s="797"/>
      <c r="B8" s="754"/>
      <c r="C8" s="754"/>
      <c r="D8" s="754"/>
      <c r="E8" s="754"/>
      <c r="F8" s="754"/>
      <c r="G8" s="754"/>
      <c r="H8" s="754"/>
      <c r="I8" s="754"/>
      <c r="J8" s="754"/>
      <c r="K8" s="754"/>
      <c r="L8" s="754"/>
      <c r="M8" s="754"/>
      <c r="N8" s="754"/>
      <c r="O8" s="754"/>
      <c r="P8" s="754"/>
      <c r="Q8" s="754"/>
      <c r="R8" s="754"/>
      <c r="S8" s="754"/>
      <c r="T8" s="754"/>
      <c r="U8" s="754"/>
      <c r="V8" s="754"/>
      <c r="W8" s="754"/>
      <c r="X8" s="755"/>
      <c r="Y8" s="690" t="str">
        <f>IF(M19="Select","Brawl",IF(AND(VLOOKUP(M19,AssociatedRef!K2:AO130,13,FALSE)="Yes",'House Rules'!B10="Potent"),"Brawl*","Brawl"))</f>
        <v>Brawl</v>
      </c>
      <c r="Z8" s="691"/>
      <c r="AA8" s="691"/>
      <c r="AB8" s="691"/>
      <c r="AC8" s="694"/>
      <c r="AD8" s="694"/>
      <c r="AE8" s="694"/>
      <c r="AF8" s="694"/>
      <c r="AG8" s="694"/>
      <c r="AH8" s="671">
        <f t="shared" si="0"/>
        <v>0</v>
      </c>
      <c r="AI8" s="671"/>
      <c r="AJ8" s="788"/>
      <c r="AK8" s="788"/>
      <c r="AL8" s="788"/>
      <c r="AM8" s="789"/>
      <c r="AN8" s="693"/>
      <c r="AO8" s="694"/>
      <c r="AP8" s="694"/>
      <c r="AQ8" s="694"/>
      <c r="AR8" s="694"/>
      <c r="AS8" s="694"/>
      <c r="AT8" s="671" t="str">
        <f t="shared" si="3"/>
        <v/>
      </c>
      <c r="AU8" s="671"/>
      <c r="AV8" s="692"/>
      <c r="AW8" s="668"/>
      <c r="AX8" s="669"/>
      <c r="AY8" s="669"/>
      <c r="AZ8" s="669"/>
      <c r="BA8" s="669"/>
      <c r="BB8" s="670"/>
      <c r="BC8" s="120"/>
      <c r="BD8" s="284">
        <f t="shared" si="1"/>
        <v>0</v>
      </c>
      <c r="BE8" s="671" t="str">
        <f>IF(AW8="","",HLOOKUP(AW8,AssociatedRef!$AP$1:$BZ$123,LOOKUP($M$19,AssociatedRef!$AP$2:$AP$123,AssociatedRef!$AQ$2:$AQ$123),FALSE))</f>
        <v/>
      </c>
      <c r="BF8" s="671"/>
      <c r="BG8" s="120" t="s">
        <v>347</v>
      </c>
      <c r="BH8" s="285" t="str">
        <f t="shared" si="2"/>
        <v/>
      </c>
      <c r="BI8" s="761" t="str">
        <f>IF($M$19="Select","Manipulation",IF(AND(VLOOKUP($M$19,AssociatedRef!$A$2:$J$130,6,FALSE)="Yes",'House Rules'!$B$10="Potent"),"Manipulation*","Manipulation"))</f>
        <v>Manipulation</v>
      </c>
      <c r="BJ8" s="691"/>
      <c r="BK8" s="691"/>
      <c r="BL8" s="691"/>
      <c r="BM8" s="671">
        <f>SUM(E26:L26)</f>
        <v>1</v>
      </c>
      <c r="BN8" s="671"/>
      <c r="BO8" s="694"/>
      <c r="BP8" s="694"/>
      <c r="BQ8" s="694"/>
      <c r="BR8" s="694"/>
      <c r="BS8" s="671">
        <f>IF(LOOKUP($M$19,AssociatedRef!$A$2:$A$123,AssociatedRef!$F$2:$F$123)="Yes",BQ8*4,BQ8*5)</f>
        <v>0</v>
      </c>
      <c r="BT8" s="692"/>
      <c r="BU8" s="283" t="str">
        <f>IF(BI8="Manipulation*","Yes","No")</f>
        <v>No</v>
      </c>
    </row>
    <row r="9" spans="1:73" ht="15" customHeight="1" x14ac:dyDescent="0.25">
      <c r="A9" s="797"/>
      <c r="B9" s="754"/>
      <c r="C9" s="754"/>
      <c r="D9" s="754"/>
      <c r="E9" s="754"/>
      <c r="F9" s="754"/>
      <c r="G9" s="754"/>
      <c r="H9" s="754"/>
      <c r="I9" s="754"/>
      <c r="J9" s="754"/>
      <c r="K9" s="754"/>
      <c r="L9" s="754"/>
      <c r="M9" s="754"/>
      <c r="N9" s="754"/>
      <c r="O9" s="754"/>
      <c r="P9" s="754"/>
      <c r="Q9" s="754"/>
      <c r="R9" s="754"/>
      <c r="S9" s="754"/>
      <c r="T9" s="754"/>
      <c r="U9" s="754"/>
      <c r="V9" s="754"/>
      <c r="W9" s="754"/>
      <c r="X9" s="755"/>
      <c r="Y9" s="690" t="str">
        <f>IF(M19="Select","Command",IF(AND(VLOOKUP(M19,AssociatedRef!K2:AO130,14,FALSE)="Yes",'House Rules'!B10="Potent"),"Command*","Command"))</f>
        <v>Command</v>
      </c>
      <c r="Z9" s="691"/>
      <c r="AA9" s="691"/>
      <c r="AB9" s="691"/>
      <c r="AC9" s="694"/>
      <c r="AD9" s="694"/>
      <c r="AE9" s="694"/>
      <c r="AF9" s="694"/>
      <c r="AG9" s="694"/>
      <c r="AH9" s="671">
        <f t="shared" si="0"/>
        <v>0</v>
      </c>
      <c r="AI9" s="671"/>
      <c r="AJ9" s="788"/>
      <c r="AK9" s="788"/>
      <c r="AL9" s="788"/>
      <c r="AM9" s="789"/>
      <c r="AN9" s="693"/>
      <c r="AO9" s="694"/>
      <c r="AP9" s="694"/>
      <c r="AQ9" s="694"/>
      <c r="AR9" s="694"/>
      <c r="AS9" s="694"/>
      <c r="AT9" s="671" t="str">
        <f t="shared" si="3"/>
        <v/>
      </c>
      <c r="AU9" s="671"/>
      <c r="AV9" s="692"/>
      <c r="AW9" s="668"/>
      <c r="AX9" s="669"/>
      <c r="AY9" s="669"/>
      <c r="AZ9" s="669"/>
      <c r="BA9" s="669"/>
      <c r="BB9" s="670"/>
      <c r="BC9" s="120"/>
      <c r="BD9" s="284">
        <f t="shared" si="1"/>
        <v>0</v>
      </c>
      <c r="BE9" s="671" t="str">
        <f>IF(AW9="","",HLOOKUP(AW9,AssociatedRef!$AP$1:$BZ$123,LOOKUP($M$19,AssociatedRef!$AP$2:$AP$123,AssociatedRef!$AQ$2:$AQ$123),FALSE))</f>
        <v/>
      </c>
      <c r="BF9" s="671"/>
      <c r="BG9" s="120" t="s">
        <v>347</v>
      </c>
      <c r="BH9" s="285" t="str">
        <f t="shared" si="2"/>
        <v/>
      </c>
      <c r="BI9" s="761" t="str">
        <f>IF($M$19="Select","Appearance",IF(AND(VLOOKUP($M$19,AssociatedRef!$A$2:$J$130,7,FALSE)="Yes",'House Rules'!$B$10="Potent"),"Appearance*","Appearance"))</f>
        <v>Appearance</v>
      </c>
      <c r="BJ9" s="691"/>
      <c r="BK9" s="691"/>
      <c r="BL9" s="691"/>
      <c r="BM9" s="671">
        <f>SUM(E27:L27)</f>
        <v>1</v>
      </c>
      <c r="BN9" s="671"/>
      <c r="BO9" s="694"/>
      <c r="BP9" s="694"/>
      <c r="BQ9" s="694"/>
      <c r="BR9" s="694"/>
      <c r="BS9" s="671">
        <f>IF(LOOKUP($M$19,AssociatedRef!$A$2:$A$123,AssociatedRef!$G$2:$G$123)="Yes",BQ9*4,BQ9*5)</f>
        <v>0</v>
      </c>
      <c r="BT9" s="692"/>
      <c r="BU9" s="283" t="str">
        <f>IF(BI9="Appearance*","Yes","No")</f>
        <v>No</v>
      </c>
    </row>
    <row r="10" spans="1:73" ht="15" customHeight="1" x14ac:dyDescent="0.25">
      <c r="A10" s="797"/>
      <c r="B10" s="754"/>
      <c r="C10" s="754"/>
      <c r="D10" s="754"/>
      <c r="E10" s="754"/>
      <c r="F10" s="754"/>
      <c r="G10" s="754"/>
      <c r="H10" s="754"/>
      <c r="I10" s="754"/>
      <c r="J10" s="754"/>
      <c r="K10" s="754"/>
      <c r="L10" s="754"/>
      <c r="M10" s="754"/>
      <c r="N10" s="754"/>
      <c r="O10" s="754"/>
      <c r="P10" s="754"/>
      <c r="Q10" s="754"/>
      <c r="R10" s="754"/>
      <c r="S10" s="754"/>
      <c r="T10" s="754"/>
      <c r="U10" s="754"/>
      <c r="V10" s="754"/>
      <c r="W10" s="754"/>
      <c r="X10" s="755"/>
      <c r="Y10" s="690" t="str">
        <f>IF(M19="Select","Empathy",IF(AND(VLOOKUP(M19,AssociatedRef!K2:AO130,17,FALSE)="Yes",'House Rules'!B10="Potent"),"Empathy*","Empathy"))</f>
        <v>Empathy</v>
      </c>
      <c r="Z10" s="691"/>
      <c r="AA10" s="691"/>
      <c r="AB10" s="691"/>
      <c r="AC10" s="694"/>
      <c r="AD10" s="694"/>
      <c r="AE10" s="694"/>
      <c r="AF10" s="694"/>
      <c r="AG10" s="694"/>
      <c r="AH10" s="671">
        <f t="shared" si="0"/>
        <v>0</v>
      </c>
      <c r="AI10" s="671"/>
      <c r="AJ10" s="788"/>
      <c r="AK10" s="788"/>
      <c r="AL10" s="788"/>
      <c r="AM10" s="789"/>
      <c r="AN10" s="693"/>
      <c r="AO10" s="694"/>
      <c r="AP10" s="694"/>
      <c r="AQ10" s="694"/>
      <c r="AR10" s="694"/>
      <c r="AS10" s="694"/>
      <c r="AT10" s="671" t="str">
        <f t="shared" si="3"/>
        <v/>
      </c>
      <c r="AU10" s="671"/>
      <c r="AV10" s="692"/>
      <c r="AW10" s="668"/>
      <c r="AX10" s="669"/>
      <c r="AY10" s="669"/>
      <c r="AZ10" s="669"/>
      <c r="BA10" s="669"/>
      <c r="BB10" s="670"/>
      <c r="BC10" s="120"/>
      <c r="BD10" s="284">
        <f t="shared" si="1"/>
        <v>0</v>
      </c>
      <c r="BE10" s="671" t="str">
        <f>IF(AW10="","",HLOOKUP(AW10,AssociatedRef!$AP$1:$BZ$123,LOOKUP($M$19,AssociatedRef!$AP$2:$AP$123,AssociatedRef!$AQ$2:$AQ$123),FALSE))</f>
        <v/>
      </c>
      <c r="BF10" s="671"/>
      <c r="BG10" s="120" t="s">
        <v>347</v>
      </c>
      <c r="BH10" s="285" t="str">
        <f t="shared" si="2"/>
        <v/>
      </c>
      <c r="BI10" s="761" t="str">
        <f>IF($M$19="Select","Perception",IF(AND(VLOOKUP($M$19,AssociatedRef!$A$2:$J$130,8,FALSE)="Yes",'House Rules'!$B$10="Potent"),"Perception*","Perception"))</f>
        <v>Perception</v>
      </c>
      <c r="BJ10" s="691"/>
      <c r="BK10" s="691"/>
      <c r="BL10" s="691"/>
      <c r="BM10" s="671">
        <f>SUM(E31:L31)</f>
        <v>1</v>
      </c>
      <c r="BN10" s="671"/>
      <c r="BO10" s="694"/>
      <c r="BP10" s="694"/>
      <c r="BQ10" s="694"/>
      <c r="BR10" s="694"/>
      <c r="BS10" s="671">
        <f>IF(LOOKUP($M$19,AssociatedRef!$A$2:$A$123,AssociatedRef!$H$2:$H$123)="Yes",BQ10*4,BQ10*5)</f>
        <v>0</v>
      </c>
      <c r="BT10" s="692"/>
      <c r="BU10" s="283" t="str">
        <f>IF(BI10="Perception*","Yes","No")</f>
        <v>No</v>
      </c>
    </row>
    <row r="11" spans="1:73" ht="15" customHeight="1" thickBot="1" x14ac:dyDescent="0.3">
      <c r="A11" s="797"/>
      <c r="B11" s="754"/>
      <c r="C11" s="754"/>
      <c r="D11" s="754"/>
      <c r="E11" s="754"/>
      <c r="F11" s="754"/>
      <c r="G11" s="754"/>
      <c r="H11" s="754"/>
      <c r="I11" s="754"/>
      <c r="J11" s="754"/>
      <c r="K11" s="754"/>
      <c r="L11" s="754"/>
      <c r="M11" s="754"/>
      <c r="N11" s="754"/>
      <c r="O11" s="754"/>
      <c r="P11" s="754"/>
      <c r="Q11" s="754"/>
      <c r="R11" s="754"/>
      <c r="S11" s="754"/>
      <c r="T11" s="754"/>
      <c r="U11" s="754"/>
      <c r="V11" s="754"/>
      <c r="W11" s="754"/>
      <c r="X11" s="755"/>
      <c r="Y11" s="690" t="str">
        <f>IF(M19="Select","Fortitude",IF(AND(VLOOKUP(M19,AssociatedRef!K2:AO130,18,FALSE)="Yes",'House Rules'!B10="Potent"),"Fortitude*","Fortitude"))</f>
        <v>Fortitude</v>
      </c>
      <c r="Z11" s="691"/>
      <c r="AA11" s="691"/>
      <c r="AB11" s="691"/>
      <c r="AC11" s="694"/>
      <c r="AD11" s="694"/>
      <c r="AE11" s="694"/>
      <c r="AF11" s="694"/>
      <c r="AG11" s="694"/>
      <c r="AH11" s="671">
        <f t="shared" si="0"/>
        <v>0</v>
      </c>
      <c r="AI11" s="671"/>
      <c r="AJ11" s="788"/>
      <c r="AK11" s="788"/>
      <c r="AL11" s="788"/>
      <c r="AM11" s="789"/>
      <c r="AN11" s="693"/>
      <c r="AO11" s="694"/>
      <c r="AP11" s="694"/>
      <c r="AQ11" s="694"/>
      <c r="AR11" s="694"/>
      <c r="AS11" s="694"/>
      <c r="AT11" s="671" t="str">
        <f t="shared" si="3"/>
        <v/>
      </c>
      <c r="AU11" s="671"/>
      <c r="AV11" s="692"/>
      <c r="AW11" s="668"/>
      <c r="AX11" s="669"/>
      <c r="AY11" s="669"/>
      <c r="AZ11" s="669"/>
      <c r="BA11" s="669"/>
      <c r="BB11" s="670"/>
      <c r="BC11" s="120"/>
      <c r="BD11" s="284">
        <f t="shared" si="1"/>
        <v>0</v>
      </c>
      <c r="BE11" s="671" t="str">
        <f>IF(AW11="","",HLOOKUP(AW11,AssociatedRef!$AP$1:$BZ$123,LOOKUP($M$19,AssociatedRef!$AP$2:$AP$123,AssociatedRef!$AQ$2:$AQ$123),FALSE))</f>
        <v/>
      </c>
      <c r="BF11" s="671"/>
      <c r="BG11" s="120" t="s">
        <v>347</v>
      </c>
      <c r="BH11" s="285" t="str">
        <f t="shared" si="2"/>
        <v/>
      </c>
      <c r="BI11" s="761" t="str">
        <f>IF($M$19="Select","Intelligence",IF(AND(VLOOKUP($M$19,AssociatedRef!$A$2:$J$130,9,FALSE)="Yes",'House Rules'!$B$10="Potent"),"Intelligence*","Intelligence"))</f>
        <v>Intelligence</v>
      </c>
      <c r="BJ11" s="691"/>
      <c r="BK11" s="691"/>
      <c r="BL11" s="691"/>
      <c r="BM11" s="671">
        <f>SUM(E32:L32)</f>
        <v>1</v>
      </c>
      <c r="BN11" s="671"/>
      <c r="BO11" s="694"/>
      <c r="BP11" s="694"/>
      <c r="BQ11" s="694"/>
      <c r="BR11" s="694"/>
      <c r="BS11" s="671">
        <f>IF(LOOKUP($M$19,AssociatedRef!$A$2:$A$123,AssociatedRef!$I$2:$I$123)="Yes",BQ11*4,BQ11*5)</f>
        <v>0</v>
      </c>
      <c r="BT11" s="692"/>
      <c r="BU11" s="283" t="str">
        <f>IF(BI11="Intelligence*","Yes","No")</f>
        <v>No</v>
      </c>
    </row>
    <row r="12" spans="1:73" ht="15" customHeight="1" x14ac:dyDescent="0.25">
      <c r="A12" s="715" t="s">
        <v>0</v>
      </c>
      <c r="B12" s="713"/>
      <c r="C12" s="713"/>
      <c r="D12" s="713"/>
      <c r="E12" s="790"/>
      <c r="F12" s="790"/>
      <c r="G12" s="790"/>
      <c r="H12" s="790"/>
      <c r="I12" s="790"/>
      <c r="J12" s="790"/>
      <c r="K12" s="790"/>
      <c r="L12" s="790"/>
      <c r="M12" s="790"/>
      <c r="N12" s="791"/>
      <c r="O12" s="715" t="s">
        <v>2</v>
      </c>
      <c r="P12" s="713"/>
      <c r="Q12" s="713"/>
      <c r="R12" s="713"/>
      <c r="S12" s="790"/>
      <c r="T12" s="790"/>
      <c r="U12" s="790"/>
      <c r="V12" s="790"/>
      <c r="W12" s="790"/>
      <c r="X12" s="791"/>
      <c r="Y12" s="761" t="str">
        <f>IF(M19="Select","Integrity",IF(AND(VLOOKUP(M19,AssociatedRef!K2:AO130,19,FALSE)="Yes",'House Rules'!B10="Potent"),"Integrity*","Integrity"))</f>
        <v>Integrity</v>
      </c>
      <c r="Z12" s="691"/>
      <c r="AA12" s="691"/>
      <c r="AB12" s="691"/>
      <c r="AC12" s="694"/>
      <c r="AD12" s="694"/>
      <c r="AE12" s="694"/>
      <c r="AF12" s="694"/>
      <c r="AG12" s="694"/>
      <c r="AH12" s="671">
        <f t="shared" si="0"/>
        <v>0</v>
      </c>
      <c r="AI12" s="671"/>
      <c r="AJ12" s="788"/>
      <c r="AK12" s="788"/>
      <c r="AL12" s="788"/>
      <c r="AM12" s="789"/>
      <c r="AN12" s="693"/>
      <c r="AO12" s="694"/>
      <c r="AP12" s="694"/>
      <c r="AQ12" s="694"/>
      <c r="AR12" s="694"/>
      <c r="AS12" s="694"/>
      <c r="AT12" s="671" t="str">
        <f t="shared" si="3"/>
        <v/>
      </c>
      <c r="AU12" s="671"/>
      <c r="AV12" s="692"/>
      <c r="AW12" s="668"/>
      <c r="AX12" s="669"/>
      <c r="AY12" s="669"/>
      <c r="AZ12" s="669"/>
      <c r="BA12" s="669"/>
      <c r="BB12" s="670"/>
      <c r="BC12" s="120"/>
      <c r="BD12" s="284">
        <f t="shared" si="1"/>
        <v>0</v>
      </c>
      <c r="BE12" s="671" t="str">
        <f>IF(AW12="","",HLOOKUP(AW12,AssociatedRef!$AP$1:$BZ$123,LOOKUP($M$19,AssociatedRef!$AP$2:$AP$123,AssociatedRef!$AQ$2:$AQ$123),FALSE))</f>
        <v/>
      </c>
      <c r="BF12" s="671"/>
      <c r="BG12" s="120" t="s">
        <v>347</v>
      </c>
      <c r="BH12" s="285" t="str">
        <f t="shared" si="2"/>
        <v/>
      </c>
      <c r="BI12" s="761" t="str">
        <f>IF($M$19="Select","Wits",IF(AND(VLOOKUP($M$19,AssociatedRef!$A$2:$J$130,10,FALSE)="Yes",'House Rules'!$B$10="Potent"),"Wits*","Wits"))</f>
        <v>Wits</v>
      </c>
      <c r="BJ12" s="691"/>
      <c r="BK12" s="691"/>
      <c r="BL12" s="691"/>
      <c r="BM12" s="671">
        <f>SUM(E33:L33)</f>
        <v>1</v>
      </c>
      <c r="BN12" s="671"/>
      <c r="BO12" s="694"/>
      <c r="BP12" s="694"/>
      <c r="BQ12" s="694"/>
      <c r="BR12" s="694"/>
      <c r="BS12" s="671">
        <f>IF(LOOKUP($M$19,AssociatedRef!$A$2:$A$123,AssociatedRef!$J$2:$J$123)="Yes",BQ12*4,BQ12*5)</f>
        <v>0</v>
      </c>
      <c r="BT12" s="692"/>
      <c r="BU12" s="283" t="str">
        <f>IF(BI12="Wits*","Yes","No")</f>
        <v>No</v>
      </c>
    </row>
    <row r="13" spans="1:73" ht="15" customHeight="1" thickBot="1" x14ac:dyDescent="0.3">
      <c r="A13" s="708" t="s">
        <v>1</v>
      </c>
      <c r="B13" s="709"/>
      <c r="C13" s="709"/>
      <c r="D13" s="709"/>
      <c r="E13" s="792"/>
      <c r="F13" s="792"/>
      <c r="G13" s="792"/>
      <c r="H13" s="792"/>
      <c r="I13" s="792"/>
      <c r="J13" s="792"/>
      <c r="K13" s="792"/>
      <c r="L13" s="792"/>
      <c r="M13" s="792"/>
      <c r="N13" s="793"/>
      <c r="O13" s="708" t="s">
        <v>4</v>
      </c>
      <c r="P13" s="709"/>
      <c r="Q13" s="709"/>
      <c r="R13" s="709"/>
      <c r="S13" s="792" t="s">
        <v>59</v>
      </c>
      <c r="T13" s="792"/>
      <c r="U13" s="792"/>
      <c r="V13" s="792"/>
      <c r="W13" s="792"/>
      <c r="X13" s="793"/>
      <c r="Y13" s="761" t="str">
        <f>IF(M19="Select","Investigation",IF(AND(VLOOKUP(M19,AssociatedRef!K2:AO130,20,FALSE)="Yes",'House Rules'!B10="Potent"),"Investigation*","Investigation"))</f>
        <v>Investigation</v>
      </c>
      <c r="Z13" s="691"/>
      <c r="AA13" s="691"/>
      <c r="AB13" s="691"/>
      <c r="AC13" s="694"/>
      <c r="AD13" s="694"/>
      <c r="AE13" s="694"/>
      <c r="AF13" s="694"/>
      <c r="AG13" s="694"/>
      <c r="AH13" s="671">
        <f t="shared" si="0"/>
        <v>0</v>
      </c>
      <c r="AI13" s="671"/>
      <c r="AJ13" s="788"/>
      <c r="AK13" s="788"/>
      <c r="AL13" s="788"/>
      <c r="AM13" s="789"/>
      <c r="AN13" s="693"/>
      <c r="AO13" s="694"/>
      <c r="AP13" s="694"/>
      <c r="AQ13" s="694"/>
      <c r="AR13" s="694"/>
      <c r="AS13" s="694"/>
      <c r="AT13" s="671" t="str">
        <f t="shared" si="3"/>
        <v/>
      </c>
      <c r="AU13" s="671"/>
      <c r="AV13" s="692"/>
      <c r="AW13" s="668"/>
      <c r="AX13" s="669"/>
      <c r="AY13" s="669"/>
      <c r="AZ13" s="669"/>
      <c r="BA13" s="669"/>
      <c r="BB13" s="670"/>
      <c r="BC13" s="120"/>
      <c r="BD13" s="284">
        <f t="shared" si="1"/>
        <v>0</v>
      </c>
      <c r="BE13" s="671" t="str">
        <f>IF(AW13="","",HLOOKUP(AW13,AssociatedRef!$AP$1:$BZ$123,LOOKUP($M$19,AssociatedRef!$AP$2:$AP$123,AssociatedRef!$AQ$2:$AQ$123),FALSE))</f>
        <v/>
      </c>
      <c r="BF13" s="671"/>
      <c r="BG13" s="120" t="s">
        <v>347</v>
      </c>
      <c r="BH13" s="285" t="str">
        <f t="shared" si="2"/>
        <v/>
      </c>
      <c r="BI13" s="776"/>
      <c r="BJ13" s="736"/>
      <c r="BK13" s="736"/>
      <c r="BL13" s="736"/>
      <c r="BM13" s="737" t="s">
        <v>28</v>
      </c>
      <c r="BN13" s="737"/>
      <c r="BO13" s="736">
        <f>SUM(BO4:BP12)</f>
        <v>0</v>
      </c>
      <c r="BP13" s="736"/>
      <c r="BQ13" s="712"/>
      <c r="BR13" s="712"/>
      <c r="BS13" s="712"/>
      <c r="BT13" s="720"/>
    </row>
    <row r="14" spans="1:73" ht="15" customHeight="1" x14ac:dyDescent="0.25">
      <c r="A14" s="798" t="s">
        <v>1749</v>
      </c>
      <c r="B14" s="798"/>
      <c r="C14" s="798"/>
      <c r="D14" s="798"/>
      <c r="E14" s="798"/>
      <c r="F14" s="798"/>
      <c r="G14" s="798"/>
      <c r="H14" s="798"/>
      <c r="I14" s="798"/>
      <c r="J14" s="798"/>
      <c r="K14" s="798"/>
      <c r="L14" s="798"/>
      <c r="M14" s="798"/>
      <c r="N14" s="798"/>
      <c r="O14" s="798"/>
      <c r="P14" s="798"/>
      <c r="Q14" s="798"/>
      <c r="R14" s="798"/>
      <c r="S14" s="798"/>
      <c r="T14" s="798"/>
      <c r="U14" s="798"/>
      <c r="V14" s="798"/>
      <c r="W14" s="798"/>
      <c r="X14" s="799"/>
      <c r="Y14" s="690" t="str">
        <f>IF(M19="Select","Larceny",IF(AND(VLOOKUP(M19,AssociatedRef!K2:AO130,21,FALSE)="Yes",'House Rules'!B10="Potent"),"Larceny*","Larceny"))</f>
        <v>Larceny</v>
      </c>
      <c r="Z14" s="691"/>
      <c r="AA14" s="691"/>
      <c r="AB14" s="691"/>
      <c r="AC14" s="694"/>
      <c r="AD14" s="694"/>
      <c r="AE14" s="694"/>
      <c r="AF14" s="694"/>
      <c r="AG14" s="694"/>
      <c r="AH14" s="671">
        <f t="shared" si="0"/>
        <v>0</v>
      </c>
      <c r="AI14" s="671"/>
      <c r="AJ14" s="788"/>
      <c r="AK14" s="788"/>
      <c r="AL14" s="788"/>
      <c r="AM14" s="789"/>
      <c r="AN14" s="693"/>
      <c r="AO14" s="694"/>
      <c r="AP14" s="694"/>
      <c r="AQ14" s="694"/>
      <c r="AR14" s="694"/>
      <c r="AS14" s="694"/>
      <c r="AT14" s="671" t="str">
        <f t="shared" si="3"/>
        <v/>
      </c>
      <c r="AU14" s="671"/>
      <c r="AV14" s="692"/>
      <c r="AW14" s="668"/>
      <c r="AX14" s="669"/>
      <c r="AY14" s="669"/>
      <c r="AZ14" s="669"/>
      <c r="BA14" s="669"/>
      <c r="BB14" s="670"/>
      <c r="BC14" s="120"/>
      <c r="BD14" s="284">
        <f t="shared" si="1"/>
        <v>0</v>
      </c>
      <c r="BE14" s="671" t="str">
        <f>IF(AW14="","",HLOOKUP(AW14,AssociatedRef!$AP$1:$BZ$123,LOOKUP($M$19,AssociatedRef!$AP$2:$AP$123,AssociatedRef!$AQ$2:$AQ$123),FALSE))</f>
        <v/>
      </c>
      <c r="BF14" s="671"/>
      <c r="BG14" s="120" t="s">
        <v>347</v>
      </c>
      <c r="BH14" s="285" t="str">
        <f t="shared" si="2"/>
        <v/>
      </c>
      <c r="BI14" s="774" t="s">
        <v>73</v>
      </c>
      <c r="BJ14" s="722"/>
      <c r="BK14" s="722"/>
      <c r="BL14" s="722"/>
      <c r="BM14" s="722"/>
      <c r="BN14" s="722"/>
      <c r="BO14" s="765">
        <f>SUM(BO13,BD4:BD46)</f>
        <v>0</v>
      </c>
      <c r="BP14" s="766"/>
      <c r="BQ14" s="684"/>
      <c r="BR14" s="685"/>
      <c r="BS14" s="685"/>
      <c r="BT14" s="688"/>
    </row>
    <row r="15" spans="1:73" ht="15" customHeight="1" thickBot="1" x14ac:dyDescent="0.3">
      <c r="A15" s="800"/>
      <c r="B15" s="800"/>
      <c r="C15" s="800"/>
      <c r="D15" s="800"/>
      <c r="E15" s="800"/>
      <c r="F15" s="800"/>
      <c r="G15" s="800"/>
      <c r="H15" s="800"/>
      <c r="I15" s="800"/>
      <c r="J15" s="800"/>
      <c r="K15" s="800"/>
      <c r="L15" s="800"/>
      <c r="M15" s="800"/>
      <c r="N15" s="800"/>
      <c r="O15" s="800"/>
      <c r="P15" s="800"/>
      <c r="Q15" s="800"/>
      <c r="R15" s="800"/>
      <c r="S15" s="800"/>
      <c r="T15" s="800"/>
      <c r="U15" s="800"/>
      <c r="V15" s="800"/>
      <c r="W15" s="800"/>
      <c r="X15" s="801"/>
      <c r="Y15" s="690" t="str">
        <f>IF(M19="Select","Marksmanship",IF(AND(VLOOKUP(M19,AssociatedRef!K2:AO130,22,FALSE)="Yes",'House Rules'!B10="Potent"),"Marksmanship*","Marksmanship"))</f>
        <v>Marksmanship</v>
      </c>
      <c r="Z15" s="691"/>
      <c r="AA15" s="691"/>
      <c r="AB15" s="691"/>
      <c r="AC15" s="694"/>
      <c r="AD15" s="694"/>
      <c r="AE15" s="694"/>
      <c r="AF15" s="694"/>
      <c r="AG15" s="694"/>
      <c r="AH15" s="671">
        <f t="shared" si="0"/>
        <v>0</v>
      </c>
      <c r="AI15" s="671"/>
      <c r="AJ15" s="788"/>
      <c r="AK15" s="788"/>
      <c r="AL15" s="788"/>
      <c r="AM15" s="789"/>
      <c r="AN15" s="693"/>
      <c r="AO15" s="694"/>
      <c r="AP15" s="694"/>
      <c r="AQ15" s="694"/>
      <c r="AR15" s="694"/>
      <c r="AS15" s="694"/>
      <c r="AT15" s="671" t="str">
        <f t="shared" si="3"/>
        <v/>
      </c>
      <c r="AU15" s="671"/>
      <c r="AV15" s="692"/>
      <c r="AW15" s="668"/>
      <c r="AX15" s="669"/>
      <c r="AY15" s="669"/>
      <c r="AZ15" s="669"/>
      <c r="BA15" s="669"/>
      <c r="BB15" s="670"/>
      <c r="BC15" s="120"/>
      <c r="BD15" s="284">
        <f t="shared" si="1"/>
        <v>0</v>
      </c>
      <c r="BE15" s="671" t="str">
        <f>IF(AW15="","",HLOOKUP(AW15,AssociatedRef!$AP$1:$BZ$123,LOOKUP($M$19,AssociatedRef!$AP$2:$AP$123,AssociatedRef!$AQ$2:$AQ$123),FALSE))</f>
        <v/>
      </c>
      <c r="BF15" s="671"/>
      <c r="BG15" s="120" t="s">
        <v>347</v>
      </c>
      <c r="BH15" s="285" t="str">
        <f t="shared" si="2"/>
        <v/>
      </c>
      <c r="BI15" s="775"/>
      <c r="BJ15" s="724"/>
      <c r="BK15" s="724"/>
      <c r="BL15" s="724"/>
      <c r="BM15" s="724"/>
      <c r="BN15" s="724"/>
      <c r="BO15" s="767"/>
      <c r="BP15" s="768"/>
      <c r="BQ15" s="686"/>
      <c r="BR15" s="771"/>
      <c r="BS15" s="771"/>
      <c r="BT15" s="689"/>
    </row>
    <row r="16" spans="1:73" ht="15" customHeight="1" thickBot="1" x14ac:dyDescent="0.3">
      <c r="A16" s="695" t="s">
        <v>8</v>
      </c>
      <c r="B16" s="696"/>
      <c r="C16" s="696"/>
      <c r="D16" s="696"/>
      <c r="E16" s="696"/>
      <c r="F16" s="696"/>
      <c r="G16" s="696"/>
      <c r="H16" s="696"/>
      <c r="I16" s="696"/>
      <c r="J16" s="696"/>
      <c r="K16" s="696"/>
      <c r="L16" s="738"/>
      <c r="M16" s="713" t="s">
        <v>3</v>
      </c>
      <c r="N16" s="713"/>
      <c r="O16" s="713"/>
      <c r="P16" s="713"/>
      <c r="Q16" s="695" t="s">
        <v>31</v>
      </c>
      <c r="R16" s="696"/>
      <c r="S16" s="696"/>
      <c r="T16" s="696"/>
      <c r="U16" s="696"/>
      <c r="V16" s="696"/>
      <c r="W16" s="696"/>
      <c r="X16" s="696"/>
      <c r="Y16" s="690" t="str">
        <f>IF(M19="Select","Medicine",IF(AND(VLOOKUP(M19,AssociatedRef!K2:AO130,23,FALSE)="Yes",'House Rules'!B10="Potent"),"Medicine*","Medicine"))</f>
        <v>Medicine</v>
      </c>
      <c r="Z16" s="691"/>
      <c r="AA16" s="691"/>
      <c r="AB16" s="691"/>
      <c r="AC16" s="694"/>
      <c r="AD16" s="694"/>
      <c r="AE16" s="694"/>
      <c r="AF16" s="694"/>
      <c r="AG16" s="694"/>
      <c r="AH16" s="671">
        <f t="shared" si="0"/>
        <v>0</v>
      </c>
      <c r="AI16" s="671"/>
      <c r="AJ16" s="788"/>
      <c r="AK16" s="788"/>
      <c r="AL16" s="788"/>
      <c r="AM16" s="789"/>
      <c r="AN16" s="693"/>
      <c r="AO16" s="694"/>
      <c r="AP16" s="694"/>
      <c r="AQ16" s="694"/>
      <c r="AR16" s="694"/>
      <c r="AS16" s="694"/>
      <c r="AT16" s="671" t="str">
        <f t="shared" si="3"/>
        <v/>
      </c>
      <c r="AU16" s="671"/>
      <c r="AV16" s="692"/>
      <c r="AW16" s="668"/>
      <c r="AX16" s="669"/>
      <c r="AY16" s="669"/>
      <c r="AZ16" s="669"/>
      <c r="BA16" s="669"/>
      <c r="BB16" s="670"/>
      <c r="BC16" s="120"/>
      <c r="BD16" s="284">
        <f t="shared" si="1"/>
        <v>0</v>
      </c>
      <c r="BE16" s="671" t="str">
        <f>IF(AW16="","",HLOOKUP(AW16,AssociatedRef!$AP$1:$BZ$123,LOOKUP($M$19,AssociatedRef!$AP$2:$AP$123,AssociatedRef!$AQ$2:$AQ$123),FALSE))</f>
        <v/>
      </c>
      <c r="BF16" s="671"/>
      <c r="BG16" s="120" t="s">
        <v>347</v>
      </c>
      <c r="BH16" s="285" t="str">
        <f t="shared" si="2"/>
        <v/>
      </c>
      <c r="BI16" s="761" t="s">
        <v>32</v>
      </c>
      <c r="BJ16" s="691"/>
      <c r="BK16" s="691"/>
      <c r="BL16" s="691"/>
      <c r="BM16" s="691"/>
      <c r="BN16" s="691"/>
      <c r="BO16" s="671">
        <f>10-BO14</f>
        <v>10</v>
      </c>
      <c r="BP16" s="692"/>
      <c r="BQ16" s="686"/>
      <c r="BR16" s="771"/>
      <c r="BS16" s="771"/>
      <c r="BT16" s="689"/>
    </row>
    <row r="17" spans="1:72" ht="15" customHeight="1" thickBot="1" x14ac:dyDescent="0.3">
      <c r="A17" s="697"/>
      <c r="B17" s="698"/>
      <c r="C17" s="698"/>
      <c r="D17" s="698"/>
      <c r="E17" s="698"/>
      <c r="F17" s="698"/>
      <c r="G17" s="698"/>
      <c r="H17" s="698"/>
      <c r="I17" s="698"/>
      <c r="J17" s="698"/>
      <c r="K17" s="698"/>
      <c r="L17" s="739"/>
      <c r="M17" s="790" t="s">
        <v>59</v>
      </c>
      <c r="N17" s="790"/>
      <c r="O17" s="790"/>
      <c r="P17" s="791"/>
      <c r="Q17" s="697"/>
      <c r="R17" s="698"/>
      <c r="S17" s="698"/>
      <c r="T17" s="698"/>
      <c r="U17" s="698"/>
      <c r="V17" s="698"/>
      <c r="W17" s="698"/>
      <c r="X17" s="698"/>
      <c r="Y17" s="690" t="str">
        <f>IF(M19="Select","Melee",IF(AND(VLOOKUP(M19,AssociatedRef!K2:AO130,24,FALSE)="Yes",'House Rules'!B10="Potent"),"Melee*","Melee"))</f>
        <v>Melee</v>
      </c>
      <c r="Z17" s="691"/>
      <c r="AA17" s="691"/>
      <c r="AB17" s="691"/>
      <c r="AC17" s="694"/>
      <c r="AD17" s="694"/>
      <c r="AE17" s="694"/>
      <c r="AF17" s="694"/>
      <c r="AG17" s="694"/>
      <c r="AH17" s="671">
        <f t="shared" si="0"/>
        <v>0</v>
      </c>
      <c r="AI17" s="671"/>
      <c r="AJ17" s="788"/>
      <c r="AK17" s="788"/>
      <c r="AL17" s="788"/>
      <c r="AM17" s="789"/>
      <c r="AN17" s="693"/>
      <c r="AO17" s="694"/>
      <c r="AP17" s="694"/>
      <c r="AQ17" s="694"/>
      <c r="AR17" s="694"/>
      <c r="AS17" s="694"/>
      <c r="AT17" s="671" t="str">
        <f t="shared" si="3"/>
        <v/>
      </c>
      <c r="AU17" s="671"/>
      <c r="AV17" s="692"/>
      <c r="AW17" s="668"/>
      <c r="AX17" s="669"/>
      <c r="AY17" s="669"/>
      <c r="AZ17" s="669"/>
      <c r="BA17" s="669"/>
      <c r="BB17" s="670"/>
      <c r="BC17" s="120"/>
      <c r="BD17" s="284">
        <f t="shared" si="1"/>
        <v>0</v>
      </c>
      <c r="BE17" s="671" t="str">
        <f>IF(AW17="","",HLOOKUP(AW17,AssociatedRef!$AP$1:$BZ$123,LOOKUP($M$19,AssociatedRef!$AP$2:$AP$123,AssociatedRef!$AQ$2:$AQ$123),FALSE))</f>
        <v/>
      </c>
      <c r="BF17" s="671"/>
      <c r="BG17" s="120" t="s">
        <v>347</v>
      </c>
      <c r="BH17" s="285" t="str">
        <f t="shared" si="2"/>
        <v/>
      </c>
      <c r="BI17" s="769" t="s">
        <v>29</v>
      </c>
      <c r="BJ17" s="737"/>
      <c r="BK17" s="737"/>
      <c r="BL17" s="737"/>
      <c r="BM17" s="737"/>
      <c r="BN17" s="737"/>
      <c r="BO17" s="736" t="str">
        <f>IF(BO16=0,"Yes","No")</f>
        <v>No</v>
      </c>
      <c r="BP17" s="770"/>
      <c r="BQ17" s="772"/>
      <c r="BR17" s="682"/>
      <c r="BS17" s="682"/>
      <c r="BT17" s="683"/>
    </row>
    <row r="18" spans="1:72" ht="15" customHeight="1" thickBot="1" x14ac:dyDescent="0.3">
      <c r="A18" s="740"/>
      <c r="B18" s="671"/>
      <c r="C18" s="671"/>
      <c r="D18" s="671"/>
      <c r="E18" s="691" t="s">
        <v>10</v>
      </c>
      <c r="F18" s="691"/>
      <c r="G18" s="691"/>
      <c r="H18" s="691"/>
      <c r="I18" s="691" t="s">
        <v>11</v>
      </c>
      <c r="J18" s="691"/>
      <c r="K18" s="691"/>
      <c r="L18" s="773"/>
      <c r="M18" s="709" t="s">
        <v>5</v>
      </c>
      <c r="N18" s="709"/>
      <c r="O18" s="709"/>
      <c r="P18" s="816"/>
      <c r="Q18" s="742"/>
      <c r="R18" s="743"/>
      <c r="S18" s="743"/>
      <c r="T18" s="743"/>
      <c r="U18" s="713" t="s">
        <v>10</v>
      </c>
      <c r="V18" s="713"/>
      <c r="W18" s="713" t="s">
        <v>11</v>
      </c>
      <c r="X18" s="714"/>
      <c r="Y18" s="690" t="str">
        <f>IF(M19="Select","Occult",IF(AND(VLOOKUP(M19,AssociatedRef!K2:AO130,25,FALSE)="Yes",'House Rules'!B10="Potent"),"Occult*","Occult"))</f>
        <v>Occult</v>
      </c>
      <c r="Z18" s="691"/>
      <c r="AA18" s="691"/>
      <c r="AB18" s="691"/>
      <c r="AC18" s="694"/>
      <c r="AD18" s="694"/>
      <c r="AE18" s="694"/>
      <c r="AF18" s="694"/>
      <c r="AG18" s="694"/>
      <c r="AH18" s="671">
        <f t="shared" si="0"/>
        <v>0</v>
      </c>
      <c r="AI18" s="671"/>
      <c r="AJ18" s="788"/>
      <c r="AK18" s="788"/>
      <c r="AL18" s="788"/>
      <c r="AM18" s="789"/>
      <c r="AN18" s="693"/>
      <c r="AO18" s="694"/>
      <c r="AP18" s="694"/>
      <c r="AQ18" s="694"/>
      <c r="AR18" s="694"/>
      <c r="AS18" s="694"/>
      <c r="AT18" s="671" t="str">
        <f t="shared" si="3"/>
        <v/>
      </c>
      <c r="AU18" s="671"/>
      <c r="AV18" s="692"/>
      <c r="AW18" s="668"/>
      <c r="AX18" s="669"/>
      <c r="AY18" s="669"/>
      <c r="AZ18" s="669"/>
      <c r="BA18" s="669"/>
      <c r="BB18" s="670"/>
      <c r="BC18" s="120"/>
      <c r="BD18" s="284">
        <f t="shared" si="1"/>
        <v>0</v>
      </c>
      <c r="BE18" s="671" t="str">
        <f>IF(AW18="","",HLOOKUP(AW18,AssociatedRef!$AP$1:$BZ$123,LOOKUP($M$19,AssociatedRef!$AP$2:$AP$123,AssociatedRef!$AQ$2:$AQ$123),FALSE))</f>
        <v/>
      </c>
      <c r="BF18" s="671"/>
      <c r="BG18" s="120" t="s">
        <v>347</v>
      </c>
      <c r="BH18" s="285" t="str">
        <f t="shared" si="2"/>
        <v/>
      </c>
      <c r="BI18" s="695" t="s">
        <v>74</v>
      </c>
      <c r="BJ18" s="696"/>
      <c r="BK18" s="696"/>
      <c r="BL18" s="696"/>
      <c r="BM18" s="696"/>
      <c r="BN18" s="696"/>
      <c r="BO18" s="696"/>
      <c r="BP18" s="696"/>
      <c r="BQ18" s="696"/>
      <c r="BR18" s="696"/>
      <c r="BS18" s="696"/>
      <c r="BT18" s="738"/>
    </row>
    <row r="19" spans="1:72" ht="15" customHeight="1" thickBot="1" x14ac:dyDescent="0.3">
      <c r="A19" s="690" t="s">
        <v>30</v>
      </c>
      <c r="B19" s="691"/>
      <c r="C19" s="691"/>
      <c r="D19" s="691"/>
      <c r="E19" s="694">
        <v>1</v>
      </c>
      <c r="F19" s="694"/>
      <c r="G19" s="694"/>
      <c r="H19" s="694"/>
      <c r="I19" s="694"/>
      <c r="J19" s="694"/>
      <c r="K19" s="694"/>
      <c r="L19" s="719"/>
      <c r="M19" s="812" t="s">
        <v>59</v>
      </c>
      <c r="N19" s="812"/>
      <c r="O19" s="812"/>
      <c r="P19" s="813"/>
      <c r="Q19" s="740" t="str">
        <f>IF($M$17="select","",VLOOKUP($M$17,PantheonList!$A$3:$F$15,3,FALSE))</f>
        <v/>
      </c>
      <c r="R19" s="671"/>
      <c r="S19" s="671"/>
      <c r="T19" s="671"/>
      <c r="U19" s="694">
        <v>1</v>
      </c>
      <c r="V19" s="694"/>
      <c r="W19" s="694"/>
      <c r="X19" s="719"/>
      <c r="Y19" s="690" t="str">
        <f>IF(M19="Select","Politics",IF(AND(VLOOKUP(M19,AssociatedRef!K2:AO130,26,FALSE)="Yes",'House Rules'!B10="Potent"),"Politics*","Politics"))</f>
        <v>Politics</v>
      </c>
      <c r="Z19" s="691"/>
      <c r="AA19" s="691"/>
      <c r="AB19" s="691"/>
      <c r="AC19" s="694"/>
      <c r="AD19" s="694"/>
      <c r="AE19" s="694"/>
      <c r="AF19" s="694"/>
      <c r="AG19" s="694"/>
      <c r="AH19" s="671">
        <f t="shared" si="0"/>
        <v>0</v>
      </c>
      <c r="AI19" s="671"/>
      <c r="AJ19" s="788"/>
      <c r="AK19" s="788"/>
      <c r="AL19" s="788"/>
      <c r="AM19" s="789"/>
      <c r="AN19" s="693"/>
      <c r="AO19" s="694"/>
      <c r="AP19" s="694"/>
      <c r="AQ19" s="694"/>
      <c r="AR19" s="694"/>
      <c r="AS19" s="694"/>
      <c r="AT19" s="671" t="str">
        <f t="shared" si="3"/>
        <v/>
      </c>
      <c r="AU19" s="671"/>
      <c r="AV19" s="692"/>
      <c r="AW19" s="668"/>
      <c r="AX19" s="669"/>
      <c r="AY19" s="669"/>
      <c r="AZ19" s="669"/>
      <c r="BA19" s="669"/>
      <c r="BB19" s="670"/>
      <c r="BC19" s="120"/>
      <c r="BD19" s="284">
        <f t="shared" si="1"/>
        <v>0</v>
      </c>
      <c r="BE19" s="671" t="str">
        <f>IF(AW19="","",HLOOKUP(AW19,AssociatedRef!$AP$1:$BZ$123,LOOKUP($M$19,AssociatedRef!$AP$2:$AP$123,AssociatedRef!$AQ$2:$AQ$123),FALSE))</f>
        <v/>
      </c>
      <c r="BF19" s="671"/>
      <c r="BG19" s="120" t="s">
        <v>347</v>
      </c>
      <c r="BH19" s="285" t="str">
        <f t="shared" si="2"/>
        <v/>
      </c>
      <c r="BI19" s="697"/>
      <c r="BJ19" s="698"/>
      <c r="BK19" s="698"/>
      <c r="BL19" s="698"/>
      <c r="BM19" s="698"/>
      <c r="BN19" s="698"/>
      <c r="BO19" s="698"/>
      <c r="BP19" s="698"/>
      <c r="BQ19" s="698"/>
      <c r="BR19" s="698"/>
      <c r="BS19" s="698"/>
      <c r="BT19" s="739"/>
    </row>
    <row r="20" spans="1:72" ht="15" customHeight="1" x14ac:dyDescent="0.25">
      <c r="A20" s="690" t="s">
        <v>13</v>
      </c>
      <c r="B20" s="691"/>
      <c r="C20" s="691"/>
      <c r="D20" s="691"/>
      <c r="E20" s="694">
        <v>1</v>
      </c>
      <c r="F20" s="694"/>
      <c r="G20" s="694"/>
      <c r="H20" s="694"/>
      <c r="I20" s="694"/>
      <c r="J20" s="694"/>
      <c r="K20" s="694"/>
      <c r="L20" s="719"/>
      <c r="M20" s="695" t="s">
        <v>938</v>
      </c>
      <c r="N20" s="696"/>
      <c r="O20" s="696"/>
      <c r="P20" s="696"/>
      <c r="Q20" s="740" t="str">
        <f>IF($M$17="select","",VLOOKUP($M$17,PantheonList!$A$3:$F$15,4,FALSE))</f>
        <v/>
      </c>
      <c r="R20" s="671"/>
      <c r="S20" s="671"/>
      <c r="T20" s="671"/>
      <c r="U20" s="694">
        <v>1</v>
      </c>
      <c r="V20" s="694"/>
      <c r="W20" s="694"/>
      <c r="X20" s="719"/>
      <c r="Y20" s="690" t="str">
        <f>IF(M19="Select","Presence",IF(AND(VLOOKUP(M19,AssociatedRef!K2:AO130,27,FALSE)="Yes",'House Rules'!B10="Potent"),"Presence*","Presence"))</f>
        <v>Presence</v>
      </c>
      <c r="Z20" s="691"/>
      <c r="AA20" s="691"/>
      <c r="AB20" s="691"/>
      <c r="AC20" s="694"/>
      <c r="AD20" s="694"/>
      <c r="AE20" s="694"/>
      <c r="AF20" s="694"/>
      <c r="AG20" s="694"/>
      <c r="AH20" s="671">
        <f t="shared" si="0"/>
        <v>0</v>
      </c>
      <c r="AI20" s="671"/>
      <c r="AJ20" s="788"/>
      <c r="AK20" s="788"/>
      <c r="AL20" s="788"/>
      <c r="AM20" s="789"/>
      <c r="AN20" s="693"/>
      <c r="AO20" s="694"/>
      <c r="AP20" s="694"/>
      <c r="AQ20" s="694"/>
      <c r="AR20" s="694"/>
      <c r="AS20" s="694"/>
      <c r="AT20" s="671" t="str">
        <f t="shared" si="3"/>
        <v/>
      </c>
      <c r="AU20" s="671"/>
      <c r="AV20" s="692"/>
      <c r="AW20" s="668"/>
      <c r="AX20" s="669"/>
      <c r="AY20" s="669"/>
      <c r="AZ20" s="669"/>
      <c r="BA20" s="669"/>
      <c r="BB20" s="670"/>
      <c r="BC20" s="120"/>
      <c r="BD20" s="284">
        <f t="shared" si="1"/>
        <v>0</v>
      </c>
      <c r="BE20" s="671" t="str">
        <f>IF(AW20="","",HLOOKUP(AW20,AssociatedRef!$AP$1:$BZ$123,LOOKUP($M$19,AssociatedRef!$AP$2:$AP$123,AssociatedRef!$AQ$2:$AQ$123),FALSE))</f>
        <v/>
      </c>
      <c r="BF20" s="671"/>
      <c r="BG20" s="120" t="s">
        <v>347</v>
      </c>
      <c r="BH20" s="285" t="str">
        <f t="shared" si="2"/>
        <v/>
      </c>
      <c r="BI20" s="763" t="s">
        <v>75</v>
      </c>
      <c r="BJ20" s="762"/>
      <c r="BK20" s="762"/>
      <c r="BL20" s="762"/>
      <c r="BM20" s="286" t="s">
        <v>76</v>
      </c>
      <c r="BN20" s="762" t="s">
        <v>11</v>
      </c>
      <c r="BO20" s="762"/>
      <c r="BP20" s="762" t="s">
        <v>77</v>
      </c>
      <c r="BQ20" s="762"/>
      <c r="BR20" s="762"/>
      <c r="BS20" s="762"/>
      <c r="BT20" s="764"/>
    </row>
    <row r="21" spans="1:72" ht="15" customHeight="1" thickBot="1" x14ac:dyDescent="0.3">
      <c r="A21" s="690" t="s">
        <v>14</v>
      </c>
      <c r="B21" s="691"/>
      <c r="C21" s="691"/>
      <c r="D21" s="691"/>
      <c r="E21" s="694">
        <v>1</v>
      </c>
      <c r="F21" s="694"/>
      <c r="G21" s="694"/>
      <c r="H21" s="694"/>
      <c r="I21" s="694"/>
      <c r="J21" s="694"/>
      <c r="K21" s="694"/>
      <c r="L21" s="719"/>
      <c r="M21" s="697"/>
      <c r="N21" s="698"/>
      <c r="O21" s="698"/>
      <c r="P21" s="698"/>
      <c r="Q21" s="740" t="str">
        <f>IF($M$17="select","",VLOOKUP($M$17,PantheonList!$A$3:$F$15,5,FALSE))</f>
        <v/>
      </c>
      <c r="R21" s="671"/>
      <c r="S21" s="671"/>
      <c r="T21" s="671"/>
      <c r="U21" s="694">
        <v>1</v>
      </c>
      <c r="V21" s="694"/>
      <c r="W21" s="694"/>
      <c r="X21" s="719"/>
      <c r="Y21" s="690" t="str">
        <f>IF(M19="Select","Stealth",IF(AND(VLOOKUP(M19,AssociatedRef!K2:AO130,29,FALSE)="Yes",'House Rules'!B10="Potent"),"Stealth*","Stealth"))</f>
        <v>Stealth</v>
      </c>
      <c r="Z21" s="691"/>
      <c r="AA21" s="691"/>
      <c r="AB21" s="691"/>
      <c r="AC21" s="694"/>
      <c r="AD21" s="694"/>
      <c r="AE21" s="694"/>
      <c r="AF21" s="694"/>
      <c r="AG21" s="694"/>
      <c r="AH21" s="671">
        <f t="shared" si="0"/>
        <v>0</v>
      </c>
      <c r="AI21" s="671"/>
      <c r="AJ21" s="788"/>
      <c r="AK21" s="788"/>
      <c r="AL21" s="788"/>
      <c r="AM21" s="789"/>
      <c r="AN21" s="693"/>
      <c r="AO21" s="694"/>
      <c r="AP21" s="694"/>
      <c r="AQ21" s="694"/>
      <c r="AR21" s="694"/>
      <c r="AS21" s="694"/>
      <c r="AT21" s="671" t="str">
        <f t="shared" si="3"/>
        <v/>
      </c>
      <c r="AU21" s="671"/>
      <c r="AV21" s="692"/>
      <c r="AW21" s="668"/>
      <c r="AX21" s="669"/>
      <c r="AY21" s="669"/>
      <c r="AZ21" s="669"/>
      <c r="BA21" s="669"/>
      <c r="BB21" s="670"/>
      <c r="BC21" s="120"/>
      <c r="BD21" s="284">
        <f t="shared" si="1"/>
        <v>0</v>
      </c>
      <c r="BE21" s="671" t="str">
        <f>IF(AW21="","",HLOOKUP(AW21,AssociatedRef!$AP$1:$BZ$123,LOOKUP($M$19,AssociatedRef!$AP$2:$AP$123,AssociatedRef!$AQ$2:$AQ$123),FALSE))</f>
        <v/>
      </c>
      <c r="BF21" s="671"/>
      <c r="BG21" s="120" t="s">
        <v>347</v>
      </c>
      <c r="BH21" s="285" t="str">
        <f t="shared" si="2"/>
        <v/>
      </c>
      <c r="BI21" s="668" t="s">
        <v>373</v>
      </c>
      <c r="BJ21" s="669"/>
      <c r="BK21" s="669"/>
      <c r="BL21" s="670"/>
      <c r="BM21" s="120"/>
      <c r="BN21" s="120"/>
      <c r="BO21" s="120"/>
      <c r="BP21" s="694"/>
      <c r="BQ21" s="694"/>
      <c r="BR21" s="694"/>
      <c r="BS21" s="694"/>
      <c r="BT21" s="719"/>
    </row>
    <row r="22" spans="1:72" ht="15" customHeight="1" x14ac:dyDescent="0.25">
      <c r="A22" s="690" t="s">
        <v>15</v>
      </c>
      <c r="B22" s="691"/>
      <c r="C22" s="691"/>
      <c r="D22" s="691"/>
      <c r="E22" s="694" t="s">
        <v>500</v>
      </c>
      <c r="F22" s="694"/>
      <c r="G22" s="694"/>
      <c r="H22" s="694"/>
      <c r="I22" s="675"/>
      <c r="J22" s="676"/>
      <c r="K22" s="676"/>
      <c r="L22" s="677"/>
      <c r="M22" s="690" t="s">
        <v>65</v>
      </c>
      <c r="N22" s="691"/>
      <c r="O22" s="671">
        <f>LARGE(U19:V22,1)+LARGE(U19:V22,2)</f>
        <v>2</v>
      </c>
      <c r="P22" s="710"/>
      <c r="Q22" s="740" t="str">
        <f>IF($M$17="select","",VLOOKUP($M$17,PantheonList!$A$3:$F$15,6,FALSE))</f>
        <v/>
      </c>
      <c r="R22" s="671"/>
      <c r="S22" s="671"/>
      <c r="T22" s="671"/>
      <c r="U22" s="694">
        <v>1</v>
      </c>
      <c r="V22" s="694"/>
      <c r="W22" s="694"/>
      <c r="X22" s="719"/>
      <c r="Y22" s="690" t="str">
        <f>IF(M19="Select","Survival",IF(AND(VLOOKUP(M19,AssociatedRef!K2:AO130,30,FALSE)="Yes",'House Rules'!B10="Potent"),"Survival*","Survival"))</f>
        <v>Survival</v>
      </c>
      <c r="Z22" s="691"/>
      <c r="AA22" s="691"/>
      <c r="AB22" s="691"/>
      <c r="AC22" s="694"/>
      <c r="AD22" s="694"/>
      <c r="AE22" s="694"/>
      <c r="AF22" s="694"/>
      <c r="AG22" s="694"/>
      <c r="AH22" s="671">
        <f t="shared" si="0"/>
        <v>0</v>
      </c>
      <c r="AI22" s="671"/>
      <c r="AJ22" s="788"/>
      <c r="AK22" s="788"/>
      <c r="AL22" s="788"/>
      <c r="AM22" s="789"/>
      <c r="AN22" s="693"/>
      <c r="AO22" s="694"/>
      <c r="AP22" s="694"/>
      <c r="AQ22" s="694"/>
      <c r="AR22" s="694"/>
      <c r="AS22" s="694"/>
      <c r="AT22" s="671" t="str">
        <f t="shared" si="3"/>
        <v/>
      </c>
      <c r="AU22" s="671"/>
      <c r="AV22" s="692"/>
      <c r="AW22" s="668"/>
      <c r="AX22" s="669"/>
      <c r="AY22" s="669"/>
      <c r="AZ22" s="669"/>
      <c r="BA22" s="669"/>
      <c r="BB22" s="670"/>
      <c r="BC22" s="120"/>
      <c r="BD22" s="284">
        <f t="shared" si="1"/>
        <v>0</v>
      </c>
      <c r="BE22" s="671" t="str">
        <f>IF(AW22="","",HLOOKUP(AW22,AssociatedRef!$AP$1:$BZ$123,LOOKUP($M$19,AssociatedRef!$AP$2:$AP$123,AssociatedRef!$AQ$2:$AQ$123),FALSE))</f>
        <v/>
      </c>
      <c r="BF22" s="671"/>
      <c r="BG22" s="120" t="s">
        <v>347</v>
      </c>
      <c r="BH22" s="285" t="str">
        <f t="shared" si="2"/>
        <v/>
      </c>
      <c r="BI22" s="668" t="s">
        <v>373</v>
      </c>
      <c r="BJ22" s="669"/>
      <c r="BK22" s="669"/>
      <c r="BL22" s="670"/>
      <c r="BM22" s="120"/>
      <c r="BN22" s="120"/>
      <c r="BO22" s="120"/>
      <c r="BP22" s="694"/>
      <c r="BQ22" s="694"/>
      <c r="BR22" s="694"/>
      <c r="BS22" s="694"/>
      <c r="BT22" s="719"/>
    </row>
    <row r="23" spans="1:72" ht="15" customHeight="1" x14ac:dyDescent="0.25">
      <c r="A23" s="690" t="s">
        <v>32</v>
      </c>
      <c r="B23" s="691"/>
      <c r="C23" s="691"/>
      <c r="D23" s="691"/>
      <c r="E23" s="671">
        <f>IF(E22="primary",11-SUM(E19:H21),IF(E22="Secondary",9-SUM(E19:H21),IF(E22="Tertiary",7-SUM(E19:H21),"Select Priority")))</f>
        <v>8</v>
      </c>
      <c r="F23" s="671"/>
      <c r="G23" s="671"/>
      <c r="H23" s="671"/>
      <c r="I23" s="678"/>
      <c r="J23" s="679"/>
      <c r="K23" s="679"/>
      <c r="L23" s="680"/>
      <c r="M23" s="690" t="s">
        <v>11</v>
      </c>
      <c r="N23" s="691"/>
      <c r="O23" s="694"/>
      <c r="P23" s="711"/>
      <c r="Q23" s="690" t="s">
        <v>32</v>
      </c>
      <c r="R23" s="691"/>
      <c r="S23" s="691"/>
      <c r="T23" s="691"/>
      <c r="U23" s="710">
        <f>9-SUM(U19:V22)</f>
        <v>5</v>
      </c>
      <c r="V23" s="673"/>
      <c r="W23" s="673"/>
      <c r="X23" s="674"/>
      <c r="Y23" s="690" t="str">
        <f>IF(M19="Select","Thrown",IF(AND(VLOOKUP(M19,AssociatedRef!K2:AO130,31,FALSE)="Yes",'House Rules'!B10="Potent"),"Thrown*","Thrown"))</f>
        <v>Thrown</v>
      </c>
      <c r="Z23" s="691"/>
      <c r="AA23" s="691"/>
      <c r="AB23" s="691"/>
      <c r="AC23" s="694"/>
      <c r="AD23" s="694"/>
      <c r="AE23" s="694"/>
      <c r="AF23" s="694"/>
      <c r="AG23" s="694"/>
      <c r="AH23" s="671">
        <f t="shared" si="0"/>
        <v>0</v>
      </c>
      <c r="AI23" s="671"/>
      <c r="AJ23" s="788"/>
      <c r="AK23" s="788"/>
      <c r="AL23" s="788"/>
      <c r="AM23" s="789"/>
      <c r="AN23" s="693"/>
      <c r="AO23" s="694"/>
      <c r="AP23" s="694"/>
      <c r="AQ23" s="694"/>
      <c r="AR23" s="694"/>
      <c r="AS23" s="694"/>
      <c r="AT23" s="671" t="str">
        <f t="shared" si="3"/>
        <v/>
      </c>
      <c r="AU23" s="671"/>
      <c r="AV23" s="692"/>
      <c r="AW23" s="668"/>
      <c r="AX23" s="669"/>
      <c r="AY23" s="669"/>
      <c r="AZ23" s="669"/>
      <c r="BA23" s="669"/>
      <c r="BB23" s="670"/>
      <c r="BC23" s="120"/>
      <c r="BD23" s="284">
        <f t="shared" si="1"/>
        <v>0</v>
      </c>
      <c r="BE23" s="671" t="str">
        <f>IF(AW23="","",HLOOKUP(AW23,AssociatedRef!$AP$1:$BZ$123,LOOKUP($M$19,AssociatedRef!$AP$2:$AP$123,AssociatedRef!$AQ$2:$AQ$123),FALSE))</f>
        <v/>
      </c>
      <c r="BF23" s="671"/>
      <c r="BG23" s="120" t="s">
        <v>347</v>
      </c>
      <c r="BH23" s="285" t="str">
        <f t="shared" si="2"/>
        <v/>
      </c>
      <c r="BI23" s="670" t="s">
        <v>373</v>
      </c>
      <c r="BJ23" s="694"/>
      <c r="BK23" s="694"/>
      <c r="BL23" s="694"/>
      <c r="BM23" s="120"/>
      <c r="BN23" s="120"/>
      <c r="BO23" s="120"/>
      <c r="BP23" s="694"/>
      <c r="BQ23" s="694"/>
      <c r="BR23" s="694"/>
      <c r="BS23" s="694"/>
      <c r="BT23" s="719"/>
    </row>
    <row r="24" spans="1:72" ht="15" customHeight="1" thickBot="1" x14ac:dyDescent="0.3">
      <c r="A24" s="672"/>
      <c r="B24" s="673"/>
      <c r="C24" s="673"/>
      <c r="D24" s="673"/>
      <c r="E24" s="673"/>
      <c r="F24" s="673"/>
      <c r="G24" s="673"/>
      <c r="H24" s="673"/>
      <c r="I24" s="673"/>
      <c r="J24" s="673"/>
      <c r="K24" s="673"/>
      <c r="L24" s="674"/>
      <c r="M24" s="708" t="s">
        <v>28</v>
      </c>
      <c r="N24" s="709"/>
      <c r="O24" s="712">
        <f>SUM(O22:P23)</f>
        <v>2</v>
      </c>
      <c r="P24" s="705"/>
      <c r="Q24" s="708" t="s">
        <v>29</v>
      </c>
      <c r="R24" s="709"/>
      <c r="S24" s="709"/>
      <c r="T24" s="709"/>
      <c r="U24" s="705" t="str">
        <f>IF(U23=0,"Yes","No")</f>
        <v>No</v>
      </c>
      <c r="V24" s="706"/>
      <c r="W24" s="706"/>
      <c r="X24" s="707"/>
      <c r="Y24" s="744" t="s">
        <v>522</v>
      </c>
      <c r="Z24" s="745"/>
      <c r="AA24" s="745"/>
      <c r="AB24" s="746"/>
      <c r="AC24" s="694"/>
      <c r="AD24" s="694"/>
      <c r="AE24" s="694"/>
      <c r="AF24" s="694"/>
      <c r="AG24" s="694"/>
      <c r="AH24" s="671">
        <f t="shared" si="0"/>
        <v>0</v>
      </c>
      <c r="AI24" s="671"/>
      <c r="AJ24" s="694"/>
      <c r="AK24" s="694"/>
      <c r="AL24" s="694"/>
      <c r="AM24" s="719"/>
      <c r="AN24" s="693"/>
      <c r="AO24" s="694"/>
      <c r="AP24" s="694"/>
      <c r="AQ24" s="694"/>
      <c r="AR24" s="694"/>
      <c r="AS24" s="694"/>
      <c r="AT24" s="671" t="str">
        <f t="shared" si="3"/>
        <v/>
      </c>
      <c r="AU24" s="671"/>
      <c r="AV24" s="692"/>
      <c r="AW24" s="668"/>
      <c r="AX24" s="669"/>
      <c r="AY24" s="669"/>
      <c r="AZ24" s="669"/>
      <c r="BA24" s="669"/>
      <c r="BB24" s="670"/>
      <c r="BC24" s="120"/>
      <c r="BD24" s="284">
        <f t="shared" si="1"/>
        <v>0</v>
      </c>
      <c r="BE24" s="671" t="str">
        <f>IF(AW24="","",HLOOKUP(AW24,AssociatedRef!$AP$1:$BZ$123,LOOKUP($M$19,AssociatedRef!$AP$2:$AP$123,AssociatedRef!$AQ$2:$AQ$123),FALSE))</f>
        <v/>
      </c>
      <c r="BF24" s="671"/>
      <c r="BG24" s="120" t="s">
        <v>347</v>
      </c>
      <c r="BH24" s="285" t="str">
        <f t="shared" si="2"/>
        <v/>
      </c>
      <c r="BI24" s="668" t="s">
        <v>373</v>
      </c>
      <c r="BJ24" s="669"/>
      <c r="BK24" s="669"/>
      <c r="BL24" s="670"/>
      <c r="BM24" s="120"/>
      <c r="BN24" s="120"/>
      <c r="BO24" s="120"/>
      <c r="BP24" s="694"/>
      <c r="BQ24" s="694"/>
      <c r="BR24" s="694"/>
      <c r="BS24" s="694"/>
      <c r="BT24" s="719"/>
    </row>
    <row r="25" spans="1:72" ht="15" customHeight="1" x14ac:dyDescent="0.25">
      <c r="A25" s="690" t="s">
        <v>16</v>
      </c>
      <c r="B25" s="691"/>
      <c r="C25" s="691"/>
      <c r="D25" s="691"/>
      <c r="E25" s="694">
        <v>1</v>
      </c>
      <c r="F25" s="694"/>
      <c r="G25" s="694"/>
      <c r="H25" s="694"/>
      <c r="I25" s="694"/>
      <c r="J25" s="694"/>
      <c r="K25" s="694"/>
      <c r="L25" s="719"/>
      <c r="M25" s="695" t="s">
        <v>9</v>
      </c>
      <c r="N25" s="696"/>
      <c r="O25" s="696"/>
      <c r="P25" s="696"/>
      <c r="Q25" s="696"/>
      <c r="R25" s="696"/>
      <c r="S25" s="696"/>
      <c r="T25" s="696"/>
      <c r="U25" s="696"/>
      <c r="V25" s="696"/>
      <c r="W25" s="696"/>
      <c r="X25" s="738"/>
      <c r="Y25" s="744" t="s">
        <v>522</v>
      </c>
      <c r="Z25" s="745"/>
      <c r="AA25" s="745"/>
      <c r="AB25" s="746"/>
      <c r="AC25" s="694"/>
      <c r="AD25" s="694"/>
      <c r="AE25" s="694"/>
      <c r="AF25" s="694"/>
      <c r="AG25" s="694"/>
      <c r="AH25" s="671">
        <f t="shared" si="0"/>
        <v>0</v>
      </c>
      <c r="AI25" s="671"/>
      <c r="AJ25" s="694"/>
      <c r="AK25" s="694"/>
      <c r="AL25" s="694"/>
      <c r="AM25" s="719"/>
      <c r="AN25" s="693"/>
      <c r="AO25" s="694"/>
      <c r="AP25" s="694"/>
      <c r="AQ25" s="694"/>
      <c r="AR25" s="694"/>
      <c r="AS25" s="694"/>
      <c r="AT25" s="671" t="str">
        <f t="shared" si="3"/>
        <v/>
      </c>
      <c r="AU25" s="671"/>
      <c r="AV25" s="692"/>
      <c r="AW25" s="668"/>
      <c r="AX25" s="669"/>
      <c r="AY25" s="669"/>
      <c r="AZ25" s="669"/>
      <c r="BA25" s="669"/>
      <c r="BB25" s="670"/>
      <c r="BC25" s="120"/>
      <c r="BD25" s="284">
        <f t="shared" si="1"/>
        <v>0</v>
      </c>
      <c r="BE25" s="671" t="str">
        <f>IF(AW25="","",HLOOKUP(AW25,AssociatedRef!$AP$1:$BZ$123,LOOKUP($M$19,AssociatedRef!$AP$2:$AP$123,AssociatedRef!$AQ$2:$AQ$123),FALSE))</f>
        <v/>
      </c>
      <c r="BF25" s="671"/>
      <c r="BG25" s="120" t="s">
        <v>347</v>
      </c>
      <c r="BH25" s="285" t="str">
        <f t="shared" si="2"/>
        <v/>
      </c>
      <c r="BI25" s="668" t="s">
        <v>373</v>
      </c>
      <c r="BJ25" s="669"/>
      <c r="BK25" s="669"/>
      <c r="BL25" s="670"/>
      <c r="BM25" s="120"/>
      <c r="BN25" s="120"/>
      <c r="BO25" s="120"/>
      <c r="BP25" s="694"/>
      <c r="BQ25" s="694"/>
      <c r="BR25" s="694"/>
      <c r="BS25" s="694"/>
      <c r="BT25" s="719"/>
    </row>
    <row r="26" spans="1:72" ht="15" customHeight="1" thickBot="1" x14ac:dyDescent="0.3">
      <c r="A26" s="690" t="s">
        <v>17</v>
      </c>
      <c r="B26" s="691"/>
      <c r="C26" s="691"/>
      <c r="D26" s="691"/>
      <c r="E26" s="694">
        <v>1</v>
      </c>
      <c r="F26" s="694"/>
      <c r="G26" s="694"/>
      <c r="H26" s="694"/>
      <c r="I26" s="694"/>
      <c r="J26" s="694"/>
      <c r="K26" s="694"/>
      <c r="L26" s="719"/>
      <c r="M26" s="697"/>
      <c r="N26" s="698"/>
      <c r="O26" s="698"/>
      <c r="P26" s="698"/>
      <c r="Q26" s="698"/>
      <c r="R26" s="698"/>
      <c r="S26" s="698"/>
      <c r="T26" s="698"/>
      <c r="U26" s="698"/>
      <c r="V26" s="698"/>
      <c r="W26" s="698"/>
      <c r="X26" s="739"/>
      <c r="Y26" s="744" t="s">
        <v>522</v>
      </c>
      <c r="Z26" s="745"/>
      <c r="AA26" s="745"/>
      <c r="AB26" s="746"/>
      <c r="AC26" s="694"/>
      <c r="AD26" s="694"/>
      <c r="AE26" s="694"/>
      <c r="AF26" s="694"/>
      <c r="AG26" s="694"/>
      <c r="AH26" s="671">
        <f t="shared" si="0"/>
        <v>0</v>
      </c>
      <c r="AI26" s="671"/>
      <c r="AJ26" s="694"/>
      <c r="AK26" s="694"/>
      <c r="AL26" s="694"/>
      <c r="AM26" s="719"/>
      <c r="AN26" s="693"/>
      <c r="AO26" s="694"/>
      <c r="AP26" s="694"/>
      <c r="AQ26" s="694"/>
      <c r="AR26" s="694"/>
      <c r="AS26" s="694"/>
      <c r="AT26" s="671" t="str">
        <f t="shared" si="3"/>
        <v/>
      </c>
      <c r="AU26" s="671"/>
      <c r="AV26" s="692"/>
      <c r="AW26" s="668"/>
      <c r="AX26" s="669"/>
      <c r="AY26" s="669"/>
      <c r="AZ26" s="669"/>
      <c r="BA26" s="669"/>
      <c r="BB26" s="670"/>
      <c r="BC26" s="120"/>
      <c r="BD26" s="284">
        <f t="shared" si="1"/>
        <v>0</v>
      </c>
      <c r="BE26" s="671" t="str">
        <f>IF(AW26="","",HLOOKUP(AW26,AssociatedRef!$AP$1:$BZ$123,LOOKUP($M$19,AssociatedRef!$AP$2:$AP$123,AssociatedRef!$AQ$2:$AQ$123),FALSE))</f>
        <v/>
      </c>
      <c r="BF26" s="671"/>
      <c r="BG26" s="120" t="s">
        <v>347</v>
      </c>
      <c r="BH26" s="285" t="str">
        <f t="shared" si="2"/>
        <v/>
      </c>
      <c r="BI26" s="668" t="s">
        <v>373</v>
      </c>
      <c r="BJ26" s="669"/>
      <c r="BK26" s="669"/>
      <c r="BL26" s="670"/>
      <c r="BM26" s="120"/>
      <c r="BN26" s="120"/>
      <c r="BO26" s="120"/>
      <c r="BP26" s="694"/>
      <c r="BQ26" s="694"/>
      <c r="BR26" s="694"/>
      <c r="BS26" s="694"/>
      <c r="BT26" s="719"/>
    </row>
    <row r="27" spans="1:72" ht="15" customHeight="1" x14ac:dyDescent="0.25">
      <c r="A27" s="690" t="s">
        <v>18</v>
      </c>
      <c r="B27" s="691"/>
      <c r="C27" s="691"/>
      <c r="D27" s="691"/>
      <c r="E27" s="694">
        <v>1</v>
      </c>
      <c r="F27" s="694"/>
      <c r="G27" s="694"/>
      <c r="H27" s="694"/>
      <c r="I27" s="694"/>
      <c r="J27" s="694"/>
      <c r="K27" s="694"/>
      <c r="L27" s="719"/>
      <c r="M27" s="740"/>
      <c r="N27" s="671"/>
      <c r="O27" s="671"/>
      <c r="P27" s="671"/>
      <c r="Q27" s="691" t="s">
        <v>12</v>
      </c>
      <c r="R27" s="691"/>
      <c r="S27" s="691"/>
      <c r="T27" s="691"/>
      <c r="U27" s="691" t="s">
        <v>10</v>
      </c>
      <c r="V27" s="691"/>
      <c r="W27" s="691"/>
      <c r="X27" s="741"/>
      <c r="Y27" s="744" t="s">
        <v>522</v>
      </c>
      <c r="Z27" s="745"/>
      <c r="AA27" s="745"/>
      <c r="AB27" s="746"/>
      <c r="AC27" s="694"/>
      <c r="AD27" s="694"/>
      <c r="AE27" s="694"/>
      <c r="AF27" s="694"/>
      <c r="AG27" s="694"/>
      <c r="AH27" s="671">
        <f t="shared" si="0"/>
        <v>0</v>
      </c>
      <c r="AI27" s="671"/>
      <c r="AJ27" s="694"/>
      <c r="AK27" s="694"/>
      <c r="AL27" s="694"/>
      <c r="AM27" s="719"/>
      <c r="AN27" s="693"/>
      <c r="AO27" s="694"/>
      <c r="AP27" s="694"/>
      <c r="AQ27" s="694"/>
      <c r="AR27" s="694"/>
      <c r="AS27" s="694"/>
      <c r="AT27" s="671" t="str">
        <f t="shared" si="3"/>
        <v/>
      </c>
      <c r="AU27" s="671"/>
      <c r="AV27" s="692"/>
      <c r="AW27" s="668"/>
      <c r="AX27" s="669"/>
      <c r="AY27" s="669"/>
      <c r="AZ27" s="669"/>
      <c r="BA27" s="669"/>
      <c r="BB27" s="670"/>
      <c r="BC27" s="120"/>
      <c r="BD27" s="284">
        <f t="shared" si="1"/>
        <v>0</v>
      </c>
      <c r="BE27" s="671" t="str">
        <f>IF(AW27="","",HLOOKUP(AW27,AssociatedRef!$AP$1:$BZ$123,LOOKUP($M$19,AssociatedRef!$AP$2:$AP$123,AssociatedRef!$AQ$2:$AQ$123),FALSE))</f>
        <v/>
      </c>
      <c r="BF27" s="671"/>
      <c r="BG27" s="120" t="s">
        <v>347</v>
      </c>
      <c r="BH27" s="285" t="str">
        <f t="shared" si="2"/>
        <v/>
      </c>
      <c r="BI27" s="668" t="s">
        <v>373</v>
      </c>
      <c r="BJ27" s="669"/>
      <c r="BK27" s="669"/>
      <c r="BL27" s="670"/>
      <c r="BM27" s="120"/>
      <c r="BN27" s="120"/>
      <c r="BO27" s="120"/>
      <c r="BP27" s="694"/>
      <c r="BQ27" s="694"/>
      <c r="BR27" s="694"/>
      <c r="BS27" s="694"/>
      <c r="BT27" s="719"/>
    </row>
    <row r="28" spans="1:72" ht="15" customHeight="1" x14ac:dyDescent="0.25">
      <c r="A28" s="690" t="s">
        <v>15</v>
      </c>
      <c r="B28" s="691"/>
      <c r="C28" s="691"/>
      <c r="D28" s="691"/>
      <c r="E28" s="694" t="s">
        <v>499</v>
      </c>
      <c r="F28" s="694"/>
      <c r="G28" s="694"/>
      <c r="H28" s="694"/>
      <c r="I28" s="675"/>
      <c r="J28" s="676"/>
      <c r="K28" s="676"/>
      <c r="L28" s="677"/>
      <c r="M28" s="690" t="s">
        <v>22</v>
      </c>
      <c r="N28" s="691"/>
      <c r="O28" s="691"/>
      <c r="P28" s="691"/>
      <c r="Q28" s="671" t="str">
        <f>IF('House Rules'!$B$10="Potent",IF($M$19="select","",VLOOKUP($M$19,PantheonList!$A$150:$I$278,2,FALSE)),IF($M$19="select","",VLOOKUP($M$19,PantheonList!$A$18:$I$146,2,FALSE)))</f>
        <v/>
      </c>
      <c r="R28" s="671"/>
      <c r="S28" s="671"/>
      <c r="T28" s="671"/>
      <c r="U28" s="671">
        <f>IF(Q28=Y4,AC4,IF(Q28=Y5,AC5,IF(Q28=Y6,AC6,IF(Q28=Y7,AC7,IF(Q28=Y8,AC8,IF(Q28=Y9,AC9,IF(Q28=Y10,AC10,IF(Q28=Y11,AC11,IF(Q28=Y12,AC12,IF(Q28=Y13,AC13,IF(Q28=Y14,AC14,IF(Q28=Y15,AC15,IF(Q28=Y16,AC16,IF(Q28=Y17,AC17,IF(Q28=Y18,AC18,IF(Q28=Y19,AC19,IF(Q28=Y20,AC20,IF(Q28=Y21,AC21,IF(Q28=Y22,AC22,IF(Q28=Y23,AC23,IF(Q28="Art",SUM(IF(Y24="Art",AC24,0),IF(Y25="art",AC25,0),IF(Y26="art",AC26,0),IF(Y27="art",AC27,0),IF(Y28="art",AC28,0),IF(Y29="art",AC29,0),IF(Y30="art",AC30,0),IF(Y31="art",AC31,0),IF(Y32="art",AC32,0),IF(Y33="art",AC33,0)),IF(Q28="Control",SUM(IF(Y24="Control",AC24,0),IF(Y25="control",AC25,0),IF(Y26="control",AC26,0),IF(Y27="control",AC27,0),IF(Y28="control",AC28,0),IF(Y29="control",AC29,0),IF(Y30="control",AC30,0),IF(Y31="control",AC31,0),IF(Y32="control",AC32,0),IF(Y33="control",AC33,0)),IF(Q28="Craft",SUM(IF(Y24="Craft",AC24,0),IF(Y25="craft",AC25,0),IF(Y26="craft",AC26,0),IF(Y27="craft",AC27,0),IF(Y28="craft",AC28,0),IF(Y29="craft",AC29,0),IF(Y30="craft",AC30,0),IF(Y31="craft",AC31,0),IF(Y32="craft",AC32,0),IF(Y33="craft",AC33,0)),IF(Q28="Science",SUM(IF(Y24="Science",AC24,0),IF(Y25="science",AC25,0),IF(Y26="science",AC26,0),IF(Y27="science",AC27,0),IF(Y28="science",AC28,0),IF(Y29="science",AC29,0),IF(Y30="science",AC30,0),IF(Y31="science",AC31,0),IF(Y32="science",AC32,0),IF(Y33="science",AC33,0)),0))))))))))))))))))))))))</f>
        <v>0</v>
      </c>
      <c r="V28" s="671"/>
      <c r="W28" s="671"/>
      <c r="X28" s="710"/>
      <c r="Y28" s="744" t="s">
        <v>522</v>
      </c>
      <c r="Z28" s="745"/>
      <c r="AA28" s="745"/>
      <c r="AB28" s="746"/>
      <c r="AC28" s="694"/>
      <c r="AD28" s="694"/>
      <c r="AE28" s="694"/>
      <c r="AF28" s="694"/>
      <c r="AG28" s="694"/>
      <c r="AH28" s="671">
        <f t="shared" si="0"/>
        <v>0</v>
      </c>
      <c r="AI28" s="671"/>
      <c r="AJ28" s="694"/>
      <c r="AK28" s="694"/>
      <c r="AL28" s="694"/>
      <c r="AM28" s="719"/>
      <c r="AN28" s="693"/>
      <c r="AO28" s="694"/>
      <c r="AP28" s="694"/>
      <c r="AQ28" s="694"/>
      <c r="AR28" s="694"/>
      <c r="AS28" s="694"/>
      <c r="AT28" s="671" t="str">
        <f t="shared" si="3"/>
        <v/>
      </c>
      <c r="AU28" s="671"/>
      <c r="AV28" s="692"/>
      <c r="AW28" s="668"/>
      <c r="AX28" s="669"/>
      <c r="AY28" s="669"/>
      <c r="AZ28" s="669"/>
      <c r="BA28" s="669"/>
      <c r="BB28" s="670"/>
      <c r="BC28" s="120"/>
      <c r="BD28" s="284">
        <f t="shared" si="1"/>
        <v>0</v>
      </c>
      <c r="BE28" s="671" t="str">
        <f>IF(AW28="","",HLOOKUP(AW28,AssociatedRef!$AP$1:$BZ$123,LOOKUP($M$19,AssociatedRef!$AP$2:$AP$123,AssociatedRef!$AQ$2:$AQ$123),FALSE))</f>
        <v/>
      </c>
      <c r="BF28" s="671"/>
      <c r="BG28" s="120" t="s">
        <v>347</v>
      </c>
      <c r="BH28" s="285" t="str">
        <f t="shared" si="2"/>
        <v/>
      </c>
      <c r="BI28" s="668" t="s">
        <v>373</v>
      </c>
      <c r="BJ28" s="669"/>
      <c r="BK28" s="669"/>
      <c r="BL28" s="670"/>
      <c r="BM28" s="120"/>
      <c r="BN28" s="120"/>
      <c r="BO28" s="120"/>
      <c r="BP28" s="694"/>
      <c r="BQ28" s="694"/>
      <c r="BR28" s="694"/>
      <c r="BS28" s="694"/>
      <c r="BT28" s="719"/>
    </row>
    <row r="29" spans="1:72" ht="15" customHeight="1" x14ac:dyDescent="0.25">
      <c r="A29" s="690" t="s">
        <v>32</v>
      </c>
      <c r="B29" s="691"/>
      <c r="C29" s="691"/>
      <c r="D29" s="691"/>
      <c r="E29" s="671">
        <f>IF(E28="primary",11-SUM(E25:H27),IF(E28="Secondary",9-SUM(E25:H27),IF(E28="Tertiary",7-SUM(E25:H27),"Select Priority")))</f>
        <v>6</v>
      </c>
      <c r="F29" s="671"/>
      <c r="G29" s="671"/>
      <c r="H29" s="671"/>
      <c r="I29" s="678"/>
      <c r="J29" s="679"/>
      <c r="K29" s="679"/>
      <c r="L29" s="680"/>
      <c r="M29" s="690" t="s">
        <v>23</v>
      </c>
      <c r="N29" s="691"/>
      <c r="O29" s="691"/>
      <c r="P29" s="691"/>
      <c r="Q29" s="671" t="str">
        <f>IF('House Rules'!$B$10="Potent",IF($M$19="select","",VLOOKUP($M$19,PantheonList!$A$150:$I$278,3,FALSE)),IF($M$19="select","",VLOOKUP($M$19,PantheonList!$A$18:$I$146,3,FALSE)))</f>
        <v/>
      </c>
      <c r="R29" s="671"/>
      <c r="S29" s="671"/>
      <c r="T29" s="671"/>
      <c r="U29" s="671">
        <f>IF(Q29=Y4,AC4,IF(Q29=Y5,AC5,IF(Q29=Y6,AC6,IF(Q29=Y7,AC7,IF(Q29=Y8,AC8,IF(Q29=Y9,AC9,IF(Q29=Y10,AC10,IF(Q29=Y11,AC11,IF(Q29=Y12,AC12,IF(Q29=Y13,AC13,IF(Q29=Y14,AC14,IF(Q29=Y15,AC15,IF(Q29=Y16,AC16,IF(Q29=Y17,AC17,IF(Q29=Y18,AC18,IF(Q29=Y19,AC19,IF(Q29=Y20,AC20,IF(Q29=Y21,AC21,IF(Q29=Y22,AC22,IF(Q29=Y23,AC23,IF(Q29="Art",SUM(IF(Y24="Art",AC24,0),IF(Y25="art",AC25,0),IF(Y26="art",AC26,0),IF(Y27="art",AC27,0),IF(Y28="art",AC28,0),IF(Y29="art",AC29,0),IF(Y30="art",AC30,0),IF(Y31="art",AC31,0),IF(Y32="art",AC32,0),IF(Y33="art",AC33,0)),IF(Q29="Control",SUM(IF(Y24="Control",AC24,0),IF(Y25="control",AC25,0),IF(Y26="control",AC26,0),IF(Y27="control",AC27,0),IF(Y28="control",AC28,0),IF(Y29="control",AC29,0),IF(Y30="control",AC30,0),IF(Y31="control",AC31,0),IF(Y32="control",AC32,0),IF(Y33="control",AC33,0)),IF(Q29="Craft",SUM(IF(Y24="Craft",AC24,0),IF(Y25="craft",AC25,0),IF(Y26="craft",AC26,0),IF(Y27="craft",AC27,0),IF(Y28="craft",AC28,0),IF(Y29="craft",AC29,0),IF(Y30="craft",AC30,0),IF(Y31="craft",AC31,0),IF(Y32="craft",AC32,0),IF(Y33="craft",AC33,0)),IF(Q29="Science",SUM(IF(Y24="Science",AC24,0),IF(Y25="science",AC25,0),IF(Y26="science",AC26,0),IF(Y27="science",AC27,0),IF(Y28="science",AC28,0),IF(Y29="science",AC29,0),IF(Y30="science",AC30,0),IF(Y31="science",AC31,0),IF(Y32="science",AC32,0),IF(Y33="science",AC33,0)),0))))))))))))))))))))))))</f>
        <v>0</v>
      </c>
      <c r="V29" s="671"/>
      <c r="W29" s="671"/>
      <c r="X29" s="710"/>
      <c r="Y29" s="744" t="s">
        <v>522</v>
      </c>
      <c r="Z29" s="745"/>
      <c r="AA29" s="745"/>
      <c r="AB29" s="746"/>
      <c r="AC29" s="694"/>
      <c r="AD29" s="694"/>
      <c r="AE29" s="694"/>
      <c r="AF29" s="694"/>
      <c r="AG29" s="694"/>
      <c r="AH29" s="671">
        <f t="shared" si="0"/>
        <v>0</v>
      </c>
      <c r="AI29" s="671"/>
      <c r="AJ29" s="694"/>
      <c r="AK29" s="694"/>
      <c r="AL29" s="694"/>
      <c r="AM29" s="719"/>
      <c r="AN29" s="693"/>
      <c r="AO29" s="694"/>
      <c r="AP29" s="694"/>
      <c r="AQ29" s="694"/>
      <c r="AR29" s="694"/>
      <c r="AS29" s="694"/>
      <c r="AT29" s="671" t="str">
        <f t="shared" si="3"/>
        <v/>
      </c>
      <c r="AU29" s="671"/>
      <c r="AV29" s="692"/>
      <c r="AW29" s="668"/>
      <c r="AX29" s="669"/>
      <c r="AY29" s="669"/>
      <c r="AZ29" s="669"/>
      <c r="BA29" s="669"/>
      <c r="BB29" s="670"/>
      <c r="BC29" s="120"/>
      <c r="BD29" s="284">
        <f t="shared" si="1"/>
        <v>0</v>
      </c>
      <c r="BE29" s="671" t="str">
        <f>IF(AW29="","",HLOOKUP(AW29,AssociatedRef!$AP$1:$BZ$123,LOOKUP($M$19,AssociatedRef!$AP$2:$AP$123,AssociatedRef!$AQ$2:$AQ$123),FALSE))</f>
        <v/>
      </c>
      <c r="BF29" s="671"/>
      <c r="BG29" s="120" t="s">
        <v>347</v>
      </c>
      <c r="BH29" s="285" t="str">
        <f t="shared" si="2"/>
        <v/>
      </c>
      <c r="BI29" s="668" t="s">
        <v>373</v>
      </c>
      <c r="BJ29" s="669"/>
      <c r="BK29" s="669"/>
      <c r="BL29" s="670"/>
      <c r="BM29" s="120"/>
      <c r="BN29" s="120"/>
      <c r="BO29" s="120"/>
      <c r="BP29" s="694"/>
      <c r="BQ29" s="694"/>
      <c r="BR29" s="694"/>
      <c r="BS29" s="694"/>
      <c r="BT29" s="719"/>
    </row>
    <row r="30" spans="1:72" ht="15" customHeight="1" x14ac:dyDescent="0.25">
      <c r="A30" s="672"/>
      <c r="B30" s="673"/>
      <c r="C30" s="673"/>
      <c r="D30" s="673"/>
      <c r="E30" s="673"/>
      <c r="F30" s="673"/>
      <c r="G30" s="673"/>
      <c r="H30" s="673"/>
      <c r="I30" s="673"/>
      <c r="J30" s="673"/>
      <c r="K30" s="673"/>
      <c r="L30" s="674"/>
      <c r="M30" s="690" t="s">
        <v>24</v>
      </c>
      <c r="N30" s="691"/>
      <c r="O30" s="691"/>
      <c r="P30" s="691"/>
      <c r="Q30" s="671" t="str">
        <f>IF('House Rules'!$B$10="Potent",IF($M$19="select","",VLOOKUP($M$19,PantheonList!$A$150:$I$278,4,FALSE)),IF($M$19="select","",VLOOKUP($M$19,PantheonList!$A$18:$I$146,4,FALSE)))</f>
        <v/>
      </c>
      <c r="R30" s="671"/>
      <c r="S30" s="671"/>
      <c r="T30" s="671"/>
      <c r="U30" s="710">
        <f>IF(Q30=Y4,AC4,IF(Q30=Y5,AC5,IF(Q30=Y6,AC6,IF(Q30=Y7,AC7,IF(Q30=Y8,AC8,IF(Q30=Y9,AC9,IF(Q30=Y10,AC10,IF(Q30=Y11,AC11,IF(Q30=Y12,AC12,IF(Q30=Y13,AC13,IF(Q30=Y14,AC14,IF(Q30=Y15,AC15,IF(Q30=Y16,AC16,IF(Q30=Y17,AC17,IF(Q30=Y18,AC18,IF(Q30=Y19,AC19,IF(Q30=Y20,AC20,IF(Q30=Y21,AC21,IF(Q30=Y22,AC22,IF(Q30=Y23,AC23,IF(Q30="Art",SUM(IF(Y24="Art",AC24,0),IF(Y25="art",AC25,0),IF(Y26="art",AC26,0),IF(Y27="art",AC27,0),IF(Y28="art",AC28,0),IF(Y29="art",AC29,0),IF(Y30="art",AC30,0),IF(Y31="art",AC31,0),IF(Y32="art",AC32,0),IF(Y33="art",AC33,0)),IF(Q30="Control",SUM(IF(Y24="Control",AC24,0),IF(Y25="control",AC25,0),IF(Y26="control",AC26,0),IF(Y27="control",AC27,0),IF(Y28="control",AC28,0),IF(Y29="control",AC29,0),IF(Y30="control",AC30,0),IF(Y31="control",AC31,0),IF(Y32="control",AC32,0),IF(Y33="control",AC33,0)),IF(Q30="Craft",SUM(IF(Y24="Craft",AC24,0),IF(Y25="craft",AC25,0),IF(Y26="craft",AC26,0),IF(Y27="craft",AC27,0),IF(Y28="craft",AC28,0),IF(Y29="craft",AC29,0),IF(Y30="craft",AC30,0),IF(Y31="craft",AC31,0),IF(Y32="craft",AC32,0),IF(Y33="craft",AC33,0)),IF(Q30="Science",SUM(IF(Y24="Science",AC24,0),IF(Y25="science",AC25,0),IF(Y26="science",AC26,0),IF(Y27="science",AC27,0),IF(Y28="science",AC28,0),IF(Y29="science",AC29,0),IF(Y30="science",AC30,0),IF(Y31="science",AC31,0),IF(Y32="science",AC32,0),IF(Y33="science",AC33,0)),0))))))))))))))))))))))))</f>
        <v>0</v>
      </c>
      <c r="V30" s="673"/>
      <c r="W30" s="673"/>
      <c r="X30" s="674"/>
      <c r="Y30" s="744" t="s">
        <v>522</v>
      </c>
      <c r="Z30" s="745"/>
      <c r="AA30" s="745"/>
      <c r="AB30" s="746"/>
      <c r="AC30" s="694"/>
      <c r="AD30" s="694"/>
      <c r="AE30" s="694"/>
      <c r="AF30" s="694"/>
      <c r="AG30" s="694"/>
      <c r="AH30" s="671">
        <f t="shared" si="0"/>
        <v>0</v>
      </c>
      <c r="AI30" s="671"/>
      <c r="AJ30" s="694"/>
      <c r="AK30" s="694"/>
      <c r="AL30" s="694"/>
      <c r="AM30" s="719"/>
      <c r="AN30" s="693"/>
      <c r="AO30" s="694"/>
      <c r="AP30" s="694"/>
      <c r="AQ30" s="694"/>
      <c r="AR30" s="694"/>
      <c r="AS30" s="694"/>
      <c r="AT30" s="671" t="str">
        <f t="shared" si="3"/>
        <v/>
      </c>
      <c r="AU30" s="671"/>
      <c r="AV30" s="692"/>
      <c r="AW30" s="668"/>
      <c r="AX30" s="669"/>
      <c r="AY30" s="669"/>
      <c r="AZ30" s="669"/>
      <c r="BA30" s="669"/>
      <c r="BB30" s="670"/>
      <c r="BC30" s="120"/>
      <c r="BD30" s="284">
        <f t="shared" si="1"/>
        <v>0</v>
      </c>
      <c r="BE30" s="671" t="str">
        <f>IF(AW30="","",HLOOKUP(AW30,AssociatedRef!$AP$1:$BZ$123,LOOKUP($M$19,AssociatedRef!$AP$2:$AP$123,AssociatedRef!$AQ$2:$AQ$123),FALSE))</f>
        <v/>
      </c>
      <c r="BF30" s="671"/>
      <c r="BG30" s="120" t="s">
        <v>347</v>
      </c>
      <c r="BH30" s="285" t="str">
        <f t="shared" si="2"/>
        <v/>
      </c>
      <c r="BI30" s="668" t="s">
        <v>373</v>
      </c>
      <c r="BJ30" s="669"/>
      <c r="BK30" s="669"/>
      <c r="BL30" s="670"/>
      <c r="BM30" s="120"/>
      <c r="BN30" s="120"/>
      <c r="BO30" s="120"/>
      <c r="BP30" s="694"/>
      <c r="BQ30" s="694"/>
      <c r="BR30" s="694"/>
      <c r="BS30" s="694"/>
      <c r="BT30" s="719"/>
    </row>
    <row r="31" spans="1:72" ht="15" customHeight="1" x14ac:dyDescent="0.25">
      <c r="A31" s="690" t="s">
        <v>19</v>
      </c>
      <c r="B31" s="691"/>
      <c r="C31" s="691"/>
      <c r="D31" s="691"/>
      <c r="E31" s="694">
        <v>1</v>
      </c>
      <c r="F31" s="694"/>
      <c r="G31" s="694"/>
      <c r="H31" s="694"/>
      <c r="I31" s="694"/>
      <c r="J31" s="694"/>
      <c r="K31" s="694"/>
      <c r="L31" s="719"/>
      <c r="M31" s="690" t="s">
        <v>25</v>
      </c>
      <c r="N31" s="691"/>
      <c r="O31" s="691"/>
      <c r="P31" s="691"/>
      <c r="Q31" s="671" t="str">
        <f>IF('House Rules'!$B$10="Potent",IF($M$19="select","",VLOOKUP($M$19,PantheonList!$A$150:$I$278,5,FALSE)),IF($M$19="select","",VLOOKUP($M$19,PantheonList!$A$18:$I$146,5,FALSE)))</f>
        <v/>
      </c>
      <c r="R31" s="671"/>
      <c r="S31" s="671"/>
      <c r="T31" s="671"/>
      <c r="U31" s="671">
        <f>IF(Q31=Y4,AC4,IF(Q31=Y5,AC5,IF(Q31=Y6,AC6,IF(Q31=Y7,AC7,IF(Q31=Y8,AC8,IF(Q31=Y9,AC9,IF(Q31=Y10,AC10,IF(Q31=Y11,AC11,IF(Q31=Y12,AC12,IF(Q31=Y13,AC13,IF(Q31=Y14,AC14,IF(Q31=Y15,AC15,IF(Q31=Y16,AC16,IF(Q31=Y17,AC17,IF(Q31=Y18,AC18,IF(Q31=Y19,AC19,IF(Q31=Y20,AC20,IF(Q31=Y21,AC21,IF(Q31=Y22,AC22,IF(Q31=Y23,AC23,IF(Q31="Art",SUM(IF(Y24="Art",AC24,0),IF(Y25="art",AC25,0),IF(Y26="art",AC26,0),IF(Y27="art",AC27,0),IF(Y28="art",AC28,0),IF(Y29="art",AC29,0),IF(Y30="art",AC30,0),IF(Y31="art",AC31,0),IF(Y32="art",AC32,0),IF(Y33="art",AC33,0)),IF(Q31="Control",SUM(IF(Y24="Control",AC24,0),IF(Y25="control",AC25,0),IF(Y26="control",AC26,0),IF(Y27="control",AC27,0),IF(Y28="control",AC28,0),IF(Y29="control",AC29,0),IF(Y30="control",AC30,0),IF(Y31="control",AC31,0),IF(Y32="control",AC32,0),IF(Y33="control",AC33,0)),IF(Q31="Craft",SUM(IF(Y24="Craft",AC24,0),IF(Y25="craft",AC25,0),IF(Y26="craft",AC26,0),IF(Y27="craft",AC27,0),IF(Y28="craft",AC28,0),IF(Y29="craft",AC29,0),IF(Y30="craft",AC30,0),IF(Y31="craft",AC31,0),IF(Y32="craft",AC32,0),IF(Y33="craft",AC33,0)),IF(Q31="Science",SUM(IF(Y24="Science",AC24,0),IF(Y25="science",AC25,0),IF(Y26="science",AC26,0),IF(Y27="science",AC27,0),IF(Y28="science",AC28,0),IF(Y29="science",AC29,0),IF(Y30="science",AC30,0),IF(Y31="science",AC31,0),IF(Y32="science",AC32,0),IF(Y33="science",AC33,0)),0))))))))))))))))))))))))</f>
        <v>0</v>
      </c>
      <c r="V31" s="671"/>
      <c r="W31" s="671"/>
      <c r="X31" s="710"/>
      <c r="Y31" s="744" t="s">
        <v>522</v>
      </c>
      <c r="Z31" s="745"/>
      <c r="AA31" s="745"/>
      <c r="AB31" s="746"/>
      <c r="AC31" s="694"/>
      <c r="AD31" s="694"/>
      <c r="AE31" s="694"/>
      <c r="AF31" s="694"/>
      <c r="AG31" s="694"/>
      <c r="AH31" s="671">
        <f t="shared" si="0"/>
        <v>0</v>
      </c>
      <c r="AI31" s="671"/>
      <c r="AJ31" s="694"/>
      <c r="AK31" s="694"/>
      <c r="AL31" s="694"/>
      <c r="AM31" s="719"/>
      <c r="AN31" s="693"/>
      <c r="AO31" s="694"/>
      <c r="AP31" s="694"/>
      <c r="AQ31" s="694"/>
      <c r="AR31" s="694"/>
      <c r="AS31" s="694"/>
      <c r="AT31" s="671" t="str">
        <f t="shared" si="3"/>
        <v/>
      </c>
      <c r="AU31" s="671"/>
      <c r="AV31" s="692"/>
      <c r="AW31" s="668"/>
      <c r="AX31" s="669"/>
      <c r="AY31" s="669"/>
      <c r="AZ31" s="669"/>
      <c r="BA31" s="669"/>
      <c r="BB31" s="670"/>
      <c r="BC31" s="120"/>
      <c r="BD31" s="284">
        <f t="shared" si="1"/>
        <v>0</v>
      </c>
      <c r="BE31" s="671" t="str">
        <f>IF(AW31="","",HLOOKUP(AW31,AssociatedRef!$AP$1:$BZ$123,LOOKUP($M$19,AssociatedRef!$AP$2:$AP$123,AssociatedRef!$AQ$2:$AQ$123),FALSE))</f>
        <v/>
      </c>
      <c r="BF31" s="671"/>
      <c r="BG31" s="120" t="s">
        <v>347</v>
      </c>
      <c r="BH31" s="285" t="str">
        <f t="shared" si="2"/>
        <v/>
      </c>
      <c r="BI31" s="668" t="s">
        <v>373</v>
      </c>
      <c r="BJ31" s="669"/>
      <c r="BK31" s="669"/>
      <c r="BL31" s="670"/>
      <c r="BM31" s="120"/>
      <c r="BN31" s="120"/>
      <c r="BO31" s="120"/>
      <c r="BP31" s="694"/>
      <c r="BQ31" s="694"/>
      <c r="BR31" s="694"/>
      <c r="BS31" s="694"/>
      <c r="BT31" s="719"/>
    </row>
    <row r="32" spans="1:72" ht="15" customHeight="1" x14ac:dyDescent="0.25">
      <c r="A32" s="690" t="s">
        <v>20</v>
      </c>
      <c r="B32" s="691"/>
      <c r="C32" s="691"/>
      <c r="D32" s="691"/>
      <c r="E32" s="694">
        <v>1</v>
      </c>
      <c r="F32" s="694"/>
      <c r="G32" s="694"/>
      <c r="H32" s="694"/>
      <c r="I32" s="694"/>
      <c r="J32" s="694"/>
      <c r="K32" s="694"/>
      <c r="L32" s="719"/>
      <c r="M32" s="690" t="s">
        <v>26</v>
      </c>
      <c r="N32" s="691"/>
      <c r="O32" s="691"/>
      <c r="P32" s="691"/>
      <c r="Q32" s="671" t="str">
        <f>IF('House Rules'!$B$10="Potent",IF($M$19="select","",VLOOKUP($M$19,PantheonList!$A$150:$I$278,6,FALSE)),IF($M$19="select","",VLOOKUP($M$19,PantheonList!$A$18:$I$146,6,FALSE)))</f>
        <v/>
      </c>
      <c r="R32" s="671"/>
      <c r="S32" s="671"/>
      <c r="T32" s="671"/>
      <c r="U32" s="671">
        <f>IF(Q32=Y4,AC4,IF(Q32=Y5,AC5,IF(Q32=Y6,AC6,IF(Q32=Y7,AC7,IF(Q32=Y8,AC8,IF(Q32=Y9,AC9,IF(Q32=Y10,AC10,IF(Q32=Y11,AC11,IF(Q32=Y12,AC12,IF(Q32=Y13,AC13,IF(Q32=Y14,AC14,IF(Q32=Y15,AC15,IF(Q32=Y16,AC16,IF(Q32=Y17,AC17,IF(Q32=Y18,AC18,IF(Q32=Y19,AC19,IF(Q32=Y20,AC20,IF(Q32=Y21,AC21,IF(Q32=Y22,AC22,IF(Q32=Y23,AC23,IF(Q32="Art",SUM(IF(Y24="Art",AC24,0),IF(Y25="art",AC25,0),IF(Y26="art",AC26,0),IF(Y27="art",AC27,0),IF(Y28="art",AC28,0),IF(Y29="art",AC29,0),IF(Y30="art",AC30,0),IF(Y31="art",AC31,0),IF(Y32="art",AC32,0),IF(Y33="art",AC33,0)),IF(Q32="Control",SUM(IF(Y24="Control",AC24,0),IF(Y25="control",AC25,0),IF(Y26="control",AC26,0),IF(Y27="control",AC27,0),IF(Y28="control",AC28,0),IF(Y29="control",AC29,0),IF(Y30="control",AC30,0),IF(Y31="control",AC31,0),IF(Y32="control",AC32,0),IF(Y33="control",AC33,0)),IF(Q32="Craft",SUM(IF(Y24="Craft",AC24,0),IF(Y25="craft",AC25,0),IF(Y26="craft",AC26,0),IF(Y27="craft",AC27,0),IF(Y28="craft",AC28,0),IF(Y29="craft",AC29,0),IF(Y30="craft",AC30,0),IF(Y31="craft",AC31,0),IF(Y32="craft",AC32,0),IF(Y33="craft",AC33,0)),IF(Q32="Science",SUM(IF(Y24="Science",AC24,0),IF(Y25="science",AC25,0),IF(Y26="science",AC26,0),IF(Y27="science",AC27,0),IF(Y28="science",AC28,0),IF(Y29="science",AC29,0),IF(Y30="science",AC30,0),IF(Y31="science",AC31,0),IF(Y32="science",AC32,0),IF(Y33="science",AC33,0)),0))))))))))))))))))))))))</f>
        <v>0</v>
      </c>
      <c r="V32" s="671"/>
      <c r="W32" s="671"/>
      <c r="X32" s="710"/>
      <c r="Y32" s="744" t="s">
        <v>522</v>
      </c>
      <c r="Z32" s="745"/>
      <c r="AA32" s="745"/>
      <c r="AB32" s="746"/>
      <c r="AC32" s="694"/>
      <c r="AD32" s="694"/>
      <c r="AE32" s="694"/>
      <c r="AF32" s="694"/>
      <c r="AG32" s="694"/>
      <c r="AH32" s="671">
        <f t="shared" si="0"/>
        <v>0</v>
      </c>
      <c r="AI32" s="671"/>
      <c r="AJ32" s="694"/>
      <c r="AK32" s="694"/>
      <c r="AL32" s="694"/>
      <c r="AM32" s="719"/>
      <c r="AN32" s="693"/>
      <c r="AO32" s="694"/>
      <c r="AP32" s="694"/>
      <c r="AQ32" s="694"/>
      <c r="AR32" s="694"/>
      <c r="AS32" s="694"/>
      <c r="AT32" s="671" t="str">
        <f t="shared" si="3"/>
        <v/>
      </c>
      <c r="AU32" s="671"/>
      <c r="AV32" s="692"/>
      <c r="AW32" s="668"/>
      <c r="AX32" s="669"/>
      <c r="AY32" s="669"/>
      <c r="AZ32" s="669"/>
      <c r="BA32" s="669"/>
      <c r="BB32" s="670"/>
      <c r="BC32" s="120"/>
      <c r="BD32" s="284">
        <f t="shared" si="1"/>
        <v>0</v>
      </c>
      <c r="BE32" s="671" t="str">
        <f>IF(AW32="","",HLOOKUP(AW32,AssociatedRef!$AP$1:$BZ$123,LOOKUP($M$19,AssociatedRef!$AP$2:$AP$123,AssociatedRef!$AQ$2:$AQ$123),FALSE))</f>
        <v/>
      </c>
      <c r="BF32" s="671"/>
      <c r="BG32" s="120" t="s">
        <v>347</v>
      </c>
      <c r="BH32" s="285" t="str">
        <f t="shared" si="2"/>
        <v/>
      </c>
      <c r="BI32" s="668" t="s">
        <v>373</v>
      </c>
      <c r="BJ32" s="669"/>
      <c r="BK32" s="669"/>
      <c r="BL32" s="670"/>
      <c r="BM32" s="120"/>
      <c r="BN32" s="120"/>
      <c r="BO32" s="120"/>
      <c r="BP32" s="694"/>
      <c r="BQ32" s="694"/>
      <c r="BR32" s="694"/>
      <c r="BS32" s="694"/>
      <c r="BT32" s="719"/>
    </row>
    <row r="33" spans="1:72" ht="15" customHeight="1" thickBot="1" x14ac:dyDescent="0.3">
      <c r="A33" s="690" t="s">
        <v>21</v>
      </c>
      <c r="B33" s="691"/>
      <c r="C33" s="691"/>
      <c r="D33" s="691"/>
      <c r="E33" s="694">
        <v>1</v>
      </c>
      <c r="F33" s="694"/>
      <c r="G33" s="694"/>
      <c r="H33" s="694"/>
      <c r="I33" s="694"/>
      <c r="J33" s="694"/>
      <c r="K33" s="694"/>
      <c r="L33" s="719"/>
      <c r="M33" s="690" t="s">
        <v>27</v>
      </c>
      <c r="N33" s="691"/>
      <c r="O33" s="691"/>
      <c r="P33" s="691"/>
      <c r="Q33" s="671" t="str">
        <f>IF('House Rules'!$B$10="Potent",IF($M$19="select","",VLOOKUP($M$19,PantheonList!$A$150:$I$278,7,FALSE)),IF($M$19="select","",VLOOKUP($M$19,PantheonList!$A$18:$I$146,7,FALSE)))</f>
        <v/>
      </c>
      <c r="R33" s="671"/>
      <c r="S33" s="671"/>
      <c r="T33" s="671"/>
      <c r="U33" s="671">
        <f>IF(Q33=Y4,AC4,IF(Q33=Y5,AC5,IF(Q33=Y6,AC6,IF(Q33=Y7,AC7,IF(Q33=Y8,AC8,IF(Q33=Y9,AC9,IF(Q33=Y10,AC10,IF(Q33=Y11,AC11,IF(Q33=Y12,AC12,IF(Q33=Y13,AC13,IF(Q33=Y14,AC14,IF(Q33=Y15,AC15,IF(Q33=Y16,AC16,IF(Q33=Y17,AC17,IF(Q33=Y18,AC18,IF(Q33=Y19,AC19,IF(Q33=Y20,AC20,IF(Q33=Y21,AC21,IF(Q33=Y22,AC22,IF(Q33=Y23,AC23,IF(Q33="Art",SUM(IF(Y24="Art",AC24,0),IF(Y25="art",AC25,0),IF(Y26="art",AC26,0),IF(Y27="art",AC27,0),IF(Y28="art",AC28,0),IF(Y29="art",AC29,0),IF(Y30="art",AC30,0),IF(Y31="art",AC31,0),IF(Y32="art",AC32,0),IF(Y33="art",AC33,0)),IF(Q33="Control",SUM(IF(Y24="Control",AC24,0),IF(Y25="control",AC25,0),IF(Y26="control",AC26,0),IF(Y27="control",AC27,0),IF(Y28="control",AC28,0),IF(Y29="control",AC29,0),IF(Y30="control",AC30,0),IF(Y31="control",AC31,0),IF(Y32="control",AC32,0),IF(Y33="control",AC33,0)),IF(Q33="Craft",SUM(IF(Y24="Craft",AC24,0),IF(Y25="craft",AC25,0),IF(Y26="craft",AC26,0),IF(Y27="craft",AC27,0),IF(Y28="craft",AC28,0),IF(Y29="craft",AC29,0),IF(Y30="craft",AC30,0),IF(Y31="craft",AC31,0),IF(Y32="craft",AC32,0),IF(Y33="craft",AC33,0)),IF(Q33="Science",SUM(IF(Y24="Science",AC24,0),IF(Y25="science",AC25,0),IF(Y26="science",AC26,0),IF(Y27="science",AC27,0),IF(Y28="science",AC28,0),IF(Y29="science",AC29,0),IF(Y30="science",AC30,0),IF(Y31="science",AC31,0),IF(Y32="science",AC32,0),IF(Y33="science",AC33,0)),0))))))))))))))))))))))))</f>
        <v>0</v>
      </c>
      <c r="V33" s="671"/>
      <c r="W33" s="671"/>
      <c r="X33" s="710"/>
      <c r="Y33" s="744" t="s">
        <v>522</v>
      </c>
      <c r="Z33" s="745"/>
      <c r="AA33" s="745"/>
      <c r="AB33" s="746"/>
      <c r="AC33" s="694"/>
      <c r="AD33" s="694"/>
      <c r="AE33" s="694"/>
      <c r="AF33" s="694"/>
      <c r="AG33" s="694"/>
      <c r="AH33" s="671">
        <f t="shared" si="0"/>
        <v>0</v>
      </c>
      <c r="AI33" s="671"/>
      <c r="AJ33" s="694"/>
      <c r="AK33" s="694"/>
      <c r="AL33" s="694"/>
      <c r="AM33" s="719"/>
      <c r="AN33" s="693"/>
      <c r="AO33" s="694"/>
      <c r="AP33" s="694"/>
      <c r="AQ33" s="694"/>
      <c r="AR33" s="694"/>
      <c r="AS33" s="694"/>
      <c r="AT33" s="671" t="str">
        <f t="shared" si="3"/>
        <v/>
      </c>
      <c r="AU33" s="671"/>
      <c r="AV33" s="692"/>
      <c r="AW33" s="668"/>
      <c r="AX33" s="669"/>
      <c r="AY33" s="669"/>
      <c r="AZ33" s="669"/>
      <c r="BA33" s="669"/>
      <c r="BB33" s="670"/>
      <c r="BC33" s="120"/>
      <c r="BD33" s="284">
        <f t="shared" si="1"/>
        <v>0</v>
      </c>
      <c r="BE33" s="671" t="str">
        <f>IF(AW33="","",HLOOKUP(AW33,AssociatedRef!$AP$1:$BZ$123,LOOKUP($M$19,AssociatedRef!$AP$2:$AP$123,AssociatedRef!$AQ$2:$AQ$123),FALSE))</f>
        <v/>
      </c>
      <c r="BF33" s="671"/>
      <c r="BG33" s="120" t="s">
        <v>347</v>
      </c>
      <c r="BH33" s="285" t="str">
        <f t="shared" si="2"/>
        <v/>
      </c>
      <c r="BI33" s="668" t="s">
        <v>373</v>
      </c>
      <c r="BJ33" s="669"/>
      <c r="BK33" s="669"/>
      <c r="BL33" s="670"/>
      <c r="BM33" s="120"/>
      <c r="BN33" s="120"/>
      <c r="BO33" s="120"/>
      <c r="BP33" s="694"/>
      <c r="BQ33" s="694"/>
      <c r="BR33" s="694"/>
      <c r="BS33" s="694"/>
      <c r="BT33" s="719"/>
    </row>
    <row r="34" spans="1:72" ht="15" customHeight="1" x14ac:dyDescent="0.25">
      <c r="A34" s="690" t="s">
        <v>15</v>
      </c>
      <c r="B34" s="691"/>
      <c r="C34" s="691"/>
      <c r="D34" s="691"/>
      <c r="E34" s="694" t="s">
        <v>501</v>
      </c>
      <c r="F34" s="694"/>
      <c r="G34" s="694"/>
      <c r="H34" s="694"/>
      <c r="I34" s="675"/>
      <c r="J34" s="676"/>
      <c r="K34" s="676"/>
      <c r="L34" s="677"/>
      <c r="M34" s="814"/>
      <c r="N34" s="676"/>
      <c r="O34" s="676"/>
      <c r="P34" s="776"/>
      <c r="Q34" s="671" t="s">
        <v>28</v>
      </c>
      <c r="R34" s="671"/>
      <c r="S34" s="671"/>
      <c r="T34" s="671"/>
      <c r="U34" s="671">
        <f>SUM(U28:X33)</f>
        <v>0</v>
      </c>
      <c r="V34" s="671"/>
      <c r="W34" s="671"/>
      <c r="X34" s="710"/>
      <c r="Y34" s="759" t="s">
        <v>28</v>
      </c>
      <c r="Z34" s="760"/>
      <c r="AA34" s="760"/>
      <c r="AB34" s="761"/>
      <c r="AC34" s="671">
        <f>SUM(AC4:AE33)</f>
        <v>0</v>
      </c>
      <c r="AD34" s="671"/>
      <c r="AE34" s="710"/>
      <c r="AF34" s="729"/>
      <c r="AG34" s="730"/>
      <c r="AH34" s="730"/>
      <c r="AI34" s="730"/>
      <c r="AJ34" s="730"/>
      <c r="AK34" s="730"/>
      <c r="AL34" s="730"/>
      <c r="AM34" s="730"/>
      <c r="AN34" s="730"/>
      <c r="AO34" s="730"/>
      <c r="AP34" s="730"/>
      <c r="AQ34" s="730"/>
      <c r="AR34" s="730"/>
      <c r="AS34" s="730"/>
      <c r="AT34" s="730"/>
      <c r="AU34" s="730"/>
      <c r="AV34" s="731"/>
      <c r="AW34" s="668"/>
      <c r="AX34" s="669"/>
      <c r="AY34" s="669"/>
      <c r="AZ34" s="669"/>
      <c r="BA34" s="669"/>
      <c r="BB34" s="670"/>
      <c r="BC34" s="120"/>
      <c r="BD34" s="284">
        <f t="shared" si="1"/>
        <v>0</v>
      </c>
      <c r="BE34" s="671" t="str">
        <f>IF(AW34="","",HLOOKUP(AW34,AssociatedRef!$AP$1:$BZ$123,LOOKUP($M$19,AssociatedRef!$AP$2:$AP$123,AssociatedRef!$AQ$2:$AQ$123),FALSE))</f>
        <v/>
      </c>
      <c r="BF34" s="671"/>
      <c r="BG34" s="120" t="s">
        <v>347</v>
      </c>
      <c r="BH34" s="285" t="str">
        <f t="shared" si="2"/>
        <v/>
      </c>
      <c r="BI34" s="668" t="s">
        <v>373</v>
      </c>
      <c r="BJ34" s="669"/>
      <c r="BK34" s="669"/>
      <c r="BL34" s="670"/>
      <c r="BM34" s="120"/>
      <c r="BN34" s="120"/>
      <c r="BO34" s="120"/>
      <c r="BP34" s="694"/>
      <c r="BQ34" s="694"/>
      <c r="BR34" s="694"/>
      <c r="BS34" s="694"/>
      <c r="BT34" s="719"/>
    </row>
    <row r="35" spans="1:72" ht="15" customHeight="1" thickBot="1" x14ac:dyDescent="0.3">
      <c r="A35" s="690" t="s">
        <v>32</v>
      </c>
      <c r="B35" s="691"/>
      <c r="C35" s="691"/>
      <c r="D35" s="691"/>
      <c r="E35" s="671">
        <f>IF(E34="primary",11-SUM(E31:H33),IF(E34="Secondary",9-SUM(E31:H33),IF(E34="Tertiary",7-SUM(E31:H33),"Select Priority")))</f>
        <v>4</v>
      </c>
      <c r="F35" s="671"/>
      <c r="G35" s="671"/>
      <c r="H35" s="671"/>
      <c r="I35" s="681"/>
      <c r="J35" s="682"/>
      <c r="K35" s="682"/>
      <c r="L35" s="683"/>
      <c r="M35" s="772"/>
      <c r="N35" s="682"/>
      <c r="O35" s="682"/>
      <c r="P35" s="815"/>
      <c r="Q35" s="712" t="s">
        <v>29</v>
      </c>
      <c r="R35" s="712"/>
      <c r="S35" s="712"/>
      <c r="T35" s="712"/>
      <c r="U35" s="736" t="str">
        <f>IF(U34&gt;5,"Yes","No")</f>
        <v>No</v>
      </c>
      <c r="V35" s="736"/>
      <c r="W35" s="736"/>
      <c r="X35" s="675"/>
      <c r="Y35" s="690" t="s">
        <v>32</v>
      </c>
      <c r="Z35" s="691"/>
      <c r="AA35" s="691"/>
      <c r="AB35" s="691"/>
      <c r="AC35" s="671">
        <f>30-AC34</f>
        <v>30</v>
      </c>
      <c r="AD35" s="671"/>
      <c r="AE35" s="710"/>
      <c r="AF35" s="732"/>
      <c r="AG35" s="733"/>
      <c r="AH35" s="733"/>
      <c r="AI35" s="733"/>
      <c r="AJ35" s="733"/>
      <c r="AK35" s="733"/>
      <c r="AL35" s="733"/>
      <c r="AM35" s="733"/>
      <c r="AN35" s="733"/>
      <c r="AO35" s="733"/>
      <c r="AP35" s="733"/>
      <c r="AQ35" s="733"/>
      <c r="AR35" s="733"/>
      <c r="AS35" s="733"/>
      <c r="AT35" s="733"/>
      <c r="AU35" s="733"/>
      <c r="AV35" s="734"/>
      <c r="AW35" s="668"/>
      <c r="AX35" s="669"/>
      <c r="AY35" s="669"/>
      <c r="AZ35" s="669"/>
      <c r="BA35" s="669"/>
      <c r="BB35" s="670"/>
      <c r="BC35" s="120"/>
      <c r="BD35" s="284">
        <f t="shared" si="1"/>
        <v>0</v>
      </c>
      <c r="BE35" s="671" t="str">
        <f>IF(AW35="","",HLOOKUP(AW35,AssociatedRef!$AP$1:$BZ$123,LOOKUP($M$19,AssociatedRef!$AP$2:$AP$123,AssociatedRef!$AQ$2:$AQ$123),FALSE))</f>
        <v/>
      </c>
      <c r="BF35" s="671"/>
      <c r="BG35" s="120" t="s">
        <v>347</v>
      </c>
      <c r="BH35" s="285" t="str">
        <f t="shared" si="2"/>
        <v/>
      </c>
      <c r="BI35" s="668" t="s">
        <v>373</v>
      </c>
      <c r="BJ35" s="669"/>
      <c r="BK35" s="669"/>
      <c r="BL35" s="670"/>
      <c r="BM35" s="120"/>
      <c r="BN35" s="120"/>
      <c r="BO35" s="120"/>
      <c r="BP35" s="694"/>
      <c r="BQ35" s="694"/>
      <c r="BR35" s="694"/>
      <c r="BS35" s="694"/>
      <c r="BT35" s="719"/>
    </row>
    <row r="36" spans="1:72" ht="15" customHeight="1" x14ac:dyDescent="0.25">
      <c r="A36" s="695" t="s">
        <v>80</v>
      </c>
      <c r="B36" s="696"/>
      <c r="C36" s="696"/>
      <c r="D36" s="696"/>
      <c r="E36" s="696"/>
      <c r="F36" s="696"/>
      <c r="G36" s="696"/>
      <c r="H36" s="696"/>
      <c r="I36" s="696"/>
      <c r="J36" s="696"/>
      <c r="K36" s="696"/>
      <c r="L36" s="696"/>
      <c r="M36" s="696"/>
      <c r="N36" s="696"/>
      <c r="O36" s="696"/>
      <c r="P36" s="696"/>
      <c r="Q36" s="696"/>
      <c r="R36" s="696"/>
      <c r="S36" s="696"/>
      <c r="T36" s="696"/>
      <c r="U36" s="696"/>
      <c r="V36" s="696"/>
      <c r="W36" s="696"/>
      <c r="X36" s="738"/>
      <c r="Y36" s="780" t="s">
        <v>29</v>
      </c>
      <c r="Z36" s="781"/>
      <c r="AA36" s="781"/>
      <c r="AB36" s="781"/>
      <c r="AC36" s="784" t="str">
        <f>IF(AND(AC35=0,MAX(AC4:AE33)&lt;4),"Yes","No")</f>
        <v>No</v>
      </c>
      <c r="AD36" s="784"/>
      <c r="AE36" s="785"/>
      <c r="AF36" s="732"/>
      <c r="AG36" s="733"/>
      <c r="AH36" s="733"/>
      <c r="AI36" s="733"/>
      <c r="AJ36" s="733"/>
      <c r="AK36" s="733"/>
      <c r="AL36" s="733"/>
      <c r="AM36" s="733"/>
      <c r="AN36" s="733"/>
      <c r="AO36" s="733"/>
      <c r="AP36" s="733"/>
      <c r="AQ36" s="733"/>
      <c r="AR36" s="733"/>
      <c r="AS36" s="733"/>
      <c r="AT36" s="733"/>
      <c r="AU36" s="733"/>
      <c r="AV36" s="734"/>
      <c r="AW36" s="668"/>
      <c r="AX36" s="669"/>
      <c r="AY36" s="669"/>
      <c r="AZ36" s="669"/>
      <c r="BA36" s="669"/>
      <c r="BB36" s="670"/>
      <c r="BC36" s="120"/>
      <c r="BD36" s="284">
        <f t="shared" si="1"/>
        <v>0</v>
      </c>
      <c r="BE36" s="671" t="str">
        <f>IF(AW36="","",HLOOKUP(AW36,AssociatedRef!$AP$1:$BZ$123,LOOKUP($M$19,AssociatedRef!$AP$2:$AP$123,AssociatedRef!$AQ$2:$AQ$123),FALSE))</f>
        <v/>
      </c>
      <c r="BF36" s="671"/>
      <c r="BG36" s="120" t="s">
        <v>347</v>
      </c>
      <c r="BH36" s="285" t="str">
        <f t="shared" si="2"/>
        <v/>
      </c>
      <c r="BI36" s="668" t="s">
        <v>373</v>
      </c>
      <c r="BJ36" s="669"/>
      <c r="BK36" s="669"/>
      <c r="BL36" s="670"/>
      <c r="BM36" s="120"/>
      <c r="BN36" s="120"/>
      <c r="BO36" s="120"/>
      <c r="BP36" s="694"/>
      <c r="BQ36" s="694"/>
      <c r="BR36" s="694"/>
      <c r="BS36" s="694"/>
      <c r="BT36" s="719"/>
    </row>
    <row r="37" spans="1:72" ht="15" customHeight="1" thickBot="1" x14ac:dyDescent="0.3">
      <c r="A37" s="697"/>
      <c r="B37" s="698"/>
      <c r="C37" s="698"/>
      <c r="D37" s="698"/>
      <c r="E37" s="698"/>
      <c r="F37" s="698"/>
      <c r="G37" s="698"/>
      <c r="H37" s="698"/>
      <c r="I37" s="698"/>
      <c r="J37" s="698"/>
      <c r="K37" s="698"/>
      <c r="L37" s="698"/>
      <c r="M37" s="698"/>
      <c r="N37" s="698"/>
      <c r="O37" s="698"/>
      <c r="P37" s="698"/>
      <c r="Q37" s="698"/>
      <c r="R37" s="698"/>
      <c r="S37" s="698"/>
      <c r="T37" s="698"/>
      <c r="U37" s="698"/>
      <c r="V37" s="698"/>
      <c r="W37" s="698"/>
      <c r="X37" s="739"/>
      <c r="Y37" s="782"/>
      <c r="Z37" s="783"/>
      <c r="AA37" s="783"/>
      <c r="AB37" s="783"/>
      <c r="AC37" s="786"/>
      <c r="AD37" s="786"/>
      <c r="AE37" s="787"/>
      <c r="AF37" s="732"/>
      <c r="AG37" s="733"/>
      <c r="AH37" s="733"/>
      <c r="AI37" s="733"/>
      <c r="AJ37" s="733"/>
      <c r="AK37" s="733"/>
      <c r="AL37" s="733"/>
      <c r="AM37" s="733"/>
      <c r="AN37" s="733"/>
      <c r="AO37" s="733"/>
      <c r="AP37" s="733"/>
      <c r="AQ37" s="733"/>
      <c r="AR37" s="733"/>
      <c r="AS37" s="733"/>
      <c r="AT37" s="733"/>
      <c r="AU37" s="733"/>
      <c r="AV37" s="734"/>
      <c r="AW37" s="668"/>
      <c r="AX37" s="669"/>
      <c r="AY37" s="669"/>
      <c r="AZ37" s="669"/>
      <c r="BA37" s="669"/>
      <c r="BB37" s="670"/>
      <c r="BC37" s="120"/>
      <c r="BD37" s="284">
        <f t="shared" si="1"/>
        <v>0</v>
      </c>
      <c r="BE37" s="671" t="str">
        <f>IF(AW37="","",HLOOKUP(AW37,AssociatedRef!$AP$1:$BZ$123,LOOKUP($M$19,AssociatedRef!$AP$2:$AP$123,AssociatedRef!$AQ$2:$AQ$123),FALSE))</f>
        <v/>
      </c>
      <c r="BF37" s="671"/>
      <c r="BG37" s="120" t="s">
        <v>347</v>
      </c>
      <c r="BH37" s="285" t="str">
        <f t="shared" si="2"/>
        <v/>
      </c>
      <c r="BI37" s="668" t="s">
        <v>373</v>
      </c>
      <c r="BJ37" s="669"/>
      <c r="BK37" s="669"/>
      <c r="BL37" s="670"/>
      <c r="BM37" s="120"/>
      <c r="BN37" s="120"/>
      <c r="BO37" s="120"/>
      <c r="BP37" s="694"/>
      <c r="BQ37" s="694"/>
      <c r="BR37" s="694"/>
      <c r="BS37" s="694"/>
      <c r="BT37" s="719"/>
    </row>
    <row r="38" spans="1:72" ht="15" customHeight="1" x14ac:dyDescent="0.25">
      <c r="A38" s="740"/>
      <c r="B38" s="671"/>
      <c r="C38" s="671"/>
      <c r="D38" s="671"/>
      <c r="E38" s="691" t="s">
        <v>81</v>
      </c>
      <c r="F38" s="691"/>
      <c r="G38" s="691"/>
      <c r="H38" s="691"/>
      <c r="I38" s="691" t="s">
        <v>82</v>
      </c>
      <c r="J38" s="691"/>
      <c r="K38" s="691"/>
      <c r="L38" s="691"/>
      <c r="M38" s="671"/>
      <c r="N38" s="671"/>
      <c r="O38" s="671"/>
      <c r="P38" s="671"/>
      <c r="Q38" s="691" t="s">
        <v>81</v>
      </c>
      <c r="R38" s="691"/>
      <c r="S38" s="691"/>
      <c r="T38" s="691"/>
      <c r="U38" s="691" t="s">
        <v>82</v>
      </c>
      <c r="V38" s="691"/>
      <c r="W38" s="691"/>
      <c r="X38" s="741"/>
      <c r="Y38" s="721" t="s">
        <v>63</v>
      </c>
      <c r="Z38" s="722"/>
      <c r="AA38" s="722"/>
      <c r="AB38" s="722"/>
      <c r="AC38" s="722"/>
      <c r="AD38" s="722"/>
      <c r="AE38" s="722"/>
      <c r="AF38" s="725" t="str">
        <f>IF(M19="Select","",VLOOKUP(M19,PantheonList!A18:I146,9,FALSE))</f>
        <v/>
      </c>
      <c r="AG38" s="725"/>
      <c r="AH38" s="725"/>
      <c r="AI38" s="725"/>
      <c r="AJ38" s="725"/>
      <c r="AK38" s="725"/>
      <c r="AL38" s="725"/>
      <c r="AM38" s="725"/>
      <c r="AN38" s="725"/>
      <c r="AO38" s="725"/>
      <c r="AP38" s="725"/>
      <c r="AQ38" s="725"/>
      <c r="AR38" s="725"/>
      <c r="AS38" s="725"/>
      <c r="AT38" s="725"/>
      <c r="AU38" s="725"/>
      <c r="AV38" s="726"/>
      <c r="AW38" s="669"/>
      <c r="AX38" s="669"/>
      <c r="AY38" s="669"/>
      <c r="AZ38" s="669"/>
      <c r="BA38" s="669"/>
      <c r="BB38" s="670"/>
      <c r="BC38" s="120"/>
      <c r="BD38" s="284">
        <f t="shared" si="1"/>
        <v>0</v>
      </c>
      <c r="BE38" s="671" t="str">
        <f>IF(AW38="","",HLOOKUP(AW38,AssociatedRef!$AP$1:$BZ$123,LOOKUP($M$19,AssociatedRef!$AP$2:$AP$123,AssociatedRef!$AQ$2:$AQ$123),FALSE))</f>
        <v/>
      </c>
      <c r="BF38" s="671"/>
      <c r="BG38" s="120" t="s">
        <v>347</v>
      </c>
      <c r="BH38" s="285" t="str">
        <f t="shared" si="2"/>
        <v/>
      </c>
      <c r="BI38" s="668" t="s">
        <v>373</v>
      </c>
      <c r="BJ38" s="669"/>
      <c r="BK38" s="669"/>
      <c r="BL38" s="670"/>
      <c r="BM38" s="120"/>
      <c r="BN38" s="120"/>
      <c r="BO38" s="120"/>
      <c r="BP38" s="694"/>
      <c r="BQ38" s="694"/>
      <c r="BR38" s="694"/>
      <c r="BS38" s="694"/>
      <c r="BT38" s="719"/>
    </row>
    <row r="39" spans="1:72" ht="15" customHeight="1" x14ac:dyDescent="0.25">
      <c r="A39" s="690" t="s">
        <v>8</v>
      </c>
      <c r="B39" s="691"/>
      <c r="C39" s="691"/>
      <c r="D39" s="691"/>
      <c r="E39" s="671">
        <f>SUM(I19:L33)</f>
        <v>0</v>
      </c>
      <c r="F39" s="671"/>
      <c r="G39" s="671"/>
      <c r="H39" s="671"/>
      <c r="I39" s="671">
        <f>E39*4</f>
        <v>0</v>
      </c>
      <c r="J39" s="671"/>
      <c r="K39" s="671"/>
      <c r="L39" s="671"/>
      <c r="M39" s="691" t="s">
        <v>67</v>
      </c>
      <c r="N39" s="691"/>
      <c r="O39" s="691"/>
      <c r="P39" s="691"/>
      <c r="Q39" s="671">
        <f>SUM(BQ4:BR12)</f>
        <v>0</v>
      </c>
      <c r="R39" s="671"/>
      <c r="S39" s="671"/>
      <c r="T39" s="671"/>
      <c r="U39" s="671">
        <f>SUM(BS4:BT12)</f>
        <v>0</v>
      </c>
      <c r="V39" s="671"/>
      <c r="W39" s="671"/>
      <c r="X39" s="710"/>
      <c r="Y39" s="723"/>
      <c r="Z39" s="724"/>
      <c r="AA39" s="724"/>
      <c r="AB39" s="724"/>
      <c r="AC39" s="724"/>
      <c r="AD39" s="724"/>
      <c r="AE39" s="724"/>
      <c r="AF39" s="727"/>
      <c r="AG39" s="727"/>
      <c r="AH39" s="727"/>
      <c r="AI39" s="727"/>
      <c r="AJ39" s="727"/>
      <c r="AK39" s="727"/>
      <c r="AL39" s="727"/>
      <c r="AM39" s="727"/>
      <c r="AN39" s="727"/>
      <c r="AO39" s="727"/>
      <c r="AP39" s="727"/>
      <c r="AQ39" s="727"/>
      <c r="AR39" s="727"/>
      <c r="AS39" s="727"/>
      <c r="AT39" s="727"/>
      <c r="AU39" s="727"/>
      <c r="AV39" s="728"/>
      <c r="AW39" s="669"/>
      <c r="AX39" s="669"/>
      <c r="AY39" s="669"/>
      <c r="AZ39" s="669"/>
      <c r="BA39" s="669"/>
      <c r="BB39" s="670"/>
      <c r="BC39" s="120"/>
      <c r="BD39" s="284">
        <f t="shared" si="1"/>
        <v>0</v>
      </c>
      <c r="BE39" s="671" t="str">
        <f>IF(AW39="","",HLOOKUP(AW39,AssociatedRef!$AP$1:$BZ$123,LOOKUP($M$19,AssociatedRef!$AP$2:$AP$123,AssociatedRef!$AQ$2:$AQ$123),FALSE))</f>
        <v/>
      </c>
      <c r="BF39" s="671"/>
      <c r="BG39" s="120" t="s">
        <v>347</v>
      </c>
      <c r="BH39" s="285" t="str">
        <f t="shared" si="2"/>
        <v/>
      </c>
      <c r="BI39" s="668" t="s">
        <v>373</v>
      </c>
      <c r="BJ39" s="669"/>
      <c r="BK39" s="669"/>
      <c r="BL39" s="670"/>
      <c r="BM39" s="120"/>
      <c r="BN39" s="120"/>
      <c r="BO39" s="120"/>
      <c r="BP39" s="694"/>
      <c r="BQ39" s="694"/>
      <c r="BR39" s="694"/>
      <c r="BS39" s="694"/>
      <c r="BT39" s="719"/>
    </row>
    <row r="40" spans="1:72" ht="15" customHeight="1" x14ac:dyDescent="0.25">
      <c r="A40" s="690" t="s">
        <v>69</v>
      </c>
      <c r="B40" s="691"/>
      <c r="C40" s="691"/>
      <c r="D40" s="691"/>
      <c r="E40" s="671">
        <f>SUM(AF4:AG33)</f>
        <v>0</v>
      </c>
      <c r="F40" s="671"/>
      <c r="G40" s="671"/>
      <c r="H40" s="671"/>
      <c r="I40" s="671">
        <f>SUM(AH4:AI33)</f>
        <v>0</v>
      </c>
      <c r="J40" s="671"/>
      <c r="K40" s="671"/>
      <c r="L40" s="671"/>
      <c r="M40" s="691" t="s">
        <v>439</v>
      </c>
      <c r="N40" s="691"/>
      <c r="O40" s="691"/>
      <c r="P40" s="691"/>
      <c r="Q40" s="671">
        <f>U40/3</f>
        <v>0</v>
      </c>
      <c r="R40" s="671"/>
      <c r="S40" s="671"/>
      <c r="T40" s="671"/>
      <c r="U40" s="671">
        <f>SUM(AT6:AV33)</f>
        <v>0</v>
      </c>
      <c r="V40" s="671"/>
      <c r="W40" s="671"/>
      <c r="X40" s="710"/>
      <c r="Y40" s="723" t="s">
        <v>64</v>
      </c>
      <c r="Z40" s="724"/>
      <c r="AA40" s="724"/>
      <c r="AB40" s="724"/>
      <c r="AC40" s="724"/>
      <c r="AD40" s="724"/>
      <c r="AE40" s="724"/>
      <c r="AF40" s="727" t="str">
        <f>IF(M19="Select","",VLOOKUP(M19,PantheonList!A18:I146,8,FALSE))</f>
        <v/>
      </c>
      <c r="AG40" s="727"/>
      <c r="AH40" s="727"/>
      <c r="AI40" s="727"/>
      <c r="AJ40" s="727"/>
      <c r="AK40" s="727"/>
      <c r="AL40" s="727"/>
      <c r="AM40" s="727"/>
      <c r="AN40" s="727"/>
      <c r="AO40" s="727"/>
      <c r="AP40" s="727"/>
      <c r="AQ40" s="727"/>
      <c r="AR40" s="727"/>
      <c r="AS40" s="727"/>
      <c r="AT40" s="727"/>
      <c r="AU40" s="727"/>
      <c r="AV40" s="728"/>
      <c r="AW40" s="669"/>
      <c r="AX40" s="669"/>
      <c r="AY40" s="669"/>
      <c r="AZ40" s="669"/>
      <c r="BA40" s="669"/>
      <c r="BB40" s="670"/>
      <c r="BC40" s="120"/>
      <c r="BD40" s="284">
        <f t="shared" si="1"/>
        <v>0</v>
      </c>
      <c r="BE40" s="671" t="str">
        <f>IF(AW40="","",HLOOKUP(AW40,AssociatedRef!$AP$1:$BZ$123,LOOKUP($M$19,AssociatedRef!$AP$2:$AP$123,AssociatedRef!$AQ$2:$AQ$123),FALSE))</f>
        <v/>
      </c>
      <c r="BF40" s="671"/>
      <c r="BG40" s="120" t="s">
        <v>347</v>
      </c>
      <c r="BH40" s="285" t="str">
        <f t="shared" si="2"/>
        <v/>
      </c>
      <c r="BI40" s="759" t="s">
        <v>28</v>
      </c>
      <c r="BJ40" s="760"/>
      <c r="BK40" s="760"/>
      <c r="BL40" s="761"/>
      <c r="BM40" s="287">
        <f>SUM(BM21:BM39)</f>
        <v>0</v>
      </c>
      <c r="BN40" s="747" t="s">
        <v>78</v>
      </c>
      <c r="BO40" s="747" t="s">
        <v>79</v>
      </c>
      <c r="BP40" s="750" t="str">
        <f>IF(MAX(BM21:BM39)&gt;3,"No Birthright may be raised above 3 dots at creation without spending bonus points to do so.","")</f>
        <v/>
      </c>
      <c r="BQ40" s="751"/>
      <c r="BR40" s="751"/>
      <c r="BS40" s="751"/>
      <c r="BT40" s="752"/>
    </row>
    <row r="41" spans="1:72" ht="15" customHeight="1" x14ac:dyDescent="0.25">
      <c r="A41" s="690" t="s">
        <v>31</v>
      </c>
      <c r="B41" s="691"/>
      <c r="C41" s="691"/>
      <c r="D41" s="691"/>
      <c r="E41" s="671">
        <f>SUM(W19:X22)</f>
        <v>0</v>
      </c>
      <c r="F41" s="671"/>
      <c r="G41" s="671"/>
      <c r="H41" s="671"/>
      <c r="I41" s="671">
        <f>E41*3</f>
        <v>0</v>
      </c>
      <c r="J41" s="671"/>
      <c r="K41" s="671"/>
      <c r="L41" s="671"/>
      <c r="M41" s="691" t="s">
        <v>85</v>
      </c>
      <c r="N41" s="691"/>
      <c r="O41" s="691"/>
      <c r="P41" s="691"/>
      <c r="Q41" s="671">
        <f>SUM(BN21:BO39)</f>
        <v>0</v>
      </c>
      <c r="R41" s="671"/>
      <c r="S41" s="671"/>
      <c r="T41" s="671"/>
      <c r="U41" s="671">
        <f>SUM(BN21:BN39)+SUM(BO21:BO39)*2</f>
        <v>0</v>
      </c>
      <c r="V41" s="671"/>
      <c r="W41" s="671"/>
      <c r="X41" s="710"/>
      <c r="Y41" s="723"/>
      <c r="Z41" s="724"/>
      <c r="AA41" s="724"/>
      <c r="AB41" s="724"/>
      <c r="AC41" s="724"/>
      <c r="AD41" s="724"/>
      <c r="AE41" s="724"/>
      <c r="AF41" s="727"/>
      <c r="AG41" s="727"/>
      <c r="AH41" s="727"/>
      <c r="AI41" s="727"/>
      <c r="AJ41" s="727"/>
      <c r="AK41" s="727"/>
      <c r="AL41" s="727"/>
      <c r="AM41" s="727"/>
      <c r="AN41" s="727"/>
      <c r="AO41" s="727"/>
      <c r="AP41" s="727"/>
      <c r="AQ41" s="727"/>
      <c r="AR41" s="727"/>
      <c r="AS41" s="727"/>
      <c r="AT41" s="727"/>
      <c r="AU41" s="727"/>
      <c r="AV41" s="728"/>
      <c r="AW41" s="669"/>
      <c r="AX41" s="669"/>
      <c r="AY41" s="669"/>
      <c r="AZ41" s="669"/>
      <c r="BA41" s="669"/>
      <c r="BB41" s="670"/>
      <c r="BC41" s="120"/>
      <c r="BD41" s="284">
        <f t="shared" si="1"/>
        <v>0</v>
      </c>
      <c r="BE41" s="671" t="str">
        <f>IF(AW41="","",HLOOKUP(AW41,AssociatedRef!$AP$1:$BZ$123,LOOKUP($M$19,AssociatedRef!$AP$2:$AP$123,AssociatedRef!$AQ$2:$AQ$123),FALSE))</f>
        <v/>
      </c>
      <c r="BF41" s="671"/>
      <c r="BG41" s="120" t="s">
        <v>347</v>
      </c>
      <c r="BH41" s="285" t="str">
        <f t="shared" si="2"/>
        <v/>
      </c>
      <c r="BI41" s="761" t="s">
        <v>32</v>
      </c>
      <c r="BJ41" s="691"/>
      <c r="BK41" s="691"/>
      <c r="BL41" s="691"/>
      <c r="BM41" s="287">
        <f>5-BM40</f>
        <v>5</v>
      </c>
      <c r="BN41" s="747"/>
      <c r="BO41" s="747"/>
      <c r="BP41" s="753"/>
      <c r="BQ41" s="754"/>
      <c r="BR41" s="754"/>
      <c r="BS41" s="754"/>
      <c r="BT41" s="755"/>
    </row>
    <row r="42" spans="1:72" ht="15" customHeight="1" thickBot="1" x14ac:dyDescent="0.3">
      <c r="A42" s="690" t="s">
        <v>83</v>
      </c>
      <c r="B42" s="691"/>
      <c r="C42" s="691"/>
      <c r="D42" s="691"/>
      <c r="E42" s="671">
        <f>O23</f>
        <v>0</v>
      </c>
      <c r="F42" s="671"/>
      <c r="G42" s="671"/>
      <c r="H42" s="671"/>
      <c r="I42" s="671">
        <f>E42*2</f>
        <v>0</v>
      </c>
      <c r="J42" s="671"/>
      <c r="K42" s="671"/>
      <c r="L42" s="671"/>
      <c r="M42" s="691" t="s">
        <v>68</v>
      </c>
      <c r="N42" s="691"/>
      <c r="O42" s="691"/>
      <c r="P42" s="691"/>
      <c r="Q42" s="671">
        <f>SUM(BG4:BG46)</f>
        <v>0</v>
      </c>
      <c r="R42" s="671"/>
      <c r="S42" s="671"/>
      <c r="T42" s="671"/>
      <c r="U42" s="671">
        <f>SUM(BH4:BH46)</f>
        <v>0</v>
      </c>
      <c r="V42" s="671"/>
      <c r="W42" s="671"/>
      <c r="X42" s="710"/>
      <c r="Y42" s="708" t="s">
        <v>129</v>
      </c>
      <c r="Z42" s="709"/>
      <c r="AA42" s="709"/>
      <c r="AB42" s="709"/>
      <c r="AC42" s="709"/>
      <c r="AD42" s="709"/>
      <c r="AE42" s="709"/>
      <c r="AF42" s="712" t="str">
        <f>IF(M17="Select","",VLOOKUP(M17,PantheonList!A3:F15,2,FALSE))</f>
        <v/>
      </c>
      <c r="AG42" s="712"/>
      <c r="AH42" s="712"/>
      <c r="AI42" s="712"/>
      <c r="AJ42" s="712"/>
      <c r="AK42" s="712"/>
      <c r="AL42" s="712"/>
      <c r="AM42" s="712"/>
      <c r="AN42" s="712"/>
      <c r="AO42" s="712"/>
      <c r="AP42" s="712"/>
      <c r="AQ42" s="712"/>
      <c r="AR42" s="712"/>
      <c r="AS42" s="712"/>
      <c r="AT42" s="712"/>
      <c r="AU42" s="712"/>
      <c r="AV42" s="720"/>
      <c r="AW42" s="669"/>
      <c r="AX42" s="669"/>
      <c r="AY42" s="669"/>
      <c r="AZ42" s="669"/>
      <c r="BA42" s="669"/>
      <c r="BB42" s="670"/>
      <c r="BC42" s="120"/>
      <c r="BD42" s="284">
        <f t="shared" si="1"/>
        <v>0</v>
      </c>
      <c r="BE42" s="671" t="str">
        <f>IF(AW42="","",HLOOKUP(AW42,AssociatedRef!$AP$1:$BZ$123,LOOKUP($M$19,AssociatedRef!$AP$2:$AP$123,AssociatedRef!$AQ$2:$AQ$123),FALSE))</f>
        <v/>
      </c>
      <c r="BF42" s="671"/>
      <c r="BG42" s="120" t="s">
        <v>347</v>
      </c>
      <c r="BH42" s="285" t="str">
        <f t="shared" si="2"/>
        <v/>
      </c>
      <c r="BI42" s="761" t="s">
        <v>29</v>
      </c>
      <c r="BJ42" s="691"/>
      <c r="BK42" s="691"/>
      <c r="BL42" s="691"/>
      <c r="BM42" s="287" t="str">
        <f>IF(AND(BM41=0,MAX(BM21:BM39)&lt;4),"Yes","No")</f>
        <v>No</v>
      </c>
      <c r="BN42" s="747"/>
      <c r="BO42" s="747"/>
      <c r="BP42" s="753"/>
      <c r="BQ42" s="754"/>
      <c r="BR42" s="754"/>
      <c r="BS42" s="754"/>
      <c r="BT42" s="755"/>
    </row>
    <row r="43" spans="1:72" ht="15" customHeight="1" thickBot="1" x14ac:dyDescent="0.3">
      <c r="A43" s="735"/>
      <c r="B43" s="712"/>
      <c r="C43" s="712"/>
      <c r="D43" s="712"/>
      <c r="E43" s="712"/>
      <c r="F43" s="712"/>
      <c r="G43" s="712"/>
      <c r="H43" s="712"/>
      <c r="I43" s="736"/>
      <c r="J43" s="736"/>
      <c r="K43" s="736"/>
      <c r="L43" s="736"/>
      <c r="M43" s="737" t="s">
        <v>84</v>
      </c>
      <c r="N43" s="737"/>
      <c r="O43" s="737"/>
      <c r="P43" s="737"/>
      <c r="Q43" s="712">
        <f>AU4</f>
        <v>0</v>
      </c>
      <c r="R43" s="712"/>
      <c r="S43" s="712"/>
      <c r="T43" s="712"/>
      <c r="U43" s="712">
        <f>Q43*7</f>
        <v>0</v>
      </c>
      <c r="V43" s="712"/>
      <c r="W43" s="712"/>
      <c r="X43" s="705"/>
      <c r="Y43" s="686"/>
      <c r="Z43" s="771"/>
      <c r="AA43" s="771"/>
      <c r="AB43" s="771"/>
      <c r="AC43" s="771"/>
      <c r="AD43" s="771"/>
      <c r="AE43" s="771"/>
      <c r="AF43" s="771"/>
      <c r="AG43" s="771"/>
      <c r="AH43" s="771"/>
      <c r="AI43" s="771"/>
      <c r="AJ43" s="771"/>
      <c r="AK43" s="771"/>
      <c r="AL43" s="771"/>
      <c r="AM43" s="771"/>
      <c r="AN43" s="771"/>
      <c r="AO43" s="771"/>
      <c r="AP43" s="771"/>
      <c r="AQ43" s="771"/>
      <c r="AR43" s="771"/>
      <c r="AS43" s="771"/>
      <c r="AT43" s="771"/>
      <c r="AU43" s="771"/>
      <c r="AV43" s="689"/>
      <c r="AW43" s="668"/>
      <c r="AX43" s="669"/>
      <c r="AY43" s="669"/>
      <c r="AZ43" s="669"/>
      <c r="BA43" s="669"/>
      <c r="BB43" s="670"/>
      <c r="BC43" s="120"/>
      <c r="BD43" s="284">
        <f t="shared" si="1"/>
        <v>0</v>
      </c>
      <c r="BE43" s="671" t="str">
        <f>IF(AW43="","",HLOOKUP(AW43,AssociatedRef!$AP$1:$BZ$123,LOOKUP($M$19,AssociatedRef!$AP$2:$AP$123,AssociatedRef!$AQ$2:$AQ$123),FALSE))</f>
        <v/>
      </c>
      <c r="BF43" s="671"/>
      <c r="BG43" s="120" t="s">
        <v>347</v>
      </c>
      <c r="BH43" s="285" t="str">
        <f t="shared" si="2"/>
        <v/>
      </c>
      <c r="BI43" s="716"/>
      <c r="BJ43" s="671"/>
      <c r="BK43" s="671"/>
      <c r="BL43" s="671"/>
      <c r="BM43" s="671"/>
      <c r="BN43" s="747"/>
      <c r="BO43" s="747"/>
      <c r="BP43" s="753"/>
      <c r="BQ43" s="754"/>
      <c r="BR43" s="754"/>
      <c r="BS43" s="754"/>
      <c r="BT43" s="755"/>
    </row>
    <row r="44" spans="1:72" ht="15" customHeight="1" x14ac:dyDescent="0.25">
      <c r="A44" s="685"/>
      <c r="B44" s="685"/>
      <c r="C44" s="685"/>
      <c r="D44" s="685"/>
      <c r="E44" s="685"/>
      <c r="F44" s="685"/>
      <c r="G44" s="685"/>
      <c r="H44" s="688"/>
      <c r="I44" s="690" t="s">
        <v>86</v>
      </c>
      <c r="J44" s="691"/>
      <c r="K44" s="691"/>
      <c r="L44" s="691"/>
      <c r="M44" s="671">
        <f>SUM(I39:L42,U39:X43)</f>
        <v>0</v>
      </c>
      <c r="N44" s="671"/>
      <c r="O44" s="671"/>
      <c r="P44" s="692"/>
      <c r="Q44" s="684"/>
      <c r="R44" s="685"/>
      <c r="S44" s="685"/>
      <c r="T44" s="685"/>
      <c r="U44" s="685"/>
      <c r="V44" s="685"/>
      <c r="W44" s="685"/>
      <c r="X44" s="685"/>
      <c r="Y44" s="686"/>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689"/>
      <c r="AW44" s="668"/>
      <c r="AX44" s="669"/>
      <c r="AY44" s="669"/>
      <c r="AZ44" s="669"/>
      <c r="BA44" s="669"/>
      <c r="BB44" s="670"/>
      <c r="BC44" s="120"/>
      <c r="BD44" s="284">
        <f t="shared" si="1"/>
        <v>0</v>
      </c>
      <c r="BE44" s="671" t="str">
        <f>IF(AW44="","",HLOOKUP(AW44,AssociatedRef!$AP$1:$BZ$123,LOOKUP($M$19,AssociatedRef!$AP$2:$AP$123,AssociatedRef!$AQ$2:$AQ$123),FALSE))</f>
        <v/>
      </c>
      <c r="BF44" s="671"/>
      <c r="BG44" s="120" t="s">
        <v>347</v>
      </c>
      <c r="BH44" s="285" t="str">
        <f t="shared" si="2"/>
        <v/>
      </c>
      <c r="BI44" s="716"/>
      <c r="BJ44" s="671"/>
      <c r="BK44" s="671"/>
      <c r="BL44" s="671"/>
      <c r="BM44" s="671"/>
      <c r="BN44" s="747"/>
      <c r="BO44" s="747"/>
      <c r="BP44" s="753"/>
      <c r="BQ44" s="754"/>
      <c r="BR44" s="754"/>
      <c r="BS44" s="754"/>
      <c r="BT44" s="755"/>
    </row>
    <row r="45" spans="1:72" ht="15" customHeight="1" x14ac:dyDescent="0.25">
      <c r="A45" s="687"/>
      <c r="B45" s="687"/>
      <c r="C45" s="687"/>
      <c r="D45" s="687"/>
      <c r="E45" s="687"/>
      <c r="F45" s="687"/>
      <c r="G45" s="687"/>
      <c r="H45" s="689"/>
      <c r="I45" s="690" t="s">
        <v>32</v>
      </c>
      <c r="J45" s="691"/>
      <c r="K45" s="691"/>
      <c r="L45" s="691"/>
      <c r="M45" s="671">
        <f>15-M44</f>
        <v>15</v>
      </c>
      <c r="N45" s="671"/>
      <c r="O45" s="671"/>
      <c r="P45" s="692"/>
      <c r="Q45" s="686"/>
      <c r="R45" s="687"/>
      <c r="S45" s="687"/>
      <c r="T45" s="687"/>
      <c r="U45" s="687"/>
      <c r="V45" s="687"/>
      <c r="W45" s="687"/>
      <c r="X45" s="687"/>
      <c r="Y45" s="686"/>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689"/>
      <c r="AW45" s="668"/>
      <c r="AX45" s="669"/>
      <c r="AY45" s="669"/>
      <c r="AZ45" s="669"/>
      <c r="BA45" s="669"/>
      <c r="BB45" s="670"/>
      <c r="BC45" s="120"/>
      <c r="BD45" s="284">
        <f t="shared" si="1"/>
        <v>0</v>
      </c>
      <c r="BE45" s="671" t="str">
        <f>IF(AW45="","",HLOOKUP(AW45,AssociatedRef!$AP$1:$BZ$123,LOOKUP($M$19,AssociatedRef!$AP$2:$AP$123,AssociatedRef!$AQ$2:$AQ$123),FALSE))</f>
        <v/>
      </c>
      <c r="BF45" s="671"/>
      <c r="BG45" s="120" t="s">
        <v>347</v>
      </c>
      <c r="BH45" s="285" t="str">
        <f t="shared" si="2"/>
        <v/>
      </c>
      <c r="BI45" s="716"/>
      <c r="BJ45" s="671"/>
      <c r="BK45" s="671"/>
      <c r="BL45" s="671"/>
      <c r="BM45" s="671"/>
      <c r="BN45" s="747"/>
      <c r="BO45" s="747"/>
      <c r="BP45" s="753"/>
      <c r="BQ45" s="754"/>
      <c r="BR45" s="754"/>
      <c r="BS45" s="754"/>
      <c r="BT45" s="755"/>
    </row>
    <row r="46" spans="1:72" ht="15" customHeight="1" thickBot="1" x14ac:dyDescent="0.3">
      <c r="A46" s="687"/>
      <c r="B46" s="687"/>
      <c r="C46" s="687"/>
      <c r="D46" s="687"/>
      <c r="E46" s="687"/>
      <c r="F46" s="687"/>
      <c r="G46" s="687"/>
      <c r="H46" s="689"/>
      <c r="I46" s="708" t="s">
        <v>29</v>
      </c>
      <c r="J46" s="709"/>
      <c r="K46" s="709"/>
      <c r="L46" s="709"/>
      <c r="M46" s="712" t="str">
        <f>IF(M45=0,"Yes","No")</f>
        <v>No</v>
      </c>
      <c r="N46" s="712"/>
      <c r="O46" s="712"/>
      <c r="P46" s="720"/>
      <c r="Q46" s="686"/>
      <c r="R46" s="687"/>
      <c r="S46" s="687"/>
      <c r="T46" s="687"/>
      <c r="U46" s="687"/>
      <c r="V46" s="687"/>
      <c r="W46" s="687"/>
      <c r="X46" s="687"/>
      <c r="Y46" s="772"/>
      <c r="Z46" s="682"/>
      <c r="AA46" s="682"/>
      <c r="AB46" s="682"/>
      <c r="AC46" s="682"/>
      <c r="AD46" s="682"/>
      <c r="AE46" s="682"/>
      <c r="AF46" s="682"/>
      <c r="AG46" s="682"/>
      <c r="AH46" s="682"/>
      <c r="AI46" s="682"/>
      <c r="AJ46" s="682"/>
      <c r="AK46" s="682"/>
      <c r="AL46" s="682"/>
      <c r="AM46" s="682"/>
      <c r="AN46" s="682"/>
      <c r="AO46" s="682"/>
      <c r="AP46" s="682"/>
      <c r="AQ46" s="682"/>
      <c r="AR46" s="682"/>
      <c r="AS46" s="682"/>
      <c r="AT46" s="682"/>
      <c r="AU46" s="682"/>
      <c r="AV46" s="683"/>
      <c r="AW46" s="668"/>
      <c r="AX46" s="669"/>
      <c r="AY46" s="669"/>
      <c r="AZ46" s="669"/>
      <c r="BA46" s="669"/>
      <c r="BB46" s="670"/>
      <c r="BC46" s="120"/>
      <c r="BD46" s="284">
        <f t="shared" si="1"/>
        <v>0</v>
      </c>
      <c r="BE46" s="671" t="str">
        <f>IF(AW46="","",HLOOKUP(AW46,AssociatedRef!$AP$1:$BZ$123,LOOKUP($M$19,AssociatedRef!$AP$2:$AP$123,AssociatedRef!$AQ$2:$AQ$123),FALSE))</f>
        <v/>
      </c>
      <c r="BF46" s="671"/>
      <c r="BG46" s="120" t="s">
        <v>347</v>
      </c>
      <c r="BH46" s="285" t="str">
        <f t="shared" si="2"/>
        <v/>
      </c>
      <c r="BI46" s="749"/>
      <c r="BJ46" s="712"/>
      <c r="BK46" s="712"/>
      <c r="BL46" s="712"/>
      <c r="BM46" s="712"/>
      <c r="BN46" s="748"/>
      <c r="BO46" s="748"/>
      <c r="BP46" s="756"/>
      <c r="BQ46" s="757"/>
      <c r="BR46" s="757"/>
      <c r="BS46" s="757"/>
      <c r="BT46" s="758"/>
    </row>
  </sheetData>
  <sheetProtection password="E9C2" sheet="1" objects="1" scenarios="1" selectLockedCells="1"/>
  <mergeCells count="601">
    <mergeCell ref="Y42:AE42"/>
    <mergeCell ref="AF42:AV42"/>
    <mergeCell ref="Y43:AV46"/>
    <mergeCell ref="O12:R12"/>
    <mergeCell ref="M16:P16"/>
    <mergeCell ref="M17:P17"/>
    <mergeCell ref="A12:D12"/>
    <mergeCell ref="A13:D13"/>
    <mergeCell ref="O13:R13"/>
    <mergeCell ref="M18:P18"/>
    <mergeCell ref="A19:D19"/>
    <mergeCell ref="E19:H19"/>
    <mergeCell ref="I19:L19"/>
    <mergeCell ref="M28:P28"/>
    <mergeCell ref="Q28:T28"/>
    <mergeCell ref="U28:X28"/>
    <mergeCell ref="A16:L17"/>
    <mergeCell ref="M25:X26"/>
    <mergeCell ref="A18:D18"/>
    <mergeCell ref="E18:H18"/>
    <mergeCell ref="A22:D22"/>
    <mergeCell ref="E22:H22"/>
    <mergeCell ref="M31:P31"/>
    <mergeCell ref="Q31:T31"/>
    <mergeCell ref="A34:D34"/>
    <mergeCell ref="E34:H34"/>
    <mergeCell ref="U31:X31"/>
    <mergeCell ref="M34:P35"/>
    <mergeCell ref="A35:D35"/>
    <mergeCell ref="I18:L18"/>
    <mergeCell ref="M27:P27"/>
    <mergeCell ref="Q27:T27"/>
    <mergeCell ref="U27:X27"/>
    <mergeCell ref="A21:D21"/>
    <mergeCell ref="E21:H21"/>
    <mergeCell ref="I21:L21"/>
    <mergeCell ref="M30:P30"/>
    <mergeCell ref="Q30:T30"/>
    <mergeCell ref="U30:X30"/>
    <mergeCell ref="A20:D20"/>
    <mergeCell ref="E20:H20"/>
    <mergeCell ref="I20:L20"/>
    <mergeCell ref="M29:P29"/>
    <mergeCell ref="Q29:T29"/>
    <mergeCell ref="U29:X29"/>
    <mergeCell ref="I25:L25"/>
    <mergeCell ref="A23:D23"/>
    <mergeCell ref="E23:H23"/>
    <mergeCell ref="M32:P32"/>
    <mergeCell ref="Q32:T32"/>
    <mergeCell ref="U32:X32"/>
    <mergeCell ref="A33:D33"/>
    <mergeCell ref="E33:H33"/>
    <mergeCell ref="I33:L33"/>
    <mergeCell ref="A31:D31"/>
    <mergeCell ref="E31:H31"/>
    <mergeCell ref="I31:L31"/>
    <mergeCell ref="M33:P33"/>
    <mergeCell ref="Q33:T33"/>
    <mergeCell ref="U33:X33"/>
    <mergeCell ref="A32:D32"/>
    <mergeCell ref="E32:H32"/>
    <mergeCell ref="I32:L32"/>
    <mergeCell ref="A28:D28"/>
    <mergeCell ref="E28:H28"/>
    <mergeCell ref="A29:D29"/>
    <mergeCell ref="E29:H29"/>
    <mergeCell ref="Y1:AM2"/>
    <mergeCell ref="Y3:AB3"/>
    <mergeCell ref="AC3:AE3"/>
    <mergeCell ref="AF3:AG3"/>
    <mergeCell ref="AH3:AI3"/>
    <mergeCell ref="AJ3:AM3"/>
    <mergeCell ref="Q16:X17"/>
    <mergeCell ref="A14:X15"/>
    <mergeCell ref="A1:D2"/>
    <mergeCell ref="E1:H2"/>
    <mergeCell ref="I1:L2"/>
    <mergeCell ref="M1:X2"/>
    <mergeCell ref="M19:P19"/>
    <mergeCell ref="A26:D26"/>
    <mergeCell ref="E26:H26"/>
    <mergeCell ref="I26:L26"/>
    <mergeCell ref="A25:D25"/>
    <mergeCell ref="Y10:AB10"/>
    <mergeCell ref="Y11:AB11"/>
    <mergeCell ref="Y12:AB12"/>
    <mergeCell ref="Y13:AB13"/>
    <mergeCell ref="Y14:AB14"/>
    <mergeCell ref="Y15:AB15"/>
    <mergeCell ref="Y25:AB25"/>
    <mergeCell ref="Y26:AB26"/>
    <mergeCell ref="Y27:AB27"/>
    <mergeCell ref="Y28:AB28"/>
    <mergeCell ref="Y29:AB29"/>
    <mergeCell ref="Y30:AB30"/>
    <mergeCell ref="Y31:AB31"/>
    <mergeCell ref="Y32:AB32"/>
    <mergeCell ref="S12:X12"/>
    <mergeCell ref="S13:X13"/>
    <mergeCell ref="E12:N12"/>
    <mergeCell ref="E13:N13"/>
    <mergeCell ref="A3:X11"/>
    <mergeCell ref="A27:D27"/>
    <mergeCell ref="E27:H27"/>
    <mergeCell ref="Y4:AB4"/>
    <mergeCell ref="Y5:AB5"/>
    <mergeCell ref="Y6:AB6"/>
    <mergeCell ref="Y7:AB7"/>
    <mergeCell ref="Y8:AB8"/>
    <mergeCell ref="Y9:AB9"/>
    <mergeCell ref="Y22:AB22"/>
    <mergeCell ref="Y23:AB23"/>
    <mergeCell ref="Y24:AB24"/>
    <mergeCell ref="Y16:AB16"/>
    <mergeCell ref="Y17:AB17"/>
    <mergeCell ref="Y18:AB18"/>
    <mergeCell ref="Y19:AB19"/>
    <mergeCell ref="Y20:AB20"/>
    <mergeCell ref="Y21:AB21"/>
    <mergeCell ref="AC4:AE4"/>
    <mergeCell ref="AF4:AG4"/>
    <mergeCell ref="AH4:AI4"/>
    <mergeCell ref="AJ4:AM4"/>
    <mergeCell ref="AC5:AE5"/>
    <mergeCell ref="AF5:AG5"/>
    <mergeCell ref="AH5:AI5"/>
    <mergeCell ref="AJ5:AM5"/>
    <mergeCell ref="AC6:AE6"/>
    <mergeCell ref="AC8:AE8"/>
    <mergeCell ref="AF8:AG8"/>
    <mergeCell ref="AH8:AI8"/>
    <mergeCell ref="AJ8:AM8"/>
    <mergeCell ref="AC9:AE9"/>
    <mergeCell ref="AF9:AG9"/>
    <mergeCell ref="AH9:AI9"/>
    <mergeCell ref="AJ9:AM9"/>
    <mergeCell ref="AF6:AG6"/>
    <mergeCell ref="AH6:AI6"/>
    <mergeCell ref="AJ6:AM6"/>
    <mergeCell ref="AC7:AE7"/>
    <mergeCell ref="AF7:AG7"/>
    <mergeCell ref="AH7:AI7"/>
    <mergeCell ref="AJ7:AM7"/>
    <mergeCell ref="AC12:AE12"/>
    <mergeCell ref="AF12:AG12"/>
    <mergeCell ref="AH12:AI12"/>
    <mergeCell ref="AJ12:AM12"/>
    <mergeCell ref="AC13:AE13"/>
    <mergeCell ref="AF13:AG13"/>
    <mergeCell ref="AH13:AI13"/>
    <mergeCell ref="AJ13:AM13"/>
    <mergeCell ref="AC10:AE10"/>
    <mergeCell ref="AF10:AG10"/>
    <mergeCell ref="AH10:AI10"/>
    <mergeCell ref="AJ10:AM10"/>
    <mergeCell ref="AC11:AE11"/>
    <mergeCell ref="AF11:AG11"/>
    <mergeCell ref="AH11:AI11"/>
    <mergeCell ref="AJ11:AM11"/>
    <mergeCell ref="AC16:AE16"/>
    <mergeCell ref="AF16:AG16"/>
    <mergeCell ref="AH16:AI16"/>
    <mergeCell ref="AJ16:AM16"/>
    <mergeCell ref="AC17:AE17"/>
    <mergeCell ref="AF17:AG17"/>
    <mergeCell ref="AH17:AI17"/>
    <mergeCell ref="AJ17:AM17"/>
    <mergeCell ref="AC14:AE14"/>
    <mergeCell ref="AF14:AG14"/>
    <mergeCell ref="AH14:AI14"/>
    <mergeCell ref="AJ14:AM14"/>
    <mergeCell ref="AC15:AE15"/>
    <mergeCell ref="AF15:AG15"/>
    <mergeCell ref="AH15:AI15"/>
    <mergeCell ref="AJ15:AM15"/>
    <mergeCell ref="AC20:AE20"/>
    <mergeCell ref="AF20:AG20"/>
    <mergeCell ref="AH20:AI20"/>
    <mergeCell ref="AJ20:AM20"/>
    <mergeCell ref="AC21:AE21"/>
    <mergeCell ref="AF21:AG21"/>
    <mergeCell ref="AH21:AI21"/>
    <mergeCell ref="AJ21:AM21"/>
    <mergeCell ref="AC18:AE18"/>
    <mergeCell ref="AF18:AG18"/>
    <mergeCell ref="AH18:AI18"/>
    <mergeCell ref="AJ18:AM18"/>
    <mergeCell ref="AC19:AE19"/>
    <mergeCell ref="AF19:AG19"/>
    <mergeCell ref="AH19:AI19"/>
    <mergeCell ref="AJ19:AM19"/>
    <mergeCell ref="AC24:AE24"/>
    <mergeCell ref="AF24:AG24"/>
    <mergeCell ref="AH24:AI24"/>
    <mergeCell ref="AJ24:AM24"/>
    <mergeCell ref="AC25:AE25"/>
    <mergeCell ref="AF25:AG25"/>
    <mergeCell ref="AH25:AI25"/>
    <mergeCell ref="AJ25:AM25"/>
    <mergeCell ref="AC22:AE22"/>
    <mergeCell ref="AF22:AG22"/>
    <mergeCell ref="AH22:AI22"/>
    <mergeCell ref="AJ22:AM22"/>
    <mergeCell ref="AC23:AE23"/>
    <mergeCell ref="AF23:AG23"/>
    <mergeCell ref="AH23:AI23"/>
    <mergeCell ref="AJ23:AM23"/>
    <mergeCell ref="AH31:AI31"/>
    <mergeCell ref="AJ31:AM31"/>
    <mergeCell ref="AC28:AE28"/>
    <mergeCell ref="AF28:AG28"/>
    <mergeCell ref="AH28:AI28"/>
    <mergeCell ref="AJ28:AM28"/>
    <mergeCell ref="AC29:AE29"/>
    <mergeCell ref="AF29:AG29"/>
    <mergeCell ref="AC26:AE26"/>
    <mergeCell ref="AF26:AG26"/>
    <mergeCell ref="AH26:AI26"/>
    <mergeCell ref="AJ26:AM26"/>
    <mergeCell ref="AC27:AE27"/>
    <mergeCell ref="AF27:AG27"/>
    <mergeCell ref="AH27:AI27"/>
    <mergeCell ref="AJ27:AM27"/>
    <mergeCell ref="AN25:AS25"/>
    <mergeCell ref="AN26:AS26"/>
    <mergeCell ref="AN21:AS21"/>
    <mergeCell ref="AN22:AS22"/>
    <mergeCell ref="AT19:AV19"/>
    <mergeCell ref="AT20:AV20"/>
    <mergeCell ref="AN11:AS11"/>
    <mergeCell ref="AN12:AS12"/>
    <mergeCell ref="AN13:AS13"/>
    <mergeCell ref="AN14:AS14"/>
    <mergeCell ref="AT22:AV22"/>
    <mergeCell ref="AT23:AV23"/>
    <mergeCell ref="AT24:AV24"/>
    <mergeCell ref="AT25:AV25"/>
    <mergeCell ref="AT26:AV26"/>
    <mergeCell ref="AN19:AS19"/>
    <mergeCell ref="AN20:AS20"/>
    <mergeCell ref="AT13:AV13"/>
    <mergeCell ref="AT14:AV14"/>
    <mergeCell ref="AT15:AV15"/>
    <mergeCell ref="AT16:AV16"/>
    <mergeCell ref="AT17:AV17"/>
    <mergeCell ref="AT18:AV18"/>
    <mergeCell ref="AT21:AV21"/>
    <mergeCell ref="BI1:BT2"/>
    <mergeCell ref="Y36:AB37"/>
    <mergeCell ref="AC36:AE37"/>
    <mergeCell ref="Y34:AB34"/>
    <mergeCell ref="AC34:AE34"/>
    <mergeCell ref="Y35:AB35"/>
    <mergeCell ref="AC35:AE35"/>
    <mergeCell ref="AW1:BH2"/>
    <mergeCell ref="AT7:AV7"/>
    <mergeCell ref="AT8:AV8"/>
    <mergeCell ref="AT9:AV9"/>
    <mergeCell ref="AT10:AV10"/>
    <mergeCell ref="AT11:AV11"/>
    <mergeCell ref="AT12:AV12"/>
    <mergeCell ref="AN15:AS15"/>
    <mergeCell ref="AN16:AS16"/>
    <mergeCell ref="AN17:AS17"/>
    <mergeCell ref="AN18:AS18"/>
    <mergeCell ref="BO4:BP4"/>
    <mergeCell ref="BQ4:BR4"/>
    <mergeCell ref="AT27:AV27"/>
    <mergeCell ref="AT28:AV28"/>
    <mergeCell ref="AT29:AV29"/>
    <mergeCell ref="AT30:AV30"/>
    <mergeCell ref="BS4:BT4"/>
    <mergeCell ref="BM5:BN5"/>
    <mergeCell ref="BO5:BP5"/>
    <mergeCell ref="BQ5:BR5"/>
    <mergeCell ref="BS5:BT5"/>
    <mergeCell ref="BM3:BN3"/>
    <mergeCell ref="BO3:BP3"/>
    <mergeCell ref="BQ3:BR3"/>
    <mergeCell ref="BS3:BT3"/>
    <mergeCell ref="BO8:BP8"/>
    <mergeCell ref="BQ8:BR8"/>
    <mergeCell ref="BS8:BT8"/>
    <mergeCell ref="BM9:BN9"/>
    <mergeCell ref="BO9:BP9"/>
    <mergeCell ref="BQ9:BR9"/>
    <mergeCell ref="BS9:BT9"/>
    <mergeCell ref="BM6:BN6"/>
    <mergeCell ref="BO6:BP6"/>
    <mergeCell ref="BQ6:BR6"/>
    <mergeCell ref="BS6:BT6"/>
    <mergeCell ref="BM7:BN7"/>
    <mergeCell ref="BO7:BP7"/>
    <mergeCell ref="BQ7:BR7"/>
    <mergeCell ref="BS7:BT7"/>
    <mergeCell ref="BO12:BP12"/>
    <mergeCell ref="BQ12:BR12"/>
    <mergeCell ref="BS12:BT12"/>
    <mergeCell ref="BM13:BN13"/>
    <mergeCell ref="BO13:BP13"/>
    <mergeCell ref="BQ13:BR13"/>
    <mergeCell ref="BS13:BT13"/>
    <mergeCell ref="BM10:BN10"/>
    <mergeCell ref="BO10:BP10"/>
    <mergeCell ref="BQ10:BR10"/>
    <mergeCell ref="BS10:BT10"/>
    <mergeCell ref="BM11:BN11"/>
    <mergeCell ref="BO11:BP11"/>
    <mergeCell ref="BQ11:BR11"/>
    <mergeCell ref="BS11:BT11"/>
    <mergeCell ref="BG3:BH3"/>
    <mergeCell ref="BE3:BF3"/>
    <mergeCell ref="BC3:BD3"/>
    <mergeCell ref="AW3:BB3"/>
    <mergeCell ref="BI14:BN15"/>
    <mergeCell ref="AW4:BB4"/>
    <mergeCell ref="AW5:BB5"/>
    <mergeCell ref="AW6:BB6"/>
    <mergeCell ref="AW7:BB7"/>
    <mergeCell ref="BI10:BL10"/>
    <mergeCell ref="BI11:BL11"/>
    <mergeCell ref="BI12:BL12"/>
    <mergeCell ref="BI13:BL13"/>
    <mergeCell ref="BI7:BL7"/>
    <mergeCell ref="BI8:BL8"/>
    <mergeCell ref="BI9:BL9"/>
    <mergeCell ref="BI3:BL3"/>
    <mergeCell ref="BI4:BL4"/>
    <mergeCell ref="BI5:BL5"/>
    <mergeCell ref="BI6:BL6"/>
    <mergeCell ref="BM12:BN12"/>
    <mergeCell ref="BM8:BN8"/>
    <mergeCell ref="BM4:BN4"/>
    <mergeCell ref="BE4:BF4"/>
    <mergeCell ref="BI27:BL27"/>
    <mergeCell ref="BN20:BO20"/>
    <mergeCell ref="BI20:BL20"/>
    <mergeCell ref="BP20:BT20"/>
    <mergeCell ref="BI21:BL21"/>
    <mergeCell ref="BP21:BT21"/>
    <mergeCell ref="BO14:BP15"/>
    <mergeCell ref="BI16:BN16"/>
    <mergeCell ref="BO16:BP16"/>
    <mergeCell ref="BI17:BN17"/>
    <mergeCell ref="BO17:BP17"/>
    <mergeCell ref="BI18:BT19"/>
    <mergeCell ref="BQ14:BT17"/>
    <mergeCell ref="BP28:BT28"/>
    <mergeCell ref="BP29:BT29"/>
    <mergeCell ref="BP30:BT30"/>
    <mergeCell ref="BN40:BN46"/>
    <mergeCell ref="BO40:BO46"/>
    <mergeCell ref="BI43:BM46"/>
    <mergeCell ref="BP40:BT46"/>
    <mergeCell ref="BP22:BT22"/>
    <mergeCell ref="BP23:BT23"/>
    <mergeCell ref="BP24:BT24"/>
    <mergeCell ref="BP25:BT25"/>
    <mergeCell ref="BP26:BT26"/>
    <mergeCell ref="BP27:BT27"/>
    <mergeCell ref="BI28:BL28"/>
    <mergeCell ref="BI29:BL29"/>
    <mergeCell ref="BI30:BL30"/>
    <mergeCell ref="BI40:BL40"/>
    <mergeCell ref="BI41:BL41"/>
    <mergeCell ref="BI42:BL42"/>
    <mergeCell ref="BI22:BL22"/>
    <mergeCell ref="BI23:BL23"/>
    <mergeCell ref="BI24:BL24"/>
    <mergeCell ref="BI25:BL25"/>
    <mergeCell ref="BI26:BL26"/>
    <mergeCell ref="AW14:BB14"/>
    <mergeCell ref="AW15:BB15"/>
    <mergeCell ref="AW16:BB16"/>
    <mergeCell ref="BE16:BF16"/>
    <mergeCell ref="AW17:BB17"/>
    <mergeCell ref="AW18:BB18"/>
    <mergeCell ref="AW19:BB19"/>
    <mergeCell ref="AW8:BB8"/>
    <mergeCell ref="AW9:BB9"/>
    <mergeCell ref="AW10:BB10"/>
    <mergeCell ref="AW11:BB11"/>
    <mergeCell ref="AW12:BB12"/>
    <mergeCell ref="AW13:BB13"/>
    <mergeCell ref="BE10:BF10"/>
    <mergeCell ref="BE11:BF11"/>
    <mergeCell ref="BE12:BF12"/>
    <mergeCell ref="BE13:BF13"/>
    <mergeCell ref="BE14:BF14"/>
    <mergeCell ref="BE15:BF15"/>
    <mergeCell ref="AW26:BB26"/>
    <mergeCell ref="AW27:BB27"/>
    <mergeCell ref="AW28:BB28"/>
    <mergeCell ref="AW29:BB29"/>
    <mergeCell ref="AW30:BB30"/>
    <mergeCell ref="AW31:BB31"/>
    <mergeCell ref="AW20:BB20"/>
    <mergeCell ref="AW21:BB21"/>
    <mergeCell ref="AW22:BB22"/>
    <mergeCell ref="AW23:BB23"/>
    <mergeCell ref="AW24:BB24"/>
    <mergeCell ref="AW25:BB25"/>
    <mergeCell ref="BE5:BF5"/>
    <mergeCell ref="BE6:BF6"/>
    <mergeCell ref="BE7:BF7"/>
    <mergeCell ref="BE8:BF8"/>
    <mergeCell ref="BE9:BF9"/>
    <mergeCell ref="BE22:BF22"/>
    <mergeCell ref="BE23:BF23"/>
    <mergeCell ref="BE24:BF24"/>
    <mergeCell ref="BE25:BF25"/>
    <mergeCell ref="Y33:AB33"/>
    <mergeCell ref="AH29:AI29"/>
    <mergeCell ref="AJ29:AM29"/>
    <mergeCell ref="AW32:BB32"/>
    <mergeCell ref="AW33:BB33"/>
    <mergeCell ref="AT31:AV31"/>
    <mergeCell ref="AT32:AV32"/>
    <mergeCell ref="AN28:AS28"/>
    <mergeCell ref="AN33:AS33"/>
    <mergeCell ref="AT33:AV33"/>
    <mergeCell ref="AC32:AE32"/>
    <mergeCell ref="AF32:AG32"/>
    <mergeCell ref="AH32:AI32"/>
    <mergeCell ref="AJ32:AM32"/>
    <mergeCell ref="AC33:AE33"/>
    <mergeCell ref="AF33:AG33"/>
    <mergeCell ref="AH33:AI33"/>
    <mergeCell ref="AJ33:AM33"/>
    <mergeCell ref="AC30:AE30"/>
    <mergeCell ref="AF30:AG30"/>
    <mergeCell ref="AH30:AI30"/>
    <mergeCell ref="AJ30:AM30"/>
    <mergeCell ref="AC31:AE31"/>
    <mergeCell ref="AF31:AG31"/>
    <mergeCell ref="E35:H35"/>
    <mergeCell ref="W18:X18"/>
    <mergeCell ref="Q23:T23"/>
    <mergeCell ref="Q24:T24"/>
    <mergeCell ref="U18:V18"/>
    <mergeCell ref="U19:V19"/>
    <mergeCell ref="W19:X19"/>
    <mergeCell ref="U20:V20"/>
    <mergeCell ref="W20:X20"/>
    <mergeCell ref="U21:V21"/>
    <mergeCell ref="W21:X21"/>
    <mergeCell ref="U22:V22"/>
    <mergeCell ref="Q18:T18"/>
    <mergeCell ref="Q19:T19"/>
    <mergeCell ref="Q20:T20"/>
    <mergeCell ref="Q21:T21"/>
    <mergeCell ref="Q22:T22"/>
    <mergeCell ref="W22:X22"/>
    <mergeCell ref="Q35:T35"/>
    <mergeCell ref="U35:X35"/>
    <mergeCell ref="Q34:T34"/>
    <mergeCell ref="U34:X34"/>
    <mergeCell ref="E25:H25"/>
    <mergeCell ref="I27:L27"/>
    <mergeCell ref="A40:D40"/>
    <mergeCell ref="E40:H40"/>
    <mergeCell ref="I40:L40"/>
    <mergeCell ref="M40:P40"/>
    <mergeCell ref="Q40:T40"/>
    <mergeCell ref="U40:X40"/>
    <mergeCell ref="A41:D41"/>
    <mergeCell ref="E41:H41"/>
    <mergeCell ref="A36:X37"/>
    <mergeCell ref="A38:D38"/>
    <mergeCell ref="E38:H38"/>
    <mergeCell ref="I38:L38"/>
    <mergeCell ref="M38:P38"/>
    <mergeCell ref="Q38:T38"/>
    <mergeCell ref="U38:X38"/>
    <mergeCell ref="A39:D39"/>
    <mergeCell ref="E39:H39"/>
    <mergeCell ref="I39:L39"/>
    <mergeCell ref="M39:P39"/>
    <mergeCell ref="Q39:T39"/>
    <mergeCell ref="U39:X39"/>
    <mergeCell ref="A43:D43"/>
    <mergeCell ref="E43:H43"/>
    <mergeCell ref="I43:L43"/>
    <mergeCell ref="M43:P43"/>
    <mergeCell ref="Q43:T43"/>
    <mergeCell ref="U43:X43"/>
    <mergeCell ref="A42:D42"/>
    <mergeCell ref="E42:H42"/>
    <mergeCell ref="I42:L42"/>
    <mergeCell ref="M42:P42"/>
    <mergeCell ref="Q42:T42"/>
    <mergeCell ref="U42:X42"/>
    <mergeCell ref="AW39:BB39"/>
    <mergeCell ref="BE39:BF39"/>
    <mergeCell ref="BI39:BL39"/>
    <mergeCell ref="BP39:BT39"/>
    <mergeCell ref="BE36:BF36"/>
    <mergeCell ref="BE37:BF37"/>
    <mergeCell ref="AW36:BB36"/>
    <mergeCell ref="AW37:BB37"/>
    <mergeCell ref="I46:L46"/>
    <mergeCell ref="M46:P46"/>
    <mergeCell ref="BE40:BF40"/>
    <mergeCell ref="I41:L41"/>
    <mergeCell ref="M41:P41"/>
    <mergeCell ref="Q41:T41"/>
    <mergeCell ref="U41:X41"/>
    <mergeCell ref="Y38:AE39"/>
    <mergeCell ref="AF38:AV39"/>
    <mergeCell ref="AF34:AV37"/>
    <mergeCell ref="AW41:BB41"/>
    <mergeCell ref="AW34:BB34"/>
    <mergeCell ref="Y40:AE41"/>
    <mergeCell ref="AF40:AV41"/>
    <mergeCell ref="AW35:BB35"/>
    <mergeCell ref="BE34:BF34"/>
    <mergeCell ref="BI34:BL34"/>
    <mergeCell ref="BP34:BT34"/>
    <mergeCell ref="BI35:BL35"/>
    <mergeCell ref="BP35:BT35"/>
    <mergeCell ref="BI36:BL36"/>
    <mergeCell ref="BP36:BT36"/>
    <mergeCell ref="BI37:BL37"/>
    <mergeCell ref="BP37:BT37"/>
    <mergeCell ref="AW38:BB38"/>
    <mergeCell ref="BE38:BF38"/>
    <mergeCell ref="BI38:BL38"/>
    <mergeCell ref="BP38:BT38"/>
    <mergeCell ref="BE35:BF35"/>
    <mergeCell ref="BE26:BF26"/>
    <mergeCell ref="BE27:BF27"/>
    <mergeCell ref="BE17:BF17"/>
    <mergeCell ref="BE18:BF18"/>
    <mergeCell ref="BE19:BF19"/>
    <mergeCell ref="BE20:BF20"/>
    <mergeCell ref="BE21:BF21"/>
    <mergeCell ref="BE28:BF28"/>
    <mergeCell ref="BE29:BF29"/>
    <mergeCell ref="BI31:BL31"/>
    <mergeCell ref="BP31:BT31"/>
    <mergeCell ref="BI32:BL32"/>
    <mergeCell ref="BP32:BT32"/>
    <mergeCell ref="BI33:BL33"/>
    <mergeCell ref="BP33:BT33"/>
    <mergeCell ref="AN29:AS29"/>
    <mergeCell ref="AN30:AS30"/>
    <mergeCell ref="AN31:AS31"/>
    <mergeCell ref="AN32:AS32"/>
    <mergeCell ref="BE30:BF30"/>
    <mergeCell ref="BE31:BF31"/>
    <mergeCell ref="BE32:BF32"/>
    <mergeCell ref="BE33:BF33"/>
    <mergeCell ref="AN1:AV2"/>
    <mergeCell ref="AN3:AT3"/>
    <mergeCell ref="AN4:AT4"/>
    <mergeCell ref="U24:X24"/>
    <mergeCell ref="M20:P21"/>
    <mergeCell ref="M22:N22"/>
    <mergeCell ref="M23:N23"/>
    <mergeCell ref="M24:N24"/>
    <mergeCell ref="O22:P22"/>
    <mergeCell ref="O23:P23"/>
    <mergeCell ref="O24:P24"/>
    <mergeCell ref="U23:X23"/>
    <mergeCell ref="AT5:AV5"/>
    <mergeCell ref="AN5:AS5"/>
    <mergeCell ref="AN6:AS6"/>
    <mergeCell ref="AN7:AS7"/>
    <mergeCell ref="AN8:AS8"/>
    <mergeCell ref="AN9:AS9"/>
    <mergeCell ref="AN10:AS10"/>
    <mergeCell ref="AN23:AS23"/>
    <mergeCell ref="AN24:AS24"/>
    <mergeCell ref="AT6:AV6"/>
    <mergeCell ref="AU3:AV3"/>
    <mergeCell ref="AU4:AV4"/>
    <mergeCell ref="AW46:BB46"/>
    <mergeCell ref="BE46:BF46"/>
    <mergeCell ref="A24:L24"/>
    <mergeCell ref="A30:L30"/>
    <mergeCell ref="I22:L23"/>
    <mergeCell ref="I28:L29"/>
    <mergeCell ref="I34:L35"/>
    <mergeCell ref="BE41:BF41"/>
    <mergeCell ref="AW42:BB42"/>
    <mergeCell ref="BE42:BF42"/>
    <mergeCell ref="AW43:BB43"/>
    <mergeCell ref="BE43:BF43"/>
    <mergeCell ref="AW44:BB44"/>
    <mergeCell ref="BE44:BF44"/>
    <mergeCell ref="AW45:BB45"/>
    <mergeCell ref="BE45:BF45"/>
    <mergeCell ref="AW40:BB40"/>
    <mergeCell ref="Q44:X46"/>
    <mergeCell ref="A44:H46"/>
    <mergeCell ref="I44:L44"/>
    <mergeCell ref="M44:P44"/>
    <mergeCell ref="I45:L45"/>
    <mergeCell ref="M45:P45"/>
    <mergeCell ref="AN27:AS27"/>
  </mergeCells>
  <conditionalFormatting sqref="M17:P17">
    <cfRule type="expression" dxfId="818" priority="590">
      <formula>NOT($M$1="Select Your God")</formula>
    </cfRule>
    <cfRule type="expression" dxfId="817" priority="592">
      <formula>NOT($M$17="Select")</formula>
    </cfRule>
    <cfRule type="containsText" dxfId="816" priority="593" operator="containsText" text="Select">
      <formula>NOT(ISERROR(SEARCH("Select",M17)))</formula>
    </cfRule>
  </conditionalFormatting>
  <conditionalFormatting sqref="M19:P19">
    <cfRule type="containsText" dxfId="815" priority="591" operator="containsText" text="Select">
      <formula>NOT(ISERROR(SEARCH("Select",M19)))</formula>
    </cfRule>
  </conditionalFormatting>
  <conditionalFormatting sqref="E13">
    <cfRule type="expression" dxfId="814" priority="589">
      <formula>$M$1="Select Your Calling"</formula>
    </cfRule>
  </conditionalFormatting>
  <conditionalFormatting sqref="S13">
    <cfRule type="expression" dxfId="813" priority="588">
      <formula>$M$1="Select Your Nature"</formula>
    </cfRule>
  </conditionalFormatting>
  <conditionalFormatting sqref="E22:H22 E28:H28 E34:H34">
    <cfRule type="expression" dxfId="812" priority="587">
      <formula>$M$1="Prioritize Your Attribute Groups"</formula>
    </cfRule>
  </conditionalFormatting>
  <conditionalFormatting sqref="E22:H22">
    <cfRule type="expression" dxfId="811" priority="583">
      <formula>AND(NOT($E$22="Select"),OR($E$22=$E$28,$E$34=$E$22))</formula>
    </cfRule>
    <cfRule type="expression" dxfId="810" priority="586">
      <formula>AND($M$1="Prioritize Attribute Groups",NOT($E$22="Select"))</formula>
    </cfRule>
  </conditionalFormatting>
  <conditionalFormatting sqref="E28:H28">
    <cfRule type="expression" dxfId="809" priority="582">
      <formula>AND(NOT($E$28="select"),OR($E$28=$E$22,$E$28=$E$34))</formula>
    </cfRule>
    <cfRule type="expression" dxfId="808" priority="585">
      <formula>AND($M$1="Prioritize Attribute Groups",NOT($E$28="Select"))</formula>
    </cfRule>
  </conditionalFormatting>
  <conditionalFormatting sqref="E34:H34">
    <cfRule type="expression" dxfId="807" priority="581">
      <formula>AND(NOT($E$34="Select"),OR($E$34=$E$28,$E$34=$E$22))</formula>
    </cfRule>
    <cfRule type="expression" dxfId="806" priority="584">
      <formula>AND($M$1="Prioritize Attribute Groups",NOT($E$34="Select"))</formula>
    </cfRule>
  </conditionalFormatting>
  <conditionalFormatting sqref="E19:H21">
    <cfRule type="expression" dxfId="805" priority="580">
      <formula>AND($M$1="Select Physical Attributes",$E$23&gt;0)</formula>
    </cfRule>
  </conditionalFormatting>
  <conditionalFormatting sqref="E31:H33">
    <cfRule type="expression" dxfId="804" priority="578">
      <formula>AND($M$1="Select Mental Attributes",$E$35&gt;0)</formula>
    </cfRule>
  </conditionalFormatting>
  <conditionalFormatting sqref="E25:H27">
    <cfRule type="expression" dxfId="803" priority="576">
      <formula>AND($M$1="Select Social Attributes",$E$29&gt;0)</formula>
    </cfRule>
  </conditionalFormatting>
  <conditionalFormatting sqref="AC4:AE33">
    <cfRule type="expression" dxfId="802" priority="556">
      <formula>$AC$35&lt;0</formula>
    </cfRule>
    <cfRule type="cellIs" dxfId="801" priority="558" operator="greaterThan">
      <formula>3</formula>
    </cfRule>
    <cfRule type="cellIs" dxfId="800" priority="559" operator="equal">
      <formula>3</formula>
    </cfRule>
    <cfRule type="expression" dxfId="799" priority="574">
      <formula>AND($M$1="Select Abilities",$AC$35&gt;0)</formula>
    </cfRule>
  </conditionalFormatting>
  <conditionalFormatting sqref="Y24:AB33">
    <cfRule type="notContainsText" dxfId="798" priority="572" operator="notContains" text="Special">
      <formula>ISERROR(SEARCH("Special",Y24))</formula>
    </cfRule>
    <cfRule type="expression" dxfId="797" priority="573">
      <formula>AND($M$1="Select Abilities",$AC$35&gt;0)</formula>
    </cfRule>
  </conditionalFormatting>
  <conditionalFormatting sqref="AJ24:AM24">
    <cfRule type="expression" dxfId="796" priority="571">
      <formula>NOT(Y24="Special")</formula>
    </cfRule>
  </conditionalFormatting>
  <conditionalFormatting sqref="AJ25:AM25">
    <cfRule type="expression" dxfId="795" priority="569">
      <formula>NOT(Y25="Special")</formula>
    </cfRule>
  </conditionalFormatting>
  <conditionalFormatting sqref="AJ26:AM26">
    <cfRule type="expression" dxfId="794" priority="568">
      <formula>NOT(Y26="Special")</formula>
    </cfRule>
  </conditionalFormatting>
  <conditionalFormatting sqref="AJ27:AM27">
    <cfRule type="expression" dxfId="793" priority="567">
      <formula>NOT(Y27="Special")</formula>
    </cfRule>
  </conditionalFormatting>
  <conditionalFormatting sqref="AJ28:AM28">
    <cfRule type="expression" dxfId="792" priority="566">
      <formula>NOT(Y28="Special")</formula>
    </cfRule>
  </conditionalFormatting>
  <conditionalFormatting sqref="AJ29:AM29">
    <cfRule type="expression" dxfId="791" priority="565">
      <formula>NOT(Y29="Special")</formula>
    </cfRule>
  </conditionalFormatting>
  <conditionalFormatting sqref="AJ30:AM30">
    <cfRule type="expression" dxfId="790" priority="564">
      <formula>NOT(Y30="Special")</formula>
    </cfRule>
  </conditionalFormatting>
  <conditionalFormatting sqref="AJ31:AM31">
    <cfRule type="expression" dxfId="789" priority="563">
      <formula>NOT(Y31="Special")</formula>
    </cfRule>
  </conditionalFormatting>
  <conditionalFormatting sqref="AJ32:AM32">
    <cfRule type="expression" dxfId="788" priority="562">
      <formula>NOT(Y32="Special")</formula>
    </cfRule>
  </conditionalFormatting>
  <conditionalFormatting sqref="AJ33:AM33">
    <cfRule type="expression" dxfId="787" priority="561">
      <formula>NOT(Y33="Special")</formula>
    </cfRule>
  </conditionalFormatting>
  <conditionalFormatting sqref="AJ24:AM33">
    <cfRule type="notContainsBlanks" dxfId="786" priority="560">
      <formula>LEN(TRIM(AJ24))&gt;0</formula>
    </cfRule>
  </conditionalFormatting>
  <conditionalFormatting sqref="AC4:AE33 AJ24:AM33 Y24:AB33">
    <cfRule type="expression" dxfId="785" priority="557">
      <formula>NOT($M$1="Select Abilities")</formula>
    </cfRule>
  </conditionalFormatting>
  <conditionalFormatting sqref="AW4:BC46 BO4:BP12">
    <cfRule type="expression" dxfId="784" priority="399">
      <formula>$BO$16&lt;0</formula>
    </cfRule>
    <cfRule type="expression" dxfId="783" priority="476">
      <formula>NOT($M$1="Select Advantages")</formula>
    </cfRule>
    <cfRule type="expression" dxfId="782" priority="555">
      <formula>$M$1="Select Advantages"</formula>
    </cfRule>
  </conditionalFormatting>
  <conditionalFormatting sqref="BI21:BL39">
    <cfRule type="expression" dxfId="781" priority="484">
      <formula>$BM$41=0</formula>
    </cfRule>
    <cfRule type="notContainsText" dxfId="780" priority="485" operator="notContains" text="Select Type">
      <formula>ISERROR(SEARCH("Select Type",BI21))</formula>
    </cfRule>
    <cfRule type="expression" dxfId="779" priority="554">
      <formula>$M$1="Select Your Birthrights"</formula>
    </cfRule>
  </conditionalFormatting>
  <conditionalFormatting sqref="BP21:BT21">
    <cfRule type="expression" dxfId="778" priority="553">
      <formula>NOT(BI21="Select Type")</formula>
    </cfRule>
  </conditionalFormatting>
  <conditionalFormatting sqref="BP22:BT22">
    <cfRule type="expression" dxfId="777" priority="534">
      <formula>NOT(BI22="Select Type")</formula>
    </cfRule>
  </conditionalFormatting>
  <conditionalFormatting sqref="BP23:BT23">
    <cfRule type="expression" dxfId="776" priority="533">
      <formula>NOT(BI23="Select Type")</formula>
    </cfRule>
  </conditionalFormatting>
  <conditionalFormatting sqref="BP24:BT24">
    <cfRule type="expression" dxfId="775" priority="532">
      <formula>NOT(BI24="Select Type")</formula>
    </cfRule>
  </conditionalFormatting>
  <conditionalFormatting sqref="BP25:BT25">
    <cfRule type="expression" dxfId="774" priority="531">
      <formula>NOT(BI25="Select Type")</formula>
    </cfRule>
  </conditionalFormatting>
  <conditionalFormatting sqref="BP26:BT26">
    <cfRule type="expression" dxfId="773" priority="530">
      <formula>NOT(BI26="Select Type")</formula>
    </cfRule>
  </conditionalFormatting>
  <conditionalFormatting sqref="BP27:BT27">
    <cfRule type="expression" dxfId="772" priority="529">
      <formula>NOT(BI27="Select Type")</formula>
    </cfRule>
  </conditionalFormatting>
  <conditionalFormatting sqref="BP28:BT28">
    <cfRule type="expression" dxfId="771" priority="528">
      <formula>NOT(BI28="Select Type")</formula>
    </cfRule>
  </conditionalFormatting>
  <conditionalFormatting sqref="BP29:BT29">
    <cfRule type="expression" dxfId="770" priority="527">
      <formula>NOT(BI29="Select Type")</formula>
    </cfRule>
  </conditionalFormatting>
  <conditionalFormatting sqref="BP30:BT30">
    <cfRule type="expression" dxfId="769" priority="526">
      <formula>NOT(BI30="Select Type")</formula>
    </cfRule>
  </conditionalFormatting>
  <conditionalFormatting sqref="BP31:BT31">
    <cfRule type="expression" dxfId="768" priority="525">
      <formula>NOT(BI31="Select Type")</formula>
    </cfRule>
  </conditionalFormatting>
  <conditionalFormatting sqref="BP32:BT32">
    <cfRule type="expression" dxfId="767" priority="524">
      <formula>NOT(BI32="Select Type")</formula>
    </cfRule>
  </conditionalFormatting>
  <conditionalFormatting sqref="BP33:BT33">
    <cfRule type="expression" dxfId="766" priority="523">
      <formula>NOT(BI33="Select Type")</formula>
    </cfRule>
  </conditionalFormatting>
  <conditionalFormatting sqref="BP34:BT34">
    <cfRule type="expression" dxfId="765" priority="522">
      <formula>NOT(BI34="Select Type")</formula>
    </cfRule>
  </conditionalFormatting>
  <conditionalFormatting sqref="BP35:BT35">
    <cfRule type="expression" dxfId="764" priority="521">
      <formula>NOT(BI35="Select Type")</formula>
    </cfRule>
  </conditionalFormatting>
  <conditionalFormatting sqref="BP36:BT36">
    <cfRule type="expression" dxfId="763" priority="520">
      <formula>NOT(BI36="Select Type")</formula>
    </cfRule>
  </conditionalFormatting>
  <conditionalFormatting sqref="BP37:BT37">
    <cfRule type="expression" dxfId="762" priority="519">
      <formula>NOT(BI37="Select Type")</formula>
    </cfRule>
  </conditionalFormatting>
  <conditionalFormatting sqref="BP38:BT38">
    <cfRule type="expression" dxfId="761" priority="518">
      <formula>NOT(BI38="Select Type")</formula>
    </cfRule>
  </conditionalFormatting>
  <conditionalFormatting sqref="BP39:BT39">
    <cfRule type="expression" dxfId="760" priority="517">
      <formula>NOT(BI39="Select Type")</formula>
    </cfRule>
  </conditionalFormatting>
  <conditionalFormatting sqref="BM21">
    <cfRule type="expression" dxfId="759" priority="516">
      <formula>NOT(BI21="Select Type")</formula>
    </cfRule>
  </conditionalFormatting>
  <conditionalFormatting sqref="BM22">
    <cfRule type="expression" dxfId="758" priority="515">
      <formula>NOT(BI22="Select Type")</formula>
    </cfRule>
  </conditionalFormatting>
  <conditionalFormatting sqref="BM23">
    <cfRule type="expression" dxfId="757" priority="514">
      <formula>NOT(BI23="Select Type")</formula>
    </cfRule>
  </conditionalFormatting>
  <conditionalFormatting sqref="BM24">
    <cfRule type="expression" dxfId="756" priority="513">
      <formula>NOT(BI24="Select Type")</formula>
    </cfRule>
  </conditionalFormatting>
  <conditionalFormatting sqref="BM25">
    <cfRule type="expression" dxfId="755" priority="512">
      <formula>NOT(BI25="Select Type")</formula>
    </cfRule>
  </conditionalFormatting>
  <conditionalFormatting sqref="BM26">
    <cfRule type="expression" dxfId="754" priority="511">
      <formula>NOT(BI26="Select Type")</formula>
    </cfRule>
  </conditionalFormatting>
  <conditionalFormatting sqref="BM27">
    <cfRule type="expression" dxfId="753" priority="509">
      <formula>NOT(BI27="Select Type")</formula>
    </cfRule>
  </conditionalFormatting>
  <conditionalFormatting sqref="BM28">
    <cfRule type="expression" dxfId="752" priority="508">
      <formula>NOT(BI28="Select Type")</formula>
    </cfRule>
  </conditionalFormatting>
  <conditionalFormatting sqref="BM29">
    <cfRule type="expression" dxfId="751" priority="507">
      <formula>NOT(BI29="Select Type")</formula>
    </cfRule>
  </conditionalFormatting>
  <conditionalFormatting sqref="BM30">
    <cfRule type="expression" dxfId="750" priority="506">
      <formula>NOT(BI30="Select Type")</formula>
    </cfRule>
  </conditionalFormatting>
  <conditionalFormatting sqref="BM31">
    <cfRule type="expression" dxfId="749" priority="505">
      <formula>NOT(BI31="Select Type")</formula>
    </cfRule>
  </conditionalFormatting>
  <conditionalFormatting sqref="BM37">
    <cfRule type="expression" dxfId="748" priority="497">
      <formula>NOT(BI37="Select Type")</formula>
    </cfRule>
  </conditionalFormatting>
  <conditionalFormatting sqref="BM38">
    <cfRule type="expression" dxfId="747" priority="495">
      <formula>NOT(BI38="Select Type")</formula>
    </cfRule>
  </conditionalFormatting>
  <conditionalFormatting sqref="BM39">
    <cfRule type="expression" dxfId="746" priority="494">
      <formula>NOT(BI39="Select Type")</formula>
    </cfRule>
  </conditionalFormatting>
  <conditionalFormatting sqref="BM36">
    <cfRule type="expression" dxfId="745" priority="493">
      <formula>NOT(BI36="Select Type")</formula>
    </cfRule>
  </conditionalFormatting>
  <conditionalFormatting sqref="BM35">
    <cfRule type="expression" dxfId="744" priority="492">
      <formula>NOT(BI35="Select Type")</formula>
    </cfRule>
  </conditionalFormatting>
  <conditionalFormatting sqref="BM34">
    <cfRule type="expression" dxfId="743" priority="491">
      <formula>NOT(BI34="Select Type")</formula>
    </cfRule>
  </conditionalFormatting>
  <conditionalFormatting sqref="BM33">
    <cfRule type="expression" dxfId="742" priority="490">
      <formula>NOT(BI33="Select Type")</formula>
    </cfRule>
  </conditionalFormatting>
  <conditionalFormatting sqref="BM32">
    <cfRule type="expression" dxfId="741" priority="489">
      <formula>NOT(BI32="Select Type")</formula>
    </cfRule>
  </conditionalFormatting>
  <conditionalFormatting sqref="BP21:BT39">
    <cfRule type="notContainsBlanks" dxfId="740" priority="488">
      <formula>LEN(TRIM(BP21))&gt;0</formula>
    </cfRule>
  </conditionalFormatting>
  <conditionalFormatting sqref="BM21:BM39">
    <cfRule type="expression" dxfId="739" priority="481">
      <formula>$BM$41&lt;0</formula>
    </cfRule>
    <cfRule type="cellIs" dxfId="738" priority="482" operator="greaterThan">
      <formula>3</formula>
    </cfRule>
    <cfRule type="expression" dxfId="737" priority="486">
      <formula>$BM$42="Yes"</formula>
    </cfRule>
    <cfRule type="cellIs" dxfId="736" priority="487" operator="equal">
      <formula>3</formula>
    </cfRule>
  </conditionalFormatting>
  <conditionalFormatting sqref="AW4:BB46">
    <cfRule type="notContainsBlanks" dxfId="735" priority="480">
      <formula>LEN(TRIM(AW4))&gt;0</formula>
    </cfRule>
  </conditionalFormatting>
  <conditionalFormatting sqref="BC4:BC46">
    <cfRule type="expression" dxfId="734" priority="16">
      <formula>IF(OR(AND($BE4="Yes",$BC4&gt;$AU$3+$AU$4),AND($BE4="no",$BC4&gt;$AU$4+$AU$3-1)),1,0)=1</formula>
    </cfRule>
    <cfRule type="notContainsBlanks" dxfId="733" priority="478">
      <formula>LEN(TRIM(BC4))&gt;0</formula>
    </cfRule>
    <cfRule type="expression" dxfId="732" priority="479">
      <formula>$BO$16=0</formula>
    </cfRule>
  </conditionalFormatting>
  <conditionalFormatting sqref="AW4:BB46 BO4:BP12">
    <cfRule type="expression" dxfId="731" priority="477">
      <formula>$BO$16=0</formula>
    </cfRule>
  </conditionalFormatting>
  <conditionalFormatting sqref="U19:V22">
    <cfRule type="cellIs" dxfId="730" priority="17" operator="lessThan">
      <formula>1</formula>
    </cfRule>
    <cfRule type="expression" dxfId="729" priority="377">
      <formula>$U$23&lt;0</formula>
    </cfRule>
    <cfRule type="cellIs" dxfId="728" priority="378" operator="greaterThan">
      <formula>4</formula>
    </cfRule>
    <cfRule type="expression" dxfId="727" priority="379">
      <formula>NOT($M$1="Select Virtues")</formula>
    </cfRule>
    <cfRule type="cellIs" dxfId="726" priority="380" operator="equal">
      <formula>4</formula>
    </cfRule>
    <cfRule type="expression" dxfId="725" priority="381">
      <formula>$M$1="Select Virtues"</formula>
    </cfRule>
  </conditionalFormatting>
  <conditionalFormatting sqref="W19:X19">
    <cfRule type="expression" dxfId="724" priority="355">
      <formula>W19+U19&gt;5</formula>
    </cfRule>
  </conditionalFormatting>
  <conditionalFormatting sqref="W20:X20">
    <cfRule type="expression" dxfId="723" priority="354">
      <formula>W20+U20&gt;5</formula>
    </cfRule>
  </conditionalFormatting>
  <conditionalFormatting sqref="W21:X21">
    <cfRule type="expression" dxfId="722" priority="353">
      <formula>W21+U21&gt;5</formula>
    </cfRule>
  </conditionalFormatting>
  <conditionalFormatting sqref="W22:X22">
    <cfRule type="expression" dxfId="721" priority="352">
      <formula>W22+U22&gt;5</formula>
    </cfRule>
  </conditionalFormatting>
  <conditionalFormatting sqref="O23:P23">
    <cfRule type="expression" dxfId="720" priority="351">
      <formula>$O$24&gt;10</formula>
    </cfRule>
  </conditionalFormatting>
  <conditionalFormatting sqref="AF4:AG4">
    <cfRule type="expression" dxfId="719" priority="309">
      <formula>AF4+AC4&gt;5</formula>
    </cfRule>
    <cfRule type="expression" dxfId="718" priority="375">
      <formula>AF4+AC4=5</formula>
    </cfRule>
  </conditionalFormatting>
  <conditionalFormatting sqref="BN21">
    <cfRule type="expression" dxfId="717" priority="306">
      <formula>BN21+BM21&gt;3</formula>
    </cfRule>
    <cfRule type="expression" dxfId="716" priority="307">
      <formula>BN21+BM21=3</formula>
    </cfRule>
  </conditionalFormatting>
  <conditionalFormatting sqref="BO21">
    <cfRule type="expression" dxfId="715" priority="303">
      <formula>BO21&gt;2</formula>
    </cfRule>
    <cfRule type="expression" dxfId="714" priority="349">
      <formula>BO21=2</formula>
    </cfRule>
  </conditionalFormatting>
  <conditionalFormatting sqref="AF5:AG5">
    <cfRule type="expression" dxfId="713" priority="278">
      <formula>$M$1="Spend Bonus Points"</formula>
    </cfRule>
  </conditionalFormatting>
  <conditionalFormatting sqref="AF5:AG5">
    <cfRule type="expression" dxfId="712" priority="276">
      <formula>$M$45&lt;0</formula>
    </cfRule>
  </conditionalFormatting>
  <conditionalFormatting sqref="AF5:AG5">
    <cfRule type="expression" dxfId="711" priority="275">
      <formula>AF5+AC5&gt;5</formula>
    </cfRule>
    <cfRule type="expression" dxfId="710" priority="277">
      <formula>AF5+AC5=5</formula>
    </cfRule>
  </conditionalFormatting>
  <conditionalFormatting sqref="AF6:AG6">
    <cfRule type="expression" dxfId="709" priority="274">
      <formula>$M$1="Spend Bonus Points"</formula>
    </cfRule>
  </conditionalFormatting>
  <conditionalFormatting sqref="AF6:AG6">
    <cfRule type="expression" dxfId="708" priority="272">
      <formula>$M$45&lt;0</formula>
    </cfRule>
  </conditionalFormatting>
  <conditionalFormatting sqref="AF6:AG6">
    <cfRule type="expression" dxfId="707" priority="271">
      <formula>AF6+AC6&gt;5</formula>
    </cfRule>
    <cfRule type="expression" dxfId="706" priority="273">
      <formula>AF6+AC6=5</formula>
    </cfRule>
  </conditionalFormatting>
  <conditionalFormatting sqref="AF7:AG7">
    <cfRule type="expression" dxfId="705" priority="270">
      <formula>$M$1="Spend Bonus Points"</formula>
    </cfRule>
  </conditionalFormatting>
  <conditionalFormatting sqref="AF7:AG7">
    <cfRule type="expression" dxfId="704" priority="268">
      <formula>$M$45&lt;0</formula>
    </cfRule>
  </conditionalFormatting>
  <conditionalFormatting sqref="AF7:AG7">
    <cfRule type="expression" dxfId="703" priority="267">
      <formula>AF7+AC7&gt;5</formula>
    </cfRule>
    <cfRule type="expression" dxfId="702" priority="269">
      <formula>AF7+AC7=5</formula>
    </cfRule>
  </conditionalFormatting>
  <conditionalFormatting sqref="AF8:AG8">
    <cfRule type="expression" dxfId="701" priority="266">
      <formula>$M$1="Spend Bonus Points"</formula>
    </cfRule>
  </conditionalFormatting>
  <conditionalFormatting sqref="AF8:AG8">
    <cfRule type="expression" dxfId="700" priority="264">
      <formula>$M$45&lt;0</formula>
    </cfRule>
  </conditionalFormatting>
  <conditionalFormatting sqref="AF8:AG8">
    <cfRule type="expression" dxfId="699" priority="263">
      <formula>AF8+AC8&gt;5</formula>
    </cfRule>
    <cfRule type="expression" dxfId="698" priority="265">
      <formula>AF8+AC8=5</formula>
    </cfRule>
  </conditionalFormatting>
  <conditionalFormatting sqref="AF9:AG9">
    <cfRule type="expression" dxfId="697" priority="262">
      <formula>$M$1="Spend Bonus Points"</formula>
    </cfRule>
  </conditionalFormatting>
  <conditionalFormatting sqref="AF9:AG9">
    <cfRule type="expression" dxfId="696" priority="260">
      <formula>$M$45&lt;0</formula>
    </cfRule>
  </conditionalFormatting>
  <conditionalFormatting sqref="AF9:AG9">
    <cfRule type="expression" dxfId="695" priority="259">
      <formula>AF9+AC9&gt;5</formula>
    </cfRule>
    <cfRule type="expression" dxfId="694" priority="261">
      <formula>AF9+AC9=5</formula>
    </cfRule>
  </conditionalFormatting>
  <conditionalFormatting sqref="AF10:AG10">
    <cfRule type="expression" dxfId="693" priority="258">
      <formula>$M$1="Spend Bonus Points"</formula>
    </cfRule>
  </conditionalFormatting>
  <conditionalFormatting sqref="AF10:AG10">
    <cfRule type="expression" dxfId="692" priority="256">
      <formula>$M$45&lt;0</formula>
    </cfRule>
  </conditionalFormatting>
  <conditionalFormatting sqref="AF10:AG10">
    <cfRule type="expression" dxfId="691" priority="255">
      <formula>AF10+AC10&gt;5</formula>
    </cfRule>
    <cfRule type="expression" dxfId="690" priority="257">
      <formula>AF10+AC10=5</formula>
    </cfRule>
  </conditionalFormatting>
  <conditionalFormatting sqref="AF11:AG11">
    <cfRule type="expression" dxfId="689" priority="254">
      <formula>$M$1="Spend Bonus Points"</formula>
    </cfRule>
  </conditionalFormatting>
  <conditionalFormatting sqref="AF11:AG11">
    <cfRule type="expression" dxfId="688" priority="252">
      <formula>$M$45&lt;0</formula>
    </cfRule>
  </conditionalFormatting>
  <conditionalFormatting sqref="AF11:AG11">
    <cfRule type="expression" dxfId="687" priority="251">
      <formula>AF11+AC11&gt;5</formula>
    </cfRule>
    <cfRule type="expression" dxfId="686" priority="253">
      <formula>AF11+AC11=5</formula>
    </cfRule>
  </conditionalFormatting>
  <conditionalFormatting sqref="AF12:AG12">
    <cfRule type="expression" dxfId="685" priority="250">
      <formula>$M$1="Spend Bonus Points"</formula>
    </cfRule>
  </conditionalFormatting>
  <conditionalFormatting sqref="AF12:AG12">
    <cfRule type="expression" dxfId="684" priority="248">
      <formula>$M$45&lt;0</formula>
    </cfRule>
  </conditionalFormatting>
  <conditionalFormatting sqref="AF12:AG12">
    <cfRule type="expression" dxfId="683" priority="247">
      <formula>AF12+AC12&gt;5</formula>
    </cfRule>
    <cfRule type="expression" dxfId="682" priority="249">
      <formula>AF12+AC12=5</formula>
    </cfRule>
  </conditionalFormatting>
  <conditionalFormatting sqref="AF13:AG13">
    <cfRule type="expression" dxfId="681" priority="246">
      <formula>$M$1="Spend Bonus Points"</formula>
    </cfRule>
  </conditionalFormatting>
  <conditionalFormatting sqref="AF13:AG13">
    <cfRule type="expression" dxfId="680" priority="244">
      <formula>$M$45&lt;0</formula>
    </cfRule>
  </conditionalFormatting>
  <conditionalFormatting sqref="AF13:AG13">
    <cfRule type="expression" dxfId="679" priority="243">
      <formula>AF13+AC13&gt;5</formula>
    </cfRule>
    <cfRule type="expression" dxfId="678" priority="245">
      <formula>AF13+AC13=5</formula>
    </cfRule>
  </conditionalFormatting>
  <conditionalFormatting sqref="AF14:AG14">
    <cfRule type="expression" dxfId="677" priority="242">
      <formula>$M$1="Spend Bonus Points"</formula>
    </cfRule>
  </conditionalFormatting>
  <conditionalFormatting sqref="AF14:AG14">
    <cfRule type="expression" dxfId="676" priority="240">
      <formula>$M$45&lt;0</formula>
    </cfRule>
  </conditionalFormatting>
  <conditionalFormatting sqref="AF14:AG14">
    <cfRule type="expression" dxfId="675" priority="239">
      <formula>AF14+AC14&gt;5</formula>
    </cfRule>
    <cfRule type="expression" dxfId="674" priority="241">
      <formula>AF14+AC14=5</formula>
    </cfRule>
  </conditionalFormatting>
  <conditionalFormatting sqref="AF15:AG15">
    <cfRule type="expression" dxfId="673" priority="238">
      <formula>$M$1="Spend Bonus Points"</formula>
    </cfRule>
  </conditionalFormatting>
  <conditionalFormatting sqref="AF15:AG15">
    <cfRule type="expression" dxfId="672" priority="236">
      <formula>$M$45&lt;0</formula>
    </cfRule>
  </conditionalFormatting>
  <conditionalFormatting sqref="AF15:AG15">
    <cfRule type="expression" dxfId="671" priority="235">
      <formula>AF15+AC15&gt;5</formula>
    </cfRule>
    <cfRule type="expression" dxfId="670" priority="237">
      <formula>AF15+AC15=5</formula>
    </cfRule>
  </conditionalFormatting>
  <conditionalFormatting sqref="AF16:AG16">
    <cfRule type="expression" dxfId="669" priority="234">
      <formula>$M$1="Spend Bonus Points"</formula>
    </cfRule>
  </conditionalFormatting>
  <conditionalFormatting sqref="AF16:AG16">
    <cfRule type="expression" dxfId="668" priority="232">
      <formula>$M$45&lt;0</formula>
    </cfRule>
  </conditionalFormatting>
  <conditionalFormatting sqref="AF16:AG16">
    <cfRule type="expression" dxfId="667" priority="231">
      <formula>AF16+AC16&gt;5</formula>
    </cfRule>
    <cfRule type="expression" dxfId="666" priority="233">
      <formula>AF16+AC16=5</formula>
    </cfRule>
  </conditionalFormatting>
  <conditionalFormatting sqref="AF17:AG17">
    <cfRule type="expression" dxfId="665" priority="230">
      <formula>$M$1="Spend Bonus Points"</formula>
    </cfRule>
  </conditionalFormatting>
  <conditionalFormatting sqref="AF17:AG17">
    <cfRule type="expression" dxfId="664" priority="228">
      <formula>$M$45&lt;0</formula>
    </cfRule>
  </conditionalFormatting>
  <conditionalFormatting sqref="AF17:AG17">
    <cfRule type="expression" dxfId="663" priority="227">
      <formula>AF17+AC17&gt;5</formula>
    </cfRule>
    <cfRule type="expression" dxfId="662" priority="229">
      <formula>AF17+AC17=5</formula>
    </cfRule>
  </conditionalFormatting>
  <conditionalFormatting sqref="AF18:AG18">
    <cfRule type="expression" dxfId="661" priority="226">
      <formula>$M$1="Spend Bonus Points"</formula>
    </cfRule>
  </conditionalFormatting>
  <conditionalFormatting sqref="AF18:AG18">
    <cfRule type="expression" dxfId="660" priority="224">
      <formula>$M$45&lt;0</formula>
    </cfRule>
  </conditionalFormatting>
  <conditionalFormatting sqref="AF18:AG18">
    <cfRule type="expression" dxfId="659" priority="223">
      <formula>AF18+AC18&gt;5</formula>
    </cfRule>
    <cfRule type="expression" dxfId="658" priority="225">
      <formula>AF18+AC18=5</formula>
    </cfRule>
  </conditionalFormatting>
  <conditionalFormatting sqref="AF19:AG19">
    <cfRule type="expression" dxfId="657" priority="222">
      <formula>$M$1="Spend Bonus Points"</formula>
    </cfRule>
  </conditionalFormatting>
  <conditionalFormatting sqref="AF19:AG19">
    <cfRule type="expression" dxfId="656" priority="220">
      <formula>$M$45&lt;0</formula>
    </cfRule>
  </conditionalFormatting>
  <conditionalFormatting sqref="AF19:AG19">
    <cfRule type="expression" dxfId="655" priority="219">
      <formula>AF19+AC19&gt;5</formula>
    </cfRule>
    <cfRule type="expression" dxfId="654" priority="221">
      <formula>AF19+AC19=5</formula>
    </cfRule>
  </conditionalFormatting>
  <conditionalFormatting sqref="AF20:AG20">
    <cfRule type="expression" dxfId="653" priority="218">
      <formula>$M$1="Spend Bonus Points"</formula>
    </cfRule>
  </conditionalFormatting>
  <conditionalFormatting sqref="AF20:AG20">
    <cfRule type="expression" dxfId="652" priority="216">
      <formula>$M$45&lt;0</formula>
    </cfRule>
  </conditionalFormatting>
  <conditionalFormatting sqref="AF20:AG20">
    <cfRule type="expression" dxfId="651" priority="215">
      <formula>AF20+AC20&gt;5</formula>
    </cfRule>
    <cfRule type="expression" dxfId="650" priority="217">
      <formula>AF20+AC20=5</formula>
    </cfRule>
  </conditionalFormatting>
  <conditionalFormatting sqref="AF21:AG21">
    <cfRule type="expression" dxfId="649" priority="214">
      <formula>$M$1="Spend Bonus Points"</formula>
    </cfRule>
  </conditionalFormatting>
  <conditionalFormatting sqref="AF21:AG21">
    <cfRule type="expression" dxfId="648" priority="212">
      <formula>$M$45&lt;0</formula>
    </cfRule>
  </conditionalFormatting>
  <conditionalFormatting sqref="AF21:AG21">
    <cfRule type="expression" dxfId="647" priority="211">
      <formula>AF21+AC21&gt;5</formula>
    </cfRule>
    <cfRule type="expression" dxfId="646" priority="213">
      <formula>AF21+AC21=5</formula>
    </cfRule>
  </conditionalFormatting>
  <conditionalFormatting sqref="AF22:AG22">
    <cfRule type="expression" dxfId="645" priority="210">
      <formula>$M$1="Spend Bonus Points"</formula>
    </cfRule>
  </conditionalFormatting>
  <conditionalFormatting sqref="AF22:AG22">
    <cfRule type="expression" dxfId="644" priority="208">
      <formula>$M$45&lt;0</formula>
    </cfRule>
  </conditionalFormatting>
  <conditionalFormatting sqref="AF22:AG22">
    <cfRule type="expression" dxfId="643" priority="207">
      <formula>AF22+AC22&gt;5</formula>
    </cfRule>
    <cfRule type="expression" dxfId="642" priority="209">
      <formula>AF22+AC22=5</formula>
    </cfRule>
  </conditionalFormatting>
  <conditionalFormatting sqref="AF23:AG23">
    <cfRule type="expression" dxfId="641" priority="206">
      <formula>$M$1="Spend Bonus Points"</formula>
    </cfRule>
  </conditionalFormatting>
  <conditionalFormatting sqref="AF23:AG23">
    <cfRule type="expression" dxfId="640" priority="204">
      <formula>$M$45&lt;0</formula>
    </cfRule>
  </conditionalFormatting>
  <conditionalFormatting sqref="AF23:AG23">
    <cfRule type="expression" dxfId="639" priority="203">
      <formula>AF23+AC23&gt;5</formula>
    </cfRule>
    <cfRule type="expression" dxfId="638" priority="205">
      <formula>AF23+AC23=5</formula>
    </cfRule>
  </conditionalFormatting>
  <conditionalFormatting sqref="AF24:AG24">
    <cfRule type="expression" dxfId="637" priority="202">
      <formula>$M$1="Spend Bonus Points"</formula>
    </cfRule>
  </conditionalFormatting>
  <conditionalFormatting sqref="AF24:AG24">
    <cfRule type="expression" dxfId="636" priority="200">
      <formula>$M$45&lt;0</formula>
    </cfRule>
  </conditionalFormatting>
  <conditionalFormatting sqref="AF24:AG24">
    <cfRule type="expression" dxfId="635" priority="199">
      <formula>AF24+AC24&gt;5</formula>
    </cfRule>
    <cfRule type="expression" dxfId="634" priority="201">
      <formula>AF24+AC24=5</formula>
    </cfRule>
  </conditionalFormatting>
  <conditionalFormatting sqref="AF25:AG25">
    <cfRule type="expression" dxfId="633" priority="198">
      <formula>$M$1="Spend Bonus Points"</formula>
    </cfRule>
  </conditionalFormatting>
  <conditionalFormatting sqref="AF25:AG25">
    <cfRule type="expression" dxfId="632" priority="196">
      <formula>$M$45&lt;0</formula>
    </cfRule>
  </conditionalFormatting>
  <conditionalFormatting sqref="AF25:AG25">
    <cfRule type="expression" dxfId="631" priority="195">
      <formula>AF25+AC25&gt;5</formula>
    </cfRule>
    <cfRule type="expression" dxfId="630" priority="197">
      <formula>AF25+AC25=5</formula>
    </cfRule>
  </conditionalFormatting>
  <conditionalFormatting sqref="AF26:AG26">
    <cfRule type="expression" dxfId="629" priority="194">
      <formula>$M$1="Spend Bonus Points"</formula>
    </cfRule>
  </conditionalFormatting>
  <conditionalFormatting sqref="AF26:AG26">
    <cfRule type="expression" dxfId="628" priority="192">
      <formula>$M$45&lt;0</formula>
    </cfRule>
  </conditionalFormatting>
  <conditionalFormatting sqref="AF26:AG26">
    <cfRule type="expression" dxfId="627" priority="191">
      <formula>AF26+AC26&gt;5</formula>
    </cfRule>
    <cfRule type="expression" dxfId="626" priority="193">
      <formula>AF26+AC26=5</formula>
    </cfRule>
  </conditionalFormatting>
  <conditionalFormatting sqref="AF27:AG27">
    <cfRule type="expression" dxfId="625" priority="190">
      <formula>$M$1="Spend Bonus Points"</formula>
    </cfRule>
  </conditionalFormatting>
  <conditionalFormatting sqref="AF27:AG27">
    <cfRule type="expression" dxfId="624" priority="188">
      <formula>$M$45&lt;0</formula>
    </cfRule>
  </conditionalFormatting>
  <conditionalFormatting sqref="AF27:AG27">
    <cfRule type="expression" dxfId="623" priority="187">
      <formula>AF27+AC27&gt;5</formula>
    </cfRule>
    <cfRule type="expression" dxfId="622" priority="189">
      <formula>AF27+AC27=5</formula>
    </cfRule>
  </conditionalFormatting>
  <conditionalFormatting sqref="AF28:AG28">
    <cfRule type="expression" dxfId="621" priority="186">
      <formula>$M$1="Spend Bonus Points"</formula>
    </cfRule>
  </conditionalFormatting>
  <conditionalFormatting sqref="AF28:AG28">
    <cfRule type="expression" dxfId="620" priority="184">
      <formula>$M$45&lt;0</formula>
    </cfRule>
  </conditionalFormatting>
  <conditionalFormatting sqref="AF28:AG28">
    <cfRule type="expression" dxfId="619" priority="183">
      <formula>AF28+AC28&gt;5</formula>
    </cfRule>
    <cfRule type="expression" dxfId="618" priority="185">
      <formula>AF28+AC28=5</formula>
    </cfRule>
  </conditionalFormatting>
  <conditionalFormatting sqref="AF29:AG29">
    <cfRule type="expression" dxfId="617" priority="182">
      <formula>$M$1="Spend Bonus Points"</formula>
    </cfRule>
  </conditionalFormatting>
  <conditionalFormatting sqref="AF29:AG29">
    <cfRule type="expression" dxfId="616" priority="180">
      <formula>$M$45&lt;0</formula>
    </cfRule>
  </conditionalFormatting>
  <conditionalFormatting sqref="AF29:AG29">
    <cfRule type="expression" dxfId="615" priority="179">
      <formula>AF29+AC29&gt;5</formula>
    </cfRule>
    <cfRule type="expression" dxfId="614" priority="181">
      <formula>AF29+AC29=5</formula>
    </cfRule>
  </conditionalFormatting>
  <conditionalFormatting sqref="AF30:AG30">
    <cfRule type="expression" dxfId="613" priority="178">
      <formula>$M$1="Spend Bonus Points"</formula>
    </cfRule>
  </conditionalFormatting>
  <conditionalFormatting sqref="AF30:AG30">
    <cfRule type="expression" dxfId="612" priority="176">
      <formula>$M$45&lt;0</formula>
    </cfRule>
  </conditionalFormatting>
  <conditionalFormatting sqref="AF30:AG30">
    <cfRule type="expression" dxfId="611" priority="175">
      <formula>AF30+AC30&gt;5</formula>
    </cfRule>
    <cfRule type="expression" dxfId="610" priority="177">
      <formula>AF30+AC30=5</formula>
    </cfRule>
  </conditionalFormatting>
  <conditionalFormatting sqref="AF31:AG31">
    <cfRule type="expression" dxfId="609" priority="174">
      <formula>$M$1="Spend Bonus Points"</formula>
    </cfRule>
  </conditionalFormatting>
  <conditionalFormatting sqref="AF31:AG31">
    <cfRule type="expression" dxfId="608" priority="172">
      <formula>$M$45&lt;0</formula>
    </cfRule>
  </conditionalFormatting>
  <conditionalFormatting sqref="AF31:AG31">
    <cfRule type="expression" dxfId="607" priority="171">
      <formula>AF31+AC31&gt;5</formula>
    </cfRule>
    <cfRule type="expression" dxfId="606" priority="173">
      <formula>AF31+AC31=5</formula>
    </cfRule>
  </conditionalFormatting>
  <conditionalFormatting sqref="AF32:AG32">
    <cfRule type="expression" dxfId="605" priority="170">
      <formula>$M$1="Spend Bonus Points"</formula>
    </cfRule>
  </conditionalFormatting>
  <conditionalFormatting sqref="AF32:AG32">
    <cfRule type="expression" dxfId="604" priority="168">
      <formula>$M$45&lt;0</formula>
    </cfRule>
  </conditionalFormatting>
  <conditionalFormatting sqref="AF32:AG32">
    <cfRule type="expression" dxfId="603" priority="167">
      <formula>AF32+AC32&gt;5</formula>
    </cfRule>
    <cfRule type="expression" dxfId="602" priority="169">
      <formula>AF32+AC32=5</formula>
    </cfRule>
  </conditionalFormatting>
  <conditionalFormatting sqref="AF33:AG33">
    <cfRule type="expression" dxfId="601" priority="166">
      <formula>$M$1="Spend Bonus Points"</formula>
    </cfRule>
  </conditionalFormatting>
  <conditionalFormatting sqref="AF33:AG33">
    <cfRule type="expression" dxfId="600" priority="164">
      <formula>$M$45&lt;0</formula>
    </cfRule>
  </conditionalFormatting>
  <conditionalFormatting sqref="AF33:AG33">
    <cfRule type="expression" dxfId="599" priority="163">
      <formula>AF33+AC33&gt;5</formula>
    </cfRule>
    <cfRule type="expression" dxfId="598" priority="165">
      <formula>AF33+AC33=5</formula>
    </cfRule>
  </conditionalFormatting>
  <conditionalFormatting sqref="BN22:BO22">
    <cfRule type="expression" dxfId="597" priority="130">
      <formula>$M$1="Spend Bonus Points"</formula>
    </cfRule>
  </conditionalFormatting>
  <conditionalFormatting sqref="BN22:BO22">
    <cfRule type="expression" dxfId="596" priority="126">
      <formula>$M$45&lt;0</formula>
    </cfRule>
  </conditionalFormatting>
  <conditionalFormatting sqref="BN22">
    <cfRule type="expression" dxfId="595" priority="127">
      <formula>BN22+BM22&gt;3</formula>
    </cfRule>
    <cfRule type="expression" dxfId="594" priority="128">
      <formula>BN22+BM22=3</formula>
    </cfRule>
  </conditionalFormatting>
  <conditionalFormatting sqref="BO22">
    <cfRule type="expression" dxfId="593" priority="125">
      <formula>BO22&gt;2</formula>
    </cfRule>
    <cfRule type="expression" dxfId="592" priority="129">
      <formula>BO22=2</formula>
    </cfRule>
  </conditionalFormatting>
  <conditionalFormatting sqref="BN23:BO23">
    <cfRule type="expression" dxfId="591" priority="124">
      <formula>$M$1="Spend Bonus Points"</formula>
    </cfRule>
  </conditionalFormatting>
  <conditionalFormatting sqref="BN23:BO23">
    <cfRule type="expression" dxfId="590" priority="120">
      <formula>$M$45&lt;0</formula>
    </cfRule>
  </conditionalFormatting>
  <conditionalFormatting sqref="BN23">
    <cfRule type="expression" dxfId="589" priority="121">
      <formula>BN23+BM23&gt;3</formula>
    </cfRule>
    <cfRule type="expression" dxfId="588" priority="122">
      <formula>BN23+BM23=3</formula>
    </cfRule>
  </conditionalFormatting>
  <conditionalFormatting sqref="BO23">
    <cfRule type="expression" dxfId="587" priority="119">
      <formula>BO23&gt;2</formula>
    </cfRule>
    <cfRule type="expression" dxfId="586" priority="123">
      <formula>BO23=2</formula>
    </cfRule>
  </conditionalFormatting>
  <conditionalFormatting sqref="BN24:BO24">
    <cfRule type="expression" dxfId="585" priority="118">
      <formula>$M$1="Spend Bonus Points"</formula>
    </cfRule>
  </conditionalFormatting>
  <conditionalFormatting sqref="BN24:BO24">
    <cfRule type="expression" dxfId="584" priority="114">
      <formula>$M$45&lt;0</formula>
    </cfRule>
  </conditionalFormatting>
  <conditionalFormatting sqref="BN24">
    <cfRule type="expression" dxfId="583" priority="115">
      <formula>BN24+BM24&gt;3</formula>
    </cfRule>
    <cfRule type="expression" dxfId="582" priority="116">
      <formula>BN24+BM24=3</formula>
    </cfRule>
  </conditionalFormatting>
  <conditionalFormatting sqref="BO24">
    <cfRule type="expression" dxfId="581" priority="113">
      <formula>BO24&gt;2</formula>
    </cfRule>
    <cfRule type="expression" dxfId="580" priority="117">
      <formula>BO24=2</formula>
    </cfRule>
  </conditionalFormatting>
  <conditionalFormatting sqref="BN25:BO25">
    <cfRule type="expression" dxfId="579" priority="112">
      <formula>$M$1="Spend Bonus Points"</formula>
    </cfRule>
  </conditionalFormatting>
  <conditionalFormatting sqref="BN25:BO25">
    <cfRule type="expression" dxfId="578" priority="108">
      <formula>$M$45&lt;0</formula>
    </cfRule>
  </conditionalFormatting>
  <conditionalFormatting sqref="BN25">
    <cfRule type="expression" dxfId="577" priority="109">
      <formula>BN25+BM25&gt;3</formula>
    </cfRule>
    <cfRule type="expression" dxfId="576" priority="110">
      <formula>BN25+BM25=3</formula>
    </cfRule>
  </conditionalFormatting>
  <conditionalFormatting sqref="BO25">
    <cfRule type="expression" dxfId="575" priority="107">
      <formula>BO25&gt;2</formula>
    </cfRule>
    <cfRule type="expression" dxfId="574" priority="111">
      <formula>BO25=2</formula>
    </cfRule>
  </conditionalFormatting>
  <conditionalFormatting sqref="BN26:BO26">
    <cfRule type="expression" dxfId="573" priority="106">
      <formula>$M$1="Spend Bonus Points"</formula>
    </cfRule>
  </conditionalFormatting>
  <conditionalFormatting sqref="BN26:BO26">
    <cfRule type="expression" dxfId="572" priority="102">
      <formula>$M$45&lt;0</formula>
    </cfRule>
  </conditionalFormatting>
  <conditionalFormatting sqref="BN26">
    <cfRule type="expression" dxfId="571" priority="103">
      <formula>BN26+BM26&gt;3</formula>
    </cfRule>
    <cfRule type="expression" dxfId="570" priority="104">
      <formula>BN26+BM26=3</formula>
    </cfRule>
  </conditionalFormatting>
  <conditionalFormatting sqref="BO26">
    <cfRule type="expression" dxfId="569" priority="101">
      <formula>BO26&gt;2</formula>
    </cfRule>
    <cfRule type="expression" dxfId="568" priority="105">
      <formula>BO26=2</formula>
    </cfRule>
  </conditionalFormatting>
  <conditionalFormatting sqref="BN27:BO27">
    <cfRule type="expression" dxfId="567" priority="100">
      <formula>$M$1="Spend Bonus Points"</formula>
    </cfRule>
  </conditionalFormatting>
  <conditionalFormatting sqref="BN27:BO27">
    <cfRule type="expression" dxfId="566" priority="96">
      <formula>$M$45&lt;0</formula>
    </cfRule>
  </conditionalFormatting>
  <conditionalFormatting sqref="BN27">
    <cfRule type="expression" dxfId="565" priority="97">
      <formula>BN27+BM27&gt;3</formula>
    </cfRule>
    <cfRule type="expression" dxfId="564" priority="98">
      <formula>BN27+BM27=3</formula>
    </cfRule>
  </conditionalFormatting>
  <conditionalFormatting sqref="BO27">
    <cfRule type="expression" dxfId="563" priority="95">
      <formula>BO27&gt;2</formula>
    </cfRule>
    <cfRule type="expression" dxfId="562" priority="99">
      <formula>BO27=2</formula>
    </cfRule>
  </conditionalFormatting>
  <conditionalFormatting sqref="BN28:BO28">
    <cfRule type="expression" dxfId="561" priority="94">
      <formula>$M$1="Spend Bonus Points"</formula>
    </cfRule>
  </conditionalFormatting>
  <conditionalFormatting sqref="BN28:BO28">
    <cfRule type="expression" dxfId="560" priority="90">
      <formula>$M$45&lt;0</formula>
    </cfRule>
  </conditionalFormatting>
  <conditionalFormatting sqref="BN28">
    <cfRule type="expression" dxfId="559" priority="91">
      <formula>BN28+BM28&gt;3</formula>
    </cfRule>
    <cfRule type="expression" dxfId="558" priority="92">
      <formula>BN28+BM28=3</formula>
    </cfRule>
  </conditionalFormatting>
  <conditionalFormatting sqref="BO28">
    <cfRule type="expression" dxfId="557" priority="89">
      <formula>BO28&gt;2</formula>
    </cfRule>
    <cfRule type="expression" dxfId="556" priority="93">
      <formula>BO28=2</formula>
    </cfRule>
  </conditionalFormatting>
  <conditionalFormatting sqref="BN29:BO29">
    <cfRule type="expression" dxfId="555" priority="88">
      <formula>$M$1="Spend Bonus Points"</formula>
    </cfRule>
  </conditionalFormatting>
  <conditionalFormatting sqref="BN29:BO29">
    <cfRule type="expression" dxfId="554" priority="84">
      <formula>$M$45&lt;0</formula>
    </cfRule>
  </conditionalFormatting>
  <conditionalFormatting sqref="BN29">
    <cfRule type="expression" dxfId="553" priority="85">
      <formula>BN29+BM29&gt;3</formula>
    </cfRule>
    <cfRule type="expression" dxfId="552" priority="86">
      <formula>BN29+BM29=3</formula>
    </cfRule>
  </conditionalFormatting>
  <conditionalFormatting sqref="BO29">
    <cfRule type="expression" dxfId="551" priority="83">
      <formula>BO29&gt;2</formula>
    </cfRule>
    <cfRule type="expression" dxfId="550" priority="87">
      <formula>BO29=2</formula>
    </cfRule>
  </conditionalFormatting>
  <conditionalFormatting sqref="BN30:BO30">
    <cfRule type="expression" dxfId="549" priority="82">
      <formula>$M$1="Spend Bonus Points"</formula>
    </cfRule>
  </conditionalFormatting>
  <conditionalFormatting sqref="BN30:BO30">
    <cfRule type="expression" dxfId="548" priority="78">
      <formula>$M$45&lt;0</formula>
    </cfRule>
  </conditionalFormatting>
  <conditionalFormatting sqref="BN30">
    <cfRule type="expression" dxfId="547" priority="79">
      <formula>BN30+BM30&gt;3</formula>
    </cfRule>
    <cfRule type="expression" dxfId="546" priority="80">
      <formula>BN30+BM30=3</formula>
    </cfRule>
  </conditionalFormatting>
  <conditionalFormatting sqref="BO30">
    <cfRule type="expression" dxfId="545" priority="77">
      <formula>BO30&gt;2</formula>
    </cfRule>
    <cfRule type="expression" dxfId="544" priority="81">
      <formula>BO30=2</formula>
    </cfRule>
  </conditionalFormatting>
  <conditionalFormatting sqref="BN31:BO31">
    <cfRule type="expression" dxfId="543" priority="76">
      <formula>$M$1="Spend Bonus Points"</formula>
    </cfRule>
  </conditionalFormatting>
  <conditionalFormatting sqref="BN31:BO31">
    <cfRule type="expression" dxfId="542" priority="72">
      <formula>$M$45&lt;0</formula>
    </cfRule>
  </conditionalFormatting>
  <conditionalFormatting sqref="BN31">
    <cfRule type="expression" dxfId="541" priority="73">
      <formula>BN31+BM31&gt;3</formula>
    </cfRule>
    <cfRule type="expression" dxfId="540" priority="74">
      <formula>BN31+BM31=3</formula>
    </cfRule>
  </conditionalFormatting>
  <conditionalFormatting sqref="BO31">
    <cfRule type="expression" dxfId="539" priority="71">
      <formula>BO31&gt;2</formula>
    </cfRule>
    <cfRule type="expression" dxfId="538" priority="75">
      <formula>BO31=2</formula>
    </cfRule>
  </conditionalFormatting>
  <conditionalFormatting sqref="BN32:BO32">
    <cfRule type="expression" dxfId="537" priority="70">
      <formula>$M$1="Spend Bonus Points"</formula>
    </cfRule>
  </conditionalFormatting>
  <conditionalFormatting sqref="BN32:BO32">
    <cfRule type="expression" dxfId="536" priority="66">
      <formula>$M$45&lt;0</formula>
    </cfRule>
  </conditionalFormatting>
  <conditionalFormatting sqref="BN32">
    <cfRule type="expression" dxfId="535" priority="67">
      <formula>BN32+BM32&gt;3</formula>
    </cfRule>
    <cfRule type="expression" dxfId="534" priority="68">
      <formula>BN32+BM32=3</formula>
    </cfRule>
  </conditionalFormatting>
  <conditionalFormatting sqref="BO32">
    <cfRule type="expression" dxfId="533" priority="65">
      <formula>BO32&gt;2</formula>
    </cfRule>
    <cfRule type="expression" dxfId="532" priority="69">
      <formula>BO32=2</formula>
    </cfRule>
  </conditionalFormatting>
  <conditionalFormatting sqref="BN33:BO33">
    <cfRule type="expression" dxfId="531" priority="64">
      <formula>$M$1="Spend Bonus Points"</formula>
    </cfRule>
  </conditionalFormatting>
  <conditionalFormatting sqref="BN33:BO33">
    <cfRule type="expression" dxfId="530" priority="60">
      <formula>$M$45&lt;0</formula>
    </cfRule>
  </conditionalFormatting>
  <conditionalFormatting sqref="BN33">
    <cfRule type="expression" dxfId="529" priority="61">
      <formula>BN33+BM33&gt;3</formula>
    </cfRule>
    <cfRule type="expression" dxfId="528" priority="62">
      <formula>BN33+BM33=3</formula>
    </cfRule>
  </conditionalFormatting>
  <conditionalFormatting sqref="BO33">
    <cfRule type="expression" dxfId="527" priority="59">
      <formula>BO33&gt;2</formula>
    </cfRule>
    <cfRule type="expression" dxfId="526" priority="63">
      <formula>BO33=2</formula>
    </cfRule>
  </conditionalFormatting>
  <conditionalFormatting sqref="BN34:BO34">
    <cfRule type="expression" dxfId="525" priority="58">
      <formula>$M$1="Spend Bonus Points"</formula>
    </cfRule>
  </conditionalFormatting>
  <conditionalFormatting sqref="BN34:BO34">
    <cfRule type="expression" dxfId="524" priority="54">
      <formula>$M$45&lt;0</formula>
    </cfRule>
  </conditionalFormatting>
  <conditionalFormatting sqref="BN34">
    <cfRule type="expression" dxfId="523" priority="55">
      <formula>BN34+BM34&gt;3</formula>
    </cfRule>
    <cfRule type="expression" dxfId="522" priority="56">
      <formula>BN34+BM34=3</formula>
    </cfRule>
  </conditionalFormatting>
  <conditionalFormatting sqref="BO34">
    <cfRule type="expression" dxfId="521" priority="53">
      <formula>BO34&gt;2</formula>
    </cfRule>
    <cfRule type="expression" dxfId="520" priority="57">
      <formula>BO34=2</formula>
    </cfRule>
  </conditionalFormatting>
  <conditionalFormatting sqref="BN35:BO35">
    <cfRule type="expression" dxfId="519" priority="52">
      <formula>$M$1="Spend Bonus Points"</formula>
    </cfRule>
  </conditionalFormatting>
  <conditionalFormatting sqref="BN35:BO35">
    <cfRule type="expression" dxfId="518" priority="48">
      <formula>$M$45&lt;0</formula>
    </cfRule>
  </conditionalFormatting>
  <conditionalFormatting sqref="BN35">
    <cfRule type="expression" dxfId="517" priority="49">
      <formula>BN35+BM35&gt;3</formula>
    </cfRule>
    <cfRule type="expression" dxfId="516" priority="50">
      <formula>BN35+BM35=3</formula>
    </cfRule>
  </conditionalFormatting>
  <conditionalFormatting sqref="BO35">
    <cfRule type="expression" dxfId="515" priority="47">
      <formula>BO35&gt;2</formula>
    </cfRule>
    <cfRule type="expression" dxfId="514" priority="51">
      <formula>BO35=2</formula>
    </cfRule>
  </conditionalFormatting>
  <conditionalFormatting sqref="BN36:BO36">
    <cfRule type="expression" dxfId="513" priority="46">
      <formula>$M$1="Spend Bonus Points"</formula>
    </cfRule>
  </conditionalFormatting>
  <conditionalFormatting sqref="BN36:BO36">
    <cfRule type="expression" dxfId="512" priority="42">
      <formula>$M$45&lt;0</formula>
    </cfRule>
  </conditionalFormatting>
  <conditionalFormatting sqref="BN36">
    <cfRule type="expression" dxfId="511" priority="43">
      <formula>BN36+BM36&gt;3</formula>
    </cfRule>
    <cfRule type="expression" dxfId="510" priority="44">
      <formula>BN36+BM36=3</formula>
    </cfRule>
  </conditionalFormatting>
  <conditionalFormatting sqref="BO36">
    <cfRule type="expression" dxfId="509" priority="41">
      <formula>BO36&gt;2</formula>
    </cfRule>
    <cfRule type="expression" dxfId="508" priority="45">
      <formula>BO36=2</formula>
    </cfRule>
  </conditionalFormatting>
  <conditionalFormatting sqref="BN37:BO37">
    <cfRule type="expression" dxfId="507" priority="40">
      <formula>$M$1="Spend Bonus Points"</formula>
    </cfRule>
  </conditionalFormatting>
  <conditionalFormatting sqref="BN37:BO37">
    <cfRule type="expression" dxfId="506" priority="28">
      <formula>$M$45&lt;0</formula>
    </cfRule>
  </conditionalFormatting>
  <conditionalFormatting sqref="BN37">
    <cfRule type="expression" dxfId="505" priority="37">
      <formula>BN37+BM37&gt;3</formula>
    </cfRule>
    <cfRule type="expression" dxfId="504" priority="38">
      <formula>BN37+BM37=3</formula>
    </cfRule>
  </conditionalFormatting>
  <conditionalFormatting sqref="BO37">
    <cfRule type="expression" dxfId="503" priority="27">
      <formula>BO37&gt;2</formula>
    </cfRule>
    <cfRule type="expression" dxfId="502" priority="39">
      <formula>BO37=2</formula>
    </cfRule>
  </conditionalFormatting>
  <conditionalFormatting sqref="BN38:BO38">
    <cfRule type="expression" dxfId="501" priority="36">
      <formula>$M$1="Spend Bonus Points"</formula>
    </cfRule>
  </conditionalFormatting>
  <conditionalFormatting sqref="BN38:BO38">
    <cfRule type="expression" dxfId="500" priority="25">
      <formula>$M$45&lt;0</formula>
    </cfRule>
  </conditionalFormatting>
  <conditionalFormatting sqref="BN38">
    <cfRule type="expression" dxfId="499" priority="26">
      <formula>BN38+BM38&gt;3</formula>
    </cfRule>
    <cfRule type="expression" dxfId="498" priority="34">
      <formula>BN38+BM38=3</formula>
    </cfRule>
  </conditionalFormatting>
  <conditionalFormatting sqref="BO38">
    <cfRule type="expression" dxfId="497" priority="24">
      <formula>BO38&gt;2</formula>
    </cfRule>
    <cfRule type="expression" dxfId="496" priority="35">
      <formula>BO38=2</formula>
    </cfRule>
  </conditionalFormatting>
  <conditionalFormatting sqref="BN39:BO39">
    <cfRule type="expression" dxfId="495" priority="33">
      <formula>$M$1="Spend Bonus Points"</formula>
    </cfRule>
  </conditionalFormatting>
  <conditionalFormatting sqref="BN39:BO39">
    <cfRule type="expression" dxfId="494" priority="22">
      <formula>$M$45&lt;0</formula>
    </cfRule>
  </conditionalFormatting>
  <conditionalFormatting sqref="BN39">
    <cfRule type="expression" dxfId="493" priority="23">
      <formula>BN39+BM39&gt;3</formula>
    </cfRule>
    <cfRule type="expression" dxfId="492" priority="31">
      <formula>BN39+BM39=3</formula>
    </cfRule>
  </conditionalFormatting>
  <conditionalFormatting sqref="BO39">
    <cfRule type="expression" dxfId="491" priority="21">
      <formula>BO39&gt;2</formula>
    </cfRule>
    <cfRule type="expression" dxfId="490" priority="32">
      <formula>BO39=2</formula>
    </cfRule>
  </conditionalFormatting>
  <conditionalFormatting sqref="A3:AB3 A4:AI11 AU4:BH4 AN6:BH12 AW5:BH5 A43:L43 E39:L42 AF38:BT39 E19:L23 A14:AI15 AF40:BH42 BP40:BT46 BI3:BL3 AU3:AV3 A38:D38 M38:P38 A18:D18 M27:P27 BM40:BM42 AN14:BH20 AN13:BL13 BO13:BT17 BM4:BT12 AC34:BT37 A24:L24 A44:H46 M44:BM46 Q39:X42 Q43:BM43 Q18:T18 A30:L30 O22:P24 E31:L35 E25:L29 Y16:AI23 U34:X35 U23:X24 M17:P17 M19:P19 E12:E13 Y12:AI13 S12:S13 Y24:BT33 AN21:BT23 Q19:X22 Q28:X33 M34">
    <cfRule type="expression" dxfId="489" priority="19">
      <formula>$M$1="You're Done!"</formula>
    </cfRule>
  </conditionalFormatting>
  <conditionalFormatting sqref="BI21:BT39">
    <cfRule type="expression" dxfId="488" priority="30">
      <formula>NOT($M$1="Select Your Birthrights")</formula>
    </cfRule>
  </conditionalFormatting>
  <conditionalFormatting sqref="AN6:AS33">
    <cfRule type="expression" dxfId="487" priority="29">
      <formula>$M$1="Spend Bonus Points"</formula>
    </cfRule>
    <cfRule type="notContainsBlanks" dxfId="486" priority="594">
      <formula>LEN(TRIM(AN6))&gt;0</formula>
    </cfRule>
  </conditionalFormatting>
  <conditionalFormatting sqref="BO4:BP12">
    <cfRule type="expression" dxfId="485" priority="12">
      <formula>IF(OR(AND($BO4=$AU$3+$AU$4,$BU4="Yes"),AND($BO4=$AU$3+$AU$4-1,$BU4="No")),1,0)=1</formula>
    </cfRule>
    <cfRule type="expression" dxfId="484" priority="13">
      <formula>IF(OR(AND($BO4&gt;$AU$3+$AU$4,$BU4="Yes"),AND($BO4&gt;$AU$3+$AU$4-1,$BU4="No")),1,0)=1</formula>
    </cfRule>
    <cfRule type="expression" dxfId="483" priority="15">
      <formula>IF($BO4&gt;$BM4-1,1,0)=1</formula>
    </cfRule>
  </conditionalFormatting>
  <conditionalFormatting sqref="O23:P23 AU4:AV4 BH4:BH46 I19:L21 I25:L27 I31:L33 W19:X22 BQ4:BR12 AF4:AG4 BN21:BO39">
    <cfRule type="expression" dxfId="482" priority="376">
      <formula>$M$1="Spend Bonus Points"</formula>
    </cfRule>
  </conditionalFormatting>
  <conditionalFormatting sqref="BN21:BO39">
    <cfRule type="expression" dxfId="481" priority="10">
      <formula>$M$45&lt;0</formula>
    </cfRule>
    <cfRule type="expression" dxfId="480" priority="11">
      <formula>$M$1="Spend Bonus Points"</formula>
    </cfRule>
  </conditionalFormatting>
  <conditionalFormatting sqref="BQ4:BR12">
    <cfRule type="expression" dxfId="479" priority="8">
      <formula>IF(OR(AND($BO4+$BQ4=$AU$3+$AU$4,$BU4="Yes"),AND($BO4+$BQ4=$AU$3+$AU$4-1,$BU4="No")),1,0)=1</formula>
    </cfRule>
    <cfRule type="expression" dxfId="478" priority="9">
      <formula>IF(OR(AND($BO4+$BQ4&gt;$AU$3+$AU$4,$BU4="Yes"),AND($BO4+$BQ4&gt;$AU$3+$AU$4-1,$BU4="No")),1,0)=1</formula>
    </cfRule>
  </conditionalFormatting>
  <conditionalFormatting sqref="E19:L21 E25:L27 E31:L33">
    <cfRule type="expression" dxfId="477" priority="5">
      <formula>IF($E19+$I19&gt;5,1,0)=1</formula>
    </cfRule>
    <cfRule type="expression" dxfId="476" priority="6">
      <formula>IF($E19+$I19=5,1,0)=1</formula>
    </cfRule>
    <cfRule type="expression" dxfId="475" priority="7">
      <formula>IF($E19&lt;1,1,0)=1</formula>
    </cfRule>
  </conditionalFormatting>
  <conditionalFormatting sqref="E19:L21">
    <cfRule type="expression" dxfId="474" priority="3">
      <formula>IF($E$23&lt;0,1,0)=1</formula>
    </cfRule>
  </conditionalFormatting>
  <conditionalFormatting sqref="E25:L27">
    <cfRule type="expression" dxfId="473" priority="2">
      <formula>IF($E$29&lt;0,1,0)=1</formula>
    </cfRule>
  </conditionalFormatting>
  <conditionalFormatting sqref="E31:L33">
    <cfRule type="expression" dxfId="472" priority="1">
      <formula>IF($E$35&lt;0,1,0)=1</formula>
    </cfRule>
  </conditionalFormatting>
  <dataValidations count="9">
    <dataValidation type="list" showInputMessage="1" showErrorMessage="1" sqref="M17:P17">
      <formula1>Pantheons</formula1>
    </dataValidation>
    <dataValidation type="list" allowBlank="1" showInputMessage="1" showErrorMessage="1" sqref="S13">
      <formula1>Natures</formula1>
    </dataValidation>
    <dataValidation type="list" allowBlank="1" showInputMessage="1" showErrorMessage="1" sqref="E22:H22 E28:H28 E34:H34">
      <formula1>Priority</formula1>
    </dataValidation>
    <dataValidation type="list" allowBlank="1" showInputMessage="1" showErrorMessage="1" sqref="AW4:BB46">
      <formula1>Purviews</formula1>
    </dataValidation>
    <dataValidation type="list" allowBlank="1" showInputMessage="1" showErrorMessage="1" sqref="BG4:BG46">
      <formula1>Test</formula1>
    </dataValidation>
    <dataValidation type="list" allowBlank="1" showInputMessage="1" showErrorMessage="1" sqref="AN6:AS33">
      <formula1>Knack</formula1>
    </dataValidation>
    <dataValidation type="list" allowBlank="1" showInputMessage="1" showErrorMessage="1" sqref="Y24:AB33">
      <formula1>Special</formula1>
    </dataValidation>
    <dataValidation type="list" allowBlank="1" showInputMessage="1" showErrorMessage="1" sqref="BI21:BL39">
      <formula1>Birthrights</formula1>
    </dataValidation>
    <dataValidation type="list" allowBlank="1" showInputMessage="1" showErrorMessage="1" sqref="M19:P19">
      <formula1>INDIRECT($M$17)</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tint="-0.499984740745262"/>
  </sheetPr>
  <dimension ref="A1:GK60"/>
  <sheetViews>
    <sheetView zoomScaleNormal="100" zoomScaleSheetLayoutView="90" workbookViewId="0">
      <selection activeCell="AW12" sqref="AW12:BA12"/>
    </sheetView>
  </sheetViews>
  <sheetFormatPr defaultColWidth="3.7109375" defaultRowHeight="15" x14ac:dyDescent="0.25"/>
  <cols>
    <col min="1" max="120" width="3.7109375" style="283"/>
    <col min="121" max="168" width="3.7109375" style="530"/>
    <col min="169" max="180" width="3.7109375" style="283" hidden="1" customWidth="1"/>
    <col min="181" max="181" width="4.42578125" style="283" hidden="1" customWidth="1"/>
    <col min="182" max="193" width="3.7109375" style="283" hidden="1" customWidth="1"/>
    <col min="194" max="16384" width="3.7109375" style="283"/>
  </cols>
  <sheetData>
    <row r="1" spans="1:193" ht="15" customHeight="1" thickBot="1" x14ac:dyDescent="0.3">
      <c r="A1" s="742" t="s">
        <v>0</v>
      </c>
      <c r="B1" s="743"/>
      <c r="C1" s="743"/>
      <c r="D1" s="743"/>
      <c r="E1" s="743" t="str">
        <f>IF(NOT(GodConversion!E12=""),GodConversion!E12,IF(NOT(DemigodConversion!E12=""),DemigodConversion!E12,IF(Creation!E12="","",Creation!E12)))</f>
        <v/>
      </c>
      <c r="F1" s="743"/>
      <c r="G1" s="743"/>
      <c r="H1" s="743"/>
      <c r="I1" s="743"/>
      <c r="J1" s="743"/>
      <c r="K1" s="743"/>
      <c r="L1" s="743"/>
      <c r="M1" s="743"/>
      <c r="N1" s="895"/>
      <c r="O1" s="742" t="s">
        <v>2</v>
      </c>
      <c r="P1" s="743"/>
      <c r="Q1" s="743"/>
      <c r="R1" s="743"/>
      <c r="S1" s="743" t="str">
        <f>IF(Creation!S12="","",Creation!S12)</f>
        <v/>
      </c>
      <c r="T1" s="743"/>
      <c r="U1" s="743"/>
      <c r="V1" s="743"/>
      <c r="W1" s="743"/>
      <c r="X1" s="895"/>
      <c r="Y1" s="819" t="s">
        <v>127</v>
      </c>
      <c r="Z1" s="820"/>
      <c r="AA1" s="820"/>
      <c r="AB1" s="820"/>
      <c r="AC1" s="820"/>
      <c r="AD1" s="820"/>
      <c r="AE1" s="820"/>
      <c r="AF1" s="820"/>
      <c r="AG1" s="820"/>
      <c r="AH1" s="820"/>
      <c r="AI1" s="820"/>
      <c r="AJ1" s="820"/>
      <c r="AK1" s="820"/>
      <c r="AL1" s="820"/>
      <c r="AM1" s="820"/>
      <c r="AN1" s="820"/>
      <c r="AO1" s="820"/>
      <c r="AP1" s="820"/>
      <c r="AQ1" s="820"/>
      <c r="AR1" s="820"/>
      <c r="AS1" s="820"/>
      <c r="AT1" s="820"/>
      <c r="AU1" s="820"/>
      <c r="AV1" s="821"/>
      <c r="AW1" s="829" t="s">
        <v>114</v>
      </c>
      <c r="AX1" s="820"/>
      <c r="AY1" s="820"/>
      <c r="AZ1" s="820"/>
      <c r="BA1" s="820"/>
      <c r="BB1" s="820"/>
      <c r="BC1" s="820"/>
      <c r="BD1" s="820"/>
      <c r="BE1" s="820"/>
      <c r="BF1" s="820"/>
      <c r="BG1" s="820"/>
      <c r="BH1" s="820"/>
      <c r="BI1" s="820"/>
      <c r="BJ1" s="820"/>
      <c r="BK1" s="820"/>
      <c r="BL1" s="820"/>
      <c r="BM1" s="820"/>
      <c r="BN1" s="821"/>
      <c r="BO1" s="721" t="s">
        <v>122</v>
      </c>
      <c r="BP1" s="722"/>
      <c r="BQ1" s="722"/>
      <c r="BR1" s="722"/>
      <c r="BS1" s="722"/>
      <c r="BT1" s="833"/>
      <c r="BU1" s="829" t="s">
        <v>528</v>
      </c>
      <c r="BV1" s="820"/>
      <c r="BW1" s="820"/>
      <c r="BX1" s="820"/>
      <c r="BY1" s="820"/>
      <c r="BZ1" s="820"/>
      <c r="CA1" s="820"/>
      <c r="CB1" s="820"/>
      <c r="CC1" s="820"/>
      <c r="CD1" s="820"/>
      <c r="CE1" s="820"/>
      <c r="CF1" s="820"/>
      <c r="CG1" s="820"/>
      <c r="CH1" s="820"/>
      <c r="CI1" s="820"/>
      <c r="CJ1" s="820"/>
      <c r="CK1" s="820"/>
      <c r="CL1" s="820"/>
      <c r="CM1" s="820"/>
      <c r="CN1" s="820"/>
      <c r="CO1" s="820"/>
      <c r="CP1" s="820"/>
      <c r="CQ1" s="820"/>
      <c r="CR1" s="821"/>
      <c r="CS1" s="695" t="s">
        <v>126</v>
      </c>
      <c r="CT1" s="696"/>
      <c r="CU1" s="696"/>
      <c r="CV1" s="696"/>
      <c r="CW1" s="696"/>
      <c r="CX1" s="696"/>
      <c r="CY1" s="696"/>
      <c r="CZ1" s="696"/>
      <c r="DA1" s="696"/>
      <c r="DB1" s="696"/>
      <c r="DC1" s="696"/>
      <c r="DD1" s="696"/>
      <c r="DE1" s="696"/>
      <c r="DF1" s="696"/>
      <c r="DG1" s="696"/>
      <c r="DH1" s="738"/>
      <c r="DI1" s="961" t="s">
        <v>889</v>
      </c>
      <c r="DJ1" s="806"/>
      <c r="DK1" s="806"/>
      <c r="DL1" s="806"/>
      <c r="DM1" s="806"/>
      <c r="DN1" s="806"/>
      <c r="DO1" s="806"/>
      <c r="DP1" s="806"/>
      <c r="DQ1" s="955" t="s">
        <v>3586</v>
      </c>
      <c r="DR1" s="956"/>
      <c r="DS1" s="956"/>
      <c r="DT1" s="956"/>
      <c r="DU1" s="956" t="s">
        <v>3587</v>
      </c>
      <c r="DV1" s="956"/>
      <c r="DW1" s="956"/>
      <c r="DX1" s="956"/>
      <c r="DY1" s="956"/>
      <c r="DZ1" s="956"/>
      <c r="EA1" s="956"/>
      <c r="EB1" s="956" t="s">
        <v>2250</v>
      </c>
      <c r="EC1" s="956"/>
      <c r="ED1" s="956"/>
      <c r="EE1" s="956" t="s">
        <v>33</v>
      </c>
      <c r="EF1" s="956"/>
      <c r="EG1" s="956"/>
      <c r="EH1" s="956"/>
      <c r="EI1" s="956"/>
      <c r="EJ1" s="956"/>
      <c r="EK1" s="956"/>
      <c r="EL1" s="956"/>
      <c r="EM1" s="956"/>
      <c r="EN1" s="957"/>
      <c r="EO1" s="955" t="s">
        <v>3586</v>
      </c>
      <c r="EP1" s="956"/>
      <c r="EQ1" s="956"/>
      <c r="ER1" s="956"/>
      <c r="ES1" s="956" t="s">
        <v>3587</v>
      </c>
      <c r="ET1" s="956"/>
      <c r="EU1" s="956"/>
      <c r="EV1" s="956"/>
      <c r="EW1" s="956"/>
      <c r="EX1" s="956"/>
      <c r="EY1" s="956"/>
      <c r="EZ1" s="956" t="s">
        <v>2250</v>
      </c>
      <c r="FA1" s="956"/>
      <c r="FB1" s="956"/>
      <c r="FC1" s="956" t="s">
        <v>33</v>
      </c>
      <c r="FD1" s="956"/>
      <c r="FE1" s="956"/>
      <c r="FF1" s="956"/>
      <c r="FG1" s="956"/>
      <c r="FH1" s="956"/>
      <c r="FI1" s="956"/>
      <c r="FJ1" s="956"/>
      <c r="FK1" s="956"/>
      <c r="FL1" s="1007"/>
      <c r="FW1" s="283">
        <v>1</v>
      </c>
      <c r="FX1" s="283">
        <v>39</v>
      </c>
      <c r="FY1" s="283">
        <v>84</v>
      </c>
      <c r="GB1" s="721" t="s">
        <v>30</v>
      </c>
      <c r="GC1" s="722"/>
      <c r="GD1" s="722"/>
      <c r="GE1" s="722"/>
      <c r="GF1" s="288">
        <f>F6</f>
        <v>0</v>
      </c>
      <c r="GG1" s="289">
        <f>G6</f>
        <v>0</v>
      </c>
      <c r="GJ1" s="283" t="s">
        <v>35</v>
      </c>
      <c r="GK1" s="290">
        <f>IF($AK$7="Select",0,IF(VLOOKUP($AK$7,AssociatedRef!$AP$2:$BZ$130,2,FALSE)="Yes",1,0))</f>
        <v>0</v>
      </c>
    </row>
    <row r="2" spans="1:193" ht="15.75" customHeight="1" thickBot="1" x14ac:dyDescent="0.3">
      <c r="A2" s="735" t="s">
        <v>1</v>
      </c>
      <c r="B2" s="712"/>
      <c r="C2" s="712"/>
      <c r="D2" s="712"/>
      <c r="E2" s="712" t="str">
        <f>IF(NOT(GodConversion!E13=""),GodConversion!E13,IF(NOT(DemigodConversion!E13=""),DemigodConversion!E13,IF(Creation!E13="","",Creation!E13)))</f>
        <v/>
      </c>
      <c r="F2" s="712"/>
      <c r="G2" s="712"/>
      <c r="H2" s="712"/>
      <c r="I2" s="712"/>
      <c r="J2" s="712"/>
      <c r="K2" s="712"/>
      <c r="L2" s="712"/>
      <c r="M2" s="712"/>
      <c r="N2" s="720"/>
      <c r="O2" s="735" t="s">
        <v>4</v>
      </c>
      <c r="P2" s="712"/>
      <c r="Q2" s="712"/>
      <c r="R2" s="712"/>
      <c r="S2" s="712" t="str">
        <f>IF(NOT(GodConversion!S13=""),GodConversion!S13,IF(NOT(DemigodConversion!S13=""),DemigodConversion!S13,Creation!S13))</f>
        <v>Select</v>
      </c>
      <c r="T2" s="712"/>
      <c r="U2" s="712"/>
      <c r="V2" s="712"/>
      <c r="W2" s="712"/>
      <c r="X2" s="720"/>
      <c r="Y2" s="822"/>
      <c r="Z2" s="823"/>
      <c r="AA2" s="823"/>
      <c r="AB2" s="823"/>
      <c r="AC2" s="823"/>
      <c r="AD2" s="823"/>
      <c r="AE2" s="823"/>
      <c r="AF2" s="823"/>
      <c r="AG2" s="823"/>
      <c r="AH2" s="823"/>
      <c r="AI2" s="823"/>
      <c r="AJ2" s="823"/>
      <c r="AK2" s="823"/>
      <c r="AL2" s="823"/>
      <c r="AM2" s="823"/>
      <c r="AN2" s="823"/>
      <c r="AO2" s="823"/>
      <c r="AP2" s="823"/>
      <c r="AQ2" s="823"/>
      <c r="AR2" s="823"/>
      <c r="AS2" s="823"/>
      <c r="AT2" s="823"/>
      <c r="AU2" s="823"/>
      <c r="AV2" s="824"/>
      <c r="AW2" s="830"/>
      <c r="AX2" s="831"/>
      <c r="AY2" s="831"/>
      <c r="AZ2" s="831"/>
      <c r="BA2" s="831"/>
      <c r="BB2" s="831"/>
      <c r="BC2" s="831"/>
      <c r="BD2" s="831"/>
      <c r="BE2" s="831"/>
      <c r="BF2" s="831"/>
      <c r="BG2" s="831"/>
      <c r="BH2" s="831"/>
      <c r="BI2" s="831"/>
      <c r="BJ2" s="831"/>
      <c r="BK2" s="831"/>
      <c r="BL2" s="831"/>
      <c r="BM2" s="831"/>
      <c r="BN2" s="832"/>
      <c r="BO2" s="780"/>
      <c r="BP2" s="781"/>
      <c r="BQ2" s="781"/>
      <c r="BR2" s="781"/>
      <c r="BS2" s="781"/>
      <c r="BT2" s="834"/>
      <c r="BU2" s="890"/>
      <c r="BV2" s="823"/>
      <c r="BW2" s="823"/>
      <c r="BX2" s="823"/>
      <c r="BY2" s="823"/>
      <c r="BZ2" s="823"/>
      <c r="CA2" s="823"/>
      <c r="CB2" s="823"/>
      <c r="CC2" s="823"/>
      <c r="CD2" s="823"/>
      <c r="CE2" s="823"/>
      <c r="CF2" s="823"/>
      <c r="CG2" s="823"/>
      <c r="CH2" s="823"/>
      <c r="CI2" s="823"/>
      <c r="CJ2" s="823"/>
      <c r="CK2" s="831"/>
      <c r="CL2" s="831"/>
      <c r="CM2" s="831"/>
      <c r="CN2" s="831"/>
      <c r="CO2" s="831"/>
      <c r="CP2" s="831"/>
      <c r="CQ2" s="831"/>
      <c r="CR2" s="832"/>
      <c r="CS2" s="697"/>
      <c r="CT2" s="698"/>
      <c r="CU2" s="698"/>
      <c r="CV2" s="698"/>
      <c r="CW2" s="698"/>
      <c r="CX2" s="698"/>
      <c r="CY2" s="698"/>
      <c r="CZ2" s="698"/>
      <c r="DA2" s="698"/>
      <c r="DB2" s="698"/>
      <c r="DC2" s="698"/>
      <c r="DD2" s="698"/>
      <c r="DE2" s="698"/>
      <c r="DF2" s="698"/>
      <c r="DG2" s="698"/>
      <c r="DH2" s="739"/>
      <c r="DI2" s="962"/>
      <c r="DJ2" s="800"/>
      <c r="DK2" s="800"/>
      <c r="DL2" s="800"/>
      <c r="DM2" s="800"/>
      <c r="DN2" s="800"/>
      <c r="DO2" s="800"/>
      <c r="DP2" s="800"/>
      <c r="DQ2" s="967" t="str">
        <f>IF(DU2="","",IF(FX1&lt;'Purchased Boons'!$A$496,VLOOKUP(DU2,BoonRef!$A:$Z,2,FALSE),VLOOKUP(DU2,KanckRef!$A$2:$G$172,2,FALSE)))</f>
        <v/>
      </c>
      <c r="DR2" s="968"/>
      <c r="DS2" s="968"/>
      <c r="DT2" s="968"/>
      <c r="DU2" s="968" t="str">
        <f>IF(FX1&lt;'Purchased Boons'!$A$496,VLOOKUP(FX1,'Purchased Boons'!$A$2:$C$495,3,FALSE),IF(FX1&lt;'Purchased Knacks'!$B$192,VLOOKUP(FX1,'Purchased Knacks'!$B$4:$E$191,2,FALSE),""))</f>
        <v/>
      </c>
      <c r="DV2" s="968"/>
      <c r="DW2" s="968"/>
      <c r="DX2" s="968"/>
      <c r="DY2" s="968"/>
      <c r="DZ2" s="968"/>
      <c r="EA2" s="968"/>
      <c r="EB2" s="971" t="str">
        <f>IF(DU2="","",IF(FX1&lt;'Purchased Boons'!$A$496,VLOOKUP(DU2,BoonRef!$A$2:$Z$1230,16,FALSE),VLOOKUP(DU2,KanckRef!$A$2:$G$172,4,FALSE)))</f>
        <v/>
      </c>
      <c r="EC2" s="971"/>
      <c r="ED2" s="971"/>
      <c r="EE2" s="969" t="str">
        <f>IF(DU2="","",IF(FX1&lt;'Purchased Boons'!$A$496,VLOOKUP(DU2,BoonRef!$A$2:$Z$1230,23,FALSE),VLOOKUP(DU2,KanckRef!$A$2:$G$172,5,FALSE)))</f>
        <v/>
      </c>
      <c r="EF2" s="969"/>
      <c r="EG2" s="969"/>
      <c r="EH2" s="969"/>
      <c r="EI2" s="969"/>
      <c r="EJ2" s="969"/>
      <c r="EK2" s="969"/>
      <c r="EL2" s="969"/>
      <c r="EM2" s="969"/>
      <c r="EN2" s="970"/>
      <c r="EO2" s="967" t="str">
        <f>IF(ES2="","",IF(FY1&lt;'Purchased Boons'!$A$496,VLOOKUP(ES2,BoonRef!$A:$Z,2,FALSE),VLOOKUP(ES2,KanckRef!$A$2:$G$172,2,FALSE)))</f>
        <v/>
      </c>
      <c r="EP2" s="968"/>
      <c r="EQ2" s="968"/>
      <c r="ER2" s="968"/>
      <c r="ES2" s="968" t="str">
        <f>IF(FY1&lt;'Purchased Boons'!$A$496,VLOOKUP(FY1,'Purchased Boons'!$A$2:$C$495,3,FALSE),IF(FY1&lt;'Purchased Knacks'!$B$192,VLOOKUP(FY1,'Purchased Knacks'!$B$4:$E$191,2,FALSE),""))</f>
        <v/>
      </c>
      <c r="ET2" s="968"/>
      <c r="EU2" s="968"/>
      <c r="EV2" s="968"/>
      <c r="EW2" s="968"/>
      <c r="EX2" s="968"/>
      <c r="EY2" s="968"/>
      <c r="EZ2" s="971" t="str">
        <f>IF(ES2="","",IF(FY1&lt;'Purchased Boons'!$A$496,VLOOKUP(ES2,BoonRef!$A$2:$Z$1230,16,FALSE),VLOOKUP(ES2,KanckRef!$A$2:$G$172,4,FALSE)))</f>
        <v/>
      </c>
      <c r="FA2" s="971"/>
      <c r="FB2" s="971"/>
      <c r="FC2" s="969" t="str">
        <f>IF(ES2="","",IF(FY1&lt;'Purchased Boons'!$A$496,VLOOKUP(ES2,BoonRef!$A$2:$Z$1230,23,FALSE),VLOOKUP(ES2,KanckRef!$A$2:$G$172,5,FALSE)))</f>
        <v/>
      </c>
      <c r="FD2" s="969"/>
      <c r="FE2" s="969"/>
      <c r="FF2" s="969"/>
      <c r="FG2" s="969"/>
      <c r="FH2" s="969"/>
      <c r="FI2" s="969"/>
      <c r="FJ2" s="969"/>
      <c r="FK2" s="969"/>
      <c r="FL2" s="970"/>
      <c r="FW2" s="283">
        <v>2</v>
      </c>
      <c r="FX2" s="283">
        <v>40</v>
      </c>
      <c r="FY2" s="283">
        <v>85</v>
      </c>
      <c r="GB2" s="723" t="s">
        <v>13</v>
      </c>
      <c r="GC2" s="724"/>
      <c r="GD2" s="724"/>
      <c r="GE2" s="724"/>
      <c r="GF2" s="291">
        <f t="shared" ref="GF2:GF3" si="0">F7</f>
        <v>0</v>
      </c>
      <c r="GG2" s="292">
        <f>G7</f>
        <v>0</v>
      </c>
      <c r="GJ2" s="283" t="s">
        <v>36</v>
      </c>
      <c r="GK2" s="290">
        <f>IF($AK$7="Select",0,IF(VLOOKUP($AK$7,AssociatedRef!$AP$2:$BZ$130,2,FALSE)="Yes",1,0))</f>
        <v>0</v>
      </c>
    </row>
    <row r="3" spans="1:193" ht="15.75" thickBot="1" x14ac:dyDescent="0.3">
      <c r="A3" s="888" t="s">
        <v>8</v>
      </c>
      <c r="B3" s="858"/>
      <c r="C3" s="858"/>
      <c r="D3" s="858"/>
      <c r="E3" s="858"/>
      <c r="F3" s="858"/>
      <c r="G3" s="858"/>
      <c r="H3" s="858"/>
      <c r="I3" s="858"/>
      <c r="J3" s="858"/>
      <c r="K3" s="858"/>
      <c r="L3" s="858"/>
      <c r="M3" s="858"/>
      <c r="N3" s="858"/>
      <c r="O3" s="858"/>
      <c r="P3" s="858"/>
      <c r="Q3" s="858"/>
      <c r="R3" s="858"/>
      <c r="S3" s="858"/>
      <c r="T3" s="858"/>
      <c r="U3" s="858"/>
      <c r="V3" s="858"/>
      <c r="W3" s="858"/>
      <c r="X3" s="859"/>
      <c r="Y3" s="721" t="s">
        <v>128</v>
      </c>
      <c r="Z3" s="722"/>
      <c r="AA3" s="722"/>
      <c r="AB3" s="722"/>
      <c r="AC3" s="722"/>
      <c r="AD3" s="722"/>
      <c r="AE3" s="722"/>
      <c r="AF3" s="725" t="str">
        <f>IF(AK7="Select","",VLOOKUP(AK7,PantheonList!A18:I146,8,FALSE))</f>
        <v/>
      </c>
      <c r="AG3" s="725"/>
      <c r="AH3" s="725"/>
      <c r="AI3" s="725"/>
      <c r="AJ3" s="725"/>
      <c r="AK3" s="725"/>
      <c r="AL3" s="725"/>
      <c r="AM3" s="725"/>
      <c r="AN3" s="725"/>
      <c r="AO3" s="725"/>
      <c r="AP3" s="725"/>
      <c r="AQ3" s="725"/>
      <c r="AR3" s="725"/>
      <c r="AS3" s="725"/>
      <c r="AT3" s="725"/>
      <c r="AU3" s="725"/>
      <c r="AV3" s="864"/>
      <c r="AW3" s="825" t="s">
        <v>115</v>
      </c>
      <c r="AX3" s="826"/>
      <c r="AY3" s="826"/>
      <c r="AZ3" s="826"/>
      <c r="BA3" s="826"/>
      <c r="BB3" s="826" t="s">
        <v>75</v>
      </c>
      <c r="BC3" s="826"/>
      <c r="BD3" s="293" t="s">
        <v>116</v>
      </c>
      <c r="BE3" s="826" t="s">
        <v>117</v>
      </c>
      <c r="BF3" s="826"/>
      <c r="BG3" s="826"/>
      <c r="BH3" s="826" t="s">
        <v>118</v>
      </c>
      <c r="BI3" s="826"/>
      <c r="BJ3" s="826"/>
      <c r="BK3" s="294" t="s">
        <v>2251</v>
      </c>
      <c r="BL3" s="826" t="s">
        <v>121</v>
      </c>
      <c r="BM3" s="826"/>
      <c r="BN3" s="295" t="s">
        <v>123</v>
      </c>
      <c r="BO3" s="296" t="s">
        <v>1775</v>
      </c>
      <c r="BP3" s="294" t="s">
        <v>1776</v>
      </c>
      <c r="BQ3" s="826" t="s">
        <v>125</v>
      </c>
      <c r="BR3" s="826"/>
      <c r="BS3" s="826" t="s">
        <v>118</v>
      </c>
      <c r="BT3" s="835"/>
      <c r="BU3" s="774" t="s">
        <v>926</v>
      </c>
      <c r="BV3" s="722"/>
      <c r="BW3" s="722"/>
      <c r="BX3" s="722"/>
      <c r="BY3" s="841"/>
      <c r="BZ3" s="841"/>
      <c r="CA3" s="841"/>
      <c r="CB3" s="945"/>
      <c r="CC3" s="721" t="s">
        <v>928</v>
      </c>
      <c r="CD3" s="722"/>
      <c r="CE3" s="722"/>
      <c r="CF3" s="722"/>
      <c r="CG3" s="841"/>
      <c r="CH3" s="841"/>
      <c r="CI3" s="841"/>
      <c r="CJ3" s="913"/>
      <c r="CK3" s="721" t="s">
        <v>932</v>
      </c>
      <c r="CL3" s="722"/>
      <c r="CM3" s="722"/>
      <c r="CN3" s="722"/>
      <c r="CO3" s="841"/>
      <c r="CP3" s="841"/>
      <c r="CQ3" s="841"/>
      <c r="CR3" s="945"/>
      <c r="CS3" s="958"/>
      <c r="CT3" s="959"/>
      <c r="CU3" s="959"/>
      <c r="CV3" s="959"/>
      <c r="CW3" s="959"/>
      <c r="CX3" s="959"/>
      <c r="CY3" s="959"/>
      <c r="CZ3" s="959"/>
      <c r="DA3" s="959"/>
      <c r="DB3" s="959"/>
      <c r="DC3" s="959"/>
      <c r="DD3" s="959"/>
      <c r="DE3" s="959"/>
      <c r="DF3" s="959"/>
      <c r="DG3" s="959"/>
      <c r="DH3" s="960"/>
      <c r="DI3" s="958"/>
      <c r="DJ3" s="959"/>
      <c r="DK3" s="959"/>
      <c r="DL3" s="959"/>
      <c r="DM3" s="959"/>
      <c r="DN3" s="959"/>
      <c r="DO3" s="959"/>
      <c r="DP3" s="959"/>
      <c r="DQ3" s="966" t="str">
        <f>IF(DU3="","",IF(FX2&lt;'Purchased Boons'!$A$496,VLOOKUP(DU3,BoonRef!$A:$Z,2,FALSE),VLOOKUP(DU3,KanckRef!$A$2:$G$172,2,FALSE)))</f>
        <v/>
      </c>
      <c r="DR3" s="963"/>
      <c r="DS3" s="963"/>
      <c r="DT3" s="963"/>
      <c r="DU3" s="963" t="str">
        <f>IF(FX2&lt;'Purchased Boons'!$A$496,VLOOKUP(FX2,'Purchased Boons'!$A$2:$C$495,3,FALSE),IF(FX2&lt;'Purchased Knacks'!$B$192,VLOOKUP(FX2,'Purchased Knacks'!$B$4:$E$191,2,FALSE),""))</f>
        <v/>
      </c>
      <c r="DV3" s="963"/>
      <c r="DW3" s="963"/>
      <c r="DX3" s="963"/>
      <c r="DY3" s="963"/>
      <c r="DZ3" s="963"/>
      <c r="EA3" s="963"/>
      <c r="EB3" s="972" t="str">
        <f>IF(DU3="","",IF(FX2&lt;'Purchased Boons'!$A$496,VLOOKUP(DU3,BoonRef!$A$2:$Z$1230,16,FALSE),VLOOKUP(DU3,KanckRef!$A$2:$G$172,4,FALSE)))</f>
        <v/>
      </c>
      <c r="EC3" s="972"/>
      <c r="ED3" s="972"/>
      <c r="EE3" s="964" t="str">
        <f>IF(DU3="","",IF(FX2&lt;'Purchased Boons'!$A$496,VLOOKUP(DU3,BoonRef!$A$2:$Z$1230,23,FALSE),VLOOKUP(DU3,KanckRef!$A$2:$G$172,5,FALSE)))</f>
        <v/>
      </c>
      <c r="EF3" s="964"/>
      <c r="EG3" s="964"/>
      <c r="EH3" s="964"/>
      <c r="EI3" s="964"/>
      <c r="EJ3" s="964"/>
      <c r="EK3" s="964"/>
      <c r="EL3" s="964"/>
      <c r="EM3" s="964"/>
      <c r="EN3" s="965"/>
      <c r="EO3" s="966" t="str">
        <f>IF(ES3="","",IF(FY2&lt;'Purchased Boons'!$A$496,VLOOKUP(ES3,BoonRef!$A:$Z,2,FALSE),VLOOKUP(ES3,KanckRef!$A$2:$G$172,2,FALSE)))</f>
        <v/>
      </c>
      <c r="EP3" s="963"/>
      <c r="EQ3" s="963"/>
      <c r="ER3" s="963"/>
      <c r="ES3" s="963" t="str">
        <f>IF(FY2&lt;'Purchased Boons'!$A$496,VLOOKUP(FY2,'Purchased Boons'!$A$2:$C$495,3,FALSE),IF(FY2&lt;'Purchased Knacks'!$B$192,VLOOKUP(FY2,'Purchased Knacks'!$B$4:$E$191,2,FALSE),""))</f>
        <v/>
      </c>
      <c r="ET3" s="963"/>
      <c r="EU3" s="963"/>
      <c r="EV3" s="963"/>
      <c r="EW3" s="963"/>
      <c r="EX3" s="963"/>
      <c r="EY3" s="963"/>
      <c r="EZ3" s="972" t="str">
        <f>IF(ES3="","",IF(FY2&lt;'Purchased Boons'!$A$496,VLOOKUP(ES3,BoonRef!$A$2:$Z$1230,16,FALSE),VLOOKUP(ES3,KanckRef!$A$2:$G$172,4,FALSE)))</f>
        <v/>
      </c>
      <c r="FA3" s="972"/>
      <c r="FB3" s="972"/>
      <c r="FC3" s="964" t="str">
        <f>IF(ES3="","",IF(FY2&lt;'Purchased Boons'!$A$496,VLOOKUP(ES3,BoonRef!$A$2:$Z$1230,23,FALSE),VLOOKUP(ES3,KanckRef!$A$2:$G$172,5,FALSE)))</f>
        <v/>
      </c>
      <c r="FD3" s="964"/>
      <c r="FE3" s="964"/>
      <c r="FF3" s="964"/>
      <c r="FG3" s="964"/>
      <c r="FH3" s="964"/>
      <c r="FI3" s="964"/>
      <c r="FJ3" s="964"/>
      <c r="FK3" s="964"/>
      <c r="FL3" s="965"/>
      <c r="FW3" s="283">
        <v>3</v>
      </c>
      <c r="FX3" s="283">
        <v>41</v>
      </c>
      <c r="FY3" s="283">
        <v>86</v>
      </c>
      <c r="GB3" s="723" t="s">
        <v>14</v>
      </c>
      <c r="GC3" s="724"/>
      <c r="GD3" s="724"/>
      <c r="GE3" s="724"/>
      <c r="GF3" s="291">
        <f t="shared" si="0"/>
        <v>0</v>
      </c>
      <c r="GG3" s="292">
        <f>G8</f>
        <v>0</v>
      </c>
      <c r="GJ3" s="283" t="s">
        <v>55</v>
      </c>
      <c r="GK3" s="290">
        <f>IF($AK$7="Select",0,IF(VLOOKUP($AK$7,AssociatedRef!$AP$2:$BZ$130,4,FALSE)="Yes",1,0))</f>
        <v>0</v>
      </c>
    </row>
    <row r="4" spans="1:193" ht="15.75" thickBot="1" x14ac:dyDescent="0.3">
      <c r="A4" s="890"/>
      <c r="B4" s="823"/>
      <c r="C4" s="823"/>
      <c r="D4" s="823"/>
      <c r="E4" s="823"/>
      <c r="F4" s="823"/>
      <c r="G4" s="823"/>
      <c r="H4" s="823"/>
      <c r="I4" s="823"/>
      <c r="J4" s="823"/>
      <c r="K4" s="823"/>
      <c r="L4" s="823"/>
      <c r="M4" s="823"/>
      <c r="N4" s="823"/>
      <c r="O4" s="823"/>
      <c r="P4" s="823"/>
      <c r="Q4" s="823"/>
      <c r="R4" s="823"/>
      <c r="S4" s="823"/>
      <c r="T4" s="823"/>
      <c r="U4" s="823"/>
      <c r="V4" s="823"/>
      <c r="W4" s="823"/>
      <c r="X4" s="824"/>
      <c r="Y4" s="802"/>
      <c r="Z4" s="803"/>
      <c r="AA4" s="803"/>
      <c r="AB4" s="803"/>
      <c r="AC4" s="803"/>
      <c r="AD4" s="803"/>
      <c r="AE4" s="803"/>
      <c r="AF4" s="865"/>
      <c r="AG4" s="865"/>
      <c r="AH4" s="865"/>
      <c r="AI4" s="865"/>
      <c r="AJ4" s="865"/>
      <c r="AK4" s="865"/>
      <c r="AL4" s="865"/>
      <c r="AM4" s="865"/>
      <c r="AN4" s="865"/>
      <c r="AO4" s="865"/>
      <c r="AP4" s="865"/>
      <c r="AQ4" s="865"/>
      <c r="AR4" s="865"/>
      <c r="AS4" s="865"/>
      <c r="AT4" s="865"/>
      <c r="AU4" s="865"/>
      <c r="AV4" s="866"/>
      <c r="AW4" s="840"/>
      <c r="AX4" s="841"/>
      <c r="AY4" s="841"/>
      <c r="AZ4" s="841"/>
      <c r="BA4" s="841"/>
      <c r="BB4" s="743" t="str">
        <f>IF(AW4="","",VLOOKUP(AW4,ArmoryRef!$A$2:$L$130,2,FALSE))</f>
        <v/>
      </c>
      <c r="BC4" s="743"/>
      <c r="BD4" s="447" t="str">
        <f>IF(AW4="","",VLOOKUP(AW4,ArmoryRef!$A$2:$L$130,10,FALSE)+BO4)</f>
        <v/>
      </c>
      <c r="BE4" s="743" t="str">
        <f>IF(AW4="","",CONCATENATE(VLOOKUP(AW4,ArmoryRef!$A$2:$L$130,4,FALSE)+BQ4," + ",$G$7))</f>
        <v/>
      </c>
      <c r="BF4" s="743"/>
      <c r="BG4" s="743"/>
      <c r="BH4" s="743" t="str">
        <f>IF(AW4="","",CONCATENATE(VLOOKUP(AW4,ArmoryRef!$A$2:$L$130,6,FALSE)+BS4," + ",$G$6))</f>
        <v/>
      </c>
      <c r="BI4" s="743"/>
      <c r="BJ4" s="743"/>
      <c r="BK4" s="448" t="str">
        <f>IF(AW4="","",IF(VLOOKUP(AW4,ArmoryRef!$A$2:$L$130,9,FALSE)="--","--",VLOOKUP(AW4,ArmoryRef!$A$2:$L$130,9,FALSE)+BP4))</f>
        <v/>
      </c>
      <c r="BL4" s="743" t="str">
        <f>IF(AW4="","",VLOOKUP(AW4,ArmoryRef!$A$2:$L$130,11,FALSE))</f>
        <v/>
      </c>
      <c r="BM4" s="743"/>
      <c r="BN4" s="449" t="str">
        <f>IF(AW4="","",VLOOKUP(AW4,ArmoryRef!$A$2:$L$130,12,FALSE))</f>
        <v/>
      </c>
      <c r="BO4" s="297"/>
      <c r="BP4" s="182"/>
      <c r="BQ4" s="827"/>
      <c r="BR4" s="827"/>
      <c r="BS4" s="827"/>
      <c r="BT4" s="828"/>
      <c r="BU4" s="775" t="s">
        <v>927</v>
      </c>
      <c r="BV4" s="724"/>
      <c r="BW4" s="724"/>
      <c r="BX4" s="724"/>
      <c r="BY4" s="818"/>
      <c r="BZ4" s="818"/>
      <c r="CA4" s="818"/>
      <c r="CB4" s="855"/>
      <c r="CC4" s="723" t="s">
        <v>929</v>
      </c>
      <c r="CD4" s="724"/>
      <c r="CE4" s="724"/>
      <c r="CF4" s="724"/>
      <c r="CG4" s="818"/>
      <c r="CH4" s="818"/>
      <c r="CI4" s="818"/>
      <c r="CJ4" s="946"/>
      <c r="CK4" s="723" t="s">
        <v>933</v>
      </c>
      <c r="CL4" s="724"/>
      <c r="CM4" s="724"/>
      <c r="CN4" s="724"/>
      <c r="CO4" s="818"/>
      <c r="CP4" s="818"/>
      <c r="CQ4" s="818"/>
      <c r="CR4" s="855"/>
      <c r="CS4" s="668"/>
      <c r="CT4" s="669"/>
      <c r="CU4" s="669"/>
      <c r="CV4" s="669"/>
      <c r="CW4" s="669"/>
      <c r="CX4" s="669"/>
      <c r="CY4" s="669"/>
      <c r="CZ4" s="669"/>
      <c r="DA4" s="669"/>
      <c r="DB4" s="669"/>
      <c r="DC4" s="669"/>
      <c r="DD4" s="669"/>
      <c r="DE4" s="669"/>
      <c r="DF4" s="669"/>
      <c r="DG4" s="669"/>
      <c r="DH4" s="863"/>
      <c r="DI4" s="668"/>
      <c r="DJ4" s="669"/>
      <c r="DK4" s="669"/>
      <c r="DL4" s="669"/>
      <c r="DM4" s="669"/>
      <c r="DN4" s="669"/>
      <c r="DO4" s="669"/>
      <c r="DP4" s="669"/>
      <c r="DQ4" s="966" t="str">
        <f>IF(DU4="","",IF(FX3&lt;'Purchased Boons'!$A$496,VLOOKUP(DU4,BoonRef!$A:$Z,2,FALSE),VLOOKUP(DU4,KanckRef!$A$2:$G$172,2,FALSE)))</f>
        <v/>
      </c>
      <c r="DR4" s="963"/>
      <c r="DS4" s="963"/>
      <c r="DT4" s="963"/>
      <c r="DU4" s="963" t="str">
        <f>IF(FX3&lt;'Purchased Boons'!$A$496,VLOOKUP(FX3,'Purchased Boons'!$A$2:$C$495,3,FALSE),IF(FX3&lt;'Purchased Knacks'!$B$192,VLOOKUP(FX3,'Purchased Knacks'!$B$4:$E$191,2,FALSE),""))</f>
        <v/>
      </c>
      <c r="DV4" s="963"/>
      <c r="DW4" s="963"/>
      <c r="DX4" s="963"/>
      <c r="DY4" s="963"/>
      <c r="DZ4" s="963"/>
      <c r="EA4" s="963"/>
      <c r="EB4" s="972" t="str">
        <f>IF(DU4="","",IF(FX3&lt;'Purchased Boons'!$A$496,VLOOKUP(DU4,BoonRef!$A$2:$Z$1230,16,FALSE),VLOOKUP(DU4,KanckRef!$A$2:$G$172,4,FALSE)))</f>
        <v/>
      </c>
      <c r="EC4" s="972"/>
      <c r="ED4" s="972"/>
      <c r="EE4" s="964" t="str">
        <f>IF(DU4="","",IF(FX3&lt;'Purchased Boons'!$A$496,VLOOKUP(DU4,BoonRef!$A$2:$Z$1230,23,FALSE),VLOOKUP(DU4,KanckRef!$A$2:$G$172,5,FALSE)))</f>
        <v/>
      </c>
      <c r="EF4" s="964"/>
      <c r="EG4" s="964"/>
      <c r="EH4" s="964"/>
      <c r="EI4" s="964"/>
      <c r="EJ4" s="964"/>
      <c r="EK4" s="964"/>
      <c r="EL4" s="964"/>
      <c r="EM4" s="964"/>
      <c r="EN4" s="965"/>
      <c r="EO4" s="966" t="str">
        <f>IF(ES4="","",IF(FY3&lt;'Purchased Boons'!$A$496,VLOOKUP(ES4,BoonRef!$A:$Z,2,FALSE),VLOOKUP(ES4,KanckRef!$A$2:$G$172,2,FALSE)))</f>
        <v/>
      </c>
      <c r="EP4" s="963"/>
      <c r="EQ4" s="963"/>
      <c r="ER4" s="963"/>
      <c r="ES4" s="963" t="str">
        <f>IF(FY3&lt;'Purchased Boons'!$A$496,VLOOKUP(FY3,'Purchased Boons'!$A$2:$C$495,3,FALSE),IF(FY3&lt;'Purchased Knacks'!$B$192,VLOOKUP(FY3,'Purchased Knacks'!$B$4:$E$191,2,FALSE),""))</f>
        <v/>
      </c>
      <c r="ET4" s="963"/>
      <c r="EU4" s="963"/>
      <c r="EV4" s="963"/>
      <c r="EW4" s="963"/>
      <c r="EX4" s="963"/>
      <c r="EY4" s="963"/>
      <c r="EZ4" s="972" t="str">
        <f>IF(ES4="","",IF(FY3&lt;'Purchased Boons'!$A$496,VLOOKUP(ES4,BoonRef!$A$2:$Z$1230,16,FALSE),VLOOKUP(ES4,KanckRef!$A$2:$G$172,4,FALSE)))</f>
        <v/>
      </c>
      <c r="FA4" s="972"/>
      <c r="FB4" s="972"/>
      <c r="FC4" s="964" t="str">
        <f>IF(ES4="","",IF(FY3&lt;'Purchased Boons'!$A$496,VLOOKUP(ES4,BoonRef!$A$2:$Z$1230,23,FALSE),VLOOKUP(ES4,KanckRef!$A$2:$G$172,5,FALSE)))</f>
        <v/>
      </c>
      <c r="FD4" s="964"/>
      <c r="FE4" s="964"/>
      <c r="FF4" s="964"/>
      <c r="FG4" s="964"/>
      <c r="FH4" s="964"/>
      <c r="FI4" s="964"/>
      <c r="FJ4" s="964"/>
      <c r="FK4" s="964"/>
      <c r="FL4" s="965"/>
      <c r="FW4" s="283">
        <v>4</v>
      </c>
      <c r="FX4" s="283">
        <v>42</v>
      </c>
      <c r="FY4" s="283">
        <v>87</v>
      </c>
      <c r="GB4" s="723" t="s">
        <v>16</v>
      </c>
      <c r="GC4" s="724"/>
      <c r="GD4" s="724"/>
      <c r="GE4" s="724"/>
      <c r="GF4" s="291">
        <f t="shared" ref="GF4:GG6" si="1">N6</f>
        <v>0</v>
      </c>
      <c r="GG4" s="292">
        <f t="shared" si="1"/>
        <v>0</v>
      </c>
      <c r="GJ4" s="283" t="s">
        <v>37</v>
      </c>
      <c r="GK4" s="290">
        <f>IF($AK$7="Select",0,IF(VLOOKUP($AK$7,AssociatedRef!$AP$2:$BZ$130,5,FALSE)="Yes",1,0))</f>
        <v>0</v>
      </c>
    </row>
    <row r="5" spans="1:193" ht="15.75" thickBot="1" x14ac:dyDescent="0.3">
      <c r="A5" s="721" t="s">
        <v>139</v>
      </c>
      <c r="B5" s="722"/>
      <c r="C5" s="722"/>
      <c r="D5" s="722"/>
      <c r="E5" s="298" t="s">
        <v>76</v>
      </c>
      <c r="F5" s="298" t="s">
        <v>66</v>
      </c>
      <c r="G5" s="722" t="s">
        <v>11</v>
      </c>
      <c r="H5" s="833"/>
      <c r="I5" s="721" t="s">
        <v>140</v>
      </c>
      <c r="J5" s="722"/>
      <c r="K5" s="722"/>
      <c r="L5" s="722"/>
      <c r="M5" s="298" t="s">
        <v>76</v>
      </c>
      <c r="N5" s="298" t="s">
        <v>66</v>
      </c>
      <c r="O5" s="722" t="s">
        <v>11</v>
      </c>
      <c r="P5" s="833"/>
      <c r="Q5" s="721" t="s">
        <v>141</v>
      </c>
      <c r="R5" s="722"/>
      <c r="S5" s="722"/>
      <c r="T5" s="722"/>
      <c r="U5" s="298" t="s">
        <v>76</v>
      </c>
      <c r="V5" s="298" t="s">
        <v>66</v>
      </c>
      <c r="W5" s="722" t="s">
        <v>11</v>
      </c>
      <c r="X5" s="833"/>
      <c r="Y5" s="721" t="s">
        <v>63</v>
      </c>
      <c r="Z5" s="722"/>
      <c r="AA5" s="722"/>
      <c r="AB5" s="722"/>
      <c r="AC5" s="722"/>
      <c r="AD5" s="722"/>
      <c r="AE5" s="722"/>
      <c r="AF5" s="725" t="str">
        <f>IF(AK7="Select","",VLOOKUP(AK7,PantheonList!A18:I146,9,FALSE))</f>
        <v/>
      </c>
      <c r="AG5" s="725"/>
      <c r="AH5" s="725"/>
      <c r="AI5" s="725"/>
      <c r="AJ5" s="725"/>
      <c r="AK5" s="725"/>
      <c r="AL5" s="725"/>
      <c r="AM5" s="725"/>
      <c r="AN5" s="725"/>
      <c r="AO5" s="725"/>
      <c r="AP5" s="725"/>
      <c r="AQ5" s="725"/>
      <c r="AR5" s="725"/>
      <c r="AS5" s="725"/>
      <c r="AT5" s="725"/>
      <c r="AU5" s="725"/>
      <c r="AV5" s="864"/>
      <c r="AW5" s="842"/>
      <c r="AX5" s="818"/>
      <c r="AY5" s="818"/>
      <c r="AZ5" s="818"/>
      <c r="BA5" s="818"/>
      <c r="BB5" s="671" t="str">
        <f>IF(AW5="","",VLOOKUP(AW5,ArmoryRef!$A$2:$L$130,2,FALSE))</f>
        <v/>
      </c>
      <c r="BC5" s="671"/>
      <c r="BD5" s="287" t="str">
        <f>IF(AW5="","",VLOOKUP(AW5,ArmoryRef!$A$2:$L$130,10,FALSE)+BO5)</f>
        <v/>
      </c>
      <c r="BE5" s="710" t="str">
        <f>IF(AW5="","",CONCATENATE(VLOOKUP(AW5,ArmoryRef!$A$2:$L$130,4,FALSE)+BQ5," + ",$G$7))</f>
        <v/>
      </c>
      <c r="BF5" s="673"/>
      <c r="BG5" s="716"/>
      <c r="BH5" s="710" t="str">
        <f>IF(AW5="","",CONCATENATE(VLOOKUP(AW5,ArmoryRef!$A$2:$L$130,6,FALSE)+BS5," + ",$G$6))</f>
        <v/>
      </c>
      <c r="BI5" s="673"/>
      <c r="BJ5" s="716"/>
      <c r="BK5" s="299" t="str">
        <f>IF(AW5="","",IF(VLOOKUP(AW5,ArmoryRef!$A$2:$L$130,9,FALSE)="--","--",VLOOKUP(AW5,ArmoryRef!$A$2:$L$130,9,FALSE)+BP5))</f>
        <v/>
      </c>
      <c r="BL5" s="671" t="str">
        <f>IF(AW5="","",VLOOKUP(AW5,ArmoryRef!$A$2:$L$130,11,FALSE))</f>
        <v/>
      </c>
      <c r="BM5" s="671"/>
      <c r="BN5" s="285" t="str">
        <f>IF(AW5="","",VLOOKUP(AW5,ArmoryRef!$A$2:$L$130,12,FALSE))</f>
        <v/>
      </c>
      <c r="BO5" s="300"/>
      <c r="BP5" s="121"/>
      <c r="BQ5" s="694"/>
      <c r="BR5" s="694"/>
      <c r="BS5" s="694"/>
      <c r="BT5" s="719"/>
      <c r="BU5" s="876" t="s">
        <v>930</v>
      </c>
      <c r="BV5" s="803"/>
      <c r="BW5" s="803"/>
      <c r="BX5" s="803"/>
      <c r="BY5" s="845"/>
      <c r="BZ5" s="845"/>
      <c r="CA5" s="845"/>
      <c r="CB5" s="856"/>
      <c r="CC5" s="802" t="s">
        <v>931</v>
      </c>
      <c r="CD5" s="803"/>
      <c r="CE5" s="803"/>
      <c r="CF5" s="803"/>
      <c r="CG5" s="845"/>
      <c r="CH5" s="845"/>
      <c r="CI5" s="845"/>
      <c r="CJ5" s="904"/>
      <c r="CK5" s="802" t="s">
        <v>934</v>
      </c>
      <c r="CL5" s="803"/>
      <c r="CM5" s="803"/>
      <c r="CN5" s="803"/>
      <c r="CO5" s="845"/>
      <c r="CP5" s="845"/>
      <c r="CQ5" s="845"/>
      <c r="CR5" s="856"/>
      <c r="CS5" s="668"/>
      <c r="CT5" s="669"/>
      <c r="CU5" s="669"/>
      <c r="CV5" s="669"/>
      <c r="CW5" s="669"/>
      <c r="CX5" s="669"/>
      <c r="CY5" s="669"/>
      <c r="CZ5" s="669"/>
      <c r="DA5" s="669"/>
      <c r="DB5" s="669"/>
      <c r="DC5" s="669"/>
      <c r="DD5" s="669"/>
      <c r="DE5" s="669"/>
      <c r="DF5" s="669"/>
      <c r="DG5" s="669"/>
      <c r="DH5" s="863"/>
      <c r="DI5" s="668"/>
      <c r="DJ5" s="669"/>
      <c r="DK5" s="669"/>
      <c r="DL5" s="669"/>
      <c r="DM5" s="669"/>
      <c r="DN5" s="669"/>
      <c r="DO5" s="669"/>
      <c r="DP5" s="669"/>
      <c r="DQ5" s="966" t="str">
        <f>IF(DU5="","",IF(FX4&lt;'Purchased Boons'!$A$496,VLOOKUP(DU5,BoonRef!$A:$Z,2,FALSE),VLOOKUP(DU5,KanckRef!$A$2:$G$172,2,FALSE)))</f>
        <v/>
      </c>
      <c r="DR5" s="963"/>
      <c r="DS5" s="963"/>
      <c r="DT5" s="963"/>
      <c r="DU5" s="963" t="str">
        <f>IF(FX4&lt;'Purchased Boons'!$A$496,VLOOKUP(FX4,'Purchased Boons'!$A$2:$C$495,3,FALSE),IF(FX4&lt;'Purchased Knacks'!$B$192,VLOOKUP(FX4,'Purchased Knacks'!$B$4:$E$191,2,FALSE),""))</f>
        <v/>
      </c>
      <c r="DV5" s="963"/>
      <c r="DW5" s="963"/>
      <c r="DX5" s="963"/>
      <c r="DY5" s="963"/>
      <c r="DZ5" s="963"/>
      <c r="EA5" s="963"/>
      <c r="EB5" s="972" t="str">
        <f>IF(DU5="","",IF(FX4&lt;'Purchased Boons'!$A$496,VLOOKUP(DU5,BoonRef!$A$2:$Z$1230,16,FALSE),VLOOKUP(DU5,KanckRef!$A$2:$G$172,4,FALSE)))</f>
        <v/>
      </c>
      <c r="EC5" s="972"/>
      <c r="ED5" s="972"/>
      <c r="EE5" s="964" t="str">
        <f>IF(DU5="","",IF(FX4&lt;'Purchased Boons'!$A$496,VLOOKUP(DU5,BoonRef!$A$2:$Z$1230,23,FALSE),VLOOKUP(DU5,KanckRef!$A$2:$G$172,5,FALSE)))</f>
        <v/>
      </c>
      <c r="EF5" s="964"/>
      <c r="EG5" s="964"/>
      <c r="EH5" s="964"/>
      <c r="EI5" s="964"/>
      <c r="EJ5" s="964"/>
      <c r="EK5" s="964"/>
      <c r="EL5" s="964"/>
      <c r="EM5" s="964"/>
      <c r="EN5" s="965"/>
      <c r="EO5" s="966" t="str">
        <f>IF(ES5="","",IF(FY4&lt;'Purchased Boons'!$A$496,VLOOKUP(ES5,BoonRef!$A:$Z,2,FALSE),VLOOKUP(ES5,KanckRef!$A$2:$G$172,2,FALSE)))</f>
        <v/>
      </c>
      <c r="EP5" s="963"/>
      <c r="EQ5" s="963"/>
      <c r="ER5" s="963"/>
      <c r="ES5" s="963" t="str">
        <f>IF(FY4&lt;'Purchased Boons'!$A$496,VLOOKUP(FY4,'Purchased Boons'!$A$2:$C$495,3,FALSE),IF(FY4&lt;'Purchased Knacks'!$B$192,VLOOKUP(FY4,'Purchased Knacks'!$B$4:$E$191,2,FALSE),""))</f>
        <v/>
      </c>
      <c r="ET5" s="963"/>
      <c r="EU5" s="963"/>
      <c r="EV5" s="963"/>
      <c r="EW5" s="963"/>
      <c r="EX5" s="963"/>
      <c r="EY5" s="963"/>
      <c r="EZ5" s="972" t="str">
        <f>IF(ES5="","",IF(FY4&lt;'Purchased Boons'!$A$496,VLOOKUP(ES5,BoonRef!$A$2:$Z$1230,16,FALSE),VLOOKUP(ES5,KanckRef!$A$2:$G$172,4,FALSE)))</f>
        <v/>
      </c>
      <c r="FA5" s="972"/>
      <c r="FB5" s="972"/>
      <c r="FC5" s="964" t="str">
        <f>IF(ES5="","",IF(FY4&lt;'Purchased Boons'!$A$496,VLOOKUP(ES5,BoonRef!$A$2:$Z$1230,23,FALSE),VLOOKUP(ES5,KanckRef!$A$2:$G$172,5,FALSE)))</f>
        <v/>
      </c>
      <c r="FD5" s="964"/>
      <c r="FE5" s="964"/>
      <c r="FF5" s="964"/>
      <c r="FG5" s="964"/>
      <c r="FH5" s="964"/>
      <c r="FI5" s="964"/>
      <c r="FJ5" s="964"/>
      <c r="FK5" s="964"/>
      <c r="FL5" s="965"/>
      <c r="FW5" s="283">
        <v>5</v>
      </c>
      <c r="FX5" s="283">
        <v>43</v>
      </c>
      <c r="FY5" s="283">
        <v>88</v>
      </c>
      <c r="GB5" s="723" t="s">
        <v>17</v>
      </c>
      <c r="GC5" s="724"/>
      <c r="GD5" s="724"/>
      <c r="GE5" s="724"/>
      <c r="GF5" s="291">
        <f t="shared" si="1"/>
        <v>0</v>
      </c>
      <c r="GG5" s="292">
        <f t="shared" si="1"/>
        <v>0</v>
      </c>
      <c r="GJ5" s="283" t="s">
        <v>38</v>
      </c>
      <c r="GK5" s="290">
        <f>IF($AK$7="Select",0,IF(VLOOKUP($AK$7,AssociatedRef!$AP$2:$BZ$130,6,FALSE)="Yes",1,0))</f>
        <v>0</v>
      </c>
    </row>
    <row r="6" spans="1:193" ht="15.75" thickBot="1" x14ac:dyDescent="0.3">
      <c r="A6" s="723" t="str">
        <f>Creation!BI4</f>
        <v>Strength</v>
      </c>
      <c r="B6" s="724"/>
      <c r="C6" s="724"/>
      <c r="D6" s="724"/>
      <c r="E6" s="291">
        <f>SUM(DotTracking!E6:O6,DotTracking!AC6:AM6,DotTracking!BA6:BK6,DotTracking!BY6:CI6,DotTracking!CW6:DG6)</f>
        <v>1</v>
      </c>
      <c r="F6" s="291">
        <f>SUM(DotTracking!E16:O16,DotTracking!AC16:AM16,DotTracking!BA16:BK16,DotTracking!BY16:CI16,DotTracking!CW16:DG16)</f>
        <v>0</v>
      </c>
      <c r="G6" s="767">
        <f>LOOKUP(F6,Reference!$D$2:$D$12,Reference!$E$2:$E$12)</f>
        <v>0</v>
      </c>
      <c r="H6" s="768"/>
      <c r="I6" s="723" t="str">
        <f>Creation!BI7</f>
        <v>Charisma</v>
      </c>
      <c r="J6" s="724"/>
      <c r="K6" s="724"/>
      <c r="L6" s="724"/>
      <c r="M6" s="291">
        <f>SUM(DotTracking!E9:O9,DotTracking!AC9:AM9,DotTracking!BA9:BK9,DotTracking!BY9:CI9,DotTracking!CW9:DG9)</f>
        <v>1</v>
      </c>
      <c r="N6" s="291">
        <f>SUM(DotTracking!E19:O19,DotTracking!AC19:AM19,DotTracking!BA19:BK19,DotTracking!BY19:CI19,DotTracking!CW19:DG19)</f>
        <v>0</v>
      </c>
      <c r="O6" s="767">
        <f>LOOKUP(N6,Reference!$D$2:$D$12,Reference!$E$2:$E$12)</f>
        <v>0</v>
      </c>
      <c r="P6" s="768"/>
      <c r="Q6" s="723" t="str">
        <f>Creation!BI10</f>
        <v>Perception</v>
      </c>
      <c r="R6" s="724"/>
      <c r="S6" s="724"/>
      <c r="T6" s="724"/>
      <c r="U6" s="291">
        <f>SUM(DotTracking!E12:O12,DotTracking!AC12:AM12,DotTracking!BA12:BK12,DotTracking!BY12:CI12,DotTracking!CW12:DG12)</f>
        <v>1</v>
      </c>
      <c r="V6" s="291">
        <f>SUM(DotTracking!E22:O22,DotTracking!AC22:AM22,DotTracking!BA22:BK22,DotTracking!BZ22:CI22,DotTracking!BY22,DotTracking!CW22:DG22)</f>
        <v>0</v>
      </c>
      <c r="W6" s="767">
        <f>LOOKUP(V6,Reference!$D$2:$D$12,Reference!$E$2:$E$12)</f>
        <v>0</v>
      </c>
      <c r="X6" s="768"/>
      <c r="Y6" s="780"/>
      <c r="Z6" s="781"/>
      <c r="AA6" s="781"/>
      <c r="AB6" s="781"/>
      <c r="AC6" s="781"/>
      <c r="AD6" s="781"/>
      <c r="AE6" s="781"/>
      <c r="AF6" s="867"/>
      <c r="AG6" s="867"/>
      <c r="AH6" s="867"/>
      <c r="AI6" s="867"/>
      <c r="AJ6" s="867"/>
      <c r="AK6" s="867"/>
      <c r="AL6" s="867"/>
      <c r="AM6" s="867"/>
      <c r="AN6" s="867"/>
      <c r="AO6" s="867"/>
      <c r="AP6" s="867"/>
      <c r="AQ6" s="867"/>
      <c r="AR6" s="867"/>
      <c r="AS6" s="867"/>
      <c r="AT6" s="867"/>
      <c r="AU6" s="867"/>
      <c r="AV6" s="750"/>
      <c r="AW6" s="842"/>
      <c r="AX6" s="818"/>
      <c r="AY6" s="818"/>
      <c r="AZ6" s="818"/>
      <c r="BA6" s="818"/>
      <c r="BB6" s="671" t="str">
        <f>IF(AW6="","",VLOOKUP(AW6,ArmoryRef!$A$2:$L$130,2,FALSE))</f>
        <v/>
      </c>
      <c r="BC6" s="671"/>
      <c r="BD6" s="287" t="str">
        <f>IF(AW6="","",VLOOKUP(AW6,ArmoryRef!$A$2:$L$130,10,FALSE)+BO6)</f>
        <v/>
      </c>
      <c r="BE6" s="710" t="str">
        <f>IF(AW6="","",CONCATENATE(VLOOKUP(AW6,ArmoryRef!$A$2:$L$130,4,FALSE)+BQ6," + ",$G$7))</f>
        <v/>
      </c>
      <c r="BF6" s="673"/>
      <c r="BG6" s="716"/>
      <c r="BH6" s="710" t="str">
        <f>IF(AW6="","",CONCATENATE(VLOOKUP(AW6,ArmoryRef!$A$2:$L$130,6,FALSE)+BS6," + ",$G$6))</f>
        <v/>
      </c>
      <c r="BI6" s="673"/>
      <c r="BJ6" s="716"/>
      <c r="BK6" s="299" t="str">
        <f>IF(AW6="","",IF(VLOOKUP(AW6,ArmoryRef!$A$2:$L$130,9,FALSE)="--","--",VLOOKUP(AW6,ArmoryRef!$A$2:$L$130,9,FALSE)+BP6))</f>
        <v/>
      </c>
      <c r="BL6" s="671" t="str">
        <f>IF(AW6="","",VLOOKUP(AW6,ArmoryRef!$A$2:$L$130,11,FALSE))</f>
        <v/>
      </c>
      <c r="BM6" s="671"/>
      <c r="BN6" s="285" t="str">
        <f>IF(AW6="","",VLOOKUP(AW6,ArmoryRef!$A$2:$L$130,12,FALSE))</f>
        <v/>
      </c>
      <c r="BO6" s="300"/>
      <c r="BP6" s="121"/>
      <c r="BQ6" s="694"/>
      <c r="BR6" s="694"/>
      <c r="BS6" s="694"/>
      <c r="BT6" s="719"/>
      <c r="BU6" s="947" t="s">
        <v>936</v>
      </c>
      <c r="BV6" s="948"/>
      <c r="BW6" s="948"/>
      <c r="BX6" s="948"/>
      <c r="BY6" s="948"/>
      <c r="BZ6" s="948"/>
      <c r="CA6" s="948"/>
      <c r="CB6" s="948"/>
      <c r="CC6" s="948"/>
      <c r="CD6" s="948"/>
      <c r="CE6" s="948"/>
      <c r="CF6" s="948"/>
      <c r="CG6" s="948"/>
      <c r="CH6" s="948"/>
      <c r="CI6" s="948"/>
      <c r="CJ6" s="948"/>
      <c r="CK6" s="953"/>
      <c r="CL6" s="953"/>
      <c r="CM6" s="953"/>
      <c r="CN6" s="953"/>
      <c r="CO6" s="953"/>
      <c r="CP6" s="953"/>
      <c r="CQ6" s="953"/>
      <c r="CR6" s="954"/>
      <c r="CS6" s="668"/>
      <c r="CT6" s="669"/>
      <c r="CU6" s="669"/>
      <c r="CV6" s="669"/>
      <c r="CW6" s="669"/>
      <c r="CX6" s="669"/>
      <c r="CY6" s="669"/>
      <c r="CZ6" s="669"/>
      <c r="DA6" s="669"/>
      <c r="DB6" s="669"/>
      <c r="DC6" s="669"/>
      <c r="DD6" s="669"/>
      <c r="DE6" s="669"/>
      <c r="DF6" s="669"/>
      <c r="DG6" s="669"/>
      <c r="DH6" s="863"/>
      <c r="DI6" s="668"/>
      <c r="DJ6" s="669"/>
      <c r="DK6" s="669"/>
      <c r="DL6" s="669"/>
      <c r="DM6" s="669"/>
      <c r="DN6" s="669"/>
      <c r="DO6" s="669"/>
      <c r="DP6" s="669"/>
      <c r="DQ6" s="966" t="str">
        <f>IF(DU6="","",IF(FX5&lt;'Purchased Boons'!$A$496,VLOOKUP(DU6,BoonRef!$A:$Z,2,FALSE),VLOOKUP(DU6,KanckRef!$A$2:$G$172,2,FALSE)))</f>
        <v/>
      </c>
      <c r="DR6" s="963"/>
      <c r="DS6" s="963"/>
      <c r="DT6" s="963"/>
      <c r="DU6" s="963" t="str">
        <f>IF(FX5&lt;'Purchased Boons'!$A$496,VLOOKUP(FX5,'Purchased Boons'!$A$2:$C$495,3,FALSE),IF(FX5&lt;'Purchased Knacks'!$B$192,VLOOKUP(FX5,'Purchased Knacks'!$B$4:$E$191,2,FALSE),""))</f>
        <v/>
      </c>
      <c r="DV6" s="963"/>
      <c r="DW6" s="963"/>
      <c r="DX6" s="963"/>
      <c r="DY6" s="963"/>
      <c r="DZ6" s="963"/>
      <c r="EA6" s="963"/>
      <c r="EB6" s="972" t="str">
        <f>IF(DU6="","",IF(FX5&lt;'Purchased Boons'!$A$496,VLOOKUP(DU6,BoonRef!$A$2:$Z$1230,16,FALSE),VLOOKUP(DU6,KanckRef!$A$2:$G$172,4,FALSE)))</f>
        <v/>
      </c>
      <c r="EC6" s="972"/>
      <c r="ED6" s="972"/>
      <c r="EE6" s="964" t="str">
        <f>IF(DU6="","",IF(FX5&lt;'Purchased Boons'!$A$496,VLOOKUP(DU6,BoonRef!$A$2:$Z$1230,23,FALSE),VLOOKUP(DU6,KanckRef!$A$2:$G$172,5,FALSE)))</f>
        <v/>
      </c>
      <c r="EF6" s="964"/>
      <c r="EG6" s="964"/>
      <c r="EH6" s="964"/>
      <c r="EI6" s="964"/>
      <c r="EJ6" s="964"/>
      <c r="EK6" s="964"/>
      <c r="EL6" s="964"/>
      <c r="EM6" s="964"/>
      <c r="EN6" s="965"/>
      <c r="EO6" s="966" t="str">
        <f>IF(ES6="","",IF(FY5&lt;'Purchased Boons'!$A$496,VLOOKUP(ES6,BoonRef!$A:$Z,2,FALSE),VLOOKUP(ES6,KanckRef!$A$2:$G$172,2,FALSE)))</f>
        <v/>
      </c>
      <c r="EP6" s="963"/>
      <c r="EQ6" s="963"/>
      <c r="ER6" s="963"/>
      <c r="ES6" s="963" t="str">
        <f>IF(FY5&lt;'Purchased Boons'!$A$496,VLOOKUP(FY5,'Purchased Boons'!$A$2:$C$495,3,FALSE),IF(FY5&lt;'Purchased Knacks'!$B$192,VLOOKUP(FY5,'Purchased Knacks'!$B$4:$E$191,2,FALSE),""))</f>
        <v/>
      </c>
      <c r="ET6" s="963"/>
      <c r="EU6" s="963"/>
      <c r="EV6" s="963"/>
      <c r="EW6" s="963"/>
      <c r="EX6" s="963"/>
      <c r="EY6" s="963"/>
      <c r="EZ6" s="972" t="str">
        <f>IF(ES6="","",IF(FY5&lt;'Purchased Boons'!$A$496,VLOOKUP(ES6,BoonRef!$A$2:$Z$1230,16,FALSE),VLOOKUP(ES6,KanckRef!$A$2:$G$172,4,FALSE)))</f>
        <v/>
      </c>
      <c r="FA6" s="972"/>
      <c r="FB6" s="972"/>
      <c r="FC6" s="964" t="str">
        <f>IF(ES6="","",IF(FY5&lt;'Purchased Boons'!$A$496,VLOOKUP(ES6,BoonRef!$A$2:$Z$1230,23,FALSE),VLOOKUP(ES6,KanckRef!$A$2:$G$172,5,FALSE)))</f>
        <v/>
      </c>
      <c r="FD6" s="964"/>
      <c r="FE6" s="964"/>
      <c r="FF6" s="964"/>
      <c r="FG6" s="964"/>
      <c r="FH6" s="964"/>
      <c r="FI6" s="964"/>
      <c r="FJ6" s="964"/>
      <c r="FK6" s="964"/>
      <c r="FL6" s="965"/>
      <c r="FW6" s="283">
        <v>6</v>
      </c>
      <c r="FX6" s="283">
        <v>44</v>
      </c>
      <c r="FY6" s="283">
        <v>89</v>
      </c>
      <c r="GB6" s="723" t="s">
        <v>18</v>
      </c>
      <c r="GC6" s="724"/>
      <c r="GD6" s="724"/>
      <c r="GE6" s="724"/>
      <c r="GF6" s="291">
        <f t="shared" si="1"/>
        <v>0</v>
      </c>
      <c r="GG6" s="292">
        <f t="shared" si="1"/>
        <v>0</v>
      </c>
      <c r="GJ6" s="283" t="s">
        <v>39</v>
      </c>
      <c r="GK6" s="290">
        <f>IF($AK$7="Select",0,IF(VLOOKUP($AK$7,AssociatedRef!$AP$2:$BZ$130,7,FALSE)="Yes",1,0))</f>
        <v>0</v>
      </c>
    </row>
    <row r="7" spans="1:193" ht="15.75" thickBot="1" x14ac:dyDescent="0.3">
      <c r="A7" s="896" t="str">
        <f>Creation!BI5</f>
        <v>Dexterity</v>
      </c>
      <c r="B7" s="897"/>
      <c r="C7" s="897"/>
      <c r="D7" s="775"/>
      <c r="E7" s="291">
        <f>SUM(DotTracking!E7:O7,DotTracking!AC7:AM7,DotTracking!BA7:BK7,DotTracking!BY7:CI7,DotTracking!CW7:DG7)</f>
        <v>1</v>
      </c>
      <c r="F7" s="291">
        <f>SUM(DotTracking!E17:O17,DotTracking!AC17:AM17,DotTracking!BA17:BK17,DotTracking!BY17:CI17,DotTracking!CW17:DG17)</f>
        <v>0</v>
      </c>
      <c r="G7" s="767">
        <f>LOOKUP(F7,Reference!$D$2:$D$12,Reference!$E$2:$E$12)</f>
        <v>0</v>
      </c>
      <c r="H7" s="768"/>
      <c r="I7" s="896" t="str">
        <f>Creation!BI8</f>
        <v>Manipulation</v>
      </c>
      <c r="J7" s="897"/>
      <c r="K7" s="897"/>
      <c r="L7" s="775"/>
      <c r="M7" s="291">
        <f>SUM(DotTracking!E10:O10,DotTracking!AC10:AM10,DotTracking!BA10:BK10,DotTracking!BY10:CI10,DotTracking!CW10:DG10)</f>
        <v>1</v>
      </c>
      <c r="N7" s="291">
        <f>SUM(DotTracking!E20:O20,DotTracking!AC20:AM20,DotTracking!BA20:BK20,DotTracking!BY20:CI20,DotTracking!CW20:DG20)</f>
        <v>0</v>
      </c>
      <c r="O7" s="767">
        <f>LOOKUP(N7,Reference!$D$2:$D$12,Reference!$E$2:$E$12)</f>
        <v>0</v>
      </c>
      <c r="P7" s="768"/>
      <c r="Q7" s="896" t="str">
        <f>Creation!BI11</f>
        <v>Intelligence</v>
      </c>
      <c r="R7" s="897"/>
      <c r="S7" s="897"/>
      <c r="T7" s="775"/>
      <c r="U7" s="291">
        <f>SUM(DotTracking!E13:O13,DotTracking!AC13:AM13,DotTracking!BA13:BK13,DotTracking!BY13:CI13,DotTracking!CW13:DG13)</f>
        <v>1</v>
      </c>
      <c r="V7" s="291">
        <f>SUM(DotTracking!E23:O23,DotTracking!AC23:AM23,DotTracking!BA23:BK23,DotTracking!BZ23:CI23,DotTracking!BY23,DotTracking!CW23:DG23)</f>
        <v>0</v>
      </c>
      <c r="W7" s="767">
        <f>LOOKUP(V7,Reference!$D$2:$D$12,Reference!$E$2:$E$12)</f>
        <v>0</v>
      </c>
      <c r="X7" s="871"/>
      <c r="Y7" s="825" t="s">
        <v>3</v>
      </c>
      <c r="Z7" s="826"/>
      <c r="AA7" s="826"/>
      <c r="AB7" s="826"/>
      <c r="AC7" s="836" t="str">
        <f>IF(GodConversion!CE1="",Creation!M17,GodConversion!CE1)</f>
        <v>Select</v>
      </c>
      <c r="AD7" s="836"/>
      <c r="AE7" s="836"/>
      <c r="AF7" s="836"/>
      <c r="AG7" s="836"/>
      <c r="AH7" s="911"/>
      <c r="AI7" s="838" t="s">
        <v>5</v>
      </c>
      <c r="AJ7" s="839"/>
      <c r="AK7" s="836" t="str">
        <f>Creation!M19</f>
        <v>Select</v>
      </c>
      <c r="AL7" s="836"/>
      <c r="AM7" s="836"/>
      <c r="AN7" s="911"/>
      <c r="AO7" s="912" t="s">
        <v>1774</v>
      </c>
      <c r="AP7" s="826"/>
      <c r="AQ7" s="826"/>
      <c r="AR7" s="826"/>
      <c r="AS7" s="836" t="str">
        <f>IF(AC7="Select","",VLOOKUP(AC7,PantheonList!A3:B15,2,FALSE))</f>
        <v/>
      </c>
      <c r="AT7" s="836"/>
      <c r="AU7" s="836"/>
      <c r="AV7" s="837"/>
      <c r="AW7" s="842"/>
      <c r="AX7" s="818"/>
      <c r="AY7" s="818"/>
      <c r="AZ7" s="818"/>
      <c r="BA7" s="818"/>
      <c r="BB7" s="671" t="str">
        <f>IF(AW7="","",VLOOKUP(AW7,ArmoryRef!$A$2:$L$130,2,FALSE))</f>
        <v/>
      </c>
      <c r="BC7" s="671"/>
      <c r="BD7" s="287" t="str">
        <f>IF(AW7="","",VLOOKUP(AW7,ArmoryRef!$A$2:$L$130,10,FALSE)+BO7)</f>
        <v/>
      </c>
      <c r="BE7" s="710" t="str">
        <f>IF(AW7="","",CONCATENATE(VLOOKUP(AW7,ArmoryRef!$A$2:$L$130,4,FALSE)+BQ7," + ",$G$7))</f>
        <v/>
      </c>
      <c r="BF7" s="673"/>
      <c r="BG7" s="716"/>
      <c r="BH7" s="710" t="str">
        <f>IF(AW7="","",CONCATENATE(VLOOKUP(AW7,ArmoryRef!$A$2:$L$130,6,FALSE)+BS7," + ",$G$6))</f>
        <v/>
      </c>
      <c r="BI7" s="673"/>
      <c r="BJ7" s="716"/>
      <c r="BK7" s="299" t="str">
        <f>IF(AW7="","",IF(VLOOKUP(AW7,ArmoryRef!$A$2:$L$130,9,FALSE)="--","--",VLOOKUP(AW7,ArmoryRef!$A$2:$L$130,9,FALSE)+BP7))</f>
        <v/>
      </c>
      <c r="BL7" s="671" t="str">
        <f>IF(AW7="","",VLOOKUP(AW7,ArmoryRef!$A$2:$L$130,11,FALSE))</f>
        <v/>
      </c>
      <c r="BM7" s="671"/>
      <c r="BN7" s="285" t="str">
        <f>IF(AW7="","",VLOOKUP(AW7,ArmoryRef!$A$2:$L$130,12,FALSE))</f>
        <v/>
      </c>
      <c r="BO7" s="300"/>
      <c r="BP7" s="121"/>
      <c r="BQ7" s="694"/>
      <c r="BR7" s="694"/>
      <c r="BS7" s="694"/>
      <c r="BT7" s="719"/>
      <c r="BU7" s="950"/>
      <c r="BV7" s="951"/>
      <c r="BW7" s="951"/>
      <c r="BX7" s="951"/>
      <c r="BY7" s="951"/>
      <c r="BZ7" s="951"/>
      <c r="CA7" s="951"/>
      <c r="CB7" s="951"/>
      <c r="CC7" s="951"/>
      <c r="CD7" s="951"/>
      <c r="CE7" s="951"/>
      <c r="CF7" s="951"/>
      <c r="CG7" s="951"/>
      <c r="CH7" s="951"/>
      <c r="CI7" s="951"/>
      <c r="CJ7" s="951"/>
      <c r="CK7" s="951"/>
      <c r="CL7" s="951"/>
      <c r="CM7" s="951"/>
      <c r="CN7" s="951"/>
      <c r="CO7" s="951"/>
      <c r="CP7" s="951"/>
      <c r="CQ7" s="951"/>
      <c r="CR7" s="952"/>
      <c r="CS7" s="668"/>
      <c r="CT7" s="669"/>
      <c r="CU7" s="669"/>
      <c r="CV7" s="669"/>
      <c r="CW7" s="669"/>
      <c r="CX7" s="669"/>
      <c r="CY7" s="669"/>
      <c r="CZ7" s="669"/>
      <c r="DA7" s="669"/>
      <c r="DB7" s="669"/>
      <c r="DC7" s="669"/>
      <c r="DD7" s="669"/>
      <c r="DE7" s="669"/>
      <c r="DF7" s="669"/>
      <c r="DG7" s="669"/>
      <c r="DH7" s="863"/>
      <c r="DI7" s="668"/>
      <c r="DJ7" s="669"/>
      <c r="DK7" s="669"/>
      <c r="DL7" s="669"/>
      <c r="DM7" s="669"/>
      <c r="DN7" s="669"/>
      <c r="DO7" s="669"/>
      <c r="DP7" s="669"/>
      <c r="DQ7" s="966" t="str">
        <f>IF(DU7="","",IF(FX6&lt;'Purchased Boons'!$A$496,VLOOKUP(DU7,BoonRef!$A:$Z,2,FALSE),VLOOKUP(DU7,KanckRef!$A$2:$G$172,2,FALSE)))</f>
        <v/>
      </c>
      <c r="DR7" s="963"/>
      <c r="DS7" s="963"/>
      <c r="DT7" s="963"/>
      <c r="DU7" s="963" t="str">
        <f>IF(FX6&lt;'Purchased Boons'!$A$496,VLOOKUP(FX6,'Purchased Boons'!$A$2:$C$495,3,FALSE),IF(FX6&lt;'Purchased Knacks'!$B$192,VLOOKUP(FX6,'Purchased Knacks'!$B$4:$E$191,2,FALSE),""))</f>
        <v/>
      </c>
      <c r="DV7" s="963"/>
      <c r="DW7" s="963"/>
      <c r="DX7" s="963"/>
      <c r="DY7" s="963"/>
      <c r="DZ7" s="963"/>
      <c r="EA7" s="963"/>
      <c r="EB7" s="972" t="str">
        <f>IF(DU7="","",IF(FX6&lt;'Purchased Boons'!$A$496,VLOOKUP(DU7,BoonRef!$A$2:$Z$1230,16,FALSE),VLOOKUP(DU7,KanckRef!$A$2:$G$172,4,FALSE)))</f>
        <v/>
      </c>
      <c r="EC7" s="972"/>
      <c r="ED7" s="972"/>
      <c r="EE7" s="964" t="str">
        <f>IF(DU7="","",IF(FX6&lt;'Purchased Boons'!$A$496,VLOOKUP(DU7,BoonRef!$A$2:$Z$1230,23,FALSE),VLOOKUP(DU7,KanckRef!$A$2:$G$172,5,FALSE)))</f>
        <v/>
      </c>
      <c r="EF7" s="964"/>
      <c r="EG7" s="964"/>
      <c r="EH7" s="964"/>
      <c r="EI7" s="964"/>
      <c r="EJ7" s="964"/>
      <c r="EK7" s="964"/>
      <c r="EL7" s="964"/>
      <c r="EM7" s="964"/>
      <c r="EN7" s="965"/>
      <c r="EO7" s="966" t="str">
        <f>IF(ES7="","",IF(FY6&lt;'Purchased Boons'!$A$496,VLOOKUP(ES7,BoonRef!$A:$Z,2,FALSE),VLOOKUP(ES7,KanckRef!$A$2:$G$172,2,FALSE)))</f>
        <v/>
      </c>
      <c r="EP7" s="963"/>
      <c r="EQ7" s="963"/>
      <c r="ER7" s="963"/>
      <c r="ES7" s="963" t="str">
        <f>IF(FY6&lt;'Purchased Boons'!$A$496,VLOOKUP(FY6,'Purchased Boons'!$A$2:$C$495,3,FALSE),IF(FY6&lt;'Purchased Knacks'!$B$192,VLOOKUP(FY6,'Purchased Knacks'!$B$4:$E$191,2,FALSE),""))</f>
        <v/>
      </c>
      <c r="ET7" s="963"/>
      <c r="EU7" s="963"/>
      <c r="EV7" s="963"/>
      <c r="EW7" s="963"/>
      <c r="EX7" s="963"/>
      <c r="EY7" s="963"/>
      <c r="EZ7" s="972" t="str">
        <f>IF(ES7="","",IF(FY6&lt;'Purchased Boons'!$A$496,VLOOKUP(ES7,BoonRef!$A$2:$Z$1230,16,FALSE),VLOOKUP(ES7,KanckRef!$A$2:$G$172,4,FALSE)))</f>
        <v/>
      </c>
      <c r="FA7" s="972"/>
      <c r="FB7" s="972"/>
      <c r="FC7" s="964" t="str">
        <f>IF(ES7="","",IF(FY6&lt;'Purchased Boons'!$A$496,VLOOKUP(ES7,BoonRef!$A$2:$Z$1230,23,FALSE),VLOOKUP(ES7,KanckRef!$A$2:$G$172,5,FALSE)))</f>
        <v/>
      </c>
      <c r="FD7" s="964"/>
      <c r="FE7" s="964"/>
      <c r="FF7" s="964"/>
      <c r="FG7" s="964"/>
      <c r="FH7" s="964"/>
      <c r="FI7" s="964"/>
      <c r="FJ7" s="964"/>
      <c r="FK7" s="964"/>
      <c r="FL7" s="965"/>
      <c r="FW7" s="283">
        <v>7</v>
      </c>
      <c r="FX7" s="283">
        <v>45</v>
      </c>
      <c r="FY7" s="283">
        <v>90</v>
      </c>
      <c r="GB7" s="723" t="s">
        <v>19</v>
      </c>
      <c r="GC7" s="724"/>
      <c r="GD7" s="724"/>
      <c r="GE7" s="724"/>
      <c r="GF7" s="291">
        <f t="shared" ref="GF7:GG9" si="2">V6</f>
        <v>0</v>
      </c>
      <c r="GG7" s="292">
        <f t="shared" si="2"/>
        <v>0</v>
      </c>
      <c r="GJ7" s="283" t="s">
        <v>40</v>
      </c>
      <c r="GK7" s="290">
        <f>IF($AK$7="Select",0,IF(VLOOKUP($AK$7,AssociatedRef!$AP$2:$BZ$130,8,FALSE)="Yes",1,0))</f>
        <v>0</v>
      </c>
    </row>
    <row r="8" spans="1:193" ht="15.75" thickBot="1" x14ac:dyDescent="0.3">
      <c r="A8" s="874" t="str">
        <f>Creation!BI6</f>
        <v>Stamina</v>
      </c>
      <c r="B8" s="875"/>
      <c r="C8" s="875"/>
      <c r="D8" s="876"/>
      <c r="E8" s="301">
        <f>SUM(DotTracking!E8:O8,DotTracking!AC8:AM8,DotTracking!BA8:BK8,DotTracking!BY8:CI8,DotTracking!CW8:DG8)</f>
        <v>1</v>
      </c>
      <c r="F8" s="301">
        <f>SUM(DotTracking!E18:O18,DotTracking!AC18:AM18,DotTracking!BA18:BK18,DotTracking!BY18:CI18,DotTracking!CW18:DG18)</f>
        <v>0</v>
      </c>
      <c r="G8" s="804">
        <f>LOOKUP(F8,Reference!$D$2:$D$12,Reference!$E$2:$E$12)</f>
        <v>0</v>
      </c>
      <c r="H8" s="817"/>
      <c r="I8" s="874" t="str">
        <f>Creation!BI9</f>
        <v>Appearance</v>
      </c>
      <c r="J8" s="875"/>
      <c r="K8" s="875"/>
      <c r="L8" s="876"/>
      <c r="M8" s="301">
        <f>SUM(DotTracking!E11:O11,DotTracking!AC11:AM11,DotTracking!BA11:BK11,DotTracking!BY11:CI11,DotTracking!CW11:DG11)</f>
        <v>1</v>
      </c>
      <c r="N8" s="301">
        <f>SUM(DotTracking!E21:O21,DotTracking!AC21:AM21,DotTracking!BA21:BK21,DotTracking!BY21:CI21,DotTracking!CW21:DG21)</f>
        <v>0</v>
      </c>
      <c r="O8" s="804">
        <f>LOOKUP(N8,Reference!$D$2:$D$12,Reference!$E$2:$E$12)</f>
        <v>0</v>
      </c>
      <c r="P8" s="817"/>
      <c r="Q8" s="874" t="str">
        <f>Creation!BI12</f>
        <v>Wits</v>
      </c>
      <c r="R8" s="875"/>
      <c r="S8" s="875"/>
      <c r="T8" s="876"/>
      <c r="U8" s="301">
        <f>SUM(DotTracking!E14:O14,DotTracking!AC14:AM14,DotTracking!BA14:BK14,DotTracking!BY14:CI14,DotTracking!CW14:DG14)</f>
        <v>1</v>
      </c>
      <c r="V8" s="301">
        <f>SUM(DotTracking!E24:O24,DotTracking!AC24:AM24,DotTracking!BA24:BK24,DotTracking!BZ24:CI24,DotTracking!BY24,DotTracking!CW24:DG24)</f>
        <v>0</v>
      </c>
      <c r="W8" s="804">
        <f>LOOKUP(V8,Reference!$D$2:$D$12,Reference!$E$2:$E$12)</f>
        <v>0</v>
      </c>
      <c r="X8" s="817"/>
      <c r="Y8" s="868" t="s">
        <v>3586</v>
      </c>
      <c r="Z8" s="869"/>
      <c r="AA8" s="869"/>
      <c r="AB8" s="869"/>
      <c r="AC8" s="869" t="s">
        <v>3587</v>
      </c>
      <c r="AD8" s="869"/>
      <c r="AE8" s="869"/>
      <c r="AF8" s="869"/>
      <c r="AG8" s="869"/>
      <c r="AH8" s="869"/>
      <c r="AI8" s="869"/>
      <c r="AJ8" s="869" t="s">
        <v>2250</v>
      </c>
      <c r="AK8" s="869"/>
      <c r="AL8" s="869"/>
      <c r="AM8" s="869" t="s">
        <v>33</v>
      </c>
      <c r="AN8" s="869"/>
      <c r="AO8" s="869"/>
      <c r="AP8" s="869"/>
      <c r="AQ8" s="869"/>
      <c r="AR8" s="869"/>
      <c r="AS8" s="869"/>
      <c r="AT8" s="869"/>
      <c r="AU8" s="869"/>
      <c r="AV8" s="870"/>
      <c r="AW8" s="842"/>
      <c r="AX8" s="818"/>
      <c r="AY8" s="818"/>
      <c r="AZ8" s="818"/>
      <c r="BA8" s="818"/>
      <c r="BB8" s="671" t="str">
        <f>IF(AW8="","",VLOOKUP(AW8,ArmoryRef!$A$2:$L$130,2,FALSE))</f>
        <v/>
      </c>
      <c r="BC8" s="671"/>
      <c r="BD8" s="287" t="str">
        <f>IF(AW8="","",VLOOKUP(AW8,ArmoryRef!$A$2:$L$130,10,FALSE)+BO8)</f>
        <v/>
      </c>
      <c r="BE8" s="710" t="str">
        <f>IF(AW8="","",CONCATENATE(VLOOKUP(AW8,ArmoryRef!$A$2:$L$130,4,FALSE)+BQ8," + ",$G$7))</f>
        <v/>
      </c>
      <c r="BF8" s="673"/>
      <c r="BG8" s="716"/>
      <c r="BH8" s="710" t="str">
        <f>IF(AW8="","",CONCATENATE(VLOOKUP(AW8,ArmoryRef!$A$2:$L$130,6,FALSE)+BS8," + ",$G$6))</f>
        <v/>
      </c>
      <c r="BI8" s="673"/>
      <c r="BJ8" s="716"/>
      <c r="BK8" s="299" t="str">
        <f>IF(AW8="","",IF(VLOOKUP(AW8,ArmoryRef!$A$2:$L$130,9,FALSE)="--","--",VLOOKUP(AW8,ArmoryRef!$A$2:$L$130,9,FALSE)+BP8))</f>
        <v/>
      </c>
      <c r="BL8" s="671" t="str">
        <f>IF(AW8="","",VLOOKUP(AW8,ArmoryRef!$A$2:$L$130,11,FALSE))</f>
        <v/>
      </c>
      <c r="BM8" s="671"/>
      <c r="BN8" s="285" t="str">
        <f>IF(AW8="","",VLOOKUP(AW8,ArmoryRef!$A$2:$L$130,12,FALSE))</f>
        <v/>
      </c>
      <c r="BO8" s="300"/>
      <c r="BP8" s="121"/>
      <c r="BQ8" s="694"/>
      <c r="BR8" s="694"/>
      <c r="BS8" s="694"/>
      <c r="BT8" s="719"/>
      <c r="BU8" s="848"/>
      <c r="BV8" s="848"/>
      <c r="BW8" s="848"/>
      <c r="BX8" s="848"/>
      <c r="BY8" s="848"/>
      <c r="BZ8" s="848"/>
      <c r="CA8" s="848"/>
      <c r="CB8" s="848"/>
      <c r="CC8" s="848"/>
      <c r="CD8" s="848"/>
      <c r="CE8" s="848"/>
      <c r="CF8" s="848"/>
      <c r="CG8" s="848"/>
      <c r="CH8" s="848"/>
      <c r="CI8" s="848"/>
      <c r="CJ8" s="848"/>
      <c r="CK8" s="848"/>
      <c r="CL8" s="848"/>
      <c r="CM8" s="848"/>
      <c r="CN8" s="848"/>
      <c r="CO8" s="848"/>
      <c r="CP8" s="848"/>
      <c r="CQ8" s="848"/>
      <c r="CR8" s="849"/>
      <c r="CS8" s="668"/>
      <c r="CT8" s="669"/>
      <c r="CU8" s="669"/>
      <c r="CV8" s="669"/>
      <c r="CW8" s="669"/>
      <c r="CX8" s="669"/>
      <c r="CY8" s="669"/>
      <c r="CZ8" s="669"/>
      <c r="DA8" s="669"/>
      <c r="DB8" s="669"/>
      <c r="DC8" s="669"/>
      <c r="DD8" s="669"/>
      <c r="DE8" s="669"/>
      <c r="DF8" s="669"/>
      <c r="DG8" s="669"/>
      <c r="DH8" s="863"/>
      <c r="DI8" s="668"/>
      <c r="DJ8" s="669"/>
      <c r="DK8" s="669"/>
      <c r="DL8" s="669"/>
      <c r="DM8" s="669"/>
      <c r="DN8" s="669"/>
      <c r="DO8" s="669"/>
      <c r="DP8" s="669"/>
      <c r="DQ8" s="966" t="str">
        <f>IF(DU8="","",IF(FX7&lt;'Purchased Boons'!$A$496,VLOOKUP(DU8,BoonRef!$A:$Z,2,FALSE),VLOOKUP(DU8,KanckRef!$A$2:$G$172,2,FALSE)))</f>
        <v/>
      </c>
      <c r="DR8" s="963"/>
      <c r="DS8" s="963"/>
      <c r="DT8" s="963"/>
      <c r="DU8" s="963" t="str">
        <f>IF(FX7&lt;'Purchased Boons'!$A$496,VLOOKUP(FX7,'Purchased Boons'!$A$2:$C$495,3,FALSE),IF(FX7&lt;'Purchased Knacks'!$B$192,VLOOKUP(FX7,'Purchased Knacks'!$B$4:$E$191,2,FALSE),""))</f>
        <v/>
      </c>
      <c r="DV8" s="963"/>
      <c r="DW8" s="963"/>
      <c r="DX8" s="963"/>
      <c r="DY8" s="963"/>
      <c r="DZ8" s="963"/>
      <c r="EA8" s="963"/>
      <c r="EB8" s="972" t="str">
        <f>IF(DU8="","",IF(FX7&lt;'Purchased Boons'!$A$496,VLOOKUP(DU8,BoonRef!$A$2:$Z$1230,16,FALSE),VLOOKUP(DU8,KanckRef!$A$2:$G$172,4,FALSE)))</f>
        <v/>
      </c>
      <c r="EC8" s="972"/>
      <c r="ED8" s="972"/>
      <c r="EE8" s="964" t="str">
        <f>IF(DU8="","",IF(FX7&lt;'Purchased Boons'!$A$496,VLOOKUP(DU8,BoonRef!$A$2:$Z$1230,23,FALSE),VLOOKUP(DU8,KanckRef!$A$2:$G$172,5,FALSE)))</f>
        <v/>
      </c>
      <c r="EF8" s="964"/>
      <c r="EG8" s="964"/>
      <c r="EH8" s="964"/>
      <c r="EI8" s="964"/>
      <c r="EJ8" s="964"/>
      <c r="EK8" s="964"/>
      <c r="EL8" s="964"/>
      <c r="EM8" s="964"/>
      <c r="EN8" s="965"/>
      <c r="EO8" s="966" t="str">
        <f>IF(ES8="","",IF(FY7&lt;'Purchased Boons'!$A$496,VLOOKUP(ES8,BoonRef!$A:$Z,2,FALSE),VLOOKUP(ES8,KanckRef!$A$2:$G$172,2,FALSE)))</f>
        <v/>
      </c>
      <c r="EP8" s="963"/>
      <c r="EQ8" s="963"/>
      <c r="ER8" s="963"/>
      <c r="ES8" s="963" t="str">
        <f>IF(FY7&lt;'Purchased Boons'!$A$496,VLOOKUP(FY7,'Purchased Boons'!$A$2:$C$495,3,FALSE),IF(FY7&lt;'Purchased Knacks'!$B$192,VLOOKUP(FY7,'Purchased Knacks'!$B$4:$E$191,2,FALSE),""))</f>
        <v/>
      </c>
      <c r="ET8" s="963"/>
      <c r="EU8" s="963"/>
      <c r="EV8" s="963"/>
      <c r="EW8" s="963"/>
      <c r="EX8" s="963"/>
      <c r="EY8" s="963"/>
      <c r="EZ8" s="972" t="str">
        <f>IF(ES8="","",IF(FY7&lt;'Purchased Boons'!$A$496,VLOOKUP(ES8,BoonRef!$A$2:$Z$1230,16,FALSE),VLOOKUP(ES8,KanckRef!$A$2:$G$172,4,FALSE)))</f>
        <v/>
      </c>
      <c r="FA8" s="972"/>
      <c r="FB8" s="972"/>
      <c r="FC8" s="964" t="str">
        <f>IF(ES8="","",IF(FY7&lt;'Purchased Boons'!$A$496,VLOOKUP(ES8,BoonRef!$A$2:$Z$1230,23,FALSE),VLOOKUP(ES8,KanckRef!$A$2:$G$172,5,FALSE)))</f>
        <v/>
      </c>
      <c r="FD8" s="964"/>
      <c r="FE8" s="964"/>
      <c r="FF8" s="964"/>
      <c r="FG8" s="964"/>
      <c r="FH8" s="964"/>
      <c r="FI8" s="964"/>
      <c r="FJ8" s="964"/>
      <c r="FK8" s="964"/>
      <c r="FL8" s="965"/>
      <c r="FW8" s="283">
        <v>8</v>
      </c>
      <c r="FX8" s="283">
        <v>46</v>
      </c>
      <c r="FY8" s="283">
        <v>91</v>
      </c>
      <c r="GB8" s="723" t="s">
        <v>20</v>
      </c>
      <c r="GC8" s="724"/>
      <c r="GD8" s="724"/>
      <c r="GE8" s="724"/>
      <c r="GF8" s="291">
        <f t="shared" si="2"/>
        <v>0</v>
      </c>
      <c r="GG8" s="292">
        <f t="shared" si="2"/>
        <v>0</v>
      </c>
      <c r="GJ8" s="283" t="s">
        <v>56</v>
      </c>
      <c r="GK8" s="290">
        <f>IF($AK$7="Select",0,IF(VLOOKUP($AK$7,AssociatedRef!$AP$2:$BZ$130,9,FALSE)="Yes",1,0))</f>
        <v>0</v>
      </c>
    </row>
    <row r="9" spans="1:193" ht="15.75" thickBot="1" x14ac:dyDescent="0.3">
      <c r="A9" s="829" t="s">
        <v>69</v>
      </c>
      <c r="B9" s="820"/>
      <c r="C9" s="820"/>
      <c r="D9" s="820"/>
      <c r="E9" s="820"/>
      <c r="F9" s="820"/>
      <c r="G9" s="820"/>
      <c r="H9" s="820"/>
      <c r="I9" s="820"/>
      <c r="J9" s="820"/>
      <c r="K9" s="820"/>
      <c r="L9" s="820"/>
      <c r="M9" s="820"/>
      <c r="N9" s="820"/>
      <c r="O9" s="820"/>
      <c r="P9" s="820"/>
      <c r="Q9" s="820"/>
      <c r="R9" s="820"/>
      <c r="S9" s="820"/>
      <c r="T9" s="820"/>
      <c r="U9" s="820"/>
      <c r="V9" s="820"/>
      <c r="W9" s="820"/>
      <c r="X9" s="872"/>
      <c r="Y9" s="742" t="str">
        <f>IF(AC9="","",IF(FW1&lt;'Purchased Boons'!$A$496,VLOOKUP(AC9,BoonRef!$A:$Z,2,FALSE),VLOOKUP(AC9,KanckRef!$A$2:$G$172,2,FALSE)))</f>
        <v/>
      </c>
      <c r="Z9" s="743"/>
      <c r="AA9" s="743"/>
      <c r="AB9" s="743"/>
      <c r="AC9" s="743" t="str">
        <f>IF(FW1&lt;'Purchased Boons'!$A$496,VLOOKUP(FW1,'Purchased Boons'!$A$2:$C$495,3,FALSE),IF(FW1&lt;'Purchased Knacks'!$B$192,VLOOKUP(FW1,'Purchased Knacks'!$B$4:$E$191,2,FALSE),""))</f>
        <v/>
      </c>
      <c r="AD9" s="743"/>
      <c r="AE9" s="743"/>
      <c r="AF9" s="743"/>
      <c r="AG9" s="743"/>
      <c r="AH9" s="743"/>
      <c r="AI9" s="743"/>
      <c r="AJ9" s="743" t="str">
        <f>IF(AC9="","",IF(FW1&lt;'Purchased Boons'!$A$496,VLOOKUP(AC9,BoonRef!$A$2:$Z$1230,16,FALSE),VLOOKUP(AC9,KanckRef!$A$2:$G$172,4,FALSE)))</f>
        <v/>
      </c>
      <c r="AK9" s="743"/>
      <c r="AL9" s="743"/>
      <c r="AM9" s="765" t="str">
        <f>IF(AC9="","",IF(FW1&lt;'Purchased Boons'!$A$496,VLOOKUP(AC9,BoonRef!$A$2:$Z$1230,23,FALSE),VLOOKUP(AC9,KanckRef!$A$2:$G$172,5,FALSE)))</f>
        <v/>
      </c>
      <c r="AN9" s="765"/>
      <c r="AO9" s="765"/>
      <c r="AP9" s="765"/>
      <c r="AQ9" s="765"/>
      <c r="AR9" s="765"/>
      <c r="AS9" s="765"/>
      <c r="AT9" s="765"/>
      <c r="AU9" s="765"/>
      <c r="AV9" s="766"/>
      <c r="AW9" s="843"/>
      <c r="AX9" s="818"/>
      <c r="AY9" s="818"/>
      <c r="AZ9" s="818"/>
      <c r="BA9" s="818"/>
      <c r="BB9" s="671" t="str">
        <f>IF(AW9="","",VLOOKUP(AW9,ArmoryRef!$A$2:$L$130,2,FALSE))</f>
        <v/>
      </c>
      <c r="BC9" s="671"/>
      <c r="BD9" s="287" t="str">
        <f>IF(AW9="","",VLOOKUP(AW9,ArmoryRef!$A$2:$L$130,10,FALSE)+BO9)</f>
        <v/>
      </c>
      <c r="BE9" s="710" t="str">
        <f>IF(AW9="","",CONCATENATE(VLOOKUP(AW9,ArmoryRef!$A$2:$L$130,4,FALSE)+BQ9," + ",$G$7))</f>
        <v/>
      </c>
      <c r="BF9" s="673"/>
      <c r="BG9" s="716"/>
      <c r="BH9" s="710" t="str">
        <f>IF(AW9="","",CONCATENATE(VLOOKUP(AW9,ArmoryRef!$A$2:$L$130,6,FALSE)+BS9," + ",$G$6))</f>
        <v/>
      </c>
      <c r="BI9" s="673"/>
      <c r="BJ9" s="716"/>
      <c r="BK9" s="299" t="str">
        <f>IF(AW9="","",IF(VLOOKUP(AW9,ArmoryRef!$A$2:$L$130,9,FALSE)="--","--",VLOOKUP(AW9,ArmoryRef!$A$2:$L$130,9,FALSE)+BP9))</f>
        <v/>
      </c>
      <c r="BL9" s="671" t="str">
        <f>IF(AW9="","",VLOOKUP(AW9,ArmoryRef!$A$2:$L$130,11,FALSE))</f>
        <v/>
      </c>
      <c r="BM9" s="671"/>
      <c r="BN9" s="285" t="str">
        <f>IF(AW9="","",VLOOKUP(AW9,ArmoryRef!$A$2:$L$130,12,FALSE))</f>
        <v/>
      </c>
      <c r="BO9" s="300"/>
      <c r="BP9" s="121"/>
      <c r="BQ9" s="694"/>
      <c r="BR9" s="694"/>
      <c r="BS9" s="694"/>
      <c r="BT9" s="719"/>
      <c r="BU9" s="850"/>
      <c r="BV9" s="850"/>
      <c r="BW9" s="850"/>
      <c r="BX9" s="850"/>
      <c r="BY9" s="850"/>
      <c r="BZ9" s="850"/>
      <c r="CA9" s="850"/>
      <c r="CB9" s="850"/>
      <c r="CC9" s="850"/>
      <c r="CD9" s="850"/>
      <c r="CE9" s="850"/>
      <c r="CF9" s="850"/>
      <c r="CG9" s="850"/>
      <c r="CH9" s="850"/>
      <c r="CI9" s="850"/>
      <c r="CJ9" s="850"/>
      <c r="CK9" s="850"/>
      <c r="CL9" s="850"/>
      <c r="CM9" s="850"/>
      <c r="CN9" s="850"/>
      <c r="CO9" s="850"/>
      <c r="CP9" s="850"/>
      <c r="CQ9" s="850"/>
      <c r="CR9" s="851"/>
      <c r="CS9" s="668"/>
      <c r="CT9" s="669"/>
      <c r="CU9" s="669"/>
      <c r="CV9" s="669"/>
      <c r="CW9" s="669"/>
      <c r="CX9" s="669"/>
      <c r="CY9" s="669"/>
      <c r="CZ9" s="669"/>
      <c r="DA9" s="669"/>
      <c r="DB9" s="669"/>
      <c r="DC9" s="669"/>
      <c r="DD9" s="669"/>
      <c r="DE9" s="669"/>
      <c r="DF9" s="669"/>
      <c r="DG9" s="669"/>
      <c r="DH9" s="863"/>
      <c r="DI9" s="668"/>
      <c r="DJ9" s="669"/>
      <c r="DK9" s="669"/>
      <c r="DL9" s="669"/>
      <c r="DM9" s="669"/>
      <c r="DN9" s="669"/>
      <c r="DO9" s="669"/>
      <c r="DP9" s="669"/>
      <c r="DQ9" s="966" t="str">
        <f>IF(DU9="","",IF(FX8&lt;'Purchased Boons'!$A$496,VLOOKUP(DU9,BoonRef!$A:$Z,2,FALSE),VLOOKUP(DU9,KanckRef!$A$2:$G$172,2,FALSE)))</f>
        <v/>
      </c>
      <c r="DR9" s="963"/>
      <c r="DS9" s="963"/>
      <c r="DT9" s="963"/>
      <c r="DU9" s="963" t="str">
        <f>IF(FX8&lt;'Purchased Boons'!$A$496,VLOOKUP(FX8,'Purchased Boons'!$A$2:$C$495,3,FALSE),IF(FX8&lt;'Purchased Knacks'!$B$192,VLOOKUP(FX8,'Purchased Knacks'!$B$4:$E$191,2,FALSE),""))</f>
        <v/>
      </c>
      <c r="DV9" s="963"/>
      <c r="DW9" s="963"/>
      <c r="DX9" s="963"/>
      <c r="DY9" s="963"/>
      <c r="DZ9" s="963"/>
      <c r="EA9" s="963"/>
      <c r="EB9" s="972" t="str">
        <f>IF(DU9="","",IF(FX8&lt;'Purchased Boons'!$A$496,VLOOKUP(DU9,BoonRef!$A$2:$Z$1230,16,FALSE),VLOOKUP(DU9,KanckRef!$A$2:$G$172,4,FALSE)))</f>
        <v/>
      </c>
      <c r="EC9" s="972"/>
      <c r="ED9" s="972"/>
      <c r="EE9" s="964" t="str">
        <f>IF(DU9="","",IF(FX8&lt;'Purchased Boons'!$A$496,VLOOKUP(DU9,BoonRef!$A$2:$Z$1230,23,FALSE),VLOOKUP(DU9,KanckRef!$A$2:$G$172,5,FALSE)))</f>
        <v/>
      </c>
      <c r="EF9" s="964"/>
      <c r="EG9" s="964"/>
      <c r="EH9" s="964"/>
      <c r="EI9" s="964"/>
      <c r="EJ9" s="964"/>
      <c r="EK9" s="964"/>
      <c r="EL9" s="964"/>
      <c r="EM9" s="964"/>
      <c r="EN9" s="965"/>
      <c r="EO9" s="966" t="str">
        <f>IF(ES9="","",IF(FY8&lt;'Purchased Boons'!$A$496,VLOOKUP(ES9,BoonRef!$A:$Z,2,FALSE),VLOOKUP(ES9,KanckRef!$A$2:$G$172,2,FALSE)))</f>
        <v/>
      </c>
      <c r="EP9" s="963"/>
      <c r="EQ9" s="963"/>
      <c r="ER9" s="963"/>
      <c r="ES9" s="963" t="str">
        <f>IF(FY8&lt;'Purchased Boons'!$A$496,VLOOKUP(FY8,'Purchased Boons'!$A$2:$C$495,3,FALSE),IF(FY8&lt;'Purchased Knacks'!$B$192,VLOOKUP(FY8,'Purchased Knacks'!$B$4:$E$191,2,FALSE),""))</f>
        <v/>
      </c>
      <c r="ET9" s="963"/>
      <c r="EU9" s="963"/>
      <c r="EV9" s="963"/>
      <c r="EW9" s="963"/>
      <c r="EX9" s="963"/>
      <c r="EY9" s="963"/>
      <c r="EZ9" s="972" t="str">
        <f>IF(ES9="","",IF(FY8&lt;'Purchased Boons'!$A$496,VLOOKUP(ES9,BoonRef!$A$2:$Z$1230,16,FALSE),VLOOKUP(ES9,KanckRef!$A$2:$G$172,4,FALSE)))</f>
        <v/>
      </c>
      <c r="FA9" s="972"/>
      <c r="FB9" s="972"/>
      <c r="FC9" s="964" t="str">
        <f>IF(ES9="","",IF(FY8&lt;'Purchased Boons'!$A$496,VLOOKUP(ES9,BoonRef!$A$2:$Z$1230,23,FALSE),VLOOKUP(ES9,KanckRef!$A$2:$G$172,5,FALSE)))</f>
        <v/>
      </c>
      <c r="FD9" s="964"/>
      <c r="FE9" s="964"/>
      <c r="FF9" s="964"/>
      <c r="FG9" s="964"/>
      <c r="FH9" s="964"/>
      <c r="FI9" s="964"/>
      <c r="FJ9" s="964"/>
      <c r="FK9" s="964"/>
      <c r="FL9" s="965"/>
      <c r="FW9" s="283">
        <v>9</v>
      </c>
      <c r="FX9" s="283">
        <v>47</v>
      </c>
      <c r="FY9" s="283">
        <v>92</v>
      </c>
      <c r="GB9" s="802" t="s">
        <v>21</v>
      </c>
      <c r="GC9" s="803"/>
      <c r="GD9" s="803"/>
      <c r="GE9" s="803"/>
      <c r="GF9" s="301">
        <f t="shared" si="2"/>
        <v>0</v>
      </c>
      <c r="GG9" s="302">
        <f t="shared" si="2"/>
        <v>0</v>
      </c>
      <c r="GJ9" s="283" t="s">
        <v>57</v>
      </c>
      <c r="GK9" s="290">
        <f>IF($AK$7="Select",0,IF(VLOOKUP($AK$7,AssociatedRef!$AP$2:$BZ$130,10,FALSE)="Yes",1,0))</f>
        <v>0</v>
      </c>
    </row>
    <row r="10" spans="1:193" ht="15.75" thickBot="1" x14ac:dyDescent="0.3">
      <c r="A10" s="830"/>
      <c r="B10" s="831"/>
      <c r="C10" s="831"/>
      <c r="D10" s="831"/>
      <c r="E10" s="831"/>
      <c r="F10" s="831"/>
      <c r="G10" s="823"/>
      <c r="H10" s="823"/>
      <c r="I10" s="823"/>
      <c r="J10" s="823"/>
      <c r="K10" s="823"/>
      <c r="L10" s="823"/>
      <c r="M10" s="831"/>
      <c r="N10" s="831"/>
      <c r="O10" s="831"/>
      <c r="P10" s="831"/>
      <c r="Q10" s="831"/>
      <c r="R10" s="831"/>
      <c r="S10" s="831"/>
      <c r="T10" s="831"/>
      <c r="U10" s="831"/>
      <c r="V10" s="831"/>
      <c r="W10" s="831"/>
      <c r="X10" s="873"/>
      <c r="Y10" s="740" t="str">
        <f>IF(AC10="","",IF(FW2&lt;'Purchased Boons'!$A$496,VLOOKUP(AC10,BoonRef!$A:$Z,2,FALSE),VLOOKUP(AC10,KanckRef!$A$2:$G$172,2,FALSE)))</f>
        <v/>
      </c>
      <c r="Z10" s="671"/>
      <c r="AA10" s="671"/>
      <c r="AB10" s="671"/>
      <c r="AC10" s="671" t="str">
        <f>IF(FW2&lt;'Purchased Boons'!$A$496,VLOOKUP(FW2,'Purchased Boons'!$A$2:$C$495,3,FALSE),IF(FW2&lt;'Purchased Knacks'!$B$192,VLOOKUP(FW2,'Purchased Knacks'!$B$4:$E$191,2,FALSE),""))</f>
        <v/>
      </c>
      <c r="AD10" s="671"/>
      <c r="AE10" s="671"/>
      <c r="AF10" s="671"/>
      <c r="AG10" s="671"/>
      <c r="AH10" s="671"/>
      <c r="AI10" s="671"/>
      <c r="AJ10" s="671" t="str">
        <f>IF(AC10="","",IF(FW2&lt;'Purchased Boons'!$A$496,VLOOKUP(AC10,BoonRef!$A$2:$Z$1230,16,FALSE),VLOOKUP(AC10,KanckRef!$A$2:$G$172,4,FALSE)))</f>
        <v/>
      </c>
      <c r="AK10" s="671"/>
      <c r="AL10" s="671"/>
      <c r="AM10" s="767" t="str">
        <f>IF(AC10="","",IF(FW2&lt;'Purchased Boons'!$A$496,VLOOKUP(AC10,BoonRef!$A$2:$Z$1230,23,FALSE),VLOOKUP(AC10,KanckRef!$A$2:$G$172,5,FALSE)))</f>
        <v/>
      </c>
      <c r="AN10" s="767"/>
      <c r="AO10" s="767"/>
      <c r="AP10" s="767"/>
      <c r="AQ10" s="767"/>
      <c r="AR10" s="767"/>
      <c r="AS10" s="767"/>
      <c r="AT10" s="767"/>
      <c r="AU10" s="767"/>
      <c r="AV10" s="768"/>
      <c r="AW10" s="843"/>
      <c r="AX10" s="818"/>
      <c r="AY10" s="818"/>
      <c r="AZ10" s="818"/>
      <c r="BA10" s="818"/>
      <c r="BB10" s="671" t="str">
        <f>IF(AW10="","",VLOOKUP(AW10,ArmoryRef!$A$2:$L$130,2,FALSE))</f>
        <v/>
      </c>
      <c r="BC10" s="671"/>
      <c r="BD10" s="287" t="str">
        <f>IF(AW10="","",VLOOKUP(AW10,ArmoryRef!$A$2:$L$130,10,FALSE)+BO10)</f>
        <v/>
      </c>
      <c r="BE10" s="710" t="str">
        <f>IF(AW10="","",CONCATENATE(VLOOKUP(AW10,ArmoryRef!$A$2:$L$130,4,FALSE)+BQ10," + ",$G$7))</f>
        <v/>
      </c>
      <c r="BF10" s="673"/>
      <c r="BG10" s="716"/>
      <c r="BH10" s="710" t="str">
        <f>IF(AW10="","",CONCATENATE(VLOOKUP(AW10,ArmoryRef!$A$2:$L$130,6,FALSE)+BS10," + ",$G$6))</f>
        <v/>
      </c>
      <c r="BI10" s="673"/>
      <c r="BJ10" s="716"/>
      <c r="BK10" s="299" t="str">
        <f>IF(AW10="","",IF(VLOOKUP(AW10,ArmoryRef!$A$2:$L$130,9,FALSE)="--","--",VLOOKUP(AW10,ArmoryRef!$A$2:$L$130,9,FALSE)+BP10))</f>
        <v/>
      </c>
      <c r="BL10" s="671" t="str">
        <f>IF(AW10="","",VLOOKUP(AW10,ArmoryRef!$A$2:$L$130,11,FALSE))</f>
        <v/>
      </c>
      <c r="BM10" s="671"/>
      <c r="BN10" s="285" t="str">
        <f>IF(AW10="","",VLOOKUP(AW10,ArmoryRef!$A$2:$L$130,12,FALSE))</f>
        <v/>
      </c>
      <c r="BO10" s="300"/>
      <c r="BP10" s="121"/>
      <c r="BQ10" s="694"/>
      <c r="BR10" s="694"/>
      <c r="BS10" s="694"/>
      <c r="BT10" s="719"/>
      <c r="BU10" s="850"/>
      <c r="BV10" s="850"/>
      <c r="BW10" s="850"/>
      <c r="BX10" s="850"/>
      <c r="BY10" s="850"/>
      <c r="BZ10" s="850"/>
      <c r="CA10" s="850"/>
      <c r="CB10" s="850"/>
      <c r="CC10" s="850"/>
      <c r="CD10" s="850"/>
      <c r="CE10" s="850"/>
      <c r="CF10" s="850"/>
      <c r="CG10" s="850"/>
      <c r="CH10" s="850"/>
      <c r="CI10" s="850"/>
      <c r="CJ10" s="850"/>
      <c r="CK10" s="850"/>
      <c r="CL10" s="850"/>
      <c r="CM10" s="850"/>
      <c r="CN10" s="850"/>
      <c r="CO10" s="850"/>
      <c r="CP10" s="850"/>
      <c r="CQ10" s="850"/>
      <c r="CR10" s="851"/>
      <c r="CS10" s="668"/>
      <c r="CT10" s="669"/>
      <c r="CU10" s="669"/>
      <c r="CV10" s="669"/>
      <c r="CW10" s="669"/>
      <c r="CX10" s="669"/>
      <c r="CY10" s="669"/>
      <c r="CZ10" s="669"/>
      <c r="DA10" s="669"/>
      <c r="DB10" s="669"/>
      <c r="DC10" s="669"/>
      <c r="DD10" s="669"/>
      <c r="DE10" s="669"/>
      <c r="DF10" s="669"/>
      <c r="DG10" s="669"/>
      <c r="DH10" s="863"/>
      <c r="DI10" s="668"/>
      <c r="DJ10" s="669"/>
      <c r="DK10" s="669"/>
      <c r="DL10" s="669"/>
      <c r="DM10" s="669"/>
      <c r="DN10" s="669"/>
      <c r="DO10" s="669"/>
      <c r="DP10" s="669"/>
      <c r="DQ10" s="966" t="str">
        <f>IF(DU10="","",IF(FX9&lt;'Purchased Boons'!$A$496,VLOOKUP(DU10,BoonRef!$A:$Z,2,FALSE),VLOOKUP(DU10,KanckRef!$A$2:$G$172,2,FALSE)))</f>
        <v/>
      </c>
      <c r="DR10" s="963"/>
      <c r="DS10" s="963"/>
      <c r="DT10" s="963"/>
      <c r="DU10" s="963" t="str">
        <f>IF(FX9&lt;'Purchased Boons'!$A$496,VLOOKUP(FX9,'Purchased Boons'!$A$2:$C$495,3,FALSE),IF(FX9&lt;'Purchased Knacks'!$B$192,VLOOKUP(FX9,'Purchased Knacks'!$B$4:$E$191,2,FALSE),""))</f>
        <v/>
      </c>
      <c r="DV10" s="963"/>
      <c r="DW10" s="963"/>
      <c r="DX10" s="963"/>
      <c r="DY10" s="963"/>
      <c r="DZ10" s="963"/>
      <c r="EA10" s="963"/>
      <c r="EB10" s="972" t="str">
        <f>IF(DU10="","",IF(FX9&lt;'Purchased Boons'!$A$496,VLOOKUP(DU10,BoonRef!$A$2:$Z$1230,16,FALSE),VLOOKUP(DU10,KanckRef!$A$2:$G$172,4,FALSE)))</f>
        <v/>
      </c>
      <c r="EC10" s="972"/>
      <c r="ED10" s="972"/>
      <c r="EE10" s="964" t="str">
        <f>IF(DU10="","",IF(FX9&lt;'Purchased Boons'!$A$496,VLOOKUP(DU10,BoonRef!$A$2:$Z$1230,23,FALSE),VLOOKUP(DU10,KanckRef!$A$2:$G$172,5,FALSE)))</f>
        <v/>
      </c>
      <c r="EF10" s="964"/>
      <c r="EG10" s="964"/>
      <c r="EH10" s="964"/>
      <c r="EI10" s="964"/>
      <c r="EJ10" s="964"/>
      <c r="EK10" s="964"/>
      <c r="EL10" s="964"/>
      <c r="EM10" s="964"/>
      <c r="EN10" s="965"/>
      <c r="EO10" s="966" t="str">
        <f>IF(ES10="","",IF(FY9&lt;'Purchased Boons'!$A$496,VLOOKUP(ES10,BoonRef!$A:$Z,2,FALSE),VLOOKUP(ES10,KanckRef!$A$2:$G$172,2,FALSE)))</f>
        <v/>
      </c>
      <c r="EP10" s="963"/>
      <c r="EQ10" s="963"/>
      <c r="ER10" s="963"/>
      <c r="ES10" s="963" t="str">
        <f>IF(FY9&lt;'Purchased Boons'!$A$496,VLOOKUP(FY9,'Purchased Boons'!$A$2:$C$495,3,FALSE),IF(FY9&lt;'Purchased Knacks'!$B$192,VLOOKUP(FY9,'Purchased Knacks'!$B$4:$E$191,2,FALSE),""))</f>
        <v/>
      </c>
      <c r="ET10" s="963"/>
      <c r="EU10" s="963"/>
      <c r="EV10" s="963"/>
      <c r="EW10" s="963"/>
      <c r="EX10" s="963"/>
      <c r="EY10" s="963"/>
      <c r="EZ10" s="972" t="str">
        <f>IF(ES10="","",IF(FY9&lt;'Purchased Boons'!$A$496,VLOOKUP(ES10,BoonRef!$A$2:$Z$1230,16,FALSE),VLOOKUP(ES10,KanckRef!$A$2:$G$172,4,FALSE)))</f>
        <v/>
      </c>
      <c r="FA10" s="972"/>
      <c r="FB10" s="972"/>
      <c r="FC10" s="964" t="str">
        <f>IF(ES10="","",IF(FY9&lt;'Purchased Boons'!$A$496,VLOOKUP(ES10,BoonRef!$A$2:$Z$1230,23,FALSE),VLOOKUP(ES10,KanckRef!$A$2:$G$172,5,FALSE)))</f>
        <v/>
      </c>
      <c r="FD10" s="964"/>
      <c r="FE10" s="964"/>
      <c r="FF10" s="964"/>
      <c r="FG10" s="964"/>
      <c r="FH10" s="964"/>
      <c r="FI10" s="964"/>
      <c r="FJ10" s="964"/>
      <c r="FK10" s="964"/>
      <c r="FL10" s="965"/>
      <c r="FW10" s="283">
        <v>10</v>
      </c>
      <c r="FX10" s="283">
        <v>48</v>
      </c>
      <c r="FY10" s="283">
        <v>93</v>
      </c>
      <c r="GJ10" s="283" t="s">
        <v>41</v>
      </c>
      <c r="GK10" s="290">
        <f>IF($AK$7="Select",0,IF(VLOOKUP($AK$7,AssociatedRef!$AP$2:$BZ$130,11,FALSE)="Yes",1,0))</f>
        <v>0</v>
      </c>
    </row>
    <row r="11" spans="1:193" x14ac:dyDescent="0.25">
      <c r="A11" s="715"/>
      <c r="B11" s="713"/>
      <c r="C11" s="713"/>
      <c r="D11" s="713"/>
      <c r="E11" s="713" t="s">
        <v>76</v>
      </c>
      <c r="F11" s="714"/>
      <c r="G11" s="715"/>
      <c r="H11" s="713"/>
      <c r="I11" s="713"/>
      <c r="J11" s="713"/>
      <c r="K11" s="713" t="s">
        <v>76</v>
      </c>
      <c r="L11" s="877"/>
      <c r="M11" s="715"/>
      <c r="N11" s="713"/>
      <c r="O11" s="713"/>
      <c r="P11" s="713"/>
      <c r="Q11" s="713" t="s">
        <v>76</v>
      </c>
      <c r="R11" s="713"/>
      <c r="S11" s="713" t="s">
        <v>34</v>
      </c>
      <c r="T11" s="713"/>
      <c r="U11" s="713"/>
      <c r="V11" s="713"/>
      <c r="W11" s="713"/>
      <c r="X11" s="877"/>
      <c r="Y11" s="740" t="str">
        <f>IF(AC11="","",IF(FW3&lt;'Purchased Boons'!$A$496,VLOOKUP(AC11,BoonRef!$A:$Z,2,FALSE),VLOOKUP(AC11,KanckRef!$A$2:$G$172,2,FALSE)))</f>
        <v/>
      </c>
      <c r="Z11" s="671"/>
      <c r="AA11" s="671"/>
      <c r="AB11" s="671"/>
      <c r="AC11" s="671" t="str">
        <f>IF(FW3&lt;'Purchased Boons'!$A$496,VLOOKUP(FW3,'Purchased Boons'!$A$2:$C$495,3,FALSE),IF(FW3&lt;'Purchased Knacks'!$B$192,VLOOKUP(FW3,'Purchased Knacks'!$B$4:$E$191,2,FALSE),""))</f>
        <v/>
      </c>
      <c r="AD11" s="671"/>
      <c r="AE11" s="671"/>
      <c r="AF11" s="671"/>
      <c r="AG11" s="671"/>
      <c r="AH11" s="671"/>
      <c r="AI11" s="671"/>
      <c r="AJ11" s="671" t="str">
        <f>IF(AC11="","",IF(FW3&lt;'Purchased Boons'!$A$496,VLOOKUP(AC11,BoonRef!$A$2:$Z$1230,16,FALSE),VLOOKUP(AC11,KanckRef!$A$2:$G$172,4,FALSE)))</f>
        <v/>
      </c>
      <c r="AK11" s="671"/>
      <c r="AL11" s="671"/>
      <c r="AM11" s="767" t="str">
        <f>IF(AC11="","",IF(FW3&lt;'Purchased Boons'!$A$496,VLOOKUP(AC11,BoonRef!$A$2:$Z$1230,23,FALSE),VLOOKUP(AC11,KanckRef!$A$2:$G$172,5,FALSE)))</f>
        <v/>
      </c>
      <c r="AN11" s="767"/>
      <c r="AO11" s="767"/>
      <c r="AP11" s="767"/>
      <c r="AQ11" s="767"/>
      <c r="AR11" s="767"/>
      <c r="AS11" s="767"/>
      <c r="AT11" s="767"/>
      <c r="AU11" s="767"/>
      <c r="AV11" s="768"/>
      <c r="AW11" s="843"/>
      <c r="AX11" s="818"/>
      <c r="AY11" s="818"/>
      <c r="AZ11" s="818"/>
      <c r="BA11" s="818"/>
      <c r="BB11" s="671" t="str">
        <f>IF(AW11="","",VLOOKUP(AW11,ArmoryRef!$A$2:$L$130,2,FALSE))</f>
        <v/>
      </c>
      <c r="BC11" s="671"/>
      <c r="BD11" s="287" t="str">
        <f>IF(AW11="","",VLOOKUP(AW11,ArmoryRef!$A$2:$L$130,10,FALSE)+BO11)</f>
        <v/>
      </c>
      <c r="BE11" s="710" t="str">
        <f>IF(AW11="","",CONCATENATE(VLOOKUP(AW11,ArmoryRef!$A$2:$L$130,4,FALSE)+BQ11," + ",$G$7))</f>
        <v/>
      </c>
      <c r="BF11" s="673"/>
      <c r="BG11" s="716"/>
      <c r="BH11" s="710" t="str">
        <f>IF(AW11="","",CONCATENATE(VLOOKUP(AW11,ArmoryRef!$A$2:$L$130,6,FALSE)+BS11," + ",$G$6))</f>
        <v/>
      </c>
      <c r="BI11" s="673"/>
      <c r="BJ11" s="716"/>
      <c r="BK11" s="299" t="str">
        <f>IF(AW11="","",IF(VLOOKUP(AW11,ArmoryRef!$A$2:$L$130,9,FALSE)="--","--",VLOOKUP(AW11,ArmoryRef!$A$2:$L$130,9,FALSE)+BP11))</f>
        <v/>
      </c>
      <c r="BL11" s="671" t="str">
        <f>IF(AW11="","",VLOOKUP(AW11,ArmoryRef!$A$2:$L$130,11,FALSE))</f>
        <v/>
      </c>
      <c r="BM11" s="671"/>
      <c r="BN11" s="285" t="str">
        <f>IF(AW11="","",VLOOKUP(AW11,ArmoryRef!$A$2:$L$130,12,FALSE))</f>
        <v/>
      </c>
      <c r="BO11" s="300"/>
      <c r="BP11" s="121"/>
      <c r="BQ11" s="694"/>
      <c r="BR11" s="694"/>
      <c r="BS11" s="694"/>
      <c r="BT11" s="719"/>
      <c r="BU11" s="850"/>
      <c r="BV11" s="850"/>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1"/>
      <c r="CS11" s="668"/>
      <c r="CT11" s="669"/>
      <c r="CU11" s="669"/>
      <c r="CV11" s="669"/>
      <c r="CW11" s="669"/>
      <c r="CX11" s="669"/>
      <c r="CY11" s="669"/>
      <c r="CZ11" s="669"/>
      <c r="DA11" s="669"/>
      <c r="DB11" s="669"/>
      <c r="DC11" s="669"/>
      <c r="DD11" s="669"/>
      <c r="DE11" s="669"/>
      <c r="DF11" s="669"/>
      <c r="DG11" s="669"/>
      <c r="DH11" s="863"/>
      <c r="DI11" s="668"/>
      <c r="DJ11" s="669"/>
      <c r="DK11" s="669"/>
      <c r="DL11" s="669"/>
      <c r="DM11" s="669"/>
      <c r="DN11" s="669"/>
      <c r="DO11" s="669"/>
      <c r="DP11" s="669"/>
      <c r="DQ11" s="966" t="str">
        <f>IF(DU11="","",IF(FX10&lt;'Purchased Boons'!$A$496,VLOOKUP(DU11,BoonRef!$A:$Z,2,FALSE),VLOOKUP(DU11,KanckRef!$A$2:$G$172,2,FALSE)))</f>
        <v/>
      </c>
      <c r="DR11" s="963"/>
      <c r="DS11" s="963"/>
      <c r="DT11" s="963"/>
      <c r="DU11" s="963" t="str">
        <f>IF(FX10&lt;'Purchased Boons'!$A$496,VLOOKUP(FX10,'Purchased Boons'!$A$2:$C$495,3,FALSE),IF(FX10&lt;'Purchased Knacks'!$B$192,VLOOKUP(FX10,'Purchased Knacks'!$B$4:$E$191,2,FALSE),""))</f>
        <v/>
      </c>
      <c r="DV11" s="963"/>
      <c r="DW11" s="963"/>
      <c r="DX11" s="963"/>
      <c r="DY11" s="963"/>
      <c r="DZ11" s="963"/>
      <c r="EA11" s="963"/>
      <c r="EB11" s="972" t="str">
        <f>IF(DU11="","",IF(FX10&lt;'Purchased Boons'!$A$496,VLOOKUP(DU11,BoonRef!$A$2:$Z$1230,16,FALSE),VLOOKUP(DU11,KanckRef!$A$2:$G$172,4,FALSE)))</f>
        <v/>
      </c>
      <c r="EC11" s="972"/>
      <c r="ED11" s="972"/>
      <c r="EE11" s="964" t="str">
        <f>IF(DU11="","",IF(FX10&lt;'Purchased Boons'!$A$496,VLOOKUP(DU11,BoonRef!$A$2:$Z$1230,23,FALSE),VLOOKUP(DU11,KanckRef!$A$2:$G$172,5,FALSE)))</f>
        <v/>
      </c>
      <c r="EF11" s="964"/>
      <c r="EG11" s="964"/>
      <c r="EH11" s="964"/>
      <c r="EI11" s="964"/>
      <c r="EJ11" s="964"/>
      <c r="EK11" s="964"/>
      <c r="EL11" s="964"/>
      <c r="EM11" s="964"/>
      <c r="EN11" s="965"/>
      <c r="EO11" s="966" t="str">
        <f>IF(ES11="","",IF(FY10&lt;'Purchased Boons'!$A$496,VLOOKUP(ES11,BoonRef!$A:$Z,2,FALSE),VLOOKUP(ES11,KanckRef!$A$2:$G$172,2,FALSE)))</f>
        <v/>
      </c>
      <c r="EP11" s="963"/>
      <c r="EQ11" s="963"/>
      <c r="ER11" s="963"/>
      <c r="ES11" s="963" t="str">
        <f>IF(FY10&lt;'Purchased Boons'!$A$496,VLOOKUP(FY10,'Purchased Boons'!$A$2:$C$495,3,FALSE),IF(FY10&lt;'Purchased Knacks'!$B$192,VLOOKUP(FY10,'Purchased Knacks'!$B$4:$E$191,2,FALSE),""))</f>
        <v/>
      </c>
      <c r="ET11" s="963"/>
      <c r="EU11" s="963"/>
      <c r="EV11" s="963"/>
      <c r="EW11" s="963"/>
      <c r="EX11" s="963"/>
      <c r="EY11" s="963"/>
      <c r="EZ11" s="972" t="str">
        <f>IF(ES11="","",IF(FY10&lt;'Purchased Boons'!$A$496,VLOOKUP(ES11,BoonRef!$A$2:$Z$1230,16,FALSE),VLOOKUP(ES11,KanckRef!$A$2:$G$172,4,FALSE)))</f>
        <v/>
      </c>
      <c r="FA11" s="972"/>
      <c r="FB11" s="972"/>
      <c r="FC11" s="964" t="str">
        <f>IF(ES11="","",IF(FY10&lt;'Purchased Boons'!$A$496,VLOOKUP(ES11,BoonRef!$A$2:$Z$1230,23,FALSE),VLOOKUP(ES11,KanckRef!$A$2:$G$172,5,FALSE)))</f>
        <v/>
      </c>
      <c r="FD11" s="964"/>
      <c r="FE11" s="964"/>
      <c r="FF11" s="964"/>
      <c r="FG11" s="964"/>
      <c r="FH11" s="964"/>
      <c r="FI11" s="964"/>
      <c r="FJ11" s="964"/>
      <c r="FK11" s="964"/>
      <c r="FL11" s="965"/>
      <c r="FW11" s="283">
        <v>11</v>
      </c>
      <c r="FX11" s="283">
        <v>49</v>
      </c>
      <c r="FY11" s="283">
        <v>94</v>
      </c>
      <c r="GJ11" s="283" t="s">
        <v>42</v>
      </c>
      <c r="GK11" s="290">
        <f>IF($AK$7="Select",0,IF(VLOOKUP($AK$7,AssociatedRef!$AP$2:$BZ$130,12,FALSE)="Yes",1,0))</f>
        <v>0</v>
      </c>
    </row>
    <row r="12" spans="1:193" x14ac:dyDescent="0.25">
      <c r="A12" s="740" t="s">
        <v>35</v>
      </c>
      <c r="B12" s="671"/>
      <c r="C12" s="671"/>
      <c r="D12" s="671"/>
      <c r="E12" s="671">
        <f>IF(G51=0,E51,CONCATENATE(E51," + ",G51))</f>
        <v>0</v>
      </c>
      <c r="F12" s="692"/>
      <c r="G12" s="740" t="s">
        <v>45</v>
      </c>
      <c r="H12" s="671"/>
      <c r="I12" s="671"/>
      <c r="J12" s="671"/>
      <c r="K12" s="671">
        <f>IF(O51=0,M51,CONCATENATE(M51," + ",O51))</f>
        <v>0</v>
      </c>
      <c r="L12" s="710"/>
      <c r="M12" s="740" t="str">
        <f>IF(Creation!Y24="Special",IF(DemigodConversion!Y24="Special",IF(GodConversion!Y24="Special","Special",GodConversion!Y24),DemigodConversion!Y24),Creation!Y24)</f>
        <v>Special</v>
      </c>
      <c r="N12" s="671"/>
      <c r="O12" s="671"/>
      <c r="P12" s="671"/>
      <c r="Q12" s="671">
        <f>IF(W51=0,U51,CONCATENATE(U51," + ",W51))</f>
        <v>0</v>
      </c>
      <c r="R12" s="671"/>
      <c r="S12" s="671" t="str">
        <f>IF(Creation!AJ24="","",Creation!AJ24)</f>
        <v/>
      </c>
      <c r="T12" s="671"/>
      <c r="U12" s="671"/>
      <c r="V12" s="671"/>
      <c r="W12" s="671"/>
      <c r="X12" s="710"/>
      <c r="Y12" s="740" t="str">
        <f>IF(AC12="","",IF(FW4&lt;'Purchased Boons'!$A$496,VLOOKUP(AC12,BoonRef!$A:$Z,2,FALSE),VLOOKUP(AC12,KanckRef!$A$2:$G$172,2,FALSE)))</f>
        <v/>
      </c>
      <c r="Z12" s="671"/>
      <c r="AA12" s="671"/>
      <c r="AB12" s="671"/>
      <c r="AC12" s="671" t="str">
        <f>IF(FW4&lt;'Purchased Boons'!$A$496,VLOOKUP(FW4,'Purchased Boons'!$A$2:$C$495,3,FALSE),IF(FW4&lt;'Purchased Knacks'!$B$192,VLOOKUP(FW4,'Purchased Knacks'!$B$4:$E$191,2,FALSE),""))</f>
        <v/>
      </c>
      <c r="AD12" s="671"/>
      <c r="AE12" s="671"/>
      <c r="AF12" s="671"/>
      <c r="AG12" s="671"/>
      <c r="AH12" s="671"/>
      <c r="AI12" s="671"/>
      <c r="AJ12" s="671" t="str">
        <f>IF(AC12="","",IF(FW4&lt;'Purchased Boons'!$A$496,VLOOKUP(AC12,BoonRef!$A$2:$Z$1230,16,FALSE),VLOOKUP(AC12,KanckRef!$A$2:$G$172,4,FALSE)))</f>
        <v/>
      </c>
      <c r="AK12" s="671"/>
      <c r="AL12" s="671"/>
      <c r="AM12" s="767" t="str">
        <f>IF(AC12="","",IF(FW4&lt;'Purchased Boons'!$A$496,VLOOKUP(AC12,BoonRef!$A$2:$Z$1230,23,FALSE),VLOOKUP(AC12,KanckRef!$A$2:$G$172,5,FALSE)))</f>
        <v/>
      </c>
      <c r="AN12" s="767"/>
      <c r="AO12" s="767"/>
      <c r="AP12" s="767"/>
      <c r="AQ12" s="767"/>
      <c r="AR12" s="767"/>
      <c r="AS12" s="767"/>
      <c r="AT12" s="767"/>
      <c r="AU12" s="767"/>
      <c r="AV12" s="768"/>
      <c r="AW12" s="843"/>
      <c r="AX12" s="818"/>
      <c r="AY12" s="818"/>
      <c r="AZ12" s="818"/>
      <c r="BA12" s="818"/>
      <c r="BB12" s="671" t="str">
        <f>IF(AW12="","",VLOOKUP(AW12,ArmoryRef!$A$2:$L$130,2,FALSE))</f>
        <v/>
      </c>
      <c r="BC12" s="671"/>
      <c r="BD12" s="287" t="str">
        <f>IF(AW12="","",VLOOKUP(AW12,ArmoryRef!$A$2:$L$130,10,FALSE)+BO12)</f>
        <v/>
      </c>
      <c r="BE12" s="710" t="str">
        <f>IF(AW12="","",CONCATENATE(VLOOKUP(AW12,ArmoryRef!$A$2:$L$130,4,FALSE)+BQ12," + ",$G$7))</f>
        <v/>
      </c>
      <c r="BF12" s="673"/>
      <c r="BG12" s="716"/>
      <c r="BH12" s="710" t="str">
        <f>IF(AW12="","",CONCATENATE(VLOOKUP(AW12,ArmoryRef!$A$2:$L$130,6,FALSE)+BS12," + ",$G$6))</f>
        <v/>
      </c>
      <c r="BI12" s="673"/>
      <c r="BJ12" s="716"/>
      <c r="BK12" s="299" t="str">
        <f>IF(AW12="","",IF(VLOOKUP(AW12,ArmoryRef!$A$2:$L$130,9,FALSE)="--","--",VLOOKUP(AW12,ArmoryRef!$A$2:$L$130,9,FALSE)+BP12))</f>
        <v/>
      </c>
      <c r="BL12" s="671" t="str">
        <f>IF(AW12="","",VLOOKUP(AW12,ArmoryRef!$A$2:$L$130,11,FALSE))</f>
        <v/>
      </c>
      <c r="BM12" s="671"/>
      <c r="BN12" s="285" t="str">
        <f>IF(AW12="","",VLOOKUP(AW12,ArmoryRef!$A$2:$L$130,12,FALSE))</f>
        <v/>
      </c>
      <c r="BO12" s="300"/>
      <c r="BP12" s="121"/>
      <c r="BQ12" s="694"/>
      <c r="BR12" s="694"/>
      <c r="BS12" s="694"/>
      <c r="BT12" s="719"/>
      <c r="BU12" s="850"/>
      <c r="BV12" s="850"/>
      <c r="BW12" s="850"/>
      <c r="BX12" s="850"/>
      <c r="BY12" s="850"/>
      <c r="BZ12" s="850"/>
      <c r="CA12" s="850"/>
      <c r="CB12" s="850"/>
      <c r="CC12" s="850"/>
      <c r="CD12" s="850"/>
      <c r="CE12" s="850"/>
      <c r="CF12" s="850"/>
      <c r="CG12" s="850"/>
      <c r="CH12" s="850"/>
      <c r="CI12" s="850"/>
      <c r="CJ12" s="850"/>
      <c r="CK12" s="850"/>
      <c r="CL12" s="850"/>
      <c r="CM12" s="850"/>
      <c r="CN12" s="850"/>
      <c r="CO12" s="850"/>
      <c r="CP12" s="850"/>
      <c r="CQ12" s="850"/>
      <c r="CR12" s="851"/>
      <c r="CS12" s="668"/>
      <c r="CT12" s="669"/>
      <c r="CU12" s="669"/>
      <c r="CV12" s="669"/>
      <c r="CW12" s="669"/>
      <c r="CX12" s="669"/>
      <c r="CY12" s="669"/>
      <c r="CZ12" s="669"/>
      <c r="DA12" s="669"/>
      <c r="DB12" s="669"/>
      <c r="DC12" s="669"/>
      <c r="DD12" s="669"/>
      <c r="DE12" s="669"/>
      <c r="DF12" s="669"/>
      <c r="DG12" s="669"/>
      <c r="DH12" s="863"/>
      <c r="DI12" s="668"/>
      <c r="DJ12" s="669"/>
      <c r="DK12" s="669"/>
      <c r="DL12" s="669"/>
      <c r="DM12" s="669"/>
      <c r="DN12" s="669"/>
      <c r="DO12" s="669"/>
      <c r="DP12" s="669"/>
      <c r="DQ12" s="966" t="str">
        <f>IF(DU12="","",IF(FX11&lt;'Purchased Boons'!$A$496,VLOOKUP(DU12,BoonRef!$A:$Z,2,FALSE),VLOOKUP(DU12,KanckRef!$A$2:$G$172,2,FALSE)))</f>
        <v/>
      </c>
      <c r="DR12" s="963"/>
      <c r="DS12" s="963"/>
      <c r="DT12" s="963"/>
      <c r="DU12" s="963" t="str">
        <f>IF(FX11&lt;'Purchased Boons'!$A$496,VLOOKUP(FX11,'Purchased Boons'!$A$2:$C$495,3,FALSE),IF(FX11&lt;'Purchased Knacks'!$B$192,VLOOKUP(FX11,'Purchased Knacks'!$B$4:$E$191,2,FALSE),""))</f>
        <v/>
      </c>
      <c r="DV12" s="963"/>
      <c r="DW12" s="963"/>
      <c r="DX12" s="963"/>
      <c r="DY12" s="963"/>
      <c r="DZ12" s="963"/>
      <c r="EA12" s="963"/>
      <c r="EB12" s="972" t="str">
        <f>IF(DU12="","",IF(FX11&lt;'Purchased Boons'!$A$496,VLOOKUP(DU12,BoonRef!$A$2:$Z$1230,16,FALSE),VLOOKUP(DU12,KanckRef!$A$2:$G$172,4,FALSE)))</f>
        <v/>
      </c>
      <c r="EC12" s="972"/>
      <c r="ED12" s="972"/>
      <c r="EE12" s="964" t="str">
        <f>IF(DU12="","",IF(FX11&lt;'Purchased Boons'!$A$496,VLOOKUP(DU12,BoonRef!$A$2:$Z$1230,23,FALSE),VLOOKUP(DU12,KanckRef!$A$2:$G$172,5,FALSE)))</f>
        <v/>
      </c>
      <c r="EF12" s="964"/>
      <c r="EG12" s="964"/>
      <c r="EH12" s="964"/>
      <c r="EI12" s="964"/>
      <c r="EJ12" s="964"/>
      <c r="EK12" s="964"/>
      <c r="EL12" s="964"/>
      <c r="EM12" s="964"/>
      <c r="EN12" s="965"/>
      <c r="EO12" s="966" t="str">
        <f>IF(ES12="","",IF(FY11&lt;'Purchased Boons'!$A$496,VLOOKUP(ES12,BoonRef!$A:$Z,2,FALSE),VLOOKUP(ES12,KanckRef!$A$2:$G$172,2,FALSE)))</f>
        <v/>
      </c>
      <c r="EP12" s="963"/>
      <c r="EQ12" s="963"/>
      <c r="ER12" s="963"/>
      <c r="ES12" s="963" t="str">
        <f>IF(FY11&lt;'Purchased Boons'!$A$496,VLOOKUP(FY11,'Purchased Boons'!$A$2:$C$495,3,FALSE),IF(FY11&lt;'Purchased Knacks'!$B$192,VLOOKUP(FY11,'Purchased Knacks'!$B$4:$E$191,2,FALSE),""))</f>
        <v/>
      </c>
      <c r="ET12" s="963"/>
      <c r="EU12" s="963"/>
      <c r="EV12" s="963"/>
      <c r="EW12" s="963"/>
      <c r="EX12" s="963"/>
      <c r="EY12" s="963"/>
      <c r="EZ12" s="972" t="str">
        <f>IF(ES12="","",IF(FY11&lt;'Purchased Boons'!$A$496,VLOOKUP(ES12,BoonRef!$A$2:$Z$1230,16,FALSE),VLOOKUP(ES12,KanckRef!$A$2:$G$172,4,FALSE)))</f>
        <v/>
      </c>
      <c r="FA12" s="972"/>
      <c r="FB12" s="972"/>
      <c r="FC12" s="964" t="str">
        <f>IF(ES12="","",IF(FY11&lt;'Purchased Boons'!$A$496,VLOOKUP(ES12,BoonRef!$A$2:$Z$1230,23,FALSE),VLOOKUP(ES12,KanckRef!$A$2:$G$172,5,FALSE)))</f>
        <v/>
      </c>
      <c r="FD12" s="964"/>
      <c r="FE12" s="964"/>
      <c r="FF12" s="964"/>
      <c r="FG12" s="964"/>
      <c r="FH12" s="964"/>
      <c r="FI12" s="964"/>
      <c r="FJ12" s="964"/>
      <c r="FK12" s="964"/>
      <c r="FL12" s="965"/>
      <c r="FW12" s="283">
        <v>12</v>
      </c>
      <c r="FX12" s="283">
        <v>50</v>
      </c>
      <c r="FY12" s="283">
        <v>95</v>
      </c>
      <c r="GB12" s="283">
        <f>'Purchased Knacks'!B192</f>
        <v>1</v>
      </c>
      <c r="GJ12" s="283" t="s">
        <v>43</v>
      </c>
      <c r="GK12" s="290">
        <f>IF($AK$7="Select",0,IF(VLOOKUP($AK$7,AssociatedRef!$AP$2:$BZ$130,13,FALSE)="Yes",1,0))</f>
        <v>0</v>
      </c>
    </row>
    <row r="13" spans="1:193" x14ac:dyDescent="0.25">
      <c r="A13" s="740" t="s">
        <v>36</v>
      </c>
      <c r="B13" s="671"/>
      <c r="C13" s="671"/>
      <c r="D13" s="671"/>
      <c r="E13" s="671">
        <f t="shared" ref="E13:E21" si="3">IF(G52=0,E52,CONCATENATE(E52," + ",G52))</f>
        <v>0</v>
      </c>
      <c r="F13" s="692"/>
      <c r="G13" s="740" t="s">
        <v>46</v>
      </c>
      <c r="H13" s="671"/>
      <c r="I13" s="671"/>
      <c r="J13" s="671"/>
      <c r="K13" s="671">
        <f t="shared" ref="K13:K21" si="4">IF(O52=0,M52,CONCATENATE(M52," + ",O52))</f>
        <v>0</v>
      </c>
      <c r="L13" s="710"/>
      <c r="M13" s="740" t="str">
        <f>IF(Creation!Y25="Special",IF(DemigodConversion!Y25="Special",IF(GodConversion!Y25="Special","Special",GodConversion!Y25),DemigodConversion!Y25),Creation!Y25)</f>
        <v>Special</v>
      </c>
      <c r="N13" s="671"/>
      <c r="O13" s="671"/>
      <c r="P13" s="671"/>
      <c r="Q13" s="671">
        <f t="shared" ref="Q13:Q21" si="5">IF(W52=0,U52,CONCATENATE(U52," + ",W52))</f>
        <v>0</v>
      </c>
      <c r="R13" s="671"/>
      <c r="S13" s="671" t="str">
        <f>IF(Creation!AJ25="","",Creation!AJ25)</f>
        <v/>
      </c>
      <c r="T13" s="671"/>
      <c r="U13" s="671"/>
      <c r="V13" s="671"/>
      <c r="W13" s="671"/>
      <c r="X13" s="710"/>
      <c r="Y13" s="740" t="str">
        <f>IF(AC13="","",IF(FW5&lt;'Purchased Boons'!$A$496,VLOOKUP(AC13,BoonRef!$A:$Z,2,FALSE),VLOOKUP(AC13,KanckRef!$A$2:$G$172,2,FALSE)))</f>
        <v/>
      </c>
      <c r="Z13" s="671"/>
      <c r="AA13" s="671"/>
      <c r="AB13" s="671"/>
      <c r="AC13" s="671" t="str">
        <f>IF(FW5&lt;'Purchased Boons'!$A$496,VLOOKUP(FW5,'Purchased Boons'!$A$2:$C$495,3,FALSE),IF(FW5&lt;'Purchased Knacks'!$B$192,VLOOKUP(FW5,'Purchased Knacks'!$B$4:$E$191,2,FALSE),""))</f>
        <v/>
      </c>
      <c r="AD13" s="671"/>
      <c r="AE13" s="671"/>
      <c r="AF13" s="671"/>
      <c r="AG13" s="671"/>
      <c r="AH13" s="671"/>
      <c r="AI13" s="671"/>
      <c r="AJ13" s="671" t="str">
        <f>IF(AC13="","",IF(FW5&lt;'Purchased Boons'!$A$496,VLOOKUP(AC13,BoonRef!$A$2:$Z$1230,16,FALSE),VLOOKUP(AC13,KanckRef!$A$2:$G$172,4,FALSE)))</f>
        <v/>
      </c>
      <c r="AK13" s="671"/>
      <c r="AL13" s="671"/>
      <c r="AM13" s="767" t="str">
        <f>IF(AC13="","",IF(FW5&lt;'Purchased Boons'!$A$496,VLOOKUP(AC13,BoonRef!$A$2:$Z$1230,23,FALSE),VLOOKUP(AC13,KanckRef!$A$2:$G$172,5,FALSE)))</f>
        <v/>
      </c>
      <c r="AN13" s="767"/>
      <c r="AO13" s="767"/>
      <c r="AP13" s="767"/>
      <c r="AQ13" s="767"/>
      <c r="AR13" s="767"/>
      <c r="AS13" s="767"/>
      <c r="AT13" s="767"/>
      <c r="AU13" s="767"/>
      <c r="AV13" s="768"/>
      <c r="AW13" s="843"/>
      <c r="AX13" s="818"/>
      <c r="AY13" s="818"/>
      <c r="AZ13" s="818"/>
      <c r="BA13" s="818"/>
      <c r="BB13" s="671" t="str">
        <f>IF(AW13="","",VLOOKUP(AW13,ArmoryRef!$A$2:$L$130,2,FALSE))</f>
        <v/>
      </c>
      <c r="BC13" s="671"/>
      <c r="BD13" s="287" t="str">
        <f>IF(AW13="","",VLOOKUP(AW13,ArmoryRef!$A$2:$L$130,10,FALSE)+BO13)</f>
        <v/>
      </c>
      <c r="BE13" s="710" t="str">
        <f>IF(AW13="","",CONCATENATE(VLOOKUP(AW13,ArmoryRef!$A$2:$L$130,4,FALSE)+BQ13," + ",$G$7))</f>
        <v/>
      </c>
      <c r="BF13" s="673"/>
      <c r="BG13" s="716"/>
      <c r="BH13" s="710" t="str">
        <f>IF(AW13="","",CONCATENATE(VLOOKUP(AW13,ArmoryRef!$A$2:$L$130,6,FALSE)+BS13," + ",$G$6))</f>
        <v/>
      </c>
      <c r="BI13" s="673"/>
      <c r="BJ13" s="716"/>
      <c r="BK13" s="299" t="str">
        <f>IF(AW13="","",IF(VLOOKUP(AW13,ArmoryRef!$A$2:$L$130,9,FALSE)="--","--",VLOOKUP(AW13,ArmoryRef!$A$2:$L$130,9,FALSE)+BP13))</f>
        <v/>
      </c>
      <c r="BL13" s="671" t="str">
        <f>IF(AW13="","",VLOOKUP(AW13,ArmoryRef!$A$2:$L$130,11,FALSE))</f>
        <v/>
      </c>
      <c r="BM13" s="671"/>
      <c r="BN13" s="285" t="str">
        <f>IF(AW13="","",VLOOKUP(AW13,ArmoryRef!$A$2:$L$130,12,FALSE))</f>
        <v/>
      </c>
      <c r="BO13" s="300"/>
      <c r="BP13" s="121"/>
      <c r="BQ13" s="694"/>
      <c r="BR13" s="694"/>
      <c r="BS13" s="694"/>
      <c r="BT13" s="719"/>
      <c r="BU13" s="850"/>
      <c r="BV13" s="850"/>
      <c r="BW13" s="850"/>
      <c r="BX13" s="850"/>
      <c r="BY13" s="850"/>
      <c r="BZ13" s="850"/>
      <c r="CA13" s="850"/>
      <c r="CB13" s="850"/>
      <c r="CC13" s="850"/>
      <c r="CD13" s="850"/>
      <c r="CE13" s="850"/>
      <c r="CF13" s="850"/>
      <c r="CG13" s="850"/>
      <c r="CH13" s="850"/>
      <c r="CI13" s="850"/>
      <c r="CJ13" s="850"/>
      <c r="CK13" s="850"/>
      <c r="CL13" s="850"/>
      <c r="CM13" s="850"/>
      <c r="CN13" s="850"/>
      <c r="CO13" s="850"/>
      <c r="CP13" s="850"/>
      <c r="CQ13" s="850"/>
      <c r="CR13" s="851"/>
      <c r="CS13" s="668"/>
      <c r="CT13" s="669"/>
      <c r="CU13" s="669"/>
      <c r="CV13" s="669"/>
      <c r="CW13" s="669"/>
      <c r="CX13" s="669"/>
      <c r="CY13" s="669"/>
      <c r="CZ13" s="669"/>
      <c r="DA13" s="669"/>
      <c r="DB13" s="669"/>
      <c r="DC13" s="669"/>
      <c r="DD13" s="669"/>
      <c r="DE13" s="669"/>
      <c r="DF13" s="669"/>
      <c r="DG13" s="669"/>
      <c r="DH13" s="863"/>
      <c r="DI13" s="668"/>
      <c r="DJ13" s="669"/>
      <c r="DK13" s="669"/>
      <c r="DL13" s="669"/>
      <c r="DM13" s="669"/>
      <c r="DN13" s="669"/>
      <c r="DO13" s="669"/>
      <c r="DP13" s="669"/>
      <c r="DQ13" s="966" t="str">
        <f>IF(DU13="","",IF(FX12&lt;'Purchased Boons'!$A$496,VLOOKUP(DU13,BoonRef!$A:$Z,2,FALSE),VLOOKUP(DU13,KanckRef!$A$2:$G$172,2,FALSE)))</f>
        <v/>
      </c>
      <c r="DR13" s="963"/>
      <c r="DS13" s="963"/>
      <c r="DT13" s="963"/>
      <c r="DU13" s="963" t="str">
        <f>IF(FX12&lt;'Purchased Boons'!$A$496,VLOOKUP(FX12,'Purchased Boons'!$A$2:$C$495,3,FALSE),IF(FX12&lt;'Purchased Knacks'!$B$192,VLOOKUP(FX12,'Purchased Knacks'!$B$4:$E$191,2,FALSE),""))</f>
        <v/>
      </c>
      <c r="DV13" s="963"/>
      <c r="DW13" s="963"/>
      <c r="DX13" s="963"/>
      <c r="DY13" s="963"/>
      <c r="DZ13" s="963"/>
      <c r="EA13" s="963"/>
      <c r="EB13" s="972" t="str">
        <f>IF(DU13="","",IF(FX12&lt;'Purchased Boons'!$A$496,VLOOKUP(DU13,BoonRef!$A$2:$Z$1230,16,FALSE),VLOOKUP(DU13,KanckRef!$A$2:$G$172,4,FALSE)))</f>
        <v/>
      </c>
      <c r="EC13" s="972"/>
      <c r="ED13" s="972"/>
      <c r="EE13" s="964" t="str">
        <f>IF(DU13="","",IF(FX12&lt;'Purchased Boons'!$A$496,VLOOKUP(DU13,BoonRef!$A$2:$Z$1230,23,FALSE),VLOOKUP(DU13,KanckRef!$A$2:$G$172,5,FALSE)))</f>
        <v/>
      </c>
      <c r="EF13" s="964"/>
      <c r="EG13" s="964"/>
      <c r="EH13" s="964"/>
      <c r="EI13" s="964"/>
      <c r="EJ13" s="964"/>
      <c r="EK13" s="964"/>
      <c r="EL13" s="964"/>
      <c r="EM13" s="964"/>
      <c r="EN13" s="965"/>
      <c r="EO13" s="966" t="str">
        <f>IF(ES13="","",IF(FY12&lt;'Purchased Boons'!$A$496,VLOOKUP(ES13,BoonRef!$A:$Z,2,FALSE),VLOOKUP(ES13,KanckRef!$A$2:$G$172,2,FALSE)))</f>
        <v/>
      </c>
      <c r="EP13" s="963"/>
      <c r="EQ13" s="963"/>
      <c r="ER13" s="963"/>
      <c r="ES13" s="963" t="str">
        <f>IF(FY12&lt;'Purchased Boons'!$A$496,VLOOKUP(FY12,'Purchased Boons'!$A$2:$C$495,3,FALSE),IF(FY12&lt;'Purchased Knacks'!$B$192,VLOOKUP(FY12,'Purchased Knacks'!$B$4:$E$191,2,FALSE),""))</f>
        <v/>
      </c>
      <c r="ET13" s="963"/>
      <c r="EU13" s="963"/>
      <c r="EV13" s="963"/>
      <c r="EW13" s="963"/>
      <c r="EX13" s="963"/>
      <c r="EY13" s="963"/>
      <c r="EZ13" s="972" t="str">
        <f>IF(ES13="","",IF(FY12&lt;'Purchased Boons'!$A$496,VLOOKUP(ES13,BoonRef!$A$2:$Z$1230,16,FALSE),VLOOKUP(ES13,KanckRef!$A$2:$G$172,4,FALSE)))</f>
        <v/>
      </c>
      <c r="FA13" s="972"/>
      <c r="FB13" s="972"/>
      <c r="FC13" s="964" t="str">
        <f>IF(ES13="","",IF(FY12&lt;'Purchased Boons'!$A$496,VLOOKUP(ES13,BoonRef!$A$2:$Z$1230,23,FALSE),VLOOKUP(ES13,KanckRef!$A$2:$G$172,5,FALSE)))</f>
        <v/>
      </c>
      <c r="FD13" s="964"/>
      <c r="FE13" s="964"/>
      <c r="FF13" s="964"/>
      <c r="FG13" s="964"/>
      <c r="FH13" s="964"/>
      <c r="FI13" s="964"/>
      <c r="FJ13" s="964"/>
      <c r="FK13" s="964"/>
      <c r="FL13" s="965"/>
      <c r="FW13" s="283">
        <v>13</v>
      </c>
      <c r="FX13" s="283">
        <v>51</v>
      </c>
      <c r="FY13" s="283">
        <v>96</v>
      </c>
      <c r="GJ13" s="283" t="s">
        <v>44</v>
      </c>
      <c r="GK13" s="290">
        <f>IF($AK$7="Select",0,IF(VLOOKUP($AK$7,AssociatedRef!$AP$2:$BZ$130,14,FALSE)="Yes",1,0))</f>
        <v>0</v>
      </c>
    </row>
    <row r="14" spans="1:193" x14ac:dyDescent="0.25">
      <c r="A14" s="740" t="s">
        <v>37</v>
      </c>
      <c r="B14" s="671"/>
      <c r="C14" s="671"/>
      <c r="D14" s="671"/>
      <c r="E14" s="671">
        <f t="shared" si="3"/>
        <v>0</v>
      </c>
      <c r="F14" s="692"/>
      <c r="G14" s="740" t="s">
        <v>47</v>
      </c>
      <c r="H14" s="671"/>
      <c r="I14" s="671"/>
      <c r="J14" s="671"/>
      <c r="K14" s="671">
        <f t="shared" si="4"/>
        <v>0</v>
      </c>
      <c r="L14" s="710"/>
      <c r="M14" s="740" t="str">
        <f>IF(Creation!Y26="Special",IF(DemigodConversion!Y26="Special",IF(GodConversion!Y26="Special","Special",GodConversion!Y26),DemigodConversion!Y26),Creation!Y26)</f>
        <v>Special</v>
      </c>
      <c r="N14" s="671"/>
      <c r="O14" s="671"/>
      <c r="P14" s="671"/>
      <c r="Q14" s="671">
        <f t="shared" si="5"/>
        <v>0</v>
      </c>
      <c r="R14" s="671"/>
      <c r="S14" s="671" t="str">
        <f>IF(Creation!AJ26="","",Creation!AJ26)</f>
        <v/>
      </c>
      <c r="T14" s="671"/>
      <c r="U14" s="671"/>
      <c r="V14" s="671"/>
      <c r="W14" s="671"/>
      <c r="X14" s="710"/>
      <c r="Y14" s="740" t="str">
        <f>IF(AC14="","",IF(FW6&lt;'Purchased Boons'!$A$496,VLOOKUP(AC14,BoonRef!$A:$Z,2,FALSE),VLOOKUP(AC14,KanckRef!$A$2:$G$172,2,FALSE)))</f>
        <v/>
      </c>
      <c r="Z14" s="671"/>
      <c r="AA14" s="671"/>
      <c r="AB14" s="671"/>
      <c r="AC14" s="671" t="str">
        <f>IF(FW6&lt;'Purchased Boons'!$A$496,VLOOKUP(FW6,'Purchased Boons'!$A$2:$C$495,3,FALSE),IF(FW6&lt;'Purchased Knacks'!$B$192,VLOOKUP(FW6,'Purchased Knacks'!$B$4:$E$191,2,FALSE),""))</f>
        <v/>
      </c>
      <c r="AD14" s="671"/>
      <c r="AE14" s="671"/>
      <c r="AF14" s="671"/>
      <c r="AG14" s="671"/>
      <c r="AH14" s="671"/>
      <c r="AI14" s="671"/>
      <c r="AJ14" s="671" t="str">
        <f>IF(AC14="","",IF(FW6&lt;'Purchased Boons'!$A$496,VLOOKUP(AC14,BoonRef!$A$2:$Z$1230,16,FALSE),VLOOKUP(AC14,KanckRef!$A$2:$G$172,4,FALSE)))</f>
        <v/>
      </c>
      <c r="AK14" s="671"/>
      <c r="AL14" s="671"/>
      <c r="AM14" s="767" t="str">
        <f>IF(AC14="","",IF(FW6&lt;'Purchased Boons'!$A$496,VLOOKUP(AC14,BoonRef!$A$2:$Z$1230,23,FALSE),VLOOKUP(AC14,KanckRef!$A$2:$G$172,5,FALSE)))</f>
        <v/>
      </c>
      <c r="AN14" s="767"/>
      <c r="AO14" s="767"/>
      <c r="AP14" s="767"/>
      <c r="AQ14" s="767"/>
      <c r="AR14" s="767"/>
      <c r="AS14" s="767"/>
      <c r="AT14" s="767"/>
      <c r="AU14" s="767"/>
      <c r="AV14" s="768"/>
      <c r="AW14" s="843"/>
      <c r="AX14" s="818"/>
      <c r="AY14" s="818"/>
      <c r="AZ14" s="818"/>
      <c r="BA14" s="818"/>
      <c r="BB14" s="671" t="str">
        <f>IF(AW14="","",VLOOKUP(AW14,ArmoryRef!$A$2:$L$130,2,FALSE))</f>
        <v/>
      </c>
      <c r="BC14" s="671"/>
      <c r="BD14" s="287" t="str">
        <f>IF(AW14="","",VLOOKUP(AW14,ArmoryRef!$A$2:$L$130,10,FALSE)+BO14)</f>
        <v/>
      </c>
      <c r="BE14" s="710" t="str">
        <f>IF(AW14="","",CONCATENATE(VLOOKUP(AW14,ArmoryRef!$A$2:$L$130,4,FALSE)+BQ14," + ",$G$7))</f>
        <v/>
      </c>
      <c r="BF14" s="673"/>
      <c r="BG14" s="716"/>
      <c r="BH14" s="710" t="str">
        <f>IF(AW14="","",CONCATENATE(VLOOKUP(AW14,ArmoryRef!$A$2:$L$130,6,FALSE)+BS14," + ",$G$6))</f>
        <v/>
      </c>
      <c r="BI14" s="673"/>
      <c r="BJ14" s="716"/>
      <c r="BK14" s="299" t="str">
        <f>IF(AW14="","",IF(VLOOKUP(AW14,ArmoryRef!$A$2:$L$130,9,FALSE)="--","--",VLOOKUP(AW14,ArmoryRef!$A$2:$L$130,9,FALSE)+BP14))</f>
        <v/>
      </c>
      <c r="BL14" s="671" t="str">
        <f>IF(AW14="","",VLOOKUP(AW14,ArmoryRef!$A$2:$L$130,11,FALSE))</f>
        <v/>
      </c>
      <c r="BM14" s="671"/>
      <c r="BN14" s="285" t="str">
        <f>IF(AW14="","",VLOOKUP(AW14,ArmoryRef!$A$2:$L$130,12,FALSE))</f>
        <v/>
      </c>
      <c r="BO14" s="300"/>
      <c r="BP14" s="121"/>
      <c r="BQ14" s="694"/>
      <c r="BR14" s="694"/>
      <c r="BS14" s="694"/>
      <c r="BT14" s="719"/>
      <c r="BU14" s="850"/>
      <c r="BV14" s="850"/>
      <c r="BW14" s="850"/>
      <c r="BX14" s="850"/>
      <c r="BY14" s="850"/>
      <c r="BZ14" s="850"/>
      <c r="CA14" s="850"/>
      <c r="CB14" s="850"/>
      <c r="CC14" s="850"/>
      <c r="CD14" s="850"/>
      <c r="CE14" s="850"/>
      <c r="CF14" s="850"/>
      <c r="CG14" s="850"/>
      <c r="CH14" s="850"/>
      <c r="CI14" s="850"/>
      <c r="CJ14" s="850"/>
      <c r="CK14" s="850"/>
      <c r="CL14" s="850"/>
      <c r="CM14" s="850"/>
      <c r="CN14" s="850"/>
      <c r="CO14" s="850"/>
      <c r="CP14" s="850"/>
      <c r="CQ14" s="850"/>
      <c r="CR14" s="851"/>
      <c r="CS14" s="668"/>
      <c r="CT14" s="669"/>
      <c r="CU14" s="669"/>
      <c r="CV14" s="669"/>
      <c r="CW14" s="669"/>
      <c r="CX14" s="669"/>
      <c r="CY14" s="669"/>
      <c r="CZ14" s="669"/>
      <c r="DA14" s="669"/>
      <c r="DB14" s="669"/>
      <c r="DC14" s="669"/>
      <c r="DD14" s="669"/>
      <c r="DE14" s="669"/>
      <c r="DF14" s="669"/>
      <c r="DG14" s="669"/>
      <c r="DH14" s="863"/>
      <c r="DI14" s="668"/>
      <c r="DJ14" s="669"/>
      <c r="DK14" s="669"/>
      <c r="DL14" s="669"/>
      <c r="DM14" s="669"/>
      <c r="DN14" s="669"/>
      <c r="DO14" s="669"/>
      <c r="DP14" s="669"/>
      <c r="DQ14" s="966" t="str">
        <f>IF(DU14="","",IF(FX13&lt;'Purchased Boons'!$A$496,VLOOKUP(DU14,BoonRef!$A:$Z,2,FALSE),VLOOKUP(DU14,KanckRef!$A$2:$G$172,2,FALSE)))</f>
        <v/>
      </c>
      <c r="DR14" s="963"/>
      <c r="DS14" s="963"/>
      <c r="DT14" s="963"/>
      <c r="DU14" s="963" t="str">
        <f>IF(FX13&lt;'Purchased Boons'!$A$496,VLOOKUP(FX13,'Purchased Boons'!$A$2:$C$495,3,FALSE),IF(FX13&lt;'Purchased Knacks'!$B$192,VLOOKUP(FX13,'Purchased Knacks'!$B$4:$E$191,2,FALSE),""))</f>
        <v/>
      </c>
      <c r="DV14" s="963"/>
      <c r="DW14" s="963"/>
      <c r="DX14" s="963"/>
      <c r="DY14" s="963"/>
      <c r="DZ14" s="963"/>
      <c r="EA14" s="963"/>
      <c r="EB14" s="972" t="str">
        <f>IF(DU14="","",IF(FX13&lt;'Purchased Boons'!$A$496,VLOOKUP(DU14,BoonRef!$A$2:$Z$1230,16,FALSE),VLOOKUP(DU14,KanckRef!$A$2:$G$172,4,FALSE)))</f>
        <v/>
      </c>
      <c r="EC14" s="972"/>
      <c r="ED14" s="972"/>
      <c r="EE14" s="964" t="str">
        <f>IF(DU14="","",IF(FX13&lt;'Purchased Boons'!$A$496,VLOOKUP(DU14,BoonRef!$A$2:$Z$1230,23,FALSE),VLOOKUP(DU14,KanckRef!$A$2:$G$172,5,FALSE)))</f>
        <v/>
      </c>
      <c r="EF14" s="964"/>
      <c r="EG14" s="964"/>
      <c r="EH14" s="964"/>
      <c r="EI14" s="964"/>
      <c r="EJ14" s="964"/>
      <c r="EK14" s="964"/>
      <c r="EL14" s="964"/>
      <c r="EM14" s="964"/>
      <c r="EN14" s="965"/>
      <c r="EO14" s="966" t="str">
        <f>IF(ES14="","",IF(FY13&lt;'Purchased Boons'!$A$496,VLOOKUP(ES14,BoonRef!$A:$Z,2,FALSE),VLOOKUP(ES14,KanckRef!$A$2:$G$172,2,FALSE)))</f>
        <v/>
      </c>
      <c r="EP14" s="963"/>
      <c r="EQ14" s="963"/>
      <c r="ER14" s="963"/>
      <c r="ES14" s="963" t="str">
        <f>IF(FY13&lt;'Purchased Boons'!$A$496,VLOOKUP(FY13,'Purchased Boons'!$A$2:$C$495,3,FALSE),IF(FY13&lt;'Purchased Knacks'!$B$192,VLOOKUP(FY13,'Purchased Knacks'!$B$4:$E$191,2,FALSE),""))</f>
        <v/>
      </c>
      <c r="ET14" s="963"/>
      <c r="EU14" s="963"/>
      <c r="EV14" s="963"/>
      <c r="EW14" s="963"/>
      <c r="EX14" s="963"/>
      <c r="EY14" s="963"/>
      <c r="EZ14" s="972" t="str">
        <f>IF(ES14="","",IF(FY13&lt;'Purchased Boons'!$A$496,VLOOKUP(ES14,BoonRef!$A$2:$Z$1230,16,FALSE),VLOOKUP(ES14,KanckRef!$A$2:$G$172,4,FALSE)))</f>
        <v/>
      </c>
      <c r="FA14" s="972"/>
      <c r="FB14" s="972"/>
      <c r="FC14" s="964" t="str">
        <f>IF(ES14="","",IF(FY13&lt;'Purchased Boons'!$A$496,VLOOKUP(ES14,BoonRef!$A$2:$Z$1230,23,FALSE),VLOOKUP(ES14,KanckRef!$A$2:$G$172,5,FALSE)))</f>
        <v/>
      </c>
      <c r="FD14" s="964"/>
      <c r="FE14" s="964"/>
      <c r="FF14" s="964"/>
      <c r="FG14" s="964"/>
      <c r="FH14" s="964"/>
      <c r="FI14" s="964"/>
      <c r="FJ14" s="964"/>
      <c r="FK14" s="964"/>
      <c r="FL14" s="965"/>
      <c r="FW14" s="283">
        <v>14</v>
      </c>
      <c r="FX14" s="283">
        <v>52</v>
      </c>
      <c r="FY14" s="283">
        <v>97</v>
      </c>
      <c r="GJ14" s="283" t="s">
        <v>45</v>
      </c>
      <c r="GK14" s="290">
        <f>IF($AK$7="Select",0,IF(VLOOKUP($AK$7,AssociatedRef!$AP$2:$BZ$130,15,FALSE)="Yes",1,0))</f>
        <v>0</v>
      </c>
    </row>
    <row r="15" spans="1:193" x14ac:dyDescent="0.25">
      <c r="A15" s="740" t="s">
        <v>38</v>
      </c>
      <c r="B15" s="671"/>
      <c r="C15" s="671"/>
      <c r="D15" s="671"/>
      <c r="E15" s="671">
        <f t="shared" si="3"/>
        <v>0</v>
      </c>
      <c r="F15" s="692"/>
      <c r="G15" s="740" t="s">
        <v>48</v>
      </c>
      <c r="H15" s="671"/>
      <c r="I15" s="671"/>
      <c r="J15" s="671"/>
      <c r="K15" s="671">
        <f t="shared" si="4"/>
        <v>0</v>
      </c>
      <c r="L15" s="710"/>
      <c r="M15" s="740" t="str">
        <f>IF(Creation!Y27="Special",IF(DemigodConversion!Y27="Special",IF(GodConversion!Y27="Special","Special",GodConversion!Y27),DemigodConversion!Y27),Creation!Y27)</f>
        <v>Special</v>
      </c>
      <c r="N15" s="671"/>
      <c r="O15" s="671"/>
      <c r="P15" s="671"/>
      <c r="Q15" s="671">
        <f t="shared" si="5"/>
        <v>0</v>
      </c>
      <c r="R15" s="671"/>
      <c r="S15" s="671" t="str">
        <f>IF(Creation!AJ27="","",Creation!AJ27)</f>
        <v/>
      </c>
      <c r="T15" s="671"/>
      <c r="U15" s="671"/>
      <c r="V15" s="671"/>
      <c r="W15" s="671"/>
      <c r="X15" s="710"/>
      <c r="Y15" s="740" t="str">
        <f>IF(AC15="","",IF(FW7&lt;'Purchased Boons'!$A$496,VLOOKUP(AC15,BoonRef!$A:$Z,2,FALSE),VLOOKUP(AC15,KanckRef!$A$2:$G$172,2,FALSE)))</f>
        <v/>
      </c>
      <c r="Z15" s="671"/>
      <c r="AA15" s="671"/>
      <c r="AB15" s="671"/>
      <c r="AC15" s="671" t="str">
        <f>IF(FW7&lt;'Purchased Boons'!$A$496,VLOOKUP(FW7,'Purchased Boons'!$A$2:$C$495,3,FALSE),IF(FW7&lt;'Purchased Knacks'!$B$192,VLOOKUP(FW7,'Purchased Knacks'!$B$4:$E$191,2,FALSE),""))</f>
        <v/>
      </c>
      <c r="AD15" s="671"/>
      <c r="AE15" s="671"/>
      <c r="AF15" s="671"/>
      <c r="AG15" s="671"/>
      <c r="AH15" s="671"/>
      <c r="AI15" s="671"/>
      <c r="AJ15" s="671" t="str">
        <f>IF(AC15="","",IF(FW7&lt;'Purchased Boons'!$A$496,VLOOKUP(AC15,BoonRef!$A$2:$Z$1230,16,FALSE),VLOOKUP(AC15,KanckRef!$A$2:$G$172,4,FALSE)))</f>
        <v/>
      </c>
      <c r="AK15" s="671"/>
      <c r="AL15" s="671"/>
      <c r="AM15" s="767" t="str">
        <f>IF(AC15="","",IF(FW7&lt;'Purchased Boons'!$A$496,VLOOKUP(AC15,BoonRef!$A$2:$Z$1230,23,FALSE),VLOOKUP(AC15,KanckRef!$A$2:$G$172,5,FALSE)))</f>
        <v/>
      </c>
      <c r="AN15" s="767"/>
      <c r="AO15" s="767"/>
      <c r="AP15" s="767"/>
      <c r="AQ15" s="767"/>
      <c r="AR15" s="767"/>
      <c r="AS15" s="767"/>
      <c r="AT15" s="767"/>
      <c r="AU15" s="767"/>
      <c r="AV15" s="768"/>
      <c r="AW15" s="843"/>
      <c r="AX15" s="818"/>
      <c r="AY15" s="818"/>
      <c r="AZ15" s="818"/>
      <c r="BA15" s="818"/>
      <c r="BB15" s="671" t="str">
        <f>IF(AW15="","",VLOOKUP(AW15,ArmoryRef!$A$2:$L$130,2,FALSE))</f>
        <v/>
      </c>
      <c r="BC15" s="671"/>
      <c r="BD15" s="287" t="str">
        <f>IF(AW15="","",VLOOKUP(AW15,ArmoryRef!$A$2:$L$130,10,FALSE)+BO15)</f>
        <v/>
      </c>
      <c r="BE15" s="710" t="str">
        <f>IF(AW15="","",CONCATENATE(VLOOKUP(AW15,ArmoryRef!$A$2:$L$130,4,FALSE)+BQ15," + ",$G$7))</f>
        <v/>
      </c>
      <c r="BF15" s="673"/>
      <c r="BG15" s="716"/>
      <c r="BH15" s="710" t="str">
        <f>IF(AW15="","",CONCATENATE(VLOOKUP(AW15,ArmoryRef!$A$2:$L$130,6,FALSE)+BS15," + ",$G$6))</f>
        <v/>
      </c>
      <c r="BI15" s="673"/>
      <c r="BJ15" s="716"/>
      <c r="BK15" s="299" t="str">
        <f>IF(AW15="","",IF(VLOOKUP(AW15,ArmoryRef!$A$2:$L$130,9,FALSE)="--","--",VLOOKUP(AW15,ArmoryRef!$A$2:$L$130,9,FALSE)+BP15))</f>
        <v/>
      </c>
      <c r="BL15" s="671" t="str">
        <f>IF(AW15="","",VLOOKUP(AW15,ArmoryRef!$A$2:$L$130,11,FALSE))</f>
        <v/>
      </c>
      <c r="BM15" s="671"/>
      <c r="BN15" s="285" t="str">
        <f>IF(AW15="","",VLOOKUP(AW15,ArmoryRef!$A$2:$L$130,12,FALSE))</f>
        <v/>
      </c>
      <c r="BO15" s="300"/>
      <c r="BP15" s="121"/>
      <c r="BQ15" s="694"/>
      <c r="BR15" s="694"/>
      <c r="BS15" s="694"/>
      <c r="BT15" s="719"/>
      <c r="BU15" s="850"/>
      <c r="BV15" s="850"/>
      <c r="BW15" s="850"/>
      <c r="BX15" s="850"/>
      <c r="BY15" s="850"/>
      <c r="BZ15" s="850"/>
      <c r="CA15" s="850"/>
      <c r="CB15" s="850"/>
      <c r="CC15" s="850"/>
      <c r="CD15" s="850"/>
      <c r="CE15" s="850"/>
      <c r="CF15" s="850"/>
      <c r="CG15" s="850"/>
      <c r="CH15" s="850"/>
      <c r="CI15" s="850"/>
      <c r="CJ15" s="850"/>
      <c r="CK15" s="850"/>
      <c r="CL15" s="850"/>
      <c r="CM15" s="850"/>
      <c r="CN15" s="850"/>
      <c r="CO15" s="850"/>
      <c r="CP15" s="850"/>
      <c r="CQ15" s="850"/>
      <c r="CR15" s="851"/>
      <c r="CS15" s="668"/>
      <c r="CT15" s="669"/>
      <c r="CU15" s="669"/>
      <c r="CV15" s="669"/>
      <c r="CW15" s="669"/>
      <c r="CX15" s="669"/>
      <c r="CY15" s="669"/>
      <c r="CZ15" s="669"/>
      <c r="DA15" s="669"/>
      <c r="DB15" s="669"/>
      <c r="DC15" s="669"/>
      <c r="DD15" s="669"/>
      <c r="DE15" s="669"/>
      <c r="DF15" s="669"/>
      <c r="DG15" s="669"/>
      <c r="DH15" s="863"/>
      <c r="DI15" s="668"/>
      <c r="DJ15" s="669"/>
      <c r="DK15" s="669"/>
      <c r="DL15" s="669"/>
      <c r="DM15" s="669"/>
      <c r="DN15" s="669"/>
      <c r="DO15" s="669"/>
      <c r="DP15" s="669"/>
      <c r="DQ15" s="966" t="str">
        <f>IF(DU15="","",IF(FX14&lt;'Purchased Boons'!$A$496,VLOOKUP(DU15,BoonRef!$A:$Z,2,FALSE),VLOOKUP(DU15,KanckRef!$A$2:$G$172,2,FALSE)))</f>
        <v/>
      </c>
      <c r="DR15" s="963"/>
      <c r="DS15" s="963"/>
      <c r="DT15" s="963"/>
      <c r="DU15" s="963" t="str">
        <f>IF(FX14&lt;'Purchased Boons'!$A$496,VLOOKUP(FX14,'Purchased Boons'!$A$2:$C$495,3,FALSE),IF(FX14&lt;'Purchased Knacks'!$B$192,VLOOKUP(FX14,'Purchased Knacks'!$B$4:$E$191,2,FALSE),""))</f>
        <v/>
      </c>
      <c r="DV15" s="963"/>
      <c r="DW15" s="963"/>
      <c r="DX15" s="963"/>
      <c r="DY15" s="963"/>
      <c r="DZ15" s="963"/>
      <c r="EA15" s="963"/>
      <c r="EB15" s="972" t="str">
        <f>IF(DU15="","",IF(FX14&lt;'Purchased Boons'!$A$496,VLOOKUP(DU15,BoonRef!$A$2:$Z$1230,16,FALSE),VLOOKUP(DU15,KanckRef!$A$2:$G$172,4,FALSE)))</f>
        <v/>
      </c>
      <c r="EC15" s="972"/>
      <c r="ED15" s="972"/>
      <c r="EE15" s="964" t="str">
        <f>IF(DU15="","",IF(FX14&lt;'Purchased Boons'!$A$496,VLOOKUP(DU15,BoonRef!$A$2:$Z$1230,23,FALSE),VLOOKUP(DU15,KanckRef!$A$2:$G$172,5,FALSE)))</f>
        <v/>
      </c>
      <c r="EF15" s="964"/>
      <c r="EG15" s="964"/>
      <c r="EH15" s="964"/>
      <c r="EI15" s="964"/>
      <c r="EJ15" s="964"/>
      <c r="EK15" s="964"/>
      <c r="EL15" s="964"/>
      <c r="EM15" s="964"/>
      <c r="EN15" s="965"/>
      <c r="EO15" s="966" t="str">
        <f>IF(ES15="","",IF(FY14&lt;'Purchased Boons'!$A$496,VLOOKUP(ES15,BoonRef!$A:$Z,2,FALSE),VLOOKUP(ES15,KanckRef!$A$2:$G$172,2,FALSE)))</f>
        <v/>
      </c>
      <c r="EP15" s="963"/>
      <c r="EQ15" s="963"/>
      <c r="ER15" s="963"/>
      <c r="ES15" s="963" t="str">
        <f>IF(FY14&lt;'Purchased Boons'!$A$496,VLOOKUP(FY14,'Purchased Boons'!$A$2:$C$495,3,FALSE),IF(FY14&lt;'Purchased Knacks'!$B$192,VLOOKUP(FY14,'Purchased Knacks'!$B$4:$E$191,2,FALSE),""))</f>
        <v/>
      </c>
      <c r="ET15" s="963"/>
      <c r="EU15" s="963"/>
      <c r="EV15" s="963"/>
      <c r="EW15" s="963"/>
      <c r="EX15" s="963"/>
      <c r="EY15" s="963"/>
      <c r="EZ15" s="972" t="str">
        <f>IF(ES15="","",IF(FY14&lt;'Purchased Boons'!$A$496,VLOOKUP(ES15,BoonRef!$A$2:$Z$1230,16,FALSE),VLOOKUP(ES15,KanckRef!$A$2:$G$172,4,FALSE)))</f>
        <v/>
      </c>
      <c r="FA15" s="972"/>
      <c r="FB15" s="972"/>
      <c r="FC15" s="964" t="str">
        <f>IF(ES15="","",IF(FY14&lt;'Purchased Boons'!$A$496,VLOOKUP(ES15,BoonRef!$A$2:$Z$1230,23,FALSE),VLOOKUP(ES15,KanckRef!$A$2:$G$172,5,FALSE)))</f>
        <v/>
      </c>
      <c r="FD15" s="964"/>
      <c r="FE15" s="964"/>
      <c r="FF15" s="964"/>
      <c r="FG15" s="964"/>
      <c r="FH15" s="964"/>
      <c r="FI15" s="964"/>
      <c r="FJ15" s="964"/>
      <c r="FK15" s="964"/>
      <c r="FL15" s="965"/>
      <c r="FW15" s="283">
        <v>15</v>
      </c>
      <c r="FX15" s="283">
        <v>53</v>
      </c>
      <c r="FY15" s="283">
        <v>98</v>
      </c>
      <c r="GJ15" s="283" t="s">
        <v>46</v>
      </c>
      <c r="GK15" s="290">
        <f>IF($AK$7="Select",0,IF(VLOOKUP($AK$7,AssociatedRef!$AP$2:$BZ$130,16,FALSE)="Yes",1,0))</f>
        <v>0</v>
      </c>
    </row>
    <row r="16" spans="1:193" x14ac:dyDescent="0.25">
      <c r="A16" s="740" t="s">
        <v>39</v>
      </c>
      <c r="B16" s="671"/>
      <c r="C16" s="671"/>
      <c r="D16" s="671"/>
      <c r="E16" s="671">
        <f t="shared" si="3"/>
        <v>0</v>
      </c>
      <c r="F16" s="692"/>
      <c r="G16" s="740" t="s">
        <v>49</v>
      </c>
      <c r="H16" s="671"/>
      <c r="I16" s="671"/>
      <c r="J16" s="671"/>
      <c r="K16" s="671">
        <f t="shared" si="4"/>
        <v>0</v>
      </c>
      <c r="L16" s="710"/>
      <c r="M16" s="740" t="str">
        <f>IF(Creation!Y28="Special",IF(DemigodConversion!Y28="Special",IF(GodConversion!Y28="Special","Special",GodConversion!Y28),DemigodConversion!Y28),Creation!Y28)</f>
        <v>Special</v>
      </c>
      <c r="N16" s="671"/>
      <c r="O16" s="671"/>
      <c r="P16" s="671"/>
      <c r="Q16" s="671">
        <f t="shared" si="5"/>
        <v>0</v>
      </c>
      <c r="R16" s="671"/>
      <c r="S16" s="671" t="str">
        <f>IF(Creation!AJ28="","",Creation!AJ28)</f>
        <v/>
      </c>
      <c r="T16" s="671"/>
      <c r="U16" s="671"/>
      <c r="V16" s="671"/>
      <c r="W16" s="671"/>
      <c r="X16" s="710"/>
      <c r="Y16" s="740" t="str">
        <f>IF(AC16="","",IF(FW8&lt;'Purchased Boons'!$A$496,VLOOKUP(AC16,BoonRef!$A:$Z,2,FALSE),VLOOKUP(AC16,KanckRef!$A$2:$G$172,2,FALSE)))</f>
        <v/>
      </c>
      <c r="Z16" s="671"/>
      <c r="AA16" s="671"/>
      <c r="AB16" s="671"/>
      <c r="AC16" s="671" t="str">
        <f>IF(FW8&lt;'Purchased Boons'!$A$496,VLOOKUP(FW8,'Purchased Boons'!$A$2:$C$495,3,FALSE),IF(FW8&lt;'Purchased Knacks'!$B$192,VLOOKUP(FW8,'Purchased Knacks'!$B$4:$E$191,2,FALSE),""))</f>
        <v/>
      </c>
      <c r="AD16" s="671"/>
      <c r="AE16" s="671"/>
      <c r="AF16" s="671"/>
      <c r="AG16" s="671"/>
      <c r="AH16" s="671"/>
      <c r="AI16" s="671"/>
      <c r="AJ16" s="671" t="str">
        <f>IF(AC16="","",IF(FW8&lt;'Purchased Boons'!$A$496,VLOOKUP(AC16,BoonRef!$A$2:$Z$1230,16,FALSE),VLOOKUP(AC16,KanckRef!$A$2:$G$172,4,FALSE)))</f>
        <v/>
      </c>
      <c r="AK16" s="671"/>
      <c r="AL16" s="671"/>
      <c r="AM16" s="767" t="str">
        <f>IF(AC16="","",IF(FW8&lt;'Purchased Boons'!$A$496,VLOOKUP(AC16,BoonRef!$A$2:$Z$1230,23,FALSE),VLOOKUP(AC16,KanckRef!$A$2:$G$172,5,FALSE)))</f>
        <v/>
      </c>
      <c r="AN16" s="767"/>
      <c r="AO16" s="767"/>
      <c r="AP16" s="767"/>
      <c r="AQ16" s="767"/>
      <c r="AR16" s="767"/>
      <c r="AS16" s="767"/>
      <c r="AT16" s="767"/>
      <c r="AU16" s="767"/>
      <c r="AV16" s="768"/>
      <c r="AW16" s="843"/>
      <c r="AX16" s="818"/>
      <c r="AY16" s="818"/>
      <c r="AZ16" s="818"/>
      <c r="BA16" s="818"/>
      <c r="BB16" s="671" t="str">
        <f>IF(AW16="","",VLOOKUP(AW16,ArmoryRef!$A$2:$L$130,2,FALSE))</f>
        <v/>
      </c>
      <c r="BC16" s="671"/>
      <c r="BD16" s="287" t="str">
        <f>IF(AW16="","",VLOOKUP(AW16,ArmoryRef!$A$2:$L$130,10,FALSE)+BO16)</f>
        <v/>
      </c>
      <c r="BE16" s="710" t="str">
        <f>IF(AW16="","",CONCATENATE(VLOOKUP(AW16,ArmoryRef!$A$2:$L$130,4,FALSE)+BQ16," + ",$G$7))</f>
        <v/>
      </c>
      <c r="BF16" s="673"/>
      <c r="BG16" s="716"/>
      <c r="BH16" s="710" t="str">
        <f>IF(AW16="","",CONCATENATE(VLOOKUP(AW16,ArmoryRef!$A$2:$L$130,6,FALSE)+BS16," + ",$G$6))</f>
        <v/>
      </c>
      <c r="BI16" s="673"/>
      <c r="BJ16" s="716"/>
      <c r="BK16" s="299" t="str">
        <f>IF(AW16="","",IF(VLOOKUP(AW16,ArmoryRef!$A$2:$L$130,9,FALSE)="--","--",VLOOKUP(AW16,ArmoryRef!$A$2:$L$130,9,FALSE)+BP16))</f>
        <v/>
      </c>
      <c r="BL16" s="671" t="str">
        <f>IF(AW16="","",VLOOKUP(AW16,ArmoryRef!$A$2:$L$130,11,FALSE))</f>
        <v/>
      </c>
      <c r="BM16" s="671"/>
      <c r="BN16" s="285" t="str">
        <f>IF(AW16="","",VLOOKUP(AW16,ArmoryRef!$A$2:$L$130,12,FALSE))</f>
        <v/>
      </c>
      <c r="BO16" s="300"/>
      <c r="BP16" s="121"/>
      <c r="BQ16" s="694"/>
      <c r="BR16" s="694"/>
      <c r="BS16" s="694"/>
      <c r="BT16" s="719"/>
      <c r="BU16" s="850"/>
      <c r="BV16" s="850"/>
      <c r="BW16" s="850"/>
      <c r="BX16" s="850"/>
      <c r="BY16" s="850"/>
      <c r="BZ16" s="850"/>
      <c r="CA16" s="850"/>
      <c r="CB16" s="850"/>
      <c r="CC16" s="850"/>
      <c r="CD16" s="850"/>
      <c r="CE16" s="850"/>
      <c r="CF16" s="850"/>
      <c r="CG16" s="850"/>
      <c r="CH16" s="850"/>
      <c r="CI16" s="850"/>
      <c r="CJ16" s="850"/>
      <c r="CK16" s="850"/>
      <c r="CL16" s="850"/>
      <c r="CM16" s="850"/>
      <c r="CN16" s="850"/>
      <c r="CO16" s="850"/>
      <c r="CP16" s="850"/>
      <c r="CQ16" s="850"/>
      <c r="CR16" s="851"/>
      <c r="CS16" s="668"/>
      <c r="CT16" s="669"/>
      <c r="CU16" s="669"/>
      <c r="CV16" s="669"/>
      <c r="CW16" s="669"/>
      <c r="CX16" s="669"/>
      <c r="CY16" s="669"/>
      <c r="CZ16" s="669"/>
      <c r="DA16" s="669"/>
      <c r="DB16" s="669"/>
      <c r="DC16" s="669"/>
      <c r="DD16" s="669"/>
      <c r="DE16" s="669"/>
      <c r="DF16" s="669"/>
      <c r="DG16" s="669"/>
      <c r="DH16" s="863"/>
      <c r="DI16" s="668"/>
      <c r="DJ16" s="669"/>
      <c r="DK16" s="669"/>
      <c r="DL16" s="669"/>
      <c r="DM16" s="669"/>
      <c r="DN16" s="669"/>
      <c r="DO16" s="669"/>
      <c r="DP16" s="669"/>
      <c r="DQ16" s="966" t="str">
        <f>IF(DU16="","",IF(FX15&lt;'Purchased Boons'!$A$496,VLOOKUP(DU16,BoonRef!$A:$Z,2,FALSE),VLOOKUP(DU16,KanckRef!$A$2:$G$172,2,FALSE)))</f>
        <v/>
      </c>
      <c r="DR16" s="963"/>
      <c r="DS16" s="963"/>
      <c r="DT16" s="963"/>
      <c r="DU16" s="963" t="str">
        <f>IF(FX15&lt;'Purchased Boons'!$A$496,VLOOKUP(FX15,'Purchased Boons'!$A$2:$C$495,3,FALSE),IF(FX15&lt;'Purchased Knacks'!$B$192,VLOOKUP(FX15,'Purchased Knacks'!$B$4:$E$191,2,FALSE),""))</f>
        <v/>
      </c>
      <c r="DV16" s="963"/>
      <c r="DW16" s="963"/>
      <c r="DX16" s="963"/>
      <c r="DY16" s="963"/>
      <c r="DZ16" s="963"/>
      <c r="EA16" s="963"/>
      <c r="EB16" s="972" t="str">
        <f>IF(DU16="","",IF(FX15&lt;'Purchased Boons'!$A$496,VLOOKUP(DU16,BoonRef!$A$2:$Z$1230,16,FALSE),VLOOKUP(DU16,KanckRef!$A$2:$G$172,4,FALSE)))</f>
        <v/>
      </c>
      <c r="EC16" s="972"/>
      <c r="ED16" s="972"/>
      <c r="EE16" s="964" t="str">
        <f>IF(DU16="","",IF(FX15&lt;'Purchased Boons'!$A$496,VLOOKUP(DU16,BoonRef!$A$2:$Z$1230,23,FALSE),VLOOKUP(DU16,KanckRef!$A$2:$G$172,5,FALSE)))</f>
        <v/>
      </c>
      <c r="EF16" s="964"/>
      <c r="EG16" s="964"/>
      <c r="EH16" s="964"/>
      <c r="EI16" s="964"/>
      <c r="EJ16" s="964"/>
      <c r="EK16" s="964"/>
      <c r="EL16" s="964"/>
      <c r="EM16" s="964"/>
      <c r="EN16" s="965"/>
      <c r="EO16" s="966" t="str">
        <f>IF(ES16="","",IF(FY15&lt;'Purchased Boons'!$A$496,VLOOKUP(ES16,BoonRef!$A:$Z,2,FALSE),VLOOKUP(ES16,KanckRef!$A$2:$G$172,2,FALSE)))</f>
        <v/>
      </c>
      <c r="EP16" s="963"/>
      <c r="EQ16" s="963"/>
      <c r="ER16" s="963"/>
      <c r="ES16" s="963" t="str">
        <f>IF(FY15&lt;'Purchased Boons'!$A$496,VLOOKUP(FY15,'Purchased Boons'!$A$2:$C$495,3,FALSE),IF(FY15&lt;'Purchased Knacks'!$B$192,VLOOKUP(FY15,'Purchased Knacks'!$B$4:$E$191,2,FALSE),""))</f>
        <v/>
      </c>
      <c r="ET16" s="963"/>
      <c r="EU16" s="963"/>
      <c r="EV16" s="963"/>
      <c r="EW16" s="963"/>
      <c r="EX16" s="963"/>
      <c r="EY16" s="963"/>
      <c r="EZ16" s="972" t="str">
        <f>IF(ES16="","",IF(FY15&lt;'Purchased Boons'!$A$496,VLOOKUP(ES16,BoonRef!$A$2:$Z$1230,16,FALSE),VLOOKUP(ES16,KanckRef!$A$2:$G$172,4,FALSE)))</f>
        <v/>
      </c>
      <c r="FA16" s="972"/>
      <c r="FB16" s="972"/>
      <c r="FC16" s="964" t="str">
        <f>IF(ES16="","",IF(FY15&lt;'Purchased Boons'!$A$496,VLOOKUP(ES16,BoonRef!$A$2:$Z$1230,23,FALSE),VLOOKUP(ES16,KanckRef!$A$2:$G$172,5,FALSE)))</f>
        <v/>
      </c>
      <c r="FD16" s="964"/>
      <c r="FE16" s="964"/>
      <c r="FF16" s="964"/>
      <c r="FG16" s="964"/>
      <c r="FH16" s="964"/>
      <c r="FI16" s="964"/>
      <c r="FJ16" s="964"/>
      <c r="FK16" s="964"/>
      <c r="FL16" s="965"/>
      <c r="FW16" s="283">
        <v>16</v>
      </c>
      <c r="FX16" s="283">
        <v>54</v>
      </c>
      <c r="FY16" s="283">
        <v>99</v>
      </c>
      <c r="GJ16" s="283" t="s">
        <v>47</v>
      </c>
      <c r="GK16" s="290">
        <f>IF($AK$7="Select",0,IF(VLOOKUP($AK$7,AssociatedRef!$AP$2:$BZ$130,17,FALSE)="Yes",1,0))</f>
        <v>0</v>
      </c>
    </row>
    <row r="17" spans="1:193" ht="15.75" thickBot="1" x14ac:dyDescent="0.3">
      <c r="A17" s="740" t="s">
        <v>40</v>
      </c>
      <c r="B17" s="671"/>
      <c r="C17" s="671"/>
      <c r="D17" s="671"/>
      <c r="E17" s="671">
        <f t="shared" si="3"/>
        <v>0</v>
      </c>
      <c r="F17" s="692"/>
      <c r="G17" s="740" t="s">
        <v>50</v>
      </c>
      <c r="H17" s="671"/>
      <c r="I17" s="671"/>
      <c r="J17" s="671"/>
      <c r="K17" s="671">
        <f t="shared" si="4"/>
        <v>0</v>
      </c>
      <c r="L17" s="710"/>
      <c r="M17" s="740" t="str">
        <f>IF(Creation!Y29="Special",IF(DemigodConversion!Y29="Special",IF(GodConversion!Y29="Special","Special",GodConversion!Y29),DemigodConversion!Y29),Creation!Y29)</f>
        <v>Special</v>
      </c>
      <c r="N17" s="671"/>
      <c r="O17" s="671"/>
      <c r="P17" s="671"/>
      <c r="Q17" s="671">
        <f t="shared" si="5"/>
        <v>0</v>
      </c>
      <c r="R17" s="671"/>
      <c r="S17" s="671" t="str">
        <f>IF(Creation!AJ29="","",Creation!AJ29)</f>
        <v/>
      </c>
      <c r="T17" s="671"/>
      <c r="U17" s="671"/>
      <c r="V17" s="671"/>
      <c r="W17" s="671"/>
      <c r="X17" s="710"/>
      <c r="Y17" s="740" t="str">
        <f>IF(AC17="","",IF(FW9&lt;'Purchased Boons'!$A$496,VLOOKUP(AC17,BoonRef!$A:$Z,2,FALSE),VLOOKUP(AC17,KanckRef!$A$2:$G$172,2,FALSE)))</f>
        <v/>
      </c>
      <c r="Z17" s="671"/>
      <c r="AA17" s="671"/>
      <c r="AB17" s="671"/>
      <c r="AC17" s="671" t="str">
        <f>IF(FW9&lt;'Purchased Boons'!$A$496,VLOOKUP(FW9,'Purchased Boons'!$A$2:$C$495,3,FALSE),IF(FW9&lt;'Purchased Knacks'!$B$192,VLOOKUP(FW9,'Purchased Knacks'!$B$4:$E$191,2,FALSE),""))</f>
        <v/>
      </c>
      <c r="AD17" s="671"/>
      <c r="AE17" s="671"/>
      <c r="AF17" s="671"/>
      <c r="AG17" s="671"/>
      <c r="AH17" s="671"/>
      <c r="AI17" s="671"/>
      <c r="AJ17" s="671" t="str">
        <f>IF(AC17="","",IF(FW9&lt;'Purchased Boons'!$A$496,VLOOKUP(AC17,BoonRef!$A$2:$Z$1230,16,FALSE),VLOOKUP(AC17,KanckRef!$A$2:$G$172,4,FALSE)))</f>
        <v/>
      </c>
      <c r="AK17" s="671"/>
      <c r="AL17" s="671"/>
      <c r="AM17" s="767" t="str">
        <f>IF(AC17="","",IF(FW9&lt;'Purchased Boons'!$A$496,VLOOKUP(AC17,BoonRef!$A$2:$Z$1230,23,FALSE),VLOOKUP(AC17,KanckRef!$A$2:$G$172,5,FALSE)))</f>
        <v/>
      </c>
      <c r="AN17" s="767"/>
      <c r="AO17" s="767"/>
      <c r="AP17" s="767"/>
      <c r="AQ17" s="767"/>
      <c r="AR17" s="767"/>
      <c r="AS17" s="767"/>
      <c r="AT17" s="767"/>
      <c r="AU17" s="767"/>
      <c r="AV17" s="768"/>
      <c r="AW17" s="843"/>
      <c r="AX17" s="818"/>
      <c r="AY17" s="818"/>
      <c r="AZ17" s="818"/>
      <c r="BA17" s="818"/>
      <c r="BB17" s="671" t="str">
        <f>IF(AW17="","",VLOOKUP(AW17,ArmoryRef!$A$2:$L$130,2,FALSE))</f>
        <v/>
      </c>
      <c r="BC17" s="671"/>
      <c r="BD17" s="287" t="str">
        <f>IF(AW17="","",VLOOKUP(AW17,ArmoryRef!$A$2:$L$130,10,FALSE)+BO17)</f>
        <v/>
      </c>
      <c r="BE17" s="710" t="str">
        <f>IF(AW17="","",CONCATENATE(VLOOKUP(AW17,ArmoryRef!$A$2:$L$130,4,FALSE)+BQ17," + ",$G$7))</f>
        <v/>
      </c>
      <c r="BF17" s="673"/>
      <c r="BG17" s="716"/>
      <c r="BH17" s="710" t="str">
        <f>IF(AW17="","",CONCATENATE(VLOOKUP(AW17,ArmoryRef!$A$2:$L$130,6,FALSE)+BS17," + ",$G$6))</f>
        <v/>
      </c>
      <c r="BI17" s="673"/>
      <c r="BJ17" s="716"/>
      <c r="BK17" s="299" t="str">
        <f>IF(AW17="","",IF(VLOOKUP(AW17,ArmoryRef!$A$2:$L$130,9,FALSE)="--","--",VLOOKUP(AW17,ArmoryRef!$A$2:$L$130,9,FALSE)+BP17))</f>
        <v/>
      </c>
      <c r="BL17" s="671" t="str">
        <f>IF(AW17="","",VLOOKUP(AW17,ArmoryRef!$A$2:$L$130,11,FALSE))</f>
        <v/>
      </c>
      <c r="BM17" s="671"/>
      <c r="BN17" s="285" t="str">
        <f>IF(AW17="","",VLOOKUP(AW17,ArmoryRef!$A$2:$L$130,12,FALSE))</f>
        <v/>
      </c>
      <c r="BO17" s="300"/>
      <c r="BP17" s="121"/>
      <c r="BQ17" s="694"/>
      <c r="BR17" s="694"/>
      <c r="BS17" s="694"/>
      <c r="BT17" s="719"/>
      <c r="BU17" s="852"/>
      <c r="BV17" s="852"/>
      <c r="BW17" s="852"/>
      <c r="BX17" s="852"/>
      <c r="BY17" s="852"/>
      <c r="BZ17" s="852"/>
      <c r="CA17" s="852"/>
      <c r="CB17" s="852"/>
      <c r="CC17" s="852"/>
      <c r="CD17" s="852"/>
      <c r="CE17" s="852"/>
      <c r="CF17" s="852"/>
      <c r="CG17" s="852"/>
      <c r="CH17" s="852"/>
      <c r="CI17" s="852"/>
      <c r="CJ17" s="852"/>
      <c r="CK17" s="852"/>
      <c r="CL17" s="852"/>
      <c r="CM17" s="852"/>
      <c r="CN17" s="852"/>
      <c r="CO17" s="852"/>
      <c r="CP17" s="852"/>
      <c r="CQ17" s="852"/>
      <c r="CR17" s="853"/>
      <c r="CS17" s="668"/>
      <c r="CT17" s="669"/>
      <c r="CU17" s="669"/>
      <c r="CV17" s="669"/>
      <c r="CW17" s="669"/>
      <c r="CX17" s="669"/>
      <c r="CY17" s="669"/>
      <c r="CZ17" s="669"/>
      <c r="DA17" s="669"/>
      <c r="DB17" s="669"/>
      <c r="DC17" s="669"/>
      <c r="DD17" s="669"/>
      <c r="DE17" s="669"/>
      <c r="DF17" s="669"/>
      <c r="DG17" s="669"/>
      <c r="DH17" s="863"/>
      <c r="DI17" s="668"/>
      <c r="DJ17" s="669"/>
      <c r="DK17" s="669"/>
      <c r="DL17" s="669"/>
      <c r="DM17" s="669"/>
      <c r="DN17" s="669"/>
      <c r="DO17" s="669"/>
      <c r="DP17" s="669"/>
      <c r="DQ17" s="966" t="str">
        <f>IF(DU17="","",IF(FX16&lt;'Purchased Boons'!$A$496,VLOOKUP(DU17,BoonRef!$A:$Z,2,FALSE),VLOOKUP(DU17,KanckRef!$A$2:$G$172,2,FALSE)))</f>
        <v/>
      </c>
      <c r="DR17" s="963"/>
      <c r="DS17" s="963"/>
      <c r="DT17" s="963"/>
      <c r="DU17" s="963" t="str">
        <f>IF(FX16&lt;'Purchased Boons'!$A$496,VLOOKUP(FX16,'Purchased Boons'!$A$2:$C$495,3,FALSE),IF(FX16&lt;'Purchased Knacks'!$B$192,VLOOKUP(FX16,'Purchased Knacks'!$B$4:$E$191,2,FALSE),""))</f>
        <v/>
      </c>
      <c r="DV17" s="963"/>
      <c r="DW17" s="963"/>
      <c r="DX17" s="963"/>
      <c r="DY17" s="963"/>
      <c r="DZ17" s="963"/>
      <c r="EA17" s="963"/>
      <c r="EB17" s="972" t="str">
        <f>IF(DU17="","",IF(FX16&lt;'Purchased Boons'!$A$496,VLOOKUP(DU17,BoonRef!$A$2:$Z$1230,16,FALSE),VLOOKUP(DU17,KanckRef!$A$2:$G$172,4,FALSE)))</f>
        <v/>
      </c>
      <c r="EC17" s="972"/>
      <c r="ED17" s="972"/>
      <c r="EE17" s="964" t="str">
        <f>IF(DU17="","",IF(FX16&lt;'Purchased Boons'!$A$496,VLOOKUP(DU17,BoonRef!$A$2:$Z$1230,23,FALSE),VLOOKUP(DU17,KanckRef!$A$2:$G$172,5,FALSE)))</f>
        <v/>
      </c>
      <c r="EF17" s="964"/>
      <c r="EG17" s="964"/>
      <c r="EH17" s="964"/>
      <c r="EI17" s="964"/>
      <c r="EJ17" s="964"/>
      <c r="EK17" s="964"/>
      <c r="EL17" s="964"/>
      <c r="EM17" s="964"/>
      <c r="EN17" s="965"/>
      <c r="EO17" s="966" t="str">
        <f>IF(ES17="","",IF(FY16&lt;'Purchased Boons'!$A$496,VLOOKUP(ES17,BoonRef!$A:$Z,2,FALSE),VLOOKUP(ES17,KanckRef!$A$2:$G$172,2,FALSE)))</f>
        <v/>
      </c>
      <c r="EP17" s="963"/>
      <c r="EQ17" s="963"/>
      <c r="ER17" s="963"/>
      <c r="ES17" s="963" t="str">
        <f>IF(FY16&lt;'Purchased Boons'!$A$496,VLOOKUP(FY16,'Purchased Boons'!$A$2:$C$495,3,FALSE),IF(FY16&lt;'Purchased Knacks'!$B$192,VLOOKUP(FY16,'Purchased Knacks'!$B$4:$E$191,2,FALSE),""))</f>
        <v/>
      </c>
      <c r="ET17" s="963"/>
      <c r="EU17" s="963"/>
      <c r="EV17" s="963"/>
      <c r="EW17" s="963"/>
      <c r="EX17" s="963"/>
      <c r="EY17" s="963"/>
      <c r="EZ17" s="972" t="str">
        <f>IF(ES17="","",IF(FY16&lt;'Purchased Boons'!$A$496,VLOOKUP(ES17,BoonRef!$A$2:$Z$1230,16,FALSE),VLOOKUP(ES17,KanckRef!$A$2:$G$172,4,FALSE)))</f>
        <v/>
      </c>
      <c r="FA17" s="972"/>
      <c r="FB17" s="972"/>
      <c r="FC17" s="964" t="str">
        <f>IF(ES17="","",IF(FY16&lt;'Purchased Boons'!$A$496,VLOOKUP(ES17,BoonRef!$A$2:$Z$1230,23,FALSE),VLOOKUP(ES17,KanckRef!$A$2:$G$172,5,FALSE)))</f>
        <v/>
      </c>
      <c r="FD17" s="964"/>
      <c r="FE17" s="964"/>
      <c r="FF17" s="964"/>
      <c r="FG17" s="964"/>
      <c r="FH17" s="964"/>
      <c r="FI17" s="964"/>
      <c r="FJ17" s="964"/>
      <c r="FK17" s="964"/>
      <c r="FL17" s="965"/>
      <c r="FW17" s="283">
        <v>17</v>
      </c>
      <c r="FX17" s="283">
        <v>55</v>
      </c>
      <c r="FY17" s="283">
        <v>100</v>
      </c>
      <c r="GJ17" s="283" t="s">
        <v>48</v>
      </c>
      <c r="GK17" s="290">
        <f>IF($AK$7="Select",0,IF(VLOOKUP($AK$7,AssociatedRef!$AP$2:$BZ$130,18,FALSE)="Yes",1,0))</f>
        <v>0</v>
      </c>
    </row>
    <row r="18" spans="1:193" ht="15" customHeight="1" x14ac:dyDescent="0.25">
      <c r="A18" s="740" t="s">
        <v>41</v>
      </c>
      <c r="B18" s="671"/>
      <c r="C18" s="671"/>
      <c r="D18" s="671"/>
      <c r="E18" s="671">
        <f t="shared" si="3"/>
        <v>0</v>
      </c>
      <c r="F18" s="692"/>
      <c r="G18" s="740" t="s">
        <v>51</v>
      </c>
      <c r="H18" s="671"/>
      <c r="I18" s="671"/>
      <c r="J18" s="671"/>
      <c r="K18" s="671">
        <f t="shared" si="4"/>
        <v>0</v>
      </c>
      <c r="L18" s="710"/>
      <c r="M18" s="740" t="str">
        <f>IF(Creation!Y30="Special",IF(DemigodConversion!Y30="Special",IF(GodConversion!Y30="Special","Special",GodConversion!Y30),DemigodConversion!Y30),Creation!Y30)</f>
        <v>Special</v>
      </c>
      <c r="N18" s="671"/>
      <c r="O18" s="671"/>
      <c r="P18" s="671"/>
      <c r="Q18" s="671">
        <f t="shared" si="5"/>
        <v>0</v>
      </c>
      <c r="R18" s="671"/>
      <c r="S18" s="671" t="str">
        <f>IF(Creation!AJ30="","",Creation!AJ30)</f>
        <v/>
      </c>
      <c r="T18" s="671"/>
      <c r="U18" s="671"/>
      <c r="V18" s="671"/>
      <c r="W18" s="671"/>
      <c r="X18" s="710"/>
      <c r="Y18" s="740" t="str">
        <f>IF(AC18="","",IF(FW10&lt;'Purchased Boons'!$A$496,VLOOKUP(AC18,BoonRef!$A:$Z,2,FALSE),VLOOKUP(AC18,KanckRef!$A$2:$G$172,2,FALSE)))</f>
        <v/>
      </c>
      <c r="Z18" s="671"/>
      <c r="AA18" s="671"/>
      <c r="AB18" s="671"/>
      <c r="AC18" s="671" t="str">
        <f>IF(FW10&lt;'Purchased Boons'!$A$496,VLOOKUP(FW10,'Purchased Boons'!$A$2:$C$495,3,FALSE),IF(FW10&lt;'Purchased Knacks'!$B$192,VLOOKUP(FW10,'Purchased Knacks'!$B$4:$E$191,2,FALSE),""))</f>
        <v/>
      </c>
      <c r="AD18" s="671"/>
      <c r="AE18" s="671"/>
      <c r="AF18" s="671"/>
      <c r="AG18" s="671"/>
      <c r="AH18" s="671"/>
      <c r="AI18" s="671"/>
      <c r="AJ18" s="671" t="str">
        <f>IF(AC18="","",IF(FW10&lt;'Purchased Boons'!$A$496,VLOOKUP(AC18,BoonRef!$A$2:$Z$1230,16,FALSE),VLOOKUP(AC18,KanckRef!$A$2:$G$172,4,FALSE)))</f>
        <v/>
      </c>
      <c r="AK18" s="671"/>
      <c r="AL18" s="671"/>
      <c r="AM18" s="767" t="str">
        <f>IF(AC18="","",IF(FW10&lt;'Purchased Boons'!$A$496,VLOOKUP(AC18,BoonRef!$A$2:$Z$1230,23,FALSE),VLOOKUP(AC18,KanckRef!$A$2:$G$172,5,FALSE)))</f>
        <v/>
      </c>
      <c r="AN18" s="767"/>
      <c r="AO18" s="767"/>
      <c r="AP18" s="767"/>
      <c r="AQ18" s="767"/>
      <c r="AR18" s="767"/>
      <c r="AS18" s="767"/>
      <c r="AT18" s="767"/>
      <c r="AU18" s="767"/>
      <c r="AV18" s="768"/>
      <c r="AW18" s="843"/>
      <c r="AX18" s="818"/>
      <c r="AY18" s="818"/>
      <c r="AZ18" s="818"/>
      <c r="BA18" s="818"/>
      <c r="BB18" s="671" t="str">
        <f>IF(AW18="","",VLOOKUP(AW18,ArmoryRef!$A$2:$L$130,2,FALSE))</f>
        <v/>
      </c>
      <c r="BC18" s="671"/>
      <c r="BD18" s="287" t="str">
        <f>IF(AW18="","",VLOOKUP(AW18,ArmoryRef!$A$2:$L$130,10,FALSE)+BO18)</f>
        <v/>
      </c>
      <c r="BE18" s="710" t="str">
        <f>IF(AW18="","",CONCATENATE(VLOOKUP(AW18,ArmoryRef!$A$2:$L$130,4,FALSE)+BQ18," + ",$G$7))</f>
        <v/>
      </c>
      <c r="BF18" s="673"/>
      <c r="BG18" s="716"/>
      <c r="BH18" s="710" t="str">
        <f>IF(AW18="","",CONCATENATE(VLOOKUP(AW18,ArmoryRef!$A$2:$L$130,6,FALSE)+BS18," + ",$G$6))</f>
        <v/>
      </c>
      <c r="BI18" s="673"/>
      <c r="BJ18" s="716"/>
      <c r="BK18" s="299" t="str">
        <f>IF(AW18="","",IF(VLOOKUP(AW18,ArmoryRef!$A$2:$L$130,9,FALSE)="--","--",VLOOKUP(AW18,ArmoryRef!$A$2:$L$130,9,FALSE)+BP18))</f>
        <v/>
      </c>
      <c r="BL18" s="671" t="str">
        <f>IF(AW18="","",VLOOKUP(AW18,ArmoryRef!$A$2:$L$130,11,FALSE))</f>
        <v/>
      </c>
      <c r="BM18" s="671"/>
      <c r="BN18" s="285" t="str">
        <f>IF(AW18="","",VLOOKUP(AW18,ArmoryRef!$A$2:$L$130,12,FALSE))</f>
        <v/>
      </c>
      <c r="BO18" s="300"/>
      <c r="BP18" s="121"/>
      <c r="BQ18" s="694"/>
      <c r="BR18" s="694"/>
      <c r="BS18" s="694"/>
      <c r="BT18" s="719"/>
      <c r="BU18" s="947" t="s">
        <v>935</v>
      </c>
      <c r="BV18" s="948"/>
      <c r="BW18" s="948"/>
      <c r="BX18" s="948"/>
      <c r="BY18" s="948"/>
      <c r="BZ18" s="948"/>
      <c r="CA18" s="948"/>
      <c r="CB18" s="948"/>
      <c r="CC18" s="948"/>
      <c r="CD18" s="948"/>
      <c r="CE18" s="948"/>
      <c r="CF18" s="948"/>
      <c r="CG18" s="948"/>
      <c r="CH18" s="948"/>
      <c r="CI18" s="948"/>
      <c r="CJ18" s="948"/>
      <c r="CK18" s="948"/>
      <c r="CL18" s="948"/>
      <c r="CM18" s="948"/>
      <c r="CN18" s="948"/>
      <c r="CO18" s="948"/>
      <c r="CP18" s="948"/>
      <c r="CQ18" s="948"/>
      <c r="CR18" s="949"/>
      <c r="CS18" s="668"/>
      <c r="CT18" s="669"/>
      <c r="CU18" s="669"/>
      <c r="CV18" s="669"/>
      <c r="CW18" s="669"/>
      <c r="CX18" s="669"/>
      <c r="CY18" s="669"/>
      <c r="CZ18" s="669"/>
      <c r="DA18" s="669"/>
      <c r="DB18" s="669"/>
      <c r="DC18" s="669"/>
      <c r="DD18" s="669"/>
      <c r="DE18" s="669"/>
      <c r="DF18" s="669"/>
      <c r="DG18" s="669"/>
      <c r="DH18" s="863"/>
      <c r="DI18" s="668"/>
      <c r="DJ18" s="669"/>
      <c r="DK18" s="669"/>
      <c r="DL18" s="669"/>
      <c r="DM18" s="669"/>
      <c r="DN18" s="669"/>
      <c r="DO18" s="669"/>
      <c r="DP18" s="669"/>
      <c r="DQ18" s="966" t="str">
        <f>IF(DU18="","",IF(FX17&lt;'Purchased Boons'!$A$496,VLOOKUP(DU18,BoonRef!$A:$Z,2,FALSE),VLOOKUP(DU18,KanckRef!$A$2:$G$172,2,FALSE)))</f>
        <v/>
      </c>
      <c r="DR18" s="963"/>
      <c r="DS18" s="963"/>
      <c r="DT18" s="963"/>
      <c r="DU18" s="963" t="str">
        <f>IF(FX17&lt;'Purchased Boons'!$A$496,VLOOKUP(FX17,'Purchased Boons'!$A$2:$C$495,3,FALSE),IF(FX17&lt;'Purchased Knacks'!$B$192,VLOOKUP(FX17,'Purchased Knacks'!$B$4:$E$191,2,FALSE),""))</f>
        <v/>
      </c>
      <c r="DV18" s="963"/>
      <c r="DW18" s="963"/>
      <c r="DX18" s="963"/>
      <c r="DY18" s="963"/>
      <c r="DZ18" s="963"/>
      <c r="EA18" s="963"/>
      <c r="EB18" s="972" t="str">
        <f>IF(DU18="","",IF(FX17&lt;'Purchased Boons'!$A$496,VLOOKUP(DU18,BoonRef!$A$2:$Z$1230,16,FALSE),VLOOKUP(DU18,KanckRef!$A$2:$G$172,4,FALSE)))</f>
        <v/>
      </c>
      <c r="EC18" s="972"/>
      <c r="ED18" s="972"/>
      <c r="EE18" s="964" t="str">
        <f>IF(DU18="","",IF(FX17&lt;'Purchased Boons'!$A$496,VLOOKUP(DU18,BoonRef!$A$2:$Z$1230,23,FALSE),VLOOKUP(DU18,KanckRef!$A$2:$G$172,5,FALSE)))</f>
        <v/>
      </c>
      <c r="EF18" s="964"/>
      <c r="EG18" s="964"/>
      <c r="EH18" s="964"/>
      <c r="EI18" s="964"/>
      <c r="EJ18" s="964"/>
      <c r="EK18" s="964"/>
      <c r="EL18" s="964"/>
      <c r="EM18" s="964"/>
      <c r="EN18" s="965"/>
      <c r="EO18" s="966" t="str">
        <f>IF(ES18="","",IF(FY17&lt;'Purchased Boons'!$A$496,VLOOKUP(ES18,BoonRef!$A:$Z,2,FALSE),VLOOKUP(ES18,KanckRef!$A$2:$G$172,2,FALSE)))</f>
        <v/>
      </c>
      <c r="EP18" s="963"/>
      <c r="EQ18" s="963"/>
      <c r="ER18" s="963"/>
      <c r="ES18" s="963" t="str">
        <f>IF(FY17&lt;'Purchased Boons'!$A$496,VLOOKUP(FY17,'Purchased Boons'!$A$2:$C$495,3,FALSE),IF(FY17&lt;'Purchased Knacks'!$B$192,VLOOKUP(FY17,'Purchased Knacks'!$B$4:$E$191,2,FALSE),""))</f>
        <v/>
      </c>
      <c r="ET18" s="963"/>
      <c r="EU18" s="963"/>
      <c r="EV18" s="963"/>
      <c r="EW18" s="963"/>
      <c r="EX18" s="963"/>
      <c r="EY18" s="963"/>
      <c r="EZ18" s="972" t="str">
        <f>IF(ES18="","",IF(FY17&lt;'Purchased Boons'!$A$496,VLOOKUP(ES18,BoonRef!$A$2:$Z$1230,16,FALSE),VLOOKUP(ES18,KanckRef!$A$2:$G$172,4,FALSE)))</f>
        <v/>
      </c>
      <c r="FA18" s="972"/>
      <c r="FB18" s="972"/>
      <c r="FC18" s="964" t="str">
        <f>IF(ES18="","",IF(FY17&lt;'Purchased Boons'!$A$496,VLOOKUP(ES18,BoonRef!$A$2:$Z$1230,23,FALSE),VLOOKUP(ES18,KanckRef!$A$2:$G$172,5,FALSE)))</f>
        <v/>
      </c>
      <c r="FD18" s="964"/>
      <c r="FE18" s="964"/>
      <c r="FF18" s="964"/>
      <c r="FG18" s="964"/>
      <c r="FH18" s="964"/>
      <c r="FI18" s="964"/>
      <c r="FJ18" s="964"/>
      <c r="FK18" s="964"/>
      <c r="FL18" s="965"/>
      <c r="FM18" s="283" t="s">
        <v>909</v>
      </c>
      <c r="FN18" s="283" t="s">
        <v>910</v>
      </c>
      <c r="FW18" s="283">
        <v>18</v>
      </c>
      <c r="FX18" s="283">
        <v>56</v>
      </c>
      <c r="FY18" s="283">
        <v>101</v>
      </c>
      <c r="GJ18" s="283" t="s">
        <v>49</v>
      </c>
      <c r="GK18" s="290">
        <f>IF($AK$7="Select",0,IF(VLOOKUP($AK$7,AssociatedRef!$AP$2:$BZ$130,19,FALSE)="Yes",1,0))</f>
        <v>0</v>
      </c>
    </row>
    <row r="19" spans="1:193" ht="15.75" customHeight="1" thickBot="1" x14ac:dyDescent="0.3">
      <c r="A19" s="740" t="s">
        <v>42</v>
      </c>
      <c r="B19" s="671"/>
      <c r="C19" s="671"/>
      <c r="D19" s="671"/>
      <c r="E19" s="671">
        <f t="shared" si="3"/>
        <v>0</v>
      </c>
      <c r="F19" s="692"/>
      <c r="G19" s="740" t="s">
        <v>52</v>
      </c>
      <c r="H19" s="671"/>
      <c r="I19" s="671"/>
      <c r="J19" s="671"/>
      <c r="K19" s="671">
        <f t="shared" si="4"/>
        <v>0</v>
      </c>
      <c r="L19" s="710"/>
      <c r="M19" s="740" t="str">
        <f>IF(Creation!Y31="Special",IF(DemigodConversion!Y31="Special",IF(GodConversion!Y31="Special","Special",GodConversion!Y31),DemigodConversion!Y31),Creation!Y31)</f>
        <v>Special</v>
      </c>
      <c r="N19" s="671"/>
      <c r="O19" s="671"/>
      <c r="P19" s="671"/>
      <c r="Q19" s="671">
        <f t="shared" si="5"/>
        <v>0</v>
      </c>
      <c r="R19" s="671"/>
      <c r="S19" s="671" t="str">
        <f>IF(Creation!AJ31="","",Creation!AJ31)</f>
        <v/>
      </c>
      <c r="T19" s="671"/>
      <c r="U19" s="671"/>
      <c r="V19" s="671"/>
      <c r="W19" s="671"/>
      <c r="X19" s="710"/>
      <c r="Y19" s="740" t="str">
        <f>IF(AC19="","",IF(FW11&lt;'Purchased Boons'!$A$496,VLOOKUP(AC19,BoonRef!$A:$Z,2,FALSE),VLOOKUP(AC19,KanckRef!$A$2:$G$172,2,FALSE)))</f>
        <v/>
      </c>
      <c r="Z19" s="671"/>
      <c r="AA19" s="671"/>
      <c r="AB19" s="671"/>
      <c r="AC19" s="671" t="str">
        <f>IF(FW11&lt;'Purchased Boons'!$A$496,VLOOKUP(FW11,'Purchased Boons'!$A$2:$C$495,3,FALSE),IF(FW11&lt;'Purchased Knacks'!$B$192,VLOOKUP(FW11,'Purchased Knacks'!$B$4:$E$191,2,FALSE),""))</f>
        <v/>
      </c>
      <c r="AD19" s="671"/>
      <c r="AE19" s="671"/>
      <c r="AF19" s="671"/>
      <c r="AG19" s="671"/>
      <c r="AH19" s="671"/>
      <c r="AI19" s="671"/>
      <c r="AJ19" s="671" t="str">
        <f>IF(AC19="","",IF(FW11&lt;'Purchased Boons'!$A$496,VLOOKUP(AC19,BoonRef!$A$2:$Z$1230,16,FALSE),VLOOKUP(AC19,KanckRef!$A$2:$G$172,4,FALSE)))</f>
        <v/>
      </c>
      <c r="AK19" s="671"/>
      <c r="AL19" s="671"/>
      <c r="AM19" s="767" t="str">
        <f>IF(AC19="","",IF(FW11&lt;'Purchased Boons'!$A$496,VLOOKUP(AC19,BoonRef!$A$2:$Z$1230,23,FALSE),VLOOKUP(AC19,KanckRef!$A$2:$G$172,5,FALSE)))</f>
        <v/>
      </c>
      <c r="AN19" s="767"/>
      <c r="AO19" s="767"/>
      <c r="AP19" s="767"/>
      <c r="AQ19" s="767"/>
      <c r="AR19" s="767"/>
      <c r="AS19" s="767"/>
      <c r="AT19" s="767"/>
      <c r="AU19" s="767"/>
      <c r="AV19" s="768"/>
      <c r="AW19" s="843"/>
      <c r="AX19" s="818"/>
      <c r="AY19" s="818"/>
      <c r="AZ19" s="818"/>
      <c r="BA19" s="818"/>
      <c r="BB19" s="671" t="str">
        <f>IF(AW19="","",VLOOKUP(AW19,ArmoryRef!$A$2:$L$130,2,FALSE))</f>
        <v/>
      </c>
      <c r="BC19" s="671"/>
      <c r="BD19" s="287" t="str">
        <f>IF(AW19="","",VLOOKUP(AW19,ArmoryRef!$A$2:$L$130,10,FALSE)+BO19)</f>
        <v/>
      </c>
      <c r="BE19" s="710" t="str">
        <f>IF(AW19="","",CONCATENATE(VLOOKUP(AW19,ArmoryRef!$A$2:$L$130,4,FALSE)+BQ19," + ",$G$7))</f>
        <v/>
      </c>
      <c r="BF19" s="673"/>
      <c r="BG19" s="716"/>
      <c r="BH19" s="710" t="str">
        <f>IF(AW19="","",CONCATENATE(VLOOKUP(AW19,ArmoryRef!$A$2:$L$130,6,FALSE)+BS19," + ",$G$6))</f>
        <v/>
      </c>
      <c r="BI19" s="673"/>
      <c r="BJ19" s="716"/>
      <c r="BK19" s="299" t="str">
        <f>IF(AW19="","",IF(VLOOKUP(AW19,ArmoryRef!$A$2:$L$130,9,FALSE)="--","--",VLOOKUP(AW19,ArmoryRef!$A$2:$L$130,9,FALSE)+BP19))</f>
        <v/>
      </c>
      <c r="BL19" s="671" t="str">
        <f>IF(AW19="","",VLOOKUP(AW19,ArmoryRef!$A$2:$L$130,11,FALSE))</f>
        <v/>
      </c>
      <c r="BM19" s="671"/>
      <c r="BN19" s="285" t="str">
        <f>IF(AW19="","",VLOOKUP(AW19,ArmoryRef!$A$2:$L$130,12,FALSE))</f>
        <v/>
      </c>
      <c r="BO19" s="300"/>
      <c r="BP19" s="121"/>
      <c r="BQ19" s="694"/>
      <c r="BR19" s="694"/>
      <c r="BS19" s="694"/>
      <c r="BT19" s="719"/>
      <c r="BU19" s="950"/>
      <c r="BV19" s="951"/>
      <c r="BW19" s="951"/>
      <c r="BX19" s="951"/>
      <c r="BY19" s="951"/>
      <c r="BZ19" s="951"/>
      <c r="CA19" s="951"/>
      <c r="CB19" s="951"/>
      <c r="CC19" s="951"/>
      <c r="CD19" s="951"/>
      <c r="CE19" s="951"/>
      <c r="CF19" s="951"/>
      <c r="CG19" s="951"/>
      <c r="CH19" s="951"/>
      <c r="CI19" s="951"/>
      <c r="CJ19" s="951"/>
      <c r="CK19" s="951"/>
      <c r="CL19" s="951"/>
      <c r="CM19" s="951"/>
      <c r="CN19" s="951"/>
      <c r="CO19" s="951"/>
      <c r="CP19" s="951"/>
      <c r="CQ19" s="951"/>
      <c r="CR19" s="952"/>
      <c r="CS19" s="668"/>
      <c r="CT19" s="669"/>
      <c r="CU19" s="669"/>
      <c r="CV19" s="669"/>
      <c r="CW19" s="669"/>
      <c r="CX19" s="669"/>
      <c r="CY19" s="669"/>
      <c r="CZ19" s="669"/>
      <c r="DA19" s="669"/>
      <c r="DB19" s="669"/>
      <c r="DC19" s="669"/>
      <c r="DD19" s="669"/>
      <c r="DE19" s="669"/>
      <c r="DF19" s="669"/>
      <c r="DG19" s="669"/>
      <c r="DH19" s="863"/>
      <c r="DI19" s="668"/>
      <c r="DJ19" s="669"/>
      <c r="DK19" s="669"/>
      <c r="DL19" s="669"/>
      <c r="DM19" s="669"/>
      <c r="DN19" s="669"/>
      <c r="DO19" s="669"/>
      <c r="DP19" s="669"/>
      <c r="DQ19" s="966" t="str">
        <f>IF(DU19="","",IF(FX18&lt;'Purchased Boons'!$A$496,VLOOKUP(DU19,BoonRef!$A:$Z,2,FALSE),VLOOKUP(DU19,KanckRef!$A$2:$G$172,2,FALSE)))</f>
        <v/>
      </c>
      <c r="DR19" s="963"/>
      <c r="DS19" s="963"/>
      <c r="DT19" s="963"/>
      <c r="DU19" s="963" t="str">
        <f>IF(FX18&lt;'Purchased Boons'!$A$496,VLOOKUP(FX18,'Purchased Boons'!$A$2:$C$495,3,FALSE),IF(FX18&lt;'Purchased Knacks'!$B$192,VLOOKUP(FX18,'Purchased Knacks'!$B$4:$E$191,2,FALSE),""))</f>
        <v/>
      </c>
      <c r="DV19" s="963"/>
      <c r="DW19" s="963"/>
      <c r="DX19" s="963"/>
      <c r="DY19" s="963"/>
      <c r="DZ19" s="963"/>
      <c r="EA19" s="963"/>
      <c r="EB19" s="972" t="str">
        <f>IF(DU19="","",IF(FX18&lt;'Purchased Boons'!$A$496,VLOOKUP(DU19,BoonRef!$A$2:$Z$1230,16,FALSE),VLOOKUP(DU19,KanckRef!$A$2:$G$172,4,FALSE)))</f>
        <v/>
      </c>
      <c r="EC19" s="972"/>
      <c r="ED19" s="972"/>
      <c r="EE19" s="964" t="str">
        <f>IF(DU19="","",IF(FX18&lt;'Purchased Boons'!$A$496,VLOOKUP(DU19,BoonRef!$A$2:$Z$1230,23,FALSE),VLOOKUP(DU19,KanckRef!$A$2:$G$172,5,FALSE)))</f>
        <v/>
      </c>
      <c r="EF19" s="964"/>
      <c r="EG19" s="964"/>
      <c r="EH19" s="964"/>
      <c r="EI19" s="964"/>
      <c r="EJ19" s="964"/>
      <c r="EK19" s="964"/>
      <c r="EL19" s="964"/>
      <c r="EM19" s="964"/>
      <c r="EN19" s="965"/>
      <c r="EO19" s="966" t="str">
        <f>IF(ES19="","",IF(FY18&lt;'Purchased Boons'!$A$496,VLOOKUP(ES19,BoonRef!$A:$Z,2,FALSE),VLOOKUP(ES19,KanckRef!$A$2:$G$172,2,FALSE)))</f>
        <v/>
      </c>
      <c r="EP19" s="963"/>
      <c r="EQ19" s="963"/>
      <c r="ER19" s="963"/>
      <c r="ES19" s="963" t="str">
        <f>IF(FY18&lt;'Purchased Boons'!$A$496,VLOOKUP(FY18,'Purchased Boons'!$A$2:$C$495,3,FALSE),IF(FY18&lt;'Purchased Knacks'!$B$192,VLOOKUP(FY18,'Purchased Knacks'!$B$4:$E$191,2,FALSE),""))</f>
        <v/>
      </c>
      <c r="ET19" s="963"/>
      <c r="EU19" s="963"/>
      <c r="EV19" s="963"/>
      <c r="EW19" s="963"/>
      <c r="EX19" s="963"/>
      <c r="EY19" s="963"/>
      <c r="EZ19" s="972" t="str">
        <f>IF(ES19="","",IF(FY18&lt;'Purchased Boons'!$A$496,VLOOKUP(ES19,BoonRef!$A$2:$Z$1230,16,FALSE),VLOOKUP(ES19,KanckRef!$A$2:$G$172,4,FALSE)))</f>
        <v/>
      </c>
      <c r="FA19" s="972"/>
      <c r="FB19" s="972"/>
      <c r="FC19" s="964" t="str">
        <f>IF(ES19="","",IF(FY18&lt;'Purchased Boons'!$A$496,VLOOKUP(ES19,BoonRef!$A$2:$Z$1230,23,FALSE),VLOOKUP(ES19,KanckRef!$A$2:$G$172,5,FALSE)))</f>
        <v/>
      </c>
      <c r="FD19" s="964"/>
      <c r="FE19" s="964"/>
      <c r="FF19" s="964"/>
      <c r="FG19" s="964"/>
      <c r="FH19" s="964"/>
      <c r="FI19" s="964"/>
      <c r="FJ19" s="964"/>
      <c r="FK19" s="964"/>
      <c r="FL19" s="965"/>
      <c r="FM19" s="283">
        <f>IF(G53="",IF(E6+E53&gt;20,4500+(E6+E53-20)*500,VLOOKUP(E6+E53,Reference!B2:C21,1,FALSE)),IF(E6+E53+G53&gt;20,4500+(E6+E53+G53-20)*500,VLOOKUP(E6+E53+G53,Reference!B2:C21,1,FALSE)))</f>
        <v>1</v>
      </c>
      <c r="FN19" s="283">
        <f>VLOOKUP(F6,Reference!H1:J12,2,FALSE)</f>
        <v>0</v>
      </c>
      <c r="FW19" s="283">
        <v>19</v>
      </c>
      <c r="FX19" s="283">
        <v>57</v>
      </c>
      <c r="FY19" s="283">
        <v>102</v>
      </c>
      <c r="GJ19" s="283" t="s">
        <v>50</v>
      </c>
      <c r="GK19" s="290">
        <f>IF($AK$7="Select",0,IF(VLOOKUP($AK$7,AssociatedRef!$AP$2:$BZ$130,20,FALSE)="Yes",1,0))</f>
        <v>0</v>
      </c>
    </row>
    <row r="20" spans="1:193" x14ac:dyDescent="0.25">
      <c r="A20" s="740" t="s">
        <v>43</v>
      </c>
      <c r="B20" s="671"/>
      <c r="C20" s="671"/>
      <c r="D20" s="671"/>
      <c r="E20" s="671">
        <f t="shared" si="3"/>
        <v>0</v>
      </c>
      <c r="F20" s="692"/>
      <c r="G20" s="740" t="s">
        <v>53</v>
      </c>
      <c r="H20" s="671"/>
      <c r="I20" s="671"/>
      <c r="J20" s="671"/>
      <c r="K20" s="671">
        <f t="shared" si="4"/>
        <v>0</v>
      </c>
      <c r="L20" s="710"/>
      <c r="M20" s="740" t="str">
        <f>IF(Creation!Y32="Special",IF(DemigodConversion!Y32="Special",IF(GodConversion!Y32="Special","Special",GodConversion!Y32),DemigodConversion!Y32),Creation!Y32)</f>
        <v>Special</v>
      </c>
      <c r="N20" s="671"/>
      <c r="O20" s="671"/>
      <c r="P20" s="671"/>
      <c r="Q20" s="671">
        <f t="shared" si="5"/>
        <v>0</v>
      </c>
      <c r="R20" s="671"/>
      <c r="S20" s="671" t="str">
        <f>IF(Creation!AJ32="","",Creation!AJ32)</f>
        <v/>
      </c>
      <c r="T20" s="671"/>
      <c r="U20" s="671"/>
      <c r="V20" s="671"/>
      <c r="W20" s="671"/>
      <c r="X20" s="710"/>
      <c r="Y20" s="740" t="str">
        <f>IF(AC20="","",IF(FW12&lt;'Purchased Boons'!$A$496,VLOOKUP(AC20,BoonRef!$A:$Z,2,FALSE),VLOOKUP(AC20,KanckRef!$A$2:$G$172,2,FALSE)))</f>
        <v/>
      </c>
      <c r="Z20" s="671"/>
      <c r="AA20" s="671"/>
      <c r="AB20" s="671"/>
      <c r="AC20" s="671" t="str">
        <f>IF(FW12&lt;'Purchased Boons'!$A$496,VLOOKUP(FW12,'Purchased Boons'!$A$2:$C$495,3,FALSE),IF(FW12&lt;'Purchased Knacks'!$B$192,VLOOKUP(FW12,'Purchased Knacks'!$B$4:$E$191,2,FALSE),""))</f>
        <v/>
      </c>
      <c r="AD20" s="671"/>
      <c r="AE20" s="671"/>
      <c r="AF20" s="671"/>
      <c r="AG20" s="671"/>
      <c r="AH20" s="671"/>
      <c r="AI20" s="671"/>
      <c r="AJ20" s="671" t="str">
        <f>IF(AC20="","",IF(FW12&lt;'Purchased Boons'!$A$496,VLOOKUP(AC20,BoonRef!$A$2:$Z$1230,16,FALSE),VLOOKUP(AC20,KanckRef!$A$2:$G$172,4,FALSE)))</f>
        <v/>
      </c>
      <c r="AK20" s="671"/>
      <c r="AL20" s="671"/>
      <c r="AM20" s="767" t="str">
        <f>IF(AC20="","",IF(FW12&lt;'Purchased Boons'!$A$496,VLOOKUP(AC20,BoonRef!$A$2:$Z$1230,23,FALSE),VLOOKUP(AC20,KanckRef!$A$2:$G$172,5,FALSE)))</f>
        <v/>
      </c>
      <c r="AN20" s="767"/>
      <c r="AO20" s="767"/>
      <c r="AP20" s="767"/>
      <c r="AQ20" s="767"/>
      <c r="AR20" s="767"/>
      <c r="AS20" s="767"/>
      <c r="AT20" s="767"/>
      <c r="AU20" s="767"/>
      <c r="AV20" s="768"/>
      <c r="AW20" s="843"/>
      <c r="AX20" s="818"/>
      <c r="AY20" s="818"/>
      <c r="AZ20" s="818"/>
      <c r="BA20" s="818"/>
      <c r="BB20" s="671" t="str">
        <f>IF(AW20="","",VLOOKUP(AW20,ArmoryRef!$A$2:$L$130,2,FALSE))</f>
        <v/>
      </c>
      <c r="BC20" s="671"/>
      <c r="BD20" s="287" t="str">
        <f>IF(AW20="","",VLOOKUP(AW20,ArmoryRef!$A$2:$L$130,10,FALSE)+BO20)</f>
        <v/>
      </c>
      <c r="BE20" s="710" t="str">
        <f>IF(AW20="","",CONCATENATE(VLOOKUP(AW20,ArmoryRef!$A$2:$L$130,4,FALSE)+BQ20," + ",$G$7))</f>
        <v/>
      </c>
      <c r="BF20" s="673"/>
      <c r="BG20" s="716"/>
      <c r="BH20" s="710" t="str">
        <f>IF(AW20="","",CONCATENATE(VLOOKUP(AW20,ArmoryRef!$A$2:$L$130,6,FALSE)+BS20," + ",$G$6))</f>
        <v/>
      </c>
      <c r="BI20" s="673"/>
      <c r="BJ20" s="716"/>
      <c r="BK20" s="299" t="str">
        <f>IF(AW20="","",IF(VLOOKUP(AW20,ArmoryRef!$A$2:$L$130,9,FALSE)="--","--",VLOOKUP(AW20,ArmoryRef!$A$2:$L$130,9,FALSE)+BP20))</f>
        <v/>
      </c>
      <c r="BL20" s="671" t="str">
        <f>IF(AW20="","",VLOOKUP(AW20,ArmoryRef!$A$2:$L$130,11,FALSE))</f>
        <v/>
      </c>
      <c r="BM20" s="671"/>
      <c r="BN20" s="285" t="str">
        <f>IF(AW20="","",VLOOKUP(AW20,ArmoryRef!$A$2:$L$130,12,FALSE))</f>
        <v/>
      </c>
      <c r="BO20" s="300"/>
      <c r="BP20" s="121"/>
      <c r="BQ20" s="694"/>
      <c r="BR20" s="694"/>
      <c r="BS20" s="694"/>
      <c r="BT20" s="719"/>
      <c r="BU20" s="848"/>
      <c r="BV20" s="848"/>
      <c r="BW20" s="848"/>
      <c r="BX20" s="848"/>
      <c r="BY20" s="848"/>
      <c r="BZ20" s="848"/>
      <c r="CA20" s="848"/>
      <c r="CB20" s="848"/>
      <c r="CC20" s="848"/>
      <c r="CD20" s="848"/>
      <c r="CE20" s="848"/>
      <c r="CF20" s="848"/>
      <c r="CG20" s="848"/>
      <c r="CH20" s="848"/>
      <c r="CI20" s="848"/>
      <c r="CJ20" s="848"/>
      <c r="CK20" s="848"/>
      <c r="CL20" s="848"/>
      <c r="CM20" s="848"/>
      <c r="CN20" s="848"/>
      <c r="CO20" s="848"/>
      <c r="CP20" s="848"/>
      <c r="CQ20" s="848"/>
      <c r="CR20" s="849"/>
      <c r="CS20" s="668"/>
      <c r="CT20" s="669"/>
      <c r="CU20" s="669"/>
      <c r="CV20" s="669"/>
      <c r="CW20" s="669"/>
      <c r="CX20" s="669"/>
      <c r="CY20" s="669"/>
      <c r="CZ20" s="669"/>
      <c r="DA20" s="669"/>
      <c r="DB20" s="669"/>
      <c r="DC20" s="669"/>
      <c r="DD20" s="669"/>
      <c r="DE20" s="669"/>
      <c r="DF20" s="669"/>
      <c r="DG20" s="669"/>
      <c r="DH20" s="863"/>
      <c r="DI20" s="668"/>
      <c r="DJ20" s="669"/>
      <c r="DK20" s="669"/>
      <c r="DL20" s="669"/>
      <c r="DM20" s="669"/>
      <c r="DN20" s="669"/>
      <c r="DO20" s="669"/>
      <c r="DP20" s="669"/>
      <c r="DQ20" s="966" t="str">
        <f>IF(DU20="","",IF(FX19&lt;'Purchased Boons'!$A$496,VLOOKUP(DU20,BoonRef!$A:$Z,2,FALSE),VLOOKUP(DU20,KanckRef!$A$2:$G$172,2,FALSE)))</f>
        <v/>
      </c>
      <c r="DR20" s="963"/>
      <c r="DS20" s="963"/>
      <c r="DT20" s="963"/>
      <c r="DU20" s="963" t="str">
        <f>IF(FX19&lt;'Purchased Boons'!$A$496,VLOOKUP(FX19,'Purchased Boons'!$A$2:$C$495,3,FALSE),IF(FX19&lt;'Purchased Knacks'!$B$192,VLOOKUP(FX19,'Purchased Knacks'!$B$4:$E$191,2,FALSE),""))</f>
        <v/>
      </c>
      <c r="DV20" s="963"/>
      <c r="DW20" s="963"/>
      <c r="DX20" s="963"/>
      <c r="DY20" s="963"/>
      <c r="DZ20" s="963"/>
      <c r="EA20" s="963"/>
      <c r="EB20" s="972" t="str">
        <f>IF(DU20="","",IF(FX19&lt;'Purchased Boons'!$A$496,VLOOKUP(DU20,BoonRef!$A$2:$Z$1230,16,FALSE),VLOOKUP(DU20,KanckRef!$A$2:$G$172,4,FALSE)))</f>
        <v/>
      </c>
      <c r="EC20" s="972"/>
      <c r="ED20" s="972"/>
      <c r="EE20" s="964" t="str">
        <f>IF(DU20="","",IF(FX19&lt;'Purchased Boons'!$A$496,VLOOKUP(DU20,BoonRef!$A$2:$Z$1230,23,FALSE),VLOOKUP(DU20,KanckRef!$A$2:$G$172,5,FALSE)))</f>
        <v/>
      </c>
      <c r="EF20" s="964"/>
      <c r="EG20" s="964"/>
      <c r="EH20" s="964"/>
      <c r="EI20" s="964"/>
      <c r="EJ20" s="964"/>
      <c r="EK20" s="964"/>
      <c r="EL20" s="964"/>
      <c r="EM20" s="964"/>
      <c r="EN20" s="965"/>
      <c r="EO20" s="966" t="str">
        <f>IF(ES20="","",IF(FY19&lt;'Purchased Boons'!$A$496,VLOOKUP(ES20,BoonRef!$A:$Z,2,FALSE),VLOOKUP(ES20,KanckRef!$A$2:$G$172,2,FALSE)))</f>
        <v/>
      </c>
      <c r="EP20" s="963"/>
      <c r="EQ20" s="963"/>
      <c r="ER20" s="963"/>
      <c r="ES20" s="963" t="str">
        <f>IF(FY19&lt;'Purchased Boons'!$A$496,VLOOKUP(FY19,'Purchased Boons'!$A$2:$C$495,3,FALSE),IF(FY19&lt;'Purchased Knacks'!$B$192,VLOOKUP(FY19,'Purchased Knacks'!$B$4:$E$191,2,FALSE),""))</f>
        <v/>
      </c>
      <c r="ET20" s="963"/>
      <c r="EU20" s="963"/>
      <c r="EV20" s="963"/>
      <c r="EW20" s="963"/>
      <c r="EX20" s="963"/>
      <c r="EY20" s="963"/>
      <c r="EZ20" s="972" t="str">
        <f>IF(ES20="","",IF(FY19&lt;'Purchased Boons'!$A$496,VLOOKUP(ES20,BoonRef!$A$2:$Z$1230,16,FALSE),VLOOKUP(ES20,KanckRef!$A$2:$G$172,4,FALSE)))</f>
        <v/>
      </c>
      <c r="FA20" s="972"/>
      <c r="FB20" s="972"/>
      <c r="FC20" s="964" t="str">
        <f>IF(ES20="","",IF(FY19&lt;'Purchased Boons'!$A$496,VLOOKUP(ES20,BoonRef!$A$2:$Z$1230,23,FALSE),VLOOKUP(ES20,KanckRef!$A$2:$G$172,5,FALSE)))</f>
        <v/>
      </c>
      <c r="FD20" s="964"/>
      <c r="FE20" s="964"/>
      <c r="FF20" s="964"/>
      <c r="FG20" s="964"/>
      <c r="FH20" s="964"/>
      <c r="FI20" s="964"/>
      <c r="FJ20" s="964"/>
      <c r="FK20" s="964"/>
      <c r="FL20" s="965"/>
      <c r="FM20" s="283" t="s">
        <v>2256</v>
      </c>
      <c r="FW20" s="283">
        <v>20</v>
      </c>
      <c r="FX20" s="283">
        <v>58</v>
      </c>
      <c r="FY20" s="283">
        <v>103</v>
      </c>
      <c r="GJ20" s="283" t="s">
        <v>51</v>
      </c>
      <c r="GK20" s="290">
        <f>IF($AK$7="Select",0,IF(VLOOKUP($AK$7,AssociatedRef!$AP$2:$BZ$130,21,FALSE)="Yes",1,0))</f>
        <v>0</v>
      </c>
    </row>
    <row r="21" spans="1:193" ht="15.75" thickBot="1" x14ac:dyDescent="0.3">
      <c r="A21" s="735" t="s">
        <v>44</v>
      </c>
      <c r="B21" s="712"/>
      <c r="C21" s="712"/>
      <c r="D21" s="712"/>
      <c r="E21" s="712">
        <f t="shared" si="3"/>
        <v>0</v>
      </c>
      <c r="F21" s="720"/>
      <c r="G21" s="735" t="s">
        <v>54</v>
      </c>
      <c r="H21" s="712"/>
      <c r="I21" s="712"/>
      <c r="J21" s="712"/>
      <c r="K21" s="712">
        <f t="shared" si="4"/>
        <v>0</v>
      </c>
      <c r="L21" s="705"/>
      <c r="M21" s="735" t="str">
        <f>IF(Creation!Y33="Special",IF(DemigodConversion!Y33="Special",IF(GodConversion!Y33="Special","Special",GodConversion!Y33),DemigodConversion!Y33),Creation!Y33)</f>
        <v>Special</v>
      </c>
      <c r="N21" s="712"/>
      <c r="O21" s="712"/>
      <c r="P21" s="712"/>
      <c r="Q21" s="712">
        <f t="shared" si="5"/>
        <v>0</v>
      </c>
      <c r="R21" s="712"/>
      <c r="S21" s="712" t="str">
        <f>IF(Creation!AJ33="","",Creation!AJ33)</f>
        <v/>
      </c>
      <c r="T21" s="712"/>
      <c r="U21" s="712"/>
      <c r="V21" s="712"/>
      <c r="W21" s="712"/>
      <c r="X21" s="705"/>
      <c r="Y21" s="740" t="str">
        <f>IF(AC21="","",IF(FW13&lt;'Purchased Boons'!$A$496,VLOOKUP(AC21,BoonRef!$A:$Z,2,FALSE),VLOOKUP(AC21,KanckRef!$A$2:$G$172,2,FALSE)))</f>
        <v/>
      </c>
      <c r="Z21" s="671"/>
      <c r="AA21" s="671"/>
      <c r="AB21" s="671"/>
      <c r="AC21" s="671" t="str">
        <f>IF(FW13&lt;'Purchased Boons'!$A$496,VLOOKUP(FW13,'Purchased Boons'!$A$2:$C$495,3,FALSE),IF(FW13&lt;'Purchased Knacks'!$B$192,VLOOKUP(FW13,'Purchased Knacks'!$B$4:$E$191,2,FALSE),""))</f>
        <v/>
      </c>
      <c r="AD21" s="671"/>
      <c r="AE21" s="671"/>
      <c r="AF21" s="671"/>
      <c r="AG21" s="671"/>
      <c r="AH21" s="671"/>
      <c r="AI21" s="671"/>
      <c r="AJ21" s="671" t="str">
        <f>IF(AC21="","",IF(FW13&lt;'Purchased Boons'!$A$496,VLOOKUP(AC21,BoonRef!$A$2:$Z$1230,16,FALSE),VLOOKUP(AC21,KanckRef!$A$2:$G$172,4,FALSE)))</f>
        <v/>
      </c>
      <c r="AK21" s="671"/>
      <c r="AL21" s="671"/>
      <c r="AM21" s="767" t="str">
        <f>IF(AC21="","",IF(FW13&lt;'Purchased Boons'!$A$496,VLOOKUP(AC21,BoonRef!$A$2:$Z$1230,23,FALSE),VLOOKUP(AC21,KanckRef!$A$2:$G$172,5,FALSE)))</f>
        <v/>
      </c>
      <c r="AN21" s="767"/>
      <c r="AO21" s="767"/>
      <c r="AP21" s="767"/>
      <c r="AQ21" s="767"/>
      <c r="AR21" s="767"/>
      <c r="AS21" s="767"/>
      <c r="AT21" s="767"/>
      <c r="AU21" s="767"/>
      <c r="AV21" s="768"/>
      <c r="AW21" s="844"/>
      <c r="AX21" s="845"/>
      <c r="AY21" s="845"/>
      <c r="AZ21" s="845"/>
      <c r="BA21" s="845"/>
      <c r="BB21" s="712" t="str">
        <f>IF(AW21="","",VLOOKUP(AW21,ArmoryRef!$A$2:$L$130,2,FALSE))</f>
        <v/>
      </c>
      <c r="BC21" s="712"/>
      <c r="BD21" s="450" t="str">
        <f>IF(AW21="","",VLOOKUP(AW21,ArmoryRef!$A$2:$L$130,10,FALSE)+BO21)</f>
        <v/>
      </c>
      <c r="BE21" s="705" t="str">
        <f>IF(AW21="","",CONCATENATE(VLOOKUP(AW21,ArmoryRef!$A$2:$L$130,4,FALSE)+BQ21," + ",$G$7))</f>
        <v/>
      </c>
      <c r="BF21" s="706"/>
      <c r="BG21" s="749"/>
      <c r="BH21" s="705" t="str">
        <f>IF(AW21="","",CONCATENATE(VLOOKUP(AW21,ArmoryRef!$A$2:$L$130,6,FALSE)+BS21," + ",$G$6))</f>
        <v/>
      </c>
      <c r="BI21" s="706"/>
      <c r="BJ21" s="749"/>
      <c r="BK21" s="303" t="str">
        <f>IF(AW21="","",IF(VLOOKUP(AW21,ArmoryRef!$A$2:$L$130,9,FALSE)="--","--",VLOOKUP(AW21,ArmoryRef!$A$2:$L$130,9,FALSE)+BP21))</f>
        <v/>
      </c>
      <c r="BL21" s="712" t="str">
        <f>IF(AW21="","",VLOOKUP(AW21,ArmoryRef!$A$2:$L$130,11,FALSE))</f>
        <v/>
      </c>
      <c r="BM21" s="712"/>
      <c r="BN21" s="304" t="str">
        <f>IF(AW21="","",VLOOKUP(AW21,ArmoryRef!$A$2:$L$130,12,FALSE))</f>
        <v/>
      </c>
      <c r="BO21" s="305"/>
      <c r="BP21" s="122"/>
      <c r="BQ21" s="792"/>
      <c r="BR21" s="792"/>
      <c r="BS21" s="792"/>
      <c r="BT21" s="793"/>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1"/>
      <c r="CS21" s="668"/>
      <c r="CT21" s="669"/>
      <c r="CU21" s="669"/>
      <c r="CV21" s="669"/>
      <c r="CW21" s="669"/>
      <c r="CX21" s="669"/>
      <c r="CY21" s="669"/>
      <c r="CZ21" s="669"/>
      <c r="DA21" s="669"/>
      <c r="DB21" s="669"/>
      <c r="DC21" s="669"/>
      <c r="DD21" s="669"/>
      <c r="DE21" s="669"/>
      <c r="DF21" s="669"/>
      <c r="DG21" s="669"/>
      <c r="DH21" s="863"/>
      <c r="DI21" s="668"/>
      <c r="DJ21" s="669"/>
      <c r="DK21" s="669"/>
      <c r="DL21" s="669"/>
      <c r="DM21" s="669"/>
      <c r="DN21" s="669"/>
      <c r="DO21" s="669"/>
      <c r="DP21" s="669"/>
      <c r="DQ21" s="966" t="str">
        <f>IF(DU21="","",IF(FX20&lt;'Purchased Boons'!$A$496,VLOOKUP(DU21,BoonRef!$A:$Z,2,FALSE),VLOOKUP(DU21,KanckRef!$A$2:$G$172,2,FALSE)))</f>
        <v/>
      </c>
      <c r="DR21" s="963"/>
      <c r="DS21" s="963"/>
      <c r="DT21" s="963"/>
      <c r="DU21" s="963" t="str">
        <f>IF(FX20&lt;'Purchased Boons'!$A$496,VLOOKUP(FX20,'Purchased Boons'!$A$2:$C$495,3,FALSE),IF(FX20&lt;'Purchased Knacks'!$B$192,VLOOKUP(FX20,'Purchased Knacks'!$B$4:$E$191,2,FALSE),""))</f>
        <v/>
      </c>
      <c r="DV21" s="963"/>
      <c r="DW21" s="963"/>
      <c r="DX21" s="963"/>
      <c r="DY21" s="963"/>
      <c r="DZ21" s="963"/>
      <c r="EA21" s="963"/>
      <c r="EB21" s="972" t="str">
        <f>IF(DU21="","",IF(FX20&lt;'Purchased Boons'!$A$496,VLOOKUP(DU21,BoonRef!$A$2:$Z$1230,16,FALSE),VLOOKUP(DU21,KanckRef!$A$2:$G$172,4,FALSE)))</f>
        <v/>
      </c>
      <c r="EC21" s="972"/>
      <c r="ED21" s="972"/>
      <c r="EE21" s="964" t="str">
        <f>IF(DU21="","",IF(FX20&lt;'Purchased Boons'!$A$496,VLOOKUP(DU21,BoonRef!$A$2:$Z$1230,23,FALSE),VLOOKUP(DU21,KanckRef!$A$2:$G$172,5,FALSE)))</f>
        <v/>
      </c>
      <c r="EF21" s="964"/>
      <c r="EG21" s="964"/>
      <c r="EH21" s="964"/>
      <c r="EI21" s="964"/>
      <c r="EJ21" s="964"/>
      <c r="EK21" s="964"/>
      <c r="EL21" s="964"/>
      <c r="EM21" s="964"/>
      <c r="EN21" s="965"/>
      <c r="EO21" s="966" t="str">
        <f>IF(ES21="","",IF(FY20&lt;'Purchased Boons'!$A$496,VLOOKUP(ES21,BoonRef!$A:$Z,2,FALSE),VLOOKUP(ES21,KanckRef!$A$2:$G$172,2,FALSE)))</f>
        <v/>
      </c>
      <c r="EP21" s="963"/>
      <c r="EQ21" s="963"/>
      <c r="ER21" s="963"/>
      <c r="ES21" s="963" t="str">
        <f>IF(FY20&lt;'Purchased Boons'!$A$496,VLOOKUP(FY20,'Purchased Boons'!$A$2:$C$495,3,FALSE),IF(FY20&lt;'Purchased Knacks'!$B$192,VLOOKUP(FY20,'Purchased Knacks'!$B$4:$E$191,2,FALSE),""))</f>
        <v/>
      </c>
      <c r="ET21" s="963"/>
      <c r="EU21" s="963"/>
      <c r="EV21" s="963"/>
      <c r="EW21" s="963"/>
      <c r="EX21" s="963"/>
      <c r="EY21" s="963"/>
      <c r="EZ21" s="972" t="str">
        <f>IF(ES21="","",IF(FY20&lt;'Purchased Boons'!$A$496,VLOOKUP(ES21,BoonRef!$A$2:$Z$1230,16,FALSE),VLOOKUP(ES21,KanckRef!$A$2:$G$172,4,FALSE)))</f>
        <v/>
      </c>
      <c r="FA21" s="972"/>
      <c r="FB21" s="972"/>
      <c r="FC21" s="964" t="str">
        <f>IF(ES21="","",IF(FY20&lt;'Purchased Boons'!$A$496,VLOOKUP(ES21,BoonRef!$A$2:$Z$1230,23,FALSE),VLOOKUP(ES21,KanckRef!$A$2:$G$172,5,FALSE)))</f>
        <v/>
      </c>
      <c r="FD21" s="964"/>
      <c r="FE21" s="964"/>
      <c r="FF21" s="964"/>
      <c r="FG21" s="964"/>
      <c r="FH21" s="964"/>
      <c r="FI21" s="964"/>
      <c r="FJ21" s="964"/>
      <c r="FK21" s="964"/>
      <c r="FL21" s="965"/>
      <c r="FM21" s="283">
        <f>VLOOKUP(F6,Reference!H1:J12,3,FALSE)</f>
        <v>1</v>
      </c>
      <c r="FW21" s="283">
        <v>21</v>
      </c>
      <c r="FX21" s="283">
        <v>59</v>
      </c>
      <c r="FY21" s="283">
        <v>104</v>
      </c>
      <c r="GJ21" s="283" t="s">
        <v>58</v>
      </c>
      <c r="GK21" s="290">
        <f>IF($AK$7="Select",0,IF(VLOOKUP($AK$7,AssociatedRef!$AP$2:$BZ$130,22,FALSE)="Yes",1,0))</f>
        <v>0</v>
      </c>
    </row>
    <row r="22" spans="1:193" x14ac:dyDescent="0.25">
      <c r="A22" s="888" t="s">
        <v>2281</v>
      </c>
      <c r="B22" s="858"/>
      <c r="C22" s="858"/>
      <c r="D22" s="858"/>
      <c r="E22" s="858"/>
      <c r="F22" s="859"/>
      <c r="G22" s="857" t="s">
        <v>2280</v>
      </c>
      <c r="H22" s="858"/>
      <c r="I22" s="858"/>
      <c r="J22" s="858"/>
      <c r="K22" s="858"/>
      <c r="L22" s="858"/>
      <c r="M22" s="858"/>
      <c r="N22" s="858"/>
      <c r="O22" s="858"/>
      <c r="P22" s="858"/>
      <c r="Q22" s="858"/>
      <c r="R22" s="859"/>
      <c r="S22" s="888" t="s">
        <v>1768</v>
      </c>
      <c r="T22" s="858"/>
      <c r="U22" s="858"/>
      <c r="V22" s="858"/>
      <c r="W22" s="858"/>
      <c r="X22" s="889"/>
      <c r="Y22" s="740" t="str">
        <f>IF(AC22="","",IF(FW14&lt;'Purchased Boons'!$A$496,VLOOKUP(AC22,BoonRef!$A:$Z,2,FALSE),VLOOKUP(AC22,KanckRef!$A$2:$G$172,2,FALSE)))</f>
        <v/>
      </c>
      <c r="Z22" s="671"/>
      <c r="AA22" s="671"/>
      <c r="AB22" s="671"/>
      <c r="AC22" s="671" t="str">
        <f>IF(FW14&lt;'Purchased Boons'!$A$496,VLOOKUP(FW14,'Purchased Boons'!$A$2:$C$495,3,FALSE),IF(FW14&lt;'Purchased Knacks'!$B$192,VLOOKUP(FW14,'Purchased Knacks'!$B$4:$E$191,2,FALSE),""))</f>
        <v/>
      </c>
      <c r="AD22" s="671"/>
      <c r="AE22" s="671"/>
      <c r="AF22" s="671"/>
      <c r="AG22" s="671"/>
      <c r="AH22" s="671"/>
      <c r="AI22" s="671"/>
      <c r="AJ22" s="671" t="str">
        <f>IF(AC22="","",IF(FW14&lt;'Purchased Boons'!$A$496,VLOOKUP(AC22,BoonRef!$A$2:$Z$1230,16,FALSE),VLOOKUP(AC22,KanckRef!$A$2:$G$172,4,FALSE)))</f>
        <v/>
      </c>
      <c r="AK22" s="671"/>
      <c r="AL22" s="671"/>
      <c r="AM22" s="767" t="str">
        <f>IF(AC22="","",IF(FW14&lt;'Purchased Boons'!$A$496,VLOOKUP(AC22,BoonRef!$A$2:$Z$1230,23,FALSE),VLOOKUP(AC22,KanckRef!$A$2:$G$172,5,FALSE)))</f>
        <v/>
      </c>
      <c r="AN22" s="767"/>
      <c r="AO22" s="767"/>
      <c r="AP22" s="767"/>
      <c r="AQ22" s="767"/>
      <c r="AR22" s="767"/>
      <c r="AS22" s="767"/>
      <c r="AT22" s="767"/>
      <c r="AU22" s="767"/>
      <c r="AV22" s="768"/>
      <c r="AW22" s="857" t="s">
        <v>74</v>
      </c>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9"/>
      <c r="BU22" s="850"/>
      <c r="BV22" s="850"/>
      <c r="BW22" s="850"/>
      <c r="BX22" s="850"/>
      <c r="BY22" s="850"/>
      <c r="BZ22" s="850"/>
      <c r="CA22" s="850"/>
      <c r="CB22" s="850"/>
      <c r="CC22" s="850"/>
      <c r="CD22" s="850"/>
      <c r="CE22" s="850"/>
      <c r="CF22" s="850"/>
      <c r="CG22" s="850"/>
      <c r="CH22" s="850"/>
      <c r="CI22" s="850"/>
      <c r="CJ22" s="850"/>
      <c r="CK22" s="850"/>
      <c r="CL22" s="850"/>
      <c r="CM22" s="850"/>
      <c r="CN22" s="850"/>
      <c r="CO22" s="850"/>
      <c r="CP22" s="850"/>
      <c r="CQ22" s="850"/>
      <c r="CR22" s="851"/>
      <c r="CS22" s="668"/>
      <c r="CT22" s="669"/>
      <c r="CU22" s="669"/>
      <c r="CV22" s="669"/>
      <c r="CW22" s="669"/>
      <c r="CX22" s="669"/>
      <c r="CY22" s="669"/>
      <c r="CZ22" s="669"/>
      <c r="DA22" s="669"/>
      <c r="DB22" s="669"/>
      <c r="DC22" s="669"/>
      <c r="DD22" s="669"/>
      <c r="DE22" s="669"/>
      <c r="DF22" s="669"/>
      <c r="DG22" s="669"/>
      <c r="DH22" s="863"/>
      <c r="DI22" s="668"/>
      <c r="DJ22" s="669"/>
      <c r="DK22" s="669"/>
      <c r="DL22" s="669"/>
      <c r="DM22" s="669"/>
      <c r="DN22" s="669"/>
      <c r="DO22" s="669"/>
      <c r="DP22" s="669"/>
      <c r="DQ22" s="966" t="str">
        <f>IF(DU22="","",IF(FX21&lt;'Purchased Boons'!$A$496,VLOOKUP(DU22,BoonRef!$A:$Z,2,FALSE),VLOOKUP(DU22,KanckRef!$A$2:$G$172,2,FALSE)))</f>
        <v/>
      </c>
      <c r="DR22" s="963"/>
      <c r="DS22" s="963"/>
      <c r="DT22" s="963"/>
      <c r="DU22" s="963" t="str">
        <f>IF(FX21&lt;'Purchased Boons'!$A$496,VLOOKUP(FX21,'Purchased Boons'!$A$2:$C$495,3,FALSE),IF(FX21&lt;'Purchased Knacks'!$B$192,VLOOKUP(FX21,'Purchased Knacks'!$B$4:$E$191,2,FALSE),""))</f>
        <v/>
      </c>
      <c r="DV22" s="963"/>
      <c r="DW22" s="963"/>
      <c r="DX22" s="963"/>
      <c r="DY22" s="963"/>
      <c r="DZ22" s="963"/>
      <c r="EA22" s="963"/>
      <c r="EB22" s="972" t="str">
        <f>IF(DU22="","",IF(FX21&lt;'Purchased Boons'!$A$496,VLOOKUP(DU22,BoonRef!$A$2:$Z$1230,16,FALSE),VLOOKUP(DU22,KanckRef!$A$2:$G$172,4,FALSE)))</f>
        <v/>
      </c>
      <c r="EC22" s="972"/>
      <c r="ED22" s="972"/>
      <c r="EE22" s="964" t="str">
        <f>IF(DU22="","",IF(FX21&lt;'Purchased Boons'!$A$496,VLOOKUP(DU22,BoonRef!$A$2:$Z$1230,23,FALSE),VLOOKUP(DU22,KanckRef!$A$2:$G$172,5,FALSE)))</f>
        <v/>
      </c>
      <c r="EF22" s="964"/>
      <c r="EG22" s="964"/>
      <c r="EH22" s="964"/>
      <c r="EI22" s="964"/>
      <c r="EJ22" s="964"/>
      <c r="EK22" s="964"/>
      <c r="EL22" s="964"/>
      <c r="EM22" s="964"/>
      <c r="EN22" s="965"/>
      <c r="EO22" s="966" t="str">
        <f>IF(ES22="","",IF(FY21&lt;'Purchased Boons'!$A$496,VLOOKUP(ES22,BoonRef!$A:$Z,2,FALSE),VLOOKUP(ES22,KanckRef!$A$2:$G$172,2,FALSE)))</f>
        <v/>
      </c>
      <c r="EP22" s="963"/>
      <c r="EQ22" s="963"/>
      <c r="ER22" s="963"/>
      <c r="ES22" s="963" t="str">
        <f>IF(FY21&lt;'Purchased Boons'!$A$496,VLOOKUP(FY21,'Purchased Boons'!$A$2:$C$495,3,FALSE),IF(FY21&lt;'Purchased Knacks'!$B$192,VLOOKUP(FY21,'Purchased Knacks'!$B$4:$E$191,2,FALSE),""))</f>
        <v/>
      </c>
      <c r="ET22" s="963"/>
      <c r="EU22" s="963"/>
      <c r="EV22" s="963"/>
      <c r="EW22" s="963"/>
      <c r="EX22" s="963"/>
      <c r="EY22" s="963"/>
      <c r="EZ22" s="972" t="str">
        <f>IF(ES22="","",IF(FY21&lt;'Purchased Boons'!$A$496,VLOOKUP(ES22,BoonRef!$A$2:$Z$1230,16,FALSE),VLOOKUP(ES22,KanckRef!$A$2:$G$172,4,FALSE)))</f>
        <v/>
      </c>
      <c r="FA22" s="972"/>
      <c r="FB22" s="972"/>
      <c r="FC22" s="964" t="str">
        <f>IF(ES22="","",IF(FY21&lt;'Purchased Boons'!$A$496,VLOOKUP(ES22,BoonRef!$A$2:$Z$1230,23,FALSE),VLOOKUP(ES22,KanckRef!$A$2:$G$172,5,FALSE)))</f>
        <v/>
      </c>
      <c r="FD22" s="964"/>
      <c r="FE22" s="964"/>
      <c r="FF22" s="964"/>
      <c r="FG22" s="964"/>
      <c r="FH22" s="964"/>
      <c r="FI22" s="964"/>
      <c r="FJ22" s="964"/>
      <c r="FK22" s="964"/>
      <c r="FL22" s="965"/>
      <c r="FW22" s="283">
        <v>22</v>
      </c>
      <c r="FX22" s="283">
        <v>60</v>
      </c>
      <c r="FY22" s="283">
        <v>105</v>
      </c>
      <c r="GJ22" s="283" t="s">
        <v>52</v>
      </c>
      <c r="GK22" s="290">
        <f>IF($AK$7="Select",0,IF(VLOOKUP($AK$7,AssociatedRef!$AP$2:$BZ$130,23,FALSE)="Yes",1,0))</f>
        <v>0</v>
      </c>
    </row>
    <row r="23" spans="1:193" ht="15.75" thickBot="1" x14ac:dyDescent="0.3">
      <c r="A23" s="890"/>
      <c r="B23" s="823"/>
      <c r="C23" s="823"/>
      <c r="D23" s="823"/>
      <c r="E23" s="823"/>
      <c r="F23" s="824"/>
      <c r="G23" s="1006"/>
      <c r="H23" s="831"/>
      <c r="I23" s="831"/>
      <c r="J23" s="831"/>
      <c r="K23" s="831"/>
      <c r="L23" s="831"/>
      <c r="M23" s="831"/>
      <c r="N23" s="831"/>
      <c r="O23" s="831"/>
      <c r="P23" s="831"/>
      <c r="Q23" s="831"/>
      <c r="R23" s="832"/>
      <c r="S23" s="890"/>
      <c r="T23" s="823"/>
      <c r="U23" s="823"/>
      <c r="V23" s="823"/>
      <c r="W23" s="823"/>
      <c r="X23" s="891"/>
      <c r="Y23" s="740" t="str">
        <f>IF(AC23="","",IF(FW15&lt;'Purchased Boons'!$A$496,VLOOKUP(AC23,BoonRef!$A:$Z,2,FALSE),VLOOKUP(AC23,KanckRef!$A$2:$G$172,2,FALSE)))</f>
        <v/>
      </c>
      <c r="Z23" s="671"/>
      <c r="AA23" s="671"/>
      <c r="AB23" s="671"/>
      <c r="AC23" s="671" t="str">
        <f>IF(FW15&lt;'Purchased Boons'!$A$496,VLOOKUP(FW15,'Purchased Boons'!$A$2:$C$495,3,FALSE),IF(FW15&lt;'Purchased Knacks'!$B$192,VLOOKUP(FW15,'Purchased Knacks'!$B$4:$E$191,2,FALSE),""))</f>
        <v/>
      </c>
      <c r="AD23" s="671"/>
      <c r="AE23" s="671"/>
      <c r="AF23" s="671"/>
      <c r="AG23" s="671"/>
      <c r="AH23" s="671"/>
      <c r="AI23" s="671"/>
      <c r="AJ23" s="671" t="str">
        <f>IF(AC23="","",IF(FW15&lt;'Purchased Boons'!$A$496,VLOOKUP(AC23,BoonRef!$A$2:$Z$1230,16,FALSE),VLOOKUP(AC23,KanckRef!$A$2:$G$172,4,FALSE)))</f>
        <v/>
      </c>
      <c r="AK23" s="671"/>
      <c r="AL23" s="671"/>
      <c r="AM23" s="767" t="str">
        <f>IF(AC23="","",IF(FW15&lt;'Purchased Boons'!$A$496,VLOOKUP(AC23,BoonRef!$A$2:$Z$1230,23,FALSE),VLOOKUP(AC23,KanckRef!$A$2:$G$172,5,FALSE)))</f>
        <v/>
      </c>
      <c r="AN23" s="767"/>
      <c r="AO23" s="767"/>
      <c r="AP23" s="767"/>
      <c r="AQ23" s="767"/>
      <c r="AR23" s="767"/>
      <c r="AS23" s="767"/>
      <c r="AT23" s="767"/>
      <c r="AU23" s="767"/>
      <c r="AV23" s="768"/>
      <c r="AW23" s="822"/>
      <c r="AX23" s="823"/>
      <c r="AY23" s="823"/>
      <c r="AZ23" s="823"/>
      <c r="BA23" s="823"/>
      <c r="BB23" s="823"/>
      <c r="BC23" s="823"/>
      <c r="BD23" s="823"/>
      <c r="BE23" s="823"/>
      <c r="BF23" s="823"/>
      <c r="BG23" s="823"/>
      <c r="BH23" s="823"/>
      <c r="BI23" s="823"/>
      <c r="BJ23" s="823"/>
      <c r="BK23" s="823"/>
      <c r="BL23" s="823"/>
      <c r="BM23" s="823"/>
      <c r="BN23" s="823"/>
      <c r="BO23" s="823"/>
      <c r="BP23" s="823"/>
      <c r="BQ23" s="823"/>
      <c r="BR23" s="823"/>
      <c r="BS23" s="823"/>
      <c r="BT23" s="824"/>
      <c r="BU23" s="850"/>
      <c r="BV23" s="850"/>
      <c r="BW23" s="850"/>
      <c r="BX23" s="850"/>
      <c r="BY23" s="850"/>
      <c r="BZ23" s="850"/>
      <c r="CA23" s="850"/>
      <c r="CB23" s="850"/>
      <c r="CC23" s="850"/>
      <c r="CD23" s="850"/>
      <c r="CE23" s="850"/>
      <c r="CF23" s="850"/>
      <c r="CG23" s="850"/>
      <c r="CH23" s="850"/>
      <c r="CI23" s="850"/>
      <c r="CJ23" s="850"/>
      <c r="CK23" s="850"/>
      <c r="CL23" s="850"/>
      <c r="CM23" s="850"/>
      <c r="CN23" s="850"/>
      <c r="CO23" s="850"/>
      <c r="CP23" s="850"/>
      <c r="CQ23" s="850"/>
      <c r="CR23" s="851"/>
      <c r="CS23" s="668"/>
      <c r="CT23" s="669"/>
      <c r="CU23" s="669"/>
      <c r="CV23" s="669"/>
      <c r="CW23" s="669"/>
      <c r="CX23" s="669"/>
      <c r="CY23" s="669"/>
      <c r="CZ23" s="669"/>
      <c r="DA23" s="669"/>
      <c r="DB23" s="669"/>
      <c r="DC23" s="669"/>
      <c r="DD23" s="669"/>
      <c r="DE23" s="669"/>
      <c r="DF23" s="669"/>
      <c r="DG23" s="669"/>
      <c r="DH23" s="863"/>
      <c r="DI23" s="668"/>
      <c r="DJ23" s="669"/>
      <c r="DK23" s="669"/>
      <c r="DL23" s="669"/>
      <c r="DM23" s="669"/>
      <c r="DN23" s="669"/>
      <c r="DO23" s="669"/>
      <c r="DP23" s="669"/>
      <c r="DQ23" s="966" t="str">
        <f>IF(DU23="","",IF(FX22&lt;'Purchased Boons'!$A$496,VLOOKUP(DU23,BoonRef!$A:$Z,2,FALSE),VLOOKUP(DU23,KanckRef!$A$2:$G$172,2,FALSE)))</f>
        <v/>
      </c>
      <c r="DR23" s="963"/>
      <c r="DS23" s="963"/>
      <c r="DT23" s="963"/>
      <c r="DU23" s="963" t="str">
        <f>IF(FX22&lt;'Purchased Boons'!$A$496,VLOOKUP(FX22,'Purchased Boons'!$A$2:$C$495,3,FALSE),IF(FX22&lt;'Purchased Knacks'!$B$192,VLOOKUP(FX22,'Purchased Knacks'!$B$4:$E$191,2,FALSE),""))</f>
        <v/>
      </c>
      <c r="DV23" s="963"/>
      <c r="DW23" s="963"/>
      <c r="DX23" s="963"/>
      <c r="DY23" s="963"/>
      <c r="DZ23" s="963"/>
      <c r="EA23" s="963"/>
      <c r="EB23" s="972" t="str">
        <f>IF(DU23="","",IF(FX22&lt;'Purchased Boons'!$A$496,VLOOKUP(DU23,BoonRef!$A$2:$Z$1230,16,FALSE),VLOOKUP(DU23,KanckRef!$A$2:$G$172,4,FALSE)))</f>
        <v/>
      </c>
      <c r="EC23" s="972"/>
      <c r="ED23" s="972"/>
      <c r="EE23" s="964" t="str">
        <f>IF(DU23="","",IF(FX22&lt;'Purchased Boons'!$A$496,VLOOKUP(DU23,BoonRef!$A$2:$Z$1230,23,FALSE),VLOOKUP(DU23,KanckRef!$A$2:$G$172,5,FALSE)))</f>
        <v/>
      </c>
      <c r="EF23" s="964"/>
      <c r="EG23" s="964"/>
      <c r="EH23" s="964"/>
      <c r="EI23" s="964"/>
      <c r="EJ23" s="964"/>
      <c r="EK23" s="964"/>
      <c r="EL23" s="964"/>
      <c r="EM23" s="964"/>
      <c r="EN23" s="965"/>
      <c r="EO23" s="966" t="str">
        <f>IF(ES23="","",IF(FY22&lt;'Purchased Boons'!$A$496,VLOOKUP(ES23,BoonRef!$A:$Z,2,FALSE),VLOOKUP(ES23,KanckRef!$A$2:$G$172,2,FALSE)))</f>
        <v/>
      </c>
      <c r="EP23" s="963"/>
      <c r="EQ23" s="963"/>
      <c r="ER23" s="963"/>
      <c r="ES23" s="963" t="str">
        <f>IF(FY22&lt;'Purchased Boons'!$A$496,VLOOKUP(FY22,'Purchased Boons'!$A$2:$C$495,3,FALSE),IF(FY22&lt;'Purchased Knacks'!$B$192,VLOOKUP(FY22,'Purchased Knacks'!$B$4:$E$191,2,FALSE),""))</f>
        <v/>
      </c>
      <c r="ET23" s="963"/>
      <c r="EU23" s="963"/>
      <c r="EV23" s="963"/>
      <c r="EW23" s="963"/>
      <c r="EX23" s="963"/>
      <c r="EY23" s="963"/>
      <c r="EZ23" s="972" t="str">
        <f>IF(ES23="","",IF(FY22&lt;'Purchased Boons'!$A$496,VLOOKUP(ES23,BoonRef!$A$2:$Z$1230,16,FALSE),VLOOKUP(ES23,KanckRef!$A$2:$G$172,4,FALSE)))</f>
        <v/>
      </c>
      <c r="FA23" s="972"/>
      <c r="FB23" s="972"/>
      <c r="FC23" s="964" t="str">
        <f>IF(ES23="","",IF(FY22&lt;'Purchased Boons'!$A$496,VLOOKUP(ES23,BoonRef!$A$2:$Z$1230,23,FALSE),VLOOKUP(ES23,KanckRef!$A$2:$G$172,5,FALSE)))</f>
        <v/>
      </c>
      <c r="FD23" s="964"/>
      <c r="FE23" s="964"/>
      <c r="FF23" s="964"/>
      <c r="FG23" s="964"/>
      <c r="FH23" s="964"/>
      <c r="FI23" s="964"/>
      <c r="FJ23" s="964"/>
      <c r="FK23" s="964"/>
      <c r="FL23" s="965"/>
      <c r="FW23" s="283">
        <v>23</v>
      </c>
      <c r="FX23" s="283">
        <v>61</v>
      </c>
      <c r="FY23" s="283">
        <v>106</v>
      </c>
      <c r="GJ23" s="283" t="s">
        <v>53</v>
      </c>
      <c r="GK23" s="290">
        <f>IF($AK$7="Select",0,IF(VLOOKUP($AK$7,AssociatedRef!$AP$2:$BZ$130,24,FALSE)="Yes",1,0))</f>
        <v>0</v>
      </c>
    </row>
    <row r="24" spans="1:193" ht="15" customHeight="1" thickBot="1" x14ac:dyDescent="0.3">
      <c r="A24" s="715" t="s">
        <v>93</v>
      </c>
      <c r="B24" s="713"/>
      <c r="C24" s="713"/>
      <c r="D24" s="713"/>
      <c r="E24" s="743">
        <f>IF('House Rules'!$B$11="off",ROUNDUP((E7+E53+V34+GK4)/2,0)+G7,ROUNDUP((E7+E53+V34+GK4)/2,0)+G7+D35+IF(D41="N/A",0,D41))</f>
        <v>2</v>
      </c>
      <c r="F24" s="895"/>
      <c r="G24" s="932" t="s">
        <v>2258</v>
      </c>
      <c r="H24" s="933"/>
      <c r="I24" s="1000"/>
      <c r="J24" s="1001" t="str">
        <f>CONCATENATE(E7+G7," Yards")</f>
        <v>1 Yards</v>
      </c>
      <c r="K24" s="1002"/>
      <c r="L24" s="1005" t="s">
        <v>2260</v>
      </c>
      <c r="M24" s="933"/>
      <c r="N24" s="933"/>
      <c r="O24" s="743" t="s">
        <v>2262</v>
      </c>
      <c r="P24" s="743"/>
      <c r="Q24" s="743" t="s">
        <v>2263</v>
      </c>
      <c r="R24" s="895"/>
      <c r="S24" s="883" t="s">
        <v>108</v>
      </c>
      <c r="T24" s="883"/>
      <c r="U24" s="883"/>
      <c r="V24" s="883"/>
      <c r="W24" s="883"/>
      <c r="X24" s="883"/>
      <c r="Y24" s="740" t="str">
        <f>IF(AC24="","",IF(FW16&lt;'Purchased Boons'!$A$496,VLOOKUP(AC24,BoonRef!$A:$Z,2,FALSE),VLOOKUP(AC24,KanckRef!$A$2:$G$172,2,FALSE)))</f>
        <v/>
      </c>
      <c r="Z24" s="671"/>
      <c r="AA24" s="671"/>
      <c r="AB24" s="671"/>
      <c r="AC24" s="671" t="str">
        <f>IF(FW16&lt;'Purchased Boons'!$A$496,VLOOKUP(FW16,'Purchased Boons'!$A$2:$C$495,3,FALSE),IF(FW16&lt;'Purchased Knacks'!$B$192,VLOOKUP(FW16,'Purchased Knacks'!$B$4:$E$191,2,FALSE),""))</f>
        <v/>
      </c>
      <c r="AD24" s="671"/>
      <c r="AE24" s="671"/>
      <c r="AF24" s="671"/>
      <c r="AG24" s="671"/>
      <c r="AH24" s="671"/>
      <c r="AI24" s="671"/>
      <c r="AJ24" s="671" t="str">
        <f>IF(AC24="","",IF(FW16&lt;'Purchased Boons'!$A$496,VLOOKUP(AC24,BoonRef!$A$2:$Z$1230,16,FALSE),VLOOKUP(AC24,KanckRef!$A$2:$G$172,4,FALSE)))</f>
        <v/>
      </c>
      <c r="AK24" s="671"/>
      <c r="AL24" s="671"/>
      <c r="AM24" s="767" t="str">
        <f>IF(AC24="","",IF(FW16&lt;'Purchased Boons'!$A$496,VLOOKUP(AC24,BoonRef!$A$2:$Z$1230,23,FALSE),VLOOKUP(AC24,KanckRef!$A$2:$G$172,5,FALSE)))</f>
        <v/>
      </c>
      <c r="AN24" s="767"/>
      <c r="AO24" s="767"/>
      <c r="AP24" s="767"/>
      <c r="AQ24" s="767"/>
      <c r="AR24" s="767"/>
      <c r="AS24" s="767"/>
      <c r="AT24" s="767"/>
      <c r="AU24" s="767"/>
      <c r="AV24" s="768"/>
      <c r="AW24" s="860" t="s">
        <v>75</v>
      </c>
      <c r="AX24" s="861"/>
      <c r="AY24" s="861"/>
      <c r="AZ24" s="861" t="s">
        <v>77</v>
      </c>
      <c r="BA24" s="861"/>
      <c r="BB24" s="861"/>
      <c r="BC24" s="861"/>
      <c r="BD24" s="861"/>
      <c r="BE24" s="861" t="s">
        <v>10</v>
      </c>
      <c r="BF24" s="861"/>
      <c r="BG24" s="861" t="s">
        <v>138</v>
      </c>
      <c r="BH24" s="861"/>
      <c r="BI24" s="861"/>
      <c r="BJ24" s="861"/>
      <c r="BK24" s="861"/>
      <c r="BL24" s="861"/>
      <c r="BM24" s="861"/>
      <c r="BN24" s="861"/>
      <c r="BO24" s="861"/>
      <c r="BP24" s="861"/>
      <c r="BQ24" s="861"/>
      <c r="BR24" s="861"/>
      <c r="BS24" s="861"/>
      <c r="BT24" s="862"/>
      <c r="BU24" s="850"/>
      <c r="BV24" s="850"/>
      <c r="BW24" s="850"/>
      <c r="BX24" s="850"/>
      <c r="BY24" s="850"/>
      <c r="BZ24" s="850"/>
      <c r="CA24" s="850"/>
      <c r="CB24" s="850"/>
      <c r="CC24" s="850"/>
      <c r="CD24" s="850"/>
      <c r="CE24" s="850"/>
      <c r="CF24" s="850"/>
      <c r="CG24" s="850"/>
      <c r="CH24" s="850"/>
      <c r="CI24" s="850"/>
      <c r="CJ24" s="850"/>
      <c r="CK24" s="850"/>
      <c r="CL24" s="850"/>
      <c r="CM24" s="850"/>
      <c r="CN24" s="850"/>
      <c r="CO24" s="850"/>
      <c r="CP24" s="850"/>
      <c r="CQ24" s="850"/>
      <c r="CR24" s="851"/>
      <c r="CS24" s="668"/>
      <c r="CT24" s="669"/>
      <c r="CU24" s="669"/>
      <c r="CV24" s="669"/>
      <c r="CW24" s="669"/>
      <c r="CX24" s="669"/>
      <c r="CY24" s="669"/>
      <c r="CZ24" s="669"/>
      <c r="DA24" s="669"/>
      <c r="DB24" s="669"/>
      <c r="DC24" s="669"/>
      <c r="DD24" s="669"/>
      <c r="DE24" s="669"/>
      <c r="DF24" s="669"/>
      <c r="DG24" s="669"/>
      <c r="DH24" s="863"/>
      <c r="DI24" s="668"/>
      <c r="DJ24" s="669"/>
      <c r="DK24" s="669"/>
      <c r="DL24" s="669"/>
      <c r="DM24" s="669"/>
      <c r="DN24" s="669"/>
      <c r="DO24" s="669"/>
      <c r="DP24" s="669"/>
      <c r="DQ24" s="966" t="str">
        <f>IF(DU24="","",IF(FX23&lt;'Purchased Boons'!$A$496,VLOOKUP(DU24,BoonRef!$A:$Z,2,FALSE),VLOOKUP(DU24,KanckRef!$A$2:$G$172,2,FALSE)))</f>
        <v/>
      </c>
      <c r="DR24" s="963"/>
      <c r="DS24" s="963"/>
      <c r="DT24" s="963"/>
      <c r="DU24" s="963" t="str">
        <f>IF(FX23&lt;'Purchased Boons'!$A$496,VLOOKUP(FX23,'Purchased Boons'!$A$2:$C$495,3,FALSE),IF(FX23&lt;'Purchased Knacks'!$B$192,VLOOKUP(FX23,'Purchased Knacks'!$B$4:$E$191,2,FALSE),""))</f>
        <v/>
      </c>
      <c r="DV24" s="963"/>
      <c r="DW24" s="963"/>
      <c r="DX24" s="963"/>
      <c r="DY24" s="963"/>
      <c r="DZ24" s="963"/>
      <c r="EA24" s="963"/>
      <c r="EB24" s="972" t="str">
        <f>IF(DU24="","",IF(FX23&lt;'Purchased Boons'!$A$496,VLOOKUP(DU24,BoonRef!$A$2:$Z$1230,16,FALSE),VLOOKUP(DU24,KanckRef!$A$2:$G$172,4,FALSE)))</f>
        <v/>
      </c>
      <c r="EC24" s="972"/>
      <c r="ED24" s="972"/>
      <c r="EE24" s="964" t="str">
        <f>IF(DU24="","",IF(FX23&lt;'Purchased Boons'!$A$496,VLOOKUP(DU24,BoonRef!$A$2:$Z$1230,23,FALSE),VLOOKUP(DU24,KanckRef!$A$2:$G$172,5,FALSE)))</f>
        <v/>
      </c>
      <c r="EF24" s="964"/>
      <c r="EG24" s="964"/>
      <c r="EH24" s="964"/>
      <c r="EI24" s="964"/>
      <c r="EJ24" s="964"/>
      <c r="EK24" s="964"/>
      <c r="EL24" s="964"/>
      <c r="EM24" s="964"/>
      <c r="EN24" s="965"/>
      <c r="EO24" s="966" t="str">
        <f>IF(ES24="","",IF(FY23&lt;'Purchased Boons'!$A$496,VLOOKUP(ES24,BoonRef!$A:$Z,2,FALSE),VLOOKUP(ES24,KanckRef!$A$2:$G$172,2,FALSE)))</f>
        <v/>
      </c>
      <c r="EP24" s="963"/>
      <c r="EQ24" s="963"/>
      <c r="ER24" s="963"/>
      <c r="ES24" s="963" t="str">
        <f>IF(FY23&lt;'Purchased Boons'!$A$496,VLOOKUP(FY23,'Purchased Boons'!$A$2:$C$495,3,FALSE),IF(FY23&lt;'Purchased Knacks'!$B$192,VLOOKUP(FY23,'Purchased Knacks'!$B$4:$E$191,2,FALSE),""))</f>
        <v/>
      </c>
      <c r="ET24" s="963"/>
      <c r="EU24" s="963"/>
      <c r="EV24" s="963"/>
      <c r="EW24" s="963"/>
      <c r="EX24" s="963"/>
      <c r="EY24" s="963"/>
      <c r="EZ24" s="972" t="str">
        <f>IF(ES24="","",IF(FY23&lt;'Purchased Boons'!$A$496,VLOOKUP(ES24,BoonRef!$A$2:$Z$1230,16,FALSE),VLOOKUP(ES24,KanckRef!$A$2:$G$172,4,FALSE)))</f>
        <v/>
      </c>
      <c r="FA24" s="972"/>
      <c r="FB24" s="972"/>
      <c r="FC24" s="964" t="str">
        <f>IF(ES24="","",IF(FY23&lt;'Purchased Boons'!$A$496,VLOOKUP(ES24,BoonRef!$A$2:$Z$1230,23,FALSE),VLOOKUP(ES24,KanckRef!$A$2:$G$172,5,FALSE)))</f>
        <v/>
      </c>
      <c r="FD24" s="964"/>
      <c r="FE24" s="964"/>
      <c r="FF24" s="964"/>
      <c r="FG24" s="964"/>
      <c r="FH24" s="964"/>
      <c r="FI24" s="964"/>
      <c r="FJ24" s="964"/>
      <c r="FK24" s="964"/>
      <c r="FL24" s="965"/>
      <c r="FW24" s="283">
        <v>24</v>
      </c>
      <c r="FX24" s="283">
        <v>62</v>
      </c>
      <c r="FY24" s="283">
        <v>107</v>
      </c>
      <c r="GJ24" s="283" t="s">
        <v>54</v>
      </c>
      <c r="GK24" s="290">
        <f>IF($AK$7="Select",0,IF(VLOOKUP($AK$7,AssociatedRef!$AP$2:$BZ$130,25,FALSE)="Yes",1,0))</f>
        <v>0</v>
      </c>
    </row>
    <row r="25" spans="1:193" ht="15" customHeight="1" thickBot="1" x14ac:dyDescent="0.3">
      <c r="A25" s="708" t="s">
        <v>2265</v>
      </c>
      <c r="B25" s="709"/>
      <c r="C25" s="709"/>
      <c r="D25" s="709"/>
      <c r="E25" s="712" t="str">
        <f>IF('Purchased Knacks'!E42="No","N/A",IF('House Rules'!$B$11="off",ROUNDUP((E7+E53+V34+GK4)/2,0)+(G7*2),ROUNDUP((E7+GK4+E53+V34)/2,0)+(G7*2)+D35+IF(D41="N/A",0,D41)))</f>
        <v>N/A</v>
      </c>
      <c r="F25" s="720"/>
      <c r="G25" s="941"/>
      <c r="H25" s="928"/>
      <c r="I25" s="944"/>
      <c r="J25" s="1003"/>
      <c r="K25" s="1004"/>
      <c r="L25" s="927"/>
      <c r="M25" s="928"/>
      <c r="N25" s="928"/>
      <c r="O25" s="867">
        <f>IF('Purchased Knacks'!E11="Yes",(E6+E53+GK4+G6)*2,(E6+E53+GK4+G6))</f>
        <v>1</v>
      </c>
      <c r="P25" s="867"/>
      <c r="Q25" s="784">
        <f>O25*2</f>
        <v>2</v>
      </c>
      <c r="R25" s="916"/>
      <c r="S25" s="882" t="s">
        <v>142</v>
      </c>
      <c r="T25" s="713"/>
      <c r="U25" s="306" t="s">
        <v>113</v>
      </c>
      <c r="V25" s="307" t="s">
        <v>109</v>
      </c>
      <c r="W25" s="307" t="s">
        <v>110</v>
      </c>
      <c r="X25" s="493" t="s">
        <v>111</v>
      </c>
      <c r="Y25" s="740" t="str">
        <f>IF(AC25="","",IF(FW17&lt;'Purchased Boons'!$A$496,VLOOKUP(AC25,BoonRef!$A:$Z,2,FALSE),VLOOKUP(AC25,KanckRef!$A$2:$G$172,2,FALSE)))</f>
        <v/>
      </c>
      <c r="Z25" s="671"/>
      <c r="AA25" s="671"/>
      <c r="AB25" s="671"/>
      <c r="AC25" s="671" t="str">
        <f>IF(FW17&lt;'Purchased Boons'!$A$496,VLOOKUP(FW17,'Purchased Boons'!$A$2:$C$495,3,FALSE),IF(FW17&lt;'Purchased Knacks'!$B$192,VLOOKUP(FW17,'Purchased Knacks'!$B$4:$E$191,2,FALSE),""))</f>
        <v/>
      </c>
      <c r="AD25" s="671"/>
      <c r="AE25" s="671"/>
      <c r="AF25" s="671"/>
      <c r="AG25" s="671"/>
      <c r="AH25" s="671"/>
      <c r="AI25" s="671"/>
      <c r="AJ25" s="671" t="str">
        <f>IF(AC25="","",IF(FW17&lt;'Purchased Boons'!$A$496,VLOOKUP(AC25,BoonRef!$A$2:$Z$1230,16,FALSE),VLOOKUP(AC25,KanckRef!$A$2:$G$172,4,FALSE)))</f>
        <v/>
      </c>
      <c r="AK25" s="671"/>
      <c r="AL25" s="671"/>
      <c r="AM25" s="767" t="str">
        <f>IF(AC25="","",IF(FW17&lt;'Purchased Boons'!$A$496,VLOOKUP(AC25,BoonRef!$A$2:$Z$1230,23,FALSE),VLOOKUP(AC25,KanckRef!$A$2:$G$172,5,FALSE)))</f>
        <v/>
      </c>
      <c r="AN25" s="767"/>
      <c r="AO25" s="767"/>
      <c r="AP25" s="767"/>
      <c r="AQ25" s="767"/>
      <c r="AR25" s="767"/>
      <c r="AS25" s="767"/>
      <c r="AT25" s="767"/>
      <c r="AU25" s="767"/>
      <c r="AV25" s="768"/>
      <c r="AW25" s="843" t="s">
        <v>373</v>
      </c>
      <c r="AX25" s="818"/>
      <c r="AY25" s="818"/>
      <c r="AZ25" s="818"/>
      <c r="BA25" s="818"/>
      <c r="BB25" s="818"/>
      <c r="BC25" s="818"/>
      <c r="BD25" s="818"/>
      <c r="BE25" s="818"/>
      <c r="BF25" s="818"/>
      <c r="BG25" s="818"/>
      <c r="BH25" s="818"/>
      <c r="BI25" s="818"/>
      <c r="BJ25" s="818"/>
      <c r="BK25" s="818"/>
      <c r="BL25" s="818"/>
      <c r="BM25" s="818"/>
      <c r="BN25" s="818"/>
      <c r="BO25" s="818"/>
      <c r="BP25" s="818"/>
      <c r="BQ25" s="818"/>
      <c r="BR25" s="818"/>
      <c r="BS25" s="818"/>
      <c r="BT25" s="855"/>
      <c r="BU25" s="850"/>
      <c r="BV25" s="850"/>
      <c r="BW25" s="850"/>
      <c r="BX25" s="850"/>
      <c r="BY25" s="850"/>
      <c r="BZ25" s="850"/>
      <c r="CA25" s="850"/>
      <c r="CB25" s="850"/>
      <c r="CC25" s="850"/>
      <c r="CD25" s="850"/>
      <c r="CE25" s="850"/>
      <c r="CF25" s="850"/>
      <c r="CG25" s="850"/>
      <c r="CH25" s="850"/>
      <c r="CI25" s="850"/>
      <c r="CJ25" s="850"/>
      <c r="CK25" s="850"/>
      <c r="CL25" s="850"/>
      <c r="CM25" s="850"/>
      <c r="CN25" s="850"/>
      <c r="CO25" s="850"/>
      <c r="CP25" s="850"/>
      <c r="CQ25" s="850"/>
      <c r="CR25" s="851"/>
      <c r="CS25" s="668"/>
      <c r="CT25" s="669"/>
      <c r="CU25" s="669"/>
      <c r="CV25" s="669"/>
      <c r="CW25" s="669"/>
      <c r="CX25" s="669"/>
      <c r="CY25" s="669"/>
      <c r="CZ25" s="669"/>
      <c r="DA25" s="669"/>
      <c r="DB25" s="669"/>
      <c r="DC25" s="669"/>
      <c r="DD25" s="669"/>
      <c r="DE25" s="669"/>
      <c r="DF25" s="669"/>
      <c r="DG25" s="669"/>
      <c r="DH25" s="863"/>
      <c r="DI25" s="668"/>
      <c r="DJ25" s="669"/>
      <c r="DK25" s="669"/>
      <c r="DL25" s="669"/>
      <c r="DM25" s="669"/>
      <c r="DN25" s="669"/>
      <c r="DO25" s="669"/>
      <c r="DP25" s="669"/>
      <c r="DQ25" s="966" t="str">
        <f>IF(DU25="","",IF(FX24&lt;'Purchased Boons'!$A$496,VLOOKUP(DU25,BoonRef!$A:$Z,2,FALSE),VLOOKUP(DU25,KanckRef!$A$2:$G$172,2,FALSE)))</f>
        <v/>
      </c>
      <c r="DR25" s="963"/>
      <c r="DS25" s="963"/>
      <c r="DT25" s="963"/>
      <c r="DU25" s="963" t="str">
        <f>IF(FX24&lt;'Purchased Boons'!$A$496,VLOOKUP(FX24,'Purchased Boons'!$A$2:$C$495,3,FALSE),IF(FX24&lt;'Purchased Knacks'!$B$192,VLOOKUP(FX24,'Purchased Knacks'!$B$4:$E$191,2,FALSE),""))</f>
        <v/>
      </c>
      <c r="DV25" s="963"/>
      <c r="DW25" s="963"/>
      <c r="DX25" s="963"/>
      <c r="DY25" s="963"/>
      <c r="DZ25" s="963"/>
      <c r="EA25" s="963"/>
      <c r="EB25" s="972" t="str">
        <f>IF(DU25="","",IF(FX24&lt;'Purchased Boons'!$A$496,VLOOKUP(DU25,BoonRef!$A$2:$Z$1230,16,FALSE),VLOOKUP(DU25,KanckRef!$A$2:$G$172,4,FALSE)))</f>
        <v/>
      </c>
      <c r="EC25" s="972"/>
      <c r="ED25" s="972"/>
      <c r="EE25" s="964" t="str">
        <f>IF(DU25="","",IF(FX24&lt;'Purchased Boons'!$A$496,VLOOKUP(DU25,BoonRef!$A$2:$Z$1230,23,FALSE),VLOOKUP(DU25,KanckRef!$A$2:$G$172,5,FALSE)))</f>
        <v/>
      </c>
      <c r="EF25" s="964"/>
      <c r="EG25" s="964"/>
      <c r="EH25" s="964"/>
      <c r="EI25" s="964"/>
      <c r="EJ25" s="964"/>
      <c r="EK25" s="964"/>
      <c r="EL25" s="964"/>
      <c r="EM25" s="964"/>
      <c r="EN25" s="965"/>
      <c r="EO25" s="966" t="str">
        <f>IF(ES25="","",IF(FY24&lt;'Purchased Boons'!$A$496,VLOOKUP(ES25,BoonRef!$A:$Z,2,FALSE),VLOOKUP(ES25,KanckRef!$A$2:$G$172,2,FALSE)))</f>
        <v/>
      </c>
      <c r="EP25" s="963"/>
      <c r="EQ25" s="963"/>
      <c r="ER25" s="963"/>
      <c r="ES25" s="963" t="str">
        <f>IF(FY24&lt;'Purchased Boons'!$A$496,VLOOKUP(FY24,'Purchased Boons'!$A$2:$C$495,3,FALSE),IF(FY24&lt;'Purchased Knacks'!$B$192,VLOOKUP(FY24,'Purchased Knacks'!$B$4:$E$191,2,FALSE),""))</f>
        <v/>
      </c>
      <c r="ET25" s="963"/>
      <c r="EU25" s="963"/>
      <c r="EV25" s="963"/>
      <c r="EW25" s="963"/>
      <c r="EX25" s="963"/>
      <c r="EY25" s="963"/>
      <c r="EZ25" s="972" t="str">
        <f>IF(ES25="","",IF(FY24&lt;'Purchased Boons'!$A$496,VLOOKUP(ES25,BoonRef!$A$2:$Z$1230,16,FALSE),VLOOKUP(ES25,KanckRef!$A$2:$G$172,4,FALSE)))</f>
        <v/>
      </c>
      <c r="FA25" s="972"/>
      <c r="FB25" s="972"/>
      <c r="FC25" s="964" t="str">
        <f>IF(ES25="","",IF(FY24&lt;'Purchased Boons'!$A$496,VLOOKUP(ES25,BoonRef!$A$2:$Z$1230,23,FALSE),VLOOKUP(ES25,KanckRef!$A$2:$G$172,5,FALSE)))</f>
        <v/>
      </c>
      <c r="FD25" s="964"/>
      <c r="FE25" s="964"/>
      <c r="FF25" s="964"/>
      <c r="FG25" s="964"/>
      <c r="FH25" s="964"/>
      <c r="FI25" s="964"/>
      <c r="FJ25" s="964"/>
      <c r="FK25" s="964"/>
      <c r="FL25" s="965"/>
      <c r="FW25" s="283">
        <v>25</v>
      </c>
      <c r="FX25" s="283">
        <v>63</v>
      </c>
      <c r="FY25" s="283">
        <v>108</v>
      </c>
    </row>
    <row r="26" spans="1:193" ht="15" customHeight="1" thickBot="1" x14ac:dyDescent="0.3">
      <c r="A26" s="702" t="s">
        <v>95</v>
      </c>
      <c r="B26" s="703"/>
      <c r="C26" s="704"/>
      <c r="D26" s="772" t="str">
        <f>IF('Purchased Knacks'!E167="No",CONCATENATE(U8+E54+GK5," + ",G54+W8),CONCATENATE(U7+E54+GK5," + ",G54+W7))</f>
        <v>1 + 0</v>
      </c>
      <c r="E26" s="682"/>
      <c r="F26" s="683"/>
      <c r="G26" s="723" t="s">
        <v>94</v>
      </c>
      <c r="H26" s="724"/>
      <c r="I26" s="724"/>
      <c r="J26" s="767">
        <f>E7+6+(G7*2)</f>
        <v>7</v>
      </c>
      <c r="K26" s="871"/>
      <c r="L26" s="721" t="s">
        <v>107</v>
      </c>
      <c r="M26" s="722"/>
      <c r="N26" s="722"/>
      <c r="O26" s="722"/>
      <c r="P26" s="765">
        <f>IF('Purchased Knacks'!E22="no",IF(2199&lt;FM19+FN19,(FN19+FM19)/2200,FM19+FN19),IF(2199&lt;((FM19+FN19)*2),(FN19+FM19)/1100,(FM19+FN19)*2))</f>
        <v>1</v>
      </c>
      <c r="Q26" s="765"/>
      <c r="R26" s="309" t="str">
        <f>IF('Purchased Knacks'!E22="no",IF(FM19+FN19&gt;2199,"ton","lbs"),IF((FM19+FN19)*2&gt;2199,"ton","lbs"))</f>
        <v>lbs</v>
      </c>
      <c r="S26" s="761">
        <v>0</v>
      </c>
      <c r="T26" s="691"/>
      <c r="U26" s="299">
        <f>IF('Purchased Knacks'!E59="No",IF(F8=0,1,IF(F8=1,3,IF(F8=2,5,IF(F8=3,5,IF(F8=4,13,IF(F8=5,17,IF(F8=6,22,IF(F8=7,28,IF(F8=8,35,IF(F8=9,43,52)))))))))),1)</f>
        <v>1</v>
      </c>
      <c r="V26" s="279"/>
      <c r="W26" s="279"/>
      <c r="X26" s="492"/>
      <c r="Y26" s="740" t="str">
        <f>IF(AC26="","",IF(FW18&lt;'Purchased Boons'!$A$496,VLOOKUP(AC26,BoonRef!$A:$Z,2,FALSE),VLOOKUP(AC26,KanckRef!$A$2:$G$172,2,FALSE)))</f>
        <v/>
      </c>
      <c r="Z26" s="671"/>
      <c r="AA26" s="671"/>
      <c r="AB26" s="671"/>
      <c r="AC26" s="671" t="str">
        <f>IF(FW18&lt;'Purchased Boons'!$A$496,VLOOKUP(FW18,'Purchased Boons'!$A$2:$C$495,3,FALSE),IF(FW18&lt;'Purchased Knacks'!$B$192,VLOOKUP(FW18,'Purchased Knacks'!$B$4:$E$191,2,FALSE),""))</f>
        <v/>
      </c>
      <c r="AD26" s="671"/>
      <c r="AE26" s="671"/>
      <c r="AF26" s="671"/>
      <c r="AG26" s="671"/>
      <c r="AH26" s="671"/>
      <c r="AI26" s="671"/>
      <c r="AJ26" s="671" t="str">
        <f>IF(AC26="","",IF(FW18&lt;'Purchased Boons'!$A$496,VLOOKUP(AC26,BoonRef!$A$2:$Z$1230,16,FALSE),VLOOKUP(AC26,KanckRef!$A$2:$G$172,4,FALSE)))</f>
        <v/>
      </c>
      <c r="AK26" s="671"/>
      <c r="AL26" s="671"/>
      <c r="AM26" s="767" t="str">
        <f>IF(AC26="","",IF(FW18&lt;'Purchased Boons'!$A$496,VLOOKUP(AC26,BoonRef!$A$2:$Z$1230,23,FALSE),VLOOKUP(AC26,KanckRef!$A$2:$G$172,5,FALSE)))</f>
        <v/>
      </c>
      <c r="AN26" s="767"/>
      <c r="AO26" s="767"/>
      <c r="AP26" s="767"/>
      <c r="AQ26" s="767"/>
      <c r="AR26" s="767"/>
      <c r="AS26" s="767"/>
      <c r="AT26" s="767"/>
      <c r="AU26" s="767"/>
      <c r="AV26" s="768"/>
      <c r="AW26" s="843"/>
      <c r="AX26" s="818"/>
      <c r="AY26" s="818"/>
      <c r="AZ26" s="818"/>
      <c r="BA26" s="818"/>
      <c r="BB26" s="818"/>
      <c r="BC26" s="818"/>
      <c r="BD26" s="818"/>
      <c r="BE26" s="818"/>
      <c r="BF26" s="818"/>
      <c r="BG26" s="818"/>
      <c r="BH26" s="818"/>
      <c r="BI26" s="818"/>
      <c r="BJ26" s="818"/>
      <c r="BK26" s="818"/>
      <c r="BL26" s="818"/>
      <c r="BM26" s="818"/>
      <c r="BN26" s="818"/>
      <c r="BO26" s="818"/>
      <c r="BP26" s="818"/>
      <c r="BQ26" s="818"/>
      <c r="BR26" s="818"/>
      <c r="BS26" s="818"/>
      <c r="BT26" s="855"/>
      <c r="BU26" s="850"/>
      <c r="BV26" s="850"/>
      <c r="BW26" s="850"/>
      <c r="BX26" s="850"/>
      <c r="BY26" s="850"/>
      <c r="BZ26" s="850"/>
      <c r="CA26" s="850"/>
      <c r="CB26" s="850"/>
      <c r="CC26" s="850"/>
      <c r="CD26" s="850"/>
      <c r="CE26" s="850"/>
      <c r="CF26" s="850"/>
      <c r="CG26" s="850"/>
      <c r="CH26" s="850"/>
      <c r="CI26" s="850"/>
      <c r="CJ26" s="850"/>
      <c r="CK26" s="850"/>
      <c r="CL26" s="850"/>
      <c r="CM26" s="850"/>
      <c r="CN26" s="850"/>
      <c r="CO26" s="850"/>
      <c r="CP26" s="850"/>
      <c r="CQ26" s="850"/>
      <c r="CR26" s="851"/>
      <c r="CS26" s="668"/>
      <c r="CT26" s="669"/>
      <c r="CU26" s="669"/>
      <c r="CV26" s="669"/>
      <c r="CW26" s="669"/>
      <c r="CX26" s="669"/>
      <c r="CY26" s="669"/>
      <c r="CZ26" s="669"/>
      <c r="DA26" s="669"/>
      <c r="DB26" s="669"/>
      <c r="DC26" s="669"/>
      <c r="DD26" s="669"/>
      <c r="DE26" s="669"/>
      <c r="DF26" s="669"/>
      <c r="DG26" s="669"/>
      <c r="DH26" s="863"/>
      <c r="DI26" s="668"/>
      <c r="DJ26" s="669"/>
      <c r="DK26" s="669"/>
      <c r="DL26" s="669"/>
      <c r="DM26" s="669"/>
      <c r="DN26" s="669"/>
      <c r="DO26" s="669"/>
      <c r="DP26" s="669"/>
      <c r="DQ26" s="966" t="str">
        <f>IF(DU26="","",IF(FX25&lt;'Purchased Boons'!$A$496,VLOOKUP(DU26,BoonRef!$A:$Z,2,FALSE),VLOOKUP(DU26,KanckRef!$A$2:$G$172,2,FALSE)))</f>
        <v/>
      </c>
      <c r="DR26" s="963"/>
      <c r="DS26" s="963"/>
      <c r="DT26" s="963"/>
      <c r="DU26" s="963" t="str">
        <f>IF(FX25&lt;'Purchased Boons'!$A$496,VLOOKUP(FX25,'Purchased Boons'!$A$2:$C$495,3,FALSE),IF(FX25&lt;'Purchased Knacks'!$B$192,VLOOKUP(FX25,'Purchased Knacks'!$B$4:$E$191,2,FALSE),""))</f>
        <v/>
      </c>
      <c r="DV26" s="963"/>
      <c r="DW26" s="963"/>
      <c r="DX26" s="963"/>
      <c r="DY26" s="963"/>
      <c r="DZ26" s="963"/>
      <c r="EA26" s="963"/>
      <c r="EB26" s="972" t="str">
        <f>IF(DU26="","",IF(FX25&lt;'Purchased Boons'!$A$496,VLOOKUP(DU26,BoonRef!$A$2:$Z$1230,16,FALSE),VLOOKUP(DU26,KanckRef!$A$2:$G$172,4,FALSE)))</f>
        <v/>
      </c>
      <c r="EC26" s="972"/>
      <c r="ED26" s="972"/>
      <c r="EE26" s="964" t="str">
        <f>IF(DU26="","",IF(FX25&lt;'Purchased Boons'!$A$496,VLOOKUP(DU26,BoonRef!$A$2:$Z$1230,23,FALSE),VLOOKUP(DU26,KanckRef!$A$2:$G$172,5,FALSE)))</f>
        <v/>
      </c>
      <c r="EF26" s="964"/>
      <c r="EG26" s="964"/>
      <c r="EH26" s="964"/>
      <c r="EI26" s="964"/>
      <c r="EJ26" s="964"/>
      <c r="EK26" s="964"/>
      <c r="EL26" s="964"/>
      <c r="EM26" s="964"/>
      <c r="EN26" s="965"/>
      <c r="EO26" s="966" t="str">
        <f>IF(ES26="","",IF(FY25&lt;'Purchased Boons'!$A$496,VLOOKUP(ES26,BoonRef!$A:$Z,2,FALSE),VLOOKUP(ES26,KanckRef!$A$2:$G$172,2,FALSE)))</f>
        <v/>
      </c>
      <c r="EP26" s="963"/>
      <c r="EQ26" s="963"/>
      <c r="ER26" s="963"/>
      <c r="ES26" s="963" t="str">
        <f>IF(FY25&lt;'Purchased Boons'!$A$496,VLOOKUP(FY25,'Purchased Boons'!$A$2:$C$495,3,FALSE),IF(FY25&lt;'Purchased Knacks'!$B$192,VLOOKUP(FY25,'Purchased Knacks'!$B$4:$E$191,2,FALSE),""))</f>
        <v/>
      </c>
      <c r="ET26" s="963"/>
      <c r="EU26" s="963"/>
      <c r="EV26" s="963"/>
      <c r="EW26" s="963"/>
      <c r="EX26" s="963"/>
      <c r="EY26" s="963"/>
      <c r="EZ26" s="972" t="str">
        <f>IF(ES26="","",IF(FY25&lt;'Purchased Boons'!$A$496,VLOOKUP(ES26,BoonRef!$A$2:$Z$1230,16,FALSE),VLOOKUP(ES26,KanckRef!$A$2:$G$172,4,FALSE)))</f>
        <v/>
      </c>
      <c r="FA26" s="972"/>
      <c r="FB26" s="972"/>
      <c r="FC26" s="964" t="str">
        <f>IF(ES26="","",IF(FY25&lt;'Purchased Boons'!$A$496,VLOOKUP(ES26,BoonRef!$A$2:$Z$1230,23,FALSE),VLOOKUP(ES26,KanckRef!$A$2:$G$172,5,FALSE)))</f>
        <v/>
      </c>
      <c r="FD26" s="964"/>
      <c r="FE26" s="964"/>
      <c r="FF26" s="964"/>
      <c r="FG26" s="964"/>
      <c r="FH26" s="964"/>
      <c r="FI26" s="964"/>
      <c r="FJ26" s="964"/>
      <c r="FK26" s="964"/>
      <c r="FL26" s="965"/>
      <c r="FW26" s="283">
        <v>26</v>
      </c>
      <c r="FX26" s="283">
        <v>64</v>
      </c>
      <c r="FY26" s="283">
        <v>109</v>
      </c>
    </row>
    <row r="27" spans="1:193" ht="15.75" customHeight="1" thickBot="1" x14ac:dyDescent="0.3">
      <c r="A27" s="929" t="s">
        <v>91</v>
      </c>
      <c r="B27" s="930"/>
      <c r="C27" s="930"/>
      <c r="D27" s="930"/>
      <c r="E27" s="930"/>
      <c r="F27" s="931"/>
      <c r="G27" s="723" t="s">
        <v>2264</v>
      </c>
      <c r="H27" s="724"/>
      <c r="I27" s="724"/>
      <c r="J27" s="767" t="str">
        <f>IF('Purchased Knacks'!E30="yes",(E7+6+(G7*2)*2)*2,IF('Purchased Knacks'!E31="no","N/A",E7+6+(G7*2)*2))</f>
        <v>N/A</v>
      </c>
      <c r="K27" s="871"/>
      <c r="L27" s="723" t="s">
        <v>891</v>
      </c>
      <c r="M27" s="724"/>
      <c r="N27" s="724"/>
      <c r="O27" s="724"/>
      <c r="P27" s="767">
        <f>IF('Purchased Knacks'!E13="Yes",(E6+E53+GK4+G6)*2,(E6+E53+GK4+G6))</f>
        <v>1</v>
      </c>
      <c r="Q27" s="767"/>
      <c r="R27" s="310" t="s">
        <v>890</v>
      </c>
      <c r="S27" s="761" t="str">
        <f>IF('Purchased Knacks'!E59="No","-1","+1")</f>
        <v>-1</v>
      </c>
      <c r="T27" s="691"/>
      <c r="U27" s="299">
        <f>IF('Purchased Knacks'!E59="No",IF(F8=0,2,IF(F8=1,2,IF(F8=2,0,IF(F8=3,1,0)))),2)</f>
        <v>2</v>
      </c>
      <c r="V27" s="279"/>
      <c r="W27" s="279"/>
      <c r="X27" s="492"/>
      <c r="Y27" s="740" t="str">
        <f>IF(AC27="","",IF(FW19&lt;'Purchased Boons'!$A$496,VLOOKUP(AC27,BoonRef!$A:$Z,2,FALSE),VLOOKUP(AC27,KanckRef!$A$2:$G$172,2,FALSE)))</f>
        <v/>
      </c>
      <c r="Z27" s="671"/>
      <c r="AA27" s="671"/>
      <c r="AB27" s="671"/>
      <c r="AC27" s="671" t="str">
        <f>IF(FW19&lt;'Purchased Boons'!$A$496,VLOOKUP(FW19,'Purchased Boons'!$A$2:$C$495,3,FALSE),IF(FW19&lt;'Purchased Knacks'!$B$192,VLOOKUP(FW19,'Purchased Knacks'!$B$4:$E$191,2,FALSE),""))</f>
        <v/>
      </c>
      <c r="AD27" s="671"/>
      <c r="AE27" s="671"/>
      <c r="AF27" s="671"/>
      <c r="AG27" s="671"/>
      <c r="AH27" s="671"/>
      <c r="AI27" s="671"/>
      <c r="AJ27" s="671" t="str">
        <f>IF(AC27="","",IF(FW19&lt;'Purchased Boons'!$A$496,VLOOKUP(AC27,BoonRef!$A$2:$Z$1230,16,FALSE),VLOOKUP(AC27,KanckRef!$A$2:$G$172,4,FALSE)))</f>
        <v/>
      </c>
      <c r="AK27" s="671"/>
      <c r="AL27" s="671"/>
      <c r="AM27" s="767" t="str">
        <f>IF(AC27="","",IF(FW19&lt;'Purchased Boons'!$A$496,VLOOKUP(AC27,BoonRef!$A$2:$Z$1230,23,FALSE),VLOOKUP(AC27,KanckRef!$A$2:$G$172,5,FALSE)))</f>
        <v/>
      </c>
      <c r="AN27" s="767"/>
      <c r="AO27" s="767"/>
      <c r="AP27" s="767"/>
      <c r="AQ27" s="767"/>
      <c r="AR27" s="767"/>
      <c r="AS27" s="767"/>
      <c r="AT27" s="767"/>
      <c r="AU27" s="767"/>
      <c r="AV27" s="768"/>
      <c r="AW27" s="843" t="s">
        <v>373</v>
      </c>
      <c r="AX27" s="818"/>
      <c r="AY27" s="818"/>
      <c r="AZ27" s="818"/>
      <c r="BA27" s="818"/>
      <c r="BB27" s="818"/>
      <c r="BC27" s="818"/>
      <c r="BD27" s="818"/>
      <c r="BE27" s="818"/>
      <c r="BF27" s="818"/>
      <c r="BG27" s="854"/>
      <c r="BH27" s="818"/>
      <c r="BI27" s="818"/>
      <c r="BJ27" s="818"/>
      <c r="BK27" s="818"/>
      <c r="BL27" s="818"/>
      <c r="BM27" s="818"/>
      <c r="BN27" s="818"/>
      <c r="BO27" s="818"/>
      <c r="BP27" s="818"/>
      <c r="BQ27" s="818"/>
      <c r="BR27" s="818"/>
      <c r="BS27" s="818"/>
      <c r="BT27" s="855"/>
      <c r="BU27" s="850"/>
      <c r="BV27" s="850"/>
      <c r="BW27" s="850"/>
      <c r="BX27" s="850"/>
      <c r="BY27" s="850"/>
      <c r="BZ27" s="850"/>
      <c r="CA27" s="850"/>
      <c r="CB27" s="850"/>
      <c r="CC27" s="850"/>
      <c r="CD27" s="850"/>
      <c r="CE27" s="850"/>
      <c r="CF27" s="850"/>
      <c r="CG27" s="850"/>
      <c r="CH27" s="850"/>
      <c r="CI27" s="850"/>
      <c r="CJ27" s="850"/>
      <c r="CK27" s="850"/>
      <c r="CL27" s="850"/>
      <c r="CM27" s="850"/>
      <c r="CN27" s="850"/>
      <c r="CO27" s="850"/>
      <c r="CP27" s="850"/>
      <c r="CQ27" s="850"/>
      <c r="CR27" s="851"/>
      <c r="CS27" s="668"/>
      <c r="CT27" s="669"/>
      <c r="CU27" s="669"/>
      <c r="CV27" s="669"/>
      <c r="CW27" s="669"/>
      <c r="CX27" s="669"/>
      <c r="CY27" s="669"/>
      <c r="CZ27" s="669"/>
      <c r="DA27" s="669"/>
      <c r="DB27" s="669"/>
      <c r="DC27" s="669"/>
      <c r="DD27" s="669"/>
      <c r="DE27" s="669"/>
      <c r="DF27" s="669"/>
      <c r="DG27" s="669"/>
      <c r="DH27" s="863"/>
      <c r="DI27" s="668"/>
      <c r="DJ27" s="669"/>
      <c r="DK27" s="669"/>
      <c r="DL27" s="669"/>
      <c r="DM27" s="669"/>
      <c r="DN27" s="669"/>
      <c r="DO27" s="669"/>
      <c r="DP27" s="669"/>
      <c r="DQ27" s="966" t="str">
        <f>IF(DU27="","",IF(FX26&lt;'Purchased Boons'!$A$496,VLOOKUP(DU27,BoonRef!$A:$Z,2,FALSE),VLOOKUP(DU27,KanckRef!$A$2:$G$172,2,FALSE)))</f>
        <v/>
      </c>
      <c r="DR27" s="963"/>
      <c r="DS27" s="963"/>
      <c r="DT27" s="963"/>
      <c r="DU27" s="963" t="str">
        <f>IF(FX26&lt;'Purchased Boons'!$A$496,VLOOKUP(FX26,'Purchased Boons'!$A$2:$C$495,3,FALSE),IF(FX26&lt;'Purchased Knacks'!$B$192,VLOOKUP(FX26,'Purchased Knacks'!$B$4:$E$191,2,FALSE),""))</f>
        <v/>
      </c>
      <c r="DV27" s="963"/>
      <c r="DW27" s="963"/>
      <c r="DX27" s="963"/>
      <c r="DY27" s="963"/>
      <c r="DZ27" s="963"/>
      <c r="EA27" s="963"/>
      <c r="EB27" s="972" t="str">
        <f>IF(DU27="","",IF(FX26&lt;'Purchased Boons'!$A$496,VLOOKUP(DU27,BoonRef!$A$2:$Z$1230,16,FALSE),VLOOKUP(DU27,KanckRef!$A$2:$G$172,4,FALSE)))</f>
        <v/>
      </c>
      <c r="EC27" s="972"/>
      <c r="ED27" s="972"/>
      <c r="EE27" s="964" t="str">
        <f>IF(DU27="","",IF(FX26&lt;'Purchased Boons'!$A$496,VLOOKUP(DU27,BoonRef!$A$2:$Z$1230,23,FALSE),VLOOKUP(DU27,KanckRef!$A$2:$G$172,5,FALSE)))</f>
        <v/>
      </c>
      <c r="EF27" s="964"/>
      <c r="EG27" s="964"/>
      <c r="EH27" s="964"/>
      <c r="EI27" s="964"/>
      <c r="EJ27" s="964"/>
      <c r="EK27" s="964"/>
      <c r="EL27" s="964"/>
      <c r="EM27" s="964"/>
      <c r="EN27" s="965"/>
      <c r="EO27" s="966" t="str">
        <f>IF(ES27="","",IF(FY26&lt;'Purchased Boons'!$A$496,VLOOKUP(ES27,BoonRef!$A:$Z,2,FALSE),VLOOKUP(ES27,KanckRef!$A$2:$G$172,2,FALSE)))</f>
        <v/>
      </c>
      <c r="EP27" s="963"/>
      <c r="EQ27" s="963"/>
      <c r="ER27" s="963"/>
      <c r="ES27" s="963" t="str">
        <f>IF(FY26&lt;'Purchased Boons'!$A$496,VLOOKUP(FY26,'Purchased Boons'!$A$2:$C$495,3,FALSE),IF(FY26&lt;'Purchased Knacks'!$B$192,VLOOKUP(FY26,'Purchased Knacks'!$B$4:$E$191,2,FALSE),""))</f>
        <v/>
      </c>
      <c r="ET27" s="963"/>
      <c r="EU27" s="963"/>
      <c r="EV27" s="963"/>
      <c r="EW27" s="963"/>
      <c r="EX27" s="963"/>
      <c r="EY27" s="963"/>
      <c r="EZ27" s="972" t="str">
        <f>IF(ES27="","",IF(FY26&lt;'Purchased Boons'!$A$496,VLOOKUP(ES27,BoonRef!$A$2:$Z$1230,16,FALSE),VLOOKUP(ES27,KanckRef!$A$2:$G$172,4,FALSE)))</f>
        <v/>
      </c>
      <c r="FA27" s="972"/>
      <c r="FB27" s="972"/>
      <c r="FC27" s="964" t="str">
        <f>IF(ES27="","",IF(FY26&lt;'Purchased Boons'!$A$496,VLOOKUP(ES27,BoonRef!$A$2:$Z$1230,23,FALSE),VLOOKUP(ES27,KanckRef!$A$2:$G$172,5,FALSE)))</f>
        <v/>
      </c>
      <c r="FD27" s="964"/>
      <c r="FE27" s="964"/>
      <c r="FF27" s="964"/>
      <c r="FG27" s="964"/>
      <c r="FH27" s="964"/>
      <c r="FI27" s="964"/>
      <c r="FJ27" s="964"/>
      <c r="FK27" s="964"/>
      <c r="FL27" s="965"/>
      <c r="FW27" s="283">
        <v>27</v>
      </c>
      <c r="FX27" s="283">
        <v>65</v>
      </c>
      <c r="FY27" s="283">
        <v>110</v>
      </c>
    </row>
    <row r="28" spans="1:193" ht="15.75" customHeight="1" thickBot="1" x14ac:dyDescent="0.3">
      <c r="A28" s="961" t="s">
        <v>75</v>
      </c>
      <c r="B28" s="806"/>
      <c r="C28" s="807"/>
      <c r="D28" s="995" t="s">
        <v>2387</v>
      </c>
      <c r="E28" s="848"/>
      <c r="F28" s="849"/>
      <c r="G28" s="940" t="s">
        <v>2259</v>
      </c>
      <c r="H28" s="926"/>
      <c r="I28" s="926"/>
      <c r="J28" s="914">
        <f>IF('Purchased Knacks'!E26="yes","N/A",IF('Purchased Knacks'!E33="Yes",E7+G7,(E7)/2))</f>
        <v>0.5</v>
      </c>
      <c r="K28" s="942"/>
      <c r="L28" s="708" t="s">
        <v>2266</v>
      </c>
      <c r="M28" s="709"/>
      <c r="N28" s="709"/>
      <c r="O28" s="709"/>
      <c r="P28" s="712" t="str">
        <f>IF('Purchased Knacks'!E18="Yes",CONCATENATE((E6+E53+GK4+G6)*6," feet"),"N/A")</f>
        <v>N/A</v>
      </c>
      <c r="Q28" s="712"/>
      <c r="R28" s="720"/>
      <c r="S28" s="761" t="str">
        <f>IF('Purchased Knacks'!E59="No","-2","+2")</f>
        <v>-2</v>
      </c>
      <c r="T28" s="691"/>
      <c r="U28" s="299">
        <f>IF('Purchased Knacks'!E59="No",IF(F8=0,2,IF(F8=1,0,IF(F8=2,1,0))),2)</f>
        <v>2</v>
      </c>
      <c r="V28" s="279"/>
      <c r="W28" s="279"/>
      <c r="X28" s="492"/>
      <c r="Y28" s="740" t="str">
        <f>IF(AC28="","",IF(FW20&lt;'Purchased Boons'!$A$496,VLOOKUP(AC28,BoonRef!$A:$Z,2,FALSE),VLOOKUP(AC28,KanckRef!$A$2:$G$172,2,FALSE)))</f>
        <v/>
      </c>
      <c r="Z28" s="671"/>
      <c r="AA28" s="671"/>
      <c r="AB28" s="671"/>
      <c r="AC28" s="671" t="str">
        <f>IF(FW20&lt;'Purchased Boons'!$A$496,VLOOKUP(FW20,'Purchased Boons'!$A$2:$C$495,3,FALSE),IF(FW20&lt;'Purchased Knacks'!$B$192,VLOOKUP(FW20,'Purchased Knacks'!$B$4:$E$191,2,FALSE),""))</f>
        <v/>
      </c>
      <c r="AD28" s="671"/>
      <c r="AE28" s="671"/>
      <c r="AF28" s="671"/>
      <c r="AG28" s="671"/>
      <c r="AH28" s="671"/>
      <c r="AI28" s="671"/>
      <c r="AJ28" s="671" t="str">
        <f>IF(AC28="","",IF(FW20&lt;'Purchased Boons'!$A$496,VLOOKUP(AC28,BoonRef!$A$2:$Z$1230,16,FALSE),VLOOKUP(AC28,KanckRef!$A$2:$G$172,4,FALSE)))</f>
        <v/>
      </c>
      <c r="AK28" s="671"/>
      <c r="AL28" s="671"/>
      <c r="AM28" s="767" t="str">
        <f>IF(AC28="","",IF(FW20&lt;'Purchased Boons'!$A$496,VLOOKUP(AC28,BoonRef!$A$2:$Z$1230,23,FALSE),VLOOKUP(AC28,KanckRef!$A$2:$G$172,5,FALSE)))</f>
        <v/>
      </c>
      <c r="AN28" s="767"/>
      <c r="AO28" s="767"/>
      <c r="AP28" s="767"/>
      <c r="AQ28" s="767"/>
      <c r="AR28" s="767"/>
      <c r="AS28" s="767"/>
      <c r="AT28" s="767"/>
      <c r="AU28" s="767"/>
      <c r="AV28" s="768"/>
      <c r="AW28" s="843"/>
      <c r="AX28" s="818"/>
      <c r="AY28" s="818"/>
      <c r="AZ28" s="818"/>
      <c r="BA28" s="818"/>
      <c r="BB28" s="818"/>
      <c r="BC28" s="818"/>
      <c r="BD28" s="818"/>
      <c r="BE28" s="818"/>
      <c r="BF28" s="818"/>
      <c r="BG28" s="818"/>
      <c r="BH28" s="818"/>
      <c r="BI28" s="818"/>
      <c r="BJ28" s="818"/>
      <c r="BK28" s="818"/>
      <c r="BL28" s="818"/>
      <c r="BM28" s="818"/>
      <c r="BN28" s="818"/>
      <c r="BO28" s="818"/>
      <c r="BP28" s="818"/>
      <c r="BQ28" s="818"/>
      <c r="BR28" s="818"/>
      <c r="BS28" s="818"/>
      <c r="BT28" s="855"/>
      <c r="BU28" s="850"/>
      <c r="BV28" s="850"/>
      <c r="BW28" s="850"/>
      <c r="BX28" s="850"/>
      <c r="BY28" s="850"/>
      <c r="BZ28" s="850"/>
      <c r="CA28" s="850"/>
      <c r="CB28" s="850"/>
      <c r="CC28" s="850"/>
      <c r="CD28" s="850"/>
      <c r="CE28" s="850"/>
      <c r="CF28" s="850"/>
      <c r="CG28" s="850"/>
      <c r="CH28" s="850"/>
      <c r="CI28" s="850"/>
      <c r="CJ28" s="850"/>
      <c r="CK28" s="850"/>
      <c r="CL28" s="850"/>
      <c r="CM28" s="850"/>
      <c r="CN28" s="850"/>
      <c r="CO28" s="850"/>
      <c r="CP28" s="850"/>
      <c r="CQ28" s="850"/>
      <c r="CR28" s="851"/>
      <c r="CS28" s="668"/>
      <c r="CT28" s="669"/>
      <c r="CU28" s="669"/>
      <c r="CV28" s="669"/>
      <c r="CW28" s="669"/>
      <c r="CX28" s="669"/>
      <c r="CY28" s="669"/>
      <c r="CZ28" s="669"/>
      <c r="DA28" s="669"/>
      <c r="DB28" s="669"/>
      <c r="DC28" s="669"/>
      <c r="DD28" s="669"/>
      <c r="DE28" s="669"/>
      <c r="DF28" s="669"/>
      <c r="DG28" s="669"/>
      <c r="DH28" s="863"/>
      <c r="DI28" s="668"/>
      <c r="DJ28" s="669"/>
      <c r="DK28" s="669"/>
      <c r="DL28" s="669"/>
      <c r="DM28" s="669"/>
      <c r="DN28" s="669"/>
      <c r="DO28" s="669"/>
      <c r="DP28" s="669"/>
      <c r="DQ28" s="966" t="str">
        <f>IF(DU28="","",IF(FX27&lt;'Purchased Boons'!$A$496,VLOOKUP(DU28,BoonRef!$A:$Z,2,FALSE),VLOOKUP(DU28,KanckRef!$A$2:$G$172,2,FALSE)))</f>
        <v/>
      </c>
      <c r="DR28" s="963"/>
      <c r="DS28" s="963"/>
      <c r="DT28" s="963"/>
      <c r="DU28" s="963" t="str">
        <f>IF(FX27&lt;'Purchased Boons'!$A$496,VLOOKUP(FX27,'Purchased Boons'!$A$2:$C$495,3,FALSE),IF(FX27&lt;'Purchased Knacks'!$B$192,VLOOKUP(FX27,'Purchased Knacks'!$B$4:$E$191,2,FALSE),""))</f>
        <v/>
      </c>
      <c r="DV28" s="963"/>
      <c r="DW28" s="963"/>
      <c r="DX28" s="963"/>
      <c r="DY28" s="963"/>
      <c r="DZ28" s="963"/>
      <c r="EA28" s="963"/>
      <c r="EB28" s="972" t="str">
        <f>IF(DU28="","",IF(FX27&lt;'Purchased Boons'!$A$496,VLOOKUP(DU28,BoonRef!$A$2:$Z$1230,16,FALSE),VLOOKUP(DU28,KanckRef!$A$2:$G$172,4,FALSE)))</f>
        <v/>
      </c>
      <c r="EC28" s="972"/>
      <c r="ED28" s="972"/>
      <c r="EE28" s="964" t="str">
        <f>IF(DU28="","",IF(FX27&lt;'Purchased Boons'!$A$496,VLOOKUP(DU28,BoonRef!$A$2:$Z$1230,23,FALSE),VLOOKUP(DU28,KanckRef!$A$2:$G$172,5,FALSE)))</f>
        <v/>
      </c>
      <c r="EF28" s="964"/>
      <c r="EG28" s="964"/>
      <c r="EH28" s="964"/>
      <c r="EI28" s="964"/>
      <c r="EJ28" s="964"/>
      <c r="EK28" s="964"/>
      <c r="EL28" s="964"/>
      <c r="EM28" s="964"/>
      <c r="EN28" s="965"/>
      <c r="EO28" s="966" t="str">
        <f>IF(ES28="","",IF(FY27&lt;'Purchased Boons'!$A$496,VLOOKUP(ES28,BoonRef!$A:$Z,2,FALSE),VLOOKUP(ES28,KanckRef!$A$2:$G$172,2,FALSE)))</f>
        <v/>
      </c>
      <c r="EP28" s="963"/>
      <c r="EQ28" s="963"/>
      <c r="ER28" s="963"/>
      <c r="ES28" s="963" t="str">
        <f>IF(FY27&lt;'Purchased Boons'!$A$496,VLOOKUP(FY27,'Purchased Boons'!$A$2:$C$495,3,FALSE),IF(FY27&lt;'Purchased Knacks'!$B$192,VLOOKUP(FY27,'Purchased Knacks'!$B$4:$E$191,2,FALSE),""))</f>
        <v/>
      </c>
      <c r="ET28" s="963"/>
      <c r="EU28" s="963"/>
      <c r="EV28" s="963"/>
      <c r="EW28" s="963"/>
      <c r="EX28" s="963"/>
      <c r="EY28" s="963"/>
      <c r="EZ28" s="972" t="str">
        <f>IF(ES28="","",IF(FY27&lt;'Purchased Boons'!$A$496,VLOOKUP(ES28,BoonRef!$A$2:$Z$1230,16,FALSE),VLOOKUP(ES28,KanckRef!$A$2:$G$172,4,FALSE)))</f>
        <v/>
      </c>
      <c r="FA28" s="972"/>
      <c r="FB28" s="972"/>
      <c r="FC28" s="964" t="str">
        <f>IF(ES28="","",IF(FY27&lt;'Purchased Boons'!$A$496,VLOOKUP(ES28,BoonRef!$A$2:$Z$1230,23,FALSE),VLOOKUP(ES28,KanckRef!$A$2:$G$172,5,FALSE)))</f>
        <v/>
      </c>
      <c r="FD28" s="964"/>
      <c r="FE28" s="964"/>
      <c r="FF28" s="964"/>
      <c r="FG28" s="964"/>
      <c r="FH28" s="964"/>
      <c r="FI28" s="964"/>
      <c r="FJ28" s="964"/>
      <c r="FK28" s="964"/>
      <c r="FL28" s="965"/>
      <c r="FW28" s="283">
        <v>28</v>
      </c>
      <c r="FX28" s="283">
        <v>66</v>
      </c>
      <c r="FY28" s="283">
        <v>111</v>
      </c>
    </row>
    <row r="29" spans="1:193" ht="15.75" customHeight="1" thickBot="1" x14ac:dyDescent="0.3">
      <c r="A29" s="990"/>
      <c r="B29" s="798"/>
      <c r="C29" s="991"/>
      <c r="D29" s="996"/>
      <c r="E29" s="850"/>
      <c r="F29" s="851"/>
      <c r="G29" s="941"/>
      <c r="H29" s="928"/>
      <c r="I29" s="928"/>
      <c r="J29" s="784"/>
      <c r="K29" s="916"/>
      <c r="L29" s="925" t="s">
        <v>2254</v>
      </c>
      <c r="M29" s="926"/>
      <c r="N29" s="926"/>
      <c r="O29" s="926"/>
      <c r="P29" s="914" t="str">
        <f>IF('House Rules'!$B$11="off",IF('Purchased Knacks'!E25="yes",IF('Purchased Knacks'!E27="Yes","N/A",CONCATENATE(E7+G53," + ",E53+GK4+G7)),IF('Purchased Knacks'!E27="Yes","N/A",CONCATENATE(E7+G53+E53+GK4," + ",G7))),IF('Purchased Knacks'!E25="yes",IF('Purchased Knacks'!E27="Yes","N/A",CONCATENATE(E7+G53+D35+IF(D41="N/A",0,D41)," + ",E53+GK4+G7)),IF('Purchased Knacks'!E27="Yes","N/A",CONCATENATE(E7+G53+GK4+E53+D35+IF(D41="N/A",0,D41)," + ",G7))))</f>
        <v>1 + 0</v>
      </c>
      <c r="Q29" s="914"/>
      <c r="R29" s="915"/>
      <c r="S29" s="761">
        <f>IF('Purchased Knacks'!E59="No",IF(F8=1,-3,-4),"+4")</f>
        <v>-4</v>
      </c>
      <c r="T29" s="691"/>
      <c r="U29" s="299">
        <f>IF('Purchased Knacks'!E59="Yes",IF(F8=0,1,IF(F8=1,1,IF(F8=2,1,IF(F8=3,1,IF(F8=4,8,IF(F8=5,12,IF(F8=6,17,IF(F8=7,23,IF(F8=8,30,IF(F8=9,38,47)))))))))),IF(F8=0,1,IF(F8=1,1,0)))</f>
        <v>1</v>
      </c>
      <c r="V29" s="279"/>
      <c r="W29" s="279"/>
      <c r="X29" s="492"/>
      <c r="Y29" s="740" t="str">
        <f>IF(AC29="","",IF(FW21&lt;'Purchased Boons'!$A$496,VLOOKUP(AC29,BoonRef!$A:$Z,2,FALSE),VLOOKUP(AC29,KanckRef!$A$2:$G$172,2,FALSE)))</f>
        <v/>
      </c>
      <c r="Z29" s="671"/>
      <c r="AA29" s="671"/>
      <c r="AB29" s="671"/>
      <c r="AC29" s="671" t="str">
        <f>IF(FW21&lt;'Purchased Boons'!$A$496,VLOOKUP(FW21,'Purchased Boons'!$A$2:$C$495,3,FALSE),IF(FW21&lt;'Purchased Knacks'!$B$192,VLOOKUP(FW21,'Purchased Knacks'!$B$4:$E$191,2,FALSE),""))</f>
        <v/>
      </c>
      <c r="AD29" s="671"/>
      <c r="AE29" s="671"/>
      <c r="AF29" s="671"/>
      <c r="AG29" s="671"/>
      <c r="AH29" s="671"/>
      <c r="AI29" s="671"/>
      <c r="AJ29" s="671" t="str">
        <f>IF(AC29="","",IF(FW21&lt;'Purchased Boons'!$A$496,VLOOKUP(AC29,BoonRef!$A$2:$Z$1230,16,FALSE),VLOOKUP(AC29,KanckRef!$A$2:$G$172,4,FALSE)))</f>
        <v/>
      </c>
      <c r="AK29" s="671"/>
      <c r="AL29" s="671"/>
      <c r="AM29" s="767" t="str">
        <f>IF(AC29="","",IF(FW21&lt;'Purchased Boons'!$A$496,VLOOKUP(AC29,BoonRef!$A$2:$Z$1230,23,FALSE),VLOOKUP(AC29,KanckRef!$A$2:$G$172,5,FALSE)))</f>
        <v/>
      </c>
      <c r="AN29" s="767"/>
      <c r="AO29" s="767"/>
      <c r="AP29" s="767"/>
      <c r="AQ29" s="767"/>
      <c r="AR29" s="767"/>
      <c r="AS29" s="767"/>
      <c r="AT29" s="767"/>
      <c r="AU29" s="767"/>
      <c r="AV29" s="768"/>
      <c r="AW29" s="843" t="s">
        <v>373</v>
      </c>
      <c r="AX29" s="818"/>
      <c r="AY29" s="818"/>
      <c r="AZ29" s="818"/>
      <c r="BA29" s="818"/>
      <c r="BB29" s="818"/>
      <c r="BC29" s="818"/>
      <c r="BD29" s="818"/>
      <c r="BE29" s="818"/>
      <c r="BF29" s="818"/>
      <c r="BG29" s="818"/>
      <c r="BH29" s="818"/>
      <c r="BI29" s="818"/>
      <c r="BJ29" s="818"/>
      <c r="BK29" s="818"/>
      <c r="BL29" s="818"/>
      <c r="BM29" s="818"/>
      <c r="BN29" s="818"/>
      <c r="BO29" s="818"/>
      <c r="BP29" s="818"/>
      <c r="BQ29" s="818"/>
      <c r="BR29" s="818"/>
      <c r="BS29" s="818"/>
      <c r="BT29" s="855"/>
      <c r="BU29" s="850"/>
      <c r="BV29" s="850"/>
      <c r="BW29" s="850"/>
      <c r="BX29" s="850"/>
      <c r="BY29" s="850"/>
      <c r="BZ29" s="850"/>
      <c r="CA29" s="850"/>
      <c r="CB29" s="850"/>
      <c r="CC29" s="850"/>
      <c r="CD29" s="850"/>
      <c r="CE29" s="850"/>
      <c r="CF29" s="850"/>
      <c r="CG29" s="850"/>
      <c r="CH29" s="850"/>
      <c r="CI29" s="850"/>
      <c r="CJ29" s="850"/>
      <c r="CK29" s="850"/>
      <c r="CL29" s="850"/>
      <c r="CM29" s="850"/>
      <c r="CN29" s="850"/>
      <c r="CO29" s="850"/>
      <c r="CP29" s="850"/>
      <c r="CQ29" s="850"/>
      <c r="CR29" s="851"/>
      <c r="CS29" s="668"/>
      <c r="CT29" s="669"/>
      <c r="CU29" s="669"/>
      <c r="CV29" s="669"/>
      <c r="CW29" s="669"/>
      <c r="CX29" s="669"/>
      <c r="CY29" s="669"/>
      <c r="CZ29" s="669"/>
      <c r="DA29" s="669"/>
      <c r="DB29" s="669"/>
      <c r="DC29" s="669"/>
      <c r="DD29" s="669"/>
      <c r="DE29" s="669"/>
      <c r="DF29" s="669"/>
      <c r="DG29" s="669"/>
      <c r="DH29" s="863"/>
      <c r="DI29" s="668"/>
      <c r="DJ29" s="669"/>
      <c r="DK29" s="669"/>
      <c r="DL29" s="669"/>
      <c r="DM29" s="669"/>
      <c r="DN29" s="669"/>
      <c r="DO29" s="669"/>
      <c r="DP29" s="669"/>
      <c r="DQ29" s="966" t="str">
        <f>IF(DU29="","",IF(FX28&lt;'Purchased Boons'!$A$496,VLOOKUP(DU29,BoonRef!$A:$Z,2,FALSE),VLOOKUP(DU29,KanckRef!$A$2:$G$172,2,FALSE)))</f>
        <v/>
      </c>
      <c r="DR29" s="963"/>
      <c r="DS29" s="963"/>
      <c r="DT29" s="963"/>
      <c r="DU29" s="963" t="str">
        <f>IF(FX28&lt;'Purchased Boons'!$A$496,VLOOKUP(FX28,'Purchased Boons'!$A$2:$C$495,3,FALSE),IF(FX28&lt;'Purchased Knacks'!$B$192,VLOOKUP(FX28,'Purchased Knacks'!$B$4:$E$191,2,FALSE),""))</f>
        <v/>
      </c>
      <c r="DV29" s="963"/>
      <c r="DW29" s="963"/>
      <c r="DX29" s="963"/>
      <c r="DY29" s="963"/>
      <c r="DZ29" s="963"/>
      <c r="EA29" s="963"/>
      <c r="EB29" s="972" t="str">
        <f>IF(DU29="","",IF(FX28&lt;'Purchased Boons'!$A$496,VLOOKUP(DU29,BoonRef!$A$2:$Z$1230,16,FALSE),VLOOKUP(DU29,KanckRef!$A$2:$G$172,4,FALSE)))</f>
        <v/>
      </c>
      <c r="EC29" s="972"/>
      <c r="ED29" s="972"/>
      <c r="EE29" s="964" t="str">
        <f>IF(DU29="","",IF(FX28&lt;'Purchased Boons'!$A$496,VLOOKUP(DU29,BoonRef!$A$2:$Z$1230,23,FALSE),VLOOKUP(DU29,KanckRef!$A$2:$G$172,5,FALSE)))</f>
        <v/>
      </c>
      <c r="EF29" s="964"/>
      <c r="EG29" s="964"/>
      <c r="EH29" s="964"/>
      <c r="EI29" s="964"/>
      <c r="EJ29" s="964"/>
      <c r="EK29" s="964"/>
      <c r="EL29" s="964"/>
      <c r="EM29" s="964"/>
      <c r="EN29" s="965"/>
      <c r="EO29" s="966" t="str">
        <f>IF(ES29="","",IF(FY28&lt;'Purchased Boons'!$A$496,VLOOKUP(ES29,BoonRef!$A:$Z,2,FALSE),VLOOKUP(ES29,KanckRef!$A$2:$G$172,2,FALSE)))</f>
        <v/>
      </c>
      <c r="EP29" s="963"/>
      <c r="EQ29" s="963"/>
      <c r="ER29" s="963"/>
      <c r="ES29" s="963" t="str">
        <f>IF(FY28&lt;'Purchased Boons'!$A$496,VLOOKUP(FY28,'Purchased Boons'!$A$2:$C$495,3,FALSE),IF(FY28&lt;'Purchased Knacks'!$B$192,VLOOKUP(FY28,'Purchased Knacks'!$B$4:$E$191,2,FALSE),""))</f>
        <v/>
      </c>
      <c r="ET29" s="963"/>
      <c r="EU29" s="963"/>
      <c r="EV29" s="963"/>
      <c r="EW29" s="963"/>
      <c r="EX29" s="963"/>
      <c r="EY29" s="963"/>
      <c r="EZ29" s="972" t="str">
        <f>IF(ES29="","",IF(FY28&lt;'Purchased Boons'!$A$496,VLOOKUP(ES29,BoonRef!$A$2:$Z$1230,16,FALSE),VLOOKUP(ES29,KanckRef!$A$2:$G$172,4,FALSE)))</f>
        <v/>
      </c>
      <c r="FA29" s="972"/>
      <c r="FB29" s="972"/>
      <c r="FC29" s="964" t="str">
        <f>IF(ES29="","",IF(FY28&lt;'Purchased Boons'!$A$496,VLOOKUP(ES29,BoonRef!$A$2:$Z$1230,23,FALSE),VLOOKUP(ES29,KanckRef!$A$2:$G$172,5,FALSE)))</f>
        <v/>
      </c>
      <c r="FD29" s="964"/>
      <c r="FE29" s="964"/>
      <c r="FF29" s="964"/>
      <c r="FG29" s="964"/>
      <c r="FH29" s="964"/>
      <c r="FI29" s="964"/>
      <c r="FJ29" s="964"/>
      <c r="FK29" s="964"/>
      <c r="FL29" s="965"/>
      <c r="FW29" s="283">
        <v>29</v>
      </c>
      <c r="FX29" s="283">
        <v>67</v>
      </c>
      <c r="FY29" s="283">
        <v>112</v>
      </c>
    </row>
    <row r="30" spans="1:193" ht="15.75" customHeight="1" thickBot="1" x14ac:dyDescent="0.3">
      <c r="A30" s="990"/>
      <c r="B30" s="798"/>
      <c r="C30" s="991"/>
      <c r="D30" s="996"/>
      <c r="E30" s="850"/>
      <c r="F30" s="851"/>
      <c r="G30" s="932" t="s">
        <v>2268</v>
      </c>
      <c r="H30" s="933"/>
      <c r="I30" s="933"/>
      <c r="J30" s="765" t="str">
        <f>IF('Purchased Knacks'!E26="yes","N/A",IF('Purchased Knacks'!E40="Yes",J26,"N/A"))</f>
        <v>N/A</v>
      </c>
      <c r="K30" s="766"/>
      <c r="L30" s="927" t="s">
        <v>2252</v>
      </c>
      <c r="M30" s="928"/>
      <c r="N30" s="928"/>
      <c r="O30" s="928"/>
      <c r="P30" s="784" t="str">
        <f>IF('House Rules'!$B$11="off",IF('Purchased Knacks'!E25="yes",CONCATENATE(E7+G53," + ",E53+G7+GK4),CONCATENATE(E7+E53+G53+GK4," + ",G7)),IF('Purchased Knacks'!E25="yes",CONCATENATE(E7+G53+D35+IF(D41="N/A",0,D41)," + ",E53+GK4+G7),CONCATENATE(E7+E53+GK4+G53+D35+IF(D41="N/A",0,D41)," + ",G7)))</f>
        <v>1 + 0</v>
      </c>
      <c r="Q30" s="784"/>
      <c r="R30" s="916"/>
      <c r="S30" s="894" t="s">
        <v>112</v>
      </c>
      <c r="T30" s="709"/>
      <c r="U30" s="709"/>
      <c r="V30" s="280"/>
      <c r="W30" s="280"/>
      <c r="X30" s="494"/>
      <c r="Y30" s="740" t="str">
        <f>IF(AC30="","",IF(FW22&lt;'Purchased Boons'!$A$496,VLOOKUP(AC30,BoonRef!$A:$Z,2,FALSE),VLOOKUP(AC30,KanckRef!$A$2:$G$172,2,FALSE)))</f>
        <v/>
      </c>
      <c r="Z30" s="671"/>
      <c r="AA30" s="671"/>
      <c r="AB30" s="671"/>
      <c r="AC30" s="671" t="str">
        <f>IF(FW22&lt;'Purchased Boons'!$A$496,VLOOKUP(FW22,'Purchased Boons'!$A$2:$C$495,3,FALSE),IF(FW22&lt;'Purchased Knacks'!$B$192,VLOOKUP(FW22,'Purchased Knacks'!$B$4:$E$191,2,FALSE),""))</f>
        <v/>
      </c>
      <c r="AD30" s="671"/>
      <c r="AE30" s="671"/>
      <c r="AF30" s="671"/>
      <c r="AG30" s="671"/>
      <c r="AH30" s="671"/>
      <c r="AI30" s="671"/>
      <c r="AJ30" s="671" t="str">
        <f>IF(AC30="","",IF(FW22&lt;'Purchased Boons'!$A$496,VLOOKUP(AC30,BoonRef!$A$2:$Z$1230,16,FALSE),VLOOKUP(AC30,KanckRef!$A$2:$G$172,4,FALSE)))</f>
        <v/>
      </c>
      <c r="AK30" s="671"/>
      <c r="AL30" s="671"/>
      <c r="AM30" s="767" t="str">
        <f>IF(AC30="","",IF(FW22&lt;'Purchased Boons'!$A$496,VLOOKUP(AC30,BoonRef!$A$2:$Z$1230,23,FALSE),VLOOKUP(AC30,KanckRef!$A$2:$G$172,5,FALSE)))</f>
        <v/>
      </c>
      <c r="AN30" s="767"/>
      <c r="AO30" s="767"/>
      <c r="AP30" s="767"/>
      <c r="AQ30" s="767"/>
      <c r="AR30" s="767"/>
      <c r="AS30" s="767"/>
      <c r="AT30" s="767"/>
      <c r="AU30" s="767"/>
      <c r="AV30" s="768"/>
      <c r="AW30" s="843"/>
      <c r="AX30" s="818"/>
      <c r="AY30" s="818"/>
      <c r="AZ30" s="818"/>
      <c r="BA30" s="818"/>
      <c r="BB30" s="818"/>
      <c r="BC30" s="818"/>
      <c r="BD30" s="818"/>
      <c r="BE30" s="818"/>
      <c r="BF30" s="818"/>
      <c r="BG30" s="818"/>
      <c r="BH30" s="818"/>
      <c r="BI30" s="818"/>
      <c r="BJ30" s="818"/>
      <c r="BK30" s="818"/>
      <c r="BL30" s="818"/>
      <c r="BM30" s="818"/>
      <c r="BN30" s="818"/>
      <c r="BO30" s="818"/>
      <c r="BP30" s="818"/>
      <c r="BQ30" s="818"/>
      <c r="BR30" s="818"/>
      <c r="BS30" s="818"/>
      <c r="BT30" s="855"/>
      <c r="BU30" s="850"/>
      <c r="BV30" s="850"/>
      <c r="BW30" s="850"/>
      <c r="BX30" s="850"/>
      <c r="BY30" s="850"/>
      <c r="BZ30" s="850"/>
      <c r="CA30" s="850"/>
      <c r="CB30" s="850"/>
      <c r="CC30" s="850"/>
      <c r="CD30" s="850"/>
      <c r="CE30" s="850"/>
      <c r="CF30" s="850"/>
      <c r="CG30" s="850"/>
      <c r="CH30" s="850"/>
      <c r="CI30" s="850"/>
      <c r="CJ30" s="850"/>
      <c r="CK30" s="850"/>
      <c r="CL30" s="850"/>
      <c r="CM30" s="850"/>
      <c r="CN30" s="850"/>
      <c r="CO30" s="850"/>
      <c r="CP30" s="850"/>
      <c r="CQ30" s="850"/>
      <c r="CR30" s="851"/>
      <c r="CS30" s="693"/>
      <c r="CT30" s="694"/>
      <c r="CU30" s="694"/>
      <c r="CV30" s="694"/>
      <c r="CW30" s="694"/>
      <c r="CX30" s="694"/>
      <c r="CY30" s="694"/>
      <c r="CZ30" s="694"/>
      <c r="DA30" s="694"/>
      <c r="DB30" s="694"/>
      <c r="DC30" s="694"/>
      <c r="DD30" s="694"/>
      <c r="DE30" s="694"/>
      <c r="DF30" s="694"/>
      <c r="DG30" s="694"/>
      <c r="DH30" s="719"/>
      <c r="DI30" s="693"/>
      <c r="DJ30" s="694"/>
      <c r="DK30" s="694"/>
      <c r="DL30" s="694"/>
      <c r="DM30" s="694"/>
      <c r="DN30" s="694"/>
      <c r="DO30" s="694"/>
      <c r="DP30" s="711"/>
      <c r="DQ30" s="966" t="str">
        <f>IF(DU30="","",IF(FX29&lt;'Purchased Boons'!$A$496,VLOOKUP(DU30,BoonRef!$A:$Z,2,FALSE),VLOOKUP(DU30,KanckRef!$A$2:$G$172,2,FALSE)))</f>
        <v/>
      </c>
      <c r="DR30" s="963"/>
      <c r="DS30" s="963"/>
      <c r="DT30" s="963"/>
      <c r="DU30" s="963" t="str">
        <f>IF(FX29&lt;'Purchased Boons'!$A$496,VLOOKUP(FX29,'Purchased Boons'!$A$2:$C$495,3,FALSE),IF(FX29&lt;'Purchased Knacks'!$B$192,VLOOKUP(FX29,'Purchased Knacks'!$B$4:$E$191,2,FALSE),""))</f>
        <v/>
      </c>
      <c r="DV30" s="963"/>
      <c r="DW30" s="963"/>
      <c r="DX30" s="963"/>
      <c r="DY30" s="963"/>
      <c r="DZ30" s="963"/>
      <c r="EA30" s="963"/>
      <c r="EB30" s="972" t="str">
        <f>IF(DU30="","",IF(FX29&lt;'Purchased Boons'!$A$496,VLOOKUP(DU30,BoonRef!$A$2:$Z$1230,16,FALSE),VLOOKUP(DU30,KanckRef!$A$2:$G$172,4,FALSE)))</f>
        <v/>
      </c>
      <c r="EC30" s="972"/>
      <c r="ED30" s="972"/>
      <c r="EE30" s="964" t="str">
        <f>IF(DU30="","",IF(FX29&lt;'Purchased Boons'!$A$496,VLOOKUP(DU30,BoonRef!$A$2:$Z$1230,23,FALSE),VLOOKUP(DU30,KanckRef!$A$2:$G$172,5,FALSE)))</f>
        <v/>
      </c>
      <c r="EF30" s="964"/>
      <c r="EG30" s="964"/>
      <c r="EH30" s="964"/>
      <c r="EI30" s="964"/>
      <c r="EJ30" s="964"/>
      <c r="EK30" s="964"/>
      <c r="EL30" s="964"/>
      <c r="EM30" s="964"/>
      <c r="EN30" s="965"/>
      <c r="EO30" s="966" t="str">
        <f>IF(ES30="","",IF(FY29&lt;'Purchased Boons'!$A$496,VLOOKUP(ES30,BoonRef!$A:$Z,2,FALSE),VLOOKUP(ES30,KanckRef!$A$2:$G$172,2,FALSE)))</f>
        <v/>
      </c>
      <c r="EP30" s="963"/>
      <c r="EQ30" s="963"/>
      <c r="ER30" s="963"/>
      <c r="ES30" s="963" t="str">
        <f>IF(FY29&lt;'Purchased Boons'!$A$496,VLOOKUP(FY29,'Purchased Boons'!$A$2:$C$495,3,FALSE),IF(FY29&lt;'Purchased Knacks'!$B$192,VLOOKUP(FY29,'Purchased Knacks'!$B$4:$E$191,2,FALSE),""))</f>
        <v/>
      </c>
      <c r="ET30" s="963"/>
      <c r="EU30" s="963"/>
      <c r="EV30" s="963"/>
      <c r="EW30" s="963"/>
      <c r="EX30" s="963"/>
      <c r="EY30" s="963"/>
      <c r="EZ30" s="972" t="str">
        <f>IF(ES30="","",IF(FY29&lt;'Purchased Boons'!$A$496,VLOOKUP(ES30,BoonRef!$A$2:$Z$1230,16,FALSE),VLOOKUP(ES30,KanckRef!$A$2:$G$172,4,FALSE)))</f>
        <v/>
      </c>
      <c r="FA30" s="972"/>
      <c r="FB30" s="972"/>
      <c r="FC30" s="964" t="str">
        <f>IF(ES30="","",IF(FY29&lt;'Purchased Boons'!$A$496,VLOOKUP(ES30,BoonRef!$A$2:$Z$1230,23,FALSE),VLOOKUP(ES30,KanckRef!$A$2:$G$172,5,FALSE)))</f>
        <v/>
      </c>
      <c r="FD30" s="964"/>
      <c r="FE30" s="964"/>
      <c r="FF30" s="964"/>
      <c r="FG30" s="964"/>
      <c r="FH30" s="964"/>
      <c r="FI30" s="964"/>
      <c r="FJ30" s="964"/>
      <c r="FK30" s="964"/>
      <c r="FL30" s="965"/>
      <c r="FW30" s="283">
        <v>30</v>
      </c>
      <c r="FX30" s="283">
        <v>68</v>
      </c>
      <c r="FY30" s="283">
        <v>113</v>
      </c>
    </row>
    <row r="31" spans="1:193" ht="15.75" customHeight="1" thickBot="1" x14ac:dyDescent="0.3">
      <c r="A31" s="992"/>
      <c r="B31" s="993"/>
      <c r="C31" s="994"/>
      <c r="D31" s="997"/>
      <c r="E31" s="998"/>
      <c r="F31" s="999"/>
      <c r="G31" s="934"/>
      <c r="H31" s="935"/>
      <c r="I31" s="935"/>
      <c r="J31" s="804"/>
      <c r="K31" s="880"/>
      <c r="L31" s="932" t="s">
        <v>2261</v>
      </c>
      <c r="M31" s="933"/>
      <c r="N31" s="933"/>
      <c r="O31" s="933"/>
      <c r="P31" s="933"/>
      <c r="Q31" s="936" t="str">
        <f>IF('Purchased Knacks'!E65="yes","N/A",IF(OR('Purchased Knacks'!E50="yes",'Purchased Knacks'!E51="yes",'Purchased Knacks'!E52="yes"),CONCATENATE((E8+E58)*2," ","days"),IF('Purchased Knacks'!E54="Yes",CONCATENATE(E8+E58," ","days"),CONCATENATE((E8+E58)/2," ",IF(F8&gt;0,"days","hours")))))</f>
        <v>0.5 hours</v>
      </c>
      <c r="R31" s="937"/>
      <c r="S31" s="887" t="s">
        <v>83</v>
      </c>
      <c r="T31" s="887"/>
      <c r="U31" s="918"/>
      <c r="V31" s="886">
        <f>SUM(LARGE(L40:R41,1),LARGE(L40:R41,2),Creation!O23,DotTracking!AI26:AM26,DotTracking!BG26:BK26,DemigodConversion!W30,GodConversion!W30)</f>
        <v>2</v>
      </c>
      <c r="W31" s="887"/>
      <c r="X31" s="887"/>
      <c r="Y31" s="740" t="str">
        <f>IF(AC31="","",IF(FW23&lt;'Purchased Boons'!$A$496,VLOOKUP(AC31,BoonRef!$A:$Z,2,FALSE),VLOOKUP(AC31,KanckRef!$A$2:$G$172,2,FALSE)))</f>
        <v/>
      </c>
      <c r="Z31" s="671"/>
      <c r="AA31" s="671"/>
      <c r="AB31" s="671"/>
      <c r="AC31" s="671" t="str">
        <f>IF(FW23&lt;'Purchased Boons'!$A$496,VLOOKUP(FW23,'Purchased Boons'!$A$2:$C$495,3,FALSE),IF(FW23&lt;'Purchased Knacks'!$B$192,VLOOKUP(FW23,'Purchased Knacks'!$B$4:$E$191,2,FALSE),""))</f>
        <v/>
      </c>
      <c r="AD31" s="671"/>
      <c r="AE31" s="671"/>
      <c r="AF31" s="671"/>
      <c r="AG31" s="671"/>
      <c r="AH31" s="671"/>
      <c r="AI31" s="671"/>
      <c r="AJ31" s="671" t="str">
        <f>IF(AC31="","",IF(FW23&lt;'Purchased Boons'!$A$496,VLOOKUP(AC31,BoonRef!$A$2:$Z$1230,16,FALSE),VLOOKUP(AC31,KanckRef!$A$2:$G$172,4,FALSE)))</f>
        <v/>
      </c>
      <c r="AK31" s="671"/>
      <c r="AL31" s="671"/>
      <c r="AM31" s="767" t="str">
        <f>IF(AC31="","",IF(FW23&lt;'Purchased Boons'!$A$496,VLOOKUP(AC31,BoonRef!$A$2:$Z$1230,23,FALSE),VLOOKUP(AC31,KanckRef!$A$2:$G$172,5,FALSE)))</f>
        <v/>
      </c>
      <c r="AN31" s="767"/>
      <c r="AO31" s="767"/>
      <c r="AP31" s="767"/>
      <c r="AQ31" s="767"/>
      <c r="AR31" s="767"/>
      <c r="AS31" s="767"/>
      <c r="AT31" s="767"/>
      <c r="AU31" s="767"/>
      <c r="AV31" s="768"/>
      <c r="AW31" s="843" t="s">
        <v>373</v>
      </c>
      <c r="AX31" s="818"/>
      <c r="AY31" s="818"/>
      <c r="AZ31" s="818"/>
      <c r="BA31" s="818"/>
      <c r="BB31" s="818"/>
      <c r="BC31" s="818"/>
      <c r="BD31" s="818"/>
      <c r="BE31" s="818"/>
      <c r="BF31" s="818"/>
      <c r="BG31" s="818"/>
      <c r="BH31" s="818"/>
      <c r="BI31" s="818"/>
      <c r="BJ31" s="818"/>
      <c r="BK31" s="818"/>
      <c r="BL31" s="818"/>
      <c r="BM31" s="818"/>
      <c r="BN31" s="818"/>
      <c r="BO31" s="818"/>
      <c r="BP31" s="818"/>
      <c r="BQ31" s="818"/>
      <c r="BR31" s="818"/>
      <c r="BS31" s="818"/>
      <c r="BT31" s="855"/>
      <c r="BU31" s="850"/>
      <c r="BV31" s="850"/>
      <c r="BW31" s="850"/>
      <c r="BX31" s="850"/>
      <c r="BY31" s="850"/>
      <c r="BZ31" s="850"/>
      <c r="CA31" s="850"/>
      <c r="CB31" s="850"/>
      <c r="CC31" s="850"/>
      <c r="CD31" s="850"/>
      <c r="CE31" s="850"/>
      <c r="CF31" s="850"/>
      <c r="CG31" s="850"/>
      <c r="CH31" s="850"/>
      <c r="CI31" s="850"/>
      <c r="CJ31" s="850"/>
      <c r="CK31" s="850"/>
      <c r="CL31" s="850"/>
      <c r="CM31" s="850"/>
      <c r="CN31" s="850"/>
      <c r="CO31" s="850"/>
      <c r="CP31" s="850"/>
      <c r="CQ31" s="850"/>
      <c r="CR31" s="851"/>
      <c r="CS31" s="693"/>
      <c r="CT31" s="694"/>
      <c r="CU31" s="694"/>
      <c r="CV31" s="694"/>
      <c r="CW31" s="694"/>
      <c r="CX31" s="694"/>
      <c r="CY31" s="694"/>
      <c r="CZ31" s="694"/>
      <c r="DA31" s="694"/>
      <c r="DB31" s="694"/>
      <c r="DC31" s="694"/>
      <c r="DD31" s="694"/>
      <c r="DE31" s="694"/>
      <c r="DF31" s="694"/>
      <c r="DG31" s="694"/>
      <c r="DH31" s="719"/>
      <c r="DI31" s="693"/>
      <c r="DJ31" s="694"/>
      <c r="DK31" s="694"/>
      <c r="DL31" s="694"/>
      <c r="DM31" s="694"/>
      <c r="DN31" s="694"/>
      <c r="DO31" s="694"/>
      <c r="DP31" s="711"/>
      <c r="DQ31" s="966" t="str">
        <f>IF(DU31="","",IF(FX30&lt;'Purchased Boons'!$A$496,VLOOKUP(DU31,BoonRef!$A:$Z,2,FALSE),VLOOKUP(DU31,KanckRef!$A$2:$G$172,2,FALSE)))</f>
        <v/>
      </c>
      <c r="DR31" s="963"/>
      <c r="DS31" s="963"/>
      <c r="DT31" s="963"/>
      <c r="DU31" s="963" t="str">
        <f>IF(FX30&lt;'Purchased Boons'!$A$496,VLOOKUP(FX30,'Purchased Boons'!$A$2:$C$495,3,FALSE),IF(FX30&lt;'Purchased Knacks'!$B$192,VLOOKUP(FX30,'Purchased Knacks'!$B$4:$E$191,2,FALSE),""))</f>
        <v/>
      </c>
      <c r="DV31" s="963"/>
      <c r="DW31" s="963"/>
      <c r="DX31" s="963"/>
      <c r="DY31" s="963"/>
      <c r="DZ31" s="963"/>
      <c r="EA31" s="963"/>
      <c r="EB31" s="972" t="str">
        <f>IF(DU31="","",IF(FX30&lt;'Purchased Boons'!$A$496,VLOOKUP(DU31,BoonRef!$A$2:$Z$1230,16,FALSE),VLOOKUP(DU31,KanckRef!$A$2:$G$172,4,FALSE)))</f>
        <v/>
      </c>
      <c r="EC31" s="972"/>
      <c r="ED31" s="972"/>
      <c r="EE31" s="964" t="str">
        <f>IF(DU31="","",IF(FX30&lt;'Purchased Boons'!$A$496,VLOOKUP(DU31,BoonRef!$A$2:$Z$1230,23,FALSE),VLOOKUP(DU31,KanckRef!$A$2:$G$172,5,FALSE)))</f>
        <v/>
      </c>
      <c r="EF31" s="964"/>
      <c r="EG31" s="964"/>
      <c r="EH31" s="964"/>
      <c r="EI31" s="964"/>
      <c r="EJ31" s="964"/>
      <c r="EK31" s="964"/>
      <c r="EL31" s="964"/>
      <c r="EM31" s="964"/>
      <c r="EN31" s="965"/>
      <c r="EO31" s="966" t="str">
        <f>IF(ES31="","",IF(FY30&lt;'Purchased Boons'!$A$496,VLOOKUP(ES31,BoonRef!$A:$Z,2,FALSE),VLOOKUP(ES31,KanckRef!$A$2:$G$172,2,FALSE)))</f>
        <v/>
      </c>
      <c r="EP31" s="963"/>
      <c r="EQ31" s="963"/>
      <c r="ER31" s="963"/>
      <c r="ES31" s="963" t="str">
        <f>IF(FY30&lt;'Purchased Boons'!$A$496,VLOOKUP(FY30,'Purchased Boons'!$A$2:$C$495,3,FALSE),IF(FY30&lt;'Purchased Knacks'!$B$192,VLOOKUP(FY30,'Purchased Knacks'!$B$4:$E$191,2,FALSE),""))</f>
        <v/>
      </c>
      <c r="ET31" s="963"/>
      <c r="EU31" s="963"/>
      <c r="EV31" s="963"/>
      <c r="EW31" s="963"/>
      <c r="EX31" s="963"/>
      <c r="EY31" s="963"/>
      <c r="EZ31" s="972" t="str">
        <f>IF(ES31="","",IF(FY30&lt;'Purchased Boons'!$A$496,VLOOKUP(ES31,BoonRef!$A$2:$Z$1230,16,FALSE),VLOOKUP(ES31,KanckRef!$A$2:$G$172,4,FALSE)))</f>
        <v/>
      </c>
      <c r="FA31" s="972"/>
      <c r="FB31" s="972"/>
      <c r="FC31" s="964" t="str">
        <f>IF(ES31="","",IF(FY30&lt;'Purchased Boons'!$A$496,VLOOKUP(ES31,BoonRef!$A$2:$Z$1230,23,FALSE),VLOOKUP(ES31,KanckRef!$A$2:$G$172,5,FALSE)))</f>
        <v/>
      </c>
      <c r="FD31" s="964"/>
      <c r="FE31" s="964"/>
      <c r="FF31" s="964"/>
      <c r="FG31" s="964"/>
      <c r="FH31" s="964"/>
      <c r="FI31" s="964"/>
      <c r="FJ31" s="964"/>
      <c r="FK31" s="964"/>
      <c r="FL31" s="965"/>
      <c r="FW31" s="283">
        <v>31</v>
      </c>
      <c r="FX31" s="283">
        <v>69</v>
      </c>
      <c r="FY31" s="283">
        <v>114</v>
      </c>
    </row>
    <row r="32" spans="1:193" ht="15.75" customHeight="1" thickBot="1" x14ac:dyDescent="0.3">
      <c r="A32" s="723" t="s">
        <v>88</v>
      </c>
      <c r="B32" s="724"/>
      <c r="C32" s="724"/>
      <c r="D32" s="767">
        <f>VLOOKUP(F8,Reference!N15:P26,2,FALSE)+IF($D$28="unarmored",0,VLOOKUP($D$28,ArmoryRef!$M$1:$R$39,2,FALSE))</f>
        <v>1</v>
      </c>
      <c r="E32" s="767"/>
      <c r="F32" s="768"/>
      <c r="G32" s="940" t="s">
        <v>2253</v>
      </c>
      <c r="H32" s="926"/>
      <c r="I32" s="926"/>
      <c r="J32" s="926">
        <f>(E7+G7)/2</f>
        <v>0.5</v>
      </c>
      <c r="K32" s="943"/>
      <c r="L32" s="941"/>
      <c r="M32" s="928"/>
      <c r="N32" s="928"/>
      <c r="O32" s="928"/>
      <c r="P32" s="928"/>
      <c r="Q32" s="938"/>
      <c r="R32" s="939"/>
      <c r="S32" s="884" t="s">
        <v>98</v>
      </c>
      <c r="T32" s="884"/>
      <c r="U32" s="885"/>
      <c r="V32" s="904"/>
      <c r="W32" s="905"/>
      <c r="X32" s="905"/>
      <c r="Y32" s="740" t="str">
        <f>IF(AC32="","",IF(FW24&lt;'Purchased Boons'!$A$496,VLOOKUP(AC32,BoonRef!$A:$Z,2,FALSE),VLOOKUP(AC32,KanckRef!$A$2:$G$172,2,FALSE)))</f>
        <v/>
      </c>
      <c r="Z32" s="671"/>
      <c r="AA32" s="671"/>
      <c r="AB32" s="671"/>
      <c r="AC32" s="671" t="str">
        <f>IF(FW24&lt;'Purchased Boons'!$A$496,VLOOKUP(FW24,'Purchased Boons'!$A$2:$C$495,3,FALSE),IF(FW24&lt;'Purchased Knacks'!$B$192,VLOOKUP(FW24,'Purchased Knacks'!$B$4:$E$191,2,FALSE),""))</f>
        <v/>
      </c>
      <c r="AD32" s="671"/>
      <c r="AE32" s="671"/>
      <c r="AF32" s="671"/>
      <c r="AG32" s="671"/>
      <c r="AH32" s="671"/>
      <c r="AI32" s="671"/>
      <c r="AJ32" s="671" t="str">
        <f>IF(AC32="","",IF(FW24&lt;'Purchased Boons'!$A$496,VLOOKUP(AC32,BoonRef!$A$2:$Z$1230,16,FALSE),VLOOKUP(AC32,KanckRef!$A$2:$G$172,4,FALSE)))</f>
        <v/>
      </c>
      <c r="AK32" s="671"/>
      <c r="AL32" s="671"/>
      <c r="AM32" s="767" t="str">
        <f>IF(AC32="","",IF(FW24&lt;'Purchased Boons'!$A$496,VLOOKUP(AC32,BoonRef!$A$2:$Z$1230,23,FALSE),VLOOKUP(AC32,KanckRef!$A$2:$G$172,5,FALSE)))</f>
        <v/>
      </c>
      <c r="AN32" s="767"/>
      <c r="AO32" s="767"/>
      <c r="AP32" s="767"/>
      <c r="AQ32" s="767"/>
      <c r="AR32" s="767"/>
      <c r="AS32" s="767"/>
      <c r="AT32" s="767"/>
      <c r="AU32" s="767"/>
      <c r="AV32" s="768"/>
      <c r="AW32" s="843"/>
      <c r="AX32" s="818"/>
      <c r="AY32" s="818"/>
      <c r="AZ32" s="818"/>
      <c r="BA32" s="818"/>
      <c r="BB32" s="818"/>
      <c r="BC32" s="818"/>
      <c r="BD32" s="818"/>
      <c r="BE32" s="818"/>
      <c r="BF32" s="818"/>
      <c r="BG32" s="818"/>
      <c r="BH32" s="818"/>
      <c r="BI32" s="818"/>
      <c r="BJ32" s="818"/>
      <c r="BK32" s="818"/>
      <c r="BL32" s="818"/>
      <c r="BM32" s="818"/>
      <c r="BN32" s="818"/>
      <c r="BO32" s="818"/>
      <c r="BP32" s="818"/>
      <c r="BQ32" s="818"/>
      <c r="BR32" s="818"/>
      <c r="BS32" s="818"/>
      <c r="BT32" s="855"/>
      <c r="BU32" s="850"/>
      <c r="BV32" s="850"/>
      <c r="BW32" s="850"/>
      <c r="BX32" s="850"/>
      <c r="BY32" s="850"/>
      <c r="BZ32" s="850"/>
      <c r="CA32" s="850"/>
      <c r="CB32" s="850"/>
      <c r="CC32" s="850"/>
      <c r="CD32" s="850"/>
      <c r="CE32" s="850"/>
      <c r="CF32" s="850"/>
      <c r="CG32" s="850"/>
      <c r="CH32" s="850"/>
      <c r="CI32" s="850"/>
      <c r="CJ32" s="850"/>
      <c r="CK32" s="850"/>
      <c r="CL32" s="850"/>
      <c r="CM32" s="850"/>
      <c r="CN32" s="850"/>
      <c r="CO32" s="850"/>
      <c r="CP32" s="850"/>
      <c r="CQ32" s="850"/>
      <c r="CR32" s="851"/>
      <c r="CS32" s="693"/>
      <c r="CT32" s="694"/>
      <c r="CU32" s="694"/>
      <c r="CV32" s="694"/>
      <c r="CW32" s="694"/>
      <c r="CX32" s="694"/>
      <c r="CY32" s="694"/>
      <c r="CZ32" s="694"/>
      <c r="DA32" s="694"/>
      <c r="DB32" s="694"/>
      <c r="DC32" s="694"/>
      <c r="DD32" s="694"/>
      <c r="DE32" s="694"/>
      <c r="DF32" s="694"/>
      <c r="DG32" s="694"/>
      <c r="DH32" s="719"/>
      <c r="DI32" s="693"/>
      <c r="DJ32" s="694"/>
      <c r="DK32" s="694"/>
      <c r="DL32" s="694"/>
      <c r="DM32" s="694"/>
      <c r="DN32" s="694"/>
      <c r="DO32" s="694"/>
      <c r="DP32" s="711"/>
      <c r="DQ32" s="966" t="str">
        <f>IF(DU32="","",IF(FX31&lt;'Purchased Boons'!$A$496,VLOOKUP(DU32,BoonRef!$A:$Z,2,FALSE),VLOOKUP(DU32,KanckRef!$A$2:$G$172,2,FALSE)))</f>
        <v/>
      </c>
      <c r="DR32" s="963"/>
      <c r="DS32" s="963"/>
      <c r="DT32" s="963"/>
      <c r="DU32" s="963" t="str">
        <f>IF(FX31&lt;'Purchased Boons'!$A$496,VLOOKUP(FX31,'Purchased Boons'!$A$2:$C$495,3,FALSE),IF(FX31&lt;'Purchased Knacks'!$B$192,VLOOKUP(FX31,'Purchased Knacks'!$B$4:$E$191,2,FALSE),""))</f>
        <v/>
      </c>
      <c r="DV32" s="963"/>
      <c r="DW32" s="963"/>
      <c r="DX32" s="963"/>
      <c r="DY32" s="963"/>
      <c r="DZ32" s="963"/>
      <c r="EA32" s="963"/>
      <c r="EB32" s="972" t="str">
        <f>IF(DU32="","",IF(FX31&lt;'Purchased Boons'!$A$496,VLOOKUP(DU32,BoonRef!$A$2:$Z$1230,16,FALSE),VLOOKUP(DU32,KanckRef!$A$2:$G$172,4,FALSE)))</f>
        <v/>
      </c>
      <c r="EC32" s="972"/>
      <c r="ED32" s="972"/>
      <c r="EE32" s="964" t="str">
        <f>IF(DU32="","",IF(FX31&lt;'Purchased Boons'!$A$496,VLOOKUP(DU32,BoonRef!$A$2:$Z$1230,23,FALSE),VLOOKUP(DU32,KanckRef!$A$2:$G$172,5,FALSE)))</f>
        <v/>
      </c>
      <c r="EF32" s="964"/>
      <c r="EG32" s="964"/>
      <c r="EH32" s="964"/>
      <c r="EI32" s="964"/>
      <c r="EJ32" s="964"/>
      <c r="EK32" s="964"/>
      <c r="EL32" s="964"/>
      <c r="EM32" s="964"/>
      <c r="EN32" s="965"/>
      <c r="EO32" s="966" t="str">
        <f>IF(ES32="","",IF(FY31&lt;'Purchased Boons'!$A$496,VLOOKUP(ES32,BoonRef!$A:$Z,2,FALSE),VLOOKUP(ES32,KanckRef!$A$2:$G$172,2,FALSE)))</f>
        <v/>
      </c>
      <c r="EP32" s="963"/>
      <c r="EQ32" s="963"/>
      <c r="ER32" s="963"/>
      <c r="ES32" s="963" t="str">
        <f>IF(FY31&lt;'Purchased Boons'!$A$496,VLOOKUP(FY31,'Purchased Boons'!$A$2:$C$495,3,FALSE),IF(FY31&lt;'Purchased Knacks'!$B$192,VLOOKUP(FY31,'Purchased Knacks'!$B$4:$E$191,2,FALSE),""))</f>
        <v/>
      </c>
      <c r="ET32" s="963"/>
      <c r="EU32" s="963"/>
      <c r="EV32" s="963"/>
      <c r="EW32" s="963"/>
      <c r="EX32" s="963"/>
      <c r="EY32" s="963"/>
      <c r="EZ32" s="972" t="str">
        <f>IF(ES32="","",IF(FY31&lt;'Purchased Boons'!$A$496,VLOOKUP(ES32,BoonRef!$A$2:$Z$1230,16,FALSE),VLOOKUP(ES32,KanckRef!$A$2:$G$172,4,FALSE)))</f>
        <v/>
      </c>
      <c r="FA32" s="972"/>
      <c r="FB32" s="972"/>
      <c r="FC32" s="964" t="str">
        <f>IF(ES32="","",IF(FY31&lt;'Purchased Boons'!$A$496,VLOOKUP(ES32,BoonRef!$A$2:$Z$1230,23,FALSE),VLOOKUP(ES32,KanckRef!$A$2:$G$172,5,FALSE)))</f>
        <v/>
      </c>
      <c r="FD32" s="964"/>
      <c r="FE32" s="964"/>
      <c r="FF32" s="964"/>
      <c r="FG32" s="964"/>
      <c r="FH32" s="964"/>
      <c r="FI32" s="964"/>
      <c r="FJ32" s="964"/>
      <c r="FK32" s="964"/>
      <c r="FL32" s="965"/>
      <c r="FW32" s="283">
        <v>32</v>
      </c>
      <c r="FX32" s="283">
        <v>70</v>
      </c>
      <c r="FY32" s="283">
        <v>115</v>
      </c>
    </row>
    <row r="33" spans="1:181" ht="15" customHeight="1" thickBot="1" x14ac:dyDescent="0.3">
      <c r="A33" s="723" t="s">
        <v>89</v>
      </c>
      <c r="B33" s="724"/>
      <c r="C33" s="724"/>
      <c r="D33" s="767">
        <f>VLOOKUP(F8,Reference!N15:P26,2,FALSE)+IF($D$28="unarmored",0,VLOOKUP($D$28,ArmoryRef!$M$1:$R$39,3,FALSE))</f>
        <v>1</v>
      </c>
      <c r="E33" s="767"/>
      <c r="F33" s="768"/>
      <c r="G33" s="941"/>
      <c r="H33" s="928"/>
      <c r="I33" s="928"/>
      <c r="J33" s="928"/>
      <c r="K33" s="944"/>
      <c r="L33" s="932" t="s">
        <v>2255</v>
      </c>
      <c r="M33" s="933"/>
      <c r="N33" s="933"/>
      <c r="O33" s="933"/>
      <c r="P33" s="725" t="str">
        <f>IF((((E8+E58+GK11)*30)*(2^F8))&gt;59,CONCATENATE(((E8+E58+GK11)/2)*(2^F8)," ","Minutes"),CONCATENATE(((E8+E58+GK11)*30)*(2^F8)," ","Seconds"))</f>
        <v>30 Seconds</v>
      </c>
      <c r="Q33" s="725"/>
      <c r="R33" s="726"/>
      <c r="S33" s="883" t="s">
        <v>60</v>
      </c>
      <c r="T33" s="883"/>
      <c r="U33" s="883"/>
      <c r="V33" s="883"/>
      <c r="W33" s="883"/>
      <c r="X33" s="883"/>
      <c r="Y33" s="740" t="str">
        <f>IF(AC33="","",IF(FW25&lt;'Purchased Boons'!$A$496,VLOOKUP(AC33,BoonRef!$A:$Z,2,FALSE),VLOOKUP(AC33,KanckRef!$A$2:$G$172,2,FALSE)))</f>
        <v/>
      </c>
      <c r="Z33" s="671"/>
      <c r="AA33" s="671"/>
      <c r="AB33" s="671"/>
      <c r="AC33" s="671" t="str">
        <f>IF(FW25&lt;'Purchased Boons'!$A$496,VLOOKUP(FW25,'Purchased Boons'!$A$2:$C$495,3,FALSE),IF(FW25&lt;'Purchased Knacks'!$B$192,VLOOKUP(FW25,'Purchased Knacks'!$B$4:$E$191,2,FALSE),""))</f>
        <v/>
      </c>
      <c r="AD33" s="671"/>
      <c r="AE33" s="671"/>
      <c r="AF33" s="671"/>
      <c r="AG33" s="671"/>
      <c r="AH33" s="671"/>
      <c r="AI33" s="671"/>
      <c r="AJ33" s="671" t="str">
        <f>IF(AC33="","",IF(FW25&lt;'Purchased Boons'!$A$496,VLOOKUP(AC33,BoonRef!$A$2:$Z$1230,16,FALSE),VLOOKUP(AC33,KanckRef!$A$2:$G$172,4,FALSE)))</f>
        <v/>
      </c>
      <c r="AK33" s="671"/>
      <c r="AL33" s="671"/>
      <c r="AM33" s="767" t="str">
        <f>IF(AC33="","",IF(FW25&lt;'Purchased Boons'!$A$496,VLOOKUP(AC33,BoonRef!$A$2:$Z$1230,23,FALSE),VLOOKUP(AC33,KanckRef!$A$2:$G$172,5,FALSE)))</f>
        <v/>
      </c>
      <c r="AN33" s="767"/>
      <c r="AO33" s="767"/>
      <c r="AP33" s="767"/>
      <c r="AQ33" s="767"/>
      <c r="AR33" s="767"/>
      <c r="AS33" s="767"/>
      <c r="AT33" s="767"/>
      <c r="AU33" s="767"/>
      <c r="AV33" s="768"/>
      <c r="AW33" s="843" t="s">
        <v>373</v>
      </c>
      <c r="AX33" s="818"/>
      <c r="AY33" s="818"/>
      <c r="AZ33" s="818"/>
      <c r="BA33" s="818"/>
      <c r="BB33" s="818"/>
      <c r="BC33" s="818"/>
      <c r="BD33" s="818"/>
      <c r="BE33" s="818"/>
      <c r="BF33" s="818"/>
      <c r="BG33" s="818"/>
      <c r="BH33" s="818"/>
      <c r="BI33" s="818"/>
      <c r="BJ33" s="818"/>
      <c r="BK33" s="818"/>
      <c r="BL33" s="818"/>
      <c r="BM33" s="818"/>
      <c r="BN33" s="818"/>
      <c r="BO33" s="818"/>
      <c r="BP33" s="818"/>
      <c r="BQ33" s="818"/>
      <c r="BR33" s="818"/>
      <c r="BS33" s="818"/>
      <c r="BT33" s="855"/>
      <c r="BU33" s="850"/>
      <c r="BV33" s="850"/>
      <c r="BW33" s="850"/>
      <c r="BX33" s="850"/>
      <c r="BY33" s="850"/>
      <c r="BZ33" s="850"/>
      <c r="CA33" s="850"/>
      <c r="CB33" s="850"/>
      <c r="CC33" s="850"/>
      <c r="CD33" s="850"/>
      <c r="CE33" s="850"/>
      <c r="CF33" s="850"/>
      <c r="CG33" s="850"/>
      <c r="CH33" s="850"/>
      <c r="CI33" s="850"/>
      <c r="CJ33" s="850"/>
      <c r="CK33" s="850"/>
      <c r="CL33" s="850"/>
      <c r="CM33" s="850"/>
      <c r="CN33" s="850"/>
      <c r="CO33" s="850"/>
      <c r="CP33" s="850"/>
      <c r="CQ33" s="850"/>
      <c r="CR33" s="851"/>
      <c r="CS33" s="693"/>
      <c r="CT33" s="694"/>
      <c r="CU33" s="694"/>
      <c r="CV33" s="694"/>
      <c r="CW33" s="694"/>
      <c r="CX33" s="694"/>
      <c r="CY33" s="694"/>
      <c r="CZ33" s="694"/>
      <c r="DA33" s="694"/>
      <c r="DB33" s="694"/>
      <c r="DC33" s="694"/>
      <c r="DD33" s="694"/>
      <c r="DE33" s="694"/>
      <c r="DF33" s="694"/>
      <c r="DG33" s="694"/>
      <c r="DH33" s="719"/>
      <c r="DI33" s="693"/>
      <c r="DJ33" s="694"/>
      <c r="DK33" s="694"/>
      <c r="DL33" s="694"/>
      <c r="DM33" s="694"/>
      <c r="DN33" s="694"/>
      <c r="DO33" s="694"/>
      <c r="DP33" s="711"/>
      <c r="DQ33" s="966" t="str">
        <f>IF(DU33="","",IF(FX32&lt;'Purchased Boons'!$A$496,VLOOKUP(DU33,BoonRef!$A:$Z,2,FALSE),VLOOKUP(DU33,KanckRef!$A$2:$G$172,2,FALSE)))</f>
        <v/>
      </c>
      <c r="DR33" s="963"/>
      <c r="DS33" s="963"/>
      <c r="DT33" s="963"/>
      <c r="DU33" s="963" t="str">
        <f>IF(FX32&lt;'Purchased Boons'!$A$496,VLOOKUP(FX32,'Purchased Boons'!$A$2:$C$495,3,FALSE),IF(FX32&lt;'Purchased Knacks'!$B$192,VLOOKUP(FX32,'Purchased Knacks'!$B$4:$E$191,2,FALSE),""))</f>
        <v/>
      </c>
      <c r="DV33" s="963"/>
      <c r="DW33" s="963"/>
      <c r="DX33" s="963"/>
      <c r="DY33" s="963"/>
      <c r="DZ33" s="963"/>
      <c r="EA33" s="963"/>
      <c r="EB33" s="972" t="str">
        <f>IF(DU33="","",IF(FX32&lt;'Purchased Boons'!$A$496,VLOOKUP(DU33,BoonRef!$A$2:$Z$1230,16,FALSE),VLOOKUP(DU33,KanckRef!$A$2:$G$172,4,FALSE)))</f>
        <v/>
      </c>
      <c r="EC33" s="972"/>
      <c r="ED33" s="972"/>
      <c r="EE33" s="964" t="str">
        <f>IF(DU33="","",IF(FX32&lt;'Purchased Boons'!$A$496,VLOOKUP(DU33,BoonRef!$A$2:$Z$1230,23,FALSE),VLOOKUP(DU33,KanckRef!$A$2:$G$172,5,FALSE)))</f>
        <v/>
      </c>
      <c r="EF33" s="964"/>
      <c r="EG33" s="964"/>
      <c r="EH33" s="964"/>
      <c r="EI33" s="964"/>
      <c r="EJ33" s="964"/>
      <c r="EK33" s="964"/>
      <c r="EL33" s="964"/>
      <c r="EM33" s="964"/>
      <c r="EN33" s="965"/>
      <c r="EO33" s="966" t="str">
        <f>IF(ES33="","",IF(FY32&lt;'Purchased Boons'!$A$496,VLOOKUP(ES33,BoonRef!$A:$Z,2,FALSE),VLOOKUP(ES33,KanckRef!$A$2:$G$172,2,FALSE)))</f>
        <v/>
      </c>
      <c r="EP33" s="963"/>
      <c r="EQ33" s="963"/>
      <c r="ER33" s="963"/>
      <c r="ES33" s="963" t="str">
        <f>IF(FY32&lt;'Purchased Boons'!$A$496,VLOOKUP(FY32,'Purchased Boons'!$A$2:$C$495,3,FALSE),IF(FY32&lt;'Purchased Knacks'!$B$192,VLOOKUP(FY32,'Purchased Knacks'!$B$4:$E$191,2,FALSE),""))</f>
        <v/>
      </c>
      <c r="ET33" s="963"/>
      <c r="EU33" s="963"/>
      <c r="EV33" s="963"/>
      <c r="EW33" s="963"/>
      <c r="EX33" s="963"/>
      <c r="EY33" s="963"/>
      <c r="EZ33" s="972" t="str">
        <f>IF(ES33="","",IF(FY32&lt;'Purchased Boons'!$A$496,VLOOKUP(ES33,BoonRef!$A$2:$Z$1230,16,FALSE),VLOOKUP(ES33,KanckRef!$A$2:$G$172,4,FALSE)))</f>
        <v/>
      </c>
      <c r="FA33" s="972"/>
      <c r="FB33" s="972"/>
      <c r="FC33" s="964" t="str">
        <f>IF(ES33="","",IF(FY32&lt;'Purchased Boons'!$A$496,VLOOKUP(ES33,BoonRef!$A$2:$Z$1230,23,FALSE),VLOOKUP(ES33,KanckRef!$A$2:$G$172,5,FALSE)))</f>
        <v/>
      </c>
      <c r="FD33" s="964"/>
      <c r="FE33" s="964"/>
      <c r="FF33" s="964"/>
      <c r="FG33" s="964"/>
      <c r="FH33" s="964"/>
      <c r="FI33" s="964"/>
      <c r="FJ33" s="964"/>
      <c r="FK33" s="964"/>
      <c r="FL33" s="965"/>
      <c r="FW33" s="283">
        <v>33</v>
      </c>
      <c r="FX33" s="283">
        <v>71</v>
      </c>
      <c r="FY33" s="283">
        <v>116</v>
      </c>
    </row>
    <row r="34" spans="1:181" ht="15.75" thickBot="1" x14ac:dyDescent="0.3">
      <c r="A34" s="723" t="s">
        <v>90</v>
      </c>
      <c r="B34" s="724"/>
      <c r="C34" s="724"/>
      <c r="D34" s="767">
        <f>VLOOKUP(F8,Reference!N15:P26,3,FALSE)+IF($D$28="unarmored",0,VLOOKUP($D$28,ArmoryRef!$M$1:$R$39,4,FALSE))</f>
        <v>1</v>
      </c>
      <c r="E34" s="767"/>
      <c r="F34" s="768"/>
      <c r="G34" s="982" t="s">
        <v>2257</v>
      </c>
      <c r="H34" s="983"/>
      <c r="I34" s="984"/>
      <c r="J34" s="988" t="str">
        <f>IF('Purchased Knacks'!E50="Yes","N/A",IF('Purchased Knacks'!E54="No",IF(F8=0,CONCATENATE(ROUNDUP((E8+E58+GK11)/2,0)," ","Days"),CONCATENATE(FN21," ","Weeks")),CONCATENATE(2*FN21," ","Weeks")))</f>
        <v>1 Days</v>
      </c>
      <c r="K34" s="795"/>
      <c r="L34" s="934" t="s">
        <v>1040</v>
      </c>
      <c r="M34" s="935"/>
      <c r="N34" s="935"/>
      <c r="O34" s="935"/>
      <c r="P34" s="865" t="str">
        <f>IF('Purchased Knacks'!E67="yes",CONCATENATE((E8+E58+GK11)*(2^F8)),"N/A")</f>
        <v>N/A</v>
      </c>
      <c r="Q34" s="865"/>
      <c r="R34" s="921"/>
      <c r="S34" s="774" t="s">
        <v>96</v>
      </c>
      <c r="T34" s="722"/>
      <c r="U34" s="722"/>
      <c r="V34" s="743">
        <f>SUM(DotTracking!D4:O4,DotTracking!AB4:AM4,DotTracking!AZ4:BK4,DotTracking!BX4:CI4,DotTracking!CV4:DG4)</f>
        <v>2</v>
      </c>
      <c r="W34" s="743"/>
      <c r="X34" s="920"/>
      <c r="Y34" s="740" t="str">
        <f>IF(AC34="","",IF(FW26&lt;'Purchased Boons'!$A$496,VLOOKUP(AC34,BoonRef!$A:$Z,2,FALSE),VLOOKUP(AC34,KanckRef!$A$2:$G$172,2,FALSE)))</f>
        <v/>
      </c>
      <c r="Z34" s="671"/>
      <c r="AA34" s="671"/>
      <c r="AB34" s="671"/>
      <c r="AC34" s="671" t="str">
        <f>IF(FW26&lt;'Purchased Boons'!$A$496,VLOOKUP(FW26,'Purchased Boons'!$A$2:$C$495,3,FALSE),IF(FW26&lt;'Purchased Knacks'!$B$192,VLOOKUP(FW26,'Purchased Knacks'!$B$4:$E$191,2,FALSE),""))</f>
        <v/>
      </c>
      <c r="AD34" s="671"/>
      <c r="AE34" s="671"/>
      <c r="AF34" s="671"/>
      <c r="AG34" s="671"/>
      <c r="AH34" s="671"/>
      <c r="AI34" s="671"/>
      <c r="AJ34" s="671" t="str">
        <f>IF(AC34="","",IF(FW26&lt;'Purchased Boons'!$A$496,VLOOKUP(AC34,BoonRef!$A$2:$Z$1230,16,FALSE),VLOOKUP(AC34,KanckRef!$A$2:$G$172,4,FALSE)))</f>
        <v/>
      </c>
      <c r="AK34" s="671"/>
      <c r="AL34" s="671"/>
      <c r="AM34" s="767" t="str">
        <f>IF(AC34="","",IF(FW26&lt;'Purchased Boons'!$A$496,VLOOKUP(AC34,BoonRef!$A$2:$Z$1230,23,FALSE),VLOOKUP(AC34,KanckRef!$A$2:$G$172,5,FALSE)))</f>
        <v/>
      </c>
      <c r="AN34" s="767"/>
      <c r="AO34" s="767"/>
      <c r="AP34" s="767"/>
      <c r="AQ34" s="767"/>
      <c r="AR34" s="767"/>
      <c r="AS34" s="767"/>
      <c r="AT34" s="767"/>
      <c r="AU34" s="767"/>
      <c r="AV34" s="768"/>
      <c r="AW34" s="843"/>
      <c r="AX34" s="818"/>
      <c r="AY34" s="818"/>
      <c r="AZ34" s="818"/>
      <c r="BA34" s="818"/>
      <c r="BB34" s="818"/>
      <c r="BC34" s="818"/>
      <c r="BD34" s="818"/>
      <c r="BE34" s="818"/>
      <c r="BF34" s="818"/>
      <c r="BG34" s="818"/>
      <c r="BH34" s="818"/>
      <c r="BI34" s="818"/>
      <c r="BJ34" s="818"/>
      <c r="BK34" s="818"/>
      <c r="BL34" s="818"/>
      <c r="BM34" s="818"/>
      <c r="BN34" s="818"/>
      <c r="BO34" s="818"/>
      <c r="BP34" s="818"/>
      <c r="BQ34" s="818"/>
      <c r="BR34" s="818"/>
      <c r="BS34" s="818"/>
      <c r="BT34" s="855"/>
      <c r="BU34" s="850"/>
      <c r="BV34" s="850"/>
      <c r="BW34" s="850"/>
      <c r="BX34" s="850"/>
      <c r="BY34" s="850"/>
      <c r="BZ34" s="850"/>
      <c r="CA34" s="850"/>
      <c r="CB34" s="850"/>
      <c r="CC34" s="850"/>
      <c r="CD34" s="850"/>
      <c r="CE34" s="850"/>
      <c r="CF34" s="850"/>
      <c r="CG34" s="850"/>
      <c r="CH34" s="850"/>
      <c r="CI34" s="850"/>
      <c r="CJ34" s="850"/>
      <c r="CK34" s="850"/>
      <c r="CL34" s="850"/>
      <c r="CM34" s="850"/>
      <c r="CN34" s="850"/>
      <c r="CO34" s="850"/>
      <c r="CP34" s="850"/>
      <c r="CQ34" s="850"/>
      <c r="CR34" s="851"/>
      <c r="CS34" s="693"/>
      <c r="CT34" s="694"/>
      <c r="CU34" s="694"/>
      <c r="CV34" s="694"/>
      <c r="CW34" s="694"/>
      <c r="CX34" s="694"/>
      <c r="CY34" s="694"/>
      <c r="CZ34" s="694"/>
      <c r="DA34" s="694"/>
      <c r="DB34" s="694"/>
      <c r="DC34" s="694"/>
      <c r="DD34" s="694"/>
      <c r="DE34" s="694"/>
      <c r="DF34" s="694"/>
      <c r="DG34" s="694"/>
      <c r="DH34" s="719"/>
      <c r="DI34" s="693"/>
      <c r="DJ34" s="694"/>
      <c r="DK34" s="694"/>
      <c r="DL34" s="694"/>
      <c r="DM34" s="694"/>
      <c r="DN34" s="694"/>
      <c r="DO34" s="694"/>
      <c r="DP34" s="711"/>
      <c r="DQ34" s="966" t="str">
        <f>IF(DU34="","",IF(FX33&lt;'Purchased Boons'!$A$496,VLOOKUP(DU34,BoonRef!$A:$Z,2,FALSE),VLOOKUP(DU34,KanckRef!$A$2:$G$172,2,FALSE)))</f>
        <v/>
      </c>
      <c r="DR34" s="963"/>
      <c r="DS34" s="963"/>
      <c r="DT34" s="963"/>
      <c r="DU34" s="963" t="str">
        <f>IF(FX33&lt;'Purchased Boons'!$A$496,VLOOKUP(FX33,'Purchased Boons'!$A$2:$C$495,3,FALSE),IF(FX33&lt;'Purchased Knacks'!$B$192,VLOOKUP(FX33,'Purchased Knacks'!$B$4:$E$191,2,FALSE),""))</f>
        <v/>
      </c>
      <c r="DV34" s="963"/>
      <c r="DW34" s="963"/>
      <c r="DX34" s="963"/>
      <c r="DY34" s="963"/>
      <c r="DZ34" s="963"/>
      <c r="EA34" s="963"/>
      <c r="EB34" s="972" t="str">
        <f>IF(DU34="","",IF(FX33&lt;'Purchased Boons'!$A$496,VLOOKUP(DU34,BoonRef!$A$2:$Z$1230,16,FALSE),VLOOKUP(DU34,KanckRef!$A$2:$G$172,4,FALSE)))</f>
        <v/>
      </c>
      <c r="EC34" s="972"/>
      <c r="ED34" s="972"/>
      <c r="EE34" s="964" t="str">
        <f>IF(DU34="","",IF(FX33&lt;'Purchased Boons'!$A$496,VLOOKUP(DU34,BoonRef!$A$2:$Z$1230,23,FALSE),VLOOKUP(DU34,KanckRef!$A$2:$G$172,5,FALSE)))</f>
        <v/>
      </c>
      <c r="EF34" s="964"/>
      <c r="EG34" s="964"/>
      <c r="EH34" s="964"/>
      <c r="EI34" s="964"/>
      <c r="EJ34" s="964"/>
      <c r="EK34" s="964"/>
      <c r="EL34" s="964"/>
      <c r="EM34" s="964"/>
      <c r="EN34" s="965"/>
      <c r="EO34" s="966" t="str">
        <f>IF(ES34="","",IF(FY33&lt;'Purchased Boons'!$A$496,VLOOKUP(ES34,BoonRef!$A:$Z,2,FALSE),VLOOKUP(ES34,KanckRef!$A$2:$G$172,2,FALSE)))</f>
        <v/>
      </c>
      <c r="EP34" s="963"/>
      <c r="EQ34" s="963"/>
      <c r="ER34" s="963"/>
      <c r="ES34" s="963" t="str">
        <f>IF(FY33&lt;'Purchased Boons'!$A$496,VLOOKUP(FY33,'Purchased Boons'!$A$2:$C$495,3,FALSE),IF(FY33&lt;'Purchased Knacks'!$B$192,VLOOKUP(FY33,'Purchased Knacks'!$B$4:$E$191,2,FALSE),""))</f>
        <v/>
      </c>
      <c r="ET34" s="963"/>
      <c r="EU34" s="963"/>
      <c r="EV34" s="963"/>
      <c r="EW34" s="963"/>
      <c r="EX34" s="963"/>
      <c r="EY34" s="963"/>
      <c r="EZ34" s="972" t="str">
        <f>IF(ES34="","",IF(FY33&lt;'Purchased Boons'!$A$496,VLOOKUP(ES34,BoonRef!$A$2:$Z$1230,16,FALSE),VLOOKUP(ES34,KanckRef!$A$2:$G$172,4,FALSE)))</f>
        <v/>
      </c>
      <c r="FA34" s="972"/>
      <c r="FB34" s="972"/>
      <c r="FC34" s="964" t="str">
        <f>IF(ES34="","",IF(FY33&lt;'Purchased Boons'!$A$496,VLOOKUP(ES34,BoonRef!$A$2:$Z$1230,23,FALSE),VLOOKUP(ES34,KanckRef!$A$2:$G$172,5,FALSE)))</f>
        <v/>
      </c>
      <c r="FD34" s="964"/>
      <c r="FE34" s="964"/>
      <c r="FF34" s="964"/>
      <c r="FG34" s="964"/>
      <c r="FH34" s="964"/>
      <c r="FI34" s="964"/>
      <c r="FJ34" s="964"/>
      <c r="FK34" s="964"/>
      <c r="FL34" s="965"/>
      <c r="FW34" s="283">
        <v>34</v>
      </c>
      <c r="FX34" s="283">
        <v>72</v>
      </c>
      <c r="FY34" s="283">
        <v>117</v>
      </c>
    </row>
    <row r="35" spans="1:181" ht="15.75" customHeight="1" thickBot="1" x14ac:dyDescent="0.3">
      <c r="A35" s="723" t="s">
        <v>92</v>
      </c>
      <c r="B35" s="724"/>
      <c r="C35" s="724"/>
      <c r="D35" s="767">
        <f>IF('House Rules'!B11="Off",0,IF($D$28="unarmored",0,VLOOKUP($D$28,ArmoryRef!$M$1:$R$39,5,FALSE)))</f>
        <v>0</v>
      </c>
      <c r="E35" s="767"/>
      <c r="F35" s="768"/>
      <c r="G35" s="985"/>
      <c r="H35" s="986"/>
      <c r="I35" s="987"/>
      <c r="J35" s="756"/>
      <c r="K35" s="758"/>
      <c r="L35" s="978" t="s">
        <v>2275</v>
      </c>
      <c r="M35" s="979"/>
      <c r="N35" s="979"/>
      <c r="O35" s="979"/>
      <c r="P35" s="980" t="str">
        <f>IF('Purchased Knacks'!E51="Yes","N/A",IF('Purchased Knacks'!E54="No",IF(F8=0,CONCATENATE(ROUNDUP((E8+E58)/2,0)," ","Days"),CONCATENATE(FN21," ","Weeks")),CONCATENATE(2*FN21," ","Weeks")))</f>
        <v>1 Days</v>
      </c>
      <c r="Q35" s="980"/>
      <c r="R35" s="981"/>
      <c r="S35" s="897" t="s">
        <v>82</v>
      </c>
      <c r="T35" s="897"/>
      <c r="U35" s="775"/>
      <c r="V35" s="710">
        <f>V34^2</f>
        <v>4</v>
      </c>
      <c r="W35" s="673"/>
      <c r="X35" s="673"/>
      <c r="Y35" s="740" t="str">
        <f>IF(AC35="","",IF(FW27&lt;'Purchased Boons'!$A$496,VLOOKUP(AC35,BoonRef!$A:$Z,2,FALSE),VLOOKUP(AC35,KanckRef!$A$2:$G$172,2,FALSE)))</f>
        <v/>
      </c>
      <c r="Z35" s="671"/>
      <c r="AA35" s="671"/>
      <c r="AB35" s="671"/>
      <c r="AC35" s="671" t="str">
        <f>IF(FW27&lt;'Purchased Boons'!$A$496,VLOOKUP(FW27,'Purchased Boons'!$A$2:$C$495,3,FALSE),IF(FW27&lt;'Purchased Knacks'!$B$192,VLOOKUP(FW27,'Purchased Knacks'!$B$4:$E$191,2,FALSE),""))</f>
        <v/>
      </c>
      <c r="AD35" s="671"/>
      <c r="AE35" s="671"/>
      <c r="AF35" s="671"/>
      <c r="AG35" s="671"/>
      <c r="AH35" s="671"/>
      <c r="AI35" s="671"/>
      <c r="AJ35" s="671" t="str">
        <f>IF(AC35="","",IF(FW27&lt;'Purchased Boons'!$A$496,VLOOKUP(AC35,BoonRef!$A$2:$Z$1230,16,FALSE),VLOOKUP(AC35,KanckRef!$A$2:$G$172,4,FALSE)))</f>
        <v/>
      </c>
      <c r="AK35" s="671"/>
      <c r="AL35" s="671"/>
      <c r="AM35" s="767" t="str">
        <f>IF(AC35="","",IF(FW27&lt;'Purchased Boons'!$A$496,VLOOKUP(AC35,BoonRef!$A$2:$Z$1230,23,FALSE),VLOOKUP(AC35,KanckRef!$A$2:$G$172,5,FALSE)))</f>
        <v/>
      </c>
      <c r="AN35" s="767"/>
      <c r="AO35" s="767"/>
      <c r="AP35" s="767"/>
      <c r="AQ35" s="767"/>
      <c r="AR35" s="767"/>
      <c r="AS35" s="767"/>
      <c r="AT35" s="767"/>
      <c r="AU35" s="767"/>
      <c r="AV35" s="768"/>
      <c r="AW35" s="843" t="s">
        <v>373</v>
      </c>
      <c r="AX35" s="818"/>
      <c r="AY35" s="818"/>
      <c r="AZ35" s="818"/>
      <c r="BA35" s="818"/>
      <c r="BB35" s="818"/>
      <c r="BC35" s="818"/>
      <c r="BD35" s="818"/>
      <c r="BE35" s="818"/>
      <c r="BF35" s="818"/>
      <c r="BG35" s="818"/>
      <c r="BH35" s="818"/>
      <c r="BI35" s="818"/>
      <c r="BJ35" s="818"/>
      <c r="BK35" s="818"/>
      <c r="BL35" s="818"/>
      <c r="BM35" s="818"/>
      <c r="BN35" s="818"/>
      <c r="BO35" s="818"/>
      <c r="BP35" s="818"/>
      <c r="BQ35" s="818"/>
      <c r="BR35" s="818"/>
      <c r="BS35" s="818"/>
      <c r="BT35" s="855"/>
      <c r="BU35" s="850"/>
      <c r="BV35" s="850"/>
      <c r="BW35" s="850"/>
      <c r="BX35" s="850"/>
      <c r="BY35" s="850"/>
      <c r="BZ35" s="850"/>
      <c r="CA35" s="850"/>
      <c r="CB35" s="850"/>
      <c r="CC35" s="850"/>
      <c r="CD35" s="850"/>
      <c r="CE35" s="850"/>
      <c r="CF35" s="850"/>
      <c r="CG35" s="850"/>
      <c r="CH35" s="850"/>
      <c r="CI35" s="850"/>
      <c r="CJ35" s="850"/>
      <c r="CK35" s="850"/>
      <c r="CL35" s="850"/>
      <c r="CM35" s="850"/>
      <c r="CN35" s="850"/>
      <c r="CO35" s="850"/>
      <c r="CP35" s="850"/>
      <c r="CQ35" s="850"/>
      <c r="CR35" s="851"/>
      <c r="CS35" s="693"/>
      <c r="CT35" s="694"/>
      <c r="CU35" s="694"/>
      <c r="CV35" s="694"/>
      <c r="CW35" s="694"/>
      <c r="CX35" s="694"/>
      <c r="CY35" s="694"/>
      <c r="CZ35" s="694"/>
      <c r="DA35" s="694"/>
      <c r="DB35" s="694"/>
      <c r="DC35" s="694"/>
      <c r="DD35" s="694"/>
      <c r="DE35" s="694"/>
      <c r="DF35" s="694"/>
      <c r="DG35" s="694"/>
      <c r="DH35" s="719"/>
      <c r="DI35" s="693"/>
      <c r="DJ35" s="694"/>
      <c r="DK35" s="694"/>
      <c r="DL35" s="694"/>
      <c r="DM35" s="694"/>
      <c r="DN35" s="694"/>
      <c r="DO35" s="694"/>
      <c r="DP35" s="711"/>
      <c r="DQ35" s="966" t="str">
        <f>IF(DU35="","",IF(FX34&lt;'Purchased Boons'!$A$496,VLOOKUP(DU35,BoonRef!$A:$Z,2,FALSE),VLOOKUP(DU35,KanckRef!$A$2:$G$172,2,FALSE)))</f>
        <v/>
      </c>
      <c r="DR35" s="963"/>
      <c r="DS35" s="963"/>
      <c r="DT35" s="963"/>
      <c r="DU35" s="963" t="str">
        <f>IF(FX34&lt;'Purchased Boons'!$A$496,VLOOKUP(FX34,'Purchased Boons'!$A$2:$C$495,3,FALSE),IF(FX34&lt;'Purchased Knacks'!$B$192,VLOOKUP(FX34,'Purchased Knacks'!$B$4:$E$191,2,FALSE),""))</f>
        <v/>
      </c>
      <c r="DV35" s="963"/>
      <c r="DW35" s="963"/>
      <c r="DX35" s="963"/>
      <c r="DY35" s="963"/>
      <c r="DZ35" s="963"/>
      <c r="EA35" s="963"/>
      <c r="EB35" s="972" t="str">
        <f>IF(DU35="","",IF(FX34&lt;'Purchased Boons'!$A$496,VLOOKUP(DU35,BoonRef!$A$2:$Z$1230,16,FALSE),VLOOKUP(DU35,KanckRef!$A$2:$G$172,4,FALSE)))</f>
        <v/>
      </c>
      <c r="EC35" s="972"/>
      <c r="ED35" s="972"/>
      <c r="EE35" s="964" t="str">
        <f>IF(DU35="","",IF(FX34&lt;'Purchased Boons'!$A$496,VLOOKUP(DU35,BoonRef!$A$2:$Z$1230,23,FALSE),VLOOKUP(DU35,KanckRef!$A$2:$G$172,5,FALSE)))</f>
        <v/>
      </c>
      <c r="EF35" s="964"/>
      <c r="EG35" s="964"/>
      <c r="EH35" s="964"/>
      <c r="EI35" s="964"/>
      <c r="EJ35" s="964"/>
      <c r="EK35" s="964"/>
      <c r="EL35" s="964"/>
      <c r="EM35" s="964"/>
      <c r="EN35" s="965"/>
      <c r="EO35" s="966" t="str">
        <f>IF(ES35="","",IF(FY34&lt;'Purchased Boons'!$A$496,VLOOKUP(ES35,BoonRef!$A:$Z,2,FALSE),VLOOKUP(ES35,KanckRef!$A$2:$G$172,2,FALSE)))</f>
        <v/>
      </c>
      <c r="EP35" s="963"/>
      <c r="EQ35" s="963"/>
      <c r="ER35" s="963"/>
      <c r="ES35" s="963" t="str">
        <f>IF(FY34&lt;'Purchased Boons'!$A$496,VLOOKUP(FY34,'Purchased Boons'!$A$2:$C$495,3,FALSE),IF(FY34&lt;'Purchased Knacks'!$B$192,VLOOKUP(FY34,'Purchased Knacks'!$B$4:$E$191,2,FALSE),""))</f>
        <v/>
      </c>
      <c r="ET35" s="963"/>
      <c r="EU35" s="963"/>
      <c r="EV35" s="963"/>
      <c r="EW35" s="963"/>
      <c r="EX35" s="963"/>
      <c r="EY35" s="963"/>
      <c r="EZ35" s="972" t="str">
        <f>IF(ES35="","",IF(FY34&lt;'Purchased Boons'!$A$496,VLOOKUP(ES35,BoonRef!$A$2:$Z$1230,16,FALSE),VLOOKUP(ES35,KanckRef!$A$2:$G$172,4,FALSE)))</f>
        <v/>
      </c>
      <c r="FA35" s="972"/>
      <c r="FB35" s="972"/>
      <c r="FC35" s="964" t="str">
        <f>IF(ES35="","",IF(FY34&lt;'Purchased Boons'!$A$496,VLOOKUP(ES35,BoonRef!$A$2:$Z$1230,23,FALSE),VLOOKUP(ES35,KanckRef!$A$2:$G$172,5,FALSE)))</f>
        <v/>
      </c>
      <c r="FD35" s="964"/>
      <c r="FE35" s="964"/>
      <c r="FF35" s="964"/>
      <c r="FG35" s="964"/>
      <c r="FH35" s="964"/>
      <c r="FI35" s="964"/>
      <c r="FJ35" s="964"/>
      <c r="FK35" s="964"/>
      <c r="FL35" s="965"/>
      <c r="FW35" s="283">
        <v>35</v>
      </c>
      <c r="FX35" s="283">
        <v>73</v>
      </c>
      <c r="FY35" s="283">
        <v>118</v>
      </c>
    </row>
    <row r="36" spans="1:181" ht="15.75" customHeight="1" thickBot="1" x14ac:dyDescent="0.3">
      <c r="A36" s="708" t="s">
        <v>741</v>
      </c>
      <c r="B36" s="709"/>
      <c r="C36" s="709"/>
      <c r="D36" s="712">
        <f>IF($D$28="unarmored",0,VLOOKUP($D$28,ArmoryRef!$M$1:$R$39,6,FALSE))</f>
        <v>0</v>
      </c>
      <c r="E36" s="712"/>
      <c r="F36" s="720"/>
      <c r="G36" s="961" t="s">
        <v>2274</v>
      </c>
      <c r="H36" s="806"/>
      <c r="I36" s="807"/>
      <c r="J36" s="750" t="str">
        <f>IF('Purchased Knacks'!E52="Yes","N/A",IF('Purchased Knacks'!E54="No",IF(F8=0,CONCATENATE(MROUND((E8+E58+GK11)/4,0.5)," ","Days"),CONCATENATE(FN21/2," ","Weeks")),CONCATENATE(FN21," ","Weeks")))</f>
        <v>0.5 Days</v>
      </c>
      <c r="K36" s="752"/>
      <c r="L36" s="925" t="s">
        <v>2267</v>
      </c>
      <c r="M36" s="926"/>
      <c r="N36" s="926"/>
      <c r="O36" s="926"/>
      <c r="P36" s="926"/>
      <c r="Q36" s="914">
        <f>N8</f>
        <v>0</v>
      </c>
      <c r="R36" s="915"/>
      <c r="S36" s="917" t="s">
        <v>98</v>
      </c>
      <c r="T36" s="917"/>
      <c r="U36" s="894"/>
      <c r="V36" s="847"/>
      <c r="W36" s="901"/>
      <c r="X36" s="901"/>
      <c r="Y36" s="740" t="str">
        <f>IF(AC36="","",IF(FW28&lt;'Purchased Boons'!$A$496,VLOOKUP(AC36,BoonRef!$A:$Z,2,FALSE),VLOOKUP(AC36,KanckRef!$A$2:$G$172,2,FALSE)))</f>
        <v/>
      </c>
      <c r="Z36" s="671"/>
      <c r="AA36" s="671"/>
      <c r="AB36" s="671"/>
      <c r="AC36" s="671" t="str">
        <f>IF(FW28&lt;'Purchased Boons'!$A$496,VLOOKUP(FW28,'Purchased Boons'!$A$2:$C$495,3,FALSE),IF(FW28&lt;'Purchased Knacks'!$B$192,VLOOKUP(FW28,'Purchased Knacks'!$B$4:$E$191,2,FALSE),""))</f>
        <v/>
      </c>
      <c r="AD36" s="671"/>
      <c r="AE36" s="671"/>
      <c r="AF36" s="671"/>
      <c r="AG36" s="671"/>
      <c r="AH36" s="671"/>
      <c r="AI36" s="671"/>
      <c r="AJ36" s="671" t="str">
        <f>IF(AC36="","",IF(FW28&lt;'Purchased Boons'!$A$496,VLOOKUP(AC36,BoonRef!$A$2:$Z$1230,16,FALSE),VLOOKUP(AC36,KanckRef!$A$2:$G$172,4,FALSE)))</f>
        <v/>
      </c>
      <c r="AK36" s="671"/>
      <c r="AL36" s="671"/>
      <c r="AM36" s="767" t="str">
        <f>IF(AC36="","",IF(FW28&lt;'Purchased Boons'!$A$496,VLOOKUP(AC36,BoonRef!$A$2:$Z$1230,23,FALSE),VLOOKUP(AC36,KanckRef!$A$2:$G$172,5,FALSE)))</f>
        <v/>
      </c>
      <c r="AN36" s="767"/>
      <c r="AO36" s="767"/>
      <c r="AP36" s="767"/>
      <c r="AQ36" s="767"/>
      <c r="AR36" s="767"/>
      <c r="AS36" s="767"/>
      <c r="AT36" s="767"/>
      <c r="AU36" s="767"/>
      <c r="AV36" s="768"/>
      <c r="AW36" s="843"/>
      <c r="AX36" s="818"/>
      <c r="AY36" s="818"/>
      <c r="AZ36" s="818"/>
      <c r="BA36" s="818"/>
      <c r="BB36" s="818"/>
      <c r="BC36" s="818"/>
      <c r="BD36" s="818"/>
      <c r="BE36" s="818"/>
      <c r="BF36" s="818"/>
      <c r="BG36" s="818"/>
      <c r="BH36" s="818"/>
      <c r="BI36" s="818"/>
      <c r="BJ36" s="818"/>
      <c r="BK36" s="818"/>
      <c r="BL36" s="818"/>
      <c r="BM36" s="818"/>
      <c r="BN36" s="818"/>
      <c r="BO36" s="818"/>
      <c r="BP36" s="818"/>
      <c r="BQ36" s="818"/>
      <c r="BR36" s="818"/>
      <c r="BS36" s="818"/>
      <c r="BT36" s="855"/>
      <c r="BU36" s="850"/>
      <c r="BV36" s="850"/>
      <c r="BW36" s="850"/>
      <c r="BX36" s="850"/>
      <c r="BY36" s="850"/>
      <c r="BZ36" s="850"/>
      <c r="CA36" s="850"/>
      <c r="CB36" s="850"/>
      <c r="CC36" s="850"/>
      <c r="CD36" s="850"/>
      <c r="CE36" s="850"/>
      <c r="CF36" s="850"/>
      <c r="CG36" s="850"/>
      <c r="CH36" s="850"/>
      <c r="CI36" s="850"/>
      <c r="CJ36" s="850"/>
      <c r="CK36" s="850"/>
      <c r="CL36" s="850"/>
      <c r="CM36" s="850"/>
      <c r="CN36" s="850"/>
      <c r="CO36" s="850"/>
      <c r="CP36" s="850"/>
      <c r="CQ36" s="850"/>
      <c r="CR36" s="851"/>
      <c r="CS36" s="693"/>
      <c r="CT36" s="694"/>
      <c r="CU36" s="694"/>
      <c r="CV36" s="694"/>
      <c r="CW36" s="694"/>
      <c r="CX36" s="694"/>
      <c r="CY36" s="694"/>
      <c r="CZ36" s="694"/>
      <c r="DA36" s="694"/>
      <c r="DB36" s="694"/>
      <c r="DC36" s="694"/>
      <c r="DD36" s="694"/>
      <c r="DE36" s="694"/>
      <c r="DF36" s="694"/>
      <c r="DG36" s="694"/>
      <c r="DH36" s="719"/>
      <c r="DI36" s="693"/>
      <c r="DJ36" s="694"/>
      <c r="DK36" s="694"/>
      <c r="DL36" s="694"/>
      <c r="DM36" s="694"/>
      <c r="DN36" s="694"/>
      <c r="DO36" s="694"/>
      <c r="DP36" s="711"/>
      <c r="DQ36" s="966" t="str">
        <f>IF(DU36="","",IF(FX35&lt;'Purchased Boons'!$A$496,VLOOKUP(DU36,BoonRef!$A:$Z,2,FALSE),VLOOKUP(DU36,KanckRef!$A$2:$G$172,2,FALSE)))</f>
        <v/>
      </c>
      <c r="DR36" s="963"/>
      <c r="DS36" s="963"/>
      <c r="DT36" s="963"/>
      <c r="DU36" s="963" t="str">
        <f>IF(FX35&lt;'Purchased Boons'!$A$496,VLOOKUP(FX35,'Purchased Boons'!$A$2:$C$495,3,FALSE),IF(FX35&lt;'Purchased Knacks'!$B$192,VLOOKUP(FX35,'Purchased Knacks'!$B$4:$E$191,2,FALSE),""))</f>
        <v/>
      </c>
      <c r="DV36" s="963"/>
      <c r="DW36" s="963"/>
      <c r="DX36" s="963"/>
      <c r="DY36" s="963"/>
      <c r="DZ36" s="963"/>
      <c r="EA36" s="963"/>
      <c r="EB36" s="972" t="str">
        <f>IF(DU36="","",IF(FX35&lt;'Purchased Boons'!$A$496,VLOOKUP(DU36,BoonRef!$A$2:$Z$1230,16,FALSE),VLOOKUP(DU36,KanckRef!$A$2:$G$172,4,FALSE)))</f>
        <v/>
      </c>
      <c r="EC36" s="972"/>
      <c r="ED36" s="972"/>
      <c r="EE36" s="964" t="str">
        <f>IF(DU36="","",IF(FX35&lt;'Purchased Boons'!$A$496,VLOOKUP(DU36,BoonRef!$A$2:$Z$1230,23,FALSE),VLOOKUP(DU36,KanckRef!$A$2:$G$172,5,FALSE)))</f>
        <v/>
      </c>
      <c r="EF36" s="964"/>
      <c r="EG36" s="964"/>
      <c r="EH36" s="964"/>
      <c r="EI36" s="964"/>
      <c r="EJ36" s="964"/>
      <c r="EK36" s="964"/>
      <c r="EL36" s="964"/>
      <c r="EM36" s="964"/>
      <c r="EN36" s="965"/>
      <c r="EO36" s="966" t="str">
        <f>IF(ES36="","",IF(FY35&lt;'Purchased Boons'!$A$496,VLOOKUP(ES36,BoonRef!$A:$Z,2,FALSE),VLOOKUP(ES36,KanckRef!$A$2:$G$172,2,FALSE)))</f>
        <v/>
      </c>
      <c r="EP36" s="963"/>
      <c r="EQ36" s="963"/>
      <c r="ER36" s="963"/>
      <c r="ES36" s="963" t="str">
        <f>IF(FY35&lt;'Purchased Boons'!$A$496,VLOOKUP(FY35,'Purchased Boons'!$A$2:$C$495,3,FALSE),IF(FY35&lt;'Purchased Knacks'!$B$192,VLOOKUP(FY35,'Purchased Knacks'!$B$4:$E$191,2,FALSE),""))</f>
        <v/>
      </c>
      <c r="ET36" s="963"/>
      <c r="EU36" s="963"/>
      <c r="EV36" s="963"/>
      <c r="EW36" s="963"/>
      <c r="EX36" s="963"/>
      <c r="EY36" s="963"/>
      <c r="EZ36" s="972" t="str">
        <f>IF(ES36="","",IF(FY35&lt;'Purchased Boons'!$A$496,VLOOKUP(ES36,BoonRef!$A$2:$Z$1230,16,FALSE),VLOOKUP(ES36,KanckRef!$A$2:$G$172,4,FALSE)))</f>
        <v/>
      </c>
      <c r="FA36" s="972"/>
      <c r="FB36" s="972"/>
      <c r="FC36" s="964" t="str">
        <f>IF(ES36="","",IF(FY35&lt;'Purchased Boons'!$A$496,VLOOKUP(ES36,BoonRef!$A$2:$Z$1230,23,FALSE),VLOOKUP(ES36,KanckRef!$A$2:$G$172,5,FALSE)))</f>
        <v/>
      </c>
      <c r="FD36" s="964"/>
      <c r="FE36" s="964"/>
      <c r="FF36" s="964"/>
      <c r="FG36" s="964"/>
      <c r="FH36" s="964"/>
      <c r="FI36" s="964"/>
      <c r="FJ36" s="964"/>
      <c r="FK36" s="964"/>
      <c r="FL36" s="965"/>
      <c r="FW36" s="283">
        <v>36</v>
      </c>
      <c r="FX36" s="283">
        <v>74</v>
      </c>
      <c r="FY36" s="283">
        <v>119</v>
      </c>
    </row>
    <row r="37" spans="1:181" ht="15.75" customHeight="1" thickBot="1" x14ac:dyDescent="0.3">
      <c r="A37" s="922" t="s">
        <v>2269</v>
      </c>
      <c r="B37" s="923"/>
      <c r="C37" s="923"/>
      <c r="D37" s="923"/>
      <c r="E37" s="923"/>
      <c r="F37" s="924"/>
      <c r="G37" s="962"/>
      <c r="H37" s="800"/>
      <c r="I37" s="809"/>
      <c r="J37" s="756"/>
      <c r="K37" s="758"/>
      <c r="L37" s="989"/>
      <c r="M37" s="935"/>
      <c r="N37" s="935"/>
      <c r="O37" s="935"/>
      <c r="P37" s="935"/>
      <c r="Q37" s="804"/>
      <c r="R37" s="817"/>
      <c r="S37" s="919" t="s">
        <v>99</v>
      </c>
      <c r="T37" s="883"/>
      <c r="U37" s="883"/>
      <c r="V37" s="883"/>
      <c r="W37" s="883"/>
      <c r="X37" s="883"/>
      <c r="Y37" s="740" t="str">
        <f>IF(AC37="","",IF(FW29&lt;'Purchased Boons'!$A$496,VLOOKUP(AC37,BoonRef!$A:$Z,2,FALSE),VLOOKUP(AC37,KanckRef!$A$2:$G$172,2,FALSE)))</f>
        <v/>
      </c>
      <c r="Z37" s="671"/>
      <c r="AA37" s="671"/>
      <c r="AB37" s="671"/>
      <c r="AC37" s="671" t="str">
        <f>IF(FW29&lt;'Purchased Boons'!$A$496,VLOOKUP(FW29,'Purchased Boons'!$A$2:$C$495,3,FALSE),IF(FW29&lt;'Purchased Knacks'!$B$192,VLOOKUP(FW29,'Purchased Knacks'!$B$4:$E$191,2,FALSE),""))</f>
        <v/>
      </c>
      <c r="AD37" s="671"/>
      <c r="AE37" s="671"/>
      <c r="AF37" s="671"/>
      <c r="AG37" s="671"/>
      <c r="AH37" s="671"/>
      <c r="AI37" s="671"/>
      <c r="AJ37" s="671" t="str">
        <f>IF(AC37="","",IF(FW29&lt;'Purchased Boons'!$A$496,VLOOKUP(AC37,BoonRef!$A$2:$Z$1230,16,FALSE),VLOOKUP(AC37,KanckRef!$A$2:$G$172,4,FALSE)))</f>
        <v/>
      </c>
      <c r="AK37" s="671"/>
      <c r="AL37" s="671"/>
      <c r="AM37" s="767" t="str">
        <f>IF(AC37="","",IF(FW29&lt;'Purchased Boons'!$A$496,VLOOKUP(AC37,BoonRef!$A$2:$Z$1230,23,FALSE),VLOOKUP(AC37,KanckRef!$A$2:$G$172,5,FALSE)))</f>
        <v/>
      </c>
      <c r="AN37" s="767"/>
      <c r="AO37" s="767"/>
      <c r="AP37" s="767"/>
      <c r="AQ37" s="767"/>
      <c r="AR37" s="767"/>
      <c r="AS37" s="767"/>
      <c r="AT37" s="767"/>
      <c r="AU37" s="767"/>
      <c r="AV37" s="768"/>
      <c r="AW37" s="843" t="s">
        <v>373</v>
      </c>
      <c r="AX37" s="818"/>
      <c r="AY37" s="818"/>
      <c r="AZ37" s="818"/>
      <c r="BA37" s="818"/>
      <c r="BB37" s="818"/>
      <c r="BC37" s="818"/>
      <c r="BD37" s="818"/>
      <c r="BE37" s="818"/>
      <c r="BF37" s="818"/>
      <c r="BG37" s="818"/>
      <c r="BH37" s="818"/>
      <c r="BI37" s="818"/>
      <c r="BJ37" s="818"/>
      <c r="BK37" s="818"/>
      <c r="BL37" s="818"/>
      <c r="BM37" s="818"/>
      <c r="BN37" s="818"/>
      <c r="BO37" s="818"/>
      <c r="BP37" s="818"/>
      <c r="BQ37" s="818"/>
      <c r="BR37" s="818"/>
      <c r="BS37" s="818"/>
      <c r="BT37" s="855"/>
      <c r="BU37" s="850"/>
      <c r="BV37" s="850"/>
      <c r="BW37" s="850"/>
      <c r="BX37" s="850"/>
      <c r="BY37" s="850"/>
      <c r="BZ37" s="850"/>
      <c r="CA37" s="850"/>
      <c r="CB37" s="850"/>
      <c r="CC37" s="850"/>
      <c r="CD37" s="850"/>
      <c r="CE37" s="850"/>
      <c r="CF37" s="850"/>
      <c r="CG37" s="850"/>
      <c r="CH37" s="850"/>
      <c r="CI37" s="850"/>
      <c r="CJ37" s="850"/>
      <c r="CK37" s="850"/>
      <c r="CL37" s="850"/>
      <c r="CM37" s="850"/>
      <c r="CN37" s="850"/>
      <c r="CO37" s="850"/>
      <c r="CP37" s="850"/>
      <c r="CQ37" s="850"/>
      <c r="CR37" s="851"/>
      <c r="CS37" s="693"/>
      <c r="CT37" s="694"/>
      <c r="CU37" s="694"/>
      <c r="CV37" s="694"/>
      <c r="CW37" s="694"/>
      <c r="CX37" s="694"/>
      <c r="CY37" s="694"/>
      <c r="CZ37" s="694"/>
      <c r="DA37" s="694"/>
      <c r="DB37" s="694"/>
      <c r="DC37" s="694"/>
      <c r="DD37" s="694"/>
      <c r="DE37" s="694"/>
      <c r="DF37" s="694"/>
      <c r="DG37" s="694"/>
      <c r="DH37" s="719"/>
      <c r="DI37" s="693"/>
      <c r="DJ37" s="694"/>
      <c r="DK37" s="694"/>
      <c r="DL37" s="694"/>
      <c r="DM37" s="694"/>
      <c r="DN37" s="694"/>
      <c r="DO37" s="694"/>
      <c r="DP37" s="711"/>
      <c r="DQ37" s="966" t="str">
        <f>IF(DU37="","",IF(FX36&lt;'Purchased Boons'!$A$496,VLOOKUP(DU37,BoonRef!$A:$Z,2,FALSE),VLOOKUP(DU37,KanckRef!$A$2:$G$172,2,FALSE)))</f>
        <v/>
      </c>
      <c r="DR37" s="963"/>
      <c r="DS37" s="963"/>
      <c r="DT37" s="963"/>
      <c r="DU37" s="963" t="str">
        <f>IF(FX36&lt;'Purchased Boons'!$A$496,VLOOKUP(FX36,'Purchased Boons'!$A$2:$C$495,3,FALSE),IF(FX36&lt;'Purchased Knacks'!$B$192,VLOOKUP(FX36,'Purchased Knacks'!$B$4:$E$191,2,FALSE),""))</f>
        <v/>
      </c>
      <c r="DV37" s="963"/>
      <c r="DW37" s="963"/>
      <c r="DX37" s="963"/>
      <c r="DY37" s="963"/>
      <c r="DZ37" s="963"/>
      <c r="EA37" s="963"/>
      <c r="EB37" s="972" t="str">
        <f>IF(DU37="","",IF(FX36&lt;'Purchased Boons'!$A$496,VLOOKUP(DU37,BoonRef!$A$2:$Z$1230,16,FALSE),VLOOKUP(DU37,KanckRef!$A$2:$G$172,4,FALSE)))</f>
        <v/>
      </c>
      <c r="EC37" s="972"/>
      <c r="ED37" s="972"/>
      <c r="EE37" s="964" t="str">
        <f>IF(DU37="","",IF(FX36&lt;'Purchased Boons'!$A$496,VLOOKUP(DU37,BoonRef!$A$2:$Z$1230,23,FALSE),VLOOKUP(DU37,KanckRef!$A$2:$G$172,5,FALSE)))</f>
        <v/>
      </c>
      <c r="EF37" s="964"/>
      <c r="EG37" s="964"/>
      <c r="EH37" s="964"/>
      <c r="EI37" s="964"/>
      <c r="EJ37" s="964"/>
      <c r="EK37" s="964"/>
      <c r="EL37" s="964"/>
      <c r="EM37" s="964"/>
      <c r="EN37" s="965"/>
      <c r="EO37" s="966" t="str">
        <f>IF(ES37="","",IF(FY36&lt;'Purchased Boons'!$A$496,VLOOKUP(ES37,BoonRef!$A:$Z,2,FALSE),VLOOKUP(ES37,KanckRef!$A$2:$G$172,2,FALSE)))</f>
        <v/>
      </c>
      <c r="EP37" s="963"/>
      <c r="EQ37" s="963"/>
      <c r="ER37" s="963"/>
      <c r="ES37" s="963" t="str">
        <f>IF(FY36&lt;'Purchased Boons'!$A$496,VLOOKUP(FY36,'Purchased Boons'!$A$2:$C$495,3,FALSE),IF(FY36&lt;'Purchased Knacks'!$B$192,VLOOKUP(FY36,'Purchased Knacks'!$B$4:$E$191,2,FALSE),""))</f>
        <v/>
      </c>
      <c r="ET37" s="963"/>
      <c r="EU37" s="963"/>
      <c r="EV37" s="963"/>
      <c r="EW37" s="963"/>
      <c r="EX37" s="963"/>
      <c r="EY37" s="963"/>
      <c r="EZ37" s="972" t="str">
        <f>IF(ES37="","",IF(FY36&lt;'Purchased Boons'!$A$496,VLOOKUP(ES37,BoonRef!$A$2:$Z$1230,16,FALSE),VLOOKUP(ES37,KanckRef!$A$2:$G$172,4,FALSE)))</f>
        <v/>
      </c>
      <c r="FA37" s="972"/>
      <c r="FB37" s="972"/>
      <c r="FC37" s="964" t="str">
        <f>IF(ES37="","",IF(FY36&lt;'Purchased Boons'!$A$496,VLOOKUP(ES37,BoonRef!$A$2:$Z$1230,23,FALSE),VLOOKUP(ES37,KanckRef!$A$2:$G$172,5,FALSE)))</f>
        <v/>
      </c>
      <c r="FD37" s="964"/>
      <c r="FE37" s="964"/>
      <c r="FF37" s="964"/>
      <c r="FG37" s="964"/>
      <c r="FH37" s="964"/>
      <c r="FI37" s="964"/>
      <c r="FJ37" s="964"/>
      <c r="FK37" s="964"/>
      <c r="FL37" s="965"/>
      <c r="FW37" s="283">
        <v>37</v>
      </c>
      <c r="FX37" s="283">
        <v>75</v>
      </c>
      <c r="FY37" s="283">
        <v>120</v>
      </c>
    </row>
    <row r="38" spans="1:181" ht="15.75" customHeight="1" x14ac:dyDescent="0.25">
      <c r="A38" s="723" t="s">
        <v>88</v>
      </c>
      <c r="B38" s="724"/>
      <c r="C38" s="724"/>
      <c r="D38" s="767" t="str">
        <f>IF('Purchased Knacks'!E46="yes",D32+V34,"N/A")</f>
        <v>N/A</v>
      </c>
      <c r="E38" s="767"/>
      <c r="F38" s="768"/>
      <c r="G38" s="695" t="s">
        <v>97</v>
      </c>
      <c r="H38" s="696"/>
      <c r="I38" s="696"/>
      <c r="J38" s="696"/>
      <c r="K38" s="696"/>
      <c r="L38" s="696"/>
      <c r="M38" s="696"/>
      <c r="N38" s="696"/>
      <c r="O38" s="696"/>
      <c r="P38" s="696"/>
      <c r="Q38" s="696"/>
      <c r="R38" s="738"/>
      <c r="S38" s="902" t="s">
        <v>100</v>
      </c>
      <c r="T38" s="903"/>
      <c r="U38" s="903"/>
      <c r="V38" s="841"/>
      <c r="W38" s="841"/>
      <c r="X38" s="913"/>
      <c r="Y38" s="740" t="str">
        <f>IF(AC38="","",IF(FW30&lt;'Purchased Boons'!$A$496,VLOOKUP(AC38,BoonRef!$A:$Z,2,FALSE),VLOOKUP(AC38,KanckRef!$A$2:$G$172,2,FALSE)))</f>
        <v/>
      </c>
      <c r="Z38" s="671"/>
      <c r="AA38" s="671"/>
      <c r="AB38" s="671"/>
      <c r="AC38" s="671" t="str">
        <f>IF(FW30&lt;'Purchased Boons'!$A$496,VLOOKUP(FW30,'Purchased Boons'!$A$2:$C$495,3,FALSE),IF(FW30&lt;'Purchased Knacks'!$B$192,VLOOKUP(FW30,'Purchased Knacks'!$B$4:$E$191,2,FALSE),""))</f>
        <v/>
      </c>
      <c r="AD38" s="671"/>
      <c r="AE38" s="671"/>
      <c r="AF38" s="671"/>
      <c r="AG38" s="671"/>
      <c r="AH38" s="671"/>
      <c r="AI38" s="671"/>
      <c r="AJ38" s="671" t="str">
        <f>IF(AC38="","",IF(FW30&lt;'Purchased Boons'!$A$496,VLOOKUP(AC38,BoonRef!$A$2:$Z$1230,16,FALSE),VLOOKUP(AC38,KanckRef!$A$2:$G$172,4,FALSE)))</f>
        <v/>
      </c>
      <c r="AK38" s="671"/>
      <c r="AL38" s="671"/>
      <c r="AM38" s="767" t="str">
        <f>IF(AC38="","",IF(FW30&lt;'Purchased Boons'!$A$496,VLOOKUP(AC38,BoonRef!$A$2:$Z$1230,23,FALSE),VLOOKUP(AC38,KanckRef!$A$2:$G$172,5,FALSE)))</f>
        <v/>
      </c>
      <c r="AN38" s="767"/>
      <c r="AO38" s="767"/>
      <c r="AP38" s="767"/>
      <c r="AQ38" s="767"/>
      <c r="AR38" s="767"/>
      <c r="AS38" s="767"/>
      <c r="AT38" s="767"/>
      <c r="AU38" s="767"/>
      <c r="AV38" s="768"/>
      <c r="AW38" s="843"/>
      <c r="AX38" s="818"/>
      <c r="AY38" s="818"/>
      <c r="AZ38" s="818"/>
      <c r="BA38" s="818"/>
      <c r="BB38" s="818"/>
      <c r="BC38" s="818"/>
      <c r="BD38" s="818"/>
      <c r="BE38" s="818"/>
      <c r="BF38" s="818"/>
      <c r="BG38" s="818"/>
      <c r="BH38" s="818"/>
      <c r="BI38" s="818"/>
      <c r="BJ38" s="818"/>
      <c r="BK38" s="818"/>
      <c r="BL38" s="818"/>
      <c r="BM38" s="818"/>
      <c r="BN38" s="818"/>
      <c r="BO38" s="818"/>
      <c r="BP38" s="818"/>
      <c r="BQ38" s="818"/>
      <c r="BR38" s="818"/>
      <c r="BS38" s="818"/>
      <c r="BT38" s="855"/>
      <c r="BU38" s="850"/>
      <c r="BV38" s="850"/>
      <c r="BW38" s="850"/>
      <c r="BX38" s="850"/>
      <c r="BY38" s="850"/>
      <c r="BZ38" s="850"/>
      <c r="CA38" s="850"/>
      <c r="CB38" s="850"/>
      <c r="CC38" s="850"/>
      <c r="CD38" s="850"/>
      <c r="CE38" s="850"/>
      <c r="CF38" s="850"/>
      <c r="CG38" s="850"/>
      <c r="CH38" s="850"/>
      <c r="CI38" s="850"/>
      <c r="CJ38" s="850"/>
      <c r="CK38" s="850"/>
      <c r="CL38" s="850"/>
      <c r="CM38" s="850"/>
      <c r="CN38" s="850"/>
      <c r="CO38" s="850"/>
      <c r="CP38" s="850"/>
      <c r="CQ38" s="850"/>
      <c r="CR38" s="851"/>
      <c r="CS38" s="693"/>
      <c r="CT38" s="694"/>
      <c r="CU38" s="694"/>
      <c r="CV38" s="694"/>
      <c r="CW38" s="694"/>
      <c r="CX38" s="694"/>
      <c r="CY38" s="694"/>
      <c r="CZ38" s="694"/>
      <c r="DA38" s="694"/>
      <c r="DB38" s="694"/>
      <c r="DC38" s="694"/>
      <c r="DD38" s="694"/>
      <c r="DE38" s="694"/>
      <c r="DF38" s="694"/>
      <c r="DG38" s="694"/>
      <c r="DH38" s="719"/>
      <c r="DI38" s="693"/>
      <c r="DJ38" s="694"/>
      <c r="DK38" s="694"/>
      <c r="DL38" s="694"/>
      <c r="DM38" s="694"/>
      <c r="DN38" s="694"/>
      <c r="DO38" s="694"/>
      <c r="DP38" s="711"/>
      <c r="DQ38" s="966" t="str">
        <f>IF(DU38="","",IF(FX37&lt;'Purchased Boons'!$A$496,VLOOKUP(DU38,BoonRef!$A:$Z,2,FALSE),VLOOKUP(DU38,KanckRef!$A$2:$G$172,2,FALSE)))</f>
        <v/>
      </c>
      <c r="DR38" s="963"/>
      <c r="DS38" s="963"/>
      <c r="DT38" s="963"/>
      <c r="DU38" s="963" t="str">
        <f>IF(FX37&lt;'Purchased Boons'!$A$496,VLOOKUP(FX37,'Purchased Boons'!$A$2:$C$495,3,FALSE),IF(FX37&lt;'Purchased Knacks'!$B$192,VLOOKUP(FX37,'Purchased Knacks'!$B$4:$E$191,2,FALSE),""))</f>
        <v/>
      </c>
      <c r="DV38" s="963"/>
      <c r="DW38" s="963"/>
      <c r="DX38" s="963"/>
      <c r="DY38" s="963"/>
      <c r="DZ38" s="963"/>
      <c r="EA38" s="963"/>
      <c r="EB38" s="972" t="str">
        <f>IF(DU38="","",IF(FX37&lt;'Purchased Boons'!$A$496,VLOOKUP(DU38,BoonRef!$A$2:$Z$1230,16,FALSE),VLOOKUP(DU38,KanckRef!$A$2:$G$172,4,FALSE)))</f>
        <v/>
      </c>
      <c r="EC38" s="972"/>
      <c r="ED38" s="972"/>
      <c r="EE38" s="964" t="str">
        <f>IF(DU38="","",IF(FX37&lt;'Purchased Boons'!$A$496,VLOOKUP(DU38,BoonRef!$A$2:$Z$1230,23,FALSE),VLOOKUP(DU38,KanckRef!$A$2:$G$172,5,FALSE)))</f>
        <v/>
      </c>
      <c r="EF38" s="964"/>
      <c r="EG38" s="964"/>
      <c r="EH38" s="964"/>
      <c r="EI38" s="964"/>
      <c r="EJ38" s="964"/>
      <c r="EK38" s="964"/>
      <c r="EL38" s="964"/>
      <c r="EM38" s="964"/>
      <c r="EN38" s="965"/>
      <c r="EO38" s="966" t="str">
        <f>IF(ES38="","",IF(FY37&lt;'Purchased Boons'!$A$496,VLOOKUP(ES38,BoonRef!$A:$Z,2,FALSE),VLOOKUP(ES38,KanckRef!$A$2:$G$172,2,FALSE)))</f>
        <v/>
      </c>
      <c r="EP38" s="963"/>
      <c r="EQ38" s="963"/>
      <c r="ER38" s="963"/>
      <c r="ES38" s="963" t="str">
        <f>IF(FY37&lt;'Purchased Boons'!$A$496,VLOOKUP(FY37,'Purchased Boons'!$A$2:$C$495,3,FALSE),IF(FY37&lt;'Purchased Knacks'!$B$192,VLOOKUP(FY37,'Purchased Knacks'!$B$4:$E$191,2,FALSE),""))</f>
        <v/>
      </c>
      <c r="ET38" s="963"/>
      <c r="EU38" s="963"/>
      <c r="EV38" s="963"/>
      <c r="EW38" s="963"/>
      <c r="EX38" s="963"/>
      <c r="EY38" s="963"/>
      <c r="EZ38" s="972" t="str">
        <f>IF(ES38="","",IF(FY37&lt;'Purchased Boons'!$A$496,VLOOKUP(ES38,BoonRef!$A$2:$Z$1230,16,FALSE),VLOOKUP(ES38,KanckRef!$A$2:$G$172,4,FALSE)))</f>
        <v/>
      </c>
      <c r="FA38" s="972"/>
      <c r="FB38" s="972"/>
      <c r="FC38" s="964" t="str">
        <f>IF(ES38="","",IF(FY37&lt;'Purchased Boons'!$A$496,VLOOKUP(ES38,BoonRef!$A$2:$Z$1230,23,FALSE),VLOOKUP(ES38,KanckRef!$A$2:$G$172,5,FALSE)))</f>
        <v/>
      </c>
      <c r="FD38" s="964"/>
      <c r="FE38" s="964"/>
      <c r="FF38" s="964"/>
      <c r="FG38" s="964"/>
      <c r="FH38" s="964"/>
      <c r="FI38" s="964"/>
      <c r="FJ38" s="964"/>
      <c r="FK38" s="964"/>
      <c r="FL38" s="965"/>
      <c r="FW38" s="283">
        <v>38</v>
      </c>
      <c r="FX38" s="283">
        <v>76</v>
      </c>
      <c r="FY38" s="283">
        <v>121</v>
      </c>
    </row>
    <row r="39" spans="1:181" ht="15" customHeight="1" thickBot="1" x14ac:dyDescent="0.3">
      <c r="A39" s="723" t="s">
        <v>89</v>
      </c>
      <c r="B39" s="724"/>
      <c r="C39" s="724"/>
      <c r="D39" s="767" t="str">
        <f>IF('Purchased Knacks'!E46="yes",D33+V34,"N/A")</f>
        <v>N/A</v>
      </c>
      <c r="E39" s="767"/>
      <c r="F39" s="768"/>
      <c r="G39" s="697"/>
      <c r="H39" s="698"/>
      <c r="I39" s="698"/>
      <c r="J39" s="698"/>
      <c r="K39" s="698"/>
      <c r="L39" s="698"/>
      <c r="M39" s="698"/>
      <c r="N39" s="698"/>
      <c r="O39" s="698"/>
      <c r="P39" s="698"/>
      <c r="Q39" s="698"/>
      <c r="R39" s="739"/>
      <c r="S39" s="892" t="s">
        <v>98</v>
      </c>
      <c r="T39" s="893"/>
      <c r="U39" s="893"/>
      <c r="V39" s="767">
        <f>DotTracking!AE33</f>
        <v>0</v>
      </c>
      <c r="W39" s="767"/>
      <c r="X39" s="871"/>
      <c r="Y39" s="740" t="str">
        <f>IF(AC39="","",IF(FW31&lt;'Purchased Boons'!$A$496,VLOOKUP(AC39,BoonRef!$A:$Z,2,FALSE),VLOOKUP(AC39,KanckRef!$A$2:$G$172,2,FALSE)))</f>
        <v/>
      </c>
      <c r="Z39" s="671"/>
      <c r="AA39" s="671"/>
      <c r="AB39" s="671"/>
      <c r="AC39" s="671" t="str">
        <f>IF(FW31&lt;'Purchased Boons'!$A$496,VLOOKUP(FW31,'Purchased Boons'!$A$2:$C$495,3,FALSE),IF(FW31&lt;'Purchased Knacks'!$B$192,VLOOKUP(FW31,'Purchased Knacks'!$B$4:$E$191,2,FALSE),""))</f>
        <v/>
      </c>
      <c r="AD39" s="671"/>
      <c r="AE39" s="671"/>
      <c r="AF39" s="671"/>
      <c r="AG39" s="671"/>
      <c r="AH39" s="671"/>
      <c r="AI39" s="671"/>
      <c r="AJ39" s="671" t="str">
        <f>IF(AC39="","",IF(FW31&lt;'Purchased Boons'!$A$496,VLOOKUP(AC39,BoonRef!$A$2:$Z$1230,16,FALSE),VLOOKUP(AC39,KanckRef!$A$2:$G$172,4,FALSE)))</f>
        <v/>
      </c>
      <c r="AK39" s="671"/>
      <c r="AL39" s="671"/>
      <c r="AM39" s="767" t="str">
        <f>IF(AC39="","",IF(FW31&lt;'Purchased Boons'!$A$496,VLOOKUP(AC39,BoonRef!$A$2:$Z$1230,23,FALSE),VLOOKUP(AC39,KanckRef!$A$2:$G$172,5,FALSE)))</f>
        <v/>
      </c>
      <c r="AN39" s="767"/>
      <c r="AO39" s="767"/>
      <c r="AP39" s="767"/>
      <c r="AQ39" s="767"/>
      <c r="AR39" s="767"/>
      <c r="AS39" s="767"/>
      <c r="AT39" s="767"/>
      <c r="AU39" s="767"/>
      <c r="AV39" s="768"/>
      <c r="AW39" s="843" t="s">
        <v>373</v>
      </c>
      <c r="AX39" s="818"/>
      <c r="AY39" s="818"/>
      <c r="AZ39" s="818"/>
      <c r="BA39" s="818"/>
      <c r="BB39" s="818"/>
      <c r="BC39" s="818"/>
      <c r="BD39" s="818"/>
      <c r="BE39" s="818"/>
      <c r="BF39" s="818"/>
      <c r="BG39" s="818"/>
      <c r="BH39" s="818"/>
      <c r="BI39" s="818"/>
      <c r="BJ39" s="818"/>
      <c r="BK39" s="818"/>
      <c r="BL39" s="818"/>
      <c r="BM39" s="818"/>
      <c r="BN39" s="818"/>
      <c r="BO39" s="818"/>
      <c r="BP39" s="818"/>
      <c r="BQ39" s="818"/>
      <c r="BR39" s="818"/>
      <c r="BS39" s="818"/>
      <c r="BT39" s="855"/>
      <c r="BU39" s="850"/>
      <c r="BV39" s="850"/>
      <c r="BW39" s="850"/>
      <c r="BX39" s="850"/>
      <c r="BY39" s="850"/>
      <c r="BZ39" s="850"/>
      <c r="CA39" s="850"/>
      <c r="CB39" s="850"/>
      <c r="CC39" s="850"/>
      <c r="CD39" s="850"/>
      <c r="CE39" s="850"/>
      <c r="CF39" s="850"/>
      <c r="CG39" s="850"/>
      <c r="CH39" s="850"/>
      <c r="CI39" s="850"/>
      <c r="CJ39" s="850"/>
      <c r="CK39" s="850"/>
      <c r="CL39" s="850"/>
      <c r="CM39" s="850"/>
      <c r="CN39" s="850"/>
      <c r="CO39" s="850"/>
      <c r="CP39" s="850"/>
      <c r="CQ39" s="850"/>
      <c r="CR39" s="851"/>
      <c r="CS39" s="693"/>
      <c r="CT39" s="694"/>
      <c r="CU39" s="694"/>
      <c r="CV39" s="694"/>
      <c r="CW39" s="694"/>
      <c r="CX39" s="694"/>
      <c r="CY39" s="694"/>
      <c r="CZ39" s="694"/>
      <c r="DA39" s="694"/>
      <c r="DB39" s="694"/>
      <c r="DC39" s="694"/>
      <c r="DD39" s="694"/>
      <c r="DE39" s="694"/>
      <c r="DF39" s="694"/>
      <c r="DG39" s="694"/>
      <c r="DH39" s="719"/>
      <c r="DI39" s="693"/>
      <c r="DJ39" s="694"/>
      <c r="DK39" s="694"/>
      <c r="DL39" s="694"/>
      <c r="DM39" s="694"/>
      <c r="DN39" s="694"/>
      <c r="DO39" s="694"/>
      <c r="DP39" s="711"/>
      <c r="DQ39" s="966" t="str">
        <f>IF(DU39="","",IF(FX38&lt;'Purchased Boons'!$A$496,VLOOKUP(DU39,BoonRef!$A:$Z,2,FALSE),VLOOKUP(DU39,KanckRef!$A$2:$G$172,2,FALSE)))</f>
        <v/>
      </c>
      <c r="DR39" s="963"/>
      <c r="DS39" s="963"/>
      <c r="DT39" s="963"/>
      <c r="DU39" s="963" t="str">
        <f>IF(FX38&lt;'Purchased Boons'!$A$496,VLOOKUP(FX38,'Purchased Boons'!$A$2:$C$495,3,FALSE),IF(FX38&lt;'Purchased Knacks'!$B$192,VLOOKUP(FX38,'Purchased Knacks'!$B$4:$E$191,2,FALSE),""))</f>
        <v/>
      </c>
      <c r="DV39" s="963"/>
      <c r="DW39" s="963"/>
      <c r="DX39" s="963"/>
      <c r="DY39" s="963"/>
      <c r="DZ39" s="963"/>
      <c r="EA39" s="963"/>
      <c r="EB39" s="972" t="str">
        <f>IF(DU39="","",IF(FX38&lt;'Purchased Boons'!$A$496,VLOOKUP(DU39,BoonRef!$A$2:$Z$1230,16,FALSE),VLOOKUP(DU39,KanckRef!$A$2:$G$172,4,FALSE)))</f>
        <v/>
      </c>
      <c r="EC39" s="972"/>
      <c r="ED39" s="972"/>
      <c r="EE39" s="964" t="str">
        <f>IF(DU39="","",IF(FX38&lt;'Purchased Boons'!$A$496,VLOOKUP(DU39,BoonRef!$A$2:$Z$1230,23,FALSE),VLOOKUP(DU39,KanckRef!$A$2:$G$172,5,FALSE)))</f>
        <v/>
      </c>
      <c r="EF39" s="964"/>
      <c r="EG39" s="964"/>
      <c r="EH39" s="964"/>
      <c r="EI39" s="964"/>
      <c r="EJ39" s="964"/>
      <c r="EK39" s="964"/>
      <c r="EL39" s="964"/>
      <c r="EM39" s="964"/>
      <c r="EN39" s="965"/>
      <c r="EO39" s="966" t="str">
        <f>IF(ES39="","",IF(FY38&lt;'Purchased Boons'!$A$496,VLOOKUP(ES39,BoonRef!$A:$Z,2,FALSE),VLOOKUP(ES39,KanckRef!$A$2:$G$172,2,FALSE)))</f>
        <v/>
      </c>
      <c r="EP39" s="963"/>
      <c r="EQ39" s="963"/>
      <c r="ER39" s="963"/>
      <c r="ES39" s="963" t="str">
        <f>IF(FY38&lt;'Purchased Boons'!$A$496,VLOOKUP(FY38,'Purchased Boons'!$A$2:$C$495,3,FALSE),IF(FY38&lt;'Purchased Knacks'!$B$192,VLOOKUP(FY38,'Purchased Knacks'!$B$4:$E$191,2,FALSE),""))</f>
        <v/>
      </c>
      <c r="ET39" s="963"/>
      <c r="EU39" s="963"/>
      <c r="EV39" s="963"/>
      <c r="EW39" s="963"/>
      <c r="EX39" s="963"/>
      <c r="EY39" s="963"/>
      <c r="EZ39" s="972" t="str">
        <f>IF(ES39="","",IF(FY38&lt;'Purchased Boons'!$A$496,VLOOKUP(ES39,BoonRef!$A$2:$Z$1230,16,FALSE),VLOOKUP(ES39,KanckRef!$A$2:$G$172,4,FALSE)))</f>
        <v/>
      </c>
      <c r="FA39" s="972"/>
      <c r="FB39" s="972"/>
      <c r="FC39" s="964" t="str">
        <f>IF(ES39="","",IF(FY38&lt;'Purchased Boons'!$A$496,VLOOKUP(ES39,BoonRef!$A$2:$Z$1230,23,FALSE),VLOOKUP(ES39,KanckRef!$A$2:$G$172,5,FALSE)))</f>
        <v/>
      </c>
      <c r="FD39" s="964"/>
      <c r="FE39" s="964"/>
      <c r="FF39" s="964"/>
      <c r="FG39" s="964"/>
      <c r="FH39" s="964"/>
      <c r="FI39" s="964"/>
      <c r="FJ39" s="964"/>
      <c r="FK39" s="964"/>
      <c r="FL39" s="965"/>
      <c r="FX39" s="283">
        <v>77</v>
      </c>
      <c r="FY39" s="283">
        <v>122</v>
      </c>
    </row>
    <row r="40" spans="1:181" ht="15" customHeight="1" thickBot="1" x14ac:dyDescent="0.3">
      <c r="A40" s="723" t="s">
        <v>90</v>
      </c>
      <c r="B40" s="724"/>
      <c r="C40" s="724"/>
      <c r="D40" s="767" t="str">
        <f>IF(AND('Purchased Knacks'!E46="yes",'Purchased Knacks'!E55="yes"),D34+ROUNDUP(V34/2,0),IF('Purchased Knacks'!E46="yes",D34,"N/A"))</f>
        <v>N/A</v>
      </c>
      <c r="E40" s="767"/>
      <c r="F40" s="768"/>
      <c r="G40" s="898" t="str">
        <f>Creation!Q19</f>
        <v/>
      </c>
      <c r="H40" s="881"/>
      <c r="I40" s="881"/>
      <c r="J40" s="881"/>
      <c r="K40" s="722"/>
      <c r="L40" s="288">
        <f>SUM(DotTracking!T4:X4,DotTracking!AR4:AV4,DotTracking!BP4:BT4,DotTracking!CN4:CR4,DotTracking!DL4:DP4)</f>
        <v>1</v>
      </c>
      <c r="M40" s="881" t="str">
        <f>Creation!Q21</f>
        <v/>
      </c>
      <c r="N40" s="881"/>
      <c r="O40" s="881"/>
      <c r="P40" s="881"/>
      <c r="Q40" s="722"/>
      <c r="R40" s="289">
        <f>SUM(DotTracking!T6:X6,DotTracking!AR6:AV6,DotTracking!BP6:BT6,DotTracking!CN6:CR6,DotTracking!DL6:DP6)</f>
        <v>1</v>
      </c>
      <c r="S40" s="878" t="s">
        <v>32</v>
      </c>
      <c r="T40" s="879"/>
      <c r="U40" s="879"/>
      <c r="V40" s="804">
        <f>V38-V39</f>
        <v>0</v>
      </c>
      <c r="W40" s="804"/>
      <c r="X40" s="880"/>
      <c r="Y40" s="740" t="str">
        <f>IF(AC40="","",IF(FW32&lt;'Purchased Boons'!$A$496,VLOOKUP(AC40,BoonRef!$A:$Z,2,FALSE),VLOOKUP(AC40,KanckRef!$A$2:$G$172,2,FALSE)))</f>
        <v/>
      </c>
      <c r="Z40" s="671"/>
      <c r="AA40" s="671"/>
      <c r="AB40" s="671"/>
      <c r="AC40" s="671" t="str">
        <f>IF(FW32&lt;'Purchased Boons'!$A$496,VLOOKUP(FW32,'Purchased Boons'!$A$2:$C$495,3,FALSE),IF(FW32&lt;'Purchased Knacks'!$B$192,VLOOKUP(FW32,'Purchased Knacks'!$B$4:$E$191,2,FALSE),""))</f>
        <v/>
      </c>
      <c r="AD40" s="671"/>
      <c r="AE40" s="671"/>
      <c r="AF40" s="671"/>
      <c r="AG40" s="671"/>
      <c r="AH40" s="671"/>
      <c r="AI40" s="671"/>
      <c r="AJ40" s="671" t="str">
        <f>IF(AC40="","",IF(FW32&lt;'Purchased Boons'!$A$496,VLOOKUP(AC40,BoonRef!$A$2:$Z$1230,16,FALSE),VLOOKUP(AC40,KanckRef!$A$2:$G$172,4,FALSE)))</f>
        <v/>
      </c>
      <c r="AK40" s="671"/>
      <c r="AL40" s="671"/>
      <c r="AM40" s="767" t="str">
        <f>IF(AC40="","",IF(FW32&lt;'Purchased Boons'!$A$496,VLOOKUP(AC40,BoonRef!$A$2:$Z$1230,23,FALSE),VLOOKUP(AC40,KanckRef!$A$2:$G$172,5,FALSE)))</f>
        <v/>
      </c>
      <c r="AN40" s="767"/>
      <c r="AO40" s="767"/>
      <c r="AP40" s="767"/>
      <c r="AQ40" s="767"/>
      <c r="AR40" s="767"/>
      <c r="AS40" s="767"/>
      <c r="AT40" s="767"/>
      <c r="AU40" s="767"/>
      <c r="AV40" s="768"/>
      <c r="AW40" s="843"/>
      <c r="AX40" s="818"/>
      <c r="AY40" s="818"/>
      <c r="AZ40" s="818"/>
      <c r="BA40" s="818"/>
      <c r="BB40" s="818"/>
      <c r="BC40" s="818"/>
      <c r="BD40" s="818"/>
      <c r="BE40" s="818"/>
      <c r="BF40" s="818"/>
      <c r="BG40" s="818"/>
      <c r="BH40" s="818"/>
      <c r="BI40" s="818"/>
      <c r="BJ40" s="818"/>
      <c r="BK40" s="818"/>
      <c r="BL40" s="818"/>
      <c r="BM40" s="818"/>
      <c r="BN40" s="818"/>
      <c r="BO40" s="818"/>
      <c r="BP40" s="818"/>
      <c r="BQ40" s="818"/>
      <c r="BR40" s="818"/>
      <c r="BS40" s="818"/>
      <c r="BT40" s="855"/>
      <c r="BU40" s="850"/>
      <c r="BV40" s="850"/>
      <c r="BW40" s="850"/>
      <c r="BX40" s="850"/>
      <c r="BY40" s="850"/>
      <c r="BZ40" s="850"/>
      <c r="CA40" s="850"/>
      <c r="CB40" s="850"/>
      <c r="CC40" s="850"/>
      <c r="CD40" s="850"/>
      <c r="CE40" s="850"/>
      <c r="CF40" s="850"/>
      <c r="CG40" s="850"/>
      <c r="CH40" s="850"/>
      <c r="CI40" s="850"/>
      <c r="CJ40" s="850"/>
      <c r="CK40" s="850"/>
      <c r="CL40" s="850"/>
      <c r="CM40" s="850"/>
      <c r="CN40" s="850"/>
      <c r="CO40" s="850"/>
      <c r="CP40" s="850"/>
      <c r="CQ40" s="850"/>
      <c r="CR40" s="851"/>
      <c r="CS40" s="693"/>
      <c r="CT40" s="694"/>
      <c r="CU40" s="694"/>
      <c r="CV40" s="694"/>
      <c r="CW40" s="694"/>
      <c r="CX40" s="694"/>
      <c r="CY40" s="694"/>
      <c r="CZ40" s="694"/>
      <c r="DA40" s="694"/>
      <c r="DB40" s="694"/>
      <c r="DC40" s="694"/>
      <c r="DD40" s="694"/>
      <c r="DE40" s="694"/>
      <c r="DF40" s="694"/>
      <c r="DG40" s="694"/>
      <c r="DH40" s="719"/>
      <c r="DI40" s="693"/>
      <c r="DJ40" s="694"/>
      <c r="DK40" s="694"/>
      <c r="DL40" s="694"/>
      <c r="DM40" s="694"/>
      <c r="DN40" s="694"/>
      <c r="DO40" s="694"/>
      <c r="DP40" s="711"/>
      <c r="DQ40" s="966" t="str">
        <f>IF(DU40="","",IF(FX39&lt;'Purchased Boons'!$A$496,VLOOKUP(DU40,BoonRef!$A:$Z,2,FALSE),VLOOKUP(DU40,KanckRef!$A$2:$G$172,2,FALSE)))</f>
        <v/>
      </c>
      <c r="DR40" s="963"/>
      <c r="DS40" s="963"/>
      <c r="DT40" s="963"/>
      <c r="DU40" s="963" t="str">
        <f>IF(FX39&lt;'Purchased Boons'!$A$496,VLOOKUP(FX39,'Purchased Boons'!$A$2:$C$495,3,FALSE),IF(FX39&lt;'Purchased Knacks'!$B$192,VLOOKUP(FX39,'Purchased Knacks'!$B$4:$E$191,2,FALSE),""))</f>
        <v/>
      </c>
      <c r="DV40" s="963"/>
      <c r="DW40" s="963"/>
      <c r="DX40" s="963"/>
      <c r="DY40" s="963"/>
      <c r="DZ40" s="963"/>
      <c r="EA40" s="963"/>
      <c r="EB40" s="972" t="str">
        <f>IF(DU40="","",IF(FX39&lt;'Purchased Boons'!$A$496,VLOOKUP(DU40,BoonRef!$A$2:$Z$1230,16,FALSE),VLOOKUP(DU40,KanckRef!$A$2:$G$172,4,FALSE)))</f>
        <v/>
      </c>
      <c r="EC40" s="972"/>
      <c r="ED40" s="972"/>
      <c r="EE40" s="964" t="str">
        <f>IF(DU40="","",IF(FX39&lt;'Purchased Boons'!$A$496,VLOOKUP(DU40,BoonRef!$A$2:$Z$1230,23,FALSE),VLOOKUP(DU40,KanckRef!$A$2:$G$172,5,FALSE)))</f>
        <v/>
      </c>
      <c r="EF40" s="964"/>
      <c r="EG40" s="964"/>
      <c r="EH40" s="964"/>
      <c r="EI40" s="964"/>
      <c r="EJ40" s="964"/>
      <c r="EK40" s="964"/>
      <c r="EL40" s="964"/>
      <c r="EM40" s="964"/>
      <c r="EN40" s="965"/>
      <c r="EO40" s="966" t="str">
        <f>IF(ES40="","",IF(FY39&lt;'Purchased Boons'!$A$496,VLOOKUP(ES40,BoonRef!$A:$Z,2,FALSE),VLOOKUP(ES40,KanckRef!$A$2:$G$172,2,FALSE)))</f>
        <v/>
      </c>
      <c r="EP40" s="963"/>
      <c r="EQ40" s="963"/>
      <c r="ER40" s="963"/>
      <c r="ES40" s="963" t="str">
        <f>IF(FY39&lt;'Purchased Boons'!$A$496,VLOOKUP(FY39,'Purchased Boons'!$A$2:$C$495,3,FALSE),IF(FY39&lt;'Purchased Knacks'!$B$192,VLOOKUP(FY39,'Purchased Knacks'!$B$4:$E$191,2,FALSE),""))</f>
        <v/>
      </c>
      <c r="ET40" s="963"/>
      <c r="EU40" s="963"/>
      <c r="EV40" s="963"/>
      <c r="EW40" s="963"/>
      <c r="EX40" s="963"/>
      <c r="EY40" s="963"/>
      <c r="EZ40" s="972" t="str">
        <f>IF(ES40="","",IF(FY39&lt;'Purchased Boons'!$A$496,VLOOKUP(ES40,BoonRef!$A$2:$Z$1230,16,FALSE),VLOOKUP(ES40,KanckRef!$A$2:$G$172,4,FALSE)))</f>
        <v/>
      </c>
      <c r="FA40" s="972"/>
      <c r="FB40" s="972"/>
      <c r="FC40" s="964" t="str">
        <f>IF(ES40="","",IF(FY39&lt;'Purchased Boons'!$A$496,VLOOKUP(ES40,BoonRef!$A$2:$Z$1230,23,FALSE),VLOOKUP(ES40,KanckRef!$A$2:$G$172,5,FALSE)))</f>
        <v/>
      </c>
      <c r="FD40" s="964"/>
      <c r="FE40" s="964"/>
      <c r="FF40" s="964"/>
      <c r="FG40" s="964"/>
      <c r="FH40" s="964"/>
      <c r="FI40" s="964"/>
      <c r="FJ40" s="964"/>
      <c r="FK40" s="964"/>
      <c r="FL40" s="965"/>
      <c r="FX40" s="283">
        <v>78</v>
      </c>
      <c r="FY40" s="283">
        <v>123</v>
      </c>
    </row>
    <row r="41" spans="1:181" ht="15" customHeight="1" thickBot="1" x14ac:dyDescent="0.3">
      <c r="A41" s="802" t="s">
        <v>92</v>
      </c>
      <c r="B41" s="803"/>
      <c r="C41" s="803"/>
      <c r="D41" s="804" t="str">
        <f>IF('Purchased Knacks'!E46="yes",D35-1,"N/A")</f>
        <v>N/A</v>
      </c>
      <c r="E41" s="804"/>
      <c r="F41" s="817"/>
      <c r="G41" s="899" t="str">
        <f>Creation!Q20</f>
        <v/>
      </c>
      <c r="H41" s="900"/>
      <c r="I41" s="900"/>
      <c r="J41" s="900"/>
      <c r="K41" s="803"/>
      <c r="L41" s="301">
        <f>SUM(DotTracking!T5:X5,DotTracking!AR5:AV5,DotTracking!BP5:BT5,DotTracking!CN5:CR5,DotTracking!DL5:DP5)</f>
        <v>1</v>
      </c>
      <c r="M41" s="900" t="str">
        <f>Creation!Q22</f>
        <v/>
      </c>
      <c r="N41" s="900"/>
      <c r="O41" s="900"/>
      <c r="P41" s="900"/>
      <c r="Q41" s="803"/>
      <c r="R41" s="302">
        <f>SUM(DotTracking!T7:X7,DotTracking!AR7:AV7,DotTracking!BP7:BT7,DotTracking!CN7:CR7,DotTracking!DL7:DP7)</f>
        <v>1</v>
      </c>
      <c r="S41" s="771"/>
      <c r="T41" s="771"/>
      <c r="U41" s="771"/>
      <c r="V41" s="771"/>
      <c r="W41" s="771"/>
      <c r="X41" s="771"/>
      <c r="Y41" s="740" t="str">
        <f>IF(AC41="","",IF(FW33&lt;'Purchased Boons'!$A$496,VLOOKUP(AC41,BoonRef!$A:$Z,2,FALSE),VLOOKUP(AC41,KanckRef!$A$2:$G$172,2,FALSE)))</f>
        <v/>
      </c>
      <c r="Z41" s="671"/>
      <c r="AA41" s="671"/>
      <c r="AB41" s="671"/>
      <c r="AC41" s="671" t="str">
        <f>IF(FW33&lt;'Purchased Boons'!$A$496,VLOOKUP(FW33,'Purchased Boons'!$A$2:$C$495,3,FALSE),IF(FW33&lt;'Purchased Knacks'!$B$192,VLOOKUP(FW33,'Purchased Knacks'!$B$4:$E$191,2,FALSE),""))</f>
        <v/>
      </c>
      <c r="AD41" s="671"/>
      <c r="AE41" s="671"/>
      <c r="AF41" s="671"/>
      <c r="AG41" s="671"/>
      <c r="AH41" s="671"/>
      <c r="AI41" s="671"/>
      <c r="AJ41" s="671" t="str">
        <f>IF(AC41="","",IF(FW33&lt;'Purchased Boons'!$A$496,VLOOKUP(AC41,BoonRef!$A$2:$Z$1230,16,FALSE),VLOOKUP(AC41,KanckRef!$A$2:$G$172,4,FALSE)))</f>
        <v/>
      </c>
      <c r="AK41" s="671"/>
      <c r="AL41" s="671"/>
      <c r="AM41" s="767" t="str">
        <f>IF(AC41="","",IF(FW33&lt;'Purchased Boons'!$A$496,VLOOKUP(AC41,BoonRef!$A$2:$Z$1230,23,FALSE),VLOOKUP(AC41,KanckRef!$A$2:$G$172,5,FALSE)))</f>
        <v/>
      </c>
      <c r="AN41" s="767"/>
      <c r="AO41" s="767"/>
      <c r="AP41" s="767"/>
      <c r="AQ41" s="767"/>
      <c r="AR41" s="767"/>
      <c r="AS41" s="767"/>
      <c r="AT41" s="767"/>
      <c r="AU41" s="767"/>
      <c r="AV41" s="768"/>
      <c r="AW41" s="843" t="s">
        <v>373</v>
      </c>
      <c r="AX41" s="818"/>
      <c r="AY41" s="818"/>
      <c r="AZ41" s="818"/>
      <c r="BA41" s="818"/>
      <c r="BB41" s="818"/>
      <c r="BC41" s="818"/>
      <c r="BD41" s="818"/>
      <c r="BE41" s="818"/>
      <c r="BF41" s="818"/>
      <c r="BG41" s="818"/>
      <c r="BH41" s="818"/>
      <c r="BI41" s="818"/>
      <c r="BJ41" s="818"/>
      <c r="BK41" s="818"/>
      <c r="BL41" s="818"/>
      <c r="BM41" s="818"/>
      <c r="BN41" s="818"/>
      <c r="BO41" s="818"/>
      <c r="BP41" s="818"/>
      <c r="BQ41" s="818"/>
      <c r="BR41" s="818"/>
      <c r="BS41" s="818"/>
      <c r="BT41" s="855"/>
      <c r="BU41" s="850"/>
      <c r="BV41" s="850"/>
      <c r="BW41" s="850"/>
      <c r="BX41" s="850"/>
      <c r="BY41" s="850"/>
      <c r="BZ41" s="850"/>
      <c r="CA41" s="850"/>
      <c r="CB41" s="850"/>
      <c r="CC41" s="850"/>
      <c r="CD41" s="850"/>
      <c r="CE41" s="850"/>
      <c r="CF41" s="850"/>
      <c r="CG41" s="850"/>
      <c r="CH41" s="850"/>
      <c r="CI41" s="850"/>
      <c r="CJ41" s="850"/>
      <c r="CK41" s="850"/>
      <c r="CL41" s="850"/>
      <c r="CM41" s="850"/>
      <c r="CN41" s="850"/>
      <c r="CO41" s="850"/>
      <c r="CP41" s="850"/>
      <c r="CQ41" s="850"/>
      <c r="CR41" s="851"/>
      <c r="CS41" s="693"/>
      <c r="CT41" s="694"/>
      <c r="CU41" s="694"/>
      <c r="CV41" s="694"/>
      <c r="CW41" s="694"/>
      <c r="CX41" s="694"/>
      <c r="CY41" s="694"/>
      <c r="CZ41" s="694"/>
      <c r="DA41" s="694"/>
      <c r="DB41" s="694"/>
      <c r="DC41" s="694"/>
      <c r="DD41" s="694"/>
      <c r="DE41" s="694"/>
      <c r="DF41" s="694"/>
      <c r="DG41" s="694"/>
      <c r="DH41" s="719"/>
      <c r="DI41" s="693"/>
      <c r="DJ41" s="694"/>
      <c r="DK41" s="694"/>
      <c r="DL41" s="694"/>
      <c r="DM41" s="694"/>
      <c r="DN41" s="694"/>
      <c r="DO41" s="694"/>
      <c r="DP41" s="711"/>
      <c r="DQ41" s="966" t="str">
        <f>IF(DU41="","",IF(FX40&lt;'Purchased Boons'!$A$496,VLOOKUP(DU41,BoonRef!$A:$Z,2,FALSE),VLOOKUP(DU41,KanckRef!$A$2:$G$172,2,FALSE)))</f>
        <v/>
      </c>
      <c r="DR41" s="963"/>
      <c r="DS41" s="963"/>
      <c r="DT41" s="963"/>
      <c r="DU41" s="963" t="str">
        <f>IF(FX40&lt;'Purchased Boons'!$A$496,VLOOKUP(FX40,'Purchased Boons'!$A$2:$C$495,3,FALSE),IF(FX40&lt;'Purchased Knacks'!$B$192,VLOOKUP(FX40,'Purchased Knacks'!$B$4:$E$191,2,FALSE),""))</f>
        <v/>
      </c>
      <c r="DV41" s="963"/>
      <c r="DW41" s="963"/>
      <c r="DX41" s="963"/>
      <c r="DY41" s="963"/>
      <c r="DZ41" s="963"/>
      <c r="EA41" s="963"/>
      <c r="EB41" s="972" t="str">
        <f>IF(DU41="","",IF(FX40&lt;'Purchased Boons'!$A$496,VLOOKUP(DU41,BoonRef!$A$2:$Z$1230,16,FALSE),VLOOKUP(DU41,KanckRef!$A$2:$G$172,4,FALSE)))</f>
        <v/>
      </c>
      <c r="EC41" s="972"/>
      <c r="ED41" s="972"/>
      <c r="EE41" s="964" t="str">
        <f>IF(DU41="","",IF(FX40&lt;'Purchased Boons'!$A$496,VLOOKUP(DU41,BoonRef!$A$2:$Z$1230,23,FALSE),VLOOKUP(DU41,KanckRef!$A$2:$G$172,5,FALSE)))</f>
        <v/>
      </c>
      <c r="EF41" s="964"/>
      <c r="EG41" s="964"/>
      <c r="EH41" s="964"/>
      <c r="EI41" s="964"/>
      <c r="EJ41" s="964"/>
      <c r="EK41" s="964"/>
      <c r="EL41" s="964"/>
      <c r="EM41" s="964"/>
      <c r="EN41" s="965"/>
      <c r="EO41" s="966" t="str">
        <f>IF(ES41="","",IF(FY40&lt;'Purchased Boons'!$A$496,VLOOKUP(ES41,BoonRef!$A:$Z,2,FALSE),VLOOKUP(ES41,KanckRef!$A$2:$G$172,2,FALSE)))</f>
        <v/>
      </c>
      <c r="EP41" s="963"/>
      <c r="EQ41" s="963"/>
      <c r="ER41" s="963"/>
      <c r="ES41" s="963" t="str">
        <f>IF(FY40&lt;'Purchased Boons'!$A$496,VLOOKUP(FY40,'Purchased Boons'!$A$2:$C$495,3,FALSE),IF(FY40&lt;'Purchased Knacks'!$B$192,VLOOKUP(FY40,'Purchased Knacks'!$B$4:$E$191,2,FALSE),""))</f>
        <v/>
      </c>
      <c r="ET41" s="963"/>
      <c r="EU41" s="963"/>
      <c r="EV41" s="963"/>
      <c r="EW41" s="963"/>
      <c r="EX41" s="963"/>
      <c r="EY41" s="963"/>
      <c r="EZ41" s="972" t="str">
        <f>IF(ES41="","",IF(FY40&lt;'Purchased Boons'!$A$496,VLOOKUP(ES41,BoonRef!$A$2:$Z$1230,16,FALSE),VLOOKUP(ES41,KanckRef!$A$2:$G$172,4,FALSE)))</f>
        <v/>
      </c>
      <c r="FA41" s="972"/>
      <c r="FB41" s="972"/>
      <c r="FC41" s="964" t="str">
        <f>IF(ES41="","",IF(FY40&lt;'Purchased Boons'!$A$496,VLOOKUP(ES41,BoonRef!$A$2:$Z$1230,23,FALSE),VLOOKUP(ES41,KanckRef!$A$2:$G$172,5,FALSE)))</f>
        <v/>
      </c>
      <c r="FD41" s="964"/>
      <c r="FE41" s="964"/>
      <c r="FF41" s="964"/>
      <c r="FG41" s="964"/>
      <c r="FH41" s="964"/>
      <c r="FI41" s="964"/>
      <c r="FJ41" s="964"/>
      <c r="FK41" s="964"/>
      <c r="FL41" s="965"/>
      <c r="FX41" s="283">
        <v>79</v>
      </c>
      <c r="FY41" s="283">
        <v>124</v>
      </c>
    </row>
    <row r="42" spans="1:181" ht="15" customHeight="1" x14ac:dyDescent="0.25">
      <c r="A42" s="684"/>
      <c r="B42" s="685"/>
      <c r="C42" s="685"/>
      <c r="D42" s="685"/>
      <c r="E42" s="685"/>
      <c r="F42" s="685"/>
      <c r="G42" s="685"/>
      <c r="H42" s="685"/>
      <c r="I42" s="685"/>
      <c r="J42" s="685"/>
      <c r="K42" s="685"/>
      <c r="L42" s="685"/>
      <c r="M42" s="685"/>
      <c r="N42" s="685"/>
      <c r="O42" s="685"/>
      <c r="P42" s="685"/>
      <c r="Q42" s="685"/>
      <c r="R42" s="685"/>
      <c r="S42" s="771"/>
      <c r="T42" s="771"/>
      <c r="U42" s="771"/>
      <c r="V42" s="771"/>
      <c r="W42" s="771"/>
      <c r="X42" s="771"/>
      <c r="Y42" s="740" t="str">
        <f>IF(AC42="","",IF(FW34&lt;'Purchased Boons'!$A$496,VLOOKUP(AC42,BoonRef!$A:$Z,2,FALSE),VLOOKUP(AC42,KanckRef!$A$2:$G$172,2,FALSE)))</f>
        <v/>
      </c>
      <c r="Z42" s="671"/>
      <c r="AA42" s="671"/>
      <c r="AB42" s="671"/>
      <c r="AC42" s="671" t="str">
        <f>IF(FW34&lt;'Purchased Boons'!$A$496,VLOOKUP(FW34,'Purchased Boons'!$A$2:$C$495,3,FALSE),IF(FW34&lt;'Purchased Knacks'!$B$192,VLOOKUP(FW34,'Purchased Knacks'!$B$4:$E$191,2,FALSE),""))</f>
        <v/>
      </c>
      <c r="AD42" s="671"/>
      <c r="AE42" s="671"/>
      <c r="AF42" s="671"/>
      <c r="AG42" s="671"/>
      <c r="AH42" s="671"/>
      <c r="AI42" s="671"/>
      <c r="AJ42" s="671" t="str">
        <f>IF(AC42="","",IF(FW34&lt;'Purchased Boons'!$A$496,VLOOKUP(AC42,BoonRef!$A$2:$Z$1230,16,FALSE),VLOOKUP(AC42,KanckRef!$A$2:$G$172,4,FALSE)))</f>
        <v/>
      </c>
      <c r="AK42" s="671"/>
      <c r="AL42" s="671"/>
      <c r="AM42" s="767" t="str">
        <f>IF(AC42="","",IF(FW34&lt;'Purchased Boons'!$A$496,VLOOKUP(AC42,BoonRef!$A$2:$Z$1230,23,FALSE),VLOOKUP(AC42,KanckRef!$A$2:$G$172,5,FALSE)))</f>
        <v/>
      </c>
      <c r="AN42" s="767"/>
      <c r="AO42" s="767"/>
      <c r="AP42" s="767"/>
      <c r="AQ42" s="767"/>
      <c r="AR42" s="767"/>
      <c r="AS42" s="767"/>
      <c r="AT42" s="767"/>
      <c r="AU42" s="767"/>
      <c r="AV42" s="768"/>
      <c r="AW42" s="843"/>
      <c r="AX42" s="818"/>
      <c r="AY42" s="818"/>
      <c r="AZ42" s="818"/>
      <c r="BA42" s="818"/>
      <c r="BB42" s="818"/>
      <c r="BC42" s="818"/>
      <c r="BD42" s="818"/>
      <c r="BE42" s="818"/>
      <c r="BF42" s="818"/>
      <c r="BG42" s="818"/>
      <c r="BH42" s="818"/>
      <c r="BI42" s="818"/>
      <c r="BJ42" s="818"/>
      <c r="BK42" s="818"/>
      <c r="BL42" s="818"/>
      <c r="BM42" s="818"/>
      <c r="BN42" s="818"/>
      <c r="BO42" s="818"/>
      <c r="BP42" s="818"/>
      <c r="BQ42" s="818"/>
      <c r="BR42" s="818"/>
      <c r="BS42" s="818"/>
      <c r="BT42" s="855"/>
      <c r="BU42" s="850"/>
      <c r="BV42" s="850"/>
      <c r="BW42" s="850"/>
      <c r="BX42" s="850"/>
      <c r="BY42" s="850"/>
      <c r="BZ42" s="850"/>
      <c r="CA42" s="850"/>
      <c r="CB42" s="850"/>
      <c r="CC42" s="850"/>
      <c r="CD42" s="850"/>
      <c r="CE42" s="850"/>
      <c r="CF42" s="850"/>
      <c r="CG42" s="850"/>
      <c r="CH42" s="850"/>
      <c r="CI42" s="850"/>
      <c r="CJ42" s="850"/>
      <c r="CK42" s="850"/>
      <c r="CL42" s="850"/>
      <c r="CM42" s="850"/>
      <c r="CN42" s="850"/>
      <c r="CO42" s="850"/>
      <c r="CP42" s="850"/>
      <c r="CQ42" s="850"/>
      <c r="CR42" s="851"/>
      <c r="CS42" s="693"/>
      <c r="CT42" s="694"/>
      <c r="CU42" s="694"/>
      <c r="CV42" s="694"/>
      <c r="CW42" s="694"/>
      <c r="CX42" s="694"/>
      <c r="CY42" s="694"/>
      <c r="CZ42" s="694"/>
      <c r="DA42" s="694"/>
      <c r="DB42" s="694"/>
      <c r="DC42" s="694"/>
      <c r="DD42" s="694"/>
      <c r="DE42" s="694"/>
      <c r="DF42" s="694"/>
      <c r="DG42" s="694"/>
      <c r="DH42" s="719"/>
      <c r="DI42" s="693"/>
      <c r="DJ42" s="694"/>
      <c r="DK42" s="694"/>
      <c r="DL42" s="694"/>
      <c r="DM42" s="694"/>
      <c r="DN42" s="694"/>
      <c r="DO42" s="694"/>
      <c r="DP42" s="711"/>
      <c r="DQ42" s="966" t="str">
        <f>IF(DU42="","",IF(FX41&lt;'Purchased Boons'!$A$496,VLOOKUP(DU42,BoonRef!$A:$Z,2,FALSE),VLOOKUP(DU42,KanckRef!$A$2:$G$172,2,FALSE)))</f>
        <v/>
      </c>
      <c r="DR42" s="963"/>
      <c r="DS42" s="963"/>
      <c r="DT42" s="963"/>
      <c r="DU42" s="963" t="str">
        <f>IF(FX41&lt;'Purchased Boons'!$A$496,VLOOKUP(FX41,'Purchased Boons'!$A$2:$C$495,3,FALSE),IF(FX41&lt;'Purchased Knacks'!$B$192,VLOOKUP(FX41,'Purchased Knacks'!$B$4:$E$191,2,FALSE),""))</f>
        <v/>
      </c>
      <c r="DV42" s="963"/>
      <c r="DW42" s="963"/>
      <c r="DX42" s="963"/>
      <c r="DY42" s="963"/>
      <c r="DZ42" s="963"/>
      <c r="EA42" s="963"/>
      <c r="EB42" s="972" t="str">
        <f>IF(DU42="","",IF(FX41&lt;'Purchased Boons'!$A$496,VLOOKUP(DU42,BoonRef!$A$2:$Z$1230,16,FALSE),VLOOKUP(DU42,KanckRef!$A$2:$G$172,4,FALSE)))</f>
        <v/>
      </c>
      <c r="EC42" s="972"/>
      <c r="ED42" s="972"/>
      <c r="EE42" s="964" t="str">
        <f>IF(DU42="","",IF(FX41&lt;'Purchased Boons'!$A$496,VLOOKUP(DU42,BoonRef!$A$2:$Z$1230,23,FALSE),VLOOKUP(DU42,KanckRef!$A$2:$G$172,5,FALSE)))</f>
        <v/>
      </c>
      <c r="EF42" s="964"/>
      <c r="EG42" s="964"/>
      <c r="EH42" s="964"/>
      <c r="EI42" s="964"/>
      <c r="EJ42" s="964"/>
      <c r="EK42" s="964"/>
      <c r="EL42" s="964"/>
      <c r="EM42" s="964"/>
      <c r="EN42" s="965"/>
      <c r="EO42" s="966" t="str">
        <f>IF(ES42="","",IF(FY41&lt;'Purchased Boons'!$A$496,VLOOKUP(ES42,BoonRef!$A:$Z,2,FALSE),VLOOKUP(ES42,KanckRef!$A$2:$G$172,2,FALSE)))</f>
        <v/>
      </c>
      <c r="EP42" s="963"/>
      <c r="EQ42" s="963"/>
      <c r="ER42" s="963"/>
      <c r="ES42" s="963" t="str">
        <f>IF(FY41&lt;'Purchased Boons'!$A$496,VLOOKUP(FY41,'Purchased Boons'!$A$2:$C$495,3,FALSE),IF(FY41&lt;'Purchased Knacks'!$B$192,VLOOKUP(FY41,'Purchased Knacks'!$B$4:$E$191,2,FALSE),""))</f>
        <v/>
      </c>
      <c r="ET42" s="963"/>
      <c r="EU42" s="963"/>
      <c r="EV42" s="963"/>
      <c r="EW42" s="963"/>
      <c r="EX42" s="963"/>
      <c r="EY42" s="963"/>
      <c r="EZ42" s="972" t="str">
        <f>IF(ES42="","",IF(FY41&lt;'Purchased Boons'!$A$496,VLOOKUP(ES42,BoonRef!$A$2:$Z$1230,16,FALSE),VLOOKUP(ES42,KanckRef!$A$2:$G$172,4,FALSE)))</f>
        <v/>
      </c>
      <c r="FA42" s="972"/>
      <c r="FB42" s="972"/>
      <c r="FC42" s="964" t="str">
        <f>IF(ES42="","",IF(FY41&lt;'Purchased Boons'!$A$496,VLOOKUP(ES42,BoonRef!$A$2:$Z$1230,23,FALSE),VLOOKUP(ES42,KanckRef!$A$2:$G$172,5,FALSE)))</f>
        <v/>
      </c>
      <c r="FD42" s="964"/>
      <c r="FE42" s="964"/>
      <c r="FF42" s="964"/>
      <c r="FG42" s="964"/>
      <c r="FH42" s="964"/>
      <c r="FI42" s="964"/>
      <c r="FJ42" s="964"/>
      <c r="FK42" s="964"/>
      <c r="FL42" s="965"/>
      <c r="FX42" s="283">
        <v>80</v>
      </c>
      <c r="FY42" s="283">
        <v>125</v>
      </c>
    </row>
    <row r="43" spans="1:181" ht="15" customHeight="1" x14ac:dyDescent="0.25">
      <c r="A43" s="686"/>
      <c r="B43" s="771"/>
      <c r="C43" s="771"/>
      <c r="D43" s="771"/>
      <c r="E43" s="771"/>
      <c r="F43" s="771"/>
      <c r="G43" s="771"/>
      <c r="H43" s="771"/>
      <c r="I43" s="771"/>
      <c r="J43" s="771"/>
      <c r="K43" s="771"/>
      <c r="L43" s="771"/>
      <c r="M43" s="771"/>
      <c r="N43" s="771"/>
      <c r="O43" s="771"/>
      <c r="P43" s="771"/>
      <c r="Q43" s="771"/>
      <c r="R43" s="771"/>
      <c r="S43" s="771"/>
      <c r="T43" s="771"/>
      <c r="U43" s="771"/>
      <c r="V43" s="771"/>
      <c r="W43" s="771"/>
      <c r="X43" s="771"/>
      <c r="Y43" s="740" t="str">
        <f>IF(AC43="","",IF(FW35&lt;'Purchased Boons'!$A$496,VLOOKUP(AC43,BoonRef!$A:$Z,2,FALSE),VLOOKUP(AC43,KanckRef!$A$2:$G$172,2,FALSE)))</f>
        <v/>
      </c>
      <c r="Z43" s="671"/>
      <c r="AA43" s="671"/>
      <c r="AB43" s="671"/>
      <c r="AC43" s="671" t="str">
        <f>IF(FW35&lt;'Purchased Boons'!$A$496,VLOOKUP(FW35,'Purchased Boons'!$A$2:$C$495,3,FALSE),IF(FW35&lt;'Purchased Knacks'!$B$192,VLOOKUP(FW35,'Purchased Knacks'!$B$4:$E$191,2,FALSE),""))</f>
        <v/>
      </c>
      <c r="AD43" s="671"/>
      <c r="AE43" s="671"/>
      <c r="AF43" s="671"/>
      <c r="AG43" s="671"/>
      <c r="AH43" s="671"/>
      <c r="AI43" s="671"/>
      <c r="AJ43" s="671" t="str">
        <f>IF(AC43="","",IF(FW35&lt;'Purchased Boons'!$A$496,VLOOKUP(AC43,BoonRef!$A$2:$Z$1230,16,FALSE),VLOOKUP(AC43,KanckRef!$A$2:$G$172,4,FALSE)))</f>
        <v/>
      </c>
      <c r="AK43" s="671"/>
      <c r="AL43" s="671"/>
      <c r="AM43" s="767" t="str">
        <f>IF(AC43="","",IF(FW35&lt;'Purchased Boons'!$A$496,VLOOKUP(AC43,BoonRef!$A$2:$Z$1230,23,FALSE),VLOOKUP(AC43,KanckRef!$A$2:$G$172,5,FALSE)))</f>
        <v/>
      </c>
      <c r="AN43" s="767"/>
      <c r="AO43" s="767"/>
      <c r="AP43" s="767"/>
      <c r="AQ43" s="767"/>
      <c r="AR43" s="767"/>
      <c r="AS43" s="767"/>
      <c r="AT43" s="767"/>
      <c r="AU43" s="767"/>
      <c r="AV43" s="768"/>
      <c r="AW43" s="843" t="s">
        <v>373</v>
      </c>
      <c r="AX43" s="818"/>
      <c r="AY43" s="818"/>
      <c r="AZ43" s="818"/>
      <c r="BA43" s="818"/>
      <c r="BB43" s="818"/>
      <c r="BC43" s="818"/>
      <c r="BD43" s="818"/>
      <c r="BE43" s="818"/>
      <c r="BF43" s="818"/>
      <c r="BG43" s="818"/>
      <c r="BH43" s="818"/>
      <c r="BI43" s="818"/>
      <c r="BJ43" s="818"/>
      <c r="BK43" s="818"/>
      <c r="BL43" s="818"/>
      <c r="BM43" s="818"/>
      <c r="BN43" s="818"/>
      <c r="BO43" s="818"/>
      <c r="BP43" s="818"/>
      <c r="BQ43" s="818"/>
      <c r="BR43" s="818"/>
      <c r="BS43" s="818"/>
      <c r="BT43" s="855"/>
      <c r="BU43" s="850"/>
      <c r="BV43" s="850"/>
      <c r="BW43" s="850"/>
      <c r="BX43" s="850"/>
      <c r="BY43" s="850"/>
      <c r="BZ43" s="850"/>
      <c r="CA43" s="850"/>
      <c r="CB43" s="850"/>
      <c r="CC43" s="850"/>
      <c r="CD43" s="850"/>
      <c r="CE43" s="850"/>
      <c r="CF43" s="850"/>
      <c r="CG43" s="850"/>
      <c r="CH43" s="850"/>
      <c r="CI43" s="850"/>
      <c r="CJ43" s="850"/>
      <c r="CK43" s="850"/>
      <c r="CL43" s="850"/>
      <c r="CM43" s="850"/>
      <c r="CN43" s="850"/>
      <c r="CO43" s="850"/>
      <c r="CP43" s="850"/>
      <c r="CQ43" s="850"/>
      <c r="CR43" s="851"/>
      <c r="CS43" s="693"/>
      <c r="CT43" s="694"/>
      <c r="CU43" s="694"/>
      <c r="CV43" s="694"/>
      <c r="CW43" s="694"/>
      <c r="CX43" s="694"/>
      <c r="CY43" s="694"/>
      <c r="CZ43" s="694"/>
      <c r="DA43" s="694"/>
      <c r="DB43" s="694"/>
      <c r="DC43" s="694"/>
      <c r="DD43" s="694"/>
      <c r="DE43" s="694"/>
      <c r="DF43" s="694"/>
      <c r="DG43" s="694"/>
      <c r="DH43" s="719"/>
      <c r="DI43" s="693"/>
      <c r="DJ43" s="694"/>
      <c r="DK43" s="694"/>
      <c r="DL43" s="694"/>
      <c r="DM43" s="694"/>
      <c r="DN43" s="694"/>
      <c r="DO43" s="694"/>
      <c r="DP43" s="711"/>
      <c r="DQ43" s="966" t="str">
        <f>IF(DU43="","",IF(FX42&lt;'Purchased Boons'!$A$496,VLOOKUP(DU43,BoonRef!$A:$Z,2,FALSE),VLOOKUP(DU43,KanckRef!$A$2:$G$172,2,FALSE)))</f>
        <v/>
      </c>
      <c r="DR43" s="963"/>
      <c r="DS43" s="963"/>
      <c r="DT43" s="963"/>
      <c r="DU43" s="963" t="str">
        <f>IF(FX42&lt;'Purchased Boons'!$A$496,VLOOKUP(FX42,'Purchased Boons'!$A$2:$C$495,3,FALSE),IF(FX42&lt;'Purchased Knacks'!$B$192,VLOOKUP(FX42,'Purchased Knacks'!$B$4:$E$191,2,FALSE),""))</f>
        <v/>
      </c>
      <c r="DV43" s="963"/>
      <c r="DW43" s="963"/>
      <c r="DX43" s="963"/>
      <c r="DY43" s="963"/>
      <c r="DZ43" s="963"/>
      <c r="EA43" s="963"/>
      <c r="EB43" s="972" t="str">
        <f>IF(DU43="","",IF(FX42&lt;'Purchased Boons'!$A$496,VLOOKUP(DU43,BoonRef!$A$2:$Z$1230,16,FALSE),VLOOKUP(DU43,KanckRef!$A$2:$G$172,4,FALSE)))</f>
        <v/>
      </c>
      <c r="EC43" s="972"/>
      <c r="ED43" s="972"/>
      <c r="EE43" s="964" t="str">
        <f>IF(DU43="","",IF(FX42&lt;'Purchased Boons'!$A$496,VLOOKUP(DU43,BoonRef!$A$2:$Z$1230,23,FALSE),VLOOKUP(DU43,KanckRef!$A$2:$G$172,5,FALSE)))</f>
        <v/>
      </c>
      <c r="EF43" s="964"/>
      <c r="EG43" s="964"/>
      <c r="EH43" s="964"/>
      <c r="EI43" s="964"/>
      <c r="EJ43" s="964"/>
      <c r="EK43" s="964"/>
      <c r="EL43" s="964"/>
      <c r="EM43" s="964"/>
      <c r="EN43" s="965"/>
      <c r="EO43" s="966" t="str">
        <f>IF(ES43="","",IF(FY42&lt;'Purchased Boons'!$A$496,VLOOKUP(ES43,BoonRef!$A:$Z,2,FALSE),VLOOKUP(ES43,KanckRef!$A$2:$G$172,2,FALSE)))</f>
        <v/>
      </c>
      <c r="EP43" s="963"/>
      <c r="EQ43" s="963"/>
      <c r="ER43" s="963"/>
      <c r="ES43" s="963" t="str">
        <f>IF(FY42&lt;'Purchased Boons'!$A$496,VLOOKUP(FY42,'Purchased Boons'!$A$2:$C$495,3,FALSE),IF(FY42&lt;'Purchased Knacks'!$B$192,VLOOKUP(FY42,'Purchased Knacks'!$B$4:$E$191,2,FALSE),""))</f>
        <v/>
      </c>
      <c r="ET43" s="963"/>
      <c r="EU43" s="963"/>
      <c r="EV43" s="963"/>
      <c r="EW43" s="963"/>
      <c r="EX43" s="963"/>
      <c r="EY43" s="963"/>
      <c r="EZ43" s="972" t="str">
        <f>IF(ES43="","",IF(FY42&lt;'Purchased Boons'!$A$496,VLOOKUP(ES43,BoonRef!$A$2:$Z$1230,16,FALSE),VLOOKUP(ES43,KanckRef!$A$2:$G$172,4,FALSE)))</f>
        <v/>
      </c>
      <c r="FA43" s="972"/>
      <c r="FB43" s="972"/>
      <c r="FC43" s="964" t="str">
        <f>IF(ES43="","",IF(FY42&lt;'Purchased Boons'!$A$496,VLOOKUP(ES43,BoonRef!$A$2:$Z$1230,23,FALSE),VLOOKUP(ES43,KanckRef!$A$2:$G$172,5,FALSE)))</f>
        <v/>
      </c>
      <c r="FD43" s="964"/>
      <c r="FE43" s="964"/>
      <c r="FF43" s="964"/>
      <c r="FG43" s="964"/>
      <c r="FH43" s="964"/>
      <c r="FI43" s="964"/>
      <c r="FJ43" s="964"/>
      <c r="FK43" s="964"/>
      <c r="FL43" s="965"/>
      <c r="FX43" s="283">
        <v>81</v>
      </c>
      <c r="FY43" s="283">
        <v>126</v>
      </c>
    </row>
    <row r="44" spans="1:181" ht="15" customHeight="1" x14ac:dyDescent="0.25">
      <c r="A44" s="686"/>
      <c r="B44" s="771"/>
      <c r="C44" s="771"/>
      <c r="D44" s="771"/>
      <c r="E44" s="771"/>
      <c r="F44" s="771"/>
      <c r="G44" s="771"/>
      <c r="H44" s="771"/>
      <c r="I44" s="771"/>
      <c r="J44" s="771"/>
      <c r="K44" s="771"/>
      <c r="L44" s="771"/>
      <c r="M44" s="771"/>
      <c r="N44" s="771"/>
      <c r="O44" s="771"/>
      <c r="P44" s="771"/>
      <c r="Q44" s="771"/>
      <c r="R44" s="771"/>
      <c r="S44" s="771"/>
      <c r="T44" s="771"/>
      <c r="U44" s="771"/>
      <c r="V44" s="771"/>
      <c r="W44" s="771"/>
      <c r="X44" s="771"/>
      <c r="Y44" s="740" t="str">
        <f>IF(AC44="","",IF(FW36&lt;'Purchased Boons'!$A$496,VLOOKUP(AC44,BoonRef!$A:$Z,2,FALSE),VLOOKUP(AC44,KanckRef!$A$2:$G$172,2,FALSE)))</f>
        <v/>
      </c>
      <c r="Z44" s="671"/>
      <c r="AA44" s="671"/>
      <c r="AB44" s="671"/>
      <c r="AC44" s="671" t="str">
        <f>IF(FW36&lt;'Purchased Boons'!$A$496,VLOOKUP(FW36,'Purchased Boons'!$A$2:$C$495,3,FALSE),IF(FW36&lt;'Purchased Knacks'!$B$192,VLOOKUP(FW36,'Purchased Knacks'!$B$4:$E$191,2,FALSE),""))</f>
        <v/>
      </c>
      <c r="AD44" s="671"/>
      <c r="AE44" s="671"/>
      <c r="AF44" s="671"/>
      <c r="AG44" s="671"/>
      <c r="AH44" s="671"/>
      <c r="AI44" s="671"/>
      <c r="AJ44" s="671" t="str">
        <f>IF(AC44="","",IF(FW36&lt;'Purchased Boons'!$A$496,VLOOKUP(AC44,BoonRef!$A$2:$Z$1230,16,FALSE),VLOOKUP(AC44,KanckRef!$A$2:$G$172,4,FALSE)))</f>
        <v/>
      </c>
      <c r="AK44" s="671"/>
      <c r="AL44" s="671"/>
      <c r="AM44" s="767" t="str">
        <f>IF(AC44="","",IF(FW36&lt;'Purchased Boons'!$A$496,VLOOKUP(AC44,BoonRef!$A$2:$Z$1230,23,FALSE),VLOOKUP(AC44,KanckRef!$A$2:$G$172,5,FALSE)))</f>
        <v/>
      </c>
      <c r="AN44" s="767"/>
      <c r="AO44" s="767"/>
      <c r="AP44" s="767"/>
      <c r="AQ44" s="767"/>
      <c r="AR44" s="767"/>
      <c r="AS44" s="767"/>
      <c r="AT44" s="767"/>
      <c r="AU44" s="767"/>
      <c r="AV44" s="768"/>
      <c r="AW44" s="843"/>
      <c r="AX44" s="818"/>
      <c r="AY44" s="818"/>
      <c r="AZ44" s="818"/>
      <c r="BA44" s="818"/>
      <c r="BB44" s="818"/>
      <c r="BC44" s="818"/>
      <c r="BD44" s="818"/>
      <c r="BE44" s="818"/>
      <c r="BF44" s="818"/>
      <c r="BG44" s="818"/>
      <c r="BH44" s="818"/>
      <c r="BI44" s="818"/>
      <c r="BJ44" s="818"/>
      <c r="BK44" s="818"/>
      <c r="BL44" s="818"/>
      <c r="BM44" s="818"/>
      <c r="BN44" s="818"/>
      <c r="BO44" s="818"/>
      <c r="BP44" s="818"/>
      <c r="BQ44" s="818"/>
      <c r="BR44" s="818"/>
      <c r="BS44" s="818"/>
      <c r="BT44" s="855"/>
      <c r="BU44" s="850"/>
      <c r="BV44" s="850"/>
      <c r="BW44" s="850"/>
      <c r="BX44" s="850"/>
      <c r="BY44" s="850"/>
      <c r="BZ44" s="850"/>
      <c r="CA44" s="850"/>
      <c r="CB44" s="850"/>
      <c r="CC44" s="850"/>
      <c r="CD44" s="850"/>
      <c r="CE44" s="850"/>
      <c r="CF44" s="850"/>
      <c r="CG44" s="850"/>
      <c r="CH44" s="850"/>
      <c r="CI44" s="850"/>
      <c r="CJ44" s="850"/>
      <c r="CK44" s="850"/>
      <c r="CL44" s="850"/>
      <c r="CM44" s="850"/>
      <c r="CN44" s="850"/>
      <c r="CO44" s="850"/>
      <c r="CP44" s="850"/>
      <c r="CQ44" s="850"/>
      <c r="CR44" s="851"/>
      <c r="CS44" s="693"/>
      <c r="CT44" s="694"/>
      <c r="CU44" s="694"/>
      <c r="CV44" s="694"/>
      <c r="CW44" s="694"/>
      <c r="CX44" s="694"/>
      <c r="CY44" s="694"/>
      <c r="CZ44" s="694"/>
      <c r="DA44" s="694"/>
      <c r="DB44" s="694"/>
      <c r="DC44" s="694"/>
      <c r="DD44" s="694"/>
      <c r="DE44" s="694"/>
      <c r="DF44" s="694"/>
      <c r="DG44" s="694"/>
      <c r="DH44" s="719"/>
      <c r="DI44" s="693"/>
      <c r="DJ44" s="694"/>
      <c r="DK44" s="694"/>
      <c r="DL44" s="694"/>
      <c r="DM44" s="694"/>
      <c r="DN44" s="694"/>
      <c r="DO44" s="694"/>
      <c r="DP44" s="711"/>
      <c r="DQ44" s="966" t="str">
        <f>IF(DU44="","",IF(FX43&lt;'Purchased Boons'!$A$496,VLOOKUP(DU44,BoonRef!$A:$Z,2,FALSE),VLOOKUP(DU44,KanckRef!$A$2:$G$172,2,FALSE)))</f>
        <v/>
      </c>
      <c r="DR44" s="963"/>
      <c r="DS44" s="963"/>
      <c r="DT44" s="963"/>
      <c r="DU44" s="963" t="str">
        <f>IF(FX43&lt;'Purchased Boons'!$A$496,VLOOKUP(FX43,'Purchased Boons'!$A$2:$C$495,3,FALSE),IF(FX43&lt;'Purchased Knacks'!$B$192,VLOOKUP(FX43,'Purchased Knacks'!$B$4:$E$191,2,FALSE),""))</f>
        <v/>
      </c>
      <c r="DV44" s="963"/>
      <c r="DW44" s="963"/>
      <c r="DX44" s="963"/>
      <c r="DY44" s="963"/>
      <c r="DZ44" s="963"/>
      <c r="EA44" s="963"/>
      <c r="EB44" s="972" t="str">
        <f>IF(DU44="","",IF(FX43&lt;'Purchased Boons'!$A$496,VLOOKUP(DU44,BoonRef!$A$2:$Z$1230,16,FALSE),VLOOKUP(DU44,KanckRef!$A$2:$G$172,4,FALSE)))</f>
        <v/>
      </c>
      <c r="EC44" s="972"/>
      <c r="ED44" s="972"/>
      <c r="EE44" s="964" t="str">
        <f>IF(DU44="","",IF(FX43&lt;'Purchased Boons'!$A$496,VLOOKUP(DU44,BoonRef!$A$2:$Z$1230,23,FALSE),VLOOKUP(DU44,KanckRef!$A$2:$G$172,5,FALSE)))</f>
        <v/>
      </c>
      <c r="EF44" s="964"/>
      <c r="EG44" s="964"/>
      <c r="EH44" s="964"/>
      <c r="EI44" s="964"/>
      <c r="EJ44" s="964"/>
      <c r="EK44" s="964"/>
      <c r="EL44" s="964"/>
      <c r="EM44" s="964"/>
      <c r="EN44" s="965"/>
      <c r="EO44" s="966" t="str">
        <f>IF(ES44="","",IF(FY43&lt;'Purchased Boons'!$A$496,VLOOKUP(ES44,BoonRef!$A:$Z,2,FALSE),VLOOKUP(ES44,KanckRef!$A$2:$G$172,2,FALSE)))</f>
        <v/>
      </c>
      <c r="EP44" s="963"/>
      <c r="EQ44" s="963"/>
      <c r="ER44" s="963"/>
      <c r="ES44" s="963" t="str">
        <f>IF(FY43&lt;'Purchased Boons'!$A$496,VLOOKUP(FY43,'Purchased Boons'!$A$2:$C$495,3,FALSE),IF(FY43&lt;'Purchased Knacks'!$B$192,VLOOKUP(FY43,'Purchased Knacks'!$B$4:$E$191,2,FALSE),""))</f>
        <v/>
      </c>
      <c r="ET44" s="963"/>
      <c r="EU44" s="963"/>
      <c r="EV44" s="963"/>
      <c r="EW44" s="963"/>
      <c r="EX44" s="963"/>
      <c r="EY44" s="963"/>
      <c r="EZ44" s="972" t="str">
        <f>IF(ES44="","",IF(FY43&lt;'Purchased Boons'!$A$496,VLOOKUP(ES44,BoonRef!$A$2:$Z$1230,16,FALSE),VLOOKUP(ES44,KanckRef!$A$2:$G$172,4,FALSE)))</f>
        <v/>
      </c>
      <c r="FA44" s="972"/>
      <c r="FB44" s="972"/>
      <c r="FC44" s="964" t="str">
        <f>IF(ES44="","",IF(FY43&lt;'Purchased Boons'!$A$496,VLOOKUP(ES44,BoonRef!$A$2:$Z$1230,23,FALSE),VLOOKUP(ES44,KanckRef!$A$2:$G$172,5,FALSE)))</f>
        <v/>
      </c>
      <c r="FD44" s="964"/>
      <c r="FE44" s="964"/>
      <c r="FF44" s="964"/>
      <c r="FG44" s="964"/>
      <c r="FH44" s="964"/>
      <c r="FI44" s="964"/>
      <c r="FJ44" s="964"/>
      <c r="FK44" s="964"/>
      <c r="FL44" s="965"/>
      <c r="FX44" s="283">
        <v>82</v>
      </c>
      <c r="FY44" s="283">
        <v>127</v>
      </c>
    </row>
    <row r="45" spans="1:181" ht="15" customHeight="1" x14ac:dyDescent="0.25">
      <c r="A45" s="686"/>
      <c r="B45" s="771"/>
      <c r="C45" s="771"/>
      <c r="D45" s="771"/>
      <c r="E45" s="771"/>
      <c r="F45" s="771"/>
      <c r="G45" s="771"/>
      <c r="H45" s="771"/>
      <c r="I45" s="771"/>
      <c r="J45" s="771"/>
      <c r="K45" s="771"/>
      <c r="L45" s="771"/>
      <c r="M45" s="771"/>
      <c r="N45" s="771"/>
      <c r="O45" s="771"/>
      <c r="P45" s="771"/>
      <c r="Q45" s="771"/>
      <c r="R45" s="771"/>
      <c r="S45" s="771"/>
      <c r="T45" s="771"/>
      <c r="U45" s="771"/>
      <c r="V45" s="771"/>
      <c r="W45" s="771"/>
      <c r="X45" s="771"/>
      <c r="Y45" s="740" t="str">
        <f>IF(AC45="","",IF(FW37&lt;'Purchased Boons'!$A$496,VLOOKUP(AC45,BoonRef!$A:$Z,2,FALSE),VLOOKUP(AC45,KanckRef!$A$2:$G$172,2,FALSE)))</f>
        <v/>
      </c>
      <c r="Z45" s="671"/>
      <c r="AA45" s="671"/>
      <c r="AB45" s="671"/>
      <c r="AC45" s="671" t="str">
        <f>IF(FW37&lt;'Purchased Boons'!$A$496,VLOOKUP(FW37,'Purchased Boons'!$A$2:$C$495,3,FALSE),IF(FW37&lt;'Purchased Knacks'!$B$192,VLOOKUP(FW37,'Purchased Knacks'!$B$4:$E$191,2,FALSE),""))</f>
        <v/>
      </c>
      <c r="AD45" s="671"/>
      <c r="AE45" s="671"/>
      <c r="AF45" s="671"/>
      <c r="AG45" s="671"/>
      <c r="AH45" s="671"/>
      <c r="AI45" s="671"/>
      <c r="AJ45" s="671" t="str">
        <f>IF(AC45="","",IF(FW37&lt;'Purchased Boons'!$A$496,VLOOKUP(AC45,BoonRef!$A$2:$Z$1230,16,FALSE),VLOOKUP(AC45,KanckRef!$A$2:$G$172,4,FALSE)))</f>
        <v/>
      </c>
      <c r="AK45" s="671"/>
      <c r="AL45" s="671"/>
      <c r="AM45" s="767" t="str">
        <f>IF(AC45="","",IF(FW37&lt;'Purchased Boons'!$A$496,VLOOKUP(AC45,BoonRef!$A$2:$Z$1230,23,FALSE),VLOOKUP(AC45,KanckRef!$A$2:$G$172,5,FALSE)))</f>
        <v/>
      </c>
      <c r="AN45" s="767"/>
      <c r="AO45" s="767"/>
      <c r="AP45" s="767"/>
      <c r="AQ45" s="767"/>
      <c r="AR45" s="767"/>
      <c r="AS45" s="767"/>
      <c r="AT45" s="767"/>
      <c r="AU45" s="767"/>
      <c r="AV45" s="768"/>
      <c r="AW45" s="843" t="s">
        <v>373</v>
      </c>
      <c r="AX45" s="818"/>
      <c r="AY45" s="818"/>
      <c r="AZ45" s="818"/>
      <c r="BA45" s="818"/>
      <c r="BB45" s="818"/>
      <c r="BC45" s="818"/>
      <c r="BD45" s="818"/>
      <c r="BE45" s="818"/>
      <c r="BF45" s="818"/>
      <c r="BG45" s="818"/>
      <c r="BH45" s="818"/>
      <c r="BI45" s="818"/>
      <c r="BJ45" s="818"/>
      <c r="BK45" s="818"/>
      <c r="BL45" s="818"/>
      <c r="BM45" s="818"/>
      <c r="BN45" s="818"/>
      <c r="BO45" s="818"/>
      <c r="BP45" s="818"/>
      <c r="BQ45" s="818"/>
      <c r="BR45" s="818"/>
      <c r="BS45" s="818"/>
      <c r="BT45" s="855"/>
      <c r="BU45" s="850"/>
      <c r="BV45" s="850"/>
      <c r="BW45" s="850"/>
      <c r="BX45" s="850"/>
      <c r="BY45" s="850"/>
      <c r="BZ45" s="850"/>
      <c r="CA45" s="850"/>
      <c r="CB45" s="850"/>
      <c r="CC45" s="850"/>
      <c r="CD45" s="850"/>
      <c r="CE45" s="850"/>
      <c r="CF45" s="850"/>
      <c r="CG45" s="850"/>
      <c r="CH45" s="850"/>
      <c r="CI45" s="850"/>
      <c r="CJ45" s="850"/>
      <c r="CK45" s="850"/>
      <c r="CL45" s="850"/>
      <c r="CM45" s="850"/>
      <c r="CN45" s="850"/>
      <c r="CO45" s="850"/>
      <c r="CP45" s="850"/>
      <c r="CQ45" s="850"/>
      <c r="CR45" s="851"/>
      <c r="CS45" s="693"/>
      <c r="CT45" s="694"/>
      <c r="CU45" s="694"/>
      <c r="CV45" s="694"/>
      <c r="CW45" s="694"/>
      <c r="CX45" s="694"/>
      <c r="CY45" s="694"/>
      <c r="CZ45" s="694"/>
      <c r="DA45" s="694"/>
      <c r="DB45" s="694"/>
      <c r="DC45" s="694"/>
      <c r="DD45" s="694"/>
      <c r="DE45" s="694"/>
      <c r="DF45" s="694"/>
      <c r="DG45" s="694"/>
      <c r="DH45" s="719"/>
      <c r="DI45" s="693"/>
      <c r="DJ45" s="694"/>
      <c r="DK45" s="694"/>
      <c r="DL45" s="694"/>
      <c r="DM45" s="694"/>
      <c r="DN45" s="694"/>
      <c r="DO45" s="694"/>
      <c r="DP45" s="711"/>
      <c r="DQ45" s="966" t="str">
        <f>IF(DU45="","",IF(FX44&lt;'Purchased Boons'!$A$496,VLOOKUP(DU45,BoonRef!$A:$Z,2,FALSE),VLOOKUP(DU45,KanckRef!$A$2:$G$172,2,FALSE)))</f>
        <v/>
      </c>
      <c r="DR45" s="963"/>
      <c r="DS45" s="963"/>
      <c r="DT45" s="963"/>
      <c r="DU45" s="963" t="str">
        <f>IF(FX44&lt;'Purchased Boons'!$A$496,VLOOKUP(FX44,'Purchased Boons'!$A$2:$C$495,3,FALSE),IF(FX44&lt;'Purchased Knacks'!$B$192,VLOOKUP(FX44,'Purchased Knacks'!$B$4:$E$191,2,FALSE),""))</f>
        <v/>
      </c>
      <c r="DV45" s="963"/>
      <c r="DW45" s="963"/>
      <c r="DX45" s="963"/>
      <c r="DY45" s="963"/>
      <c r="DZ45" s="963"/>
      <c r="EA45" s="963"/>
      <c r="EB45" s="972" t="str">
        <f>IF(DU45="","",IF(FX44&lt;'Purchased Boons'!$A$496,VLOOKUP(DU45,BoonRef!$A$2:$Z$1230,16,FALSE),VLOOKUP(DU45,KanckRef!$A$2:$G$172,4,FALSE)))</f>
        <v/>
      </c>
      <c r="EC45" s="972"/>
      <c r="ED45" s="972"/>
      <c r="EE45" s="964" t="str">
        <f>IF(DU45="","",IF(FX44&lt;'Purchased Boons'!$A$496,VLOOKUP(DU45,BoonRef!$A$2:$Z$1230,23,FALSE),VLOOKUP(DU45,KanckRef!$A$2:$G$172,5,FALSE)))</f>
        <v/>
      </c>
      <c r="EF45" s="964"/>
      <c r="EG45" s="964"/>
      <c r="EH45" s="964"/>
      <c r="EI45" s="964"/>
      <c r="EJ45" s="964"/>
      <c r="EK45" s="964"/>
      <c r="EL45" s="964"/>
      <c r="EM45" s="964"/>
      <c r="EN45" s="965"/>
      <c r="EO45" s="966" t="str">
        <f>IF(ES45="","",IF(FY44&lt;'Purchased Boons'!$A$496,VLOOKUP(ES45,BoonRef!$A:$Z,2,FALSE),VLOOKUP(ES45,KanckRef!$A$2:$G$172,2,FALSE)))</f>
        <v/>
      </c>
      <c r="EP45" s="963"/>
      <c r="EQ45" s="963"/>
      <c r="ER45" s="963"/>
      <c r="ES45" s="963" t="str">
        <f>IF(FY44&lt;'Purchased Boons'!$A$496,VLOOKUP(FY44,'Purchased Boons'!$A$2:$C$495,3,FALSE),IF(FY44&lt;'Purchased Knacks'!$B$192,VLOOKUP(FY44,'Purchased Knacks'!$B$4:$E$191,2,FALSE),""))</f>
        <v/>
      </c>
      <c r="ET45" s="963"/>
      <c r="EU45" s="963"/>
      <c r="EV45" s="963"/>
      <c r="EW45" s="963"/>
      <c r="EX45" s="963"/>
      <c r="EY45" s="963"/>
      <c r="EZ45" s="972" t="str">
        <f>IF(ES45="","",IF(FY44&lt;'Purchased Boons'!$A$496,VLOOKUP(ES45,BoonRef!$A$2:$Z$1230,16,FALSE),VLOOKUP(ES45,KanckRef!$A$2:$G$172,4,FALSE)))</f>
        <v/>
      </c>
      <c r="FA45" s="972"/>
      <c r="FB45" s="972"/>
      <c r="FC45" s="964" t="str">
        <f>IF(ES45="","",IF(FY44&lt;'Purchased Boons'!$A$496,VLOOKUP(ES45,BoonRef!$A$2:$Z$1230,23,FALSE),VLOOKUP(ES45,KanckRef!$A$2:$G$172,5,FALSE)))</f>
        <v/>
      </c>
      <c r="FD45" s="964"/>
      <c r="FE45" s="964"/>
      <c r="FF45" s="964"/>
      <c r="FG45" s="964"/>
      <c r="FH45" s="964"/>
      <c r="FI45" s="964"/>
      <c r="FJ45" s="964"/>
      <c r="FK45" s="964"/>
      <c r="FL45" s="965"/>
      <c r="FX45" s="283">
        <v>83</v>
      </c>
      <c r="FY45" s="283">
        <v>128</v>
      </c>
    </row>
    <row r="46" spans="1:181" ht="15.75" customHeight="1" thickBot="1" x14ac:dyDescent="0.3">
      <c r="A46" s="772"/>
      <c r="B46" s="682"/>
      <c r="C46" s="682"/>
      <c r="D46" s="682"/>
      <c r="E46" s="682"/>
      <c r="F46" s="682"/>
      <c r="G46" s="682"/>
      <c r="H46" s="682"/>
      <c r="I46" s="682"/>
      <c r="J46" s="682"/>
      <c r="K46" s="682"/>
      <c r="L46" s="682"/>
      <c r="M46" s="682"/>
      <c r="N46" s="682"/>
      <c r="O46" s="682"/>
      <c r="P46" s="682"/>
      <c r="Q46" s="682"/>
      <c r="R46" s="682"/>
      <c r="S46" s="682"/>
      <c r="T46" s="682"/>
      <c r="U46" s="682"/>
      <c r="V46" s="682"/>
      <c r="W46" s="682"/>
      <c r="X46" s="682"/>
      <c r="Y46" s="735" t="str">
        <f>IF(AC46="","",IF(FW38&lt;'Purchased Boons'!$A$496,VLOOKUP(AC46,BoonRef!$A:$Z,2,FALSE),VLOOKUP(AC46,KanckRef!$A$2:$G$172,2,FALSE)))</f>
        <v/>
      </c>
      <c r="Z46" s="712"/>
      <c r="AA46" s="712"/>
      <c r="AB46" s="712"/>
      <c r="AC46" s="712" t="str">
        <f>IF(FW38&lt;'Purchased Boons'!$A$496,VLOOKUP(FW38,'Purchased Boons'!$A$2:$C$495,3,FALSE),IF(FW38&lt;'Purchased Knacks'!$B$192,VLOOKUP(FW38,'Purchased Knacks'!$B$4:$E$191,2,FALSE),""))</f>
        <v/>
      </c>
      <c r="AD46" s="712"/>
      <c r="AE46" s="712"/>
      <c r="AF46" s="712"/>
      <c r="AG46" s="712"/>
      <c r="AH46" s="712"/>
      <c r="AI46" s="712"/>
      <c r="AJ46" s="712" t="str">
        <f>IF(AC46="","",IF(FW38&lt;'Purchased Boons'!$A$496,VLOOKUP(AC46,BoonRef!$A$2:$Z$1230,16,FALSE),VLOOKUP(AC46,KanckRef!$A$2:$G$172,4,FALSE)))</f>
        <v/>
      </c>
      <c r="AK46" s="712"/>
      <c r="AL46" s="712"/>
      <c r="AM46" s="804" t="str">
        <f>IF(AC46="","",IF(FW38&lt;'Purchased Boons'!$A$496,VLOOKUP(AC46,BoonRef!$A$2:$Z$1230,23,FALSE),VLOOKUP(AC46,KanckRef!$A$2:$G$172,5,FALSE)))</f>
        <v/>
      </c>
      <c r="AN46" s="804"/>
      <c r="AO46" s="804"/>
      <c r="AP46" s="804"/>
      <c r="AQ46" s="804"/>
      <c r="AR46" s="804"/>
      <c r="AS46" s="804"/>
      <c r="AT46" s="804"/>
      <c r="AU46" s="804"/>
      <c r="AV46" s="817"/>
      <c r="AW46" s="844"/>
      <c r="AX46" s="845"/>
      <c r="AY46" s="845"/>
      <c r="AZ46" s="845"/>
      <c r="BA46" s="845"/>
      <c r="BB46" s="845"/>
      <c r="BC46" s="845"/>
      <c r="BD46" s="845"/>
      <c r="BE46" s="845"/>
      <c r="BF46" s="845"/>
      <c r="BG46" s="845"/>
      <c r="BH46" s="845"/>
      <c r="BI46" s="845"/>
      <c r="BJ46" s="845"/>
      <c r="BK46" s="845"/>
      <c r="BL46" s="845"/>
      <c r="BM46" s="845"/>
      <c r="BN46" s="845"/>
      <c r="BO46" s="845"/>
      <c r="BP46" s="845"/>
      <c r="BQ46" s="845"/>
      <c r="BR46" s="845"/>
      <c r="BS46" s="845"/>
      <c r="BT46" s="856"/>
      <c r="BU46" s="852"/>
      <c r="BV46" s="852"/>
      <c r="BW46" s="852"/>
      <c r="BX46" s="852"/>
      <c r="BY46" s="852"/>
      <c r="BZ46" s="852"/>
      <c r="CA46" s="852"/>
      <c r="CB46" s="852"/>
      <c r="CC46" s="852"/>
      <c r="CD46" s="852"/>
      <c r="CE46" s="852"/>
      <c r="CF46" s="852"/>
      <c r="CG46" s="852"/>
      <c r="CH46" s="852"/>
      <c r="CI46" s="852"/>
      <c r="CJ46" s="852"/>
      <c r="CK46" s="852"/>
      <c r="CL46" s="852"/>
      <c r="CM46" s="852"/>
      <c r="CN46" s="852"/>
      <c r="CO46" s="852"/>
      <c r="CP46" s="852"/>
      <c r="CQ46" s="852"/>
      <c r="CR46" s="853"/>
      <c r="CS46" s="846"/>
      <c r="CT46" s="792"/>
      <c r="CU46" s="792"/>
      <c r="CV46" s="792"/>
      <c r="CW46" s="792"/>
      <c r="CX46" s="792"/>
      <c r="CY46" s="792"/>
      <c r="CZ46" s="792"/>
      <c r="DA46" s="792"/>
      <c r="DB46" s="792"/>
      <c r="DC46" s="792"/>
      <c r="DD46" s="792"/>
      <c r="DE46" s="792"/>
      <c r="DF46" s="792"/>
      <c r="DG46" s="792"/>
      <c r="DH46" s="793"/>
      <c r="DI46" s="846"/>
      <c r="DJ46" s="792"/>
      <c r="DK46" s="792"/>
      <c r="DL46" s="792"/>
      <c r="DM46" s="792"/>
      <c r="DN46" s="792"/>
      <c r="DO46" s="792"/>
      <c r="DP46" s="847"/>
      <c r="DQ46" s="973" t="str">
        <f>IF(DU46="","",IF(FX45&lt;'Purchased Boons'!$A$496,VLOOKUP(DU46,BoonRef!$A:$Z,2,FALSE),VLOOKUP(DU46,KanckRef!$A$2:$G$172,2,FALSE)))</f>
        <v/>
      </c>
      <c r="DR46" s="974"/>
      <c r="DS46" s="974"/>
      <c r="DT46" s="974"/>
      <c r="DU46" s="974" t="str">
        <f>IF(FX45&lt;'Purchased Boons'!$A$496,VLOOKUP(FX45,'Purchased Boons'!$A$2:$C$495,3,FALSE),IF(FX45&lt;'Purchased Knacks'!$B$192,VLOOKUP(FX45,'Purchased Knacks'!$B$4:$E$191,2,FALSE),""))</f>
        <v/>
      </c>
      <c r="DV46" s="974"/>
      <c r="DW46" s="974"/>
      <c r="DX46" s="974"/>
      <c r="DY46" s="974"/>
      <c r="DZ46" s="974"/>
      <c r="EA46" s="974"/>
      <c r="EB46" s="977" t="str">
        <f>IF(DU46="","",IF(FX45&lt;'Purchased Boons'!$A$496,VLOOKUP(DU46,BoonRef!$A$2:$Z$1230,16,FALSE),VLOOKUP(DU46,KanckRef!$A$2:$G$172,4,FALSE)))</f>
        <v/>
      </c>
      <c r="EC46" s="977"/>
      <c r="ED46" s="977"/>
      <c r="EE46" s="975" t="str">
        <f>IF(DU46="","",IF(FX45&lt;'Purchased Boons'!$A$496,VLOOKUP(DU46,BoonRef!$A$2:$Z$1230,23,FALSE),VLOOKUP(DU46,KanckRef!$A$2:$G$172,5,FALSE)))</f>
        <v/>
      </c>
      <c r="EF46" s="975"/>
      <c r="EG46" s="975"/>
      <c r="EH46" s="975"/>
      <c r="EI46" s="975"/>
      <c r="EJ46" s="975"/>
      <c r="EK46" s="975"/>
      <c r="EL46" s="975"/>
      <c r="EM46" s="975"/>
      <c r="EN46" s="976"/>
      <c r="EO46" s="973" t="str">
        <f>IF(ES46="","",IF(FY45&lt;'Purchased Boons'!$A$496,VLOOKUP(ES46,BoonRef!$A:$Z,2,FALSE),VLOOKUP(ES46,KanckRef!$A$2:$G$172,2,FALSE)))</f>
        <v/>
      </c>
      <c r="EP46" s="974"/>
      <c r="EQ46" s="974"/>
      <c r="ER46" s="974"/>
      <c r="ES46" s="974" t="str">
        <f>IF(FY45&lt;'Purchased Boons'!$A$496,VLOOKUP(FY45,'Purchased Boons'!$A$2:$C$495,3,FALSE),IF(FY45&lt;'Purchased Knacks'!$B$192,VLOOKUP(FY45,'Purchased Knacks'!$B$4:$E$191,2,FALSE),""))</f>
        <v/>
      </c>
      <c r="ET46" s="974"/>
      <c r="EU46" s="974"/>
      <c r="EV46" s="974"/>
      <c r="EW46" s="974"/>
      <c r="EX46" s="974"/>
      <c r="EY46" s="974"/>
      <c r="EZ46" s="977" t="str">
        <f>IF(ES46="","",IF(FY45&lt;'Purchased Boons'!$A$496,VLOOKUP(ES46,BoonRef!$A$2:$Z$1230,16,FALSE),VLOOKUP(ES46,KanckRef!$A$2:$G$172,4,FALSE)))</f>
        <v/>
      </c>
      <c r="FA46" s="977"/>
      <c r="FB46" s="977"/>
      <c r="FC46" s="975" t="str">
        <f>IF(ES46="","",IF(FY45&lt;'Purchased Boons'!$A$496,VLOOKUP(ES46,BoonRef!$A$2:$Z$1230,23,FALSE),VLOOKUP(ES46,KanckRef!$A$2:$G$172,5,FALSE)))</f>
        <v/>
      </c>
      <c r="FD46" s="975"/>
      <c r="FE46" s="975"/>
      <c r="FF46" s="975"/>
      <c r="FG46" s="975"/>
      <c r="FH46" s="975"/>
      <c r="FI46" s="975"/>
      <c r="FJ46" s="975"/>
      <c r="FK46" s="975"/>
      <c r="FL46" s="976"/>
    </row>
    <row r="47" spans="1:181" ht="15" hidden="1" customHeight="1" x14ac:dyDescent="0.25"/>
    <row r="48" spans="1:181" ht="15.75" hidden="1" customHeight="1" x14ac:dyDescent="0.25"/>
    <row r="49" spans="1:28" ht="15.75" hidden="1" thickBot="1" x14ac:dyDescent="0.3"/>
    <row r="50" spans="1:28" hidden="1" x14ac:dyDescent="0.25">
      <c r="A50" s="715"/>
      <c r="B50" s="713"/>
      <c r="C50" s="713"/>
      <c r="D50" s="713"/>
      <c r="E50" s="713" t="s">
        <v>76</v>
      </c>
      <c r="F50" s="713"/>
      <c r="G50" s="713" t="s">
        <v>87</v>
      </c>
      <c r="H50" s="714"/>
      <c r="I50" s="699"/>
      <c r="J50" s="700"/>
      <c r="K50" s="700"/>
      <c r="L50" s="882"/>
      <c r="M50" s="713" t="s">
        <v>76</v>
      </c>
      <c r="N50" s="713"/>
      <c r="O50" s="713" t="s">
        <v>87</v>
      </c>
      <c r="P50" s="714"/>
      <c r="Q50" s="715"/>
      <c r="R50" s="713"/>
      <c r="S50" s="713"/>
      <c r="T50" s="713"/>
      <c r="U50" s="713" t="s">
        <v>76</v>
      </c>
      <c r="V50" s="713"/>
      <c r="W50" s="713" t="s">
        <v>87</v>
      </c>
      <c r="X50" s="714"/>
    </row>
    <row r="51" spans="1:28" hidden="1" x14ac:dyDescent="0.25">
      <c r="A51" s="690" t="str">
        <f>Creation!Y4</f>
        <v>Academics</v>
      </c>
      <c r="B51" s="691"/>
      <c r="C51" s="691"/>
      <c r="D51" s="691"/>
      <c r="E51" s="671">
        <f>SUM(DotTracking!T9:X9,DotTracking!AR9:AV9,DotTracking!BP9:BT9,DotTracking!CN9:CR9,DotTracking!DL9:DP9,DotTracking!ES7:EW7,DotTracking!FB7:FF7,DotTracking!FK7:FO7,DotTracking!FT7:FX7,DotTracking!GC7:GG7)</f>
        <v>0</v>
      </c>
      <c r="F51" s="671"/>
      <c r="G51" s="671">
        <f>'Purchased Boons'!AT4</f>
        <v>0</v>
      </c>
      <c r="H51" s="692"/>
      <c r="I51" s="759" t="str">
        <f>Creation!Y14</f>
        <v>Larceny</v>
      </c>
      <c r="J51" s="906"/>
      <c r="K51" s="906"/>
      <c r="L51" s="907"/>
      <c r="M51" s="671">
        <f>SUM(DotTracking!T19:X19,DotTracking!AR19:AV19,DotTracking!BP19:BT19,DotTracking!CN19:CR19,DotTracking!DL19:DP19,DotTracking!ES17:EW17,DotTracking!FB17:FF17,DotTracking!FK17:FO17,DotTracking!FT17:FX17,DotTracking!GC17:GG17)</f>
        <v>0</v>
      </c>
      <c r="N51" s="671"/>
      <c r="O51" s="671">
        <f>'Purchased Boons'!AT14</f>
        <v>0</v>
      </c>
      <c r="P51" s="692"/>
      <c r="Q51" s="690" t="str">
        <f>IF(Creation!Y24="Special",IF(DemigodConversion!Y24="Special",IF(GodConversion!Y24="Special","Special",GodConversion!Y24),DemigodConversion!Y24),Creation!Y24)</f>
        <v>Special</v>
      </c>
      <c r="R51" s="691"/>
      <c r="S51" s="691"/>
      <c r="T51" s="691"/>
      <c r="U51" s="671">
        <f>SUM(DotTracking!T29:X29,DotTracking!AR29:AV29,DotTracking!BP29:BT29,DotTracking!CN29:CR29,DotTracking!DL29:DP29,DotTracking!ES27:EW27,DotTracking!FB27:FF27,DotTracking!FK27:FO27,DotTracking!FT27:FX27,DotTracking!GC27:GG27)</f>
        <v>0</v>
      </c>
      <c r="V51" s="671"/>
      <c r="W51" s="671">
        <f>IF(Q51="Art",'Purchased Boons'!$AT$24,IF(Q51="Control",'Purchased Boons'!$AT$25,IF(Q51="Craft",'Purchased Boons'!$AT$26,IF(Q51="Science",'Purchased Boons'!$AT$27,0))))</f>
        <v>0</v>
      </c>
      <c r="X51" s="692"/>
      <c r="AA51" s="283" t="str">
        <f>G40</f>
        <v/>
      </c>
      <c r="AB51" s="283">
        <f>L40</f>
        <v>1</v>
      </c>
    </row>
    <row r="52" spans="1:28" hidden="1" x14ac:dyDescent="0.25">
      <c r="A52" s="690" t="str">
        <f>Creation!Y5</f>
        <v>Animal Ken</v>
      </c>
      <c r="B52" s="691"/>
      <c r="C52" s="691"/>
      <c r="D52" s="691"/>
      <c r="E52" s="710">
        <f>SUM(DotTracking!T10:X10,DotTracking!AR10:AV10,DotTracking!BP10:BT10,DotTracking!CN10:CR10,DotTracking!DL10:DP10,DotTracking!ES8:EW8,DotTracking!FB8:FF8,DotTracking!FK8:FO8,DotTracking!FT8:FX8,DotTracking!GC8:GG8)</f>
        <v>0</v>
      </c>
      <c r="F52" s="716"/>
      <c r="G52" s="671">
        <f>'Purchased Boons'!AT5</f>
        <v>0</v>
      </c>
      <c r="H52" s="692"/>
      <c r="I52" s="759" t="str">
        <f>Creation!Y15</f>
        <v>Marksmanship</v>
      </c>
      <c r="J52" s="906"/>
      <c r="K52" s="906"/>
      <c r="L52" s="907"/>
      <c r="M52" s="710">
        <f>SUM(DotTracking!T20:X20,DotTracking!AR20:AV20,DotTracking!BP20:BT20,DotTracking!CN20:CR20,DotTracking!DL20:DP20,DotTracking!ES18:EW18,DotTracking!FB18:FF18,DotTracking!FK18:FO18,DotTracking!FT18:FX18,DotTracking!GC18:GG18)</f>
        <v>0</v>
      </c>
      <c r="N52" s="716"/>
      <c r="O52" s="671">
        <f>'Purchased Boons'!AT15</f>
        <v>0</v>
      </c>
      <c r="P52" s="692"/>
      <c r="Q52" s="690" t="str">
        <f>IF(Creation!Y25="Special",IF(DemigodConversion!Y25="Special",IF(GodConversion!Y25="Special","Special",GodConversion!Y25),DemigodConversion!Y25),Creation!Y25)</f>
        <v>Special</v>
      </c>
      <c r="R52" s="691"/>
      <c r="S52" s="691"/>
      <c r="T52" s="691"/>
      <c r="U52" s="710">
        <f>SUM(DotTracking!T30:X30,DotTracking!AR30:AV30,DotTracking!BP30:BT30,DotTracking!CN30:CR30,DotTracking!DL30:DP30,DotTracking!ES28:EW28,DotTracking!FB28:FF28,DotTracking!FK28:FO28,DotTracking!FT28:FX28,DotTracking!GC28:GG28)</f>
        <v>0</v>
      </c>
      <c r="V52" s="716"/>
      <c r="W52" s="671">
        <f>IF(Q52="Art",'Purchased Boons'!$AT$24,IF(Q52="Control",'Purchased Boons'!$AT$25,IF(Q52="Craft",'Purchased Boons'!$AT$26,IF(Q52="Science",'Purchased Boons'!$AT$27,0))))</f>
        <v>0</v>
      </c>
      <c r="X52" s="692"/>
      <c r="AA52" s="283" t="str">
        <f>G41</f>
        <v/>
      </c>
      <c r="AB52" s="283">
        <f>L41</f>
        <v>1</v>
      </c>
    </row>
    <row r="53" spans="1:28" hidden="1" x14ac:dyDescent="0.25">
      <c r="A53" s="690" t="str">
        <f>Creation!Y6</f>
        <v>Athletics</v>
      </c>
      <c r="B53" s="691"/>
      <c r="C53" s="691"/>
      <c r="D53" s="691"/>
      <c r="E53" s="710">
        <f>SUM(DotTracking!T11:X11,DotTracking!AR11:AV11,DotTracking!BP11:BT11,DotTracking!CN11:CR11,DotTracking!DL11:DP11,DotTracking!ES9:EW9,DotTracking!FB9:FF9,DotTracking!FK9:FO9,DotTracking!FT9:FX9,DotTracking!GC9:GG9)</f>
        <v>0</v>
      </c>
      <c r="F53" s="716"/>
      <c r="G53" s="671">
        <f>'Purchased Boons'!AT6</f>
        <v>0</v>
      </c>
      <c r="H53" s="692"/>
      <c r="I53" s="759" t="str">
        <f>Creation!Y16</f>
        <v>Medicine</v>
      </c>
      <c r="J53" s="906"/>
      <c r="K53" s="906"/>
      <c r="L53" s="907"/>
      <c r="M53" s="710">
        <f>SUM(DotTracking!T21:X21,DotTracking!AR21:AV21,DotTracking!BP21:BT21,DotTracking!CN21:CR21,DotTracking!DL21:DP21,DotTracking!ES19:EW19,DotTracking!FB19:FF19,DotTracking!FK19:FO19,DotTracking!FT19:FX19,DotTracking!GC19:GG19)</f>
        <v>0</v>
      </c>
      <c r="N53" s="716"/>
      <c r="O53" s="671">
        <f>'Purchased Boons'!AT16</f>
        <v>0</v>
      </c>
      <c r="P53" s="692"/>
      <c r="Q53" s="690" t="str">
        <f>IF(Creation!Y26="Special",IF(DemigodConversion!Y26="Special",IF(GodConversion!Y26="Special","Special",GodConversion!Y26),DemigodConversion!Y26),Creation!Y26)</f>
        <v>Special</v>
      </c>
      <c r="R53" s="691"/>
      <c r="S53" s="691"/>
      <c r="T53" s="691"/>
      <c r="U53" s="710">
        <f>SUM(DotTracking!T31:X31,DotTracking!AR31:AV31,DotTracking!BP31:BT31,DotTracking!CN31:CR31,DotTracking!DL31:DP31,DotTracking!ES29:EW29,DotTracking!FB29:FF29,DotTracking!FK29:FO29,DotTracking!FT29:FX29,DotTracking!GC29:GG29)</f>
        <v>0</v>
      </c>
      <c r="V53" s="716"/>
      <c r="W53" s="671">
        <f>IF(Q53="Art",'Purchased Boons'!$AT$24,IF(Q53="Control",'Purchased Boons'!$AT$25,IF(Q53="Craft",'Purchased Boons'!$AT$26,IF(Q53="Science",'Purchased Boons'!$AT$27,0))))</f>
        <v>0</v>
      </c>
      <c r="X53" s="692"/>
      <c r="AA53" s="283" t="str">
        <f>M40</f>
        <v/>
      </c>
      <c r="AB53" s="283">
        <f>R40</f>
        <v>1</v>
      </c>
    </row>
    <row r="54" spans="1:28" hidden="1" x14ac:dyDescent="0.25">
      <c r="A54" s="690" t="str">
        <f>Creation!Y7</f>
        <v>Awareness</v>
      </c>
      <c r="B54" s="691"/>
      <c r="C54" s="691"/>
      <c r="D54" s="691"/>
      <c r="E54" s="710">
        <f>SUM(DotTracking!T12:X12,DotTracking!AR12:AV12,DotTracking!BP12:BT12,DotTracking!CN12:CR12,DotTracking!DL12:DP12,DotTracking!ES10:EW10,DotTracking!FB10:FF10,DotTracking!FK10:FO10,DotTracking!FT10:FX10,DotTracking!GC10:GG10)</f>
        <v>0</v>
      </c>
      <c r="F54" s="716"/>
      <c r="G54" s="671">
        <f>'Purchased Boons'!AT7</f>
        <v>0</v>
      </c>
      <c r="H54" s="692"/>
      <c r="I54" s="759" t="str">
        <f>Creation!Y17</f>
        <v>Melee</v>
      </c>
      <c r="J54" s="906"/>
      <c r="K54" s="906"/>
      <c r="L54" s="907"/>
      <c r="M54" s="710">
        <f>SUM(DotTracking!T22:X22,DotTracking!AR22:AV22,DotTracking!BP22:BT22,DotTracking!CN22:CR22,DotTracking!DL22:DP22,DotTracking!ES20:EW20,DotTracking!FB20:FF20,DotTracking!FK20:FO20,DotTracking!FT20:FX20,DotTracking!GC20:GG20)</f>
        <v>0</v>
      </c>
      <c r="N54" s="716"/>
      <c r="O54" s="671">
        <f>'Purchased Boons'!AT17</f>
        <v>0</v>
      </c>
      <c r="P54" s="692"/>
      <c r="Q54" s="690" t="str">
        <f>IF(Creation!Y27="Special",IF(DemigodConversion!Y27="Special",IF(GodConversion!Y27="Special","Special",GodConversion!Y27),DemigodConversion!Y27),Creation!Y27)</f>
        <v>Special</v>
      </c>
      <c r="R54" s="691"/>
      <c r="S54" s="691"/>
      <c r="T54" s="691"/>
      <c r="U54" s="710">
        <f>SUM(DotTracking!T32:X32,DotTracking!AR32:AV32,DotTracking!BP32:BT32,DotTracking!CN32:CR32,DotTracking!DL32:DP32,DotTracking!ES30:EW30,DotTracking!FB30:FF30,DotTracking!FK30:FO30,DotTracking!FT30:FX30,DotTracking!GC30:GG30)</f>
        <v>0</v>
      </c>
      <c r="V54" s="716"/>
      <c r="W54" s="671">
        <f>IF(Q54="Art",'Purchased Boons'!$AT$24,IF(Q54="Control",'Purchased Boons'!$AT$25,IF(Q54="Craft",'Purchased Boons'!$AT$26,IF(Q54="Science",'Purchased Boons'!$AT$27,0))))</f>
        <v>0</v>
      </c>
      <c r="X54" s="692"/>
      <c r="AA54" s="283" t="str">
        <f>M41</f>
        <v/>
      </c>
      <c r="AB54" s="283">
        <f>R41</f>
        <v>1</v>
      </c>
    </row>
    <row r="55" spans="1:28" hidden="1" x14ac:dyDescent="0.25">
      <c r="A55" s="690" t="str">
        <f>Creation!Y8</f>
        <v>Brawl</v>
      </c>
      <c r="B55" s="691"/>
      <c r="C55" s="691"/>
      <c r="D55" s="691"/>
      <c r="E55" s="710">
        <f>SUM(DotTracking!T13:X13,DotTracking!AR13:AV13,DotTracking!BP13:BT13,DotTracking!CN13:CR13,DotTracking!DL13:DP13,DotTracking!ES11:EW11,DotTracking!FB11:FF11,DotTracking!FK11:FO11,DotTracking!FT11:FX11,DotTracking!GC11:GG11)</f>
        <v>0</v>
      </c>
      <c r="F55" s="716"/>
      <c r="G55" s="671">
        <f>'Purchased Boons'!AT8</f>
        <v>0</v>
      </c>
      <c r="H55" s="692"/>
      <c r="I55" s="759" t="str">
        <f>Creation!Y18</f>
        <v>Occult</v>
      </c>
      <c r="J55" s="906"/>
      <c r="K55" s="906"/>
      <c r="L55" s="907"/>
      <c r="M55" s="710">
        <f>SUM(DotTracking!T23:X23,DotTracking!AR23:AV23,DotTracking!BP23:BT23,DotTracking!CN23:CR23,DotTracking!DL23:DP23,DotTracking!ES21:EW21,DotTracking!FB21:FF21,DotTracking!FK21:FO21,DotTracking!FT21:FX21,DotTracking!GC21:GG21)</f>
        <v>0</v>
      </c>
      <c r="N55" s="716"/>
      <c r="O55" s="671">
        <f>'Purchased Boons'!AT18</f>
        <v>0</v>
      </c>
      <c r="P55" s="692"/>
      <c r="Q55" s="690" t="str">
        <f>IF(Creation!Y28="Special",IF(DemigodConversion!Y28="Special",IF(GodConversion!Y28="Special","Special",GodConversion!Y28),DemigodConversion!Y28),Creation!Y28)</f>
        <v>Special</v>
      </c>
      <c r="R55" s="691"/>
      <c r="S55" s="691"/>
      <c r="T55" s="691"/>
      <c r="U55" s="710">
        <f>SUM(DotTracking!T33:X33,DotTracking!AR33:AV33,DotTracking!BP33:BT33,DotTracking!CN33:CR33,DotTracking!DL33:DP33,DotTracking!ES31:EW31,DotTracking!FB31:FF31,DotTracking!FK31:FO31,DotTracking!FT31:FX31,DotTracking!GC31:GG31)</f>
        <v>0</v>
      </c>
      <c r="V55" s="716"/>
      <c r="W55" s="671">
        <f>IF(Q55="Art",'Purchased Boons'!$AT$24,IF(Q55="Control",'Purchased Boons'!$AT$25,IF(Q55="Craft",'Purchased Boons'!$AT$26,IF(Q55="Science",'Purchased Boons'!$AT$27,0))))</f>
        <v>0</v>
      </c>
      <c r="X55" s="692"/>
    </row>
    <row r="56" spans="1:28" hidden="1" x14ac:dyDescent="0.25">
      <c r="A56" s="690" t="str">
        <f>Creation!Y9</f>
        <v>Command</v>
      </c>
      <c r="B56" s="691"/>
      <c r="C56" s="691"/>
      <c r="D56" s="691"/>
      <c r="E56" s="710">
        <f>SUM(DotTracking!T14:X14,DotTracking!AR14:AV14,DotTracking!BP14:BT14,DotTracking!CN14:CR14,DotTracking!DL14:DP14,DotTracking!ES12:EW12,DotTracking!FB12:FF12,DotTracking!FK12:FO12,DotTracking!FT12:FX12,DotTracking!GC12:GG12)</f>
        <v>0</v>
      </c>
      <c r="F56" s="716"/>
      <c r="G56" s="671">
        <f>'Purchased Boons'!AT9</f>
        <v>0</v>
      </c>
      <c r="H56" s="692"/>
      <c r="I56" s="759" t="str">
        <f>Creation!Y19</f>
        <v>Politics</v>
      </c>
      <c r="J56" s="906"/>
      <c r="K56" s="906"/>
      <c r="L56" s="907"/>
      <c r="M56" s="710">
        <f>SUM(DotTracking!T24:X24,DotTracking!AR24:AV24,DotTracking!BP24:BT24,DotTracking!CN24:CR24,DotTracking!DL24:DP24,DotTracking!ES22:EW22,DotTracking!FB22:FF22,DotTracking!FK22:FO22,DotTracking!FT22:FX22,DotTracking!GC22:GG22)</f>
        <v>0</v>
      </c>
      <c r="N56" s="716"/>
      <c r="O56" s="671">
        <f>'Purchased Boons'!AT19</f>
        <v>0</v>
      </c>
      <c r="P56" s="692"/>
      <c r="Q56" s="690" t="str">
        <f>IF(Creation!Y29="Special",IF(DemigodConversion!Y29="Special",IF(GodConversion!Y29="Special","Special",GodConversion!Y29),DemigodConversion!Y29),Creation!Y29)</f>
        <v>Special</v>
      </c>
      <c r="R56" s="691"/>
      <c r="S56" s="691"/>
      <c r="T56" s="691"/>
      <c r="U56" s="710">
        <f>SUM(DotTracking!T34:X34,DotTracking!AR34:AV34,DotTracking!BP34:BT34,DotTracking!CN34:CR34,DotTracking!DL34:DP34,DotTracking!ES32:EW32,DotTracking!FB32:FF32,DotTracking!FK32:FO32,DotTracking!FT32:FX32,DotTracking!GC32:GG32)</f>
        <v>0</v>
      </c>
      <c r="V56" s="716"/>
      <c r="W56" s="671">
        <f>IF(Q56="Art",'Purchased Boons'!$AT$24,IF(Q56="Control",'Purchased Boons'!$AT$25,IF(Q56="Craft",'Purchased Boons'!$AT$26,IF(Q56="Science",'Purchased Boons'!$AT$27,0))))</f>
        <v>0</v>
      </c>
      <c r="X56" s="692"/>
    </row>
    <row r="57" spans="1:28" hidden="1" x14ac:dyDescent="0.25">
      <c r="A57" s="690" t="str">
        <f>Creation!Y10</f>
        <v>Empathy</v>
      </c>
      <c r="B57" s="691"/>
      <c r="C57" s="691"/>
      <c r="D57" s="691"/>
      <c r="E57" s="710">
        <f>SUM(DotTracking!T15:X15,DotTracking!AR15:AV15,DotTracking!BP15:BT15,DotTracking!CN15:CR15,DotTracking!DL15:DP15,DotTracking!ES13:EW13,DotTracking!FB13:FF13,DotTracking!FK13:FO13,DotTracking!FT13:FX13,DotTracking!GC13:GG13)</f>
        <v>0</v>
      </c>
      <c r="F57" s="716"/>
      <c r="G57" s="671">
        <f>'Purchased Boons'!AT10</f>
        <v>0</v>
      </c>
      <c r="H57" s="692"/>
      <c r="I57" s="759" t="str">
        <f>Creation!Y20</f>
        <v>Presence</v>
      </c>
      <c r="J57" s="906"/>
      <c r="K57" s="906"/>
      <c r="L57" s="907"/>
      <c r="M57" s="710">
        <f>SUM(DotTracking!T25:X25,DotTracking!AR25:AV25,DotTracking!BP25:BT25,DotTracking!CN25:CR25,DotTracking!DL25:DP25,DotTracking!ES23:EW23,DotTracking!FB23:FF23,DotTracking!FK23:FO23,DotTracking!FT23:FX23,DotTracking!GC23:GG23)</f>
        <v>0</v>
      </c>
      <c r="N57" s="716"/>
      <c r="O57" s="671">
        <f>'Purchased Boons'!AT20</f>
        <v>0</v>
      </c>
      <c r="P57" s="692"/>
      <c r="Q57" s="690" t="str">
        <f>IF(Creation!Y30="Special",IF(DemigodConversion!Y30="Special",IF(GodConversion!Y30="Special","Special",GodConversion!Y30),DemigodConversion!Y30),Creation!Y30)</f>
        <v>Special</v>
      </c>
      <c r="R57" s="691"/>
      <c r="S57" s="691"/>
      <c r="T57" s="691"/>
      <c r="U57" s="710">
        <f>SUM(DotTracking!T35:X35,DotTracking!AR35:AV35,DotTracking!BP35:BT35,DotTracking!CN35:CR35,DotTracking!DL35:DP35,DotTracking!ES33:EW33,DotTracking!FB33:FF33,DotTracking!FK33:FO33,DotTracking!FT33:FX33,DotTracking!GC33:GG33)</f>
        <v>0</v>
      </c>
      <c r="V57" s="716"/>
      <c r="W57" s="671">
        <f>IF(Q57="Art",'Purchased Boons'!$AT$24,IF(Q57="Control",'Purchased Boons'!$AT$25,IF(Q57="Craft",'Purchased Boons'!$AT$26,IF(Q57="Science",'Purchased Boons'!$AT$27,0))))</f>
        <v>0</v>
      </c>
      <c r="X57" s="692"/>
    </row>
    <row r="58" spans="1:28" hidden="1" x14ac:dyDescent="0.25">
      <c r="A58" s="690" t="str">
        <f>Creation!Y11</f>
        <v>Fortitude</v>
      </c>
      <c r="B58" s="691"/>
      <c r="C58" s="691"/>
      <c r="D58" s="691"/>
      <c r="E58" s="710">
        <f>SUM(DotTracking!T16:X16,DotTracking!AR16:AV16,DotTracking!BP16:BT16,DotTracking!CN16:CR16,DotTracking!DL16:DP16,DotTracking!ES14:EW14,DotTracking!FB14:FF14,DotTracking!FK14:FO14,DotTracking!FT14:FX14,DotTracking!GC14:GG14)</f>
        <v>0</v>
      </c>
      <c r="F58" s="716"/>
      <c r="G58" s="671">
        <f>'Purchased Boons'!AT11</f>
        <v>0</v>
      </c>
      <c r="H58" s="692"/>
      <c r="I58" s="759" t="str">
        <f>Creation!Y21</f>
        <v>Stealth</v>
      </c>
      <c r="J58" s="906"/>
      <c r="K58" s="906"/>
      <c r="L58" s="907"/>
      <c r="M58" s="710">
        <f>SUM(DotTracking!T26:X26,DotTracking!AR26:AV26,DotTracking!BP26:BT26,DotTracking!CN26:CR26,DotTracking!DL26:DP26,DotTracking!ES24:EW24,DotTracking!FB24:FF24,DotTracking!FK24:FO24,DotTracking!FT24:FX24,DotTracking!GC24:GG24)</f>
        <v>0</v>
      </c>
      <c r="N58" s="716"/>
      <c r="O58" s="671">
        <f>'Purchased Boons'!AT21</f>
        <v>0</v>
      </c>
      <c r="P58" s="692"/>
      <c r="Q58" s="690" t="str">
        <f>IF(Creation!Y31="Special",IF(DemigodConversion!Y31="Special",IF(GodConversion!Y31="Special","Special",GodConversion!Y31),DemigodConversion!Y31),Creation!Y31)</f>
        <v>Special</v>
      </c>
      <c r="R58" s="691"/>
      <c r="S58" s="691"/>
      <c r="T58" s="691"/>
      <c r="U58" s="710">
        <f>SUM(DotTracking!T36:X36,DotTracking!AR36:AV36,DotTracking!BP36:BT36,DotTracking!CN36:CR36,DotTracking!DL36:DP36,DotTracking!ES34:EW34,DotTracking!FB34:FF34,DotTracking!FK34:FO34,DotTracking!FT34:FX34,DotTracking!GC34:GG34)</f>
        <v>0</v>
      </c>
      <c r="V58" s="716"/>
      <c r="W58" s="671">
        <f>IF(Q58="Art",'Purchased Boons'!$AT$24,IF(Q58="Control",'Purchased Boons'!$AT$25,IF(Q58="Craft",'Purchased Boons'!$AT$26,IF(Q58="Science",'Purchased Boons'!$AT$27,0))))</f>
        <v>0</v>
      </c>
      <c r="X58" s="692"/>
    </row>
    <row r="59" spans="1:28" hidden="1" x14ac:dyDescent="0.25">
      <c r="A59" s="690" t="str">
        <f>Creation!Y12</f>
        <v>Integrity</v>
      </c>
      <c r="B59" s="691"/>
      <c r="C59" s="691"/>
      <c r="D59" s="691"/>
      <c r="E59" s="710">
        <f>SUM(DotTracking!T17:X17,DotTracking!AR17:AV17,DotTracking!BP17:BT17,DotTracking!CN17:CR17,DotTracking!DL17:DP17,DotTracking!ES15:EW15,DotTracking!FB15:FF15,DotTracking!FK15:FO15,DotTracking!FT15:FX15,DotTracking!GC15:GG15)</f>
        <v>0</v>
      </c>
      <c r="F59" s="716"/>
      <c r="G59" s="671">
        <f>'Purchased Boons'!AT12</f>
        <v>0</v>
      </c>
      <c r="H59" s="692"/>
      <c r="I59" s="759" t="str">
        <f>Creation!Y22</f>
        <v>Survival</v>
      </c>
      <c r="J59" s="906"/>
      <c r="K59" s="906"/>
      <c r="L59" s="907"/>
      <c r="M59" s="710">
        <f>SUM(DotTracking!T27:X27,DotTracking!AR27:AV27,DotTracking!BP27:BT27,DotTracking!CN27:CR27,DotTracking!DL27:DP27,DotTracking!ES25:EW25,DotTracking!FB25:FF25,DotTracking!FK25:FO25,DotTracking!FT25:FX25,DotTracking!GC25:GG25)</f>
        <v>0</v>
      </c>
      <c r="N59" s="716"/>
      <c r="O59" s="671">
        <f>'Purchased Boons'!AT22</f>
        <v>0</v>
      </c>
      <c r="P59" s="692"/>
      <c r="Q59" s="690" t="str">
        <f>IF(Creation!Y32="Special",IF(DemigodConversion!Y32="Special",IF(GodConversion!Y32="Special","Special",GodConversion!Y32),DemigodConversion!Y32),Creation!Y32)</f>
        <v>Special</v>
      </c>
      <c r="R59" s="691"/>
      <c r="S59" s="691"/>
      <c r="T59" s="691"/>
      <c r="U59" s="710">
        <f>SUM(DotTracking!T37:X37,DotTracking!AR37:AV37,DotTracking!BP37:BT37,DotTracking!CN37:CR37,DotTracking!DL37:DP37,DotTracking!ES35:EW35,DotTracking!FB35:FF35,DotTracking!FK35:FO35,DotTracking!FT35:FX35,DotTracking!GC35:GG35)</f>
        <v>0</v>
      </c>
      <c r="V59" s="716"/>
      <c r="W59" s="671">
        <f>IF(Q59="Art",'Purchased Boons'!$AT$24,IF(Q59="Control",'Purchased Boons'!$AT$25,IF(Q59="Craft",'Purchased Boons'!$AT$26,IF(Q59="Science",'Purchased Boons'!$AT$27,0))))</f>
        <v>0</v>
      </c>
      <c r="X59" s="692"/>
    </row>
    <row r="60" spans="1:28" ht="15.75" hidden="1" thickBot="1" x14ac:dyDescent="0.3">
      <c r="A60" s="708" t="str">
        <f>Creation!Y13</f>
        <v>Investigation</v>
      </c>
      <c r="B60" s="709"/>
      <c r="C60" s="709"/>
      <c r="D60" s="709"/>
      <c r="E60" s="705">
        <f>SUM(DotTracking!T18:X18,DotTracking!AR18:AV18,DotTracking!BP18:BT18,DotTracking!CN18:CR18,DotTracking!DL18:DP18,DotTracking!ES16:EW16,DotTracking!FB16:FF16,DotTracking!FK16:FO16,DotTracking!FT16:FX16,DotTracking!GC16:GG16)</f>
        <v>0</v>
      </c>
      <c r="F60" s="749"/>
      <c r="G60" s="712">
        <f>'Purchased Boons'!AT13</f>
        <v>0</v>
      </c>
      <c r="H60" s="720"/>
      <c r="I60" s="908" t="str">
        <f>Creation!Y23</f>
        <v>Thrown</v>
      </c>
      <c r="J60" s="909"/>
      <c r="K60" s="909"/>
      <c r="L60" s="910"/>
      <c r="M60" s="705">
        <f>SUM(DotTracking!T28:X28,DotTracking!AR28:AV28,DotTracking!BP28:BT28,DotTracking!CN28:CR28,DotTracking!DL28:DP28,DotTracking!ES26:EW26,DotTracking!FB26:FF26,DotTracking!FK26:FO26,DotTracking!FT26:FX26,DotTracking!GC26:GG26)</f>
        <v>0</v>
      </c>
      <c r="N60" s="749"/>
      <c r="O60" s="712">
        <f>'Purchased Boons'!AT23</f>
        <v>0</v>
      </c>
      <c r="P60" s="720"/>
      <c r="Q60" s="708" t="str">
        <f>IF(Creation!Y33="Special",IF(DemigodConversion!Y33="Special",IF(GodConversion!Y33="Special","Special",GodConversion!Y33),DemigodConversion!Y33),Creation!Y33)</f>
        <v>Special</v>
      </c>
      <c r="R60" s="709"/>
      <c r="S60" s="709"/>
      <c r="T60" s="709"/>
      <c r="U60" s="705">
        <f>SUM(DotTracking!T38:X38,DotTracking!AR38:AV38,DotTracking!BP38:BT38,DotTracking!CN38:CR38,DotTracking!DL38:DP38,DotTracking!ES36:EW36,DotTracking!FB36:FF36,DotTracking!FK36:FO36,DotTracking!FT36:FX36,DotTracking!GC36:GG36)</f>
        <v>0</v>
      </c>
      <c r="V60" s="749"/>
      <c r="W60" s="712">
        <f>IF(Q60="Art",'Purchased Boons'!$AT$24,IF(Q60="Control",'Purchased Boons'!$AT$25,IF(Q60="Craft",'Purchased Boons'!$AT$26,IF(Q60="Science",'Purchased Boons'!$AT$27,0))))</f>
        <v>0</v>
      </c>
      <c r="X60" s="720"/>
    </row>
  </sheetData>
  <sheetProtection password="E9C2" sheet="1" objects="1" scenarios="1" selectLockedCells="1"/>
  <mergeCells count="1156">
    <mergeCell ref="EO46:ER46"/>
    <mergeCell ref="ES46:EY46"/>
    <mergeCell ref="EZ46:FB46"/>
    <mergeCell ref="FC46:FL46"/>
    <mergeCell ref="EO43:ER43"/>
    <mergeCell ref="ES43:EY43"/>
    <mergeCell ref="EZ43:FB43"/>
    <mergeCell ref="FC43:FL43"/>
    <mergeCell ref="EO44:ER44"/>
    <mergeCell ref="ES44:EY44"/>
    <mergeCell ref="EZ44:FB44"/>
    <mergeCell ref="FC44:FL44"/>
    <mergeCell ref="EO45:ER45"/>
    <mergeCell ref="ES45:EY45"/>
    <mergeCell ref="EZ45:FB45"/>
    <mergeCell ref="FC45:FL45"/>
    <mergeCell ref="EO40:ER40"/>
    <mergeCell ref="ES40:EY40"/>
    <mergeCell ref="EZ40:FB40"/>
    <mergeCell ref="FC40:FL40"/>
    <mergeCell ref="EO41:ER41"/>
    <mergeCell ref="ES41:EY41"/>
    <mergeCell ref="EZ41:FB41"/>
    <mergeCell ref="FC41:FL41"/>
    <mergeCell ref="EO42:ER42"/>
    <mergeCell ref="ES42:EY42"/>
    <mergeCell ref="EZ42:FB42"/>
    <mergeCell ref="FC42:FL42"/>
    <mergeCell ref="EO37:ER37"/>
    <mergeCell ref="ES37:EY37"/>
    <mergeCell ref="EZ37:FB37"/>
    <mergeCell ref="FC37:FL37"/>
    <mergeCell ref="EO38:ER38"/>
    <mergeCell ref="ES38:EY38"/>
    <mergeCell ref="EZ38:FB38"/>
    <mergeCell ref="FC38:FL38"/>
    <mergeCell ref="EO39:ER39"/>
    <mergeCell ref="ES39:EY39"/>
    <mergeCell ref="EZ39:FB39"/>
    <mergeCell ref="FC39:FL39"/>
    <mergeCell ref="EO34:ER34"/>
    <mergeCell ref="ES34:EY34"/>
    <mergeCell ref="EZ34:FB34"/>
    <mergeCell ref="FC34:FL34"/>
    <mergeCell ref="EO35:ER35"/>
    <mergeCell ref="ES35:EY35"/>
    <mergeCell ref="EZ35:FB35"/>
    <mergeCell ref="FC35:FL35"/>
    <mergeCell ref="EO36:ER36"/>
    <mergeCell ref="ES36:EY36"/>
    <mergeCell ref="EZ36:FB36"/>
    <mergeCell ref="FC36:FL36"/>
    <mergeCell ref="EO31:ER31"/>
    <mergeCell ref="ES31:EY31"/>
    <mergeCell ref="EZ31:FB31"/>
    <mergeCell ref="FC31:FL31"/>
    <mergeCell ref="EO32:ER32"/>
    <mergeCell ref="ES32:EY32"/>
    <mergeCell ref="EZ32:FB32"/>
    <mergeCell ref="FC32:FL32"/>
    <mergeCell ref="EO33:ER33"/>
    <mergeCell ref="ES33:EY33"/>
    <mergeCell ref="EZ33:FB33"/>
    <mergeCell ref="FC33:FL33"/>
    <mergeCell ref="EO28:ER28"/>
    <mergeCell ref="ES28:EY28"/>
    <mergeCell ref="EZ28:FB28"/>
    <mergeCell ref="FC28:FL28"/>
    <mergeCell ref="EO29:ER29"/>
    <mergeCell ref="ES29:EY29"/>
    <mergeCell ref="EZ29:FB29"/>
    <mergeCell ref="FC29:FL29"/>
    <mergeCell ref="EO30:ER30"/>
    <mergeCell ref="ES30:EY30"/>
    <mergeCell ref="EZ30:FB30"/>
    <mergeCell ref="FC30:FL30"/>
    <mergeCell ref="EO25:ER25"/>
    <mergeCell ref="ES25:EY25"/>
    <mergeCell ref="EZ25:FB25"/>
    <mergeCell ref="FC25:FL25"/>
    <mergeCell ref="EO26:ER26"/>
    <mergeCell ref="ES26:EY26"/>
    <mergeCell ref="EZ26:FB26"/>
    <mergeCell ref="FC26:FL26"/>
    <mergeCell ref="EO27:ER27"/>
    <mergeCell ref="ES27:EY27"/>
    <mergeCell ref="EZ27:FB27"/>
    <mergeCell ref="FC27:FL27"/>
    <mergeCell ref="EO22:ER22"/>
    <mergeCell ref="ES22:EY22"/>
    <mergeCell ref="EZ22:FB22"/>
    <mergeCell ref="FC22:FL22"/>
    <mergeCell ref="EO23:ER23"/>
    <mergeCell ref="ES23:EY23"/>
    <mergeCell ref="EZ23:FB23"/>
    <mergeCell ref="FC23:FL23"/>
    <mergeCell ref="EO24:ER24"/>
    <mergeCell ref="ES24:EY24"/>
    <mergeCell ref="EZ24:FB24"/>
    <mergeCell ref="FC24:FL24"/>
    <mergeCell ref="FC20:FL20"/>
    <mergeCell ref="EO21:ER21"/>
    <mergeCell ref="ES21:EY21"/>
    <mergeCell ref="EZ21:FB21"/>
    <mergeCell ref="FC21:FL21"/>
    <mergeCell ref="EO16:ER16"/>
    <mergeCell ref="ES16:EY16"/>
    <mergeCell ref="EZ16:FB16"/>
    <mergeCell ref="FC16:FL16"/>
    <mergeCell ref="EO17:ER17"/>
    <mergeCell ref="ES17:EY17"/>
    <mergeCell ref="EZ17:FB17"/>
    <mergeCell ref="FC17:FL17"/>
    <mergeCell ref="EO18:ER18"/>
    <mergeCell ref="ES18:EY18"/>
    <mergeCell ref="EZ18:FB18"/>
    <mergeCell ref="FC18:FL18"/>
    <mergeCell ref="EZ9:FB9"/>
    <mergeCell ref="FC9:FL9"/>
    <mergeCell ref="EO4:ER4"/>
    <mergeCell ref="ES4:EY4"/>
    <mergeCell ref="EZ4:FB4"/>
    <mergeCell ref="FC4:FL4"/>
    <mergeCell ref="EO5:ER5"/>
    <mergeCell ref="ES5:EY5"/>
    <mergeCell ref="EZ5:FB5"/>
    <mergeCell ref="FC5:FL5"/>
    <mergeCell ref="EO6:ER6"/>
    <mergeCell ref="ES6:EY6"/>
    <mergeCell ref="EZ6:FB6"/>
    <mergeCell ref="FC6:FL6"/>
    <mergeCell ref="EO13:ER13"/>
    <mergeCell ref="ES13:EY13"/>
    <mergeCell ref="EZ13:FB13"/>
    <mergeCell ref="FC13:FL13"/>
    <mergeCell ref="A21:D21"/>
    <mergeCell ref="E21:F21"/>
    <mergeCell ref="K21:L21"/>
    <mergeCell ref="M21:P21"/>
    <mergeCell ref="Q21:R21"/>
    <mergeCell ref="S21:X21"/>
    <mergeCell ref="A20:D20"/>
    <mergeCell ref="E20:F20"/>
    <mergeCell ref="K20:L20"/>
    <mergeCell ref="M20:P20"/>
    <mergeCell ref="Q20:R20"/>
    <mergeCell ref="S20:X20"/>
    <mergeCell ref="A19:D19"/>
    <mergeCell ref="E19:F19"/>
    <mergeCell ref="K19:L19"/>
    <mergeCell ref="M19:P19"/>
    <mergeCell ref="Q19:R19"/>
    <mergeCell ref="S19:X19"/>
    <mergeCell ref="EO1:ER1"/>
    <mergeCell ref="ES1:EY1"/>
    <mergeCell ref="EZ1:FB1"/>
    <mergeCell ref="FC1:FL1"/>
    <mergeCell ref="EO2:ER2"/>
    <mergeCell ref="ES2:EY2"/>
    <mergeCell ref="EZ2:FB2"/>
    <mergeCell ref="FC2:FL2"/>
    <mergeCell ref="EO3:ER3"/>
    <mergeCell ref="ES3:EY3"/>
    <mergeCell ref="EZ3:FB3"/>
    <mergeCell ref="FC3:FL3"/>
    <mergeCell ref="EZ14:FB14"/>
    <mergeCell ref="EO15:ER15"/>
    <mergeCell ref="ES15:EY15"/>
    <mergeCell ref="EZ15:FB15"/>
    <mergeCell ref="FC15:FL15"/>
    <mergeCell ref="ES10:EY10"/>
    <mergeCell ref="EZ10:FB10"/>
    <mergeCell ref="FC10:FL10"/>
    <mergeCell ref="EO11:ER11"/>
    <mergeCell ref="ES11:EY11"/>
    <mergeCell ref="EO7:ER7"/>
    <mergeCell ref="ES7:EY7"/>
    <mergeCell ref="EZ7:FB7"/>
    <mergeCell ref="FC7:FL7"/>
    <mergeCell ref="EO8:ER8"/>
    <mergeCell ref="ES8:EY8"/>
    <mergeCell ref="EZ8:FB8"/>
    <mergeCell ref="FC8:FL8"/>
    <mergeCell ref="EO9:ER9"/>
    <mergeCell ref="ES9:EY9"/>
    <mergeCell ref="E13:F13"/>
    <mergeCell ref="G13:J13"/>
    <mergeCell ref="K13:L13"/>
    <mergeCell ref="M13:P13"/>
    <mergeCell ref="Q13:R13"/>
    <mergeCell ref="S13:X13"/>
    <mergeCell ref="G18:J18"/>
    <mergeCell ref="K18:L18"/>
    <mergeCell ref="M18:P18"/>
    <mergeCell ref="Q18:R18"/>
    <mergeCell ref="S18:X18"/>
    <mergeCell ref="A17:D17"/>
    <mergeCell ref="E17:F17"/>
    <mergeCell ref="G17:J17"/>
    <mergeCell ref="K17:L17"/>
    <mergeCell ref="M17:P17"/>
    <mergeCell ref="Q17:R17"/>
    <mergeCell ref="S17:X17"/>
    <mergeCell ref="A16:D16"/>
    <mergeCell ref="E16:F16"/>
    <mergeCell ref="G16:J16"/>
    <mergeCell ref="K16:L16"/>
    <mergeCell ref="M16:P16"/>
    <mergeCell ref="Q16:R16"/>
    <mergeCell ref="S16:X16"/>
    <mergeCell ref="A18:D18"/>
    <mergeCell ref="E18:F18"/>
    <mergeCell ref="A11:D11"/>
    <mergeCell ref="E11:F11"/>
    <mergeCell ref="K11:L11"/>
    <mergeCell ref="G11:J11"/>
    <mergeCell ref="G19:J19"/>
    <mergeCell ref="G20:J20"/>
    <mergeCell ref="G21:J21"/>
    <mergeCell ref="A28:C31"/>
    <mergeCell ref="D28:F31"/>
    <mergeCell ref="L31:P32"/>
    <mergeCell ref="L28:O28"/>
    <mergeCell ref="P28:R28"/>
    <mergeCell ref="G24:I25"/>
    <mergeCell ref="J24:K25"/>
    <mergeCell ref="L24:N25"/>
    <mergeCell ref="G27:I27"/>
    <mergeCell ref="J27:K27"/>
    <mergeCell ref="G22:R23"/>
    <mergeCell ref="A13:D13"/>
    <mergeCell ref="D26:F26"/>
    <mergeCell ref="A15:D15"/>
    <mergeCell ref="E15:F15"/>
    <mergeCell ref="G15:J15"/>
    <mergeCell ref="K15:L15"/>
    <mergeCell ref="M15:P15"/>
    <mergeCell ref="Q15:R15"/>
    <mergeCell ref="A14:D14"/>
    <mergeCell ref="E14:F14"/>
    <mergeCell ref="G14:J14"/>
    <mergeCell ref="K14:L14"/>
    <mergeCell ref="M14:P14"/>
    <mergeCell ref="Q14:R14"/>
    <mergeCell ref="DU15:EA15"/>
    <mergeCell ref="EE20:EN20"/>
    <mergeCell ref="DQ21:DT21"/>
    <mergeCell ref="EO10:ER10"/>
    <mergeCell ref="EZ11:FB11"/>
    <mergeCell ref="FC11:FL11"/>
    <mergeCell ref="EO12:ER12"/>
    <mergeCell ref="ES12:EY12"/>
    <mergeCell ref="EZ12:FB12"/>
    <mergeCell ref="FC12:FL12"/>
    <mergeCell ref="EO19:ER19"/>
    <mergeCell ref="ES19:EY19"/>
    <mergeCell ref="EZ19:FB19"/>
    <mergeCell ref="FC19:FL19"/>
    <mergeCell ref="EO20:ER20"/>
    <mergeCell ref="ES20:EY20"/>
    <mergeCell ref="G36:I37"/>
    <mergeCell ref="J36:K37"/>
    <mergeCell ref="L35:O35"/>
    <mergeCell ref="P35:R35"/>
    <mergeCell ref="L33:O33"/>
    <mergeCell ref="P33:R33"/>
    <mergeCell ref="L34:O34"/>
    <mergeCell ref="G34:I35"/>
    <mergeCell ref="J34:K35"/>
    <mergeCell ref="L36:P37"/>
    <mergeCell ref="S12:X12"/>
    <mergeCell ref="S15:X15"/>
    <mergeCell ref="S14:X14"/>
    <mergeCell ref="EO14:ER14"/>
    <mergeCell ref="ES14:EY14"/>
    <mergeCell ref="EZ20:FB20"/>
    <mergeCell ref="GB2:GE2"/>
    <mergeCell ref="GB5:GE5"/>
    <mergeCell ref="GB8:GE8"/>
    <mergeCell ref="GB1:GE1"/>
    <mergeCell ref="GB4:GE4"/>
    <mergeCell ref="GB3:GE3"/>
    <mergeCell ref="GB6:GE6"/>
    <mergeCell ref="BB14:BC14"/>
    <mergeCell ref="BE14:BG14"/>
    <mergeCell ref="BH14:BJ14"/>
    <mergeCell ref="DQ14:DT14"/>
    <mergeCell ref="DU14:EA14"/>
    <mergeCell ref="EE14:EN14"/>
    <mergeCell ref="DQ8:DT8"/>
    <mergeCell ref="DU8:EA8"/>
    <mergeCell ref="EE8:EN8"/>
    <mergeCell ref="DQ9:DT9"/>
    <mergeCell ref="DU9:EA9"/>
    <mergeCell ref="EE9:EN9"/>
    <mergeCell ref="DQ10:DT10"/>
    <mergeCell ref="DU10:EA10"/>
    <mergeCell ref="EE10:EN10"/>
    <mergeCell ref="DQ5:DT5"/>
    <mergeCell ref="DQ11:DT11"/>
    <mergeCell ref="DU11:EA11"/>
    <mergeCell ref="FC14:FL14"/>
    <mergeCell ref="EE11:EN11"/>
    <mergeCell ref="DQ12:DT12"/>
    <mergeCell ref="DU12:EA12"/>
    <mergeCell ref="EE12:EN12"/>
    <mergeCell ref="DQ13:DT13"/>
    <mergeCell ref="GB9:GE9"/>
    <mergeCell ref="EB10:ED10"/>
    <mergeCell ref="EB11:ED11"/>
    <mergeCell ref="EB12:ED12"/>
    <mergeCell ref="EB13:ED13"/>
    <mergeCell ref="EB14:ED14"/>
    <mergeCell ref="EB15:ED15"/>
    <mergeCell ref="EB16:ED16"/>
    <mergeCell ref="EB17:ED17"/>
    <mergeCell ref="AW20:BA20"/>
    <mergeCell ref="AJ31:AL31"/>
    <mergeCell ref="AJ32:AL32"/>
    <mergeCell ref="AJ33:AL33"/>
    <mergeCell ref="AJ34:AL34"/>
    <mergeCell ref="AJ35:AL35"/>
    <mergeCell ref="AJ36:AL36"/>
    <mergeCell ref="AJ37:AL37"/>
    <mergeCell ref="GB7:GE7"/>
    <mergeCell ref="BB21:BC21"/>
    <mergeCell ref="BE21:BG21"/>
    <mergeCell ref="BH21:BJ21"/>
    <mergeCell ref="BE15:BG15"/>
    <mergeCell ref="BH15:BJ15"/>
    <mergeCell ref="BB16:BC16"/>
    <mergeCell ref="BE16:BG16"/>
    <mergeCell ref="BH16:BJ16"/>
    <mergeCell ref="BB11:BC11"/>
    <mergeCell ref="BE11:BG11"/>
    <mergeCell ref="BH11:BJ11"/>
    <mergeCell ref="BB12:BC12"/>
    <mergeCell ref="BE12:BG12"/>
    <mergeCell ref="BH12:BJ12"/>
    <mergeCell ref="BB13:BC13"/>
    <mergeCell ref="DQ44:DT44"/>
    <mergeCell ref="DU44:EA44"/>
    <mergeCell ref="EE44:EN44"/>
    <mergeCell ref="DQ45:DT45"/>
    <mergeCell ref="DU45:EA45"/>
    <mergeCell ref="EE45:EN45"/>
    <mergeCell ref="DQ46:DT46"/>
    <mergeCell ref="DU46:EA46"/>
    <mergeCell ref="EE46:EN46"/>
    <mergeCell ref="EB44:ED44"/>
    <mergeCell ref="EB45:ED45"/>
    <mergeCell ref="EB46:ED46"/>
    <mergeCell ref="DQ41:DT41"/>
    <mergeCell ref="DU41:EA41"/>
    <mergeCell ref="EE41:EN41"/>
    <mergeCell ref="DQ42:DT42"/>
    <mergeCell ref="DU42:EA42"/>
    <mergeCell ref="EE42:EN42"/>
    <mergeCell ref="DQ43:DT43"/>
    <mergeCell ref="DU43:EA43"/>
    <mergeCell ref="EE43:EN43"/>
    <mergeCell ref="EB41:ED41"/>
    <mergeCell ref="EB42:ED42"/>
    <mergeCell ref="EB43:ED43"/>
    <mergeCell ref="DQ38:DT38"/>
    <mergeCell ref="DU38:EA38"/>
    <mergeCell ref="EE38:EN38"/>
    <mergeCell ref="DQ39:DT39"/>
    <mergeCell ref="DU39:EA39"/>
    <mergeCell ref="EE39:EN39"/>
    <mergeCell ref="DQ40:DT40"/>
    <mergeCell ref="DU40:EA40"/>
    <mergeCell ref="EE40:EN40"/>
    <mergeCell ref="EB38:ED38"/>
    <mergeCell ref="EB39:ED39"/>
    <mergeCell ref="EB40:ED40"/>
    <mergeCell ref="DQ35:DT35"/>
    <mergeCell ref="DU35:EA35"/>
    <mergeCell ref="EE35:EN35"/>
    <mergeCell ref="DQ36:DT36"/>
    <mergeCell ref="DU36:EA36"/>
    <mergeCell ref="EE36:EN36"/>
    <mergeCell ref="DQ37:DT37"/>
    <mergeCell ref="DU37:EA37"/>
    <mergeCell ref="EE37:EN37"/>
    <mergeCell ref="EB35:ED35"/>
    <mergeCell ref="EB36:ED36"/>
    <mergeCell ref="EB37:ED37"/>
    <mergeCell ref="EE32:EN32"/>
    <mergeCell ref="DQ33:DT33"/>
    <mergeCell ref="DU33:EA33"/>
    <mergeCell ref="EE33:EN33"/>
    <mergeCell ref="DQ34:DT34"/>
    <mergeCell ref="DU34:EA34"/>
    <mergeCell ref="EE34:EN34"/>
    <mergeCell ref="EB32:ED32"/>
    <mergeCell ref="EB33:ED33"/>
    <mergeCell ref="EB34:ED34"/>
    <mergeCell ref="DQ29:DT29"/>
    <mergeCell ref="DU29:EA29"/>
    <mergeCell ref="EE29:EN29"/>
    <mergeCell ref="DQ30:DT30"/>
    <mergeCell ref="DU30:EA30"/>
    <mergeCell ref="EE30:EN30"/>
    <mergeCell ref="DQ31:DT31"/>
    <mergeCell ref="DU31:EA31"/>
    <mergeCell ref="EE31:EN31"/>
    <mergeCell ref="EB29:ED29"/>
    <mergeCell ref="EB30:ED30"/>
    <mergeCell ref="EB31:ED31"/>
    <mergeCell ref="DQ32:DT32"/>
    <mergeCell ref="DU32:EA32"/>
    <mergeCell ref="DQ26:DT26"/>
    <mergeCell ref="DU26:EA26"/>
    <mergeCell ref="EE26:EN26"/>
    <mergeCell ref="DQ27:DT27"/>
    <mergeCell ref="DU27:EA27"/>
    <mergeCell ref="EE27:EN27"/>
    <mergeCell ref="DQ28:DT28"/>
    <mergeCell ref="DU28:EA28"/>
    <mergeCell ref="EE28:EN28"/>
    <mergeCell ref="EB26:ED26"/>
    <mergeCell ref="EB27:ED27"/>
    <mergeCell ref="EB28:ED28"/>
    <mergeCell ref="DQ23:DT23"/>
    <mergeCell ref="DU23:EA23"/>
    <mergeCell ref="EE23:EN23"/>
    <mergeCell ref="DQ24:DT24"/>
    <mergeCell ref="DU24:EA24"/>
    <mergeCell ref="EE24:EN24"/>
    <mergeCell ref="DQ25:DT25"/>
    <mergeCell ref="DU25:EA25"/>
    <mergeCell ref="EE25:EN25"/>
    <mergeCell ref="EB23:ED23"/>
    <mergeCell ref="EB24:ED24"/>
    <mergeCell ref="EB25:ED25"/>
    <mergeCell ref="DQ22:DT22"/>
    <mergeCell ref="DU22:EA22"/>
    <mergeCell ref="EE22:EN22"/>
    <mergeCell ref="EB20:ED20"/>
    <mergeCell ref="EB21:ED21"/>
    <mergeCell ref="EB22:ED22"/>
    <mergeCell ref="EE17:EN17"/>
    <mergeCell ref="DQ18:DT18"/>
    <mergeCell ref="DU18:EA18"/>
    <mergeCell ref="EE18:EN18"/>
    <mergeCell ref="DQ19:DT19"/>
    <mergeCell ref="DU19:EA19"/>
    <mergeCell ref="EE19:EN19"/>
    <mergeCell ref="EB18:ED18"/>
    <mergeCell ref="EB19:ED19"/>
    <mergeCell ref="DQ17:DT17"/>
    <mergeCell ref="DU17:EA17"/>
    <mergeCell ref="DQ20:DT20"/>
    <mergeCell ref="DU20:EA20"/>
    <mergeCell ref="DU21:EA21"/>
    <mergeCell ref="EE21:EN21"/>
    <mergeCell ref="DU13:EA13"/>
    <mergeCell ref="EE13:EN13"/>
    <mergeCell ref="DQ15:DT15"/>
    <mergeCell ref="DU16:EA16"/>
    <mergeCell ref="DU5:EA5"/>
    <mergeCell ref="EE5:EN5"/>
    <mergeCell ref="DQ6:DT6"/>
    <mergeCell ref="DU6:EA6"/>
    <mergeCell ref="EE6:EN6"/>
    <mergeCell ref="DQ7:DT7"/>
    <mergeCell ref="DU7:EA7"/>
    <mergeCell ref="EE7:EN7"/>
    <mergeCell ref="EE15:EN15"/>
    <mergeCell ref="DQ16:DT16"/>
    <mergeCell ref="EE16:EN16"/>
    <mergeCell ref="DQ2:DT2"/>
    <mergeCell ref="DU2:EA2"/>
    <mergeCell ref="EE2:EN2"/>
    <mergeCell ref="DQ3:DT3"/>
    <mergeCell ref="DU3:EA3"/>
    <mergeCell ref="EE3:EN3"/>
    <mergeCell ref="DQ4:DT4"/>
    <mergeCell ref="DU4:EA4"/>
    <mergeCell ref="EE4:EN4"/>
    <mergeCell ref="EB2:ED2"/>
    <mergeCell ref="EB3:ED3"/>
    <mergeCell ref="EB4:ED4"/>
    <mergeCell ref="EB5:ED5"/>
    <mergeCell ref="EB6:ED6"/>
    <mergeCell ref="EB7:ED7"/>
    <mergeCell ref="EB8:ED8"/>
    <mergeCell ref="EB9:ED9"/>
    <mergeCell ref="DQ1:DT1"/>
    <mergeCell ref="DU1:EA1"/>
    <mergeCell ref="EB1:ED1"/>
    <mergeCell ref="EE1:EN1"/>
    <mergeCell ref="A36:C36"/>
    <mergeCell ref="D36:F36"/>
    <mergeCell ref="CS18:DH18"/>
    <mergeCell ref="DI18:DP18"/>
    <mergeCell ref="CS19:DH19"/>
    <mergeCell ref="DI19:DP19"/>
    <mergeCell ref="CS20:DH20"/>
    <mergeCell ref="DI20:DP20"/>
    <mergeCell ref="CS21:DH21"/>
    <mergeCell ref="DI3:DP3"/>
    <mergeCell ref="CS3:DH3"/>
    <mergeCell ref="CS15:DH15"/>
    <mergeCell ref="DI15:DP15"/>
    <mergeCell ref="CS16:DH16"/>
    <mergeCell ref="DI16:DP16"/>
    <mergeCell ref="CS17:DH17"/>
    <mergeCell ref="DI17:DP17"/>
    <mergeCell ref="DI1:DP2"/>
    <mergeCell ref="DI23:DP23"/>
    <mergeCell ref="CS23:DH23"/>
    <mergeCell ref="DI22:DP22"/>
    <mergeCell ref="CS22:DH22"/>
    <mergeCell ref="DI21:DP21"/>
    <mergeCell ref="CS4:DH4"/>
    <mergeCell ref="DI4:DP4"/>
    <mergeCell ref="CS5:DH5"/>
    <mergeCell ref="DI5:DP5"/>
    <mergeCell ref="CS6:DH6"/>
    <mergeCell ref="DI6:DP6"/>
    <mergeCell ref="CS7:DH7"/>
    <mergeCell ref="DI7:DP7"/>
    <mergeCell ref="CS8:DH8"/>
    <mergeCell ref="DI8:DP8"/>
    <mergeCell ref="CS9:DH9"/>
    <mergeCell ref="DI9:DP9"/>
    <mergeCell ref="CS10:DH10"/>
    <mergeCell ref="DI10:DP10"/>
    <mergeCell ref="CS11:DH11"/>
    <mergeCell ref="DI11:DP11"/>
    <mergeCell ref="CS12:DH12"/>
    <mergeCell ref="DI12:DP12"/>
    <mergeCell ref="CS13:DH13"/>
    <mergeCell ref="DI13:DP13"/>
    <mergeCell ref="CS1:DH2"/>
    <mergeCell ref="CS14:DH14"/>
    <mergeCell ref="DI14:DP14"/>
    <mergeCell ref="AM33:AV33"/>
    <mergeCell ref="AM19:AV19"/>
    <mergeCell ref="Y33:AB33"/>
    <mergeCell ref="AC8:AI8"/>
    <mergeCell ref="AC9:AI9"/>
    <mergeCell ref="AC10:AI10"/>
    <mergeCell ref="AC11:AI11"/>
    <mergeCell ref="AC12:AI12"/>
    <mergeCell ref="AC13:AI13"/>
    <mergeCell ref="AC14:AI14"/>
    <mergeCell ref="AC15:AI15"/>
    <mergeCell ref="AC16:AI16"/>
    <mergeCell ref="AC17:AI17"/>
    <mergeCell ref="AC18:AI18"/>
    <mergeCell ref="AC19:AI19"/>
    <mergeCell ref="AC20:AI20"/>
    <mergeCell ref="AC21:AI21"/>
    <mergeCell ref="AM17:AV17"/>
    <mergeCell ref="AM18:AV18"/>
    <mergeCell ref="Y30:AB30"/>
    <mergeCell ref="Y31:AB31"/>
    <mergeCell ref="Y22:AB22"/>
    <mergeCell ref="Y23:AB23"/>
    <mergeCell ref="AJ16:AL16"/>
    <mergeCell ref="AJ17:AL17"/>
    <mergeCell ref="AJ18:AL18"/>
    <mergeCell ref="AJ19:AL19"/>
    <mergeCell ref="AJ20:AL20"/>
    <mergeCell ref="AC30:AI30"/>
    <mergeCell ref="AJ29:AL29"/>
    <mergeCell ref="Y19:AB19"/>
    <mergeCell ref="Y20:AB20"/>
    <mergeCell ref="BU1:CR2"/>
    <mergeCell ref="BU4:BX4"/>
    <mergeCell ref="BU3:BX3"/>
    <mergeCell ref="CC3:CF3"/>
    <mergeCell ref="CC4:CF4"/>
    <mergeCell ref="CK3:CN3"/>
    <mergeCell ref="AM30:AV30"/>
    <mergeCell ref="AM32:AV32"/>
    <mergeCell ref="BS16:BT16"/>
    <mergeCell ref="AM31:AV31"/>
    <mergeCell ref="AM23:AV23"/>
    <mergeCell ref="AM24:AV24"/>
    <mergeCell ref="AM25:AV25"/>
    <mergeCell ref="AM14:AV14"/>
    <mergeCell ref="AM15:AV15"/>
    <mergeCell ref="AM16:AV16"/>
    <mergeCell ref="AC33:AI33"/>
    <mergeCell ref="AM21:AV21"/>
    <mergeCell ref="AM22:AV22"/>
    <mergeCell ref="AM26:AV26"/>
    <mergeCell ref="AM27:AV27"/>
    <mergeCell ref="AM28:AV28"/>
    <mergeCell ref="AM29:AV29"/>
    <mergeCell ref="AJ30:AL30"/>
    <mergeCell ref="AJ22:AL22"/>
    <mergeCell ref="AC29:AI29"/>
    <mergeCell ref="AC25:AI25"/>
    <mergeCell ref="AC26:AI26"/>
    <mergeCell ref="AW21:BA21"/>
    <mergeCell ref="AJ28:AL28"/>
    <mergeCell ref="AJ14:AL14"/>
    <mergeCell ref="AJ15:AL15"/>
    <mergeCell ref="A33:C33"/>
    <mergeCell ref="D33:F33"/>
    <mergeCell ref="CK4:CN4"/>
    <mergeCell ref="CK5:CN5"/>
    <mergeCell ref="BY3:CB3"/>
    <mergeCell ref="BY4:CB4"/>
    <mergeCell ref="CG3:CJ3"/>
    <mergeCell ref="CG4:CJ4"/>
    <mergeCell ref="BY5:CB5"/>
    <mergeCell ref="BU8:CR17"/>
    <mergeCell ref="CO3:CR3"/>
    <mergeCell ref="CO4:CR4"/>
    <mergeCell ref="CO5:CR5"/>
    <mergeCell ref="AW7:BA7"/>
    <mergeCell ref="BE20:BG20"/>
    <mergeCell ref="AW6:BA6"/>
    <mergeCell ref="BH13:BJ13"/>
    <mergeCell ref="CG5:CJ5"/>
    <mergeCell ref="BU18:CR19"/>
    <mergeCell ref="BU6:CR7"/>
    <mergeCell ref="BU5:BX5"/>
    <mergeCell ref="CC5:CF5"/>
    <mergeCell ref="BQ5:BR5"/>
    <mergeCell ref="BS5:BT5"/>
    <mergeCell ref="BB7:BC7"/>
    <mergeCell ref="BE7:BG7"/>
    <mergeCell ref="BH7:BJ7"/>
    <mergeCell ref="BB8:BC8"/>
    <mergeCell ref="BE8:BG8"/>
    <mergeCell ref="BH8:BJ8"/>
    <mergeCell ref="AW18:BA18"/>
    <mergeCell ref="AW19:BA19"/>
    <mergeCell ref="E24:F24"/>
    <mergeCell ref="A26:C26"/>
    <mergeCell ref="G42:R46"/>
    <mergeCell ref="D34:F34"/>
    <mergeCell ref="A35:C35"/>
    <mergeCell ref="D35:F35"/>
    <mergeCell ref="M41:Q41"/>
    <mergeCell ref="Y24:AB24"/>
    <mergeCell ref="Q24:R24"/>
    <mergeCell ref="AC31:AI31"/>
    <mergeCell ref="AC32:AI32"/>
    <mergeCell ref="P29:R29"/>
    <mergeCell ref="P30:R30"/>
    <mergeCell ref="L29:O29"/>
    <mergeCell ref="L30:O30"/>
    <mergeCell ref="E25:F25"/>
    <mergeCell ref="A25:D25"/>
    <mergeCell ref="A27:F27"/>
    <mergeCell ref="J30:K31"/>
    <mergeCell ref="G30:I31"/>
    <mergeCell ref="Q31:R32"/>
    <mergeCell ref="G28:I29"/>
    <mergeCell ref="J28:K29"/>
    <mergeCell ref="J32:K33"/>
    <mergeCell ref="G32:I33"/>
    <mergeCell ref="A24:D24"/>
    <mergeCell ref="A32:C32"/>
    <mergeCell ref="D32:F32"/>
    <mergeCell ref="L27:O27"/>
    <mergeCell ref="P26:Q26"/>
    <mergeCell ref="G26:I26"/>
    <mergeCell ref="S29:T29"/>
    <mergeCell ref="AJ41:AL41"/>
    <mergeCell ref="AJ42:AL42"/>
    <mergeCell ref="AJ43:AL43"/>
    <mergeCell ref="AJ44:AL44"/>
    <mergeCell ref="AJ45:AL45"/>
    <mergeCell ref="AJ46:AL46"/>
    <mergeCell ref="W60:X60"/>
    <mergeCell ref="A34:C34"/>
    <mergeCell ref="A42:F46"/>
    <mergeCell ref="P34:R34"/>
    <mergeCell ref="A37:F37"/>
    <mergeCell ref="A38:C38"/>
    <mergeCell ref="D38:F38"/>
    <mergeCell ref="A39:C39"/>
    <mergeCell ref="D39:F39"/>
    <mergeCell ref="A40:C40"/>
    <mergeCell ref="D40:F40"/>
    <mergeCell ref="U59:V59"/>
    <mergeCell ref="W59:X59"/>
    <mergeCell ref="O60:P60"/>
    <mergeCell ref="Q57:T57"/>
    <mergeCell ref="O58:P58"/>
    <mergeCell ref="Q58:T58"/>
    <mergeCell ref="U58:V58"/>
    <mergeCell ref="W58:X58"/>
    <mergeCell ref="G57:H57"/>
    <mergeCell ref="G56:H56"/>
    <mergeCell ref="M56:N56"/>
    <mergeCell ref="Y41:AB41"/>
    <mergeCell ref="Y26:AB26"/>
    <mergeCell ref="Y27:AB27"/>
    <mergeCell ref="Y28:AB28"/>
    <mergeCell ref="Y29:AB29"/>
    <mergeCell ref="AC28:AI28"/>
    <mergeCell ref="S27:T27"/>
    <mergeCell ref="S28:T28"/>
    <mergeCell ref="Q60:T60"/>
    <mergeCell ref="V38:X38"/>
    <mergeCell ref="Y32:AB32"/>
    <mergeCell ref="Q36:R37"/>
    <mergeCell ref="Q25:R25"/>
    <mergeCell ref="O25:P25"/>
    <mergeCell ref="P27:Q27"/>
    <mergeCell ref="W56:X56"/>
    <mergeCell ref="G38:R39"/>
    <mergeCell ref="S33:X33"/>
    <mergeCell ref="S36:U36"/>
    <mergeCell ref="V35:X35"/>
    <mergeCell ref="S31:U31"/>
    <mergeCell ref="S37:X37"/>
    <mergeCell ref="V34:X34"/>
    <mergeCell ref="O59:P59"/>
    <mergeCell ref="Y25:AB25"/>
    <mergeCell ref="I51:L51"/>
    <mergeCell ref="I52:L52"/>
    <mergeCell ref="G51:H51"/>
    <mergeCell ref="O51:P51"/>
    <mergeCell ref="Q51:T51"/>
    <mergeCell ref="U51:V51"/>
    <mergeCell ref="U60:V60"/>
    <mergeCell ref="O53:P53"/>
    <mergeCell ref="Y45:AB45"/>
    <mergeCell ref="U50:V50"/>
    <mergeCell ref="Q50:T50"/>
    <mergeCell ref="O50:P50"/>
    <mergeCell ref="G50:H50"/>
    <mergeCell ref="I50:L50"/>
    <mergeCell ref="Q59:T59"/>
    <mergeCell ref="BQ11:BR11"/>
    <mergeCell ref="BS11:BT11"/>
    <mergeCell ref="BL11:BM11"/>
    <mergeCell ref="BE9:BG9"/>
    <mergeCell ref="BH9:BJ9"/>
    <mergeCell ref="BE10:BG10"/>
    <mergeCell ref="AC27:AI27"/>
    <mergeCell ref="AW15:BA15"/>
    <mergeCell ref="AJ8:AL8"/>
    <mergeCell ref="AO7:AR7"/>
    <mergeCell ref="AM20:AV20"/>
    <mergeCell ref="AW16:BA16"/>
    <mergeCell ref="AW17:BA17"/>
    <mergeCell ref="BE13:BG13"/>
    <mergeCell ref="AW11:BA11"/>
    <mergeCell ref="BB9:BC9"/>
    <mergeCell ref="BB10:BC10"/>
    <mergeCell ref="BH10:BJ10"/>
    <mergeCell ref="BL17:BM17"/>
    <mergeCell ref="BQ17:BR17"/>
    <mergeCell ref="BL12:BM12"/>
    <mergeCell ref="BQ12:BR12"/>
    <mergeCell ref="BQ15:BR15"/>
    <mergeCell ref="BS15:BT15"/>
    <mergeCell ref="BL15:BM15"/>
    <mergeCell ref="BQ16:BR16"/>
    <mergeCell ref="BQ14:BR14"/>
    <mergeCell ref="BS14:BT14"/>
    <mergeCell ref="BL13:BM13"/>
    <mergeCell ref="AJ26:AL26"/>
    <mergeCell ref="AW14:BA14"/>
    <mergeCell ref="BS7:BT7"/>
    <mergeCell ref="BL8:BM8"/>
    <mergeCell ref="BQ8:BR8"/>
    <mergeCell ref="BQ10:BR10"/>
    <mergeCell ref="BS10:BT10"/>
    <mergeCell ref="BQ6:BR6"/>
    <mergeCell ref="BS6:BT6"/>
    <mergeCell ref="BL7:BM7"/>
    <mergeCell ref="BB3:BC3"/>
    <mergeCell ref="BE3:BG3"/>
    <mergeCell ref="BE4:BG4"/>
    <mergeCell ref="BB4:BC4"/>
    <mergeCell ref="BB6:BC6"/>
    <mergeCell ref="BE6:BG6"/>
    <mergeCell ref="BH6:BJ6"/>
    <mergeCell ref="AW8:BA8"/>
    <mergeCell ref="AW9:BA9"/>
    <mergeCell ref="AW10:BA10"/>
    <mergeCell ref="BH5:BJ5"/>
    <mergeCell ref="BL6:BM6"/>
    <mergeCell ref="BL10:BM10"/>
    <mergeCell ref="BS8:BT8"/>
    <mergeCell ref="BL9:BM9"/>
    <mergeCell ref="BQ9:BR9"/>
    <mergeCell ref="BS9:BT9"/>
    <mergeCell ref="BQ7:BR7"/>
    <mergeCell ref="BH4:BJ4"/>
    <mergeCell ref="A58:D58"/>
    <mergeCell ref="E60:F60"/>
    <mergeCell ref="A60:D60"/>
    <mergeCell ref="A59:D59"/>
    <mergeCell ref="G60:H60"/>
    <mergeCell ref="M60:N60"/>
    <mergeCell ref="E55:F55"/>
    <mergeCell ref="G55:H55"/>
    <mergeCell ref="E59:F59"/>
    <mergeCell ref="G59:H59"/>
    <mergeCell ref="E58:F58"/>
    <mergeCell ref="G58:H58"/>
    <mergeCell ref="M58:N58"/>
    <mergeCell ref="I58:L58"/>
    <mergeCell ref="M59:N59"/>
    <mergeCell ref="I59:L59"/>
    <mergeCell ref="I60:L60"/>
    <mergeCell ref="E56:F56"/>
    <mergeCell ref="E57:F57"/>
    <mergeCell ref="A53:D53"/>
    <mergeCell ref="M53:N53"/>
    <mergeCell ref="I53:L53"/>
    <mergeCell ref="U57:V57"/>
    <mergeCell ref="W57:X57"/>
    <mergeCell ref="O56:P56"/>
    <mergeCell ref="Q56:T56"/>
    <mergeCell ref="U56:V56"/>
    <mergeCell ref="A57:D57"/>
    <mergeCell ref="M57:N57"/>
    <mergeCell ref="I56:L56"/>
    <mergeCell ref="I57:L57"/>
    <mergeCell ref="A56:D56"/>
    <mergeCell ref="A55:D55"/>
    <mergeCell ref="M55:N55"/>
    <mergeCell ref="I54:L54"/>
    <mergeCell ref="I55:L55"/>
    <mergeCell ref="A54:D54"/>
    <mergeCell ref="O57:P57"/>
    <mergeCell ref="E53:F53"/>
    <mergeCell ref="G53:H53"/>
    <mergeCell ref="O55:P55"/>
    <mergeCell ref="Q55:T55"/>
    <mergeCell ref="U55:V55"/>
    <mergeCell ref="W55:X55"/>
    <mergeCell ref="E54:F54"/>
    <mergeCell ref="G54:H54"/>
    <mergeCell ref="M54:N54"/>
    <mergeCell ref="O54:P54"/>
    <mergeCell ref="Q54:T54"/>
    <mergeCell ref="U54:V54"/>
    <mergeCell ref="W54:X54"/>
    <mergeCell ref="A50:D50"/>
    <mergeCell ref="M50:N50"/>
    <mergeCell ref="E52:F52"/>
    <mergeCell ref="G52:H52"/>
    <mergeCell ref="M52:N52"/>
    <mergeCell ref="U52:V52"/>
    <mergeCell ref="O52:P52"/>
    <mergeCell ref="Q52:T52"/>
    <mergeCell ref="A7:D7"/>
    <mergeCell ref="G7:H7"/>
    <mergeCell ref="I7:L7"/>
    <mergeCell ref="O7:P7"/>
    <mergeCell ref="Q7:T7"/>
    <mergeCell ref="G40:K40"/>
    <mergeCell ref="G41:K41"/>
    <mergeCell ref="J26:K26"/>
    <mergeCell ref="A22:F23"/>
    <mergeCell ref="A52:D52"/>
    <mergeCell ref="A51:D51"/>
    <mergeCell ref="M51:N51"/>
    <mergeCell ref="V36:X36"/>
    <mergeCell ref="S38:U38"/>
    <mergeCell ref="S35:U35"/>
    <mergeCell ref="V32:X32"/>
    <mergeCell ref="I8:L8"/>
    <mergeCell ref="O8:P8"/>
    <mergeCell ref="Q8:T8"/>
    <mergeCell ref="W51:X51"/>
    <mergeCell ref="W50:X50"/>
    <mergeCell ref="W52:X52"/>
    <mergeCell ref="E50:F50"/>
    <mergeCell ref="E51:F51"/>
    <mergeCell ref="A1:D1"/>
    <mergeCell ref="O1:R1"/>
    <mergeCell ref="A2:D2"/>
    <mergeCell ref="O2:R2"/>
    <mergeCell ref="A6:D6"/>
    <mergeCell ref="G6:H6"/>
    <mergeCell ref="I6:L6"/>
    <mergeCell ref="O6:P6"/>
    <mergeCell ref="Q6:T6"/>
    <mergeCell ref="A3:X4"/>
    <mergeCell ref="G5:H5"/>
    <mergeCell ref="O5:P5"/>
    <mergeCell ref="W5:X5"/>
    <mergeCell ref="Q5:T5"/>
    <mergeCell ref="I5:L5"/>
    <mergeCell ref="A5:D5"/>
    <mergeCell ref="W6:X6"/>
    <mergeCell ref="S1:X1"/>
    <mergeCell ref="S2:X2"/>
    <mergeCell ref="E1:N1"/>
    <mergeCell ref="E2:N2"/>
    <mergeCell ref="Q12:R12"/>
    <mergeCell ref="A41:C41"/>
    <mergeCell ref="D41:F41"/>
    <mergeCell ref="Y42:AB42"/>
    <mergeCell ref="AC42:AI42"/>
    <mergeCell ref="AM42:AV42"/>
    <mergeCell ref="Y43:AB43"/>
    <mergeCell ref="AC43:AI43"/>
    <mergeCell ref="AM43:AV43"/>
    <mergeCell ref="Y44:AB44"/>
    <mergeCell ref="AC44:AI44"/>
    <mergeCell ref="AM44:AV44"/>
    <mergeCell ref="Y21:AB21"/>
    <mergeCell ref="Y34:AB34"/>
    <mergeCell ref="AC34:AI34"/>
    <mergeCell ref="AM34:AV34"/>
    <mergeCell ref="Y35:AB35"/>
    <mergeCell ref="AC35:AI35"/>
    <mergeCell ref="AM35:AV35"/>
    <mergeCell ref="Y36:AB36"/>
    <mergeCell ref="AC36:AI36"/>
    <mergeCell ref="AM36:AV36"/>
    <mergeCell ref="Y37:AB37"/>
    <mergeCell ref="AC37:AI37"/>
    <mergeCell ref="AM37:AV37"/>
    <mergeCell ref="AJ27:AL27"/>
    <mergeCell ref="AC22:AI22"/>
    <mergeCell ref="AC23:AI23"/>
    <mergeCell ref="AC24:AI24"/>
    <mergeCell ref="AJ23:AL23"/>
    <mergeCell ref="AJ24:AL24"/>
    <mergeCell ref="AJ25:AL25"/>
    <mergeCell ref="W7:X7"/>
    <mergeCell ref="W8:X8"/>
    <mergeCell ref="A9:X10"/>
    <mergeCell ref="A8:D8"/>
    <mergeCell ref="G8:H8"/>
    <mergeCell ref="W53:X53"/>
    <mergeCell ref="M11:P11"/>
    <mergeCell ref="Q11:R11"/>
    <mergeCell ref="S11:X11"/>
    <mergeCell ref="S40:U40"/>
    <mergeCell ref="V40:X40"/>
    <mergeCell ref="M40:Q40"/>
    <mergeCell ref="O24:P24"/>
    <mergeCell ref="S26:T26"/>
    <mergeCell ref="S25:T25"/>
    <mergeCell ref="L26:O26"/>
    <mergeCell ref="S24:X24"/>
    <mergeCell ref="S32:U32"/>
    <mergeCell ref="V31:X31"/>
    <mergeCell ref="S22:X23"/>
    <mergeCell ref="S39:U39"/>
    <mergeCell ref="S34:U34"/>
    <mergeCell ref="S30:U30"/>
    <mergeCell ref="Q53:T53"/>
    <mergeCell ref="U53:V53"/>
    <mergeCell ref="S41:X46"/>
    <mergeCell ref="V39:X39"/>
    <mergeCell ref="A12:D12"/>
    <mergeCell ref="E12:F12"/>
    <mergeCell ref="G12:J12"/>
    <mergeCell ref="K12:L12"/>
    <mergeCell ref="M12:P12"/>
    <mergeCell ref="BL14:BM14"/>
    <mergeCell ref="BS17:BT17"/>
    <mergeCell ref="BL16:BM16"/>
    <mergeCell ref="BB15:BC15"/>
    <mergeCell ref="BB20:BC20"/>
    <mergeCell ref="AJ21:AL21"/>
    <mergeCell ref="BH20:BJ20"/>
    <mergeCell ref="BB17:BC17"/>
    <mergeCell ref="BE17:BG17"/>
    <mergeCell ref="BH17:BJ17"/>
    <mergeCell ref="BB18:BC18"/>
    <mergeCell ref="BH19:BJ19"/>
    <mergeCell ref="BS13:BT13"/>
    <mergeCell ref="AW12:BA12"/>
    <mergeCell ref="AW13:BA13"/>
    <mergeCell ref="BS12:BT12"/>
    <mergeCell ref="BQ13:BR13"/>
    <mergeCell ref="BL19:BM19"/>
    <mergeCell ref="BQ19:BR19"/>
    <mergeCell ref="BS19:BT19"/>
    <mergeCell ref="BE18:BG18"/>
    <mergeCell ref="BH18:BJ18"/>
    <mergeCell ref="BB19:BC19"/>
    <mergeCell ref="BE19:BG19"/>
    <mergeCell ref="BQ18:BR18"/>
    <mergeCell ref="BL18:BM18"/>
    <mergeCell ref="BS18:BT18"/>
    <mergeCell ref="AM12:AV12"/>
    <mergeCell ref="Y3:AE4"/>
    <mergeCell ref="Y5:AE6"/>
    <mergeCell ref="AF3:AV4"/>
    <mergeCell ref="AF5:AV6"/>
    <mergeCell ref="Y17:AB17"/>
    <mergeCell ref="Y18:AB18"/>
    <mergeCell ref="Y8:AB8"/>
    <mergeCell ref="Y9:AB9"/>
    <mergeCell ref="Y10:AB10"/>
    <mergeCell ref="Y11:AB11"/>
    <mergeCell ref="Y12:AB12"/>
    <mergeCell ref="Y13:AB13"/>
    <mergeCell ref="Y14:AB14"/>
    <mergeCell ref="Y15:AB15"/>
    <mergeCell ref="Y16:AB16"/>
    <mergeCell ref="AM8:AV8"/>
    <mergeCell ref="AM9:AV9"/>
    <mergeCell ref="AM10:AV10"/>
    <mergeCell ref="AM11:AV11"/>
    <mergeCell ref="AM13:AV13"/>
    <mergeCell ref="AK7:AN7"/>
    <mergeCell ref="AC7:AH7"/>
    <mergeCell ref="DI39:DP39"/>
    <mergeCell ref="CS40:DH40"/>
    <mergeCell ref="DI40:DP40"/>
    <mergeCell ref="DI35:DP35"/>
    <mergeCell ref="DI42:DP42"/>
    <mergeCell ref="CS25:DH25"/>
    <mergeCell ref="DI24:DP24"/>
    <mergeCell ref="CS24:DH24"/>
    <mergeCell ref="DI29:DP29"/>
    <mergeCell ref="CS29:DH29"/>
    <mergeCell ref="DI28:DP28"/>
    <mergeCell ref="CS28:DH28"/>
    <mergeCell ref="DI27:DP27"/>
    <mergeCell ref="CS27:DH27"/>
    <mergeCell ref="DI26:DP26"/>
    <mergeCell ref="CS26:DH26"/>
    <mergeCell ref="DI25:DP25"/>
    <mergeCell ref="BS20:BT20"/>
    <mergeCell ref="BL20:BM20"/>
    <mergeCell ref="BQ20:BR20"/>
    <mergeCell ref="BL21:BM21"/>
    <mergeCell ref="BS21:BT21"/>
    <mergeCell ref="AW25:AY26"/>
    <mergeCell ref="AZ25:BD26"/>
    <mergeCell ref="Y38:AB38"/>
    <mergeCell ref="AC38:AI38"/>
    <mergeCell ref="AM38:AV38"/>
    <mergeCell ref="Y39:AB39"/>
    <mergeCell ref="AC39:AI39"/>
    <mergeCell ref="AM39:AV39"/>
    <mergeCell ref="AJ39:AL39"/>
    <mergeCell ref="AJ38:AL38"/>
    <mergeCell ref="AC40:AI40"/>
    <mergeCell ref="AM40:AV40"/>
    <mergeCell ref="AZ35:BD36"/>
    <mergeCell ref="AZ37:BD38"/>
    <mergeCell ref="Y40:AB40"/>
    <mergeCell ref="BE37:BF38"/>
    <mergeCell ref="BG37:BT38"/>
    <mergeCell ref="BE35:BF36"/>
    <mergeCell ref="BG35:BT36"/>
    <mergeCell ref="AW27:AY28"/>
    <mergeCell ref="AW29:AY30"/>
    <mergeCell ref="AW31:AY32"/>
    <mergeCell ref="AW33:AY34"/>
    <mergeCell ref="AW35:AY36"/>
    <mergeCell ref="AW37:AY38"/>
    <mergeCell ref="AW39:AY40"/>
    <mergeCell ref="AJ40:AL40"/>
    <mergeCell ref="CS43:DH43"/>
    <mergeCell ref="DI43:DP43"/>
    <mergeCell ref="CS44:DH44"/>
    <mergeCell ref="DI44:DP44"/>
    <mergeCell ref="CS36:DH36"/>
    <mergeCell ref="DI36:DP36"/>
    <mergeCell ref="CS37:DH37"/>
    <mergeCell ref="DI37:DP37"/>
    <mergeCell ref="CS38:DH38"/>
    <mergeCell ref="DI38:DP38"/>
    <mergeCell ref="BE25:BF26"/>
    <mergeCell ref="BG25:BT26"/>
    <mergeCell ref="AW22:BT23"/>
    <mergeCell ref="AW24:AY24"/>
    <mergeCell ref="AZ24:BD24"/>
    <mergeCell ref="BE24:BF24"/>
    <mergeCell ref="BG24:BT24"/>
    <mergeCell ref="BG41:BT42"/>
    <mergeCell ref="AW43:AY44"/>
    <mergeCell ref="CS41:DH41"/>
    <mergeCell ref="AW41:AY42"/>
    <mergeCell ref="CS39:DH39"/>
    <mergeCell ref="CS42:DH42"/>
    <mergeCell ref="DI41:DP41"/>
    <mergeCell ref="DI30:DP30"/>
    <mergeCell ref="CS31:DH31"/>
    <mergeCell ref="DI31:DP31"/>
    <mergeCell ref="CS32:DH32"/>
    <mergeCell ref="DI32:DP32"/>
    <mergeCell ref="CS33:DH33"/>
    <mergeCell ref="DI33:DP33"/>
    <mergeCell ref="CS30:DH30"/>
    <mergeCell ref="CS45:DH45"/>
    <mergeCell ref="DI45:DP45"/>
    <mergeCell ref="AW45:AY46"/>
    <mergeCell ref="CS46:DH46"/>
    <mergeCell ref="DI46:DP46"/>
    <mergeCell ref="BU20:CR46"/>
    <mergeCell ref="AZ27:BD28"/>
    <mergeCell ref="BE27:BF28"/>
    <mergeCell ref="BG27:BT28"/>
    <mergeCell ref="AZ29:BD30"/>
    <mergeCell ref="BE29:BF30"/>
    <mergeCell ref="BG29:BT30"/>
    <mergeCell ref="AZ31:BD32"/>
    <mergeCell ref="BE31:BF32"/>
    <mergeCell ref="BG31:BT32"/>
    <mergeCell ref="AZ33:BD34"/>
    <mergeCell ref="BE33:BF34"/>
    <mergeCell ref="BG33:BT34"/>
    <mergeCell ref="BQ21:BR21"/>
    <mergeCell ref="CS34:DH34"/>
    <mergeCell ref="DI34:DP34"/>
    <mergeCell ref="CS35:DH35"/>
    <mergeCell ref="BE43:BF44"/>
    <mergeCell ref="BG43:BT44"/>
    <mergeCell ref="AZ45:BD46"/>
    <mergeCell ref="BE45:BF46"/>
    <mergeCell ref="BG45:BT46"/>
    <mergeCell ref="AZ39:BD40"/>
    <mergeCell ref="BE39:BF40"/>
    <mergeCell ref="BG39:BT40"/>
    <mergeCell ref="AZ41:BD42"/>
    <mergeCell ref="BE41:BF42"/>
    <mergeCell ref="AC45:AI45"/>
    <mergeCell ref="AM45:AV45"/>
    <mergeCell ref="Y46:AB46"/>
    <mergeCell ref="AC46:AI46"/>
    <mergeCell ref="AM46:AV46"/>
    <mergeCell ref="AC41:AI41"/>
    <mergeCell ref="AM41:AV41"/>
    <mergeCell ref="AZ43:BD44"/>
    <mergeCell ref="Y1:AV2"/>
    <mergeCell ref="Y7:AB7"/>
    <mergeCell ref="AJ9:AL9"/>
    <mergeCell ref="AJ10:AL10"/>
    <mergeCell ref="AJ11:AL11"/>
    <mergeCell ref="AJ12:AL12"/>
    <mergeCell ref="AJ13:AL13"/>
    <mergeCell ref="BQ4:BR4"/>
    <mergeCell ref="BS4:BT4"/>
    <mergeCell ref="BL4:BM4"/>
    <mergeCell ref="AW1:BN2"/>
    <mergeCell ref="BO1:BT2"/>
    <mergeCell ref="BQ3:BR3"/>
    <mergeCell ref="BS3:BT3"/>
    <mergeCell ref="BL3:BM3"/>
    <mergeCell ref="BL5:BM5"/>
    <mergeCell ref="BH3:BJ3"/>
    <mergeCell ref="AS7:AV7"/>
    <mergeCell ref="AI7:AJ7"/>
    <mergeCell ref="AW3:BA3"/>
    <mergeCell ref="AW4:BA4"/>
    <mergeCell ref="AW5:BA5"/>
    <mergeCell ref="BB5:BC5"/>
    <mergeCell ref="BE5:BG5"/>
  </mergeCells>
  <conditionalFormatting sqref="G6:H8 W6:X8 O6:P8">
    <cfRule type="cellIs" dxfId="471" priority="16" operator="equal">
      <formula>0</formula>
    </cfRule>
  </conditionalFormatting>
  <conditionalFormatting sqref="L36:R37">
    <cfRule type="expression" dxfId="470" priority="12">
      <formula>IF($N$8=0,1,0)=1</formula>
    </cfRule>
  </conditionalFormatting>
  <conditionalFormatting sqref="DQ1:DT1048576">
    <cfRule type="expression" dxfId="469" priority="4">
      <formula>IF($GB$12&lt;39,1,0)=1</formula>
    </cfRule>
  </conditionalFormatting>
  <conditionalFormatting sqref="DU1:EN1048576">
    <cfRule type="expression" dxfId="468" priority="3">
      <formula>IF($GB$12&lt;39,1,0)=1</formula>
    </cfRule>
  </conditionalFormatting>
  <conditionalFormatting sqref="EO1:ER1048576">
    <cfRule type="expression" dxfId="467" priority="2">
      <formula>IF($GB$12&lt;84,1,0)=1</formula>
    </cfRule>
  </conditionalFormatting>
  <conditionalFormatting sqref="ES1:FL46">
    <cfRule type="expression" dxfId="466" priority="1">
      <formula>IF($GB$12&lt;84,1,0)=1</formula>
    </cfRule>
  </conditionalFormatting>
  <dataValidations count="3">
    <dataValidation type="list" allowBlank="1" showInputMessage="1" showErrorMessage="1" sqref="AW27 AW29 AW31 AW33 AW35 AW37 AW39 AW41 AW43 AW45 AW25">
      <formula1>Birthrights</formula1>
    </dataValidation>
    <dataValidation type="list" allowBlank="1" showInputMessage="1" showErrorMessage="1" sqref="AW4:AW21">
      <formula1>Weapon</formula1>
    </dataValidation>
    <dataValidation type="list" allowBlank="1" showInputMessage="1" showErrorMessage="1" sqref="D28">
      <formula1>Armor</formula1>
    </dataValidation>
  </dataValidations>
  <pageMargins left="0.7" right="0.7" top="0.75" bottom="0.75" header="0.3" footer="0.3"/>
  <pageSetup scale="99" orientation="portrait" r:id="rId1"/>
  <colBreaks count="4" manualBreakCount="4">
    <brk id="24" max="1048575" man="1"/>
    <brk id="48" max="1048575" man="1"/>
    <brk id="72" max="1048575" man="1"/>
    <brk id="144" max="1048575" man="1"/>
  </colBreaks>
  <legacyDrawing r:id="rId2"/>
  <extLst>
    <ext xmlns:x14="http://schemas.microsoft.com/office/spreadsheetml/2009/9/main" uri="{78C0D931-6437-407d-A8EE-F0AAD7539E65}">
      <x14:conditionalFormattings>
        <x14:conditionalFormatting xmlns:xm="http://schemas.microsoft.com/office/excel/2006/main">
          <x14:cfRule type="expression" priority="17" id="{14EE92E8-7155-4CA7-96D7-80054D6C0BDA}">
            <xm:f>IF('Purchased Knacks'!$E$46="No",1,0)=1</xm:f>
            <x14:dxf>
              <font>
                <color theme="0"/>
              </font>
              <border>
                <left/>
                <right style="thin">
                  <color auto="1"/>
                </right>
                <top style="thin">
                  <color auto="1"/>
                </top>
                <bottom/>
                <vertical/>
                <horizontal/>
              </border>
            </x14:dxf>
          </x14:cfRule>
          <xm:sqref>A37:F37</xm:sqref>
        </x14:conditionalFormatting>
        <x14:conditionalFormatting xmlns:xm="http://schemas.microsoft.com/office/excel/2006/main">
          <x14:cfRule type="expression" priority="15" id="{07748D34-518B-4BEF-859E-70F46297DEDA}">
            <xm:f>IF('Purchased Knacks'!$E$46="No",1,0)=1</xm:f>
            <x14:dxf>
              <font>
                <color theme="0"/>
              </font>
              <border>
                <left/>
                <right style="thin">
                  <color auto="1"/>
                </right>
                <top/>
                <bottom/>
                <vertical/>
                <horizontal/>
              </border>
            </x14:dxf>
          </x14:cfRule>
          <xm:sqref>D38:F41</xm:sqref>
        </x14:conditionalFormatting>
        <x14:conditionalFormatting xmlns:xm="http://schemas.microsoft.com/office/excel/2006/main">
          <x14:cfRule type="expression" priority="14" id="{302445A1-E5BD-4794-8B37-9025CC44A81F}">
            <xm:f>IF('Purchased Knacks'!$E$46="No",1,0)=1</xm:f>
            <x14:dxf>
              <font>
                <color theme="0"/>
              </font>
              <border>
                <left/>
                <right/>
                <top/>
                <bottom/>
                <vertical/>
                <horizontal/>
              </border>
            </x14:dxf>
          </x14:cfRule>
          <xm:sqref>A38:C41</xm:sqref>
        </x14:conditionalFormatting>
        <x14:conditionalFormatting xmlns:xm="http://schemas.microsoft.com/office/excel/2006/main">
          <x14:cfRule type="expression" priority="13" id="{268D3F94-0428-4E25-82FC-359B41F4A06C}">
            <xm:f>IF('Purchased Knacks'!$E$42="No",1,0)=1</xm:f>
            <x14:dxf>
              <font>
                <color theme="0"/>
              </font>
            </x14:dxf>
          </x14:cfRule>
          <xm:sqref>A25:F25</xm:sqref>
        </x14:conditionalFormatting>
        <x14:conditionalFormatting xmlns:xm="http://schemas.microsoft.com/office/excel/2006/main">
          <x14:cfRule type="expression" priority="10" id="{2478C2F8-2801-4BE7-A168-8B76FF430A71}">
            <xm:f>IF('Purchased Knacks'!$E$31="yes",1,0)=0</xm:f>
            <x14:dxf>
              <font>
                <color theme="0"/>
              </font>
            </x14:dxf>
          </x14:cfRule>
          <xm:sqref>G27:K27</xm:sqref>
        </x14:conditionalFormatting>
        <x14:conditionalFormatting xmlns:xm="http://schemas.microsoft.com/office/excel/2006/main">
          <x14:cfRule type="expression" priority="9" id="{0AAF3CC9-2ABD-4175-B320-70BF1ABC1261}">
            <xm:f>IF('Purchased Knacks'!$E$26="yes",1,0)=0</xm:f>
            <x14:dxf>
              <font>
                <color theme="0"/>
              </font>
            </x14:dxf>
          </x14:cfRule>
          <xm:sqref>G30:K31</xm:sqref>
        </x14:conditionalFormatting>
        <x14:conditionalFormatting xmlns:xm="http://schemas.microsoft.com/office/excel/2006/main">
          <x14:cfRule type="expression" priority="8" id="{6DD528BC-414C-4C00-B943-91728B401E00}">
            <xm:f>IF('Purchased Knacks'!$E$67="Yes",1,0)=0</xm:f>
            <x14:dxf>
              <font>
                <color theme="0"/>
              </font>
            </x14:dxf>
          </x14:cfRule>
          <xm:sqref>L34:R34</xm:sqref>
        </x14:conditionalFormatting>
        <x14:conditionalFormatting xmlns:xm="http://schemas.microsoft.com/office/excel/2006/main">
          <x14:cfRule type="expression" priority="6" id="{BB03DFDE-7C32-401D-BDB4-6C728F7EB8D9}">
            <xm:f>IF('Purchased Knacks'!$E$18="Yes",1,0)=0</xm:f>
            <x14:dxf>
              <font>
                <color theme="0"/>
              </font>
            </x14:dxf>
          </x14:cfRule>
          <xm:sqref>L28:R28</xm:sqref>
        </x14:conditionalFormatting>
        <x14:conditionalFormatting xmlns:xm="http://schemas.microsoft.com/office/excel/2006/main">
          <x14:cfRule type="expression" priority="18" id="{07EC0E09-65EA-4A8B-97C9-8013F8E86DE1}">
            <xm:f>IF($FX$1&gt;'Purchased Knacks'!$B$192,1,0)=1</xm:f>
            <x14:dxf>
              <font>
                <color theme="0"/>
              </font>
              <border>
                <right/>
                <top/>
                <bottom/>
                <vertical/>
                <horizontal/>
              </border>
            </x14:dxf>
          </x14:cfRule>
          <xm:sqref>DQ1:DT46</xm:sqref>
        </x14:conditionalFormatting>
        <x14:conditionalFormatting xmlns:xm="http://schemas.microsoft.com/office/excel/2006/main">
          <x14:cfRule type="expression" priority="19" id="{BB8C41CB-2954-4492-90C1-253F5C576FCC}">
            <xm:f>IF($FX$1&gt;'Purchased Knacks'!$B$192,1,0)=1</xm:f>
            <x14:dxf>
              <font>
                <color theme="0"/>
              </font>
              <border>
                <left/>
                <right/>
                <top/>
                <bottom/>
                <vertical/>
                <horizontal/>
              </border>
            </x14:dxf>
          </x14:cfRule>
          <xm:sqref>DU1:EN1048576</xm:sqref>
        </x14:conditionalFormatting>
        <x14:conditionalFormatting xmlns:xm="http://schemas.microsoft.com/office/excel/2006/main">
          <x14:cfRule type="expression" priority="20" id="{EC3C3186-4D59-48E3-9C5A-C5864E1FC17D}">
            <xm:f>IF($FY$1&gt;'Purchased Knacks'!$B$192,1,0)=1</xm:f>
            <x14:dxf>
              <font>
                <color theme="0"/>
              </font>
              <border>
                <right/>
                <top/>
                <bottom/>
                <vertical/>
                <horizontal/>
              </border>
            </x14:dxf>
          </x14:cfRule>
          <xm:sqref>EO1:ER46</xm:sqref>
        </x14:conditionalFormatting>
        <x14:conditionalFormatting xmlns:xm="http://schemas.microsoft.com/office/excel/2006/main">
          <x14:cfRule type="expression" priority="21" id="{4155B807-9EBA-4034-8B85-5D5BDEC338A1}">
            <xm:f>IF($FY$1&gt;'Purchased Knacks'!$B$192,1,0)=1</xm:f>
            <x14:dxf>
              <font>
                <color theme="0"/>
              </font>
              <border>
                <left/>
                <right/>
                <top/>
                <bottom/>
                <vertical/>
                <horizontal/>
              </border>
            </x14:dxf>
          </x14:cfRule>
          <xm:sqref>ES1:FL46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tint="-0.499984740745262"/>
  </sheetPr>
  <dimension ref="A1:V470"/>
  <sheetViews>
    <sheetView zoomScaleNormal="100" zoomScaleSheetLayoutView="100" workbookViewId="0">
      <selection activeCell="A3" sqref="A3:I46"/>
    </sheetView>
  </sheetViews>
  <sheetFormatPr defaultRowHeight="15" x14ac:dyDescent="0.25"/>
  <cols>
    <col min="1" max="9" width="9.140625" style="312"/>
    <col min="10" max="9490" width="9.140625" style="312" customWidth="1"/>
    <col min="9491" max="16384" width="9.140625" style="312"/>
  </cols>
  <sheetData>
    <row r="1" spans="1:22" x14ac:dyDescent="0.25">
      <c r="A1" s="1017" t="str">
        <f>CONCATENATE("Notes for"," ",CharacterSheet!$E$1)</f>
        <v xml:space="preserve">Notes for </v>
      </c>
      <c r="B1" s="1018"/>
      <c r="C1" s="1018"/>
      <c r="D1" s="1018"/>
      <c r="E1" s="1018"/>
      <c r="F1" s="1018"/>
      <c r="G1" s="1018"/>
      <c r="H1" s="1018"/>
      <c r="I1" s="1019"/>
      <c r="J1" s="311"/>
      <c r="K1" s="311"/>
      <c r="L1" s="311"/>
      <c r="M1" s="311"/>
      <c r="N1" s="311"/>
      <c r="O1" s="311"/>
      <c r="P1" s="311"/>
      <c r="Q1" s="311"/>
      <c r="R1" s="311"/>
      <c r="S1" s="311"/>
      <c r="T1" s="311"/>
      <c r="U1" s="311"/>
      <c r="V1" s="311"/>
    </row>
    <row r="2" spans="1:22" ht="15.75" thickBot="1" x14ac:dyDescent="0.3">
      <c r="A2" s="1020"/>
      <c r="B2" s="1021"/>
      <c r="C2" s="1021"/>
      <c r="D2" s="1021"/>
      <c r="E2" s="1021"/>
      <c r="F2" s="1021"/>
      <c r="G2" s="1021"/>
      <c r="H2" s="1021"/>
      <c r="I2" s="1022"/>
      <c r="J2" s="311"/>
      <c r="K2" s="311"/>
      <c r="L2" s="311"/>
      <c r="M2" s="311"/>
      <c r="N2" s="311"/>
      <c r="O2" s="311"/>
      <c r="P2" s="311"/>
      <c r="Q2" s="311"/>
      <c r="R2" s="311"/>
      <c r="S2" s="311"/>
      <c r="T2" s="311"/>
      <c r="U2" s="311"/>
      <c r="V2" s="311"/>
    </row>
    <row r="3" spans="1:22" x14ac:dyDescent="0.25">
      <c r="A3" s="1008"/>
      <c r="B3" s="1009"/>
      <c r="C3" s="1009"/>
      <c r="D3" s="1009"/>
      <c r="E3" s="1009"/>
      <c r="F3" s="1009"/>
      <c r="G3" s="1009"/>
      <c r="H3" s="1009"/>
      <c r="I3" s="1010"/>
    </row>
    <row r="4" spans="1:22" x14ac:dyDescent="0.25">
      <c r="A4" s="1011"/>
      <c r="B4" s="1012"/>
      <c r="C4" s="1012"/>
      <c r="D4" s="1012"/>
      <c r="E4" s="1012"/>
      <c r="F4" s="1012"/>
      <c r="G4" s="1012"/>
      <c r="H4" s="1012"/>
      <c r="I4" s="1013"/>
    </row>
    <row r="5" spans="1:22" x14ac:dyDescent="0.25">
      <c r="A5" s="1011"/>
      <c r="B5" s="1012"/>
      <c r="C5" s="1012"/>
      <c r="D5" s="1012"/>
      <c r="E5" s="1012"/>
      <c r="F5" s="1012"/>
      <c r="G5" s="1012"/>
      <c r="H5" s="1012"/>
      <c r="I5" s="1013"/>
    </row>
    <row r="6" spans="1:22" x14ac:dyDescent="0.25">
      <c r="A6" s="1011"/>
      <c r="B6" s="1012"/>
      <c r="C6" s="1012"/>
      <c r="D6" s="1012"/>
      <c r="E6" s="1012"/>
      <c r="F6" s="1012"/>
      <c r="G6" s="1012"/>
      <c r="H6" s="1012"/>
      <c r="I6" s="1013"/>
    </row>
    <row r="7" spans="1:22" x14ac:dyDescent="0.25">
      <c r="A7" s="1011"/>
      <c r="B7" s="1012"/>
      <c r="C7" s="1012"/>
      <c r="D7" s="1012"/>
      <c r="E7" s="1012"/>
      <c r="F7" s="1012"/>
      <c r="G7" s="1012"/>
      <c r="H7" s="1012"/>
      <c r="I7" s="1013"/>
    </row>
    <row r="8" spans="1:22" x14ac:dyDescent="0.25">
      <c r="A8" s="1011"/>
      <c r="B8" s="1012"/>
      <c r="C8" s="1012"/>
      <c r="D8" s="1012"/>
      <c r="E8" s="1012"/>
      <c r="F8" s="1012"/>
      <c r="G8" s="1012"/>
      <c r="H8" s="1012"/>
      <c r="I8" s="1013"/>
    </row>
    <row r="9" spans="1:22" x14ac:dyDescent="0.25">
      <c r="A9" s="1011"/>
      <c r="B9" s="1012"/>
      <c r="C9" s="1012"/>
      <c r="D9" s="1012"/>
      <c r="E9" s="1012"/>
      <c r="F9" s="1012"/>
      <c r="G9" s="1012"/>
      <c r="H9" s="1012"/>
      <c r="I9" s="1013"/>
    </row>
    <row r="10" spans="1:22" x14ac:dyDescent="0.25">
      <c r="A10" s="1011"/>
      <c r="B10" s="1012"/>
      <c r="C10" s="1012"/>
      <c r="D10" s="1012"/>
      <c r="E10" s="1012"/>
      <c r="F10" s="1012"/>
      <c r="G10" s="1012"/>
      <c r="H10" s="1012"/>
      <c r="I10" s="1013"/>
    </row>
    <row r="11" spans="1:22" x14ac:dyDescent="0.25">
      <c r="A11" s="1011"/>
      <c r="B11" s="1012"/>
      <c r="C11" s="1012"/>
      <c r="D11" s="1012"/>
      <c r="E11" s="1012"/>
      <c r="F11" s="1012"/>
      <c r="G11" s="1012"/>
      <c r="H11" s="1012"/>
      <c r="I11" s="1013"/>
    </row>
    <row r="12" spans="1:22" x14ac:dyDescent="0.25">
      <c r="A12" s="1011"/>
      <c r="B12" s="1012"/>
      <c r="C12" s="1012"/>
      <c r="D12" s="1012"/>
      <c r="E12" s="1012"/>
      <c r="F12" s="1012"/>
      <c r="G12" s="1012"/>
      <c r="H12" s="1012"/>
      <c r="I12" s="1013"/>
    </row>
    <row r="13" spans="1:22" x14ac:dyDescent="0.25">
      <c r="A13" s="1011"/>
      <c r="B13" s="1012"/>
      <c r="C13" s="1012"/>
      <c r="D13" s="1012"/>
      <c r="E13" s="1012"/>
      <c r="F13" s="1012"/>
      <c r="G13" s="1012"/>
      <c r="H13" s="1012"/>
      <c r="I13" s="1013"/>
    </row>
    <row r="14" spans="1:22" x14ac:dyDescent="0.25">
      <c r="A14" s="1011"/>
      <c r="B14" s="1012"/>
      <c r="C14" s="1012"/>
      <c r="D14" s="1012"/>
      <c r="E14" s="1012"/>
      <c r="F14" s="1012"/>
      <c r="G14" s="1012"/>
      <c r="H14" s="1012"/>
      <c r="I14" s="1013"/>
    </row>
    <row r="15" spans="1:22" x14ac:dyDescent="0.25">
      <c r="A15" s="1011"/>
      <c r="B15" s="1012"/>
      <c r="C15" s="1012"/>
      <c r="D15" s="1012"/>
      <c r="E15" s="1012"/>
      <c r="F15" s="1012"/>
      <c r="G15" s="1012"/>
      <c r="H15" s="1012"/>
      <c r="I15" s="1013"/>
    </row>
    <row r="16" spans="1:22" x14ac:dyDescent="0.25">
      <c r="A16" s="1011"/>
      <c r="B16" s="1012"/>
      <c r="C16" s="1012"/>
      <c r="D16" s="1012"/>
      <c r="E16" s="1012"/>
      <c r="F16" s="1012"/>
      <c r="G16" s="1012"/>
      <c r="H16" s="1012"/>
      <c r="I16" s="1013"/>
    </row>
    <row r="17" spans="1:9" x14ac:dyDescent="0.25">
      <c r="A17" s="1011"/>
      <c r="B17" s="1012"/>
      <c r="C17" s="1012"/>
      <c r="D17" s="1012"/>
      <c r="E17" s="1012"/>
      <c r="F17" s="1012"/>
      <c r="G17" s="1012"/>
      <c r="H17" s="1012"/>
      <c r="I17" s="1013"/>
    </row>
    <row r="18" spans="1:9" x14ac:dyDescent="0.25">
      <c r="A18" s="1011"/>
      <c r="B18" s="1012"/>
      <c r="C18" s="1012"/>
      <c r="D18" s="1012"/>
      <c r="E18" s="1012"/>
      <c r="F18" s="1012"/>
      <c r="G18" s="1012"/>
      <c r="H18" s="1012"/>
      <c r="I18" s="1013"/>
    </row>
    <row r="19" spans="1:9" x14ac:dyDescent="0.25">
      <c r="A19" s="1011"/>
      <c r="B19" s="1012"/>
      <c r="C19" s="1012"/>
      <c r="D19" s="1012"/>
      <c r="E19" s="1012"/>
      <c r="F19" s="1012"/>
      <c r="G19" s="1012"/>
      <c r="H19" s="1012"/>
      <c r="I19" s="1013"/>
    </row>
    <row r="20" spans="1:9" x14ac:dyDescent="0.25">
      <c r="A20" s="1011"/>
      <c r="B20" s="1012"/>
      <c r="C20" s="1012"/>
      <c r="D20" s="1012"/>
      <c r="E20" s="1012"/>
      <c r="F20" s="1012"/>
      <c r="G20" s="1012"/>
      <c r="H20" s="1012"/>
      <c r="I20" s="1013"/>
    </row>
    <row r="21" spans="1:9" x14ac:dyDescent="0.25">
      <c r="A21" s="1011"/>
      <c r="B21" s="1012"/>
      <c r="C21" s="1012"/>
      <c r="D21" s="1012"/>
      <c r="E21" s="1012"/>
      <c r="F21" s="1012"/>
      <c r="G21" s="1012"/>
      <c r="H21" s="1012"/>
      <c r="I21" s="1013"/>
    </row>
    <row r="22" spans="1:9" x14ac:dyDescent="0.25">
      <c r="A22" s="1011"/>
      <c r="B22" s="1012"/>
      <c r="C22" s="1012"/>
      <c r="D22" s="1012"/>
      <c r="E22" s="1012"/>
      <c r="F22" s="1012"/>
      <c r="G22" s="1012"/>
      <c r="H22" s="1012"/>
      <c r="I22" s="1013"/>
    </row>
    <row r="23" spans="1:9" x14ac:dyDescent="0.25">
      <c r="A23" s="1011"/>
      <c r="B23" s="1012"/>
      <c r="C23" s="1012"/>
      <c r="D23" s="1012"/>
      <c r="E23" s="1012"/>
      <c r="F23" s="1012"/>
      <c r="G23" s="1012"/>
      <c r="H23" s="1012"/>
      <c r="I23" s="1013"/>
    </row>
    <row r="24" spans="1:9" x14ac:dyDescent="0.25">
      <c r="A24" s="1011"/>
      <c r="B24" s="1012"/>
      <c r="C24" s="1012"/>
      <c r="D24" s="1012"/>
      <c r="E24" s="1012"/>
      <c r="F24" s="1012"/>
      <c r="G24" s="1012"/>
      <c r="H24" s="1012"/>
      <c r="I24" s="1013"/>
    </row>
    <row r="25" spans="1:9" x14ac:dyDescent="0.25">
      <c r="A25" s="1011"/>
      <c r="B25" s="1012"/>
      <c r="C25" s="1012"/>
      <c r="D25" s="1012"/>
      <c r="E25" s="1012"/>
      <c r="F25" s="1012"/>
      <c r="G25" s="1012"/>
      <c r="H25" s="1012"/>
      <c r="I25" s="1013"/>
    </row>
    <row r="26" spans="1:9" x14ac:dyDescent="0.25">
      <c r="A26" s="1011"/>
      <c r="B26" s="1012"/>
      <c r="C26" s="1012"/>
      <c r="D26" s="1012"/>
      <c r="E26" s="1012"/>
      <c r="F26" s="1012"/>
      <c r="G26" s="1012"/>
      <c r="H26" s="1012"/>
      <c r="I26" s="1013"/>
    </row>
    <row r="27" spans="1:9" x14ac:dyDescent="0.25">
      <c r="A27" s="1011"/>
      <c r="B27" s="1012"/>
      <c r="C27" s="1012"/>
      <c r="D27" s="1012"/>
      <c r="E27" s="1012"/>
      <c r="F27" s="1012"/>
      <c r="G27" s="1012"/>
      <c r="H27" s="1012"/>
      <c r="I27" s="1013"/>
    </row>
    <row r="28" spans="1:9" x14ac:dyDescent="0.25">
      <c r="A28" s="1011"/>
      <c r="B28" s="1012"/>
      <c r="C28" s="1012"/>
      <c r="D28" s="1012"/>
      <c r="E28" s="1012"/>
      <c r="F28" s="1012"/>
      <c r="G28" s="1012"/>
      <c r="H28" s="1012"/>
      <c r="I28" s="1013"/>
    </row>
    <row r="29" spans="1:9" x14ac:dyDescent="0.25">
      <c r="A29" s="1011"/>
      <c r="B29" s="1012"/>
      <c r="C29" s="1012"/>
      <c r="D29" s="1012"/>
      <c r="E29" s="1012"/>
      <c r="F29" s="1012"/>
      <c r="G29" s="1012"/>
      <c r="H29" s="1012"/>
      <c r="I29" s="1013"/>
    </row>
    <row r="30" spans="1:9" x14ac:dyDescent="0.25">
      <c r="A30" s="1011"/>
      <c r="B30" s="1012"/>
      <c r="C30" s="1012"/>
      <c r="D30" s="1012"/>
      <c r="E30" s="1012"/>
      <c r="F30" s="1012"/>
      <c r="G30" s="1012"/>
      <c r="H30" s="1012"/>
      <c r="I30" s="1013"/>
    </row>
    <row r="31" spans="1:9" x14ac:dyDescent="0.25">
      <c r="A31" s="1011"/>
      <c r="B31" s="1012"/>
      <c r="C31" s="1012"/>
      <c r="D31" s="1012"/>
      <c r="E31" s="1012"/>
      <c r="F31" s="1012"/>
      <c r="G31" s="1012"/>
      <c r="H31" s="1012"/>
      <c r="I31" s="1013"/>
    </row>
    <row r="32" spans="1:9" x14ac:dyDescent="0.25">
      <c r="A32" s="1011"/>
      <c r="B32" s="1012"/>
      <c r="C32" s="1012"/>
      <c r="D32" s="1012"/>
      <c r="E32" s="1012"/>
      <c r="F32" s="1012"/>
      <c r="G32" s="1012"/>
      <c r="H32" s="1012"/>
      <c r="I32" s="1013"/>
    </row>
    <row r="33" spans="1:9" x14ac:dyDescent="0.25">
      <c r="A33" s="1011"/>
      <c r="B33" s="1012"/>
      <c r="C33" s="1012"/>
      <c r="D33" s="1012"/>
      <c r="E33" s="1012"/>
      <c r="F33" s="1012"/>
      <c r="G33" s="1012"/>
      <c r="H33" s="1012"/>
      <c r="I33" s="1013"/>
    </row>
    <row r="34" spans="1:9" x14ac:dyDescent="0.25">
      <c r="A34" s="1011"/>
      <c r="B34" s="1012"/>
      <c r="C34" s="1012"/>
      <c r="D34" s="1012"/>
      <c r="E34" s="1012"/>
      <c r="F34" s="1012"/>
      <c r="G34" s="1012"/>
      <c r="H34" s="1012"/>
      <c r="I34" s="1013"/>
    </row>
    <row r="35" spans="1:9" x14ac:dyDescent="0.25">
      <c r="A35" s="1011"/>
      <c r="B35" s="1012"/>
      <c r="C35" s="1012"/>
      <c r="D35" s="1012"/>
      <c r="E35" s="1012"/>
      <c r="F35" s="1012"/>
      <c r="G35" s="1012"/>
      <c r="H35" s="1012"/>
      <c r="I35" s="1013"/>
    </row>
    <row r="36" spans="1:9" x14ac:dyDescent="0.25">
      <c r="A36" s="1011"/>
      <c r="B36" s="1012"/>
      <c r="C36" s="1012"/>
      <c r="D36" s="1012"/>
      <c r="E36" s="1012"/>
      <c r="F36" s="1012"/>
      <c r="G36" s="1012"/>
      <c r="H36" s="1012"/>
      <c r="I36" s="1013"/>
    </row>
    <row r="37" spans="1:9" x14ac:dyDescent="0.25">
      <c r="A37" s="1011"/>
      <c r="B37" s="1012"/>
      <c r="C37" s="1012"/>
      <c r="D37" s="1012"/>
      <c r="E37" s="1012"/>
      <c r="F37" s="1012"/>
      <c r="G37" s="1012"/>
      <c r="H37" s="1012"/>
      <c r="I37" s="1013"/>
    </row>
    <row r="38" spans="1:9" x14ac:dyDescent="0.25">
      <c r="A38" s="1011"/>
      <c r="B38" s="1012"/>
      <c r="C38" s="1012"/>
      <c r="D38" s="1012"/>
      <c r="E38" s="1012"/>
      <c r="F38" s="1012"/>
      <c r="G38" s="1012"/>
      <c r="H38" s="1012"/>
      <c r="I38" s="1013"/>
    </row>
    <row r="39" spans="1:9" x14ac:dyDescent="0.25">
      <c r="A39" s="1011"/>
      <c r="B39" s="1012"/>
      <c r="C39" s="1012"/>
      <c r="D39" s="1012"/>
      <c r="E39" s="1012"/>
      <c r="F39" s="1012"/>
      <c r="G39" s="1012"/>
      <c r="H39" s="1012"/>
      <c r="I39" s="1013"/>
    </row>
    <row r="40" spans="1:9" x14ac:dyDescent="0.25">
      <c r="A40" s="1011"/>
      <c r="B40" s="1012"/>
      <c r="C40" s="1012"/>
      <c r="D40" s="1012"/>
      <c r="E40" s="1012"/>
      <c r="F40" s="1012"/>
      <c r="G40" s="1012"/>
      <c r="H40" s="1012"/>
      <c r="I40" s="1013"/>
    </row>
    <row r="41" spans="1:9" x14ac:dyDescent="0.25">
      <c r="A41" s="1011"/>
      <c r="B41" s="1012"/>
      <c r="C41" s="1012"/>
      <c r="D41" s="1012"/>
      <c r="E41" s="1012"/>
      <c r="F41" s="1012"/>
      <c r="G41" s="1012"/>
      <c r="H41" s="1012"/>
      <c r="I41" s="1013"/>
    </row>
    <row r="42" spans="1:9" x14ac:dyDescent="0.25">
      <c r="A42" s="1011"/>
      <c r="B42" s="1012"/>
      <c r="C42" s="1012"/>
      <c r="D42" s="1012"/>
      <c r="E42" s="1012"/>
      <c r="F42" s="1012"/>
      <c r="G42" s="1012"/>
      <c r="H42" s="1012"/>
      <c r="I42" s="1013"/>
    </row>
    <row r="43" spans="1:9" x14ac:dyDescent="0.25">
      <c r="A43" s="1011"/>
      <c r="B43" s="1012"/>
      <c r="C43" s="1012"/>
      <c r="D43" s="1012"/>
      <c r="E43" s="1012"/>
      <c r="F43" s="1012"/>
      <c r="G43" s="1012"/>
      <c r="H43" s="1012"/>
      <c r="I43" s="1013"/>
    </row>
    <row r="44" spans="1:9" x14ac:dyDescent="0.25">
      <c r="A44" s="1011"/>
      <c r="B44" s="1012"/>
      <c r="C44" s="1012"/>
      <c r="D44" s="1012"/>
      <c r="E44" s="1012"/>
      <c r="F44" s="1012"/>
      <c r="G44" s="1012"/>
      <c r="H44" s="1012"/>
      <c r="I44" s="1013"/>
    </row>
    <row r="45" spans="1:9" x14ac:dyDescent="0.25">
      <c r="A45" s="1011"/>
      <c r="B45" s="1012"/>
      <c r="C45" s="1012"/>
      <c r="D45" s="1012"/>
      <c r="E45" s="1012"/>
      <c r="F45" s="1012"/>
      <c r="G45" s="1012"/>
      <c r="H45" s="1012"/>
      <c r="I45" s="1013"/>
    </row>
    <row r="46" spans="1:9" ht="15.75" thickBot="1" x14ac:dyDescent="0.3">
      <c r="A46" s="1014"/>
      <c r="B46" s="1015"/>
      <c r="C46" s="1015"/>
      <c r="D46" s="1015"/>
      <c r="E46" s="1015"/>
      <c r="F46" s="1015"/>
      <c r="G46" s="1015"/>
      <c r="H46" s="1015"/>
      <c r="I46" s="1016"/>
    </row>
    <row r="47" spans="1:9" ht="15.75" thickBot="1" x14ac:dyDescent="0.3">
      <c r="A47" s="1023" t="s">
        <v>3078</v>
      </c>
      <c r="B47" s="1024"/>
      <c r="C47" s="1024"/>
      <c r="D47" s="1024"/>
      <c r="E47" s="1024"/>
      <c r="F47" s="1024"/>
      <c r="G47" s="1024"/>
      <c r="H47" s="1024"/>
      <c r="I47" s="1025"/>
    </row>
    <row r="48" spans="1:9" x14ac:dyDescent="0.25">
      <c r="A48" s="1017" t="str">
        <f>CONCATENATE("Notes for"," ",CharacterSheet!$E$1)</f>
        <v xml:space="preserve">Notes for </v>
      </c>
      <c r="B48" s="1018"/>
      <c r="C48" s="1018"/>
      <c r="D48" s="1018"/>
      <c r="E48" s="1018"/>
      <c r="F48" s="1018"/>
      <c r="G48" s="1018"/>
      <c r="H48" s="1018"/>
      <c r="I48" s="1019"/>
    </row>
    <row r="49" spans="1:9" ht="15.75" thickBot="1" x14ac:dyDescent="0.3">
      <c r="A49" s="1020"/>
      <c r="B49" s="1021"/>
      <c r="C49" s="1021"/>
      <c r="D49" s="1021"/>
      <c r="E49" s="1021"/>
      <c r="F49" s="1021"/>
      <c r="G49" s="1021"/>
      <c r="H49" s="1021"/>
      <c r="I49" s="1022"/>
    </row>
    <row r="50" spans="1:9" x14ac:dyDescent="0.25">
      <c r="A50" s="1008"/>
      <c r="B50" s="1009"/>
      <c r="C50" s="1009"/>
      <c r="D50" s="1009"/>
      <c r="E50" s="1009"/>
      <c r="F50" s="1009"/>
      <c r="G50" s="1009"/>
      <c r="H50" s="1009"/>
      <c r="I50" s="1010"/>
    </row>
    <row r="51" spans="1:9" x14ac:dyDescent="0.25">
      <c r="A51" s="1011"/>
      <c r="B51" s="1012"/>
      <c r="C51" s="1012"/>
      <c r="D51" s="1012"/>
      <c r="E51" s="1012"/>
      <c r="F51" s="1012"/>
      <c r="G51" s="1012"/>
      <c r="H51" s="1012"/>
      <c r="I51" s="1013"/>
    </row>
    <row r="52" spans="1:9" x14ac:dyDescent="0.25">
      <c r="A52" s="1011"/>
      <c r="B52" s="1012"/>
      <c r="C52" s="1012"/>
      <c r="D52" s="1012"/>
      <c r="E52" s="1012"/>
      <c r="F52" s="1012"/>
      <c r="G52" s="1012"/>
      <c r="H52" s="1012"/>
      <c r="I52" s="1013"/>
    </row>
    <row r="53" spans="1:9" x14ac:dyDescent="0.25">
      <c r="A53" s="1011"/>
      <c r="B53" s="1012"/>
      <c r="C53" s="1012"/>
      <c r="D53" s="1012"/>
      <c r="E53" s="1012"/>
      <c r="F53" s="1012"/>
      <c r="G53" s="1012"/>
      <c r="H53" s="1012"/>
      <c r="I53" s="1013"/>
    </row>
    <row r="54" spans="1:9" x14ac:dyDescent="0.25">
      <c r="A54" s="1011"/>
      <c r="B54" s="1012"/>
      <c r="C54" s="1012"/>
      <c r="D54" s="1012"/>
      <c r="E54" s="1012"/>
      <c r="F54" s="1012"/>
      <c r="G54" s="1012"/>
      <c r="H54" s="1012"/>
      <c r="I54" s="1013"/>
    </row>
    <row r="55" spans="1:9" x14ac:dyDescent="0.25">
      <c r="A55" s="1011"/>
      <c r="B55" s="1012"/>
      <c r="C55" s="1012"/>
      <c r="D55" s="1012"/>
      <c r="E55" s="1012"/>
      <c r="F55" s="1012"/>
      <c r="G55" s="1012"/>
      <c r="H55" s="1012"/>
      <c r="I55" s="1013"/>
    </row>
    <row r="56" spans="1:9" x14ac:dyDescent="0.25">
      <c r="A56" s="1011"/>
      <c r="B56" s="1012"/>
      <c r="C56" s="1012"/>
      <c r="D56" s="1012"/>
      <c r="E56" s="1012"/>
      <c r="F56" s="1012"/>
      <c r="G56" s="1012"/>
      <c r="H56" s="1012"/>
      <c r="I56" s="1013"/>
    </row>
    <row r="57" spans="1:9" x14ac:dyDescent="0.25">
      <c r="A57" s="1011"/>
      <c r="B57" s="1012"/>
      <c r="C57" s="1012"/>
      <c r="D57" s="1012"/>
      <c r="E57" s="1012"/>
      <c r="F57" s="1012"/>
      <c r="G57" s="1012"/>
      <c r="H57" s="1012"/>
      <c r="I57" s="1013"/>
    </row>
    <row r="58" spans="1:9" x14ac:dyDescent="0.25">
      <c r="A58" s="1011"/>
      <c r="B58" s="1012"/>
      <c r="C58" s="1012"/>
      <c r="D58" s="1012"/>
      <c r="E58" s="1012"/>
      <c r="F58" s="1012"/>
      <c r="G58" s="1012"/>
      <c r="H58" s="1012"/>
      <c r="I58" s="1013"/>
    </row>
    <row r="59" spans="1:9" x14ac:dyDescent="0.25">
      <c r="A59" s="1011"/>
      <c r="B59" s="1012"/>
      <c r="C59" s="1012"/>
      <c r="D59" s="1012"/>
      <c r="E59" s="1012"/>
      <c r="F59" s="1012"/>
      <c r="G59" s="1012"/>
      <c r="H59" s="1012"/>
      <c r="I59" s="1013"/>
    </row>
    <row r="60" spans="1:9" x14ac:dyDescent="0.25">
      <c r="A60" s="1011"/>
      <c r="B60" s="1012"/>
      <c r="C60" s="1012"/>
      <c r="D60" s="1012"/>
      <c r="E60" s="1012"/>
      <c r="F60" s="1012"/>
      <c r="G60" s="1012"/>
      <c r="H60" s="1012"/>
      <c r="I60" s="1013"/>
    </row>
    <row r="61" spans="1:9" x14ac:dyDescent="0.25">
      <c r="A61" s="1011"/>
      <c r="B61" s="1012"/>
      <c r="C61" s="1012"/>
      <c r="D61" s="1012"/>
      <c r="E61" s="1012"/>
      <c r="F61" s="1012"/>
      <c r="G61" s="1012"/>
      <c r="H61" s="1012"/>
      <c r="I61" s="1013"/>
    </row>
    <row r="62" spans="1:9" x14ac:dyDescent="0.25">
      <c r="A62" s="1011"/>
      <c r="B62" s="1012"/>
      <c r="C62" s="1012"/>
      <c r="D62" s="1012"/>
      <c r="E62" s="1012"/>
      <c r="F62" s="1012"/>
      <c r="G62" s="1012"/>
      <c r="H62" s="1012"/>
      <c r="I62" s="1013"/>
    </row>
    <row r="63" spans="1:9" x14ac:dyDescent="0.25">
      <c r="A63" s="1011"/>
      <c r="B63" s="1012"/>
      <c r="C63" s="1012"/>
      <c r="D63" s="1012"/>
      <c r="E63" s="1012"/>
      <c r="F63" s="1012"/>
      <c r="G63" s="1012"/>
      <c r="H63" s="1012"/>
      <c r="I63" s="1013"/>
    </row>
    <row r="64" spans="1:9" x14ac:dyDescent="0.25">
      <c r="A64" s="1011"/>
      <c r="B64" s="1012"/>
      <c r="C64" s="1012"/>
      <c r="D64" s="1012"/>
      <c r="E64" s="1012"/>
      <c r="F64" s="1012"/>
      <c r="G64" s="1012"/>
      <c r="H64" s="1012"/>
      <c r="I64" s="1013"/>
    </row>
    <row r="65" spans="1:9" x14ac:dyDescent="0.25">
      <c r="A65" s="1011"/>
      <c r="B65" s="1012"/>
      <c r="C65" s="1012"/>
      <c r="D65" s="1012"/>
      <c r="E65" s="1012"/>
      <c r="F65" s="1012"/>
      <c r="G65" s="1012"/>
      <c r="H65" s="1012"/>
      <c r="I65" s="1013"/>
    </row>
    <row r="66" spans="1:9" x14ac:dyDescent="0.25">
      <c r="A66" s="1011"/>
      <c r="B66" s="1012"/>
      <c r="C66" s="1012"/>
      <c r="D66" s="1012"/>
      <c r="E66" s="1012"/>
      <c r="F66" s="1012"/>
      <c r="G66" s="1012"/>
      <c r="H66" s="1012"/>
      <c r="I66" s="1013"/>
    </row>
    <row r="67" spans="1:9" x14ac:dyDescent="0.25">
      <c r="A67" s="1011"/>
      <c r="B67" s="1012"/>
      <c r="C67" s="1012"/>
      <c r="D67" s="1012"/>
      <c r="E67" s="1012"/>
      <c r="F67" s="1012"/>
      <c r="G67" s="1012"/>
      <c r="H67" s="1012"/>
      <c r="I67" s="1013"/>
    </row>
    <row r="68" spans="1:9" x14ac:dyDescent="0.25">
      <c r="A68" s="1011"/>
      <c r="B68" s="1012"/>
      <c r="C68" s="1012"/>
      <c r="D68" s="1012"/>
      <c r="E68" s="1012"/>
      <c r="F68" s="1012"/>
      <c r="G68" s="1012"/>
      <c r="H68" s="1012"/>
      <c r="I68" s="1013"/>
    </row>
    <row r="69" spans="1:9" x14ac:dyDescent="0.25">
      <c r="A69" s="1011"/>
      <c r="B69" s="1012"/>
      <c r="C69" s="1012"/>
      <c r="D69" s="1012"/>
      <c r="E69" s="1012"/>
      <c r="F69" s="1012"/>
      <c r="G69" s="1012"/>
      <c r="H69" s="1012"/>
      <c r="I69" s="1013"/>
    </row>
    <row r="70" spans="1:9" x14ac:dyDescent="0.25">
      <c r="A70" s="1011"/>
      <c r="B70" s="1012"/>
      <c r="C70" s="1012"/>
      <c r="D70" s="1012"/>
      <c r="E70" s="1012"/>
      <c r="F70" s="1012"/>
      <c r="G70" s="1012"/>
      <c r="H70" s="1012"/>
      <c r="I70" s="1013"/>
    </row>
    <row r="71" spans="1:9" x14ac:dyDescent="0.25">
      <c r="A71" s="1011"/>
      <c r="B71" s="1012"/>
      <c r="C71" s="1012"/>
      <c r="D71" s="1012"/>
      <c r="E71" s="1012"/>
      <c r="F71" s="1012"/>
      <c r="G71" s="1012"/>
      <c r="H71" s="1012"/>
      <c r="I71" s="1013"/>
    </row>
    <row r="72" spans="1:9" x14ac:dyDescent="0.25">
      <c r="A72" s="1011"/>
      <c r="B72" s="1012"/>
      <c r="C72" s="1012"/>
      <c r="D72" s="1012"/>
      <c r="E72" s="1012"/>
      <c r="F72" s="1012"/>
      <c r="G72" s="1012"/>
      <c r="H72" s="1012"/>
      <c r="I72" s="1013"/>
    </row>
    <row r="73" spans="1:9" x14ac:dyDescent="0.25">
      <c r="A73" s="1011"/>
      <c r="B73" s="1012"/>
      <c r="C73" s="1012"/>
      <c r="D73" s="1012"/>
      <c r="E73" s="1012"/>
      <c r="F73" s="1012"/>
      <c r="G73" s="1012"/>
      <c r="H73" s="1012"/>
      <c r="I73" s="1013"/>
    </row>
    <row r="74" spans="1:9" x14ac:dyDescent="0.25">
      <c r="A74" s="1011"/>
      <c r="B74" s="1012"/>
      <c r="C74" s="1012"/>
      <c r="D74" s="1012"/>
      <c r="E74" s="1012"/>
      <c r="F74" s="1012"/>
      <c r="G74" s="1012"/>
      <c r="H74" s="1012"/>
      <c r="I74" s="1013"/>
    </row>
    <row r="75" spans="1:9" x14ac:dyDescent="0.25">
      <c r="A75" s="1011"/>
      <c r="B75" s="1012"/>
      <c r="C75" s="1012"/>
      <c r="D75" s="1012"/>
      <c r="E75" s="1012"/>
      <c r="F75" s="1012"/>
      <c r="G75" s="1012"/>
      <c r="H75" s="1012"/>
      <c r="I75" s="1013"/>
    </row>
    <row r="76" spans="1:9" x14ac:dyDescent="0.25">
      <c r="A76" s="1011"/>
      <c r="B76" s="1012"/>
      <c r="C76" s="1012"/>
      <c r="D76" s="1012"/>
      <c r="E76" s="1012"/>
      <c r="F76" s="1012"/>
      <c r="G76" s="1012"/>
      <c r="H76" s="1012"/>
      <c r="I76" s="1013"/>
    </row>
    <row r="77" spans="1:9" x14ac:dyDescent="0.25">
      <c r="A77" s="1011"/>
      <c r="B77" s="1012"/>
      <c r="C77" s="1012"/>
      <c r="D77" s="1012"/>
      <c r="E77" s="1012"/>
      <c r="F77" s="1012"/>
      <c r="G77" s="1012"/>
      <c r="H77" s="1012"/>
      <c r="I77" s="1013"/>
    </row>
    <row r="78" spans="1:9" x14ac:dyDescent="0.25">
      <c r="A78" s="1011"/>
      <c r="B78" s="1012"/>
      <c r="C78" s="1012"/>
      <c r="D78" s="1012"/>
      <c r="E78" s="1012"/>
      <c r="F78" s="1012"/>
      <c r="G78" s="1012"/>
      <c r="H78" s="1012"/>
      <c r="I78" s="1013"/>
    </row>
    <row r="79" spans="1:9" x14ac:dyDescent="0.25">
      <c r="A79" s="1011"/>
      <c r="B79" s="1012"/>
      <c r="C79" s="1012"/>
      <c r="D79" s="1012"/>
      <c r="E79" s="1012"/>
      <c r="F79" s="1012"/>
      <c r="G79" s="1012"/>
      <c r="H79" s="1012"/>
      <c r="I79" s="1013"/>
    </row>
    <row r="80" spans="1:9" x14ac:dyDescent="0.25">
      <c r="A80" s="1011"/>
      <c r="B80" s="1012"/>
      <c r="C80" s="1012"/>
      <c r="D80" s="1012"/>
      <c r="E80" s="1012"/>
      <c r="F80" s="1012"/>
      <c r="G80" s="1012"/>
      <c r="H80" s="1012"/>
      <c r="I80" s="1013"/>
    </row>
    <row r="81" spans="1:9" x14ac:dyDescent="0.25">
      <c r="A81" s="1011"/>
      <c r="B81" s="1012"/>
      <c r="C81" s="1012"/>
      <c r="D81" s="1012"/>
      <c r="E81" s="1012"/>
      <c r="F81" s="1012"/>
      <c r="G81" s="1012"/>
      <c r="H81" s="1012"/>
      <c r="I81" s="1013"/>
    </row>
    <row r="82" spans="1:9" x14ac:dyDescent="0.25">
      <c r="A82" s="1011"/>
      <c r="B82" s="1012"/>
      <c r="C82" s="1012"/>
      <c r="D82" s="1012"/>
      <c r="E82" s="1012"/>
      <c r="F82" s="1012"/>
      <c r="G82" s="1012"/>
      <c r="H82" s="1012"/>
      <c r="I82" s="1013"/>
    </row>
    <row r="83" spans="1:9" x14ac:dyDescent="0.25">
      <c r="A83" s="1011"/>
      <c r="B83" s="1012"/>
      <c r="C83" s="1012"/>
      <c r="D83" s="1012"/>
      <c r="E83" s="1012"/>
      <c r="F83" s="1012"/>
      <c r="G83" s="1012"/>
      <c r="H83" s="1012"/>
      <c r="I83" s="1013"/>
    </row>
    <row r="84" spans="1:9" x14ac:dyDescent="0.25">
      <c r="A84" s="1011"/>
      <c r="B84" s="1012"/>
      <c r="C84" s="1012"/>
      <c r="D84" s="1012"/>
      <c r="E84" s="1012"/>
      <c r="F84" s="1012"/>
      <c r="G84" s="1012"/>
      <c r="H84" s="1012"/>
      <c r="I84" s="1013"/>
    </row>
    <row r="85" spans="1:9" x14ac:dyDescent="0.25">
      <c r="A85" s="1011"/>
      <c r="B85" s="1012"/>
      <c r="C85" s="1012"/>
      <c r="D85" s="1012"/>
      <c r="E85" s="1012"/>
      <c r="F85" s="1012"/>
      <c r="G85" s="1012"/>
      <c r="H85" s="1012"/>
      <c r="I85" s="1013"/>
    </row>
    <row r="86" spans="1:9" x14ac:dyDescent="0.25">
      <c r="A86" s="1011"/>
      <c r="B86" s="1012"/>
      <c r="C86" s="1012"/>
      <c r="D86" s="1012"/>
      <c r="E86" s="1012"/>
      <c r="F86" s="1012"/>
      <c r="G86" s="1012"/>
      <c r="H86" s="1012"/>
      <c r="I86" s="1013"/>
    </row>
    <row r="87" spans="1:9" x14ac:dyDescent="0.25">
      <c r="A87" s="1011"/>
      <c r="B87" s="1012"/>
      <c r="C87" s="1012"/>
      <c r="D87" s="1012"/>
      <c r="E87" s="1012"/>
      <c r="F87" s="1012"/>
      <c r="G87" s="1012"/>
      <c r="H87" s="1012"/>
      <c r="I87" s="1013"/>
    </row>
    <row r="88" spans="1:9" x14ac:dyDescent="0.25">
      <c r="A88" s="1011"/>
      <c r="B88" s="1012"/>
      <c r="C88" s="1012"/>
      <c r="D88" s="1012"/>
      <c r="E88" s="1012"/>
      <c r="F88" s="1012"/>
      <c r="G88" s="1012"/>
      <c r="H88" s="1012"/>
      <c r="I88" s="1013"/>
    </row>
    <row r="89" spans="1:9" x14ac:dyDescent="0.25">
      <c r="A89" s="1011"/>
      <c r="B89" s="1012"/>
      <c r="C89" s="1012"/>
      <c r="D89" s="1012"/>
      <c r="E89" s="1012"/>
      <c r="F89" s="1012"/>
      <c r="G89" s="1012"/>
      <c r="H89" s="1012"/>
      <c r="I89" s="1013"/>
    </row>
    <row r="90" spans="1:9" x14ac:dyDescent="0.25">
      <c r="A90" s="1011"/>
      <c r="B90" s="1012"/>
      <c r="C90" s="1012"/>
      <c r="D90" s="1012"/>
      <c r="E90" s="1012"/>
      <c r="F90" s="1012"/>
      <c r="G90" s="1012"/>
      <c r="H90" s="1012"/>
      <c r="I90" s="1013"/>
    </row>
    <row r="91" spans="1:9" x14ac:dyDescent="0.25">
      <c r="A91" s="1011"/>
      <c r="B91" s="1012"/>
      <c r="C91" s="1012"/>
      <c r="D91" s="1012"/>
      <c r="E91" s="1012"/>
      <c r="F91" s="1012"/>
      <c r="G91" s="1012"/>
      <c r="H91" s="1012"/>
      <c r="I91" s="1013"/>
    </row>
    <row r="92" spans="1:9" x14ac:dyDescent="0.25">
      <c r="A92" s="1011"/>
      <c r="B92" s="1012"/>
      <c r="C92" s="1012"/>
      <c r="D92" s="1012"/>
      <c r="E92" s="1012"/>
      <c r="F92" s="1012"/>
      <c r="G92" s="1012"/>
      <c r="H92" s="1012"/>
      <c r="I92" s="1013"/>
    </row>
    <row r="93" spans="1:9" ht="15.75" thickBot="1" x14ac:dyDescent="0.3">
      <c r="A93" s="1014"/>
      <c r="B93" s="1015"/>
      <c r="C93" s="1015"/>
      <c r="D93" s="1015"/>
      <c r="E93" s="1015"/>
      <c r="F93" s="1015"/>
      <c r="G93" s="1015"/>
      <c r="H93" s="1015"/>
      <c r="I93" s="1016"/>
    </row>
    <row r="94" spans="1:9" ht="15.75" thickBot="1" x14ac:dyDescent="0.3">
      <c r="A94" s="1023" t="s">
        <v>3079</v>
      </c>
      <c r="B94" s="1024"/>
      <c r="C94" s="1024"/>
      <c r="D94" s="1024"/>
      <c r="E94" s="1024"/>
      <c r="F94" s="1024"/>
      <c r="G94" s="1024"/>
      <c r="H94" s="1024"/>
      <c r="I94" s="1025"/>
    </row>
    <row r="95" spans="1:9" x14ac:dyDescent="0.25">
      <c r="A95" s="1017" t="str">
        <f>CONCATENATE("Notes for"," ",CharacterSheet!$E$1)</f>
        <v xml:space="preserve">Notes for </v>
      </c>
      <c r="B95" s="1018"/>
      <c r="C95" s="1018"/>
      <c r="D95" s="1018"/>
      <c r="E95" s="1018"/>
      <c r="F95" s="1018"/>
      <c r="G95" s="1018"/>
      <c r="H95" s="1018"/>
      <c r="I95" s="1019"/>
    </row>
    <row r="96" spans="1:9" ht="15.75" thickBot="1" x14ac:dyDescent="0.3">
      <c r="A96" s="1020"/>
      <c r="B96" s="1021"/>
      <c r="C96" s="1021"/>
      <c r="D96" s="1021"/>
      <c r="E96" s="1021"/>
      <c r="F96" s="1021"/>
      <c r="G96" s="1021"/>
      <c r="H96" s="1021"/>
      <c r="I96" s="1022"/>
    </row>
    <row r="97" spans="1:9" x14ac:dyDescent="0.25">
      <c r="A97" s="1008"/>
      <c r="B97" s="1009"/>
      <c r="C97" s="1009"/>
      <c r="D97" s="1009"/>
      <c r="E97" s="1009"/>
      <c r="F97" s="1009"/>
      <c r="G97" s="1009"/>
      <c r="H97" s="1009"/>
      <c r="I97" s="1010"/>
    </row>
    <row r="98" spans="1:9" x14ac:dyDescent="0.25">
      <c r="A98" s="1011"/>
      <c r="B98" s="1012"/>
      <c r="C98" s="1012"/>
      <c r="D98" s="1012"/>
      <c r="E98" s="1012"/>
      <c r="F98" s="1012"/>
      <c r="G98" s="1012"/>
      <c r="H98" s="1012"/>
      <c r="I98" s="1013"/>
    </row>
    <row r="99" spans="1:9" x14ac:dyDescent="0.25">
      <c r="A99" s="1011"/>
      <c r="B99" s="1012"/>
      <c r="C99" s="1012"/>
      <c r="D99" s="1012"/>
      <c r="E99" s="1012"/>
      <c r="F99" s="1012"/>
      <c r="G99" s="1012"/>
      <c r="H99" s="1012"/>
      <c r="I99" s="1013"/>
    </row>
    <row r="100" spans="1:9" x14ac:dyDescent="0.25">
      <c r="A100" s="1011"/>
      <c r="B100" s="1012"/>
      <c r="C100" s="1012"/>
      <c r="D100" s="1012"/>
      <c r="E100" s="1012"/>
      <c r="F100" s="1012"/>
      <c r="G100" s="1012"/>
      <c r="H100" s="1012"/>
      <c r="I100" s="1013"/>
    </row>
    <row r="101" spans="1:9" x14ac:dyDescent="0.25">
      <c r="A101" s="1011"/>
      <c r="B101" s="1012"/>
      <c r="C101" s="1012"/>
      <c r="D101" s="1012"/>
      <c r="E101" s="1012"/>
      <c r="F101" s="1012"/>
      <c r="G101" s="1012"/>
      <c r="H101" s="1012"/>
      <c r="I101" s="1013"/>
    </row>
    <row r="102" spans="1:9" x14ac:dyDescent="0.25">
      <c r="A102" s="1011"/>
      <c r="B102" s="1012"/>
      <c r="C102" s="1012"/>
      <c r="D102" s="1012"/>
      <c r="E102" s="1012"/>
      <c r="F102" s="1012"/>
      <c r="G102" s="1012"/>
      <c r="H102" s="1012"/>
      <c r="I102" s="1013"/>
    </row>
    <row r="103" spans="1:9" x14ac:dyDescent="0.25">
      <c r="A103" s="1011"/>
      <c r="B103" s="1012"/>
      <c r="C103" s="1012"/>
      <c r="D103" s="1012"/>
      <c r="E103" s="1012"/>
      <c r="F103" s="1012"/>
      <c r="G103" s="1012"/>
      <c r="H103" s="1012"/>
      <c r="I103" s="1013"/>
    </row>
    <row r="104" spans="1:9" x14ac:dyDescent="0.25">
      <c r="A104" s="1011"/>
      <c r="B104" s="1012"/>
      <c r="C104" s="1012"/>
      <c r="D104" s="1012"/>
      <c r="E104" s="1012"/>
      <c r="F104" s="1012"/>
      <c r="G104" s="1012"/>
      <c r="H104" s="1012"/>
      <c r="I104" s="1013"/>
    </row>
    <row r="105" spans="1:9" x14ac:dyDescent="0.25">
      <c r="A105" s="1011"/>
      <c r="B105" s="1012"/>
      <c r="C105" s="1012"/>
      <c r="D105" s="1012"/>
      <c r="E105" s="1012"/>
      <c r="F105" s="1012"/>
      <c r="G105" s="1012"/>
      <c r="H105" s="1012"/>
      <c r="I105" s="1013"/>
    </row>
    <row r="106" spans="1:9" x14ac:dyDescent="0.25">
      <c r="A106" s="1011"/>
      <c r="B106" s="1012"/>
      <c r="C106" s="1012"/>
      <c r="D106" s="1012"/>
      <c r="E106" s="1012"/>
      <c r="F106" s="1012"/>
      <c r="G106" s="1012"/>
      <c r="H106" s="1012"/>
      <c r="I106" s="1013"/>
    </row>
    <row r="107" spans="1:9" x14ac:dyDescent="0.25">
      <c r="A107" s="1011"/>
      <c r="B107" s="1012"/>
      <c r="C107" s="1012"/>
      <c r="D107" s="1012"/>
      <c r="E107" s="1012"/>
      <c r="F107" s="1012"/>
      <c r="G107" s="1012"/>
      <c r="H107" s="1012"/>
      <c r="I107" s="1013"/>
    </row>
    <row r="108" spans="1:9" x14ac:dyDescent="0.25">
      <c r="A108" s="1011"/>
      <c r="B108" s="1012"/>
      <c r="C108" s="1012"/>
      <c r="D108" s="1012"/>
      <c r="E108" s="1012"/>
      <c r="F108" s="1012"/>
      <c r="G108" s="1012"/>
      <c r="H108" s="1012"/>
      <c r="I108" s="1013"/>
    </row>
    <row r="109" spans="1:9" x14ac:dyDescent="0.25">
      <c r="A109" s="1011"/>
      <c r="B109" s="1012"/>
      <c r="C109" s="1012"/>
      <c r="D109" s="1012"/>
      <c r="E109" s="1012"/>
      <c r="F109" s="1012"/>
      <c r="G109" s="1012"/>
      <c r="H109" s="1012"/>
      <c r="I109" s="1013"/>
    </row>
    <row r="110" spans="1:9" x14ac:dyDescent="0.25">
      <c r="A110" s="1011"/>
      <c r="B110" s="1012"/>
      <c r="C110" s="1012"/>
      <c r="D110" s="1012"/>
      <c r="E110" s="1012"/>
      <c r="F110" s="1012"/>
      <c r="G110" s="1012"/>
      <c r="H110" s="1012"/>
      <c r="I110" s="1013"/>
    </row>
    <row r="111" spans="1:9" x14ac:dyDescent="0.25">
      <c r="A111" s="1011"/>
      <c r="B111" s="1012"/>
      <c r="C111" s="1012"/>
      <c r="D111" s="1012"/>
      <c r="E111" s="1012"/>
      <c r="F111" s="1012"/>
      <c r="G111" s="1012"/>
      <c r="H111" s="1012"/>
      <c r="I111" s="1013"/>
    </row>
    <row r="112" spans="1:9" x14ac:dyDescent="0.25">
      <c r="A112" s="1011"/>
      <c r="B112" s="1012"/>
      <c r="C112" s="1012"/>
      <c r="D112" s="1012"/>
      <c r="E112" s="1012"/>
      <c r="F112" s="1012"/>
      <c r="G112" s="1012"/>
      <c r="H112" s="1012"/>
      <c r="I112" s="1013"/>
    </row>
    <row r="113" spans="1:9" x14ac:dyDescent="0.25">
      <c r="A113" s="1011"/>
      <c r="B113" s="1012"/>
      <c r="C113" s="1012"/>
      <c r="D113" s="1012"/>
      <c r="E113" s="1012"/>
      <c r="F113" s="1012"/>
      <c r="G113" s="1012"/>
      <c r="H113" s="1012"/>
      <c r="I113" s="1013"/>
    </row>
    <row r="114" spans="1:9" x14ac:dyDescent="0.25">
      <c r="A114" s="1011"/>
      <c r="B114" s="1012"/>
      <c r="C114" s="1012"/>
      <c r="D114" s="1012"/>
      <c r="E114" s="1012"/>
      <c r="F114" s="1012"/>
      <c r="G114" s="1012"/>
      <c r="H114" s="1012"/>
      <c r="I114" s="1013"/>
    </row>
    <row r="115" spans="1:9" x14ac:dyDescent="0.25">
      <c r="A115" s="1011"/>
      <c r="B115" s="1012"/>
      <c r="C115" s="1012"/>
      <c r="D115" s="1012"/>
      <c r="E115" s="1012"/>
      <c r="F115" s="1012"/>
      <c r="G115" s="1012"/>
      <c r="H115" s="1012"/>
      <c r="I115" s="1013"/>
    </row>
    <row r="116" spans="1:9" x14ac:dyDescent="0.25">
      <c r="A116" s="1011"/>
      <c r="B116" s="1012"/>
      <c r="C116" s="1012"/>
      <c r="D116" s="1012"/>
      <c r="E116" s="1012"/>
      <c r="F116" s="1012"/>
      <c r="G116" s="1012"/>
      <c r="H116" s="1012"/>
      <c r="I116" s="1013"/>
    </row>
    <row r="117" spans="1:9" x14ac:dyDescent="0.25">
      <c r="A117" s="1011"/>
      <c r="B117" s="1012"/>
      <c r="C117" s="1012"/>
      <c r="D117" s="1012"/>
      <c r="E117" s="1012"/>
      <c r="F117" s="1012"/>
      <c r="G117" s="1012"/>
      <c r="H117" s="1012"/>
      <c r="I117" s="1013"/>
    </row>
    <row r="118" spans="1:9" x14ac:dyDescent="0.25">
      <c r="A118" s="1011"/>
      <c r="B118" s="1012"/>
      <c r="C118" s="1012"/>
      <c r="D118" s="1012"/>
      <c r="E118" s="1012"/>
      <c r="F118" s="1012"/>
      <c r="G118" s="1012"/>
      <c r="H118" s="1012"/>
      <c r="I118" s="1013"/>
    </row>
    <row r="119" spans="1:9" x14ac:dyDescent="0.25">
      <c r="A119" s="1011"/>
      <c r="B119" s="1012"/>
      <c r="C119" s="1012"/>
      <c r="D119" s="1012"/>
      <c r="E119" s="1012"/>
      <c r="F119" s="1012"/>
      <c r="G119" s="1012"/>
      <c r="H119" s="1012"/>
      <c r="I119" s="1013"/>
    </row>
    <row r="120" spans="1:9" x14ac:dyDescent="0.25">
      <c r="A120" s="1011"/>
      <c r="B120" s="1012"/>
      <c r="C120" s="1012"/>
      <c r="D120" s="1012"/>
      <c r="E120" s="1012"/>
      <c r="F120" s="1012"/>
      <c r="G120" s="1012"/>
      <c r="H120" s="1012"/>
      <c r="I120" s="1013"/>
    </row>
    <row r="121" spans="1:9" x14ac:dyDescent="0.25">
      <c r="A121" s="1011"/>
      <c r="B121" s="1012"/>
      <c r="C121" s="1012"/>
      <c r="D121" s="1012"/>
      <c r="E121" s="1012"/>
      <c r="F121" s="1012"/>
      <c r="G121" s="1012"/>
      <c r="H121" s="1012"/>
      <c r="I121" s="1013"/>
    </row>
    <row r="122" spans="1:9" x14ac:dyDescent="0.25">
      <c r="A122" s="1011"/>
      <c r="B122" s="1012"/>
      <c r="C122" s="1012"/>
      <c r="D122" s="1012"/>
      <c r="E122" s="1012"/>
      <c r="F122" s="1012"/>
      <c r="G122" s="1012"/>
      <c r="H122" s="1012"/>
      <c r="I122" s="1013"/>
    </row>
    <row r="123" spans="1:9" x14ac:dyDescent="0.25">
      <c r="A123" s="1011"/>
      <c r="B123" s="1012"/>
      <c r="C123" s="1012"/>
      <c r="D123" s="1012"/>
      <c r="E123" s="1012"/>
      <c r="F123" s="1012"/>
      <c r="G123" s="1012"/>
      <c r="H123" s="1012"/>
      <c r="I123" s="1013"/>
    </row>
    <row r="124" spans="1:9" x14ac:dyDescent="0.25">
      <c r="A124" s="1011"/>
      <c r="B124" s="1012"/>
      <c r="C124" s="1012"/>
      <c r="D124" s="1012"/>
      <c r="E124" s="1012"/>
      <c r="F124" s="1012"/>
      <c r="G124" s="1012"/>
      <c r="H124" s="1012"/>
      <c r="I124" s="1013"/>
    </row>
    <row r="125" spans="1:9" x14ac:dyDescent="0.25">
      <c r="A125" s="1011"/>
      <c r="B125" s="1012"/>
      <c r="C125" s="1012"/>
      <c r="D125" s="1012"/>
      <c r="E125" s="1012"/>
      <c r="F125" s="1012"/>
      <c r="G125" s="1012"/>
      <c r="H125" s="1012"/>
      <c r="I125" s="1013"/>
    </row>
    <row r="126" spans="1:9" x14ac:dyDescent="0.25">
      <c r="A126" s="1011"/>
      <c r="B126" s="1012"/>
      <c r="C126" s="1012"/>
      <c r="D126" s="1012"/>
      <c r="E126" s="1012"/>
      <c r="F126" s="1012"/>
      <c r="G126" s="1012"/>
      <c r="H126" s="1012"/>
      <c r="I126" s="1013"/>
    </row>
    <row r="127" spans="1:9" x14ac:dyDescent="0.25">
      <c r="A127" s="1011"/>
      <c r="B127" s="1012"/>
      <c r="C127" s="1012"/>
      <c r="D127" s="1012"/>
      <c r="E127" s="1012"/>
      <c r="F127" s="1012"/>
      <c r="G127" s="1012"/>
      <c r="H127" s="1012"/>
      <c r="I127" s="1013"/>
    </row>
    <row r="128" spans="1:9" x14ac:dyDescent="0.25">
      <c r="A128" s="1011"/>
      <c r="B128" s="1012"/>
      <c r="C128" s="1012"/>
      <c r="D128" s="1012"/>
      <c r="E128" s="1012"/>
      <c r="F128" s="1012"/>
      <c r="G128" s="1012"/>
      <c r="H128" s="1012"/>
      <c r="I128" s="1013"/>
    </row>
    <row r="129" spans="1:9" x14ac:dyDescent="0.25">
      <c r="A129" s="1011"/>
      <c r="B129" s="1012"/>
      <c r="C129" s="1012"/>
      <c r="D129" s="1012"/>
      <c r="E129" s="1012"/>
      <c r="F129" s="1012"/>
      <c r="G129" s="1012"/>
      <c r="H129" s="1012"/>
      <c r="I129" s="1013"/>
    </row>
    <row r="130" spans="1:9" x14ac:dyDescent="0.25">
      <c r="A130" s="1011"/>
      <c r="B130" s="1012"/>
      <c r="C130" s="1012"/>
      <c r="D130" s="1012"/>
      <c r="E130" s="1012"/>
      <c r="F130" s="1012"/>
      <c r="G130" s="1012"/>
      <c r="H130" s="1012"/>
      <c r="I130" s="1013"/>
    </row>
    <row r="131" spans="1:9" x14ac:dyDescent="0.25">
      <c r="A131" s="1011"/>
      <c r="B131" s="1012"/>
      <c r="C131" s="1012"/>
      <c r="D131" s="1012"/>
      <c r="E131" s="1012"/>
      <c r="F131" s="1012"/>
      <c r="G131" s="1012"/>
      <c r="H131" s="1012"/>
      <c r="I131" s="1013"/>
    </row>
    <row r="132" spans="1:9" x14ac:dyDescent="0.25">
      <c r="A132" s="1011"/>
      <c r="B132" s="1012"/>
      <c r="C132" s="1012"/>
      <c r="D132" s="1012"/>
      <c r="E132" s="1012"/>
      <c r="F132" s="1012"/>
      <c r="G132" s="1012"/>
      <c r="H132" s="1012"/>
      <c r="I132" s="1013"/>
    </row>
    <row r="133" spans="1:9" x14ac:dyDescent="0.25">
      <c r="A133" s="1011"/>
      <c r="B133" s="1012"/>
      <c r="C133" s="1012"/>
      <c r="D133" s="1012"/>
      <c r="E133" s="1012"/>
      <c r="F133" s="1012"/>
      <c r="G133" s="1012"/>
      <c r="H133" s="1012"/>
      <c r="I133" s="1013"/>
    </row>
    <row r="134" spans="1:9" x14ac:dyDescent="0.25">
      <c r="A134" s="1011"/>
      <c r="B134" s="1012"/>
      <c r="C134" s="1012"/>
      <c r="D134" s="1012"/>
      <c r="E134" s="1012"/>
      <c r="F134" s="1012"/>
      <c r="G134" s="1012"/>
      <c r="H134" s="1012"/>
      <c r="I134" s="1013"/>
    </row>
    <row r="135" spans="1:9" x14ac:dyDescent="0.25">
      <c r="A135" s="1011"/>
      <c r="B135" s="1012"/>
      <c r="C135" s="1012"/>
      <c r="D135" s="1012"/>
      <c r="E135" s="1012"/>
      <c r="F135" s="1012"/>
      <c r="G135" s="1012"/>
      <c r="H135" s="1012"/>
      <c r="I135" s="1013"/>
    </row>
    <row r="136" spans="1:9" x14ac:dyDescent="0.25">
      <c r="A136" s="1011"/>
      <c r="B136" s="1012"/>
      <c r="C136" s="1012"/>
      <c r="D136" s="1012"/>
      <c r="E136" s="1012"/>
      <c r="F136" s="1012"/>
      <c r="G136" s="1012"/>
      <c r="H136" s="1012"/>
      <c r="I136" s="1013"/>
    </row>
    <row r="137" spans="1:9" x14ac:dyDescent="0.25">
      <c r="A137" s="1011"/>
      <c r="B137" s="1012"/>
      <c r="C137" s="1012"/>
      <c r="D137" s="1012"/>
      <c r="E137" s="1012"/>
      <c r="F137" s="1012"/>
      <c r="G137" s="1012"/>
      <c r="H137" s="1012"/>
      <c r="I137" s="1013"/>
    </row>
    <row r="138" spans="1:9" x14ac:dyDescent="0.25">
      <c r="A138" s="1011"/>
      <c r="B138" s="1012"/>
      <c r="C138" s="1012"/>
      <c r="D138" s="1012"/>
      <c r="E138" s="1012"/>
      <c r="F138" s="1012"/>
      <c r="G138" s="1012"/>
      <c r="H138" s="1012"/>
      <c r="I138" s="1013"/>
    </row>
    <row r="139" spans="1:9" x14ac:dyDescent="0.25">
      <c r="A139" s="1011"/>
      <c r="B139" s="1012"/>
      <c r="C139" s="1012"/>
      <c r="D139" s="1012"/>
      <c r="E139" s="1012"/>
      <c r="F139" s="1012"/>
      <c r="G139" s="1012"/>
      <c r="H139" s="1012"/>
      <c r="I139" s="1013"/>
    </row>
    <row r="140" spans="1:9" ht="15.75" thickBot="1" x14ac:dyDescent="0.3">
      <c r="A140" s="1014"/>
      <c r="B140" s="1015"/>
      <c r="C140" s="1015"/>
      <c r="D140" s="1015"/>
      <c r="E140" s="1015"/>
      <c r="F140" s="1015"/>
      <c r="G140" s="1015"/>
      <c r="H140" s="1015"/>
      <c r="I140" s="1016"/>
    </row>
    <row r="141" spans="1:9" ht="15.75" thickBot="1" x14ac:dyDescent="0.3">
      <c r="A141" s="1023" t="s">
        <v>3080</v>
      </c>
      <c r="B141" s="1024"/>
      <c r="C141" s="1024"/>
      <c r="D141" s="1024"/>
      <c r="E141" s="1024"/>
      <c r="F141" s="1024"/>
      <c r="G141" s="1024"/>
      <c r="H141" s="1024"/>
      <c r="I141" s="1025"/>
    </row>
    <row r="142" spans="1:9" x14ac:dyDescent="0.25">
      <c r="A142" s="1017" t="str">
        <f>CONCATENATE("Notes for"," ",CharacterSheet!$E$1)</f>
        <v xml:space="preserve">Notes for </v>
      </c>
      <c r="B142" s="1018"/>
      <c r="C142" s="1018"/>
      <c r="D142" s="1018"/>
      <c r="E142" s="1018"/>
      <c r="F142" s="1018"/>
      <c r="G142" s="1018"/>
      <c r="H142" s="1018"/>
      <c r="I142" s="1019"/>
    </row>
    <row r="143" spans="1:9" ht="15.75" thickBot="1" x14ac:dyDescent="0.3">
      <c r="A143" s="1020"/>
      <c r="B143" s="1021"/>
      <c r="C143" s="1021"/>
      <c r="D143" s="1021"/>
      <c r="E143" s="1021"/>
      <c r="F143" s="1021"/>
      <c r="G143" s="1021"/>
      <c r="H143" s="1021"/>
      <c r="I143" s="1022"/>
    </row>
    <row r="144" spans="1:9" x14ac:dyDescent="0.25">
      <c r="A144" s="1008"/>
      <c r="B144" s="1009"/>
      <c r="C144" s="1009"/>
      <c r="D144" s="1009"/>
      <c r="E144" s="1009"/>
      <c r="F144" s="1009"/>
      <c r="G144" s="1009"/>
      <c r="H144" s="1009"/>
      <c r="I144" s="1010"/>
    </row>
    <row r="145" spans="1:9" x14ac:dyDescent="0.25">
      <c r="A145" s="1011"/>
      <c r="B145" s="1012"/>
      <c r="C145" s="1012"/>
      <c r="D145" s="1012"/>
      <c r="E145" s="1012"/>
      <c r="F145" s="1012"/>
      <c r="G145" s="1012"/>
      <c r="H145" s="1012"/>
      <c r="I145" s="1013"/>
    </row>
    <row r="146" spans="1:9" x14ac:dyDescent="0.25">
      <c r="A146" s="1011"/>
      <c r="B146" s="1012"/>
      <c r="C146" s="1012"/>
      <c r="D146" s="1012"/>
      <c r="E146" s="1012"/>
      <c r="F146" s="1012"/>
      <c r="G146" s="1012"/>
      <c r="H146" s="1012"/>
      <c r="I146" s="1013"/>
    </row>
    <row r="147" spans="1:9" x14ac:dyDescent="0.25">
      <c r="A147" s="1011"/>
      <c r="B147" s="1012"/>
      <c r="C147" s="1012"/>
      <c r="D147" s="1012"/>
      <c r="E147" s="1012"/>
      <c r="F147" s="1012"/>
      <c r="G147" s="1012"/>
      <c r="H147" s="1012"/>
      <c r="I147" s="1013"/>
    </row>
    <row r="148" spans="1:9" x14ac:dyDescent="0.25">
      <c r="A148" s="1011"/>
      <c r="B148" s="1012"/>
      <c r="C148" s="1012"/>
      <c r="D148" s="1012"/>
      <c r="E148" s="1012"/>
      <c r="F148" s="1012"/>
      <c r="G148" s="1012"/>
      <c r="H148" s="1012"/>
      <c r="I148" s="1013"/>
    </row>
    <row r="149" spans="1:9" x14ac:dyDescent="0.25">
      <c r="A149" s="1011"/>
      <c r="B149" s="1012"/>
      <c r="C149" s="1012"/>
      <c r="D149" s="1012"/>
      <c r="E149" s="1012"/>
      <c r="F149" s="1012"/>
      <c r="G149" s="1012"/>
      <c r="H149" s="1012"/>
      <c r="I149" s="1013"/>
    </row>
    <row r="150" spans="1:9" x14ac:dyDescent="0.25">
      <c r="A150" s="1011"/>
      <c r="B150" s="1012"/>
      <c r="C150" s="1012"/>
      <c r="D150" s="1012"/>
      <c r="E150" s="1012"/>
      <c r="F150" s="1012"/>
      <c r="G150" s="1012"/>
      <c r="H150" s="1012"/>
      <c r="I150" s="1013"/>
    </row>
    <row r="151" spans="1:9" x14ac:dyDescent="0.25">
      <c r="A151" s="1011"/>
      <c r="B151" s="1012"/>
      <c r="C151" s="1012"/>
      <c r="D151" s="1012"/>
      <c r="E151" s="1012"/>
      <c r="F151" s="1012"/>
      <c r="G151" s="1012"/>
      <c r="H151" s="1012"/>
      <c r="I151" s="1013"/>
    </row>
    <row r="152" spans="1:9" x14ac:dyDescent="0.25">
      <c r="A152" s="1011"/>
      <c r="B152" s="1012"/>
      <c r="C152" s="1012"/>
      <c r="D152" s="1012"/>
      <c r="E152" s="1012"/>
      <c r="F152" s="1012"/>
      <c r="G152" s="1012"/>
      <c r="H152" s="1012"/>
      <c r="I152" s="1013"/>
    </row>
    <row r="153" spans="1:9" x14ac:dyDescent="0.25">
      <c r="A153" s="1011"/>
      <c r="B153" s="1012"/>
      <c r="C153" s="1012"/>
      <c r="D153" s="1012"/>
      <c r="E153" s="1012"/>
      <c r="F153" s="1012"/>
      <c r="G153" s="1012"/>
      <c r="H153" s="1012"/>
      <c r="I153" s="1013"/>
    </row>
    <row r="154" spans="1:9" x14ac:dyDescent="0.25">
      <c r="A154" s="1011"/>
      <c r="B154" s="1012"/>
      <c r="C154" s="1012"/>
      <c r="D154" s="1012"/>
      <c r="E154" s="1012"/>
      <c r="F154" s="1012"/>
      <c r="G154" s="1012"/>
      <c r="H154" s="1012"/>
      <c r="I154" s="1013"/>
    </row>
    <row r="155" spans="1:9" x14ac:dyDescent="0.25">
      <c r="A155" s="1011"/>
      <c r="B155" s="1012"/>
      <c r="C155" s="1012"/>
      <c r="D155" s="1012"/>
      <c r="E155" s="1012"/>
      <c r="F155" s="1012"/>
      <c r="G155" s="1012"/>
      <c r="H155" s="1012"/>
      <c r="I155" s="1013"/>
    </row>
    <row r="156" spans="1:9" x14ac:dyDescent="0.25">
      <c r="A156" s="1011"/>
      <c r="B156" s="1012"/>
      <c r="C156" s="1012"/>
      <c r="D156" s="1012"/>
      <c r="E156" s="1012"/>
      <c r="F156" s="1012"/>
      <c r="G156" s="1012"/>
      <c r="H156" s="1012"/>
      <c r="I156" s="1013"/>
    </row>
    <row r="157" spans="1:9" x14ac:dyDescent="0.25">
      <c r="A157" s="1011"/>
      <c r="B157" s="1012"/>
      <c r="C157" s="1012"/>
      <c r="D157" s="1012"/>
      <c r="E157" s="1012"/>
      <c r="F157" s="1012"/>
      <c r="G157" s="1012"/>
      <c r="H157" s="1012"/>
      <c r="I157" s="1013"/>
    </row>
    <row r="158" spans="1:9" x14ac:dyDescent="0.25">
      <c r="A158" s="1011"/>
      <c r="B158" s="1012"/>
      <c r="C158" s="1012"/>
      <c r="D158" s="1012"/>
      <c r="E158" s="1012"/>
      <c r="F158" s="1012"/>
      <c r="G158" s="1012"/>
      <c r="H158" s="1012"/>
      <c r="I158" s="1013"/>
    </row>
    <row r="159" spans="1:9" x14ac:dyDescent="0.25">
      <c r="A159" s="1011"/>
      <c r="B159" s="1012"/>
      <c r="C159" s="1012"/>
      <c r="D159" s="1012"/>
      <c r="E159" s="1012"/>
      <c r="F159" s="1012"/>
      <c r="G159" s="1012"/>
      <c r="H159" s="1012"/>
      <c r="I159" s="1013"/>
    </row>
    <row r="160" spans="1:9" x14ac:dyDescent="0.25">
      <c r="A160" s="1011"/>
      <c r="B160" s="1012"/>
      <c r="C160" s="1012"/>
      <c r="D160" s="1012"/>
      <c r="E160" s="1012"/>
      <c r="F160" s="1012"/>
      <c r="G160" s="1012"/>
      <c r="H160" s="1012"/>
      <c r="I160" s="1013"/>
    </row>
    <row r="161" spans="1:9" x14ac:dyDescent="0.25">
      <c r="A161" s="1011"/>
      <c r="B161" s="1012"/>
      <c r="C161" s="1012"/>
      <c r="D161" s="1012"/>
      <c r="E161" s="1012"/>
      <c r="F161" s="1012"/>
      <c r="G161" s="1012"/>
      <c r="H161" s="1012"/>
      <c r="I161" s="1013"/>
    </row>
    <row r="162" spans="1:9" x14ac:dyDescent="0.25">
      <c r="A162" s="1011"/>
      <c r="B162" s="1012"/>
      <c r="C162" s="1012"/>
      <c r="D162" s="1012"/>
      <c r="E162" s="1012"/>
      <c r="F162" s="1012"/>
      <c r="G162" s="1012"/>
      <c r="H162" s="1012"/>
      <c r="I162" s="1013"/>
    </row>
    <row r="163" spans="1:9" x14ac:dyDescent="0.25">
      <c r="A163" s="1011"/>
      <c r="B163" s="1012"/>
      <c r="C163" s="1012"/>
      <c r="D163" s="1012"/>
      <c r="E163" s="1012"/>
      <c r="F163" s="1012"/>
      <c r="G163" s="1012"/>
      <c r="H163" s="1012"/>
      <c r="I163" s="1013"/>
    </row>
    <row r="164" spans="1:9" x14ac:dyDescent="0.25">
      <c r="A164" s="1011"/>
      <c r="B164" s="1012"/>
      <c r="C164" s="1012"/>
      <c r="D164" s="1012"/>
      <c r="E164" s="1012"/>
      <c r="F164" s="1012"/>
      <c r="G164" s="1012"/>
      <c r="H164" s="1012"/>
      <c r="I164" s="1013"/>
    </row>
    <row r="165" spans="1:9" x14ac:dyDescent="0.25">
      <c r="A165" s="1011"/>
      <c r="B165" s="1012"/>
      <c r="C165" s="1012"/>
      <c r="D165" s="1012"/>
      <c r="E165" s="1012"/>
      <c r="F165" s="1012"/>
      <c r="G165" s="1012"/>
      <c r="H165" s="1012"/>
      <c r="I165" s="1013"/>
    </row>
    <row r="166" spans="1:9" x14ac:dyDescent="0.25">
      <c r="A166" s="1011"/>
      <c r="B166" s="1012"/>
      <c r="C166" s="1012"/>
      <c r="D166" s="1012"/>
      <c r="E166" s="1012"/>
      <c r="F166" s="1012"/>
      <c r="G166" s="1012"/>
      <c r="H166" s="1012"/>
      <c r="I166" s="1013"/>
    </row>
    <row r="167" spans="1:9" x14ac:dyDescent="0.25">
      <c r="A167" s="1011"/>
      <c r="B167" s="1012"/>
      <c r="C167" s="1012"/>
      <c r="D167" s="1012"/>
      <c r="E167" s="1012"/>
      <c r="F167" s="1012"/>
      <c r="G167" s="1012"/>
      <c r="H167" s="1012"/>
      <c r="I167" s="1013"/>
    </row>
    <row r="168" spans="1:9" x14ac:dyDescent="0.25">
      <c r="A168" s="1011"/>
      <c r="B168" s="1012"/>
      <c r="C168" s="1012"/>
      <c r="D168" s="1012"/>
      <c r="E168" s="1012"/>
      <c r="F168" s="1012"/>
      <c r="G168" s="1012"/>
      <c r="H168" s="1012"/>
      <c r="I168" s="1013"/>
    </row>
    <row r="169" spans="1:9" x14ac:dyDescent="0.25">
      <c r="A169" s="1011"/>
      <c r="B169" s="1012"/>
      <c r="C169" s="1012"/>
      <c r="D169" s="1012"/>
      <c r="E169" s="1012"/>
      <c r="F169" s="1012"/>
      <c r="G169" s="1012"/>
      <c r="H169" s="1012"/>
      <c r="I169" s="1013"/>
    </row>
    <row r="170" spans="1:9" x14ac:dyDescent="0.25">
      <c r="A170" s="1011"/>
      <c r="B170" s="1012"/>
      <c r="C170" s="1012"/>
      <c r="D170" s="1012"/>
      <c r="E170" s="1012"/>
      <c r="F170" s="1012"/>
      <c r="G170" s="1012"/>
      <c r="H170" s="1012"/>
      <c r="I170" s="1013"/>
    </row>
    <row r="171" spans="1:9" x14ac:dyDescent="0.25">
      <c r="A171" s="1011"/>
      <c r="B171" s="1012"/>
      <c r="C171" s="1012"/>
      <c r="D171" s="1012"/>
      <c r="E171" s="1012"/>
      <c r="F171" s="1012"/>
      <c r="G171" s="1012"/>
      <c r="H171" s="1012"/>
      <c r="I171" s="1013"/>
    </row>
    <row r="172" spans="1:9" x14ac:dyDescent="0.25">
      <c r="A172" s="1011"/>
      <c r="B172" s="1012"/>
      <c r="C172" s="1012"/>
      <c r="D172" s="1012"/>
      <c r="E172" s="1012"/>
      <c r="F172" s="1012"/>
      <c r="G172" s="1012"/>
      <c r="H172" s="1012"/>
      <c r="I172" s="1013"/>
    </row>
    <row r="173" spans="1:9" x14ac:dyDescent="0.25">
      <c r="A173" s="1011"/>
      <c r="B173" s="1012"/>
      <c r="C173" s="1012"/>
      <c r="D173" s="1012"/>
      <c r="E173" s="1012"/>
      <c r="F173" s="1012"/>
      <c r="G173" s="1012"/>
      <c r="H173" s="1012"/>
      <c r="I173" s="1013"/>
    </row>
    <row r="174" spans="1:9" x14ac:dyDescent="0.25">
      <c r="A174" s="1011"/>
      <c r="B174" s="1012"/>
      <c r="C174" s="1012"/>
      <c r="D174" s="1012"/>
      <c r="E174" s="1012"/>
      <c r="F174" s="1012"/>
      <c r="G174" s="1012"/>
      <c r="H174" s="1012"/>
      <c r="I174" s="1013"/>
    </row>
    <row r="175" spans="1:9" x14ac:dyDescent="0.25">
      <c r="A175" s="1011"/>
      <c r="B175" s="1012"/>
      <c r="C175" s="1012"/>
      <c r="D175" s="1012"/>
      <c r="E175" s="1012"/>
      <c r="F175" s="1012"/>
      <c r="G175" s="1012"/>
      <c r="H175" s="1012"/>
      <c r="I175" s="1013"/>
    </row>
    <row r="176" spans="1:9" x14ac:dyDescent="0.25">
      <c r="A176" s="1011"/>
      <c r="B176" s="1012"/>
      <c r="C176" s="1012"/>
      <c r="D176" s="1012"/>
      <c r="E176" s="1012"/>
      <c r="F176" s="1012"/>
      <c r="G176" s="1012"/>
      <c r="H176" s="1012"/>
      <c r="I176" s="1013"/>
    </row>
    <row r="177" spans="1:9" x14ac:dyDescent="0.25">
      <c r="A177" s="1011"/>
      <c r="B177" s="1012"/>
      <c r="C177" s="1012"/>
      <c r="D177" s="1012"/>
      <c r="E177" s="1012"/>
      <c r="F177" s="1012"/>
      <c r="G177" s="1012"/>
      <c r="H177" s="1012"/>
      <c r="I177" s="1013"/>
    </row>
    <row r="178" spans="1:9" x14ac:dyDescent="0.25">
      <c r="A178" s="1011"/>
      <c r="B178" s="1012"/>
      <c r="C178" s="1012"/>
      <c r="D178" s="1012"/>
      <c r="E178" s="1012"/>
      <c r="F178" s="1012"/>
      <c r="G178" s="1012"/>
      <c r="H178" s="1012"/>
      <c r="I178" s="1013"/>
    </row>
    <row r="179" spans="1:9" x14ac:dyDescent="0.25">
      <c r="A179" s="1011"/>
      <c r="B179" s="1012"/>
      <c r="C179" s="1012"/>
      <c r="D179" s="1012"/>
      <c r="E179" s="1012"/>
      <c r="F179" s="1012"/>
      <c r="G179" s="1012"/>
      <c r="H179" s="1012"/>
      <c r="I179" s="1013"/>
    </row>
    <row r="180" spans="1:9" x14ac:dyDescent="0.25">
      <c r="A180" s="1011"/>
      <c r="B180" s="1012"/>
      <c r="C180" s="1012"/>
      <c r="D180" s="1012"/>
      <c r="E180" s="1012"/>
      <c r="F180" s="1012"/>
      <c r="G180" s="1012"/>
      <c r="H180" s="1012"/>
      <c r="I180" s="1013"/>
    </row>
    <row r="181" spans="1:9" x14ac:dyDescent="0.25">
      <c r="A181" s="1011"/>
      <c r="B181" s="1012"/>
      <c r="C181" s="1012"/>
      <c r="D181" s="1012"/>
      <c r="E181" s="1012"/>
      <c r="F181" s="1012"/>
      <c r="G181" s="1012"/>
      <c r="H181" s="1012"/>
      <c r="I181" s="1013"/>
    </row>
    <row r="182" spans="1:9" x14ac:dyDescent="0.25">
      <c r="A182" s="1011"/>
      <c r="B182" s="1012"/>
      <c r="C182" s="1012"/>
      <c r="D182" s="1012"/>
      <c r="E182" s="1012"/>
      <c r="F182" s="1012"/>
      <c r="G182" s="1012"/>
      <c r="H182" s="1012"/>
      <c r="I182" s="1013"/>
    </row>
    <row r="183" spans="1:9" x14ac:dyDescent="0.25">
      <c r="A183" s="1011"/>
      <c r="B183" s="1012"/>
      <c r="C183" s="1012"/>
      <c r="D183" s="1012"/>
      <c r="E183" s="1012"/>
      <c r="F183" s="1012"/>
      <c r="G183" s="1012"/>
      <c r="H183" s="1012"/>
      <c r="I183" s="1013"/>
    </row>
    <row r="184" spans="1:9" x14ac:dyDescent="0.25">
      <c r="A184" s="1011"/>
      <c r="B184" s="1012"/>
      <c r="C184" s="1012"/>
      <c r="D184" s="1012"/>
      <c r="E184" s="1012"/>
      <c r="F184" s="1012"/>
      <c r="G184" s="1012"/>
      <c r="H184" s="1012"/>
      <c r="I184" s="1013"/>
    </row>
    <row r="185" spans="1:9" x14ac:dyDescent="0.25">
      <c r="A185" s="1011"/>
      <c r="B185" s="1012"/>
      <c r="C185" s="1012"/>
      <c r="D185" s="1012"/>
      <c r="E185" s="1012"/>
      <c r="F185" s="1012"/>
      <c r="G185" s="1012"/>
      <c r="H185" s="1012"/>
      <c r="I185" s="1013"/>
    </row>
    <row r="186" spans="1:9" x14ac:dyDescent="0.25">
      <c r="A186" s="1011"/>
      <c r="B186" s="1012"/>
      <c r="C186" s="1012"/>
      <c r="D186" s="1012"/>
      <c r="E186" s="1012"/>
      <c r="F186" s="1012"/>
      <c r="G186" s="1012"/>
      <c r="H186" s="1012"/>
      <c r="I186" s="1013"/>
    </row>
    <row r="187" spans="1:9" ht="15.75" thickBot="1" x14ac:dyDescent="0.3">
      <c r="A187" s="1014"/>
      <c r="B187" s="1015"/>
      <c r="C187" s="1015"/>
      <c r="D187" s="1015"/>
      <c r="E187" s="1015"/>
      <c r="F187" s="1015"/>
      <c r="G187" s="1015"/>
      <c r="H187" s="1015"/>
      <c r="I187" s="1016"/>
    </row>
    <row r="188" spans="1:9" ht="15.75" thickBot="1" x14ac:dyDescent="0.3">
      <c r="A188" s="1023" t="s">
        <v>3081</v>
      </c>
      <c r="B188" s="1024"/>
      <c r="C188" s="1024"/>
      <c r="D188" s="1024"/>
      <c r="E188" s="1024"/>
      <c r="F188" s="1024"/>
      <c r="G188" s="1024"/>
      <c r="H188" s="1024"/>
      <c r="I188" s="1025"/>
    </row>
    <row r="189" spans="1:9" x14ac:dyDescent="0.25">
      <c r="A189" s="1017" t="str">
        <f>CONCATENATE("Notes for"," ",CharacterSheet!$E$1)</f>
        <v xml:space="preserve">Notes for </v>
      </c>
      <c r="B189" s="1018"/>
      <c r="C189" s="1018"/>
      <c r="D189" s="1018"/>
      <c r="E189" s="1018"/>
      <c r="F189" s="1018"/>
      <c r="G189" s="1018"/>
      <c r="H189" s="1018"/>
      <c r="I189" s="1019"/>
    </row>
    <row r="190" spans="1:9" ht="15.75" thickBot="1" x14ac:dyDescent="0.3">
      <c r="A190" s="1020"/>
      <c r="B190" s="1021"/>
      <c r="C190" s="1021"/>
      <c r="D190" s="1021"/>
      <c r="E190" s="1021"/>
      <c r="F190" s="1021"/>
      <c r="G190" s="1021"/>
      <c r="H190" s="1021"/>
      <c r="I190" s="1022"/>
    </row>
    <row r="191" spans="1:9" x14ac:dyDescent="0.25">
      <c r="A191" s="1008"/>
      <c r="B191" s="1009"/>
      <c r="C191" s="1009"/>
      <c r="D191" s="1009"/>
      <c r="E191" s="1009"/>
      <c r="F191" s="1009"/>
      <c r="G191" s="1009"/>
      <c r="H191" s="1009"/>
      <c r="I191" s="1010"/>
    </row>
    <row r="192" spans="1:9" x14ac:dyDescent="0.25">
      <c r="A192" s="1011"/>
      <c r="B192" s="1012"/>
      <c r="C192" s="1012"/>
      <c r="D192" s="1012"/>
      <c r="E192" s="1012"/>
      <c r="F192" s="1012"/>
      <c r="G192" s="1012"/>
      <c r="H192" s="1012"/>
      <c r="I192" s="1013"/>
    </row>
    <row r="193" spans="1:9" x14ac:dyDescent="0.25">
      <c r="A193" s="1011"/>
      <c r="B193" s="1012"/>
      <c r="C193" s="1012"/>
      <c r="D193" s="1012"/>
      <c r="E193" s="1012"/>
      <c r="F193" s="1012"/>
      <c r="G193" s="1012"/>
      <c r="H193" s="1012"/>
      <c r="I193" s="1013"/>
    </row>
    <row r="194" spans="1:9" x14ac:dyDescent="0.25">
      <c r="A194" s="1011"/>
      <c r="B194" s="1012"/>
      <c r="C194" s="1012"/>
      <c r="D194" s="1012"/>
      <c r="E194" s="1012"/>
      <c r="F194" s="1012"/>
      <c r="G194" s="1012"/>
      <c r="H194" s="1012"/>
      <c r="I194" s="1013"/>
    </row>
    <row r="195" spans="1:9" x14ac:dyDescent="0.25">
      <c r="A195" s="1011"/>
      <c r="B195" s="1012"/>
      <c r="C195" s="1012"/>
      <c r="D195" s="1012"/>
      <c r="E195" s="1012"/>
      <c r="F195" s="1012"/>
      <c r="G195" s="1012"/>
      <c r="H195" s="1012"/>
      <c r="I195" s="1013"/>
    </row>
    <row r="196" spans="1:9" x14ac:dyDescent="0.25">
      <c r="A196" s="1011"/>
      <c r="B196" s="1012"/>
      <c r="C196" s="1012"/>
      <c r="D196" s="1012"/>
      <c r="E196" s="1012"/>
      <c r="F196" s="1012"/>
      <c r="G196" s="1012"/>
      <c r="H196" s="1012"/>
      <c r="I196" s="1013"/>
    </row>
    <row r="197" spans="1:9" x14ac:dyDescent="0.25">
      <c r="A197" s="1011"/>
      <c r="B197" s="1012"/>
      <c r="C197" s="1012"/>
      <c r="D197" s="1012"/>
      <c r="E197" s="1012"/>
      <c r="F197" s="1012"/>
      <c r="G197" s="1012"/>
      <c r="H197" s="1012"/>
      <c r="I197" s="1013"/>
    </row>
    <row r="198" spans="1:9" x14ac:dyDescent="0.25">
      <c r="A198" s="1011"/>
      <c r="B198" s="1012"/>
      <c r="C198" s="1012"/>
      <c r="D198" s="1012"/>
      <c r="E198" s="1012"/>
      <c r="F198" s="1012"/>
      <c r="G198" s="1012"/>
      <c r="H198" s="1012"/>
      <c r="I198" s="1013"/>
    </row>
    <row r="199" spans="1:9" x14ac:dyDescent="0.25">
      <c r="A199" s="1011"/>
      <c r="B199" s="1012"/>
      <c r="C199" s="1012"/>
      <c r="D199" s="1012"/>
      <c r="E199" s="1012"/>
      <c r="F199" s="1012"/>
      <c r="G199" s="1012"/>
      <c r="H199" s="1012"/>
      <c r="I199" s="1013"/>
    </row>
    <row r="200" spans="1:9" x14ac:dyDescent="0.25">
      <c r="A200" s="1011"/>
      <c r="B200" s="1012"/>
      <c r="C200" s="1012"/>
      <c r="D200" s="1012"/>
      <c r="E200" s="1012"/>
      <c r="F200" s="1012"/>
      <c r="G200" s="1012"/>
      <c r="H200" s="1012"/>
      <c r="I200" s="1013"/>
    </row>
    <row r="201" spans="1:9" x14ac:dyDescent="0.25">
      <c r="A201" s="1011"/>
      <c r="B201" s="1012"/>
      <c r="C201" s="1012"/>
      <c r="D201" s="1012"/>
      <c r="E201" s="1012"/>
      <c r="F201" s="1012"/>
      <c r="G201" s="1012"/>
      <c r="H201" s="1012"/>
      <c r="I201" s="1013"/>
    </row>
    <row r="202" spans="1:9" x14ac:dyDescent="0.25">
      <c r="A202" s="1011"/>
      <c r="B202" s="1012"/>
      <c r="C202" s="1012"/>
      <c r="D202" s="1012"/>
      <c r="E202" s="1012"/>
      <c r="F202" s="1012"/>
      <c r="G202" s="1012"/>
      <c r="H202" s="1012"/>
      <c r="I202" s="1013"/>
    </row>
    <row r="203" spans="1:9" x14ac:dyDescent="0.25">
      <c r="A203" s="1011"/>
      <c r="B203" s="1012"/>
      <c r="C203" s="1012"/>
      <c r="D203" s="1012"/>
      <c r="E203" s="1012"/>
      <c r="F203" s="1012"/>
      <c r="G203" s="1012"/>
      <c r="H203" s="1012"/>
      <c r="I203" s="1013"/>
    </row>
    <row r="204" spans="1:9" x14ac:dyDescent="0.25">
      <c r="A204" s="1011"/>
      <c r="B204" s="1012"/>
      <c r="C204" s="1012"/>
      <c r="D204" s="1012"/>
      <c r="E204" s="1012"/>
      <c r="F204" s="1012"/>
      <c r="G204" s="1012"/>
      <c r="H204" s="1012"/>
      <c r="I204" s="1013"/>
    </row>
    <row r="205" spans="1:9" x14ac:dyDescent="0.25">
      <c r="A205" s="1011"/>
      <c r="B205" s="1012"/>
      <c r="C205" s="1012"/>
      <c r="D205" s="1012"/>
      <c r="E205" s="1012"/>
      <c r="F205" s="1012"/>
      <c r="G205" s="1012"/>
      <c r="H205" s="1012"/>
      <c r="I205" s="1013"/>
    </row>
    <row r="206" spans="1:9" x14ac:dyDescent="0.25">
      <c r="A206" s="1011"/>
      <c r="B206" s="1012"/>
      <c r="C206" s="1012"/>
      <c r="D206" s="1012"/>
      <c r="E206" s="1012"/>
      <c r="F206" s="1012"/>
      <c r="G206" s="1012"/>
      <c r="H206" s="1012"/>
      <c r="I206" s="1013"/>
    </row>
    <row r="207" spans="1:9" x14ac:dyDescent="0.25">
      <c r="A207" s="1011"/>
      <c r="B207" s="1012"/>
      <c r="C207" s="1012"/>
      <c r="D207" s="1012"/>
      <c r="E207" s="1012"/>
      <c r="F207" s="1012"/>
      <c r="G207" s="1012"/>
      <c r="H207" s="1012"/>
      <c r="I207" s="1013"/>
    </row>
    <row r="208" spans="1:9" x14ac:dyDescent="0.25">
      <c r="A208" s="1011"/>
      <c r="B208" s="1012"/>
      <c r="C208" s="1012"/>
      <c r="D208" s="1012"/>
      <c r="E208" s="1012"/>
      <c r="F208" s="1012"/>
      <c r="G208" s="1012"/>
      <c r="H208" s="1012"/>
      <c r="I208" s="1013"/>
    </row>
    <row r="209" spans="1:9" x14ac:dyDescent="0.25">
      <c r="A209" s="1011"/>
      <c r="B209" s="1012"/>
      <c r="C209" s="1012"/>
      <c r="D209" s="1012"/>
      <c r="E209" s="1012"/>
      <c r="F209" s="1012"/>
      <c r="G209" s="1012"/>
      <c r="H209" s="1012"/>
      <c r="I209" s="1013"/>
    </row>
    <row r="210" spans="1:9" x14ac:dyDescent="0.25">
      <c r="A210" s="1011"/>
      <c r="B210" s="1012"/>
      <c r="C210" s="1012"/>
      <c r="D210" s="1012"/>
      <c r="E210" s="1012"/>
      <c r="F210" s="1012"/>
      <c r="G210" s="1012"/>
      <c r="H210" s="1012"/>
      <c r="I210" s="1013"/>
    </row>
    <row r="211" spans="1:9" x14ac:dyDescent="0.25">
      <c r="A211" s="1011"/>
      <c r="B211" s="1012"/>
      <c r="C211" s="1012"/>
      <c r="D211" s="1012"/>
      <c r="E211" s="1012"/>
      <c r="F211" s="1012"/>
      <c r="G211" s="1012"/>
      <c r="H211" s="1012"/>
      <c r="I211" s="1013"/>
    </row>
    <row r="212" spans="1:9" x14ac:dyDescent="0.25">
      <c r="A212" s="1011"/>
      <c r="B212" s="1012"/>
      <c r="C212" s="1012"/>
      <c r="D212" s="1012"/>
      <c r="E212" s="1012"/>
      <c r="F212" s="1012"/>
      <c r="G212" s="1012"/>
      <c r="H212" s="1012"/>
      <c r="I212" s="1013"/>
    </row>
    <row r="213" spans="1:9" x14ac:dyDescent="0.25">
      <c r="A213" s="1011"/>
      <c r="B213" s="1012"/>
      <c r="C213" s="1012"/>
      <c r="D213" s="1012"/>
      <c r="E213" s="1012"/>
      <c r="F213" s="1012"/>
      <c r="G213" s="1012"/>
      <c r="H213" s="1012"/>
      <c r="I213" s="1013"/>
    </row>
    <row r="214" spans="1:9" x14ac:dyDescent="0.25">
      <c r="A214" s="1011"/>
      <c r="B214" s="1012"/>
      <c r="C214" s="1012"/>
      <c r="D214" s="1012"/>
      <c r="E214" s="1012"/>
      <c r="F214" s="1012"/>
      <c r="G214" s="1012"/>
      <c r="H214" s="1012"/>
      <c r="I214" s="1013"/>
    </row>
    <row r="215" spans="1:9" x14ac:dyDescent="0.25">
      <c r="A215" s="1011"/>
      <c r="B215" s="1012"/>
      <c r="C215" s="1012"/>
      <c r="D215" s="1012"/>
      <c r="E215" s="1012"/>
      <c r="F215" s="1012"/>
      <c r="G215" s="1012"/>
      <c r="H215" s="1012"/>
      <c r="I215" s="1013"/>
    </row>
    <row r="216" spans="1:9" x14ac:dyDescent="0.25">
      <c r="A216" s="1011"/>
      <c r="B216" s="1012"/>
      <c r="C216" s="1012"/>
      <c r="D216" s="1012"/>
      <c r="E216" s="1012"/>
      <c r="F216" s="1012"/>
      <c r="G216" s="1012"/>
      <c r="H216" s="1012"/>
      <c r="I216" s="1013"/>
    </row>
    <row r="217" spans="1:9" x14ac:dyDescent="0.25">
      <c r="A217" s="1011"/>
      <c r="B217" s="1012"/>
      <c r="C217" s="1012"/>
      <c r="D217" s="1012"/>
      <c r="E217" s="1012"/>
      <c r="F217" s="1012"/>
      <c r="G217" s="1012"/>
      <c r="H217" s="1012"/>
      <c r="I217" s="1013"/>
    </row>
    <row r="218" spans="1:9" x14ac:dyDescent="0.25">
      <c r="A218" s="1011"/>
      <c r="B218" s="1012"/>
      <c r="C218" s="1012"/>
      <c r="D218" s="1012"/>
      <c r="E218" s="1012"/>
      <c r="F218" s="1012"/>
      <c r="G218" s="1012"/>
      <c r="H218" s="1012"/>
      <c r="I218" s="1013"/>
    </row>
    <row r="219" spans="1:9" x14ac:dyDescent="0.25">
      <c r="A219" s="1011"/>
      <c r="B219" s="1012"/>
      <c r="C219" s="1012"/>
      <c r="D219" s="1012"/>
      <c r="E219" s="1012"/>
      <c r="F219" s="1012"/>
      <c r="G219" s="1012"/>
      <c r="H219" s="1012"/>
      <c r="I219" s="1013"/>
    </row>
    <row r="220" spans="1:9" x14ac:dyDescent="0.25">
      <c r="A220" s="1011"/>
      <c r="B220" s="1012"/>
      <c r="C220" s="1012"/>
      <c r="D220" s="1012"/>
      <c r="E220" s="1012"/>
      <c r="F220" s="1012"/>
      <c r="G220" s="1012"/>
      <c r="H220" s="1012"/>
      <c r="I220" s="1013"/>
    </row>
    <row r="221" spans="1:9" x14ac:dyDescent="0.25">
      <c r="A221" s="1011"/>
      <c r="B221" s="1012"/>
      <c r="C221" s="1012"/>
      <c r="D221" s="1012"/>
      <c r="E221" s="1012"/>
      <c r="F221" s="1012"/>
      <c r="G221" s="1012"/>
      <c r="H221" s="1012"/>
      <c r="I221" s="1013"/>
    </row>
    <row r="222" spans="1:9" x14ac:dyDescent="0.25">
      <c r="A222" s="1011"/>
      <c r="B222" s="1012"/>
      <c r="C222" s="1012"/>
      <c r="D222" s="1012"/>
      <c r="E222" s="1012"/>
      <c r="F222" s="1012"/>
      <c r="G222" s="1012"/>
      <c r="H222" s="1012"/>
      <c r="I222" s="1013"/>
    </row>
    <row r="223" spans="1:9" x14ac:dyDescent="0.25">
      <c r="A223" s="1011"/>
      <c r="B223" s="1012"/>
      <c r="C223" s="1012"/>
      <c r="D223" s="1012"/>
      <c r="E223" s="1012"/>
      <c r="F223" s="1012"/>
      <c r="G223" s="1012"/>
      <c r="H223" s="1012"/>
      <c r="I223" s="1013"/>
    </row>
    <row r="224" spans="1:9" x14ac:dyDescent="0.25">
      <c r="A224" s="1011"/>
      <c r="B224" s="1012"/>
      <c r="C224" s="1012"/>
      <c r="D224" s="1012"/>
      <c r="E224" s="1012"/>
      <c r="F224" s="1012"/>
      <c r="G224" s="1012"/>
      <c r="H224" s="1012"/>
      <c r="I224" s="1013"/>
    </row>
    <row r="225" spans="1:9" x14ac:dyDescent="0.25">
      <c r="A225" s="1011"/>
      <c r="B225" s="1012"/>
      <c r="C225" s="1012"/>
      <c r="D225" s="1012"/>
      <c r="E225" s="1012"/>
      <c r="F225" s="1012"/>
      <c r="G225" s="1012"/>
      <c r="H225" s="1012"/>
      <c r="I225" s="1013"/>
    </row>
    <row r="226" spans="1:9" x14ac:dyDescent="0.25">
      <c r="A226" s="1011"/>
      <c r="B226" s="1012"/>
      <c r="C226" s="1012"/>
      <c r="D226" s="1012"/>
      <c r="E226" s="1012"/>
      <c r="F226" s="1012"/>
      <c r="G226" s="1012"/>
      <c r="H226" s="1012"/>
      <c r="I226" s="1013"/>
    </row>
    <row r="227" spans="1:9" x14ac:dyDescent="0.25">
      <c r="A227" s="1011"/>
      <c r="B227" s="1012"/>
      <c r="C227" s="1012"/>
      <c r="D227" s="1012"/>
      <c r="E227" s="1012"/>
      <c r="F227" s="1012"/>
      <c r="G227" s="1012"/>
      <c r="H227" s="1012"/>
      <c r="I227" s="1013"/>
    </row>
    <row r="228" spans="1:9" x14ac:dyDescent="0.25">
      <c r="A228" s="1011"/>
      <c r="B228" s="1012"/>
      <c r="C228" s="1012"/>
      <c r="D228" s="1012"/>
      <c r="E228" s="1012"/>
      <c r="F228" s="1012"/>
      <c r="G228" s="1012"/>
      <c r="H228" s="1012"/>
      <c r="I228" s="1013"/>
    </row>
    <row r="229" spans="1:9" x14ac:dyDescent="0.25">
      <c r="A229" s="1011"/>
      <c r="B229" s="1012"/>
      <c r="C229" s="1012"/>
      <c r="D229" s="1012"/>
      <c r="E229" s="1012"/>
      <c r="F229" s="1012"/>
      <c r="G229" s="1012"/>
      <c r="H229" s="1012"/>
      <c r="I229" s="1013"/>
    </row>
    <row r="230" spans="1:9" x14ac:dyDescent="0.25">
      <c r="A230" s="1011"/>
      <c r="B230" s="1012"/>
      <c r="C230" s="1012"/>
      <c r="D230" s="1012"/>
      <c r="E230" s="1012"/>
      <c r="F230" s="1012"/>
      <c r="G230" s="1012"/>
      <c r="H230" s="1012"/>
      <c r="I230" s="1013"/>
    </row>
    <row r="231" spans="1:9" x14ac:dyDescent="0.25">
      <c r="A231" s="1011"/>
      <c r="B231" s="1012"/>
      <c r="C231" s="1012"/>
      <c r="D231" s="1012"/>
      <c r="E231" s="1012"/>
      <c r="F231" s="1012"/>
      <c r="G231" s="1012"/>
      <c r="H231" s="1012"/>
      <c r="I231" s="1013"/>
    </row>
    <row r="232" spans="1:9" x14ac:dyDescent="0.25">
      <c r="A232" s="1011"/>
      <c r="B232" s="1012"/>
      <c r="C232" s="1012"/>
      <c r="D232" s="1012"/>
      <c r="E232" s="1012"/>
      <c r="F232" s="1012"/>
      <c r="G232" s="1012"/>
      <c r="H232" s="1012"/>
      <c r="I232" s="1013"/>
    </row>
    <row r="233" spans="1:9" x14ac:dyDescent="0.25">
      <c r="A233" s="1011"/>
      <c r="B233" s="1012"/>
      <c r="C233" s="1012"/>
      <c r="D233" s="1012"/>
      <c r="E233" s="1012"/>
      <c r="F233" s="1012"/>
      <c r="G233" s="1012"/>
      <c r="H233" s="1012"/>
      <c r="I233" s="1013"/>
    </row>
    <row r="234" spans="1:9" ht="15.75" thickBot="1" x14ac:dyDescent="0.3">
      <c r="A234" s="1014"/>
      <c r="B234" s="1015"/>
      <c r="C234" s="1015"/>
      <c r="D234" s="1015"/>
      <c r="E234" s="1015"/>
      <c r="F234" s="1015"/>
      <c r="G234" s="1015"/>
      <c r="H234" s="1015"/>
      <c r="I234" s="1016"/>
    </row>
    <row r="235" spans="1:9" ht="15.75" thickBot="1" x14ac:dyDescent="0.3">
      <c r="A235" s="1023" t="s">
        <v>3082</v>
      </c>
      <c r="B235" s="1024"/>
      <c r="C235" s="1024"/>
      <c r="D235" s="1024"/>
      <c r="E235" s="1024"/>
      <c r="F235" s="1024"/>
      <c r="G235" s="1024"/>
      <c r="H235" s="1024"/>
      <c r="I235" s="1025"/>
    </row>
    <row r="236" spans="1:9" x14ac:dyDescent="0.25">
      <c r="A236" s="1017" t="str">
        <f>CONCATENATE("Notes for"," ",CharacterSheet!$E$1)</f>
        <v xml:space="preserve">Notes for </v>
      </c>
      <c r="B236" s="1018"/>
      <c r="C236" s="1018"/>
      <c r="D236" s="1018"/>
      <c r="E236" s="1018"/>
      <c r="F236" s="1018"/>
      <c r="G236" s="1018"/>
      <c r="H236" s="1018"/>
      <c r="I236" s="1019"/>
    </row>
    <row r="237" spans="1:9" ht="15.75" thickBot="1" x14ac:dyDescent="0.3">
      <c r="A237" s="1020"/>
      <c r="B237" s="1021"/>
      <c r="C237" s="1021"/>
      <c r="D237" s="1021"/>
      <c r="E237" s="1021"/>
      <c r="F237" s="1021"/>
      <c r="G237" s="1021"/>
      <c r="H237" s="1021"/>
      <c r="I237" s="1022"/>
    </row>
    <row r="238" spans="1:9" x14ac:dyDescent="0.25">
      <c r="A238" s="1008"/>
      <c r="B238" s="1009"/>
      <c r="C238" s="1009"/>
      <c r="D238" s="1009"/>
      <c r="E238" s="1009"/>
      <c r="F238" s="1009"/>
      <c r="G238" s="1009"/>
      <c r="H238" s="1009"/>
      <c r="I238" s="1010"/>
    </row>
    <row r="239" spans="1:9" x14ac:dyDescent="0.25">
      <c r="A239" s="1011"/>
      <c r="B239" s="1012"/>
      <c r="C239" s="1012"/>
      <c r="D239" s="1012"/>
      <c r="E239" s="1012"/>
      <c r="F239" s="1012"/>
      <c r="G239" s="1012"/>
      <c r="H239" s="1012"/>
      <c r="I239" s="1013"/>
    </row>
    <row r="240" spans="1:9" x14ac:dyDescent="0.25">
      <c r="A240" s="1011"/>
      <c r="B240" s="1012"/>
      <c r="C240" s="1012"/>
      <c r="D240" s="1012"/>
      <c r="E240" s="1012"/>
      <c r="F240" s="1012"/>
      <c r="G240" s="1012"/>
      <c r="H240" s="1012"/>
      <c r="I240" s="1013"/>
    </row>
    <row r="241" spans="1:9" x14ac:dyDescent="0.25">
      <c r="A241" s="1011"/>
      <c r="B241" s="1012"/>
      <c r="C241" s="1012"/>
      <c r="D241" s="1012"/>
      <c r="E241" s="1012"/>
      <c r="F241" s="1012"/>
      <c r="G241" s="1012"/>
      <c r="H241" s="1012"/>
      <c r="I241" s="1013"/>
    </row>
    <row r="242" spans="1:9" x14ac:dyDescent="0.25">
      <c r="A242" s="1011"/>
      <c r="B242" s="1012"/>
      <c r="C242" s="1012"/>
      <c r="D242" s="1012"/>
      <c r="E242" s="1012"/>
      <c r="F242" s="1012"/>
      <c r="G242" s="1012"/>
      <c r="H242" s="1012"/>
      <c r="I242" s="1013"/>
    </row>
    <row r="243" spans="1:9" x14ac:dyDescent="0.25">
      <c r="A243" s="1011"/>
      <c r="B243" s="1012"/>
      <c r="C243" s="1012"/>
      <c r="D243" s="1012"/>
      <c r="E243" s="1012"/>
      <c r="F243" s="1012"/>
      <c r="G243" s="1012"/>
      <c r="H243" s="1012"/>
      <c r="I243" s="1013"/>
    </row>
    <row r="244" spans="1:9" x14ac:dyDescent="0.25">
      <c r="A244" s="1011"/>
      <c r="B244" s="1012"/>
      <c r="C244" s="1012"/>
      <c r="D244" s="1012"/>
      <c r="E244" s="1012"/>
      <c r="F244" s="1012"/>
      <c r="G244" s="1012"/>
      <c r="H244" s="1012"/>
      <c r="I244" s="1013"/>
    </row>
    <row r="245" spans="1:9" x14ac:dyDescent="0.25">
      <c r="A245" s="1011"/>
      <c r="B245" s="1012"/>
      <c r="C245" s="1012"/>
      <c r="D245" s="1012"/>
      <c r="E245" s="1012"/>
      <c r="F245" s="1012"/>
      <c r="G245" s="1012"/>
      <c r="H245" s="1012"/>
      <c r="I245" s="1013"/>
    </row>
    <row r="246" spans="1:9" x14ac:dyDescent="0.25">
      <c r="A246" s="1011"/>
      <c r="B246" s="1012"/>
      <c r="C246" s="1012"/>
      <c r="D246" s="1012"/>
      <c r="E246" s="1012"/>
      <c r="F246" s="1012"/>
      <c r="G246" s="1012"/>
      <c r="H246" s="1012"/>
      <c r="I246" s="1013"/>
    </row>
    <row r="247" spans="1:9" x14ac:dyDescent="0.25">
      <c r="A247" s="1011"/>
      <c r="B247" s="1012"/>
      <c r="C247" s="1012"/>
      <c r="D247" s="1012"/>
      <c r="E247" s="1012"/>
      <c r="F247" s="1012"/>
      <c r="G247" s="1012"/>
      <c r="H247" s="1012"/>
      <c r="I247" s="1013"/>
    </row>
    <row r="248" spans="1:9" x14ac:dyDescent="0.25">
      <c r="A248" s="1011"/>
      <c r="B248" s="1012"/>
      <c r="C248" s="1012"/>
      <c r="D248" s="1012"/>
      <c r="E248" s="1012"/>
      <c r="F248" s="1012"/>
      <c r="G248" s="1012"/>
      <c r="H248" s="1012"/>
      <c r="I248" s="1013"/>
    </row>
    <row r="249" spans="1:9" x14ac:dyDescent="0.25">
      <c r="A249" s="1011"/>
      <c r="B249" s="1012"/>
      <c r="C249" s="1012"/>
      <c r="D249" s="1012"/>
      <c r="E249" s="1012"/>
      <c r="F249" s="1012"/>
      <c r="G249" s="1012"/>
      <c r="H249" s="1012"/>
      <c r="I249" s="1013"/>
    </row>
    <row r="250" spans="1:9" x14ac:dyDescent="0.25">
      <c r="A250" s="1011"/>
      <c r="B250" s="1012"/>
      <c r="C250" s="1012"/>
      <c r="D250" s="1012"/>
      <c r="E250" s="1012"/>
      <c r="F250" s="1012"/>
      <c r="G250" s="1012"/>
      <c r="H250" s="1012"/>
      <c r="I250" s="1013"/>
    </row>
    <row r="251" spans="1:9" x14ac:dyDescent="0.25">
      <c r="A251" s="1011"/>
      <c r="B251" s="1012"/>
      <c r="C251" s="1012"/>
      <c r="D251" s="1012"/>
      <c r="E251" s="1012"/>
      <c r="F251" s="1012"/>
      <c r="G251" s="1012"/>
      <c r="H251" s="1012"/>
      <c r="I251" s="1013"/>
    </row>
    <row r="252" spans="1:9" x14ac:dyDescent="0.25">
      <c r="A252" s="1011"/>
      <c r="B252" s="1012"/>
      <c r="C252" s="1012"/>
      <c r="D252" s="1012"/>
      <c r="E252" s="1012"/>
      <c r="F252" s="1012"/>
      <c r="G252" s="1012"/>
      <c r="H252" s="1012"/>
      <c r="I252" s="1013"/>
    </row>
    <row r="253" spans="1:9" x14ac:dyDescent="0.25">
      <c r="A253" s="1011"/>
      <c r="B253" s="1012"/>
      <c r="C253" s="1012"/>
      <c r="D253" s="1012"/>
      <c r="E253" s="1012"/>
      <c r="F253" s="1012"/>
      <c r="G253" s="1012"/>
      <c r="H253" s="1012"/>
      <c r="I253" s="1013"/>
    </row>
    <row r="254" spans="1:9" x14ac:dyDescent="0.25">
      <c r="A254" s="1011"/>
      <c r="B254" s="1012"/>
      <c r="C254" s="1012"/>
      <c r="D254" s="1012"/>
      <c r="E254" s="1012"/>
      <c r="F254" s="1012"/>
      <c r="G254" s="1012"/>
      <c r="H254" s="1012"/>
      <c r="I254" s="1013"/>
    </row>
    <row r="255" spans="1:9" x14ac:dyDescent="0.25">
      <c r="A255" s="1011"/>
      <c r="B255" s="1012"/>
      <c r="C255" s="1012"/>
      <c r="D255" s="1012"/>
      <c r="E255" s="1012"/>
      <c r="F255" s="1012"/>
      <c r="G255" s="1012"/>
      <c r="H255" s="1012"/>
      <c r="I255" s="1013"/>
    </row>
    <row r="256" spans="1:9" x14ac:dyDescent="0.25">
      <c r="A256" s="1011"/>
      <c r="B256" s="1012"/>
      <c r="C256" s="1012"/>
      <c r="D256" s="1012"/>
      <c r="E256" s="1012"/>
      <c r="F256" s="1012"/>
      <c r="G256" s="1012"/>
      <c r="H256" s="1012"/>
      <c r="I256" s="1013"/>
    </row>
    <row r="257" spans="1:9" x14ac:dyDescent="0.25">
      <c r="A257" s="1011"/>
      <c r="B257" s="1012"/>
      <c r="C257" s="1012"/>
      <c r="D257" s="1012"/>
      <c r="E257" s="1012"/>
      <c r="F257" s="1012"/>
      <c r="G257" s="1012"/>
      <c r="H257" s="1012"/>
      <c r="I257" s="1013"/>
    </row>
    <row r="258" spans="1:9" x14ac:dyDescent="0.25">
      <c r="A258" s="1011"/>
      <c r="B258" s="1012"/>
      <c r="C258" s="1012"/>
      <c r="D258" s="1012"/>
      <c r="E258" s="1012"/>
      <c r="F258" s="1012"/>
      <c r="G258" s="1012"/>
      <c r="H258" s="1012"/>
      <c r="I258" s="1013"/>
    </row>
    <row r="259" spans="1:9" x14ac:dyDescent="0.25">
      <c r="A259" s="1011"/>
      <c r="B259" s="1012"/>
      <c r="C259" s="1012"/>
      <c r="D259" s="1012"/>
      <c r="E259" s="1012"/>
      <c r="F259" s="1012"/>
      <c r="G259" s="1012"/>
      <c r="H259" s="1012"/>
      <c r="I259" s="1013"/>
    </row>
    <row r="260" spans="1:9" x14ac:dyDescent="0.25">
      <c r="A260" s="1011"/>
      <c r="B260" s="1012"/>
      <c r="C260" s="1012"/>
      <c r="D260" s="1012"/>
      <c r="E260" s="1012"/>
      <c r="F260" s="1012"/>
      <c r="G260" s="1012"/>
      <c r="H260" s="1012"/>
      <c r="I260" s="1013"/>
    </row>
    <row r="261" spans="1:9" x14ac:dyDescent="0.25">
      <c r="A261" s="1011"/>
      <c r="B261" s="1012"/>
      <c r="C261" s="1012"/>
      <c r="D261" s="1012"/>
      <c r="E261" s="1012"/>
      <c r="F261" s="1012"/>
      <c r="G261" s="1012"/>
      <c r="H261" s="1012"/>
      <c r="I261" s="1013"/>
    </row>
    <row r="262" spans="1:9" x14ac:dyDescent="0.25">
      <c r="A262" s="1011"/>
      <c r="B262" s="1012"/>
      <c r="C262" s="1012"/>
      <c r="D262" s="1012"/>
      <c r="E262" s="1012"/>
      <c r="F262" s="1012"/>
      <c r="G262" s="1012"/>
      <c r="H262" s="1012"/>
      <c r="I262" s="1013"/>
    </row>
    <row r="263" spans="1:9" x14ac:dyDescent="0.25">
      <c r="A263" s="1011"/>
      <c r="B263" s="1012"/>
      <c r="C263" s="1012"/>
      <c r="D263" s="1012"/>
      <c r="E263" s="1012"/>
      <c r="F263" s="1012"/>
      <c r="G263" s="1012"/>
      <c r="H263" s="1012"/>
      <c r="I263" s="1013"/>
    </row>
    <row r="264" spans="1:9" x14ac:dyDescent="0.25">
      <c r="A264" s="1011"/>
      <c r="B264" s="1012"/>
      <c r="C264" s="1012"/>
      <c r="D264" s="1012"/>
      <c r="E264" s="1012"/>
      <c r="F264" s="1012"/>
      <c r="G264" s="1012"/>
      <c r="H264" s="1012"/>
      <c r="I264" s="1013"/>
    </row>
    <row r="265" spans="1:9" x14ac:dyDescent="0.25">
      <c r="A265" s="1011"/>
      <c r="B265" s="1012"/>
      <c r="C265" s="1012"/>
      <c r="D265" s="1012"/>
      <c r="E265" s="1012"/>
      <c r="F265" s="1012"/>
      <c r="G265" s="1012"/>
      <c r="H265" s="1012"/>
      <c r="I265" s="1013"/>
    </row>
    <row r="266" spans="1:9" x14ac:dyDescent="0.25">
      <c r="A266" s="1011"/>
      <c r="B266" s="1012"/>
      <c r="C266" s="1012"/>
      <c r="D266" s="1012"/>
      <c r="E266" s="1012"/>
      <c r="F266" s="1012"/>
      <c r="G266" s="1012"/>
      <c r="H266" s="1012"/>
      <c r="I266" s="1013"/>
    </row>
    <row r="267" spans="1:9" x14ac:dyDescent="0.25">
      <c r="A267" s="1011"/>
      <c r="B267" s="1012"/>
      <c r="C267" s="1012"/>
      <c r="D267" s="1012"/>
      <c r="E267" s="1012"/>
      <c r="F267" s="1012"/>
      <c r="G267" s="1012"/>
      <c r="H267" s="1012"/>
      <c r="I267" s="1013"/>
    </row>
    <row r="268" spans="1:9" x14ac:dyDescent="0.25">
      <c r="A268" s="1011"/>
      <c r="B268" s="1012"/>
      <c r="C268" s="1012"/>
      <c r="D268" s="1012"/>
      <c r="E268" s="1012"/>
      <c r="F268" s="1012"/>
      <c r="G268" s="1012"/>
      <c r="H268" s="1012"/>
      <c r="I268" s="1013"/>
    </row>
    <row r="269" spans="1:9" x14ac:dyDescent="0.25">
      <c r="A269" s="1011"/>
      <c r="B269" s="1012"/>
      <c r="C269" s="1012"/>
      <c r="D269" s="1012"/>
      <c r="E269" s="1012"/>
      <c r="F269" s="1012"/>
      <c r="G269" s="1012"/>
      <c r="H269" s="1012"/>
      <c r="I269" s="1013"/>
    </row>
    <row r="270" spans="1:9" x14ac:dyDescent="0.25">
      <c r="A270" s="1011"/>
      <c r="B270" s="1012"/>
      <c r="C270" s="1012"/>
      <c r="D270" s="1012"/>
      <c r="E270" s="1012"/>
      <c r="F270" s="1012"/>
      <c r="G270" s="1012"/>
      <c r="H270" s="1012"/>
      <c r="I270" s="1013"/>
    </row>
    <row r="271" spans="1:9" x14ac:dyDescent="0.25">
      <c r="A271" s="1011"/>
      <c r="B271" s="1012"/>
      <c r="C271" s="1012"/>
      <c r="D271" s="1012"/>
      <c r="E271" s="1012"/>
      <c r="F271" s="1012"/>
      <c r="G271" s="1012"/>
      <c r="H271" s="1012"/>
      <c r="I271" s="1013"/>
    </row>
    <row r="272" spans="1:9" x14ac:dyDescent="0.25">
      <c r="A272" s="1011"/>
      <c r="B272" s="1012"/>
      <c r="C272" s="1012"/>
      <c r="D272" s="1012"/>
      <c r="E272" s="1012"/>
      <c r="F272" s="1012"/>
      <c r="G272" s="1012"/>
      <c r="H272" s="1012"/>
      <c r="I272" s="1013"/>
    </row>
    <row r="273" spans="1:9" x14ac:dyDescent="0.25">
      <c r="A273" s="1011"/>
      <c r="B273" s="1012"/>
      <c r="C273" s="1012"/>
      <c r="D273" s="1012"/>
      <c r="E273" s="1012"/>
      <c r="F273" s="1012"/>
      <c r="G273" s="1012"/>
      <c r="H273" s="1012"/>
      <c r="I273" s="1013"/>
    </row>
    <row r="274" spans="1:9" x14ac:dyDescent="0.25">
      <c r="A274" s="1011"/>
      <c r="B274" s="1012"/>
      <c r="C274" s="1012"/>
      <c r="D274" s="1012"/>
      <c r="E274" s="1012"/>
      <c r="F274" s="1012"/>
      <c r="G274" s="1012"/>
      <c r="H274" s="1012"/>
      <c r="I274" s="1013"/>
    </row>
    <row r="275" spans="1:9" x14ac:dyDescent="0.25">
      <c r="A275" s="1011"/>
      <c r="B275" s="1012"/>
      <c r="C275" s="1012"/>
      <c r="D275" s="1012"/>
      <c r="E275" s="1012"/>
      <c r="F275" s="1012"/>
      <c r="G275" s="1012"/>
      <c r="H275" s="1012"/>
      <c r="I275" s="1013"/>
    </row>
    <row r="276" spans="1:9" x14ac:dyDescent="0.25">
      <c r="A276" s="1011"/>
      <c r="B276" s="1012"/>
      <c r="C276" s="1012"/>
      <c r="D276" s="1012"/>
      <c r="E276" s="1012"/>
      <c r="F276" s="1012"/>
      <c r="G276" s="1012"/>
      <c r="H276" s="1012"/>
      <c r="I276" s="1013"/>
    </row>
    <row r="277" spans="1:9" x14ac:dyDescent="0.25">
      <c r="A277" s="1011"/>
      <c r="B277" s="1012"/>
      <c r="C277" s="1012"/>
      <c r="D277" s="1012"/>
      <c r="E277" s="1012"/>
      <c r="F277" s="1012"/>
      <c r="G277" s="1012"/>
      <c r="H277" s="1012"/>
      <c r="I277" s="1013"/>
    </row>
    <row r="278" spans="1:9" x14ac:dyDescent="0.25">
      <c r="A278" s="1011"/>
      <c r="B278" s="1012"/>
      <c r="C278" s="1012"/>
      <c r="D278" s="1012"/>
      <c r="E278" s="1012"/>
      <c r="F278" s="1012"/>
      <c r="G278" s="1012"/>
      <c r="H278" s="1012"/>
      <c r="I278" s="1013"/>
    </row>
    <row r="279" spans="1:9" x14ac:dyDescent="0.25">
      <c r="A279" s="1011"/>
      <c r="B279" s="1012"/>
      <c r="C279" s="1012"/>
      <c r="D279" s="1012"/>
      <c r="E279" s="1012"/>
      <c r="F279" s="1012"/>
      <c r="G279" s="1012"/>
      <c r="H279" s="1012"/>
      <c r="I279" s="1013"/>
    </row>
    <row r="280" spans="1:9" x14ac:dyDescent="0.25">
      <c r="A280" s="1011"/>
      <c r="B280" s="1012"/>
      <c r="C280" s="1012"/>
      <c r="D280" s="1012"/>
      <c r="E280" s="1012"/>
      <c r="F280" s="1012"/>
      <c r="G280" s="1012"/>
      <c r="H280" s="1012"/>
      <c r="I280" s="1013"/>
    </row>
    <row r="281" spans="1:9" ht="15.75" thickBot="1" x14ac:dyDescent="0.3">
      <c r="A281" s="1014"/>
      <c r="B281" s="1015"/>
      <c r="C281" s="1015"/>
      <c r="D281" s="1015"/>
      <c r="E281" s="1015"/>
      <c r="F281" s="1015"/>
      <c r="G281" s="1015"/>
      <c r="H281" s="1015"/>
      <c r="I281" s="1016"/>
    </row>
    <row r="282" spans="1:9" ht="15.75" thickBot="1" x14ac:dyDescent="0.3">
      <c r="A282" s="1023" t="s">
        <v>3083</v>
      </c>
      <c r="B282" s="1024"/>
      <c r="C282" s="1024"/>
      <c r="D282" s="1024"/>
      <c r="E282" s="1024"/>
      <c r="F282" s="1024"/>
      <c r="G282" s="1024"/>
      <c r="H282" s="1024"/>
      <c r="I282" s="1025"/>
    </row>
    <row r="283" spans="1:9" x14ac:dyDescent="0.25">
      <c r="A283" s="1017" t="str">
        <f>CONCATENATE("Notes for"," ",CharacterSheet!$E$1)</f>
        <v xml:space="preserve">Notes for </v>
      </c>
      <c r="B283" s="1018"/>
      <c r="C283" s="1018"/>
      <c r="D283" s="1018"/>
      <c r="E283" s="1018"/>
      <c r="F283" s="1018"/>
      <c r="G283" s="1018"/>
      <c r="H283" s="1018"/>
      <c r="I283" s="1019"/>
    </row>
    <row r="284" spans="1:9" ht="15.75" thickBot="1" x14ac:dyDescent="0.3">
      <c r="A284" s="1020"/>
      <c r="B284" s="1021"/>
      <c r="C284" s="1021"/>
      <c r="D284" s="1021"/>
      <c r="E284" s="1021"/>
      <c r="F284" s="1021"/>
      <c r="G284" s="1021"/>
      <c r="H284" s="1021"/>
      <c r="I284" s="1022"/>
    </row>
    <row r="285" spans="1:9" x14ac:dyDescent="0.25">
      <c r="A285" s="1008"/>
      <c r="B285" s="1009"/>
      <c r="C285" s="1009"/>
      <c r="D285" s="1009"/>
      <c r="E285" s="1009"/>
      <c r="F285" s="1009"/>
      <c r="G285" s="1009"/>
      <c r="H285" s="1009"/>
      <c r="I285" s="1010"/>
    </row>
    <row r="286" spans="1:9" x14ac:dyDescent="0.25">
      <c r="A286" s="1011"/>
      <c r="B286" s="1012"/>
      <c r="C286" s="1012"/>
      <c r="D286" s="1012"/>
      <c r="E286" s="1012"/>
      <c r="F286" s="1012"/>
      <c r="G286" s="1012"/>
      <c r="H286" s="1012"/>
      <c r="I286" s="1013"/>
    </row>
    <row r="287" spans="1:9" x14ac:dyDescent="0.25">
      <c r="A287" s="1011"/>
      <c r="B287" s="1012"/>
      <c r="C287" s="1012"/>
      <c r="D287" s="1012"/>
      <c r="E287" s="1012"/>
      <c r="F287" s="1012"/>
      <c r="G287" s="1012"/>
      <c r="H287" s="1012"/>
      <c r="I287" s="1013"/>
    </row>
    <row r="288" spans="1:9" x14ac:dyDescent="0.25">
      <c r="A288" s="1011"/>
      <c r="B288" s="1012"/>
      <c r="C288" s="1012"/>
      <c r="D288" s="1012"/>
      <c r="E288" s="1012"/>
      <c r="F288" s="1012"/>
      <c r="G288" s="1012"/>
      <c r="H288" s="1012"/>
      <c r="I288" s="1013"/>
    </row>
    <row r="289" spans="1:9" x14ac:dyDescent="0.25">
      <c r="A289" s="1011"/>
      <c r="B289" s="1012"/>
      <c r="C289" s="1012"/>
      <c r="D289" s="1012"/>
      <c r="E289" s="1012"/>
      <c r="F289" s="1012"/>
      <c r="G289" s="1012"/>
      <c r="H289" s="1012"/>
      <c r="I289" s="1013"/>
    </row>
    <row r="290" spans="1:9" x14ac:dyDescent="0.25">
      <c r="A290" s="1011"/>
      <c r="B290" s="1012"/>
      <c r="C290" s="1012"/>
      <c r="D290" s="1012"/>
      <c r="E290" s="1012"/>
      <c r="F290" s="1012"/>
      <c r="G290" s="1012"/>
      <c r="H290" s="1012"/>
      <c r="I290" s="1013"/>
    </row>
    <row r="291" spans="1:9" x14ac:dyDescent="0.25">
      <c r="A291" s="1011"/>
      <c r="B291" s="1012"/>
      <c r="C291" s="1012"/>
      <c r="D291" s="1012"/>
      <c r="E291" s="1012"/>
      <c r="F291" s="1012"/>
      <c r="G291" s="1012"/>
      <c r="H291" s="1012"/>
      <c r="I291" s="1013"/>
    </row>
    <row r="292" spans="1:9" x14ac:dyDescent="0.25">
      <c r="A292" s="1011"/>
      <c r="B292" s="1012"/>
      <c r="C292" s="1012"/>
      <c r="D292" s="1012"/>
      <c r="E292" s="1012"/>
      <c r="F292" s="1012"/>
      <c r="G292" s="1012"/>
      <c r="H292" s="1012"/>
      <c r="I292" s="1013"/>
    </row>
    <row r="293" spans="1:9" x14ac:dyDescent="0.25">
      <c r="A293" s="1011"/>
      <c r="B293" s="1012"/>
      <c r="C293" s="1012"/>
      <c r="D293" s="1012"/>
      <c r="E293" s="1012"/>
      <c r="F293" s="1012"/>
      <c r="G293" s="1012"/>
      <c r="H293" s="1012"/>
      <c r="I293" s="1013"/>
    </row>
    <row r="294" spans="1:9" x14ac:dyDescent="0.25">
      <c r="A294" s="1011"/>
      <c r="B294" s="1012"/>
      <c r="C294" s="1012"/>
      <c r="D294" s="1012"/>
      <c r="E294" s="1012"/>
      <c r="F294" s="1012"/>
      <c r="G294" s="1012"/>
      <c r="H294" s="1012"/>
      <c r="I294" s="1013"/>
    </row>
    <row r="295" spans="1:9" x14ac:dyDescent="0.25">
      <c r="A295" s="1011"/>
      <c r="B295" s="1012"/>
      <c r="C295" s="1012"/>
      <c r="D295" s="1012"/>
      <c r="E295" s="1012"/>
      <c r="F295" s="1012"/>
      <c r="G295" s="1012"/>
      <c r="H295" s="1012"/>
      <c r="I295" s="1013"/>
    </row>
    <row r="296" spans="1:9" x14ac:dyDescent="0.25">
      <c r="A296" s="1011"/>
      <c r="B296" s="1012"/>
      <c r="C296" s="1012"/>
      <c r="D296" s="1012"/>
      <c r="E296" s="1012"/>
      <c r="F296" s="1012"/>
      <c r="G296" s="1012"/>
      <c r="H296" s="1012"/>
      <c r="I296" s="1013"/>
    </row>
    <row r="297" spans="1:9" x14ac:dyDescent="0.25">
      <c r="A297" s="1011"/>
      <c r="B297" s="1012"/>
      <c r="C297" s="1012"/>
      <c r="D297" s="1012"/>
      <c r="E297" s="1012"/>
      <c r="F297" s="1012"/>
      <c r="G297" s="1012"/>
      <c r="H297" s="1012"/>
      <c r="I297" s="1013"/>
    </row>
    <row r="298" spans="1:9" x14ac:dyDescent="0.25">
      <c r="A298" s="1011"/>
      <c r="B298" s="1012"/>
      <c r="C298" s="1012"/>
      <c r="D298" s="1012"/>
      <c r="E298" s="1012"/>
      <c r="F298" s="1012"/>
      <c r="G298" s="1012"/>
      <c r="H298" s="1012"/>
      <c r="I298" s="1013"/>
    </row>
    <row r="299" spans="1:9" x14ac:dyDescent="0.25">
      <c r="A299" s="1011"/>
      <c r="B299" s="1012"/>
      <c r="C299" s="1012"/>
      <c r="D299" s="1012"/>
      <c r="E299" s="1012"/>
      <c r="F299" s="1012"/>
      <c r="G299" s="1012"/>
      <c r="H299" s="1012"/>
      <c r="I299" s="1013"/>
    </row>
    <row r="300" spans="1:9" x14ac:dyDescent="0.25">
      <c r="A300" s="1011"/>
      <c r="B300" s="1012"/>
      <c r="C300" s="1012"/>
      <c r="D300" s="1012"/>
      <c r="E300" s="1012"/>
      <c r="F300" s="1012"/>
      <c r="G300" s="1012"/>
      <c r="H300" s="1012"/>
      <c r="I300" s="1013"/>
    </row>
    <row r="301" spans="1:9" x14ac:dyDescent="0.25">
      <c r="A301" s="1011"/>
      <c r="B301" s="1012"/>
      <c r="C301" s="1012"/>
      <c r="D301" s="1012"/>
      <c r="E301" s="1012"/>
      <c r="F301" s="1012"/>
      <c r="G301" s="1012"/>
      <c r="H301" s="1012"/>
      <c r="I301" s="1013"/>
    </row>
    <row r="302" spans="1:9" x14ac:dyDescent="0.25">
      <c r="A302" s="1011"/>
      <c r="B302" s="1012"/>
      <c r="C302" s="1012"/>
      <c r="D302" s="1012"/>
      <c r="E302" s="1012"/>
      <c r="F302" s="1012"/>
      <c r="G302" s="1012"/>
      <c r="H302" s="1012"/>
      <c r="I302" s="1013"/>
    </row>
    <row r="303" spans="1:9" x14ac:dyDescent="0.25">
      <c r="A303" s="1011"/>
      <c r="B303" s="1012"/>
      <c r="C303" s="1012"/>
      <c r="D303" s="1012"/>
      <c r="E303" s="1012"/>
      <c r="F303" s="1012"/>
      <c r="G303" s="1012"/>
      <c r="H303" s="1012"/>
      <c r="I303" s="1013"/>
    </row>
    <row r="304" spans="1:9" x14ac:dyDescent="0.25">
      <c r="A304" s="1011"/>
      <c r="B304" s="1012"/>
      <c r="C304" s="1012"/>
      <c r="D304" s="1012"/>
      <c r="E304" s="1012"/>
      <c r="F304" s="1012"/>
      <c r="G304" s="1012"/>
      <c r="H304" s="1012"/>
      <c r="I304" s="1013"/>
    </row>
    <row r="305" spans="1:9" x14ac:dyDescent="0.25">
      <c r="A305" s="1011"/>
      <c r="B305" s="1012"/>
      <c r="C305" s="1012"/>
      <c r="D305" s="1012"/>
      <c r="E305" s="1012"/>
      <c r="F305" s="1012"/>
      <c r="G305" s="1012"/>
      <c r="H305" s="1012"/>
      <c r="I305" s="1013"/>
    </row>
    <row r="306" spans="1:9" x14ac:dyDescent="0.25">
      <c r="A306" s="1011"/>
      <c r="B306" s="1012"/>
      <c r="C306" s="1012"/>
      <c r="D306" s="1012"/>
      <c r="E306" s="1012"/>
      <c r="F306" s="1012"/>
      <c r="G306" s="1012"/>
      <c r="H306" s="1012"/>
      <c r="I306" s="1013"/>
    </row>
    <row r="307" spans="1:9" x14ac:dyDescent="0.25">
      <c r="A307" s="1011"/>
      <c r="B307" s="1012"/>
      <c r="C307" s="1012"/>
      <c r="D307" s="1012"/>
      <c r="E307" s="1012"/>
      <c r="F307" s="1012"/>
      <c r="G307" s="1012"/>
      <c r="H307" s="1012"/>
      <c r="I307" s="1013"/>
    </row>
    <row r="308" spans="1:9" x14ac:dyDescent="0.25">
      <c r="A308" s="1011"/>
      <c r="B308" s="1012"/>
      <c r="C308" s="1012"/>
      <c r="D308" s="1012"/>
      <c r="E308" s="1012"/>
      <c r="F308" s="1012"/>
      <c r="G308" s="1012"/>
      <c r="H308" s="1012"/>
      <c r="I308" s="1013"/>
    </row>
    <row r="309" spans="1:9" x14ac:dyDescent="0.25">
      <c r="A309" s="1011"/>
      <c r="B309" s="1012"/>
      <c r="C309" s="1012"/>
      <c r="D309" s="1012"/>
      <c r="E309" s="1012"/>
      <c r="F309" s="1012"/>
      <c r="G309" s="1012"/>
      <c r="H309" s="1012"/>
      <c r="I309" s="1013"/>
    </row>
    <row r="310" spans="1:9" x14ac:dyDescent="0.25">
      <c r="A310" s="1011"/>
      <c r="B310" s="1012"/>
      <c r="C310" s="1012"/>
      <c r="D310" s="1012"/>
      <c r="E310" s="1012"/>
      <c r="F310" s="1012"/>
      <c r="G310" s="1012"/>
      <c r="H310" s="1012"/>
      <c r="I310" s="1013"/>
    </row>
    <row r="311" spans="1:9" x14ac:dyDescent="0.25">
      <c r="A311" s="1011"/>
      <c r="B311" s="1012"/>
      <c r="C311" s="1012"/>
      <c r="D311" s="1012"/>
      <c r="E311" s="1012"/>
      <c r="F311" s="1012"/>
      <c r="G311" s="1012"/>
      <c r="H311" s="1012"/>
      <c r="I311" s="1013"/>
    </row>
    <row r="312" spans="1:9" x14ac:dyDescent="0.25">
      <c r="A312" s="1011"/>
      <c r="B312" s="1012"/>
      <c r="C312" s="1012"/>
      <c r="D312" s="1012"/>
      <c r="E312" s="1012"/>
      <c r="F312" s="1012"/>
      <c r="G312" s="1012"/>
      <c r="H312" s="1012"/>
      <c r="I312" s="1013"/>
    </row>
    <row r="313" spans="1:9" x14ac:dyDescent="0.25">
      <c r="A313" s="1011"/>
      <c r="B313" s="1012"/>
      <c r="C313" s="1012"/>
      <c r="D313" s="1012"/>
      <c r="E313" s="1012"/>
      <c r="F313" s="1012"/>
      <c r="G313" s="1012"/>
      <c r="H313" s="1012"/>
      <c r="I313" s="1013"/>
    </row>
    <row r="314" spans="1:9" x14ac:dyDescent="0.25">
      <c r="A314" s="1011"/>
      <c r="B314" s="1012"/>
      <c r="C314" s="1012"/>
      <c r="D314" s="1012"/>
      <c r="E314" s="1012"/>
      <c r="F314" s="1012"/>
      <c r="G314" s="1012"/>
      <c r="H314" s="1012"/>
      <c r="I314" s="1013"/>
    </row>
    <row r="315" spans="1:9" x14ac:dyDescent="0.25">
      <c r="A315" s="1011"/>
      <c r="B315" s="1012"/>
      <c r="C315" s="1012"/>
      <c r="D315" s="1012"/>
      <c r="E315" s="1012"/>
      <c r="F315" s="1012"/>
      <c r="G315" s="1012"/>
      <c r="H315" s="1012"/>
      <c r="I315" s="1013"/>
    </row>
    <row r="316" spans="1:9" x14ac:dyDescent="0.25">
      <c r="A316" s="1011"/>
      <c r="B316" s="1012"/>
      <c r="C316" s="1012"/>
      <c r="D316" s="1012"/>
      <c r="E316" s="1012"/>
      <c r="F316" s="1012"/>
      <c r="G316" s="1012"/>
      <c r="H316" s="1012"/>
      <c r="I316" s="1013"/>
    </row>
    <row r="317" spans="1:9" x14ac:dyDescent="0.25">
      <c r="A317" s="1011"/>
      <c r="B317" s="1012"/>
      <c r="C317" s="1012"/>
      <c r="D317" s="1012"/>
      <c r="E317" s="1012"/>
      <c r="F317" s="1012"/>
      <c r="G317" s="1012"/>
      <c r="H317" s="1012"/>
      <c r="I317" s="1013"/>
    </row>
    <row r="318" spans="1:9" x14ac:dyDescent="0.25">
      <c r="A318" s="1011"/>
      <c r="B318" s="1012"/>
      <c r="C318" s="1012"/>
      <c r="D318" s="1012"/>
      <c r="E318" s="1012"/>
      <c r="F318" s="1012"/>
      <c r="G318" s="1012"/>
      <c r="H318" s="1012"/>
      <c r="I318" s="1013"/>
    </row>
    <row r="319" spans="1:9" x14ac:dyDescent="0.25">
      <c r="A319" s="1011"/>
      <c r="B319" s="1012"/>
      <c r="C319" s="1012"/>
      <c r="D319" s="1012"/>
      <c r="E319" s="1012"/>
      <c r="F319" s="1012"/>
      <c r="G319" s="1012"/>
      <c r="H319" s="1012"/>
      <c r="I319" s="1013"/>
    </row>
    <row r="320" spans="1:9" x14ac:dyDescent="0.25">
      <c r="A320" s="1011"/>
      <c r="B320" s="1012"/>
      <c r="C320" s="1012"/>
      <c r="D320" s="1012"/>
      <c r="E320" s="1012"/>
      <c r="F320" s="1012"/>
      <c r="G320" s="1012"/>
      <c r="H320" s="1012"/>
      <c r="I320" s="1013"/>
    </row>
    <row r="321" spans="1:9" x14ac:dyDescent="0.25">
      <c r="A321" s="1011"/>
      <c r="B321" s="1012"/>
      <c r="C321" s="1012"/>
      <c r="D321" s="1012"/>
      <c r="E321" s="1012"/>
      <c r="F321" s="1012"/>
      <c r="G321" s="1012"/>
      <c r="H321" s="1012"/>
      <c r="I321" s="1013"/>
    </row>
    <row r="322" spans="1:9" x14ac:dyDescent="0.25">
      <c r="A322" s="1011"/>
      <c r="B322" s="1012"/>
      <c r="C322" s="1012"/>
      <c r="D322" s="1012"/>
      <c r="E322" s="1012"/>
      <c r="F322" s="1012"/>
      <c r="G322" s="1012"/>
      <c r="H322" s="1012"/>
      <c r="I322" s="1013"/>
    </row>
    <row r="323" spans="1:9" x14ac:dyDescent="0.25">
      <c r="A323" s="1011"/>
      <c r="B323" s="1012"/>
      <c r="C323" s="1012"/>
      <c r="D323" s="1012"/>
      <c r="E323" s="1012"/>
      <c r="F323" s="1012"/>
      <c r="G323" s="1012"/>
      <c r="H323" s="1012"/>
      <c r="I323" s="1013"/>
    </row>
    <row r="324" spans="1:9" x14ac:dyDescent="0.25">
      <c r="A324" s="1011"/>
      <c r="B324" s="1012"/>
      <c r="C324" s="1012"/>
      <c r="D324" s="1012"/>
      <c r="E324" s="1012"/>
      <c r="F324" s="1012"/>
      <c r="G324" s="1012"/>
      <c r="H324" s="1012"/>
      <c r="I324" s="1013"/>
    </row>
    <row r="325" spans="1:9" x14ac:dyDescent="0.25">
      <c r="A325" s="1011"/>
      <c r="B325" s="1012"/>
      <c r="C325" s="1012"/>
      <c r="D325" s="1012"/>
      <c r="E325" s="1012"/>
      <c r="F325" s="1012"/>
      <c r="G325" s="1012"/>
      <c r="H325" s="1012"/>
      <c r="I325" s="1013"/>
    </row>
    <row r="326" spans="1:9" x14ac:dyDescent="0.25">
      <c r="A326" s="1011"/>
      <c r="B326" s="1012"/>
      <c r="C326" s="1012"/>
      <c r="D326" s="1012"/>
      <c r="E326" s="1012"/>
      <c r="F326" s="1012"/>
      <c r="G326" s="1012"/>
      <c r="H326" s="1012"/>
      <c r="I326" s="1013"/>
    </row>
    <row r="327" spans="1:9" x14ac:dyDescent="0.25">
      <c r="A327" s="1011"/>
      <c r="B327" s="1012"/>
      <c r="C327" s="1012"/>
      <c r="D327" s="1012"/>
      <c r="E327" s="1012"/>
      <c r="F327" s="1012"/>
      <c r="G327" s="1012"/>
      <c r="H327" s="1012"/>
      <c r="I327" s="1013"/>
    </row>
    <row r="328" spans="1:9" ht="15.75" thickBot="1" x14ac:dyDescent="0.3">
      <c r="A328" s="1014"/>
      <c r="B328" s="1015"/>
      <c r="C328" s="1015"/>
      <c r="D328" s="1015"/>
      <c r="E328" s="1015"/>
      <c r="F328" s="1015"/>
      <c r="G328" s="1015"/>
      <c r="H328" s="1015"/>
      <c r="I328" s="1016"/>
    </row>
    <row r="329" spans="1:9" ht="15.75" thickBot="1" x14ac:dyDescent="0.3">
      <c r="A329" s="1023" t="s">
        <v>3084</v>
      </c>
      <c r="B329" s="1024"/>
      <c r="C329" s="1024"/>
      <c r="D329" s="1024"/>
      <c r="E329" s="1024"/>
      <c r="F329" s="1024"/>
      <c r="G329" s="1024"/>
      <c r="H329" s="1024"/>
      <c r="I329" s="1025"/>
    </row>
    <row r="330" spans="1:9" x14ac:dyDescent="0.25">
      <c r="A330" s="1017" t="str">
        <f>CONCATENATE("Notes for"," ",CharacterSheet!$E$1)</f>
        <v xml:space="preserve">Notes for </v>
      </c>
      <c r="B330" s="1018"/>
      <c r="C330" s="1018"/>
      <c r="D330" s="1018"/>
      <c r="E330" s="1018"/>
      <c r="F330" s="1018"/>
      <c r="G330" s="1018"/>
      <c r="H330" s="1018"/>
      <c r="I330" s="1019"/>
    </row>
    <row r="331" spans="1:9" ht="15.75" thickBot="1" x14ac:dyDescent="0.3">
      <c r="A331" s="1020"/>
      <c r="B331" s="1021"/>
      <c r="C331" s="1021"/>
      <c r="D331" s="1021"/>
      <c r="E331" s="1021"/>
      <c r="F331" s="1021"/>
      <c r="G331" s="1021"/>
      <c r="H331" s="1021"/>
      <c r="I331" s="1022"/>
    </row>
    <row r="332" spans="1:9" x14ac:dyDescent="0.25">
      <c r="A332" s="1008"/>
      <c r="B332" s="1009"/>
      <c r="C332" s="1009"/>
      <c r="D332" s="1009"/>
      <c r="E332" s="1009"/>
      <c r="F332" s="1009"/>
      <c r="G332" s="1009"/>
      <c r="H332" s="1009"/>
      <c r="I332" s="1010"/>
    </row>
    <row r="333" spans="1:9" x14ac:dyDescent="0.25">
      <c r="A333" s="1011"/>
      <c r="B333" s="1012"/>
      <c r="C333" s="1012"/>
      <c r="D333" s="1012"/>
      <c r="E333" s="1012"/>
      <c r="F333" s="1012"/>
      <c r="G333" s="1012"/>
      <c r="H333" s="1012"/>
      <c r="I333" s="1013"/>
    </row>
    <row r="334" spans="1:9" x14ac:dyDescent="0.25">
      <c r="A334" s="1011"/>
      <c r="B334" s="1012"/>
      <c r="C334" s="1012"/>
      <c r="D334" s="1012"/>
      <c r="E334" s="1012"/>
      <c r="F334" s="1012"/>
      <c r="G334" s="1012"/>
      <c r="H334" s="1012"/>
      <c r="I334" s="1013"/>
    </row>
    <row r="335" spans="1:9" x14ac:dyDescent="0.25">
      <c r="A335" s="1011"/>
      <c r="B335" s="1012"/>
      <c r="C335" s="1012"/>
      <c r="D335" s="1012"/>
      <c r="E335" s="1012"/>
      <c r="F335" s="1012"/>
      <c r="G335" s="1012"/>
      <c r="H335" s="1012"/>
      <c r="I335" s="1013"/>
    </row>
    <row r="336" spans="1:9" x14ac:dyDescent="0.25">
      <c r="A336" s="1011"/>
      <c r="B336" s="1012"/>
      <c r="C336" s="1012"/>
      <c r="D336" s="1012"/>
      <c r="E336" s="1012"/>
      <c r="F336" s="1012"/>
      <c r="G336" s="1012"/>
      <c r="H336" s="1012"/>
      <c r="I336" s="1013"/>
    </row>
    <row r="337" spans="1:9" x14ac:dyDescent="0.25">
      <c r="A337" s="1011"/>
      <c r="B337" s="1012"/>
      <c r="C337" s="1012"/>
      <c r="D337" s="1012"/>
      <c r="E337" s="1012"/>
      <c r="F337" s="1012"/>
      <c r="G337" s="1012"/>
      <c r="H337" s="1012"/>
      <c r="I337" s="1013"/>
    </row>
    <row r="338" spans="1:9" x14ac:dyDescent="0.25">
      <c r="A338" s="1011"/>
      <c r="B338" s="1012"/>
      <c r="C338" s="1012"/>
      <c r="D338" s="1012"/>
      <c r="E338" s="1012"/>
      <c r="F338" s="1012"/>
      <c r="G338" s="1012"/>
      <c r="H338" s="1012"/>
      <c r="I338" s="1013"/>
    </row>
    <row r="339" spans="1:9" x14ac:dyDescent="0.25">
      <c r="A339" s="1011"/>
      <c r="B339" s="1012"/>
      <c r="C339" s="1012"/>
      <c r="D339" s="1012"/>
      <c r="E339" s="1012"/>
      <c r="F339" s="1012"/>
      <c r="G339" s="1012"/>
      <c r="H339" s="1012"/>
      <c r="I339" s="1013"/>
    </row>
    <row r="340" spans="1:9" x14ac:dyDescent="0.25">
      <c r="A340" s="1011"/>
      <c r="B340" s="1012"/>
      <c r="C340" s="1012"/>
      <c r="D340" s="1012"/>
      <c r="E340" s="1012"/>
      <c r="F340" s="1012"/>
      <c r="G340" s="1012"/>
      <c r="H340" s="1012"/>
      <c r="I340" s="1013"/>
    </row>
    <row r="341" spans="1:9" x14ac:dyDescent="0.25">
      <c r="A341" s="1011"/>
      <c r="B341" s="1012"/>
      <c r="C341" s="1012"/>
      <c r="D341" s="1012"/>
      <c r="E341" s="1012"/>
      <c r="F341" s="1012"/>
      <c r="G341" s="1012"/>
      <c r="H341" s="1012"/>
      <c r="I341" s="1013"/>
    </row>
    <row r="342" spans="1:9" x14ac:dyDescent="0.25">
      <c r="A342" s="1011"/>
      <c r="B342" s="1012"/>
      <c r="C342" s="1012"/>
      <c r="D342" s="1012"/>
      <c r="E342" s="1012"/>
      <c r="F342" s="1012"/>
      <c r="G342" s="1012"/>
      <c r="H342" s="1012"/>
      <c r="I342" s="1013"/>
    </row>
    <row r="343" spans="1:9" x14ac:dyDescent="0.25">
      <c r="A343" s="1011"/>
      <c r="B343" s="1012"/>
      <c r="C343" s="1012"/>
      <c r="D343" s="1012"/>
      <c r="E343" s="1012"/>
      <c r="F343" s="1012"/>
      <c r="G343" s="1012"/>
      <c r="H343" s="1012"/>
      <c r="I343" s="1013"/>
    </row>
    <row r="344" spans="1:9" x14ac:dyDescent="0.25">
      <c r="A344" s="1011"/>
      <c r="B344" s="1012"/>
      <c r="C344" s="1012"/>
      <c r="D344" s="1012"/>
      <c r="E344" s="1012"/>
      <c r="F344" s="1012"/>
      <c r="G344" s="1012"/>
      <c r="H344" s="1012"/>
      <c r="I344" s="1013"/>
    </row>
    <row r="345" spans="1:9" x14ac:dyDescent="0.25">
      <c r="A345" s="1011"/>
      <c r="B345" s="1012"/>
      <c r="C345" s="1012"/>
      <c r="D345" s="1012"/>
      <c r="E345" s="1012"/>
      <c r="F345" s="1012"/>
      <c r="G345" s="1012"/>
      <c r="H345" s="1012"/>
      <c r="I345" s="1013"/>
    </row>
    <row r="346" spans="1:9" x14ac:dyDescent="0.25">
      <c r="A346" s="1011"/>
      <c r="B346" s="1012"/>
      <c r="C346" s="1012"/>
      <c r="D346" s="1012"/>
      <c r="E346" s="1012"/>
      <c r="F346" s="1012"/>
      <c r="G346" s="1012"/>
      <c r="H346" s="1012"/>
      <c r="I346" s="1013"/>
    </row>
    <row r="347" spans="1:9" x14ac:dyDescent="0.25">
      <c r="A347" s="1011"/>
      <c r="B347" s="1012"/>
      <c r="C347" s="1012"/>
      <c r="D347" s="1012"/>
      <c r="E347" s="1012"/>
      <c r="F347" s="1012"/>
      <c r="G347" s="1012"/>
      <c r="H347" s="1012"/>
      <c r="I347" s="1013"/>
    </row>
    <row r="348" spans="1:9" x14ac:dyDescent="0.25">
      <c r="A348" s="1011"/>
      <c r="B348" s="1012"/>
      <c r="C348" s="1012"/>
      <c r="D348" s="1012"/>
      <c r="E348" s="1012"/>
      <c r="F348" s="1012"/>
      <c r="G348" s="1012"/>
      <c r="H348" s="1012"/>
      <c r="I348" s="1013"/>
    </row>
    <row r="349" spans="1:9" x14ac:dyDescent="0.25">
      <c r="A349" s="1011"/>
      <c r="B349" s="1012"/>
      <c r="C349" s="1012"/>
      <c r="D349" s="1012"/>
      <c r="E349" s="1012"/>
      <c r="F349" s="1012"/>
      <c r="G349" s="1012"/>
      <c r="H349" s="1012"/>
      <c r="I349" s="1013"/>
    </row>
    <row r="350" spans="1:9" x14ac:dyDescent="0.25">
      <c r="A350" s="1011"/>
      <c r="B350" s="1012"/>
      <c r="C350" s="1012"/>
      <c r="D350" s="1012"/>
      <c r="E350" s="1012"/>
      <c r="F350" s="1012"/>
      <c r="G350" s="1012"/>
      <c r="H350" s="1012"/>
      <c r="I350" s="1013"/>
    </row>
    <row r="351" spans="1:9" x14ac:dyDescent="0.25">
      <c r="A351" s="1011"/>
      <c r="B351" s="1012"/>
      <c r="C351" s="1012"/>
      <c r="D351" s="1012"/>
      <c r="E351" s="1012"/>
      <c r="F351" s="1012"/>
      <c r="G351" s="1012"/>
      <c r="H351" s="1012"/>
      <c r="I351" s="1013"/>
    </row>
    <row r="352" spans="1:9" x14ac:dyDescent="0.25">
      <c r="A352" s="1011"/>
      <c r="B352" s="1012"/>
      <c r="C352" s="1012"/>
      <c r="D352" s="1012"/>
      <c r="E352" s="1012"/>
      <c r="F352" s="1012"/>
      <c r="G352" s="1012"/>
      <c r="H352" s="1012"/>
      <c r="I352" s="1013"/>
    </row>
    <row r="353" spans="1:9" x14ac:dyDescent="0.25">
      <c r="A353" s="1011"/>
      <c r="B353" s="1012"/>
      <c r="C353" s="1012"/>
      <c r="D353" s="1012"/>
      <c r="E353" s="1012"/>
      <c r="F353" s="1012"/>
      <c r="G353" s="1012"/>
      <c r="H353" s="1012"/>
      <c r="I353" s="1013"/>
    </row>
    <row r="354" spans="1:9" x14ac:dyDescent="0.25">
      <c r="A354" s="1011"/>
      <c r="B354" s="1012"/>
      <c r="C354" s="1012"/>
      <c r="D354" s="1012"/>
      <c r="E354" s="1012"/>
      <c r="F354" s="1012"/>
      <c r="G354" s="1012"/>
      <c r="H354" s="1012"/>
      <c r="I354" s="1013"/>
    </row>
    <row r="355" spans="1:9" x14ac:dyDescent="0.25">
      <c r="A355" s="1011"/>
      <c r="B355" s="1012"/>
      <c r="C355" s="1012"/>
      <c r="D355" s="1012"/>
      <c r="E355" s="1012"/>
      <c r="F355" s="1012"/>
      <c r="G355" s="1012"/>
      <c r="H355" s="1012"/>
      <c r="I355" s="1013"/>
    </row>
    <row r="356" spans="1:9" x14ac:dyDescent="0.25">
      <c r="A356" s="1011"/>
      <c r="B356" s="1012"/>
      <c r="C356" s="1012"/>
      <c r="D356" s="1012"/>
      <c r="E356" s="1012"/>
      <c r="F356" s="1012"/>
      <c r="G356" s="1012"/>
      <c r="H356" s="1012"/>
      <c r="I356" s="1013"/>
    </row>
    <row r="357" spans="1:9" x14ac:dyDescent="0.25">
      <c r="A357" s="1011"/>
      <c r="B357" s="1012"/>
      <c r="C357" s="1012"/>
      <c r="D357" s="1012"/>
      <c r="E357" s="1012"/>
      <c r="F357" s="1012"/>
      <c r="G357" s="1012"/>
      <c r="H357" s="1012"/>
      <c r="I357" s="1013"/>
    </row>
    <row r="358" spans="1:9" x14ac:dyDescent="0.25">
      <c r="A358" s="1011"/>
      <c r="B358" s="1012"/>
      <c r="C358" s="1012"/>
      <c r="D358" s="1012"/>
      <c r="E358" s="1012"/>
      <c r="F358" s="1012"/>
      <c r="G358" s="1012"/>
      <c r="H358" s="1012"/>
      <c r="I358" s="1013"/>
    </row>
    <row r="359" spans="1:9" x14ac:dyDescent="0.25">
      <c r="A359" s="1011"/>
      <c r="B359" s="1012"/>
      <c r="C359" s="1012"/>
      <c r="D359" s="1012"/>
      <c r="E359" s="1012"/>
      <c r="F359" s="1012"/>
      <c r="G359" s="1012"/>
      <c r="H359" s="1012"/>
      <c r="I359" s="1013"/>
    </row>
    <row r="360" spans="1:9" x14ac:dyDescent="0.25">
      <c r="A360" s="1011"/>
      <c r="B360" s="1012"/>
      <c r="C360" s="1012"/>
      <c r="D360" s="1012"/>
      <c r="E360" s="1012"/>
      <c r="F360" s="1012"/>
      <c r="G360" s="1012"/>
      <c r="H360" s="1012"/>
      <c r="I360" s="1013"/>
    </row>
    <row r="361" spans="1:9" x14ac:dyDescent="0.25">
      <c r="A361" s="1011"/>
      <c r="B361" s="1012"/>
      <c r="C361" s="1012"/>
      <c r="D361" s="1012"/>
      <c r="E361" s="1012"/>
      <c r="F361" s="1012"/>
      <c r="G361" s="1012"/>
      <c r="H361" s="1012"/>
      <c r="I361" s="1013"/>
    </row>
    <row r="362" spans="1:9" x14ac:dyDescent="0.25">
      <c r="A362" s="1011"/>
      <c r="B362" s="1012"/>
      <c r="C362" s="1012"/>
      <c r="D362" s="1012"/>
      <c r="E362" s="1012"/>
      <c r="F362" s="1012"/>
      <c r="G362" s="1012"/>
      <c r="H362" s="1012"/>
      <c r="I362" s="1013"/>
    </row>
    <row r="363" spans="1:9" x14ac:dyDescent="0.25">
      <c r="A363" s="1011"/>
      <c r="B363" s="1012"/>
      <c r="C363" s="1012"/>
      <c r="D363" s="1012"/>
      <c r="E363" s="1012"/>
      <c r="F363" s="1012"/>
      <c r="G363" s="1012"/>
      <c r="H363" s="1012"/>
      <c r="I363" s="1013"/>
    </row>
    <row r="364" spans="1:9" x14ac:dyDescent="0.25">
      <c r="A364" s="1011"/>
      <c r="B364" s="1012"/>
      <c r="C364" s="1012"/>
      <c r="D364" s="1012"/>
      <c r="E364" s="1012"/>
      <c r="F364" s="1012"/>
      <c r="G364" s="1012"/>
      <c r="H364" s="1012"/>
      <c r="I364" s="1013"/>
    </row>
    <row r="365" spans="1:9" x14ac:dyDescent="0.25">
      <c r="A365" s="1011"/>
      <c r="B365" s="1012"/>
      <c r="C365" s="1012"/>
      <c r="D365" s="1012"/>
      <c r="E365" s="1012"/>
      <c r="F365" s="1012"/>
      <c r="G365" s="1012"/>
      <c r="H365" s="1012"/>
      <c r="I365" s="1013"/>
    </row>
    <row r="366" spans="1:9" x14ac:dyDescent="0.25">
      <c r="A366" s="1011"/>
      <c r="B366" s="1012"/>
      <c r="C366" s="1012"/>
      <c r="D366" s="1012"/>
      <c r="E366" s="1012"/>
      <c r="F366" s="1012"/>
      <c r="G366" s="1012"/>
      <c r="H366" s="1012"/>
      <c r="I366" s="1013"/>
    </row>
    <row r="367" spans="1:9" x14ac:dyDescent="0.25">
      <c r="A367" s="1011"/>
      <c r="B367" s="1012"/>
      <c r="C367" s="1012"/>
      <c r="D367" s="1012"/>
      <c r="E367" s="1012"/>
      <c r="F367" s="1012"/>
      <c r="G367" s="1012"/>
      <c r="H367" s="1012"/>
      <c r="I367" s="1013"/>
    </row>
    <row r="368" spans="1:9" x14ac:dyDescent="0.25">
      <c r="A368" s="1011"/>
      <c r="B368" s="1012"/>
      <c r="C368" s="1012"/>
      <c r="D368" s="1012"/>
      <c r="E368" s="1012"/>
      <c r="F368" s="1012"/>
      <c r="G368" s="1012"/>
      <c r="H368" s="1012"/>
      <c r="I368" s="1013"/>
    </row>
    <row r="369" spans="1:9" x14ac:dyDescent="0.25">
      <c r="A369" s="1011"/>
      <c r="B369" s="1012"/>
      <c r="C369" s="1012"/>
      <c r="D369" s="1012"/>
      <c r="E369" s="1012"/>
      <c r="F369" s="1012"/>
      <c r="G369" s="1012"/>
      <c r="H369" s="1012"/>
      <c r="I369" s="1013"/>
    </row>
    <row r="370" spans="1:9" x14ac:dyDescent="0.25">
      <c r="A370" s="1011"/>
      <c r="B370" s="1012"/>
      <c r="C370" s="1012"/>
      <c r="D370" s="1012"/>
      <c r="E370" s="1012"/>
      <c r="F370" s="1012"/>
      <c r="G370" s="1012"/>
      <c r="H370" s="1012"/>
      <c r="I370" s="1013"/>
    </row>
    <row r="371" spans="1:9" x14ac:dyDescent="0.25">
      <c r="A371" s="1011"/>
      <c r="B371" s="1012"/>
      <c r="C371" s="1012"/>
      <c r="D371" s="1012"/>
      <c r="E371" s="1012"/>
      <c r="F371" s="1012"/>
      <c r="G371" s="1012"/>
      <c r="H371" s="1012"/>
      <c r="I371" s="1013"/>
    </row>
    <row r="372" spans="1:9" x14ac:dyDescent="0.25">
      <c r="A372" s="1011"/>
      <c r="B372" s="1012"/>
      <c r="C372" s="1012"/>
      <c r="D372" s="1012"/>
      <c r="E372" s="1012"/>
      <c r="F372" s="1012"/>
      <c r="G372" s="1012"/>
      <c r="H372" s="1012"/>
      <c r="I372" s="1013"/>
    </row>
    <row r="373" spans="1:9" x14ac:dyDescent="0.25">
      <c r="A373" s="1011"/>
      <c r="B373" s="1012"/>
      <c r="C373" s="1012"/>
      <c r="D373" s="1012"/>
      <c r="E373" s="1012"/>
      <c r="F373" s="1012"/>
      <c r="G373" s="1012"/>
      <c r="H373" s="1012"/>
      <c r="I373" s="1013"/>
    </row>
    <row r="374" spans="1:9" x14ac:dyDescent="0.25">
      <c r="A374" s="1011"/>
      <c r="B374" s="1012"/>
      <c r="C374" s="1012"/>
      <c r="D374" s="1012"/>
      <c r="E374" s="1012"/>
      <c r="F374" s="1012"/>
      <c r="G374" s="1012"/>
      <c r="H374" s="1012"/>
      <c r="I374" s="1013"/>
    </row>
    <row r="375" spans="1:9" ht="15.75" thickBot="1" x14ac:dyDescent="0.3">
      <c r="A375" s="1014"/>
      <c r="B375" s="1015"/>
      <c r="C375" s="1015"/>
      <c r="D375" s="1015"/>
      <c r="E375" s="1015"/>
      <c r="F375" s="1015"/>
      <c r="G375" s="1015"/>
      <c r="H375" s="1015"/>
      <c r="I375" s="1016"/>
    </row>
    <row r="376" spans="1:9" ht="15.75" thickBot="1" x14ac:dyDescent="0.3">
      <c r="A376" s="1023" t="s">
        <v>3085</v>
      </c>
      <c r="B376" s="1024"/>
      <c r="C376" s="1024"/>
      <c r="D376" s="1024"/>
      <c r="E376" s="1024"/>
      <c r="F376" s="1024"/>
      <c r="G376" s="1024"/>
      <c r="H376" s="1024"/>
      <c r="I376" s="1025"/>
    </row>
    <row r="377" spans="1:9" x14ac:dyDescent="0.25">
      <c r="A377" s="1017" t="str">
        <f>CONCATENATE("Notes for"," ",CharacterSheet!$E$1)</f>
        <v xml:space="preserve">Notes for </v>
      </c>
      <c r="B377" s="1018"/>
      <c r="C377" s="1018"/>
      <c r="D377" s="1018"/>
      <c r="E377" s="1018"/>
      <c r="F377" s="1018"/>
      <c r="G377" s="1018"/>
      <c r="H377" s="1018"/>
      <c r="I377" s="1019"/>
    </row>
    <row r="378" spans="1:9" ht="15.75" thickBot="1" x14ac:dyDescent="0.3">
      <c r="A378" s="1020"/>
      <c r="B378" s="1021"/>
      <c r="C378" s="1021"/>
      <c r="D378" s="1021"/>
      <c r="E378" s="1021"/>
      <c r="F378" s="1021"/>
      <c r="G378" s="1021"/>
      <c r="H378" s="1021"/>
      <c r="I378" s="1022"/>
    </row>
    <row r="379" spans="1:9" x14ac:dyDescent="0.25">
      <c r="A379" s="1008"/>
      <c r="B379" s="1009"/>
      <c r="C379" s="1009"/>
      <c r="D379" s="1009"/>
      <c r="E379" s="1009"/>
      <c r="F379" s="1009"/>
      <c r="G379" s="1009"/>
      <c r="H379" s="1009"/>
      <c r="I379" s="1010"/>
    </row>
    <row r="380" spans="1:9" x14ac:dyDescent="0.25">
      <c r="A380" s="1011"/>
      <c r="B380" s="1012"/>
      <c r="C380" s="1012"/>
      <c r="D380" s="1012"/>
      <c r="E380" s="1012"/>
      <c r="F380" s="1012"/>
      <c r="G380" s="1012"/>
      <c r="H380" s="1012"/>
      <c r="I380" s="1013"/>
    </row>
    <row r="381" spans="1:9" x14ac:dyDescent="0.25">
      <c r="A381" s="1011"/>
      <c r="B381" s="1012"/>
      <c r="C381" s="1012"/>
      <c r="D381" s="1012"/>
      <c r="E381" s="1012"/>
      <c r="F381" s="1012"/>
      <c r="G381" s="1012"/>
      <c r="H381" s="1012"/>
      <c r="I381" s="1013"/>
    </row>
    <row r="382" spans="1:9" x14ac:dyDescent="0.25">
      <c r="A382" s="1011"/>
      <c r="B382" s="1012"/>
      <c r="C382" s="1012"/>
      <c r="D382" s="1012"/>
      <c r="E382" s="1012"/>
      <c r="F382" s="1012"/>
      <c r="G382" s="1012"/>
      <c r="H382" s="1012"/>
      <c r="I382" s="1013"/>
    </row>
    <row r="383" spans="1:9" x14ac:dyDescent="0.25">
      <c r="A383" s="1011"/>
      <c r="B383" s="1012"/>
      <c r="C383" s="1012"/>
      <c r="D383" s="1012"/>
      <c r="E383" s="1012"/>
      <c r="F383" s="1012"/>
      <c r="G383" s="1012"/>
      <c r="H383" s="1012"/>
      <c r="I383" s="1013"/>
    </row>
    <row r="384" spans="1:9" x14ac:dyDescent="0.25">
      <c r="A384" s="1011"/>
      <c r="B384" s="1012"/>
      <c r="C384" s="1012"/>
      <c r="D384" s="1012"/>
      <c r="E384" s="1012"/>
      <c r="F384" s="1012"/>
      <c r="G384" s="1012"/>
      <c r="H384" s="1012"/>
      <c r="I384" s="1013"/>
    </row>
    <row r="385" spans="1:9" x14ac:dyDescent="0.25">
      <c r="A385" s="1011"/>
      <c r="B385" s="1012"/>
      <c r="C385" s="1012"/>
      <c r="D385" s="1012"/>
      <c r="E385" s="1012"/>
      <c r="F385" s="1012"/>
      <c r="G385" s="1012"/>
      <c r="H385" s="1012"/>
      <c r="I385" s="1013"/>
    </row>
    <row r="386" spans="1:9" x14ac:dyDescent="0.25">
      <c r="A386" s="1011"/>
      <c r="B386" s="1012"/>
      <c r="C386" s="1012"/>
      <c r="D386" s="1012"/>
      <c r="E386" s="1012"/>
      <c r="F386" s="1012"/>
      <c r="G386" s="1012"/>
      <c r="H386" s="1012"/>
      <c r="I386" s="1013"/>
    </row>
    <row r="387" spans="1:9" x14ac:dyDescent="0.25">
      <c r="A387" s="1011"/>
      <c r="B387" s="1012"/>
      <c r="C387" s="1012"/>
      <c r="D387" s="1012"/>
      <c r="E387" s="1012"/>
      <c r="F387" s="1012"/>
      <c r="G387" s="1012"/>
      <c r="H387" s="1012"/>
      <c r="I387" s="1013"/>
    </row>
    <row r="388" spans="1:9" x14ac:dyDescent="0.25">
      <c r="A388" s="1011"/>
      <c r="B388" s="1012"/>
      <c r="C388" s="1012"/>
      <c r="D388" s="1012"/>
      <c r="E388" s="1012"/>
      <c r="F388" s="1012"/>
      <c r="G388" s="1012"/>
      <c r="H388" s="1012"/>
      <c r="I388" s="1013"/>
    </row>
    <row r="389" spans="1:9" x14ac:dyDescent="0.25">
      <c r="A389" s="1011"/>
      <c r="B389" s="1012"/>
      <c r="C389" s="1012"/>
      <c r="D389" s="1012"/>
      <c r="E389" s="1012"/>
      <c r="F389" s="1012"/>
      <c r="G389" s="1012"/>
      <c r="H389" s="1012"/>
      <c r="I389" s="1013"/>
    </row>
    <row r="390" spans="1:9" x14ac:dyDescent="0.25">
      <c r="A390" s="1011"/>
      <c r="B390" s="1012"/>
      <c r="C390" s="1012"/>
      <c r="D390" s="1012"/>
      <c r="E390" s="1012"/>
      <c r="F390" s="1012"/>
      <c r="G390" s="1012"/>
      <c r="H390" s="1012"/>
      <c r="I390" s="1013"/>
    </row>
    <row r="391" spans="1:9" x14ac:dyDescent="0.25">
      <c r="A391" s="1011"/>
      <c r="B391" s="1012"/>
      <c r="C391" s="1012"/>
      <c r="D391" s="1012"/>
      <c r="E391" s="1012"/>
      <c r="F391" s="1012"/>
      <c r="G391" s="1012"/>
      <c r="H391" s="1012"/>
      <c r="I391" s="1013"/>
    </row>
    <row r="392" spans="1:9" x14ac:dyDescent="0.25">
      <c r="A392" s="1011"/>
      <c r="B392" s="1012"/>
      <c r="C392" s="1012"/>
      <c r="D392" s="1012"/>
      <c r="E392" s="1012"/>
      <c r="F392" s="1012"/>
      <c r="G392" s="1012"/>
      <c r="H392" s="1012"/>
      <c r="I392" s="1013"/>
    </row>
    <row r="393" spans="1:9" x14ac:dyDescent="0.25">
      <c r="A393" s="1011"/>
      <c r="B393" s="1012"/>
      <c r="C393" s="1012"/>
      <c r="D393" s="1012"/>
      <c r="E393" s="1012"/>
      <c r="F393" s="1012"/>
      <c r="G393" s="1012"/>
      <c r="H393" s="1012"/>
      <c r="I393" s="1013"/>
    </row>
    <row r="394" spans="1:9" x14ac:dyDescent="0.25">
      <c r="A394" s="1011"/>
      <c r="B394" s="1012"/>
      <c r="C394" s="1012"/>
      <c r="D394" s="1012"/>
      <c r="E394" s="1012"/>
      <c r="F394" s="1012"/>
      <c r="G394" s="1012"/>
      <c r="H394" s="1012"/>
      <c r="I394" s="1013"/>
    </row>
    <row r="395" spans="1:9" x14ac:dyDescent="0.25">
      <c r="A395" s="1011"/>
      <c r="B395" s="1012"/>
      <c r="C395" s="1012"/>
      <c r="D395" s="1012"/>
      <c r="E395" s="1012"/>
      <c r="F395" s="1012"/>
      <c r="G395" s="1012"/>
      <c r="H395" s="1012"/>
      <c r="I395" s="1013"/>
    </row>
    <row r="396" spans="1:9" x14ac:dyDescent="0.25">
      <c r="A396" s="1011"/>
      <c r="B396" s="1012"/>
      <c r="C396" s="1012"/>
      <c r="D396" s="1012"/>
      <c r="E396" s="1012"/>
      <c r="F396" s="1012"/>
      <c r="G396" s="1012"/>
      <c r="H396" s="1012"/>
      <c r="I396" s="1013"/>
    </row>
    <row r="397" spans="1:9" x14ac:dyDescent="0.25">
      <c r="A397" s="1011"/>
      <c r="B397" s="1012"/>
      <c r="C397" s="1012"/>
      <c r="D397" s="1012"/>
      <c r="E397" s="1012"/>
      <c r="F397" s="1012"/>
      <c r="G397" s="1012"/>
      <c r="H397" s="1012"/>
      <c r="I397" s="1013"/>
    </row>
    <row r="398" spans="1:9" x14ac:dyDescent="0.25">
      <c r="A398" s="1011"/>
      <c r="B398" s="1012"/>
      <c r="C398" s="1012"/>
      <c r="D398" s="1012"/>
      <c r="E398" s="1012"/>
      <c r="F398" s="1012"/>
      <c r="G398" s="1012"/>
      <c r="H398" s="1012"/>
      <c r="I398" s="1013"/>
    </row>
    <row r="399" spans="1:9" x14ac:dyDescent="0.25">
      <c r="A399" s="1011"/>
      <c r="B399" s="1012"/>
      <c r="C399" s="1012"/>
      <c r="D399" s="1012"/>
      <c r="E399" s="1012"/>
      <c r="F399" s="1012"/>
      <c r="G399" s="1012"/>
      <c r="H399" s="1012"/>
      <c r="I399" s="1013"/>
    </row>
    <row r="400" spans="1:9" x14ac:dyDescent="0.25">
      <c r="A400" s="1011"/>
      <c r="B400" s="1012"/>
      <c r="C400" s="1012"/>
      <c r="D400" s="1012"/>
      <c r="E400" s="1012"/>
      <c r="F400" s="1012"/>
      <c r="G400" s="1012"/>
      <c r="H400" s="1012"/>
      <c r="I400" s="1013"/>
    </row>
    <row r="401" spans="1:9" x14ac:dyDescent="0.25">
      <c r="A401" s="1011"/>
      <c r="B401" s="1012"/>
      <c r="C401" s="1012"/>
      <c r="D401" s="1012"/>
      <c r="E401" s="1012"/>
      <c r="F401" s="1012"/>
      <c r="G401" s="1012"/>
      <c r="H401" s="1012"/>
      <c r="I401" s="1013"/>
    </row>
    <row r="402" spans="1:9" x14ac:dyDescent="0.25">
      <c r="A402" s="1011"/>
      <c r="B402" s="1012"/>
      <c r="C402" s="1012"/>
      <c r="D402" s="1012"/>
      <c r="E402" s="1012"/>
      <c r="F402" s="1012"/>
      <c r="G402" s="1012"/>
      <c r="H402" s="1012"/>
      <c r="I402" s="1013"/>
    </row>
    <row r="403" spans="1:9" x14ac:dyDescent="0.25">
      <c r="A403" s="1011"/>
      <c r="B403" s="1012"/>
      <c r="C403" s="1012"/>
      <c r="D403" s="1012"/>
      <c r="E403" s="1012"/>
      <c r="F403" s="1012"/>
      <c r="G403" s="1012"/>
      <c r="H403" s="1012"/>
      <c r="I403" s="1013"/>
    </row>
    <row r="404" spans="1:9" x14ac:dyDescent="0.25">
      <c r="A404" s="1011"/>
      <c r="B404" s="1012"/>
      <c r="C404" s="1012"/>
      <c r="D404" s="1012"/>
      <c r="E404" s="1012"/>
      <c r="F404" s="1012"/>
      <c r="G404" s="1012"/>
      <c r="H404" s="1012"/>
      <c r="I404" s="1013"/>
    </row>
    <row r="405" spans="1:9" x14ac:dyDescent="0.25">
      <c r="A405" s="1011"/>
      <c r="B405" s="1012"/>
      <c r="C405" s="1012"/>
      <c r="D405" s="1012"/>
      <c r="E405" s="1012"/>
      <c r="F405" s="1012"/>
      <c r="G405" s="1012"/>
      <c r="H405" s="1012"/>
      <c r="I405" s="1013"/>
    </row>
    <row r="406" spans="1:9" x14ac:dyDescent="0.25">
      <c r="A406" s="1011"/>
      <c r="B406" s="1012"/>
      <c r="C406" s="1012"/>
      <c r="D406" s="1012"/>
      <c r="E406" s="1012"/>
      <c r="F406" s="1012"/>
      <c r="G406" s="1012"/>
      <c r="H406" s="1012"/>
      <c r="I406" s="1013"/>
    </row>
    <row r="407" spans="1:9" x14ac:dyDescent="0.25">
      <c r="A407" s="1011"/>
      <c r="B407" s="1012"/>
      <c r="C407" s="1012"/>
      <c r="D407" s="1012"/>
      <c r="E407" s="1012"/>
      <c r="F407" s="1012"/>
      <c r="G407" s="1012"/>
      <c r="H407" s="1012"/>
      <c r="I407" s="1013"/>
    </row>
    <row r="408" spans="1:9" x14ac:dyDescent="0.25">
      <c r="A408" s="1011"/>
      <c r="B408" s="1012"/>
      <c r="C408" s="1012"/>
      <c r="D408" s="1012"/>
      <c r="E408" s="1012"/>
      <c r="F408" s="1012"/>
      <c r="G408" s="1012"/>
      <c r="H408" s="1012"/>
      <c r="I408" s="1013"/>
    </row>
    <row r="409" spans="1:9" x14ac:dyDescent="0.25">
      <c r="A409" s="1011"/>
      <c r="B409" s="1012"/>
      <c r="C409" s="1012"/>
      <c r="D409" s="1012"/>
      <c r="E409" s="1012"/>
      <c r="F409" s="1012"/>
      <c r="G409" s="1012"/>
      <c r="H409" s="1012"/>
      <c r="I409" s="1013"/>
    </row>
    <row r="410" spans="1:9" x14ac:dyDescent="0.25">
      <c r="A410" s="1011"/>
      <c r="B410" s="1012"/>
      <c r="C410" s="1012"/>
      <c r="D410" s="1012"/>
      <c r="E410" s="1012"/>
      <c r="F410" s="1012"/>
      <c r="G410" s="1012"/>
      <c r="H410" s="1012"/>
      <c r="I410" s="1013"/>
    </row>
    <row r="411" spans="1:9" x14ac:dyDescent="0.25">
      <c r="A411" s="1011"/>
      <c r="B411" s="1012"/>
      <c r="C411" s="1012"/>
      <c r="D411" s="1012"/>
      <c r="E411" s="1012"/>
      <c r="F411" s="1012"/>
      <c r="G411" s="1012"/>
      <c r="H411" s="1012"/>
      <c r="I411" s="1013"/>
    </row>
    <row r="412" spans="1:9" x14ac:dyDescent="0.25">
      <c r="A412" s="1011"/>
      <c r="B412" s="1012"/>
      <c r="C412" s="1012"/>
      <c r="D412" s="1012"/>
      <c r="E412" s="1012"/>
      <c r="F412" s="1012"/>
      <c r="G412" s="1012"/>
      <c r="H412" s="1012"/>
      <c r="I412" s="1013"/>
    </row>
    <row r="413" spans="1:9" x14ac:dyDescent="0.25">
      <c r="A413" s="1011"/>
      <c r="B413" s="1012"/>
      <c r="C413" s="1012"/>
      <c r="D413" s="1012"/>
      <c r="E413" s="1012"/>
      <c r="F413" s="1012"/>
      <c r="G413" s="1012"/>
      <c r="H413" s="1012"/>
      <c r="I413" s="1013"/>
    </row>
    <row r="414" spans="1:9" x14ac:dyDescent="0.25">
      <c r="A414" s="1011"/>
      <c r="B414" s="1012"/>
      <c r="C414" s="1012"/>
      <c r="D414" s="1012"/>
      <c r="E414" s="1012"/>
      <c r="F414" s="1012"/>
      <c r="G414" s="1012"/>
      <c r="H414" s="1012"/>
      <c r="I414" s="1013"/>
    </row>
    <row r="415" spans="1:9" x14ac:dyDescent="0.25">
      <c r="A415" s="1011"/>
      <c r="B415" s="1012"/>
      <c r="C415" s="1012"/>
      <c r="D415" s="1012"/>
      <c r="E415" s="1012"/>
      <c r="F415" s="1012"/>
      <c r="G415" s="1012"/>
      <c r="H415" s="1012"/>
      <c r="I415" s="1013"/>
    </row>
    <row r="416" spans="1:9" x14ac:dyDescent="0.25">
      <c r="A416" s="1011"/>
      <c r="B416" s="1012"/>
      <c r="C416" s="1012"/>
      <c r="D416" s="1012"/>
      <c r="E416" s="1012"/>
      <c r="F416" s="1012"/>
      <c r="G416" s="1012"/>
      <c r="H416" s="1012"/>
      <c r="I416" s="1013"/>
    </row>
    <row r="417" spans="1:9" x14ac:dyDescent="0.25">
      <c r="A417" s="1011"/>
      <c r="B417" s="1012"/>
      <c r="C417" s="1012"/>
      <c r="D417" s="1012"/>
      <c r="E417" s="1012"/>
      <c r="F417" s="1012"/>
      <c r="G417" s="1012"/>
      <c r="H417" s="1012"/>
      <c r="I417" s="1013"/>
    </row>
    <row r="418" spans="1:9" x14ac:dyDescent="0.25">
      <c r="A418" s="1011"/>
      <c r="B418" s="1012"/>
      <c r="C418" s="1012"/>
      <c r="D418" s="1012"/>
      <c r="E418" s="1012"/>
      <c r="F418" s="1012"/>
      <c r="G418" s="1012"/>
      <c r="H418" s="1012"/>
      <c r="I418" s="1013"/>
    </row>
    <row r="419" spans="1:9" x14ac:dyDescent="0.25">
      <c r="A419" s="1011"/>
      <c r="B419" s="1012"/>
      <c r="C419" s="1012"/>
      <c r="D419" s="1012"/>
      <c r="E419" s="1012"/>
      <c r="F419" s="1012"/>
      <c r="G419" s="1012"/>
      <c r="H419" s="1012"/>
      <c r="I419" s="1013"/>
    </row>
    <row r="420" spans="1:9" x14ac:dyDescent="0.25">
      <c r="A420" s="1011"/>
      <c r="B420" s="1012"/>
      <c r="C420" s="1012"/>
      <c r="D420" s="1012"/>
      <c r="E420" s="1012"/>
      <c r="F420" s="1012"/>
      <c r="G420" s="1012"/>
      <c r="H420" s="1012"/>
      <c r="I420" s="1013"/>
    </row>
    <row r="421" spans="1:9" x14ac:dyDescent="0.25">
      <c r="A421" s="1011"/>
      <c r="B421" s="1012"/>
      <c r="C421" s="1012"/>
      <c r="D421" s="1012"/>
      <c r="E421" s="1012"/>
      <c r="F421" s="1012"/>
      <c r="G421" s="1012"/>
      <c r="H421" s="1012"/>
      <c r="I421" s="1013"/>
    </row>
    <row r="422" spans="1:9" ht="15.75" thickBot="1" x14ac:dyDescent="0.3">
      <c r="A422" s="1014"/>
      <c r="B422" s="1015"/>
      <c r="C422" s="1015"/>
      <c r="D422" s="1015"/>
      <c r="E422" s="1015"/>
      <c r="F422" s="1015"/>
      <c r="G422" s="1015"/>
      <c r="H422" s="1015"/>
      <c r="I422" s="1016"/>
    </row>
    <row r="423" spans="1:9" ht="15.75" thickBot="1" x14ac:dyDescent="0.3">
      <c r="A423" s="1023" t="s">
        <v>3086</v>
      </c>
      <c r="B423" s="1024"/>
      <c r="C423" s="1024"/>
      <c r="D423" s="1024"/>
      <c r="E423" s="1024"/>
      <c r="F423" s="1024"/>
      <c r="G423" s="1024"/>
      <c r="H423" s="1024"/>
      <c r="I423" s="1025"/>
    </row>
    <row r="424" spans="1:9" x14ac:dyDescent="0.25">
      <c r="A424" s="1017" t="str">
        <f>CONCATENATE("Notes for"," ",CharacterSheet!$E$1)</f>
        <v xml:space="preserve">Notes for </v>
      </c>
      <c r="B424" s="1018"/>
      <c r="C424" s="1018"/>
      <c r="D424" s="1018"/>
      <c r="E424" s="1018"/>
      <c r="F424" s="1018"/>
      <c r="G424" s="1018"/>
      <c r="H424" s="1018"/>
      <c r="I424" s="1019"/>
    </row>
    <row r="425" spans="1:9" ht="15.75" thickBot="1" x14ac:dyDescent="0.3">
      <c r="A425" s="1020"/>
      <c r="B425" s="1021"/>
      <c r="C425" s="1021"/>
      <c r="D425" s="1021"/>
      <c r="E425" s="1021"/>
      <c r="F425" s="1021"/>
      <c r="G425" s="1021"/>
      <c r="H425" s="1021"/>
      <c r="I425" s="1022"/>
    </row>
    <row r="426" spans="1:9" x14ac:dyDescent="0.25">
      <c r="A426" s="1008"/>
      <c r="B426" s="1009"/>
      <c r="C426" s="1009"/>
      <c r="D426" s="1009"/>
      <c r="E426" s="1009"/>
      <c r="F426" s="1009"/>
      <c r="G426" s="1009"/>
      <c r="H426" s="1009"/>
      <c r="I426" s="1010"/>
    </row>
    <row r="427" spans="1:9" x14ac:dyDescent="0.25">
      <c r="A427" s="1011"/>
      <c r="B427" s="1012"/>
      <c r="C427" s="1012"/>
      <c r="D427" s="1012"/>
      <c r="E427" s="1012"/>
      <c r="F427" s="1012"/>
      <c r="G427" s="1012"/>
      <c r="H427" s="1012"/>
      <c r="I427" s="1013"/>
    </row>
    <row r="428" spans="1:9" x14ac:dyDescent="0.25">
      <c r="A428" s="1011"/>
      <c r="B428" s="1012"/>
      <c r="C428" s="1012"/>
      <c r="D428" s="1012"/>
      <c r="E428" s="1012"/>
      <c r="F428" s="1012"/>
      <c r="G428" s="1012"/>
      <c r="H428" s="1012"/>
      <c r="I428" s="1013"/>
    </row>
    <row r="429" spans="1:9" x14ac:dyDescent="0.25">
      <c r="A429" s="1011"/>
      <c r="B429" s="1012"/>
      <c r="C429" s="1012"/>
      <c r="D429" s="1012"/>
      <c r="E429" s="1012"/>
      <c r="F429" s="1012"/>
      <c r="G429" s="1012"/>
      <c r="H429" s="1012"/>
      <c r="I429" s="1013"/>
    </row>
    <row r="430" spans="1:9" x14ac:dyDescent="0.25">
      <c r="A430" s="1011"/>
      <c r="B430" s="1012"/>
      <c r="C430" s="1012"/>
      <c r="D430" s="1012"/>
      <c r="E430" s="1012"/>
      <c r="F430" s="1012"/>
      <c r="G430" s="1012"/>
      <c r="H430" s="1012"/>
      <c r="I430" s="1013"/>
    </row>
    <row r="431" spans="1:9" x14ac:dyDescent="0.25">
      <c r="A431" s="1011"/>
      <c r="B431" s="1012"/>
      <c r="C431" s="1012"/>
      <c r="D431" s="1012"/>
      <c r="E431" s="1012"/>
      <c r="F431" s="1012"/>
      <c r="G431" s="1012"/>
      <c r="H431" s="1012"/>
      <c r="I431" s="1013"/>
    </row>
    <row r="432" spans="1:9" x14ac:dyDescent="0.25">
      <c r="A432" s="1011"/>
      <c r="B432" s="1012"/>
      <c r="C432" s="1012"/>
      <c r="D432" s="1012"/>
      <c r="E432" s="1012"/>
      <c r="F432" s="1012"/>
      <c r="G432" s="1012"/>
      <c r="H432" s="1012"/>
      <c r="I432" s="1013"/>
    </row>
    <row r="433" spans="1:9" x14ac:dyDescent="0.25">
      <c r="A433" s="1011"/>
      <c r="B433" s="1012"/>
      <c r="C433" s="1012"/>
      <c r="D433" s="1012"/>
      <c r="E433" s="1012"/>
      <c r="F433" s="1012"/>
      <c r="G433" s="1012"/>
      <c r="H433" s="1012"/>
      <c r="I433" s="1013"/>
    </row>
    <row r="434" spans="1:9" x14ac:dyDescent="0.25">
      <c r="A434" s="1011"/>
      <c r="B434" s="1012"/>
      <c r="C434" s="1012"/>
      <c r="D434" s="1012"/>
      <c r="E434" s="1012"/>
      <c r="F434" s="1012"/>
      <c r="G434" s="1012"/>
      <c r="H434" s="1012"/>
      <c r="I434" s="1013"/>
    </row>
    <row r="435" spans="1:9" x14ac:dyDescent="0.25">
      <c r="A435" s="1011"/>
      <c r="B435" s="1012"/>
      <c r="C435" s="1012"/>
      <c r="D435" s="1012"/>
      <c r="E435" s="1012"/>
      <c r="F435" s="1012"/>
      <c r="G435" s="1012"/>
      <c r="H435" s="1012"/>
      <c r="I435" s="1013"/>
    </row>
    <row r="436" spans="1:9" x14ac:dyDescent="0.25">
      <c r="A436" s="1011"/>
      <c r="B436" s="1012"/>
      <c r="C436" s="1012"/>
      <c r="D436" s="1012"/>
      <c r="E436" s="1012"/>
      <c r="F436" s="1012"/>
      <c r="G436" s="1012"/>
      <c r="H436" s="1012"/>
      <c r="I436" s="1013"/>
    </row>
    <row r="437" spans="1:9" x14ac:dyDescent="0.25">
      <c r="A437" s="1011"/>
      <c r="B437" s="1012"/>
      <c r="C437" s="1012"/>
      <c r="D437" s="1012"/>
      <c r="E437" s="1012"/>
      <c r="F437" s="1012"/>
      <c r="G437" s="1012"/>
      <c r="H437" s="1012"/>
      <c r="I437" s="1013"/>
    </row>
    <row r="438" spans="1:9" x14ac:dyDescent="0.25">
      <c r="A438" s="1011"/>
      <c r="B438" s="1012"/>
      <c r="C438" s="1012"/>
      <c r="D438" s="1012"/>
      <c r="E438" s="1012"/>
      <c r="F438" s="1012"/>
      <c r="G438" s="1012"/>
      <c r="H438" s="1012"/>
      <c r="I438" s="1013"/>
    </row>
    <row r="439" spans="1:9" x14ac:dyDescent="0.25">
      <c r="A439" s="1011"/>
      <c r="B439" s="1012"/>
      <c r="C439" s="1012"/>
      <c r="D439" s="1012"/>
      <c r="E439" s="1012"/>
      <c r="F439" s="1012"/>
      <c r="G439" s="1012"/>
      <c r="H439" s="1012"/>
      <c r="I439" s="1013"/>
    </row>
    <row r="440" spans="1:9" x14ac:dyDescent="0.25">
      <c r="A440" s="1011"/>
      <c r="B440" s="1012"/>
      <c r="C440" s="1012"/>
      <c r="D440" s="1012"/>
      <c r="E440" s="1012"/>
      <c r="F440" s="1012"/>
      <c r="G440" s="1012"/>
      <c r="H440" s="1012"/>
      <c r="I440" s="1013"/>
    </row>
    <row r="441" spans="1:9" x14ac:dyDescent="0.25">
      <c r="A441" s="1011"/>
      <c r="B441" s="1012"/>
      <c r="C441" s="1012"/>
      <c r="D441" s="1012"/>
      <c r="E441" s="1012"/>
      <c r="F441" s="1012"/>
      <c r="G441" s="1012"/>
      <c r="H441" s="1012"/>
      <c r="I441" s="1013"/>
    </row>
    <row r="442" spans="1:9" x14ac:dyDescent="0.25">
      <c r="A442" s="1011"/>
      <c r="B442" s="1012"/>
      <c r="C442" s="1012"/>
      <c r="D442" s="1012"/>
      <c r="E442" s="1012"/>
      <c r="F442" s="1012"/>
      <c r="G442" s="1012"/>
      <c r="H442" s="1012"/>
      <c r="I442" s="1013"/>
    </row>
    <row r="443" spans="1:9" x14ac:dyDescent="0.25">
      <c r="A443" s="1011"/>
      <c r="B443" s="1012"/>
      <c r="C443" s="1012"/>
      <c r="D443" s="1012"/>
      <c r="E443" s="1012"/>
      <c r="F443" s="1012"/>
      <c r="G443" s="1012"/>
      <c r="H443" s="1012"/>
      <c r="I443" s="1013"/>
    </row>
    <row r="444" spans="1:9" x14ac:dyDescent="0.25">
      <c r="A444" s="1011"/>
      <c r="B444" s="1012"/>
      <c r="C444" s="1012"/>
      <c r="D444" s="1012"/>
      <c r="E444" s="1012"/>
      <c r="F444" s="1012"/>
      <c r="G444" s="1012"/>
      <c r="H444" s="1012"/>
      <c r="I444" s="1013"/>
    </row>
    <row r="445" spans="1:9" x14ac:dyDescent="0.25">
      <c r="A445" s="1011"/>
      <c r="B445" s="1012"/>
      <c r="C445" s="1012"/>
      <c r="D445" s="1012"/>
      <c r="E445" s="1012"/>
      <c r="F445" s="1012"/>
      <c r="G445" s="1012"/>
      <c r="H445" s="1012"/>
      <c r="I445" s="1013"/>
    </row>
    <row r="446" spans="1:9" x14ac:dyDescent="0.25">
      <c r="A446" s="1011"/>
      <c r="B446" s="1012"/>
      <c r="C446" s="1012"/>
      <c r="D446" s="1012"/>
      <c r="E446" s="1012"/>
      <c r="F446" s="1012"/>
      <c r="G446" s="1012"/>
      <c r="H446" s="1012"/>
      <c r="I446" s="1013"/>
    </row>
    <row r="447" spans="1:9" x14ac:dyDescent="0.25">
      <c r="A447" s="1011"/>
      <c r="B447" s="1012"/>
      <c r="C447" s="1012"/>
      <c r="D447" s="1012"/>
      <c r="E447" s="1012"/>
      <c r="F447" s="1012"/>
      <c r="G447" s="1012"/>
      <c r="H447" s="1012"/>
      <c r="I447" s="1013"/>
    </row>
    <row r="448" spans="1:9" x14ac:dyDescent="0.25">
      <c r="A448" s="1011"/>
      <c r="B448" s="1012"/>
      <c r="C448" s="1012"/>
      <c r="D448" s="1012"/>
      <c r="E448" s="1012"/>
      <c r="F448" s="1012"/>
      <c r="G448" s="1012"/>
      <c r="H448" s="1012"/>
      <c r="I448" s="1013"/>
    </row>
    <row r="449" spans="1:9" x14ac:dyDescent="0.25">
      <c r="A449" s="1011"/>
      <c r="B449" s="1012"/>
      <c r="C449" s="1012"/>
      <c r="D449" s="1012"/>
      <c r="E449" s="1012"/>
      <c r="F449" s="1012"/>
      <c r="G449" s="1012"/>
      <c r="H449" s="1012"/>
      <c r="I449" s="1013"/>
    </row>
    <row r="450" spans="1:9" x14ac:dyDescent="0.25">
      <c r="A450" s="1011"/>
      <c r="B450" s="1012"/>
      <c r="C450" s="1012"/>
      <c r="D450" s="1012"/>
      <c r="E450" s="1012"/>
      <c r="F450" s="1012"/>
      <c r="G450" s="1012"/>
      <c r="H450" s="1012"/>
      <c r="I450" s="1013"/>
    </row>
    <row r="451" spans="1:9" x14ac:dyDescent="0.25">
      <c r="A451" s="1011"/>
      <c r="B451" s="1012"/>
      <c r="C451" s="1012"/>
      <c r="D451" s="1012"/>
      <c r="E451" s="1012"/>
      <c r="F451" s="1012"/>
      <c r="G451" s="1012"/>
      <c r="H451" s="1012"/>
      <c r="I451" s="1013"/>
    </row>
    <row r="452" spans="1:9" x14ac:dyDescent="0.25">
      <c r="A452" s="1011"/>
      <c r="B452" s="1012"/>
      <c r="C452" s="1012"/>
      <c r="D452" s="1012"/>
      <c r="E452" s="1012"/>
      <c r="F452" s="1012"/>
      <c r="G452" s="1012"/>
      <c r="H452" s="1012"/>
      <c r="I452" s="1013"/>
    </row>
    <row r="453" spans="1:9" x14ac:dyDescent="0.25">
      <c r="A453" s="1011"/>
      <c r="B453" s="1012"/>
      <c r="C453" s="1012"/>
      <c r="D453" s="1012"/>
      <c r="E453" s="1012"/>
      <c r="F453" s="1012"/>
      <c r="G453" s="1012"/>
      <c r="H453" s="1012"/>
      <c r="I453" s="1013"/>
    </row>
    <row r="454" spans="1:9" x14ac:dyDescent="0.25">
      <c r="A454" s="1011"/>
      <c r="B454" s="1012"/>
      <c r="C454" s="1012"/>
      <c r="D454" s="1012"/>
      <c r="E454" s="1012"/>
      <c r="F454" s="1012"/>
      <c r="G454" s="1012"/>
      <c r="H454" s="1012"/>
      <c r="I454" s="1013"/>
    </row>
    <row r="455" spans="1:9" x14ac:dyDescent="0.25">
      <c r="A455" s="1011"/>
      <c r="B455" s="1012"/>
      <c r="C455" s="1012"/>
      <c r="D455" s="1012"/>
      <c r="E455" s="1012"/>
      <c r="F455" s="1012"/>
      <c r="G455" s="1012"/>
      <c r="H455" s="1012"/>
      <c r="I455" s="1013"/>
    </row>
    <row r="456" spans="1:9" x14ac:dyDescent="0.25">
      <c r="A456" s="1011"/>
      <c r="B456" s="1012"/>
      <c r="C456" s="1012"/>
      <c r="D456" s="1012"/>
      <c r="E456" s="1012"/>
      <c r="F456" s="1012"/>
      <c r="G456" s="1012"/>
      <c r="H456" s="1012"/>
      <c r="I456" s="1013"/>
    </row>
    <row r="457" spans="1:9" x14ac:dyDescent="0.25">
      <c r="A457" s="1011"/>
      <c r="B457" s="1012"/>
      <c r="C457" s="1012"/>
      <c r="D457" s="1012"/>
      <c r="E457" s="1012"/>
      <c r="F457" s="1012"/>
      <c r="G457" s="1012"/>
      <c r="H457" s="1012"/>
      <c r="I457" s="1013"/>
    </row>
    <row r="458" spans="1:9" x14ac:dyDescent="0.25">
      <c r="A458" s="1011"/>
      <c r="B458" s="1012"/>
      <c r="C458" s="1012"/>
      <c r="D458" s="1012"/>
      <c r="E458" s="1012"/>
      <c r="F458" s="1012"/>
      <c r="G458" s="1012"/>
      <c r="H458" s="1012"/>
      <c r="I458" s="1013"/>
    </row>
    <row r="459" spans="1:9" x14ac:dyDescent="0.25">
      <c r="A459" s="1011"/>
      <c r="B459" s="1012"/>
      <c r="C459" s="1012"/>
      <c r="D459" s="1012"/>
      <c r="E459" s="1012"/>
      <c r="F459" s="1012"/>
      <c r="G459" s="1012"/>
      <c r="H459" s="1012"/>
      <c r="I459" s="1013"/>
    </row>
    <row r="460" spans="1:9" x14ac:dyDescent="0.25">
      <c r="A460" s="1011"/>
      <c r="B460" s="1012"/>
      <c r="C460" s="1012"/>
      <c r="D460" s="1012"/>
      <c r="E460" s="1012"/>
      <c r="F460" s="1012"/>
      <c r="G460" s="1012"/>
      <c r="H460" s="1012"/>
      <c r="I460" s="1013"/>
    </row>
    <row r="461" spans="1:9" x14ac:dyDescent="0.25">
      <c r="A461" s="1011"/>
      <c r="B461" s="1012"/>
      <c r="C461" s="1012"/>
      <c r="D461" s="1012"/>
      <c r="E461" s="1012"/>
      <c r="F461" s="1012"/>
      <c r="G461" s="1012"/>
      <c r="H461" s="1012"/>
      <c r="I461" s="1013"/>
    </row>
    <row r="462" spans="1:9" x14ac:dyDescent="0.25">
      <c r="A462" s="1011"/>
      <c r="B462" s="1012"/>
      <c r="C462" s="1012"/>
      <c r="D462" s="1012"/>
      <c r="E462" s="1012"/>
      <c r="F462" s="1012"/>
      <c r="G462" s="1012"/>
      <c r="H462" s="1012"/>
      <c r="I462" s="1013"/>
    </row>
    <row r="463" spans="1:9" x14ac:dyDescent="0.25">
      <c r="A463" s="1011"/>
      <c r="B463" s="1012"/>
      <c r="C463" s="1012"/>
      <c r="D463" s="1012"/>
      <c r="E463" s="1012"/>
      <c r="F463" s="1012"/>
      <c r="G463" s="1012"/>
      <c r="H463" s="1012"/>
      <c r="I463" s="1013"/>
    </row>
    <row r="464" spans="1:9" x14ac:dyDescent="0.25">
      <c r="A464" s="1011"/>
      <c r="B464" s="1012"/>
      <c r="C464" s="1012"/>
      <c r="D464" s="1012"/>
      <c r="E464" s="1012"/>
      <c r="F464" s="1012"/>
      <c r="G464" s="1012"/>
      <c r="H464" s="1012"/>
      <c r="I464" s="1013"/>
    </row>
    <row r="465" spans="1:9" x14ac:dyDescent="0.25">
      <c r="A465" s="1011"/>
      <c r="B465" s="1012"/>
      <c r="C465" s="1012"/>
      <c r="D465" s="1012"/>
      <c r="E465" s="1012"/>
      <c r="F465" s="1012"/>
      <c r="G465" s="1012"/>
      <c r="H465" s="1012"/>
      <c r="I465" s="1013"/>
    </row>
    <row r="466" spans="1:9" x14ac:dyDescent="0.25">
      <c r="A466" s="1011"/>
      <c r="B466" s="1012"/>
      <c r="C466" s="1012"/>
      <c r="D466" s="1012"/>
      <c r="E466" s="1012"/>
      <c r="F466" s="1012"/>
      <c r="G466" s="1012"/>
      <c r="H466" s="1012"/>
      <c r="I466" s="1013"/>
    </row>
    <row r="467" spans="1:9" x14ac:dyDescent="0.25">
      <c r="A467" s="1011"/>
      <c r="B467" s="1012"/>
      <c r="C467" s="1012"/>
      <c r="D467" s="1012"/>
      <c r="E467" s="1012"/>
      <c r="F467" s="1012"/>
      <c r="G467" s="1012"/>
      <c r="H467" s="1012"/>
      <c r="I467" s="1013"/>
    </row>
    <row r="468" spans="1:9" x14ac:dyDescent="0.25">
      <c r="A468" s="1011"/>
      <c r="B468" s="1012"/>
      <c r="C468" s="1012"/>
      <c r="D468" s="1012"/>
      <c r="E468" s="1012"/>
      <c r="F468" s="1012"/>
      <c r="G468" s="1012"/>
      <c r="H468" s="1012"/>
      <c r="I468" s="1013"/>
    </row>
    <row r="469" spans="1:9" ht="15.75" thickBot="1" x14ac:dyDescent="0.3">
      <c r="A469" s="1014"/>
      <c r="B469" s="1015"/>
      <c r="C469" s="1015"/>
      <c r="D469" s="1015"/>
      <c r="E469" s="1015"/>
      <c r="F469" s="1015"/>
      <c r="G469" s="1015"/>
      <c r="H469" s="1015"/>
      <c r="I469" s="1016"/>
    </row>
    <row r="470" spans="1:9" ht="15.75" thickBot="1" x14ac:dyDescent="0.3">
      <c r="A470" s="1023" t="s">
        <v>3087</v>
      </c>
      <c r="B470" s="1024"/>
      <c r="C470" s="1024"/>
      <c r="D470" s="1024"/>
      <c r="E470" s="1024"/>
      <c r="F470" s="1024"/>
      <c r="G470" s="1024"/>
      <c r="H470" s="1024"/>
      <c r="I470" s="1025"/>
    </row>
  </sheetData>
  <sheetProtection password="E9C2" sheet="1" objects="1" scenarios="1" selectLockedCells="1"/>
  <mergeCells count="30">
    <mergeCell ref="A470:I470"/>
    <mergeCell ref="A376:I376"/>
    <mergeCell ref="A377:I378"/>
    <mergeCell ref="A379:I422"/>
    <mergeCell ref="A423:I423"/>
    <mergeCell ref="A424:I425"/>
    <mergeCell ref="A426:I469"/>
    <mergeCell ref="A332:I375"/>
    <mergeCell ref="A188:I188"/>
    <mergeCell ref="A189:I190"/>
    <mergeCell ref="A191:I234"/>
    <mergeCell ref="A235:I235"/>
    <mergeCell ref="A236:I237"/>
    <mergeCell ref="A238:I281"/>
    <mergeCell ref="A282:I282"/>
    <mergeCell ref="A283:I284"/>
    <mergeCell ref="A285:I328"/>
    <mergeCell ref="A329:I329"/>
    <mergeCell ref="A330:I331"/>
    <mergeCell ref="A144:I187"/>
    <mergeCell ref="A1:I2"/>
    <mergeCell ref="A47:I47"/>
    <mergeCell ref="A3:I46"/>
    <mergeCell ref="A48:I49"/>
    <mergeCell ref="A50:I93"/>
    <mergeCell ref="A94:I94"/>
    <mergeCell ref="A95:I96"/>
    <mergeCell ref="A97:I140"/>
    <mergeCell ref="A141:I141"/>
    <mergeCell ref="A142:I143"/>
  </mergeCells>
  <pageMargins left="0.7" right="0.7" top="0.75" bottom="0.75" header="0.3" footer="0.3"/>
  <pageSetup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CZ648"/>
  <sheetViews>
    <sheetView view="pageBreakPreview" topLeftCell="B1" zoomScale="75" zoomScaleNormal="100" zoomScaleSheetLayoutView="75" workbookViewId="0">
      <pane ySplit="6" topLeftCell="A7" activePane="bottomLeft" state="frozen"/>
      <selection activeCell="B1" sqref="B1"/>
      <selection pane="bottomLeft" activeCell="AK7" sqref="AK7:AZ12"/>
    </sheetView>
  </sheetViews>
  <sheetFormatPr defaultRowHeight="15" x14ac:dyDescent="0.25"/>
  <cols>
    <col min="1" max="1" width="4.7109375" style="15" hidden="1" customWidth="1"/>
    <col min="2" max="26" width="3.7109375" style="15" customWidth="1"/>
    <col min="27" max="27" width="9.140625" style="15" hidden="1" customWidth="1"/>
    <col min="28" max="52" width="3.7109375" style="15" customWidth="1"/>
    <col min="53" max="53" width="9.140625" style="15" hidden="1" customWidth="1"/>
    <col min="54" max="78" width="3.7109375" style="15" customWidth="1"/>
    <col min="79" max="79" width="9.140625" style="15" hidden="1" customWidth="1"/>
    <col min="80" max="104" width="3.7109375" style="15" customWidth="1"/>
    <col min="105" max="16384" width="9.140625" style="15"/>
  </cols>
  <sheetData>
    <row r="1" spans="1:104" ht="15" customHeight="1" x14ac:dyDescent="0.25">
      <c r="B1" s="1046" t="s">
        <v>70</v>
      </c>
      <c r="C1" s="1044"/>
      <c r="D1" s="1044"/>
      <c r="E1" s="1044"/>
      <c r="F1" s="1044"/>
      <c r="G1" s="1044"/>
      <c r="H1" s="1044"/>
      <c r="I1" s="1044" t="s">
        <v>71</v>
      </c>
      <c r="J1" s="1044"/>
      <c r="K1" s="1058" t="s">
        <v>3551</v>
      </c>
      <c r="L1" s="1058"/>
      <c r="M1" s="1058"/>
      <c r="N1" s="1058"/>
      <c r="O1" s="1058"/>
      <c r="P1" s="1058"/>
      <c r="Q1" s="1058"/>
      <c r="R1" s="1058"/>
      <c r="S1" s="1058"/>
      <c r="T1" s="1058"/>
      <c r="U1" s="1058"/>
      <c r="V1" s="1058"/>
      <c r="W1" s="1058"/>
      <c r="X1" s="1058"/>
      <c r="Y1" s="1058"/>
      <c r="Z1" s="1059"/>
      <c r="AB1" s="1046" t="s">
        <v>70</v>
      </c>
      <c r="AC1" s="1044"/>
      <c r="AD1" s="1044"/>
      <c r="AE1" s="1044"/>
      <c r="AF1" s="1044"/>
      <c r="AG1" s="1044"/>
      <c r="AH1" s="1044"/>
      <c r="AI1" s="1044" t="s">
        <v>71</v>
      </c>
      <c r="AJ1" s="1044"/>
      <c r="AK1" s="1058" t="s">
        <v>3551</v>
      </c>
      <c r="AL1" s="1058"/>
      <c r="AM1" s="1058"/>
      <c r="AN1" s="1058"/>
      <c r="AO1" s="1058"/>
      <c r="AP1" s="1058"/>
      <c r="AQ1" s="1058"/>
      <c r="AR1" s="1058"/>
      <c r="AS1" s="1058"/>
      <c r="AT1" s="1058"/>
      <c r="AU1" s="1058"/>
      <c r="AV1" s="1058"/>
      <c r="AW1" s="1058"/>
      <c r="AX1" s="1058"/>
      <c r="AY1" s="1058"/>
      <c r="AZ1" s="1059"/>
      <c r="BB1" s="1046" t="s">
        <v>941</v>
      </c>
      <c r="BC1" s="1044"/>
      <c r="BD1" s="1044"/>
      <c r="BE1" s="1044"/>
      <c r="BF1" s="1044"/>
      <c r="BG1" s="1044" t="s">
        <v>131</v>
      </c>
      <c r="BH1" s="1044"/>
      <c r="BI1" s="1064" t="s">
        <v>3552</v>
      </c>
      <c r="BJ1" s="1065"/>
      <c r="BK1" s="1065"/>
      <c r="BL1" s="1065"/>
      <c r="BM1" s="1065"/>
      <c r="BN1" s="1065"/>
      <c r="BO1" s="1065"/>
      <c r="BP1" s="1065"/>
      <c r="BQ1" s="1065"/>
      <c r="BR1" s="1065"/>
      <c r="BS1" s="1065"/>
      <c r="BT1" s="1065"/>
      <c r="BU1" s="1065"/>
      <c r="BV1" s="1065"/>
      <c r="BW1" s="1065"/>
      <c r="BX1" s="1065"/>
      <c r="BY1" s="1065"/>
      <c r="BZ1" s="1066"/>
      <c r="CB1" s="1046" t="s">
        <v>941</v>
      </c>
      <c r="CC1" s="1044"/>
      <c r="CD1" s="1044"/>
      <c r="CE1" s="1044"/>
      <c r="CF1" s="1044"/>
      <c r="CG1" s="1044" t="s">
        <v>131</v>
      </c>
      <c r="CH1" s="1044"/>
      <c r="CI1" s="1064" t="s">
        <v>3552</v>
      </c>
      <c r="CJ1" s="1065"/>
      <c r="CK1" s="1065"/>
      <c r="CL1" s="1065"/>
      <c r="CM1" s="1065"/>
      <c r="CN1" s="1065"/>
      <c r="CO1" s="1065"/>
      <c r="CP1" s="1065"/>
      <c r="CQ1" s="1065"/>
      <c r="CR1" s="1065"/>
      <c r="CS1" s="1065"/>
      <c r="CT1" s="1065"/>
      <c r="CU1" s="1065"/>
      <c r="CV1" s="1065"/>
      <c r="CW1" s="1065"/>
      <c r="CX1" s="1065"/>
      <c r="CY1" s="1065"/>
      <c r="CZ1" s="1066"/>
    </row>
    <row r="2" spans="1:104" ht="15" customHeight="1" x14ac:dyDescent="0.25">
      <c r="B2" s="1047" t="s">
        <v>939</v>
      </c>
      <c r="C2" s="1045"/>
      <c r="D2" s="1045"/>
      <c r="E2" s="1045"/>
      <c r="F2" s="1045"/>
      <c r="G2" s="1045"/>
      <c r="H2" s="1045"/>
      <c r="I2" s="1045" t="s">
        <v>131</v>
      </c>
      <c r="J2" s="1045"/>
      <c r="K2" s="1060"/>
      <c r="L2" s="1060"/>
      <c r="M2" s="1060"/>
      <c r="N2" s="1060"/>
      <c r="O2" s="1060"/>
      <c r="P2" s="1060"/>
      <c r="Q2" s="1060"/>
      <c r="R2" s="1060"/>
      <c r="S2" s="1060"/>
      <c r="T2" s="1060"/>
      <c r="U2" s="1060"/>
      <c r="V2" s="1060"/>
      <c r="W2" s="1060"/>
      <c r="X2" s="1060"/>
      <c r="Y2" s="1060"/>
      <c r="Z2" s="1061"/>
      <c r="AB2" s="1047" t="s">
        <v>939</v>
      </c>
      <c r="AC2" s="1045"/>
      <c r="AD2" s="1045"/>
      <c r="AE2" s="1045"/>
      <c r="AF2" s="1045"/>
      <c r="AG2" s="1045"/>
      <c r="AH2" s="1045"/>
      <c r="AI2" s="1045" t="s">
        <v>131</v>
      </c>
      <c r="AJ2" s="1045"/>
      <c r="AK2" s="1060"/>
      <c r="AL2" s="1060"/>
      <c r="AM2" s="1060"/>
      <c r="AN2" s="1060"/>
      <c r="AO2" s="1060"/>
      <c r="AP2" s="1060"/>
      <c r="AQ2" s="1060"/>
      <c r="AR2" s="1060"/>
      <c r="AS2" s="1060"/>
      <c r="AT2" s="1060"/>
      <c r="AU2" s="1060"/>
      <c r="AV2" s="1060"/>
      <c r="AW2" s="1060"/>
      <c r="AX2" s="1060"/>
      <c r="AY2" s="1060"/>
      <c r="AZ2" s="1061"/>
      <c r="BB2" s="1047" t="s">
        <v>942</v>
      </c>
      <c r="BC2" s="1045"/>
      <c r="BD2" s="1045"/>
      <c r="BE2" s="1045"/>
      <c r="BF2" s="1045"/>
      <c r="BG2" s="1045" t="s">
        <v>940</v>
      </c>
      <c r="BH2" s="1045"/>
      <c r="BI2" s="1067"/>
      <c r="BJ2" s="1068"/>
      <c r="BK2" s="1068"/>
      <c r="BL2" s="1068"/>
      <c r="BM2" s="1068"/>
      <c r="BN2" s="1068"/>
      <c r="BO2" s="1068"/>
      <c r="BP2" s="1068"/>
      <c r="BQ2" s="1068"/>
      <c r="BR2" s="1068"/>
      <c r="BS2" s="1068"/>
      <c r="BT2" s="1068"/>
      <c r="BU2" s="1068"/>
      <c r="BV2" s="1068"/>
      <c r="BW2" s="1068"/>
      <c r="BX2" s="1068"/>
      <c r="BY2" s="1068"/>
      <c r="BZ2" s="1069"/>
      <c r="CB2" s="1047" t="s">
        <v>942</v>
      </c>
      <c r="CC2" s="1045"/>
      <c r="CD2" s="1045"/>
      <c r="CE2" s="1045"/>
      <c r="CF2" s="1045"/>
      <c r="CG2" s="1045" t="s">
        <v>940</v>
      </c>
      <c r="CH2" s="1045"/>
      <c r="CI2" s="1067"/>
      <c r="CJ2" s="1068"/>
      <c r="CK2" s="1068"/>
      <c r="CL2" s="1068"/>
      <c r="CM2" s="1068"/>
      <c r="CN2" s="1068"/>
      <c r="CO2" s="1068"/>
      <c r="CP2" s="1068"/>
      <c r="CQ2" s="1068"/>
      <c r="CR2" s="1068"/>
      <c r="CS2" s="1068"/>
      <c r="CT2" s="1068"/>
      <c r="CU2" s="1068"/>
      <c r="CV2" s="1068"/>
      <c r="CW2" s="1068"/>
      <c r="CX2" s="1068"/>
      <c r="CY2" s="1068"/>
      <c r="CZ2" s="1069"/>
    </row>
    <row r="3" spans="1:104" ht="15.75" customHeight="1" x14ac:dyDescent="0.25">
      <c r="B3" s="1047"/>
      <c r="C3" s="1045"/>
      <c r="D3" s="1045"/>
      <c r="E3" s="1045"/>
      <c r="F3" s="1045"/>
      <c r="G3" s="1045"/>
      <c r="H3" s="1045"/>
      <c r="I3" s="1045" t="s">
        <v>940</v>
      </c>
      <c r="J3" s="1045"/>
      <c r="K3" s="1060"/>
      <c r="L3" s="1060"/>
      <c r="M3" s="1060"/>
      <c r="N3" s="1060"/>
      <c r="O3" s="1060"/>
      <c r="P3" s="1060"/>
      <c r="Q3" s="1060"/>
      <c r="R3" s="1060"/>
      <c r="S3" s="1060"/>
      <c r="T3" s="1060"/>
      <c r="U3" s="1060"/>
      <c r="V3" s="1060"/>
      <c r="W3" s="1060"/>
      <c r="X3" s="1060"/>
      <c r="Y3" s="1060"/>
      <c r="Z3" s="1061"/>
      <c r="AB3" s="1047"/>
      <c r="AC3" s="1045"/>
      <c r="AD3" s="1045"/>
      <c r="AE3" s="1045"/>
      <c r="AF3" s="1045"/>
      <c r="AG3" s="1045"/>
      <c r="AH3" s="1045"/>
      <c r="AI3" s="1045" t="s">
        <v>940</v>
      </c>
      <c r="AJ3" s="1045"/>
      <c r="AK3" s="1060"/>
      <c r="AL3" s="1060"/>
      <c r="AM3" s="1060"/>
      <c r="AN3" s="1060"/>
      <c r="AO3" s="1060"/>
      <c r="AP3" s="1060"/>
      <c r="AQ3" s="1060"/>
      <c r="AR3" s="1060"/>
      <c r="AS3" s="1060"/>
      <c r="AT3" s="1060"/>
      <c r="AU3" s="1060"/>
      <c r="AV3" s="1060"/>
      <c r="AW3" s="1060"/>
      <c r="AX3" s="1060"/>
      <c r="AY3" s="1060"/>
      <c r="AZ3" s="1061"/>
      <c r="BB3" s="1047"/>
      <c r="BC3" s="1045"/>
      <c r="BD3" s="1045"/>
      <c r="BE3" s="1045"/>
      <c r="BF3" s="1045"/>
      <c r="BG3" s="1045"/>
      <c r="BH3" s="1045"/>
      <c r="BI3" s="1067"/>
      <c r="BJ3" s="1068"/>
      <c r="BK3" s="1068"/>
      <c r="BL3" s="1068"/>
      <c r="BM3" s="1068"/>
      <c r="BN3" s="1068"/>
      <c r="BO3" s="1068"/>
      <c r="BP3" s="1068"/>
      <c r="BQ3" s="1068"/>
      <c r="BR3" s="1068"/>
      <c r="BS3" s="1068"/>
      <c r="BT3" s="1068"/>
      <c r="BU3" s="1068"/>
      <c r="BV3" s="1068"/>
      <c r="BW3" s="1068"/>
      <c r="BX3" s="1068"/>
      <c r="BY3" s="1068"/>
      <c r="BZ3" s="1069"/>
      <c r="CB3" s="1047"/>
      <c r="CC3" s="1045"/>
      <c r="CD3" s="1045"/>
      <c r="CE3" s="1045"/>
      <c r="CF3" s="1045"/>
      <c r="CG3" s="1045"/>
      <c r="CH3" s="1045"/>
      <c r="CI3" s="1067"/>
      <c r="CJ3" s="1068"/>
      <c r="CK3" s="1068"/>
      <c r="CL3" s="1068"/>
      <c r="CM3" s="1068"/>
      <c r="CN3" s="1068"/>
      <c r="CO3" s="1068"/>
      <c r="CP3" s="1068"/>
      <c r="CQ3" s="1068"/>
      <c r="CR3" s="1068"/>
      <c r="CS3" s="1068"/>
      <c r="CT3" s="1068"/>
      <c r="CU3" s="1068"/>
      <c r="CV3" s="1068"/>
      <c r="CW3" s="1068"/>
      <c r="CX3" s="1068"/>
      <c r="CY3" s="1068"/>
      <c r="CZ3" s="1069"/>
    </row>
    <row r="4" spans="1:104" ht="15" customHeight="1" x14ac:dyDescent="0.25">
      <c r="B4" s="1047" t="s">
        <v>943</v>
      </c>
      <c r="C4" s="1045"/>
      <c r="D4" s="1045"/>
      <c r="E4" s="1045"/>
      <c r="F4" s="1045"/>
      <c r="G4" s="1045"/>
      <c r="H4" s="1045"/>
      <c r="I4" s="1045"/>
      <c r="J4" s="1045"/>
      <c r="K4" s="1060"/>
      <c r="L4" s="1060"/>
      <c r="M4" s="1060"/>
      <c r="N4" s="1060"/>
      <c r="O4" s="1060"/>
      <c r="P4" s="1060"/>
      <c r="Q4" s="1060"/>
      <c r="R4" s="1060"/>
      <c r="S4" s="1060"/>
      <c r="T4" s="1060"/>
      <c r="U4" s="1060"/>
      <c r="V4" s="1060"/>
      <c r="W4" s="1060"/>
      <c r="X4" s="1060"/>
      <c r="Y4" s="1060"/>
      <c r="Z4" s="1061"/>
      <c r="AB4" s="1047" t="s">
        <v>943</v>
      </c>
      <c r="AC4" s="1045"/>
      <c r="AD4" s="1045"/>
      <c r="AE4" s="1045"/>
      <c r="AF4" s="1045"/>
      <c r="AG4" s="1045"/>
      <c r="AH4" s="1045"/>
      <c r="AI4" s="1045"/>
      <c r="AJ4" s="1045"/>
      <c r="AK4" s="1060"/>
      <c r="AL4" s="1060"/>
      <c r="AM4" s="1060"/>
      <c r="AN4" s="1060"/>
      <c r="AO4" s="1060"/>
      <c r="AP4" s="1060"/>
      <c r="AQ4" s="1060"/>
      <c r="AR4" s="1060"/>
      <c r="AS4" s="1060"/>
      <c r="AT4" s="1060"/>
      <c r="AU4" s="1060"/>
      <c r="AV4" s="1060"/>
      <c r="AW4" s="1060"/>
      <c r="AX4" s="1060"/>
      <c r="AY4" s="1060"/>
      <c r="AZ4" s="1061"/>
      <c r="BB4" s="1050" t="s">
        <v>33</v>
      </c>
      <c r="BC4" s="1051"/>
      <c r="BD4" s="1051"/>
      <c r="BE4" s="1051"/>
      <c r="BF4" s="1051"/>
      <c r="BG4" s="1051"/>
      <c r="BH4" s="1052"/>
      <c r="BI4" s="1067"/>
      <c r="BJ4" s="1068"/>
      <c r="BK4" s="1068"/>
      <c r="BL4" s="1068"/>
      <c r="BM4" s="1068"/>
      <c r="BN4" s="1068"/>
      <c r="BO4" s="1068"/>
      <c r="BP4" s="1068"/>
      <c r="BQ4" s="1068"/>
      <c r="BR4" s="1068"/>
      <c r="BS4" s="1068"/>
      <c r="BT4" s="1068"/>
      <c r="BU4" s="1068"/>
      <c r="BV4" s="1068"/>
      <c r="BW4" s="1068"/>
      <c r="BX4" s="1068"/>
      <c r="BY4" s="1068"/>
      <c r="BZ4" s="1069"/>
      <c r="CB4" s="1050" t="s">
        <v>33</v>
      </c>
      <c r="CC4" s="1051"/>
      <c r="CD4" s="1051"/>
      <c r="CE4" s="1051"/>
      <c r="CF4" s="1051"/>
      <c r="CG4" s="1051"/>
      <c r="CH4" s="1052"/>
      <c r="CI4" s="1067"/>
      <c r="CJ4" s="1068"/>
      <c r="CK4" s="1068"/>
      <c r="CL4" s="1068"/>
      <c r="CM4" s="1068"/>
      <c r="CN4" s="1068"/>
      <c r="CO4" s="1068"/>
      <c r="CP4" s="1068"/>
      <c r="CQ4" s="1068"/>
      <c r="CR4" s="1068"/>
      <c r="CS4" s="1068"/>
      <c r="CT4" s="1068"/>
      <c r="CU4" s="1068"/>
      <c r="CV4" s="1068"/>
      <c r="CW4" s="1068"/>
      <c r="CX4" s="1068"/>
      <c r="CY4" s="1068"/>
      <c r="CZ4" s="1069"/>
    </row>
    <row r="5" spans="1:104" ht="15" customHeight="1" x14ac:dyDescent="0.25">
      <c r="B5" s="1047" t="s">
        <v>33</v>
      </c>
      <c r="C5" s="1045"/>
      <c r="D5" s="1045"/>
      <c r="E5" s="1045"/>
      <c r="F5" s="1045"/>
      <c r="G5" s="1045"/>
      <c r="H5" s="1045"/>
      <c r="I5" s="1045"/>
      <c r="J5" s="1045"/>
      <c r="K5" s="1060"/>
      <c r="L5" s="1060"/>
      <c r="M5" s="1060"/>
      <c r="N5" s="1060"/>
      <c r="O5" s="1060"/>
      <c r="P5" s="1060"/>
      <c r="Q5" s="1060"/>
      <c r="R5" s="1060"/>
      <c r="S5" s="1060"/>
      <c r="T5" s="1060"/>
      <c r="U5" s="1060"/>
      <c r="V5" s="1060"/>
      <c r="W5" s="1060"/>
      <c r="X5" s="1060"/>
      <c r="Y5" s="1060"/>
      <c r="Z5" s="1061"/>
      <c r="AB5" s="1047" t="s">
        <v>33</v>
      </c>
      <c r="AC5" s="1045"/>
      <c r="AD5" s="1045"/>
      <c r="AE5" s="1045"/>
      <c r="AF5" s="1045"/>
      <c r="AG5" s="1045"/>
      <c r="AH5" s="1045"/>
      <c r="AI5" s="1045"/>
      <c r="AJ5" s="1045"/>
      <c r="AK5" s="1060"/>
      <c r="AL5" s="1060"/>
      <c r="AM5" s="1060"/>
      <c r="AN5" s="1060"/>
      <c r="AO5" s="1060"/>
      <c r="AP5" s="1060"/>
      <c r="AQ5" s="1060"/>
      <c r="AR5" s="1060"/>
      <c r="AS5" s="1060"/>
      <c r="AT5" s="1060"/>
      <c r="AU5" s="1060"/>
      <c r="AV5" s="1060"/>
      <c r="AW5" s="1060"/>
      <c r="AX5" s="1060"/>
      <c r="AY5" s="1060"/>
      <c r="AZ5" s="1061"/>
      <c r="BB5" s="1053"/>
      <c r="BC5" s="1054"/>
      <c r="BD5" s="1054"/>
      <c r="BE5" s="1054"/>
      <c r="BF5" s="1054"/>
      <c r="BG5" s="1054"/>
      <c r="BH5" s="1055"/>
      <c r="BI5" s="1067"/>
      <c r="BJ5" s="1068"/>
      <c r="BK5" s="1068"/>
      <c r="BL5" s="1068"/>
      <c r="BM5" s="1068"/>
      <c r="BN5" s="1068"/>
      <c r="BO5" s="1068"/>
      <c r="BP5" s="1068"/>
      <c r="BQ5" s="1068"/>
      <c r="BR5" s="1068"/>
      <c r="BS5" s="1068"/>
      <c r="BT5" s="1068"/>
      <c r="BU5" s="1068"/>
      <c r="BV5" s="1068"/>
      <c r="BW5" s="1068"/>
      <c r="BX5" s="1068"/>
      <c r="BY5" s="1068"/>
      <c r="BZ5" s="1069"/>
      <c r="CB5" s="1053"/>
      <c r="CC5" s="1054"/>
      <c r="CD5" s="1054"/>
      <c r="CE5" s="1054"/>
      <c r="CF5" s="1054"/>
      <c r="CG5" s="1054"/>
      <c r="CH5" s="1055"/>
      <c r="CI5" s="1067"/>
      <c r="CJ5" s="1068"/>
      <c r="CK5" s="1068"/>
      <c r="CL5" s="1068"/>
      <c r="CM5" s="1068"/>
      <c r="CN5" s="1068"/>
      <c r="CO5" s="1068"/>
      <c r="CP5" s="1068"/>
      <c r="CQ5" s="1068"/>
      <c r="CR5" s="1068"/>
      <c r="CS5" s="1068"/>
      <c r="CT5" s="1068"/>
      <c r="CU5" s="1068"/>
      <c r="CV5" s="1068"/>
      <c r="CW5" s="1068"/>
      <c r="CX5" s="1068"/>
      <c r="CY5" s="1068"/>
      <c r="CZ5" s="1069"/>
    </row>
    <row r="6" spans="1:104" ht="15" customHeight="1" thickBot="1" x14ac:dyDescent="0.3">
      <c r="B6" s="1056"/>
      <c r="C6" s="1057"/>
      <c r="D6" s="1057"/>
      <c r="E6" s="1057"/>
      <c r="F6" s="1057"/>
      <c r="G6" s="1057"/>
      <c r="H6" s="1057"/>
      <c r="I6" s="1057"/>
      <c r="J6" s="1057"/>
      <c r="K6" s="1062"/>
      <c r="L6" s="1062"/>
      <c r="M6" s="1062"/>
      <c r="N6" s="1062"/>
      <c r="O6" s="1062"/>
      <c r="P6" s="1062"/>
      <c r="Q6" s="1062"/>
      <c r="R6" s="1062"/>
      <c r="S6" s="1062"/>
      <c r="T6" s="1062"/>
      <c r="U6" s="1062"/>
      <c r="V6" s="1062"/>
      <c r="W6" s="1062"/>
      <c r="X6" s="1062"/>
      <c r="Y6" s="1062"/>
      <c r="Z6" s="1063"/>
      <c r="AB6" s="1056"/>
      <c r="AC6" s="1057"/>
      <c r="AD6" s="1057"/>
      <c r="AE6" s="1057"/>
      <c r="AF6" s="1057"/>
      <c r="AG6" s="1057"/>
      <c r="AH6" s="1057"/>
      <c r="AI6" s="1057"/>
      <c r="AJ6" s="1057"/>
      <c r="AK6" s="1062"/>
      <c r="AL6" s="1062"/>
      <c r="AM6" s="1062"/>
      <c r="AN6" s="1062"/>
      <c r="AO6" s="1062"/>
      <c r="AP6" s="1062"/>
      <c r="AQ6" s="1062"/>
      <c r="AR6" s="1062"/>
      <c r="AS6" s="1062"/>
      <c r="AT6" s="1062"/>
      <c r="AU6" s="1062"/>
      <c r="AV6" s="1062"/>
      <c r="AW6" s="1062"/>
      <c r="AX6" s="1062"/>
      <c r="AY6" s="1062"/>
      <c r="AZ6" s="1063"/>
      <c r="BB6" s="1053"/>
      <c r="BC6" s="1054"/>
      <c r="BD6" s="1054"/>
      <c r="BE6" s="1054"/>
      <c r="BF6" s="1054"/>
      <c r="BG6" s="1054"/>
      <c r="BH6" s="1055"/>
      <c r="BI6" s="1070"/>
      <c r="BJ6" s="1071"/>
      <c r="BK6" s="1071"/>
      <c r="BL6" s="1071"/>
      <c r="BM6" s="1071"/>
      <c r="BN6" s="1071"/>
      <c r="BO6" s="1071"/>
      <c r="BP6" s="1071"/>
      <c r="BQ6" s="1071"/>
      <c r="BR6" s="1071"/>
      <c r="BS6" s="1071"/>
      <c r="BT6" s="1071"/>
      <c r="BU6" s="1071"/>
      <c r="BV6" s="1071"/>
      <c r="BW6" s="1071"/>
      <c r="BX6" s="1071"/>
      <c r="BY6" s="1071"/>
      <c r="BZ6" s="1072"/>
      <c r="CB6" s="1053"/>
      <c r="CC6" s="1054"/>
      <c r="CD6" s="1054"/>
      <c r="CE6" s="1054"/>
      <c r="CF6" s="1054"/>
      <c r="CG6" s="1054"/>
      <c r="CH6" s="1055"/>
      <c r="CI6" s="1070"/>
      <c r="CJ6" s="1071"/>
      <c r="CK6" s="1071"/>
      <c r="CL6" s="1071"/>
      <c r="CM6" s="1071"/>
      <c r="CN6" s="1071"/>
      <c r="CO6" s="1071"/>
      <c r="CP6" s="1071"/>
      <c r="CQ6" s="1071"/>
      <c r="CR6" s="1071"/>
      <c r="CS6" s="1071"/>
      <c r="CT6" s="1071"/>
      <c r="CU6" s="1071"/>
      <c r="CV6" s="1071"/>
      <c r="CW6" s="1071"/>
      <c r="CX6" s="1071"/>
      <c r="CY6" s="1071"/>
      <c r="CZ6" s="1072"/>
    </row>
    <row r="7" spans="1:104" ht="15" customHeight="1" x14ac:dyDescent="0.25">
      <c r="B7" s="1028" t="str">
        <f>IF(B8="","",VLOOKUP(B8,BoonRef!$A$2:$Z$900,2,FALSE))</f>
        <v/>
      </c>
      <c r="C7" s="725"/>
      <c r="D7" s="725"/>
      <c r="E7" s="725"/>
      <c r="F7" s="725"/>
      <c r="G7" s="725"/>
      <c r="H7" s="725"/>
      <c r="I7" s="725" t="str">
        <f>IF(B8="","",VLOOKUP(B8,BoonRef!$A$2:$Z$900,3,FALSE))</f>
        <v/>
      </c>
      <c r="J7" s="725"/>
      <c r="K7" s="725" t="str">
        <f>IF(B8="","",VLOOKUP(B8,DescRef!$A$2:$B$900,2,FALSE))</f>
        <v/>
      </c>
      <c r="L7" s="725"/>
      <c r="M7" s="725"/>
      <c r="N7" s="725"/>
      <c r="O7" s="725"/>
      <c r="P7" s="725"/>
      <c r="Q7" s="725"/>
      <c r="R7" s="725"/>
      <c r="S7" s="725"/>
      <c r="T7" s="725"/>
      <c r="U7" s="725"/>
      <c r="V7" s="725"/>
      <c r="W7" s="725"/>
      <c r="X7" s="725"/>
      <c r="Y7" s="725"/>
      <c r="Z7" s="726"/>
      <c r="AB7" s="1028" t="str">
        <f>IF(AB8="","",VLOOKUP(AB8,BoonRef!$A$2:$Z$900,2,FALSE))</f>
        <v/>
      </c>
      <c r="AC7" s="725"/>
      <c r="AD7" s="725"/>
      <c r="AE7" s="725"/>
      <c r="AF7" s="725"/>
      <c r="AG7" s="725"/>
      <c r="AH7" s="725"/>
      <c r="AI7" s="725" t="str">
        <f>IF(AB8="","",VLOOKUP(AB8,BoonRef!$A$2:$Z$900,3,FALSE))</f>
        <v/>
      </c>
      <c r="AJ7" s="725"/>
      <c r="AK7" s="725" t="str">
        <f>IF(AB8="","",VLOOKUP(AB8,DescRef!$A$2:$B$900,2,FALSE))</f>
        <v/>
      </c>
      <c r="AL7" s="725"/>
      <c r="AM7" s="725"/>
      <c r="AN7" s="725"/>
      <c r="AO7" s="725"/>
      <c r="AP7" s="725"/>
      <c r="AQ7" s="725"/>
      <c r="AR7" s="725"/>
      <c r="AS7" s="725"/>
      <c r="AT7" s="725"/>
      <c r="AU7" s="725"/>
      <c r="AV7" s="725"/>
      <c r="AW7" s="725"/>
      <c r="AX7" s="725"/>
      <c r="AY7" s="725"/>
      <c r="AZ7" s="726"/>
      <c r="BB7" s="1029" t="str">
        <f>IF(BB8="","",VLOOKUP(BB8,KanckRef!$A$1:$G$300,2,FALSE))</f>
        <v/>
      </c>
      <c r="BC7" s="1030"/>
      <c r="BD7" s="1030"/>
      <c r="BE7" s="1030"/>
      <c r="BF7" s="1031"/>
      <c r="BG7" s="1048" t="str">
        <f>IF(BB8="","",VLOOKUP(BB8,KanckRef!$A$1:$G$300,6,FALSE))</f>
        <v/>
      </c>
      <c r="BH7" s="1049"/>
      <c r="BI7" s="988" t="str">
        <f>IF(BB8="","",VLOOKUP(BB8,DescRef!$D$2:$E$300,2,FALSE))</f>
        <v/>
      </c>
      <c r="BJ7" s="795"/>
      <c r="BK7" s="795"/>
      <c r="BL7" s="795"/>
      <c r="BM7" s="795"/>
      <c r="BN7" s="795"/>
      <c r="BO7" s="795"/>
      <c r="BP7" s="795"/>
      <c r="BQ7" s="795"/>
      <c r="BR7" s="795"/>
      <c r="BS7" s="795"/>
      <c r="BT7" s="795"/>
      <c r="BU7" s="795"/>
      <c r="BV7" s="795"/>
      <c r="BW7" s="795"/>
      <c r="BX7" s="795"/>
      <c r="BY7" s="795"/>
      <c r="BZ7" s="796"/>
      <c r="CB7" s="1029" t="str">
        <f>IF(CB8="","",VLOOKUP(CB8,KanckRef!$A$1:$G$300,2,FALSE))</f>
        <v/>
      </c>
      <c r="CC7" s="1030"/>
      <c r="CD7" s="1030"/>
      <c r="CE7" s="1030"/>
      <c r="CF7" s="1031"/>
      <c r="CG7" s="1048" t="str">
        <f>IF(CB8="","",VLOOKUP(CB8,KanckRef!$A$1:$G$300,6,FALSE))</f>
        <v/>
      </c>
      <c r="CH7" s="1049"/>
      <c r="CI7" s="988" t="str">
        <f>IF(CB8="","",VLOOKUP(CB8,DescRef!$D$2:$E$300,2,FALSE))</f>
        <v/>
      </c>
      <c r="CJ7" s="795"/>
      <c r="CK7" s="795"/>
      <c r="CL7" s="795"/>
      <c r="CM7" s="795"/>
      <c r="CN7" s="795"/>
      <c r="CO7" s="795"/>
      <c r="CP7" s="795"/>
      <c r="CQ7" s="795"/>
      <c r="CR7" s="795"/>
      <c r="CS7" s="795"/>
      <c r="CT7" s="795"/>
      <c r="CU7" s="795"/>
      <c r="CV7" s="795"/>
      <c r="CW7" s="795"/>
      <c r="CX7" s="795"/>
      <c r="CY7" s="795"/>
      <c r="CZ7" s="796"/>
    </row>
    <row r="8" spans="1:104" ht="15" customHeight="1" x14ac:dyDescent="0.25">
      <c r="A8" s="15">
        <v>1</v>
      </c>
      <c r="B8" s="1026" t="str">
        <f>IF(A8&lt;'Purchased Boons'!$B$496,VLOOKUP(A8,'Purchased Boons'!$BF$2:$BG$900,2,FALSE),"")</f>
        <v/>
      </c>
      <c r="C8" s="727"/>
      <c r="D8" s="727"/>
      <c r="E8" s="727"/>
      <c r="F8" s="727"/>
      <c r="G8" s="727"/>
      <c r="H8" s="727"/>
      <c r="I8" s="727" t="str">
        <f>IF(B8="","",VLOOKUP(B8,BoonRef!$A$2:$Z$900,25,FALSE))</f>
        <v/>
      </c>
      <c r="J8" s="727"/>
      <c r="K8" s="727"/>
      <c r="L8" s="727"/>
      <c r="M8" s="727"/>
      <c r="N8" s="727"/>
      <c r="O8" s="727"/>
      <c r="P8" s="727"/>
      <c r="Q8" s="727"/>
      <c r="R8" s="727"/>
      <c r="S8" s="727"/>
      <c r="T8" s="727"/>
      <c r="U8" s="727"/>
      <c r="V8" s="727"/>
      <c r="W8" s="727"/>
      <c r="X8" s="727"/>
      <c r="Y8" s="727"/>
      <c r="Z8" s="728"/>
      <c r="AA8" s="15">
        <v>108</v>
      </c>
      <c r="AB8" s="1026" t="str">
        <f>IF(AA8&lt;'Purchased Boons'!$B$496,VLOOKUP(AA8,'Purchased Boons'!$BF$2:$BG$900,2,FALSE),"")</f>
        <v/>
      </c>
      <c r="AC8" s="727"/>
      <c r="AD8" s="727"/>
      <c r="AE8" s="727"/>
      <c r="AF8" s="727"/>
      <c r="AG8" s="727"/>
      <c r="AH8" s="727"/>
      <c r="AI8" s="727" t="str">
        <f>IF(AB8="","",VLOOKUP(AB8,BoonRef!$A$2:$Z$900,25,FALSE))</f>
        <v/>
      </c>
      <c r="AJ8" s="727"/>
      <c r="AK8" s="727"/>
      <c r="AL8" s="727"/>
      <c r="AM8" s="727"/>
      <c r="AN8" s="727"/>
      <c r="AO8" s="727"/>
      <c r="AP8" s="727"/>
      <c r="AQ8" s="727"/>
      <c r="AR8" s="727"/>
      <c r="AS8" s="727"/>
      <c r="AT8" s="727"/>
      <c r="AU8" s="727"/>
      <c r="AV8" s="727"/>
      <c r="AW8" s="727"/>
      <c r="AX8" s="727"/>
      <c r="AY8" s="727"/>
      <c r="AZ8" s="728"/>
      <c r="BA8" s="15">
        <v>1</v>
      </c>
      <c r="BB8" s="1038" t="str">
        <f>IF(BA8&lt;'Purchased Knacks'!A$192,VLOOKUP(BA8,'Purchased Knacks'!$A$4:$E$300,3,FALSE),"")</f>
        <v/>
      </c>
      <c r="BC8" s="1039"/>
      <c r="BD8" s="1039"/>
      <c r="BE8" s="1039"/>
      <c r="BF8" s="1040"/>
      <c r="BG8" s="1032" t="str">
        <f>IF(BB8="","",VLOOKUP(BB8,KanckRef!$A$1:$G$300,7,FALSE))</f>
        <v/>
      </c>
      <c r="BH8" s="1033"/>
      <c r="BI8" s="753"/>
      <c r="BJ8" s="754"/>
      <c r="BK8" s="754"/>
      <c r="BL8" s="754"/>
      <c r="BM8" s="754"/>
      <c r="BN8" s="754"/>
      <c r="BO8" s="754"/>
      <c r="BP8" s="754"/>
      <c r="BQ8" s="754"/>
      <c r="BR8" s="754"/>
      <c r="BS8" s="754"/>
      <c r="BT8" s="754"/>
      <c r="BU8" s="754"/>
      <c r="BV8" s="754"/>
      <c r="BW8" s="754"/>
      <c r="BX8" s="754"/>
      <c r="BY8" s="754"/>
      <c r="BZ8" s="755"/>
      <c r="CA8" s="15">
        <v>108</v>
      </c>
      <c r="CB8" s="1038" t="str">
        <f>IF(CA8&lt;'Purchased Knacks'!A$192,VLOOKUP(CA8,'Purchased Knacks'!$A$4:$E$300,3,FALSE),"")</f>
        <v/>
      </c>
      <c r="CC8" s="1039"/>
      <c r="CD8" s="1039"/>
      <c r="CE8" s="1039"/>
      <c r="CF8" s="1040"/>
      <c r="CG8" s="1032" t="str">
        <f>IF(CB8="","",VLOOKUP(CB8,KanckRef!$A$1:$G$300,7,FALSE))</f>
        <v/>
      </c>
      <c r="CH8" s="1033"/>
      <c r="CI8" s="753"/>
      <c r="CJ8" s="754"/>
      <c r="CK8" s="754"/>
      <c r="CL8" s="754"/>
      <c r="CM8" s="754"/>
      <c r="CN8" s="754"/>
      <c r="CO8" s="754"/>
      <c r="CP8" s="754"/>
      <c r="CQ8" s="754"/>
      <c r="CR8" s="754"/>
      <c r="CS8" s="754"/>
      <c r="CT8" s="754"/>
      <c r="CU8" s="754"/>
      <c r="CV8" s="754"/>
      <c r="CW8" s="754"/>
      <c r="CX8" s="754"/>
      <c r="CY8" s="754"/>
      <c r="CZ8" s="755"/>
    </row>
    <row r="9" spans="1:104" ht="15" customHeight="1" x14ac:dyDescent="0.25">
      <c r="B9" s="1026"/>
      <c r="C9" s="727"/>
      <c r="D9" s="727"/>
      <c r="E9" s="727"/>
      <c r="F9" s="727"/>
      <c r="G9" s="727"/>
      <c r="H9" s="727"/>
      <c r="I9" s="727" t="str">
        <f>IF(B8="","",VLOOKUP(B8,BoonRef!$A$2:$Z$900,26,FALSE))</f>
        <v/>
      </c>
      <c r="J9" s="727"/>
      <c r="K9" s="727"/>
      <c r="L9" s="727"/>
      <c r="M9" s="727"/>
      <c r="N9" s="727"/>
      <c r="O9" s="727"/>
      <c r="P9" s="727"/>
      <c r="Q9" s="727"/>
      <c r="R9" s="727"/>
      <c r="S9" s="727"/>
      <c r="T9" s="727"/>
      <c r="U9" s="727"/>
      <c r="V9" s="727"/>
      <c r="W9" s="727"/>
      <c r="X9" s="727"/>
      <c r="Y9" s="727"/>
      <c r="Z9" s="728"/>
      <c r="AB9" s="1026"/>
      <c r="AC9" s="727"/>
      <c r="AD9" s="727"/>
      <c r="AE9" s="727"/>
      <c r="AF9" s="727"/>
      <c r="AG9" s="727"/>
      <c r="AH9" s="727"/>
      <c r="AI9" s="727" t="str">
        <f>IF(AB8="","",VLOOKUP(AB8,BoonRef!$A$2:$Z$900,26,FALSE))</f>
        <v/>
      </c>
      <c r="AJ9" s="727"/>
      <c r="AK9" s="727"/>
      <c r="AL9" s="727"/>
      <c r="AM9" s="727"/>
      <c r="AN9" s="727"/>
      <c r="AO9" s="727"/>
      <c r="AP9" s="727"/>
      <c r="AQ9" s="727"/>
      <c r="AR9" s="727"/>
      <c r="AS9" s="727"/>
      <c r="AT9" s="727"/>
      <c r="AU9" s="727"/>
      <c r="AV9" s="727"/>
      <c r="AW9" s="727"/>
      <c r="AX9" s="727"/>
      <c r="AY9" s="727"/>
      <c r="AZ9" s="728"/>
      <c r="BB9" s="1041"/>
      <c r="BC9" s="1042"/>
      <c r="BD9" s="1042"/>
      <c r="BE9" s="1042"/>
      <c r="BF9" s="1043"/>
      <c r="BG9" s="1034"/>
      <c r="BH9" s="1035"/>
      <c r="BI9" s="753"/>
      <c r="BJ9" s="754"/>
      <c r="BK9" s="754"/>
      <c r="BL9" s="754"/>
      <c r="BM9" s="754"/>
      <c r="BN9" s="754"/>
      <c r="BO9" s="754"/>
      <c r="BP9" s="754"/>
      <c r="BQ9" s="754"/>
      <c r="BR9" s="754"/>
      <c r="BS9" s="754"/>
      <c r="BT9" s="754"/>
      <c r="BU9" s="754"/>
      <c r="BV9" s="754"/>
      <c r="BW9" s="754"/>
      <c r="BX9" s="754"/>
      <c r="BY9" s="754"/>
      <c r="BZ9" s="755"/>
      <c r="CB9" s="1041"/>
      <c r="CC9" s="1042"/>
      <c r="CD9" s="1042"/>
      <c r="CE9" s="1042"/>
      <c r="CF9" s="1043"/>
      <c r="CG9" s="1034"/>
      <c r="CH9" s="1035"/>
      <c r="CI9" s="753"/>
      <c r="CJ9" s="754"/>
      <c r="CK9" s="754"/>
      <c r="CL9" s="754"/>
      <c r="CM9" s="754"/>
      <c r="CN9" s="754"/>
      <c r="CO9" s="754"/>
      <c r="CP9" s="754"/>
      <c r="CQ9" s="754"/>
      <c r="CR9" s="754"/>
      <c r="CS9" s="754"/>
      <c r="CT9" s="754"/>
      <c r="CU9" s="754"/>
      <c r="CV9" s="754"/>
      <c r="CW9" s="754"/>
      <c r="CX9" s="754"/>
      <c r="CY9" s="754"/>
      <c r="CZ9" s="755"/>
    </row>
    <row r="10" spans="1:104" ht="15" customHeight="1" x14ac:dyDescent="0.25">
      <c r="B10" s="1026" t="str">
        <f>IF(B8="","",VLOOKUP(B8,BoonRef!$A$2:$Z$900,24,FALSE))</f>
        <v/>
      </c>
      <c r="C10" s="727"/>
      <c r="D10" s="727"/>
      <c r="E10" s="727"/>
      <c r="F10" s="727"/>
      <c r="G10" s="727"/>
      <c r="H10" s="727"/>
      <c r="I10" s="727"/>
      <c r="J10" s="727"/>
      <c r="K10" s="727"/>
      <c r="L10" s="727"/>
      <c r="M10" s="727"/>
      <c r="N10" s="727"/>
      <c r="O10" s="727"/>
      <c r="P10" s="727"/>
      <c r="Q10" s="727"/>
      <c r="R10" s="727"/>
      <c r="S10" s="727"/>
      <c r="T10" s="727"/>
      <c r="U10" s="727"/>
      <c r="V10" s="727"/>
      <c r="W10" s="727"/>
      <c r="X10" s="727"/>
      <c r="Y10" s="727"/>
      <c r="Z10" s="728"/>
      <c r="AB10" s="1026" t="str">
        <f>IF(AB8="","",VLOOKUP(AB8,BoonRef!$A$2:$Z$900,24,FALSE))</f>
        <v/>
      </c>
      <c r="AC10" s="727"/>
      <c r="AD10" s="727"/>
      <c r="AE10" s="727"/>
      <c r="AF10" s="727"/>
      <c r="AG10" s="727"/>
      <c r="AH10" s="727"/>
      <c r="AI10" s="727"/>
      <c r="AJ10" s="727"/>
      <c r="AK10" s="727"/>
      <c r="AL10" s="727"/>
      <c r="AM10" s="727"/>
      <c r="AN10" s="727"/>
      <c r="AO10" s="727"/>
      <c r="AP10" s="727"/>
      <c r="AQ10" s="727"/>
      <c r="AR10" s="727"/>
      <c r="AS10" s="727"/>
      <c r="AT10" s="727"/>
      <c r="AU10" s="727"/>
      <c r="AV10" s="727"/>
      <c r="AW10" s="727"/>
      <c r="AX10" s="727"/>
      <c r="AY10" s="727"/>
      <c r="AZ10" s="728"/>
      <c r="BB10" s="641" t="str">
        <f>IF(BB8="","",VLOOKUP(BB8,KanckRef!$A$1:$G$300,4,FALSE))</f>
        <v/>
      </c>
      <c r="BC10" s="642"/>
      <c r="BD10" s="642"/>
      <c r="BE10" s="642"/>
      <c r="BF10" s="642"/>
      <c r="BG10" s="642"/>
      <c r="BH10" s="1033"/>
      <c r="BI10" s="753"/>
      <c r="BJ10" s="754"/>
      <c r="BK10" s="754"/>
      <c r="BL10" s="754"/>
      <c r="BM10" s="754"/>
      <c r="BN10" s="754"/>
      <c r="BO10" s="754"/>
      <c r="BP10" s="754"/>
      <c r="BQ10" s="754"/>
      <c r="BR10" s="754"/>
      <c r="BS10" s="754"/>
      <c r="BT10" s="754"/>
      <c r="BU10" s="754"/>
      <c r="BV10" s="754"/>
      <c r="BW10" s="754"/>
      <c r="BX10" s="754"/>
      <c r="BY10" s="754"/>
      <c r="BZ10" s="755"/>
      <c r="CB10" s="641" t="str">
        <f>IF(CB8="","",VLOOKUP(CB8,KanckRef!$A$1:$G$300,4,FALSE))</f>
        <v/>
      </c>
      <c r="CC10" s="642"/>
      <c r="CD10" s="642"/>
      <c r="CE10" s="642"/>
      <c r="CF10" s="642"/>
      <c r="CG10" s="642"/>
      <c r="CH10" s="1033"/>
      <c r="CI10" s="753"/>
      <c r="CJ10" s="754"/>
      <c r="CK10" s="754"/>
      <c r="CL10" s="754"/>
      <c r="CM10" s="754"/>
      <c r="CN10" s="754"/>
      <c r="CO10" s="754"/>
      <c r="CP10" s="754"/>
      <c r="CQ10" s="754"/>
      <c r="CR10" s="754"/>
      <c r="CS10" s="754"/>
      <c r="CT10" s="754"/>
      <c r="CU10" s="754"/>
      <c r="CV10" s="754"/>
      <c r="CW10" s="754"/>
      <c r="CX10" s="754"/>
      <c r="CY10" s="754"/>
      <c r="CZ10" s="755"/>
    </row>
    <row r="11" spans="1:104" ht="15" customHeight="1" x14ac:dyDescent="0.25">
      <c r="B11" s="1026" t="str">
        <f>IF(B8="","",VLOOKUP(B8,BoonRef!$A$2:$Z$900,23,FALSE))</f>
        <v/>
      </c>
      <c r="C11" s="727"/>
      <c r="D11" s="727"/>
      <c r="E11" s="727"/>
      <c r="F11" s="727"/>
      <c r="G11" s="727"/>
      <c r="H11" s="727"/>
      <c r="I11" s="727"/>
      <c r="J11" s="727"/>
      <c r="K11" s="727"/>
      <c r="L11" s="727"/>
      <c r="M11" s="727"/>
      <c r="N11" s="727"/>
      <c r="O11" s="727"/>
      <c r="P11" s="727"/>
      <c r="Q11" s="727"/>
      <c r="R11" s="727"/>
      <c r="S11" s="727"/>
      <c r="T11" s="727"/>
      <c r="U11" s="727"/>
      <c r="V11" s="727"/>
      <c r="W11" s="727"/>
      <c r="X11" s="727"/>
      <c r="Y11" s="727"/>
      <c r="Z11" s="728"/>
      <c r="AB11" s="1026" t="str">
        <f>IF(AB8="","",VLOOKUP(AB8,BoonRef!$A$2:$Z$900,23,FALSE))</f>
        <v/>
      </c>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8"/>
      <c r="BB11" s="635"/>
      <c r="BC11" s="636"/>
      <c r="BD11" s="636"/>
      <c r="BE11" s="636"/>
      <c r="BF11" s="636"/>
      <c r="BG11" s="636"/>
      <c r="BH11" s="1036"/>
      <c r="BI11" s="753"/>
      <c r="BJ11" s="754"/>
      <c r="BK11" s="754"/>
      <c r="BL11" s="754"/>
      <c r="BM11" s="754"/>
      <c r="BN11" s="754"/>
      <c r="BO11" s="754"/>
      <c r="BP11" s="754"/>
      <c r="BQ11" s="754"/>
      <c r="BR11" s="754"/>
      <c r="BS11" s="754"/>
      <c r="BT11" s="754"/>
      <c r="BU11" s="754"/>
      <c r="BV11" s="754"/>
      <c r="BW11" s="754"/>
      <c r="BX11" s="754"/>
      <c r="BY11" s="754"/>
      <c r="BZ11" s="755"/>
      <c r="CB11" s="635"/>
      <c r="CC11" s="636"/>
      <c r="CD11" s="636"/>
      <c r="CE11" s="636"/>
      <c r="CF11" s="636"/>
      <c r="CG11" s="636"/>
      <c r="CH11" s="1036"/>
      <c r="CI11" s="753"/>
      <c r="CJ11" s="754"/>
      <c r="CK11" s="754"/>
      <c r="CL11" s="754"/>
      <c r="CM11" s="754"/>
      <c r="CN11" s="754"/>
      <c r="CO11" s="754"/>
      <c r="CP11" s="754"/>
      <c r="CQ11" s="754"/>
      <c r="CR11" s="754"/>
      <c r="CS11" s="754"/>
      <c r="CT11" s="754"/>
      <c r="CU11" s="754"/>
      <c r="CV11" s="754"/>
      <c r="CW11" s="754"/>
      <c r="CX11" s="754"/>
      <c r="CY11" s="754"/>
      <c r="CZ11" s="755"/>
    </row>
    <row r="12" spans="1:104" ht="15" customHeight="1" thickBot="1" x14ac:dyDescent="0.3">
      <c r="B12" s="1027"/>
      <c r="C12" s="865"/>
      <c r="D12" s="865"/>
      <c r="E12" s="865"/>
      <c r="F12" s="865"/>
      <c r="G12" s="865"/>
      <c r="H12" s="865"/>
      <c r="I12" s="865"/>
      <c r="J12" s="865"/>
      <c r="K12" s="865"/>
      <c r="L12" s="865"/>
      <c r="M12" s="865"/>
      <c r="N12" s="865"/>
      <c r="O12" s="865"/>
      <c r="P12" s="865"/>
      <c r="Q12" s="865"/>
      <c r="R12" s="865"/>
      <c r="S12" s="865"/>
      <c r="T12" s="865"/>
      <c r="U12" s="865"/>
      <c r="V12" s="865"/>
      <c r="W12" s="865"/>
      <c r="X12" s="865"/>
      <c r="Y12" s="865"/>
      <c r="Z12" s="921"/>
      <c r="AB12" s="1027"/>
      <c r="AC12" s="865"/>
      <c r="AD12" s="865"/>
      <c r="AE12" s="865"/>
      <c r="AF12" s="865"/>
      <c r="AG12" s="865"/>
      <c r="AH12" s="865"/>
      <c r="AI12" s="865"/>
      <c r="AJ12" s="865"/>
      <c r="AK12" s="865"/>
      <c r="AL12" s="865"/>
      <c r="AM12" s="865"/>
      <c r="AN12" s="865"/>
      <c r="AO12" s="865"/>
      <c r="AP12" s="865"/>
      <c r="AQ12" s="865"/>
      <c r="AR12" s="865"/>
      <c r="AS12" s="865"/>
      <c r="AT12" s="865"/>
      <c r="AU12" s="865"/>
      <c r="AV12" s="865"/>
      <c r="AW12" s="865"/>
      <c r="AX12" s="865"/>
      <c r="AY12" s="865"/>
      <c r="AZ12" s="921"/>
      <c r="BB12" s="644"/>
      <c r="BC12" s="645"/>
      <c r="BD12" s="645"/>
      <c r="BE12" s="645"/>
      <c r="BF12" s="645"/>
      <c r="BG12" s="645"/>
      <c r="BH12" s="1037"/>
      <c r="BI12" s="756"/>
      <c r="BJ12" s="757"/>
      <c r="BK12" s="757"/>
      <c r="BL12" s="757"/>
      <c r="BM12" s="757"/>
      <c r="BN12" s="757"/>
      <c r="BO12" s="757"/>
      <c r="BP12" s="757"/>
      <c r="BQ12" s="757"/>
      <c r="BR12" s="757"/>
      <c r="BS12" s="757"/>
      <c r="BT12" s="757"/>
      <c r="BU12" s="757"/>
      <c r="BV12" s="757"/>
      <c r="BW12" s="757"/>
      <c r="BX12" s="757"/>
      <c r="BY12" s="757"/>
      <c r="BZ12" s="758"/>
      <c r="CB12" s="644"/>
      <c r="CC12" s="645"/>
      <c r="CD12" s="645"/>
      <c r="CE12" s="645"/>
      <c r="CF12" s="645"/>
      <c r="CG12" s="645"/>
      <c r="CH12" s="1037"/>
      <c r="CI12" s="756"/>
      <c r="CJ12" s="757"/>
      <c r="CK12" s="757"/>
      <c r="CL12" s="757"/>
      <c r="CM12" s="757"/>
      <c r="CN12" s="757"/>
      <c r="CO12" s="757"/>
      <c r="CP12" s="757"/>
      <c r="CQ12" s="757"/>
      <c r="CR12" s="757"/>
      <c r="CS12" s="757"/>
      <c r="CT12" s="757"/>
      <c r="CU12" s="757"/>
      <c r="CV12" s="757"/>
      <c r="CW12" s="757"/>
      <c r="CX12" s="757"/>
      <c r="CY12" s="757"/>
      <c r="CZ12" s="758"/>
    </row>
    <row r="13" spans="1:104" ht="15" customHeight="1" x14ac:dyDescent="0.25">
      <c r="B13" s="1028" t="str">
        <f>IF(B14="","",VLOOKUP(B14,BoonRef!$A$2:$Z$900,2,FALSE))</f>
        <v/>
      </c>
      <c r="C13" s="725"/>
      <c r="D13" s="725"/>
      <c r="E13" s="725"/>
      <c r="F13" s="725"/>
      <c r="G13" s="725"/>
      <c r="H13" s="725"/>
      <c r="I13" s="725" t="str">
        <f>IF(B14="","",VLOOKUP(B14,BoonRef!$A$2:$Z$900,3,FALSE))</f>
        <v/>
      </c>
      <c r="J13" s="725"/>
      <c r="K13" s="725" t="str">
        <f>IF(B14="","",VLOOKUP(B14,DescRef!$A$2:$B$900,2,FALSE))</f>
        <v/>
      </c>
      <c r="L13" s="725"/>
      <c r="M13" s="725"/>
      <c r="N13" s="725"/>
      <c r="O13" s="725"/>
      <c r="P13" s="725"/>
      <c r="Q13" s="725"/>
      <c r="R13" s="725"/>
      <c r="S13" s="725"/>
      <c r="T13" s="725"/>
      <c r="U13" s="725"/>
      <c r="V13" s="725"/>
      <c r="W13" s="725"/>
      <c r="X13" s="725"/>
      <c r="Y13" s="725"/>
      <c r="Z13" s="726"/>
      <c r="AB13" s="1028" t="str">
        <f>IF(AB14="","",VLOOKUP(AB14,BoonRef!$A$2:$Z$900,2,FALSE))</f>
        <v/>
      </c>
      <c r="AC13" s="725"/>
      <c r="AD13" s="725"/>
      <c r="AE13" s="725"/>
      <c r="AF13" s="725"/>
      <c r="AG13" s="725"/>
      <c r="AH13" s="725"/>
      <c r="AI13" s="725" t="str">
        <f>IF(AB14="","",VLOOKUP(AB14,BoonRef!$A$2:$Z$900,3,FALSE))</f>
        <v/>
      </c>
      <c r="AJ13" s="725"/>
      <c r="AK13" s="725" t="str">
        <f>IF(AB14="","",VLOOKUP(AB14,DescRef!$A$2:$B$900,2,FALSE))</f>
        <v/>
      </c>
      <c r="AL13" s="725"/>
      <c r="AM13" s="725"/>
      <c r="AN13" s="725"/>
      <c r="AO13" s="725"/>
      <c r="AP13" s="725"/>
      <c r="AQ13" s="725"/>
      <c r="AR13" s="725"/>
      <c r="AS13" s="725"/>
      <c r="AT13" s="725"/>
      <c r="AU13" s="725"/>
      <c r="AV13" s="725"/>
      <c r="AW13" s="725"/>
      <c r="AX13" s="725"/>
      <c r="AY13" s="725"/>
      <c r="AZ13" s="726"/>
      <c r="BB13" s="1029" t="str">
        <f>IF(BB14="","",VLOOKUP(BB14,KanckRef!$A$1:$G$300,2,FALSE))</f>
        <v/>
      </c>
      <c r="BC13" s="1030"/>
      <c r="BD13" s="1030"/>
      <c r="BE13" s="1030"/>
      <c r="BF13" s="1031"/>
      <c r="BG13" s="1048" t="str">
        <f>IF(BB14="","",VLOOKUP(BB14,KanckRef!$A$1:$G$300,6,FALSE))</f>
        <v/>
      </c>
      <c r="BH13" s="1049"/>
      <c r="BI13" s="988" t="str">
        <f>IF(BB14="","",VLOOKUP(BB14,DescRef!$D$2:$E$300,2,FALSE))</f>
        <v/>
      </c>
      <c r="BJ13" s="795"/>
      <c r="BK13" s="795"/>
      <c r="BL13" s="795"/>
      <c r="BM13" s="795"/>
      <c r="BN13" s="795"/>
      <c r="BO13" s="795"/>
      <c r="BP13" s="795"/>
      <c r="BQ13" s="795"/>
      <c r="BR13" s="795"/>
      <c r="BS13" s="795"/>
      <c r="BT13" s="795"/>
      <c r="BU13" s="795"/>
      <c r="BV13" s="795"/>
      <c r="BW13" s="795"/>
      <c r="BX13" s="795"/>
      <c r="BY13" s="795"/>
      <c r="BZ13" s="796"/>
      <c r="CB13" s="1029" t="str">
        <f>IF(CB14="","",VLOOKUP(CB14,KanckRef!$A$1:$G$300,2,FALSE))</f>
        <v/>
      </c>
      <c r="CC13" s="1030"/>
      <c r="CD13" s="1030"/>
      <c r="CE13" s="1030"/>
      <c r="CF13" s="1031"/>
      <c r="CG13" s="1048" t="str">
        <f>IF(CB14="","",VLOOKUP(CB14,KanckRef!$A$1:$G$300,6,FALSE))</f>
        <v/>
      </c>
      <c r="CH13" s="1049"/>
      <c r="CI13" s="988" t="str">
        <f>IF(CB14="","",VLOOKUP(CB14,DescRef!$D$2:$E$300,2,FALSE))</f>
        <v/>
      </c>
      <c r="CJ13" s="795"/>
      <c r="CK13" s="795"/>
      <c r="CL13" s="795"/>
      <c r="CM13" s="795"/>
      <c r="CN13" s="795"/>
      <c r="CO13" s="795"/>
      <c r="CP13" s="795"/>
      <c r="CQ13" s="795"/>
      <c r="CR13" s="795"/>
      <c r="CS13" s="795"/>
      <c r="CT13" s="795"/>
      <c r="CU13" s="795"/>
      <c r="CV13" s="795"/>
      <c r="CW13" s="795"/>
      <c r="CX13" s="795"/>
      <c r="CY13" s="795"/>
      <c r="CZ13" s="796"/>
    </row>
    <row r="14" spans="1:104" ht="15" customHeight="1" x14ac:dyDescent="0.25">
      <c r="A14" s="15">
        <v>2</v>
      </c>
      <c r="B14" s="1026" t="str">
        <f>IF(A14&lt;'Purchased Boons'!$B$496,VLOOKUP(A14,'Purchased Boons'!$BF$2:$BG$900,2,FALSE),"")</f>
        <v/>
      </c>
      <c r="C14" s="727"/>
      <c r="D14" s="727"/>
      <c r="E14" s="727"/>
      <c r="F14" s="727"/>
      <c r="G14" s="727"/>
      <c r="H14" s="727"/>
      <c r="I14" s="727" t="str">
        <f>IF(B14="","",VLOOKUP(B14,BoonRef!$A$2:$Z$900,25,FALSE))</f>
        <v/>
      </c>
      <c r="J14" s="727"/>
      <c r="K14" s="727"/>
      <c r="L14" s="727"/>
      <c r="M14" s="727"/>
      <c r="N14" s="727"/>
      <c r="O14" s="727"/>
      <c r="P14" s="727"/>
      <c r="Q14" s="727"/>
      <c r="R14" s="727"/>
      <c r="S14" s="727"/>
      <c r="T14" s="727"/>
      <c r="U14" s="727"/>
      <c r="V14" s="727"/>
      <c r="W14" s="727"/>
      <c r="X14" s="727"/>
      <c r="Y14" s="727"/>
      <c r="Z14" s="728"/>
      <c r="AA14" s="15">
        <v>109</v>
      </c>
      <c r="AB14" s="1026" t="str">
        <f>IF(AA14&lt;'Purchased Boons'!$B$496,VLOOKUP(AA14,'Purchased Boons'!$BF$2:$BG$900,2,FALSE),"")</f>
        <v/>
      </c>
      <c r="AC14" s="727"/>
      <c r="AD14" s="727"/>
      <c r="AE14" s="727"/>
      <c r="AF14" s="727"/>
      <c r="AG14" s="727"/>
      <c r="AH14" s="727"/>
      <c r="AI14" s="727" t="str">
        <f>IF(AB14="","",VLOOKUP(AB14,BoonRef!$A$2:$Z$900,25,FALSE))</f>
        <v/>
      </c>
      <c r="AJ14" s="727"/>
      <c r="AK14" s="727"/>
      <c r="AL14" s="727"/>
      <c r="AM14" s="727"/>
      <c r="AN14" s="727"/>
      <c r="AO14" s="727"/>
      <c r="AP14" s="727"/>
      <c r="AQ14" s="727"/>
      <c r="AR14" s="727"/>
      <c r="AS14" s="727"/>
      <c r="AT14" s="727"/>
      <c r="AU14" s="727"/>
      <c r="AV14" s="727"/>
      <c r="AW14" s="727"/>
      <c r="AX14" s="727"/>
      <c r="AY14" s="727"/>
      <c r="AZ14" s="728"/>
      <c r="BA14" s="15">
        <v>2</v>
      </c>
      <c r="BB14" s="1038" t="str">
        <f>IF(BA14&lt;'Purchased Knacks'!A$192,VLOOKUP(BA14,'Purchased Knacks'!$A$4:$E$300,3,FALSE),"")</f>
        <v/>
      </c>
      <c r="BC14" s="1039"/>
      <c r="BD14" s="1039"/>
      <c r="BE14" s="1039"/>
      <c r="BF14" s="1040"/>
      <c r="BG14" s="1032" t="str">
        <f>IF(BB14="","",VLOOKUP(BB14,KanckRef!$A$1:$G$300,7,FALSE))</f>
        <v/>
      </c>
      <c r="BH14" s="1033"/>
      <c r="BI14" s="753"/>
      <c r="BJ14" s="754"/>
      <c r="BK14" s="754"/>
      <c r="BL14" s="754"/>
      <c r="BM14" s="754"/>
      <c r="BN14" s="754"/>
      <c r="BO14" s="754"/>
      <c r="BP14" s="754"/>
      <c r="BQ14" s="754"/>
      <c r="BR14" s="754"/>
      <c r="BS14" s="754"/>
      <c r="BT14" s="754"/>
      <c r="BU14" s="754"/>
      <c r="BV14" s="754"/>
      <c r="BW14" s="754"/>
      <c r="BX14" s="754"/>
      <c r="BY14" s="754"/>
      <c r="BZ14" s="755"/>
      <c r="CA14" s="15">
        <v>109</v>
      </c>
      <c r="CB14" s="1038" t="str">
        <f>IF(CA14&lt;'Purchased Knacks'!A$192,VLOOKUP(CA14,'Purchased Knacks'!$A$4:$E$300,3,FALSE),"")</f>
        <v/>
      </c>
      <c r="CC14" s="1039"/>
      <c r="CD14" s="1039"/>
      <c r="CE14" s="1039"/>
      <c r="CF14" s="1040"/>
      <c r="CG14" s="1032" t="str">
        <f>IF(CB14="","",VLOOKUP(CB14,KanckRef!$A$1:$G$300,7,FALSE))</f>
        <v/>
      </c>
      <c r="CH14" s="1033"/>
      <c r="CI14" s="753"/>
      <c r="CJ14" s="754"/>
      <c r="CK14" s="754"/>
      <c r="CL14" s="754"/>
      <c r="CM14" s="754"/>
      <c r="CN14" s="754"/>
      <c r="CO14" s="754"/>
      <c r="CP14" s="754"/>
      <c r="CQ14" s="754"/>
      <c r="CR14" s="754"/>
      <c r="CS14" s="754"/>
      <c r="CT14" s="754"/>
      <c r="CU14" s="754"/>
      <c r="CV14" s="754"/>
      <c r="CW14" s="754"/>
      <c r="CX14" s="754"/>
      <c r="CY14" s="754"/>
      <c r="CZ14" s="755"/>
    </row>
    <row r="15" spans="1:104" ht="15" customHeight="1" x14ac:dyDescent="0.25">
      <c r="B15" s="1026"/>
      <c r="C15" s="727"/>
      <c r="D15" s="727"/>
      <c r="E15" s="727"/>
      <c r="F15" s="727"/>
      <c r="G15" s="727"/>
      <c r="H15" s="727"/>
      <c r="I15" s="727" t="str">
        <f>IF(B14="","",VLOOKUP(B14,BoonRef!$A$2:$Z$900,26,FALSE))</f>
        <v/>
      </c>
      <c r="J15" s="727"/>
      <c r="K15" s="727"/>
      <c r="L15" s="727"/>
      <c r="M15" s="727"/>
      <c r="N15" s="727"/>
      <c r="O15" s="727"/>
      <c r="P15" s="727"/>
      <c r="Q15" s="727"/>
      <c r="R15" s="727"/>
      <c r="S15" s="727"/>
      <c r="T15" s="727"/>
      <c r="U15" s="727"/>
      <c r="V15" s="727"/>
      <c r="W15" s="727"/>
      <c r="X15" s="727"/>
      <c r="Y15" s="727"/>
      <c r="Z15" s="728"/>
      <c r="AB15" s="1026"/>
      <c r="AC15" s="727"/>
      <c r="AD15" s="727"/>
      <c r="AE15" s="727"/>
      <c r="AF15" s="727"/>
      <c r="AG15" s="727"/>
      <c r="AH15" s="727"/>
      <c r="AI15" s="727" t="str">
        <f>IF(AB14="","",VLOOKUP(AB14,BoonRef!$A$2:$Z$900,26,FALSE))</f>
        <v/>
      </c>
      <c r="AJ15" s="727"/>
      <c r="AK15" s="727"/>
      <c r="AL15" s="727"/>
      <c r="AM15" s="727"/>
      <c r="AN15" s="727"/>
      <c r="AO15" s="727"/>
      <c r="AP15" s="727"/>
      <c r="AQ15" s="727"/>
      <c r="AR15" s="727"/>
      <c r="AS15" s="727"/>
      <c r="AT15" s="727"/>
      <c r="AU15" s="727"/>
      <c r="AV15" s="727"/>
      <c r="AW15" s="727"/>
      <c r="AX15" s="727"/>
      <c r="AY15" s="727"/>
      <c r="AZ15" s="728"/>
      <c r="BB15" s="1041"/>
      <c r="BC15" s="1042"/>
      <c r="BD15" s="1042"/>
      <c r="BE15" s="1042"/>
      <c r="BF15" s="1043"/>
      <c r="BG15" s="1034"/>
      <c r="BH15" s="1035"/>
      <c r="BI15" s="753"/>
      <c r="BJ15" s="754"/>
      <c r="BK15" s="754"/>
      <c r="BL15" s="754"/>
      <c r="BM15" s="754"/>
      <c r="BN15" s="754"/>
      <c r="BO15" s="754"/>
      <c r="BP15" s="754"/>
      <c r="BQ15" s="754"/>
      <c r="BR15" s="754"/>
      <c r="BS15" s="754"/>
      <c r="BT15" s="754"/>
      <c r="BU15" s="754"/>
      <c r="BV15" s="754"/>
      <c r="BW15" s="754"/>
      <c r="BX15" s="754"/>
      <c r="BY15" s="754"/>
      <c r="BZ15" s="755"/>
      <c r="CB15" s="1041"/>
      <c r="CC15" s="1042"/>
      <c r="CD15" s="1042"/>
      <c r="CE15" s="1042"/>
      <c r="CF15" s="1043"/>
      <c r="CG15" s="1034"/>
      <c r="CH15" s="1035"/>
      <c r="CI15" s="753"/>
      <c r="CJ15" s="754"/>
      <c r="CK15" s="754"/>
      <c r="CL15" s="754"/>
      <c r="CM15" s="754"/>
      <c r="CN15" s="754"/>
      <c r="CO15" s="754"/>
      <c r="CP15" s="754"/>
      <c r="CQ15" s="754"/>
      <c r="CR15" s="754"/>
      <c r="CS15" s="754"/>
      <c r="CT15" s="754"/>
      <c r="CU15" s="754"/>
      <c r="CV15" s="754"/>
      <c r="CW15" s="754"/>
      <c r="CX15" s="754"/>
      <c r="CY15" s="754"/>
      <c r="CZ15" s="755"/>
    </row>
    <row r="16" spans="1:104" ht="15" customHeight="1" x14ac:dyDescent="0.25">
      <c r="B16" s="1026" t="str">
        <f>IF(B14="","",VLOOKUP(B14,BoonRef!$A$2:$Z$900,24,FALSE))</f>
        <v/>
      </c>
      <c r="C16" s="727"/>
      <c r="D16" s="727"/>
      <c r="E16" s="727"/>
      <c r="F16" s="727"/>
      <c r="G16" s="727"/>
      <c r="H16" s="727"/>
      <c r="I16" s="727"/>
      <c r="J16" s="727"/>
      <c r="K16" s="727"/>
      <c r="L16" s="727"/>
      <c r="M16" s="727"/>
      <c r="N16" s="727"/>
      <c r="O16" s="727"/>
      <c r="P16" s="727"/>
      <c r="Q16" s="727"/>
      <c r="R16" s="727"/>
      <c r="S16" s="727"/>
      <c r="T16" s="727"/>
      <c r="U16" s="727"/>
      <c r="V16" s="727"/>
      <c r="W16" s="727"/>
      <c r="X16" s="727"/>
      <c r="Y16" s="727"/>
      <c r="Z16" s="728"/>
      <c r="AB16" s="1026" t="str">
        <f>IF(AB14="","",VLOOKUP(AB14,BoonRef!$A$2:$Z$900,24,FALSE))</f>
        <v/>
      </c>
      <c r="AC16" s="727"/>
      <c r="AD16" s="727"/>
      <c r="AE16" s="727"/>
      <c r="AF16" s="727"/>
      <c r="AG16" s="727"/>
      <c r="AH16" s="727"/>
      <c r="AI16" s="727"/>
      <c r="AJ16" s="727"/>
      <c r="AK16" s="727"/>
      <c r="AL16" s="727"/>
      <c r="AM16" s="727"/>
      <c r="AN16" s="727"/>
      <c r="AO16" s="727"/>
      <c r="AP16" s="727"/>
      <c r="AQ16" s="727"/>
      <c r="AR16" s="727"/>
      <c r="AS16" s="727"/>
      <c r="AT16" s="727"/>
      <c r="AU16" s="727"/>
      <c r="AV16" s="727"/>
      <c r="AW16" s="727"/>
      <c r="AX16" s="727"/>
      <c r="AY16" s="727"/>
      <c r="AZ16" s="728"/>
      <c r="BB16" s="641" t="str">
        <f>IF(BB14="","",VLOOKUP(BB14,KanckRef!$A$1:$G$300,4,FALSE))</f>
        <v/>
      </c>
      <c r="BC16" s="642"/>
      <c r="BD16" s="642"/>
      <c r="BE16" s="642"/>
      <c r="BF16" s="642"/>
      <c r="BG16" s="642"/>
      <c r="BH16" s="1033"/>
      <c r="BI16" s="753"/>
      <c r="BJ16" s="754"/>
      <c r="BK16" s="754"/>
      <c r="BL16" s="754"/>
      <c r="BM16" s="754"/>
      <c r="BN16" s="754"/>
      <c r="BO16" s="754"/>
      <c r="BP16" s="754"/>
      <c r="BQ16" s="754"/>
      <c r="BR16" s="754"/>
      <c r="BS16" s="754"/>
      <c r="BT16" s="754"/>
      <c r="BU16" s="754"/>
      <c r="BV16" s="754"/>
      <c r="BW16" s="754"/>
      <c r="BX16" s="754"/>
      <c r="BY16" s="754"/>
      <c r="BZ16" s="755"/>
      <c r="CB16" s="641" t="str">
        <f>IF(CB14="","",VLOOKUP(CB14,KanckRef!$A$1:$G$300,4,FALSE))</f>
        <v/>
      </c>
      <c r="CC16" s="642"/>
      <c r="CD16" s="642"/>
      <c r="CE16" s="642"/>
      <c r="CF16" s="642"/>
      <c r="CG16" s="642"/>
      <c r="CH16" s="1033"/>
      <c r="CI16" s="753"/>
      <c r="CJ16" s="754"/>
      <c r="CK16" s="754"/>
      <c r="CL16" s="754"/>
      <c r="CM16" s="754"/>
      <c r="CN16" s="754"/>
      <c r="CO16" s="754"/>
      <c r="CP16" s="754"/>
      <c r="CQ16" s="754"/>
      <c r="CR16" s="754"/>
      <c r="CS16" s="754"/>
      <c r="CT16" s="754"/>
      <c r="CU16" s="754"/>
      <c r="CV16" s="754"/>
      <c r="CW16" s="754"/>
      <c r="CX16" s="754"/>
      <c r="CY16" s="754"/>
      <c r="CZ16" s="755"/>
    </row>
    <row r="17" spans="1:104" ht="15" customHeight="1" x14ac:dyDescent="0.25">
      <c r="B17" s="1026" t="str">
        <f>IF(B14="","",VLOOKUP(B14,BoonRef!$A$2:$Z$900,23,FALSE))</f>
        <v/>
      </c>
      <c r="C17" s="727"/>
      <c r="D17" s="727"/>
      <c r="E17" s="727"/>
      <c r="F17" s="727"/>
      <c r="G17" s="727"/>
      <c r="H17" s="727"/>
      <c r="I17" s="727"/>
      <c r="J17" s="727"/>
      <c r="K17" s="727"/>
      <c r="L17" s="727"/>
      <c r="M17" s="727"/>
      <c r="N17" s="727"/>
      <c r="O17" s="727"/>
      <c r="P17" s="727"/>
      <c r="Q17" s="727"/>
      <c r="R17" s="727"/>
      <c r="S17" s="727"/>
      <c r="T17" s="727"/>
      <c r="U17" s="727"/>
      <c r="V17" s="727"/>
      <c r="W17" s="727"/>
      <c r="X17" s="727"/>
      <c r="Y17" s="727"/>
      <c r="Z17" s="728"/>
      <c r="AB17" s="1026" t="str">
        <f>IF(AB14="","",VLOOKUP(AB14,BoonRef!$A$2:$Z$900,23,FALSE))</f>
        <v/>
      </c>
      <c r="AC17" s="727"/>
      <c r="AD17" s="727"/>
      <c r="AE17" s="727"/>
      <c r="AF17" s="727"/>
      <c r="AG17" s="727"/>
      <c r="AH17" s="727"/>
      <c r="AI17" s="727"/>
      <c r="AJ17" s="727"/>
      <c r="AK17" s="727"/>
      <c r="AL17" s="727"/>
      <c r="AM17" s="727"/>
      <c r="AN17" s="727"/>
      <c r="AO17" s="727"/>
      <c r="AP17" s="727"/>
      <c r="AQ17" s="727"/>
      <c r="AR17" s="727"/>
      <c r="AS17" s="727"/>
      <c r="AT17" s="727"/>
      <c r="AU17" s="727"/>
      <c r="AV17" s="727"/>
      <c r="AW17" s="727"/>
      <c r="AX17" s="727"/>
      <c r="AY17" s="727"/>
      <c r="AZ17" s="728"/>
      <c r="BB17" s="635"/>
      <c r="BC17" s="636"/>
      <c r="BD17" s="636"/>
      <c r="BE17" s="636"/>
      <c r="BF17" s="636"/>
      <c r="BG17" s="636"/>
      <c r="BH17" s="1036"/>
      <c r="BI17" s="753"/>
      <c r="BJ17" s="754"/>
      <c r="BK17" s="754"/>
      <c r="BL17" s="754"/>
      <c r="BM17" s="754"/>
      <c r="BN17" s="754"/>
      <c r="BO17" s="754"/>
      <c r="BP17" s="754"/>
      <c r="BQ17" s="754"/>
      <c r="BR17" s="754"/>
      <c r="BS17" s="754"/>
      <c r="BT17" s="754"/>
      <c r="BU17" s="754"/>
      <c r="BV17" s="754"/>
      <c r="BW17" s="754"/>
      <c r="BX17" s="754"/>
      <c r="BY17" s="754"/>
      <c r="BZ17" s="755"/>
      <c r="CB17" s="635"/>
      <c r="CC17" s="636"/>
      <c r="CD17" s="636"/>
      <c r="CE17" s="636"/>
      <c r="CF17" s="636"/>
      <c r="CG17" s="636"/>
      <c r="CH17" s="1036"/>
      <c r="CI17" s="753"/>
      <c r="CJ17" s="754"/>
      <c r="CK17" s="754"/>
      <c r="CL17" s="754"/>
      <c r="CM17" s="754"/>
      <c r="CN17" s="754"/>
      <c r="CO17" s="754"/>
      <c r="CP17" s="754"/>
      <c r="CQ17" s="754"/>
      <c r="CR17" s="754"/>
      <c r="CS17" s="754"/>
      <c r="CT17" s="754"/>
      <c r="CU17" s="754"/>
      <c r="CV17" s="754"/>
      <c r="CW17" s="754"/>
      <c r="CX17" s="754"/>
      <c r="CY17" s="754"/>
      <c r="CZ17" s="755"/>
    </row>
    <row r="18" spans="1:104" ht="15" customHeight="1" thickBot="1" x14ac:dyDescent="0.3">
      <c r="B18" s="1027"/>
      <c r="C18" s="865"/>
      <c r="D18" s="865"/>
      <c r="E18" s="865"/>
      <c r="F18" s="865"/>
      <c r="G18" s="865"/>
      <c r="H18" s="865"/>
      <c r="I18" s="865"/>
      <c r="J18" s="865"/>
      <c r="K18" s="865"/>
      <c r="L18" s="865"/>
      <c r="M18" s="865"/>
      <c r="N18" s="865"/>
      <c r="O18" s="865"/>
      <c r="P18" s="865"/>
      <c r="Q18" s="865"/>
      <c r="R18" s="865"/>
      <c r="S18" s="865"/>
      <c r="T18" s="865"/>
      <c r="U18" s="865"/>
      <c r="V18" s="865"/>
      <c r="W18" s="865"/>
      <c r="X18" s="865"/>
      <c r="Y18" s="865"/>
      <c r="Z18" s="921"/>
      <c r="AB18" s="1027"/>
      <c r="AC18" s="865"/>
      <c r="AD18" s="865"/>
      <c r="AE18" s="865"/>
      <c r="AF18" s="865"/>
      <c r="AG18" s="865"/>
      <c r="AH18" s="865"/>
      <c r="AI18" s="865"/>
      <c r="AJ18" s="865"/>
      <c r="AK18" s="865"/>
      <c r="AL18" s="865"/>
      <c r="AM18" s="865"/>
      <c r="AN18" s="865"/>
      <c r="AO18" s="865"/>
      <c r="AP18" s="865"/>
      <c r="AQ18" s="865"/>
      <c r="AR18" s="865"/>
      <c r="AS18" s="865"/>
      <c r="AT18" s="865"/>
      <c r="AU18" s="865"/>
      <c r="AV18" s="865"/>
      <c r="AW18" s="865"/>
      <c r="AX18" s="865"/>
      <c r="AY18" s="865"/>
      <c r="AZ18" s="921"/>
      <c r="BB18" s="644"/>
      <c r="BC18" s="645"/>
      <c r="BD18" s="645"/>
      <c r="BE18" s="645"/>
      <c r="BF18" s="645"/>
      <c r="BG18" s="645"/>
      <c r="BH18" s="1037"/>
      <c r="BI18" s="756"/>
      <c r="BJ18" s="757"/>
      <c r="BK18" s="757"/>
      <c r="BL18" s="757"/>
      <c r="BM18" s="757"/>
      <c r="BN18" s="757"/>
      <c r="BO18" s="757"/>
      <c r="BP18" s="757"/>
      <c r="BQ18" s="757"/>
      <c r="BR18" s="757"/>
      <c r="BS18" s="757"/>
      <c r="BT18" s="757"/>
      <c r="BU18" s="757"/>
      <c r="BV18" s="757"/>
      <c r="BW18" s="757"/>
      <c r="BX18" s="757"/>
      <c r="BY18" s="757"/>
      <c r="BZ18" s="758"/>
      <c r="CB18" s="644"/>
      <c r="CC18" s="645"/>
      <c r="CD18" s="645"/>
      <c r="CE18" s="645"/>
      <c r="CF18" s="645"/>
      <c r="CG18" s="645"/>
      <c r="CH18" s="1037"/>
      <c r="CI18" s="756"/>
      <c r="CJ18" s="757"/>
      <c r="CK18" s="757"/>
      <c r="CL18" s="757"/>
      <c r="CM18" s="757"/>
      <c r="CN18" s="757"/>
      <c r="CO18" s="757"/>
      <c r="CP18" s="757"/>
      <c r="CQ18" s="757"/>
      <c r="CR18" s="757"/>
      <c r="CS18" s="757"/>
      <c r="CT18" s="757"/>
      <c r="CU18" s="757"/>
      <c r="CV18" s="757"/>
      <c r="CW18" s="757"/>
      <c r="CX18" s="757"/>
      <c r="CY18" s="757"/>
      <c r="CZ18" s="758"/>
    </row>
    <row r="19" spans="1:104" ht="15" customHeight="1" x14ac:dyDescent="0.25">
      <c r="B19" s="1028" t="str">
        <f>IF(B20="","",VLOOKUP(B20,BoonRef!$A$2:$Z$900,2,FALSE))</f>
        <v/>
      </c>
      <c r="C19" s="725"/>
      <c r="D19" s="725"/>
      <c r="E19" s="725"/>
      <c r="F19" s="725"/>
      <c r="G19" s="725"/>
      <c r="H19" s="725"/>
      <c r="I19" s="725" t="str">
        <f>IF(B20="","",VLOOKUP(B20,BoonRef!$A$2:$Z$900,3,FALSE))</f>
        <v/>
      </c>
      <c r="J19" s="725"/>
      <c r="K19" s="725" t="str">
        <f>IF(B20="","",VLOOKUP(B20,DescRef!$A$2:$B$900,2,FALSE))</f>
        <v/>
      </c>
      <c r="L19" s="725"/>
      <c r="M19" s="725"/>
      <c r="N19" s="725"/>
      <c r="O19" s="725"/>
      <c r="P19" s="725"/>
      <c r="Q19" s="725"/>
      <c r="R19" s="725"/>
      <c r="S19" s="725"/>
      <c r="T19" s="725"/>
      <c r="U19" s="725"/>
      <c r="V19" s="725"/>
      <c r="W19" s="725"/>
      <c r="X19" s="725"/>
      <c r="Y19" s="725"/>
      <c r="Z19" s="726"/>
      <c r="AB19" s="1028" t="str">
        <f>IF(AB20="","",VLOOKUP(AB20,BoonRef!$A$2:$Z$900,2,FALSE))</f>
        <v/>
      </c>
      <c r="AC19" s="725"/>
      <c r="AD19" s="725"/>
      <c r="AE19" s="725"/>
      <c r="AF19" s="725"/>
      <c r="AG19" s="725"/>
      <c r="AH19" s="725"/>
      <c r="AI19" s="725" t="str">
        <f>IF(AB20="","",VLOOKUP(AB20,BoonRef!$A$2:$Z$900,3,FALSE))</f>
        <v/>
      </c>
      <c r="AJ19" s="725"/>
      <c r="AK19" s="725" t="str">
        <f>IF(AB20="","",VLOOKUP(AB20,DescRef!$A$2:$B$900,2,FALSE))</f>
        <v/>
      </c>
      <c r="AL19" s="725"/>
      <c r="AM19" s="725"/>
      <c r="AN19" s="725"/>
      <c r="AO19" s="725"/>
      <c r="AP19" s="725"/>
      <c r="AQ19" s="725"/>
      <c r="AR19" s="725"/>
      <c r="AS19" s="725"/>
      <c r="AT19" s="725"/>
      <c r="AU19" s="725"/>
      <c r="AV19" s="725"/>
      <c r="AW19" s="725"/>
      <c r="AX19" s="725"/>
      <c r="AY19" s="725"/>
      <c r="AZ19" s="726"/>
      <c r="BB19" s="1029" t="str">
        <f>IF(BB20="","",VLOOKUP(BB20,KanckRef!$A$1:$G$300,2,FALSE))</f>
        <v/>
      </c>
      <c r="BC19" s="1030"/>
      <c r="BD19" s="1030"/>
      <c r="BE19" s="1030"/>
      <c r="BF19" s="1031"/>
      <c r="BG19" s="1048" t="str">
        <f>IF(BB20="","",VLOOKUP(BB20,KanckRef!$A$1:$G$300,6,FALSE))</f>
        <v/>
      </c>
      <c r="BH19" s="1049"/>
      <c r="BI19" s="988" t="str">
        <f>IF(BB20="","",VLOOKUP(BB20,DescRef!$D$2:$E$300,2,FALSE))</f>
        <v/>
      </c>
      <c r="BJ19" s="795"/>
      <c r="BK19" s="795"/>
      <c r="BL19" s="795"/>
      <c r="BM19" s="795"/>
      <c r="BN19" s="795"/>
      <c r="BO19" s="795"/>
      <c r="BP19" s="795"/>
      <c r="BQ19" s="795"/>
      <c r="BR19" s="795"/>
      <c r="BS19" s="795"/>
      <c r="BT19" s="795"/>
      <c r="BU19" s="795"/>
      <c r="BV19" s="795"/>
      <c r="BW19" s="795"/>
      <c r="BX19" s="795"/>
      <c r="BY19" s="795"/>
      <c r="BZ19" s="796"/>
      <c r="CB19" s="1029" t="str">
        <f>IF(CB20="","",VLOOKUP(CB20,KanckRef!$A$1:$G$300,2,FALSE))</f>
        <v/>
      </c>
      <c r="CC19" s="1030"/>
      <c r="CD19" s="1030"/>
      <c r="CE19" s="1030"/>
      <c r="CF19" s="1031"/>
      <c r="CG19" s="1048" t="str">
        <f>IF(CB20="","",VLOOKUP(CB20,KanckRef!$A$1:$G$300,6,FALSE))</f>
        <v/>
      </c>
      <c r="CH19" s="1049"/>
      <c r="CI19" s="988" t="str">
        <f>IF(CB20="","",VLOOKUP(CB20,DescRef!$D$2:$E$300,2,FALSE))</f>
        <v/>
      </c>
      <c r="CJ19" s="795"/>
      <c r="CK19" s="795"/>
      <c r="CL19" s="795"/>
      <c r="CM19" s="795"/>
      <c r="CN19" s="795"/>
      <c r="CO19" s="795"/>
      <c r="CP19" s="795"/>
      <c r="CQ19" s="795"/>
      <c r="CR19" s="795"/>
      <c r="CS19" s="795"/>
      <c r="CT19" s="795"/>
      <c r="CU19" s="795"/>
      <c r="CV19" s="795"/>
      <c r="CW19" s="795"/>
      <c r="CX19" s="795"/>
      <c r="CY19" s="795"/>
      <c r="CZ19" s="796"/>
    </row>
    <row r="20" spans="1:104" ht="15" customHeight="1" x14ac:dyDescent="0.25">
      <c r="A20" s="15">
        <v>3</v>
      </c>
      <c r="B20" s="1026" t="str">
        <f>IF(A20&lt;'Purchased Boons'!$B$496,VLOOKUP(A20,'Purchased Boons'!$BF$2:$BG$900,2,FALSE),"")</f>
        <v/>
      </c>
      <c r="C20" s="727"/>
      <c r="D20" s="727"/>
      <c r="E20" s="727"/>
      <c r="F20" s="727"/>
      <c r="G20" s="727"/>
      <c r="H20" s="727"/>
      <c r="I20" s="727" t="str">
        <f>IF(B20="","",VLOOKUP(B20,BoonRef!$A$2:$Z$900,25,FALSE))</f>
        <v/>
      </c>
      <c r="J20" s="727"/>
      <c r="K20" s="727"/>
      <c r="L20" s="727"/>
      <c r="M20" s="727"/>
      <c r="N20" s="727"/>
      <c r="O20" s="727"/>
      <c r="P20" s="727"/>
      <c r="Q20" s="727"/>
      <c r="R20" s="727"/>
      <c r="S20" s="727"/>
      <c r="T20" s="727"/>
      <c r="U20" s="727"/>
      <c r="V20" s="727"/>
      <c r="W20" s="727"/>
      <c r="X20" s="727"/>
      <c r="Y20" s="727"/>
      <c r="Z20" s="728"/>
      <c r="AA20" s="15">
        <v>110</v>
      </c>
      <c r="AB20" s="1026" t="str">
        <f>IF(AA20&lt;'Purchased Boons'!$B$496,VLOOKUP(AA20,'Purchased Boons'!$BF$2:$BG$900,2,FALSE),"")</f>
        <v/>
      </c>
      <c r="AC20" s="727"/>
      <c r="AD20" s="727"/>
      <c r="AE20" s="727"/>
      <c r="AF20" s="727"/>
      <c r="AG20" s="727"/>
      <c r="AH20" s="727"/>
      <c r="AI20" s="727" t="str">
        <f>IF(AB20="","",VLOOKUP(AB20,BoonRef!$A$2:$Z$900,25,FALSE))</f>
        <v/>
      </c>
      <c r="AJ20" s="727"/>
      <c r="AK20" s="727"/>
      <c r="AL20" s="727"/>
      <c r="AM20" s="727"/>
      <c r="AN20" s="727"/>
      <c r="AO20" s="727"/>
      <c r="AP20" s="727"/>
      <c r="AQ20" s="727"/>
      <c r="AR20" s="727"/>
      <c r="AS20" s="727"/>
      <c r="AT20" s="727"/>
      <c r="AU20" s="727"/>
      <c r="AV20" s="727"/>
      <c r="AW20" s="727"/>
      <c r="AX20" s="727"/>
      <c r="AY20" s="727"/>
      <c r="AZ20" s="728"/>
      <c r="BA20" s="15">
        <v>3</v>
      </c>
      <c r="BB20" s="1038" t="str">
        <f>IF(BA20&lt;'Purchased Knacks'!A$192,VLOOKUP(BA20,'Purchased Knacks'!$A$4:$E$300,3,FALSE),"")</f>
        <v/>
      </c>
      <c r="BC20" s="1039"/>
      <c r="BD20" s="1039"/>
      <c r="BE20" s="1039"/>
      <c r="BF20" s="1040"/>
      <c r="BG20" s="1032" t="str">
        <f>IF(BB20="","",VLOOKUP(BB20,KanckRef!$A$1:$G$300,7,FALSE))</f>
        <v/>
      </c>
      <c r="BH20" s="1033"/>
      <c r="BI20" s="753"/>
      <c r="BJ20" s="754"/>
      <c r="BK20" s="754"/>
      <c r="BL20" s="754"/>
      <c r="BM20" s="754"/>
      <c r="BN20" s="754"/>
      <c r="BO20" s="754"/>
      <c r="BP20" s="754"/>
      <c r="BQ20" s="754"/>
      <c r="BR20" s="754"/>
      <c r="BS20" s="754"/>
      <c r="BT20" s="754"/>
      <c r="BU20" s="754"/>
      <c r="BV20" s="754"/>
      <c r="BW20" s="754"/>
      <c r="BX20" s="754"/>
      <c r="BY20" s="754"/>
      <c r="BZ20" s="755"/>
      <c r="CA20" s="15">
        <v>110</v>
      </c>
      <c r="CB20" s="1038" t="str">
        <f>IF(CA20&lt;'Purchased Knacks'!A$192,VLOOKUP(CA20,'Purchased Knacks'!$A$4:$E$300,3,FALSE),"")</f>
        <v/>
      </c>
      <c r="CC20" s="1039"/>
      <c r="CD20" s="1039"/>
      <c r="CE20" s="1039"/>
      <c r="CF20" s="1040"/>
      <c r="CG20" s="1032" t="str">
        <f>IF(CB20="","",VLOOKUP(CB20,KanckRef!$A$1:$G$300,7,FALSE))</f>
        <v/>
      </c>
      <c r="CH20" s="1033"/>
      <c r="CI20" s="753"/>
      <c r="CJ20" s="754"/>
      <c r="CK20" s="754"/>
      <c r="CL20" s="754"/>
      <c r="CM20" s="754"/>
      <c r="CN20" s="754"/>
      <c r="CO20" s="754"/>
      <c r="CP20" s="754"/>
      <c r="CQ20" s="754"/>
      <c r="CR20" s="754"/>
      <c r="CS20" s="754"/>
      <c r="CT20" s="754"/>
      <c r="CU20" s="754"/>
      <c r="CV20" s="754"/>
      <c r="CW20" s="754"/>
      <c r="CX20" s="754"/>
      <c r="CY20" s="754"/>
      <c r="CZ20" s="755"/>
    </row>
    <row r="21" spans="1:104" ht="15" customHeight="1" x14ac:dyDescent="0.25">
      <c r="B21" s="1026"/>
      <c r="C21" s="727"/>
      <c r="D21" s="727"/>
      <c r="E21" s="727"/>
      <c r="F21" s="727"/>
      <c r="G21" s="727"/>
      <c r="H21" s="727"/>
      <c r="I21" s="727" t="str">
        <f>IF(B20="","",VLOOKUP(B20,BoonRef!$A$2:$Z$900,26,FALSE))</f>
        <v/>
      </c>
      <c r="J21" s="727"/>
      <c r="K21" s="727"/>
      <c r="L21" s="727"/>
      <c r="M21" s="727"/>
      <c r="N21" s="727"/>
      <c r="O21" s="727"/>
      <c r="P21" s="727"/>
      <c r="Q21" s="727"/>
      <c r="R21" s="727"/>
      <c r="S21" s="727"/>
      <c r="T21" s="727"/>
      <c r="U21" s="727"/>
      <c r="V21" s="727"/>
      <c r="W21" s="727"/>
      <c r="X21" s="727"/>
      <c r="Y21" s="727"/>
      <c r="Z21" s="728"/>
      <c r="AB21" s="1026"/>
      <c r="AC21" s="727"/>
      <c r="AD21" s="727"/>
      <c r="AE21" s="727"/>
      <c r="AF21" s="727"/>
      <c r="AG21" s="727"/>
      <c r="AH21" s="727"/>
      <c r="AI21" s="727" t="str">
        <f>IF(AB20="","",VLOOKUP(AB20,BoonRef!$A$2:$Z$900,26,FALSE))</f>
        <v/>
      </c>
      <c r="AJ21" s="727"/>
      <c r="AK21" s="727"/>
      <c r="AL21" s="727"/>
      <c r="AM21" s="727"/>
      <c r="AN21" s="727"/>
      <c r="AO21" s="727"/>
      <c r="AP21" s="727"/>
      <c r="AQ21" s="727"/>
      <c r="AR21" s="727"/>
      <c r="AS21" s="727"/>
      <c r="AT21" s="727"/>
      <c r="AU21" s="727"/>
      <c r="AV21" s="727"/>
      <c r="AW21" s="727"/>
      <c r="AX21" s="727"/>
      <c r="AY21" s="727"/>
      <c r="AZ21" s="728"/>
      <c r="BB21" s="1041"/>
      <c r="BC21" s="1042"/>
      <c r="BD21" s="1042"/>
      <c r="BE21" s="1042"/>
      <c r="BF21" s="1043"/>
      <c r="BG21" s="1034"/>
      <c r="BH21" s="1035"/>
      <c r="BI21" s="753"/>
      <c r="BJ21" s="754"/>
      <c r="BK21" s="754"/>
      <c r="BL21" s="754"/>
      <c r="BM21" s="754"/>
      <c r="BN21" s="754"/>
      <c r="BO21" s="754"/>
      <c r="BP21" s="754"/>
      <c r="BQ21" s="754"/>
      <c r="BR21" s="754"/>
      <c r="BS21" s="754"/>
      <c r="BT21" s="754"/>
      <c r="BU21" s="754"/>
      <c r="BV21" s="754"/>
      <c r="BW21" s="754"/>
      <c r="BX21" s="754"/>
      <c r="BY21" s="754"/>
      <c r="BZ21" s="755"/>
      <c r="CB21" s="1041"/>
      <c r="CC21" s="1042"/>
      <c r="CD21" s="1042"/>
      <c r="CE21" s="1042"/>
      <c r="CF21" s="1043"/>
      <c r="CG21" s="1034"/>
      <c r="CH21" s="1035"/>
      <c r="CI21" s="753"/>
      <c r="CJ21" s="754"/>
      <c r="CK21" s="754"/>
      <c r="CL21" s="754"/>
      <c r="CM21" s="754"/>
      <c r="CN21" s="754"/>
      <c r="CO21" s="754"/>
      <c r="CP21" s="754"/>
      <c r="CQ21" s="754"/>
      <c r="CR21" s="754"/>
      <c r="CS21" s="754"/>
      <c r="CT21" s="754"/>
      <c r="CU21" s="754"/>
      <c r="CV21" s="754"/>
      <c r="CW21" s="754"/>
      <c r="CX21" s="754"/>
      <c r="CY21" s="754"/>
      <c r="CZ21" s="755"/>
    </row>
    <row r="22" spans="1:104" ht="15" customHeight="1" x14ac:dyDescent="0.25">
      <c r="B22" s="1026" t="str">
        <f>IF(B20="","",VLOOKUP(B20,BoonRef!$A$2:$Z$900,24,FALSE))</f>
        <v/>
      </c>
      <c r="C22" s="727"/>
      <c r="D22" s="727"/>
      <c r="E22" s="727"/>
      <c r="F22" s="727"/>
      <c r="G22" s="727"/>
      <c r="H22" s="727"/>
      <c r="I22" s="727"/>
      <c r="J22" s="727"/>
      <c r="K22" s="727"/>
      <c r="L22" s="727"/>
      <c r="M22" s="727"/>
      <c r="N22" s="727"/>
      <c r="O22" s="727"/>
      <c r="P22" s="727"/>
      <c r="Q22" s="727"/>
      <c r="R22" s="727"/>
      <c r="S22" s="727"/>
      <c r="T22" s="727"/>
      <c r="U22" s="727"/>
      <c r="V22" s="727"/>
      <c r="W22" s="727"/>
      <c r="X22" s="727"/>
      <c r="Y22" s="727"/>
      <c r="Z22" s="728"/>
      <c r="AB22" s="1026" t="str">
        <f>IF(AB20="","",VLOOKUP(AB20,BoonRef!$A$2:$Z$900,24,FALSE))</f>
        <v/>
      </c>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8"/>
      <c r="BB22" s="641" t="str">
        <f>IF(BB20="","",VLOOKUP(BB20,KanckRef!$A$1:$G$300,4,FALSE))</f>
        <v/>
      </c>
      <c r="BC22" s="642"/>
      <c r="BD22" s="642"/>
      <c r="BE22" s="642"/>
      <c r="BF22" s="642"/>
      <c r="BG22" s="642"/>
      <c r="BH22" s="1033"/>
      <c r="BI22" s="753"/>
      <c r="BJ22" s="754"/>
      <c r="BK22" s="754"/>
      <c r="BL22" s="754"/>
      <c r="BM22" s="754"/>
      <c r="BN22" s="754"/>
      <c r="BO22" s="754"/>
      <c r="BP22" s="754"/>
      <c r="BQ22" s="754"/>
      <c r="BR22" s="754"/>
      <c r="BS22" s="754"/>
      <c r="BT22" s="754"/>
      <c r="BU22" s="754"/>
      <c r="BV22" s="754"/>
      <c r="BW22" s="754"/>
      <c r="BX22" s="754"/>
      <c r="BY22" s="754"/>
      <c r="BZ22" s="755"/>
      <c r="CB22" s="641" t="str">
        <f>IF(CB20="","",VLOOKUP(CB20,KanckRef!$A$1:$G$300,4,FALSE))</f>
        <v/>
      </c>
      <c r="CC22" s="642"/>
      <c r="CD22" s="642"/>
      <c r="CE22" s="642"/>
      <c r="CF22" s="642"/>
      <c r="CG22" s="642"/>
      <c r="CH22" s="1033"/>
      <c r="CI22" s="753"/>
      <c r="CJ22" s="754"/>
      <c r="CK22" s="754"/>
      <c r="CL22" s="754"/>
      <c r="CM22" s="754"/>
      <c r="CN22" s="754"/>
      <c r="CO22" s="754"/>
      <c r="CP22" s="754"/>
      <c r="CQ22" s="754"/>
      <c r="CR22" s="754"/>
      <c r="CS22" s="754"/>
      <c r="CT22" s="754"/>
      <c r="CU22" s="754"/>
      <c r="CV22" s="754"/>
      <c r="CW22" s="754"/>
      <c r="CX22" s="754"/>
      <c r="CY22" s="754"/>
      <c r="CZ22" s="755"/>
    </row>
    <row r="23" spans="1:104" ht="15" customHeight="1" x14ac:dyDescent="0.25">
      <c r="B23" s="1026" t="str">
        <f>IF(B20="","",VLOOKUP(B20,BoonRef!$A$2:$Z$900,23,FALSE))</f>
        <v/>
      </c>
      <c r="C23" s="727"/>
      <c r="D23" s="727"/>
      <c r="E23" s="727"/>
      <c r="F23" s="727"/>
      <c r="G23" s="727"/>
      <c r="H23" s="727"/>
      <c r="I23" s="727"/>
      <c r="J23" s="727"/>
      <c r="K23" s="727"/>
      <c r="L23" s="727"/>
      <c r="M23" s="727"/>
      <c r="N23" s="727"/>
      <c r="O23" s="727"/>
      <c r="P23" s="727"/>
      <c r="Q23" s="727"/>
      <c r="R23" s="727"/>
      <c r="S23" s="727"/>
      <c r="T23" s="727"/>
      <c r="U23" s="727"/>
      <c r="V23" s="727"/>
      <c r="W23" s="727"/>
      <c r="X23" s="727"/>
      <c r="Y23" s="727"/>
      <c r="Z23" s="728"/>
      <c r="AB23" s="1026" t="str">
        <f>IF(AB20="","",VLOOKUP(AB20,BoonRef!$A$2:$Z$900,23,FALSE))</f>
        <v/>
      </c>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8"/>
      <c r="BB23" s="635"/>
      <c r="BC23" s="636"/>
      <c r="BD23" s="636"/>
      <c r="BE23" s="636"/>
      <c r="BF23" s="636"/>
      <c r="BG23" s="636"/>
      <c r="BH23" s="1036"/>
      <c r="BI23" s="753"/>
      <c r="BJ23" s="754"/>
      <c r="BK23" s="754"/>
      <c r="BL23" s="754"/>
      <c r="BM23" s="754"/>
      <c r="BN23" s="754"/>
      <c r="BO23" s="754"/>
      <c r="BP23" s="754"/>
      <c r="BQ23" s="754"/>
      <c r="BR23" s="754"/>
      <c r="BS23" s="754"/>
      <c r="BT23" s="754"/>
      <c r="BU23" s="754"/>
      <c r="BV23" s="754"/>
      <c r="BW23" s="754"/>
      <c r="BX23" s="754"/>
      <c r="BY23" s="754"/>
      <c r="BZ23" s="755"/>
      <c r="CB23" s="635"/>
      <c r="CC23" s="636"/>
      <c r="CD23" s="636"/>
      <c r="CE23" s="636"/>
      <c r="CF23" s="636"/>
      <c r="CG23" s="636"/>
      <c r="CH23" s="1036"/>
      <c r="CI23" s="753"/>
      <c r="CJ23" s="754"/>
      <c r="CK23" s="754"/>
      <c r="CL23" s="754"/>
      <c r="CM23" s="754"/>
      <c r="CN23" s="754"/>
      <c r="CO23" s="754"/>
      <c r="CP23" s="754"/>
      <c r="CQ23" s="754"/>
      <c r="CR23" s="754"/>
      <c r="CS23" s="754"/>
      <c r="CT23" s="754"/>
      <c r="CU23" s="754"/>
      <c r="CV23" s="754"/>
      <c r="CW23" s="754"/>
      <c r="CX23" s="754"/>
      <c r="CY23" s="754"/>
      <c r="CZ23" s="755"/>
    </row>
    <row r="24" spans="1:104" ht="15" customHeight="1" thickBot="1" x14ac:dyDescent="0.3">
      <c r="B24" s="1027"/>
      <c r="C24" s="865"/>
      <c r="D24" s="865"/>
      <c r="E24" s="865"/>
      <c r="F24" s="865"/>
      <c r="G24" s="865"/>
      <c r="H24" s="865"/>
      <c r="I24" s="865"/>
      <c r="J24" s="865"/>
      <c r="K24" s="865"/>
      <c r="L24" s="865"/>
      <c r="M24" s="865"/>
      <c r="N24" s="865"/>
      <c r="O24" s="865"/>
      <c r="P24" s="865"/>
      <c r="Q24" s="865"/>
      <c r="R24" s="865"/>
      <c r="S24" s="865"/>
      <c r="T24" s="865"/>
      <c r="U24" s="865"/>
      <c r="V24" s="865"/>
      <c r="W24" s="865"/>
      <c r="X24" s="865"/>
      <c r="Y24" s="865"/>
      <c r="Z24" s="921"/>
      <c r="AB24" s="1027"/>
      <c r="AC24" s="865"/>
      <c r="AD24" s="865"/>
      <c r="AE24" s="865"/>
      <c r="AF24" s="865"/>
      <c r="AG24" s="865"/>
      <c r="AH24" s="865"/>
      <c r="AI24" s="865"/>
      <c r="AJ24" s="865"/>
      <c r="AK24" s="865"/>
      <c r="AL24" s="865"/>
      <c r="AM24" s="865"/>
      <c r="AN24" s="865"/>
      <c r="AO24" s="865"/>
      <c r="AP24" s="865"/>
      <c r="AQ24" s="865"/>
      <c r="AR24" s="865"/>
      <c r="AS24" s="865"/>
      <c r="AT24" s="865"/>
      <c r="AU24" s="865"/>
      <c r="AV24" s="865"/>
      <c r="AW24" s="865"/>
      <c r="AX24" s="865"/>
      <c r="AY24" s="865"/>
      <c r="AZ24" s="921"/>
      <c r="BB24" s="644"/>
      <c r="BC24" s="645"/>
      <c r="BD24" s="645"/>
      <c r="BE24" s="645"/>
      <c r="BF24" s="645"/>
      <c r="BG24" s="645"/>
      <c r="BH24" s="1037"/>
      <c r="BI24" s="756"/>
      <c r="BJ24" s="757"/>
      <c r="BK24" s="757"/>
      <c r="BL24" s="757"/>
      <c r="BM24" s="757"/>
      <c r="BN24" s="757"/>
      <c r="BO24" s="757"/>
      <c r="BP24" s="757"/>
      <c r="BQ24" s="757"/>
      <c r="BR24" s="757"/>
      <c r="BS24" s="757"/>
      <c r="BT24" s="757"/>
      <c r="BU24" s="757"/>
      <c r="BV24" s="757"/>
      <c r="BW24" s="757"/>
      <c r="BX24" s="757"/>
      <c r="BY24" s="757"/>
      <c r="BZ24" s="758"/>
      <c r="CB24" s="644"/>
      <c r="CC24" s="645"/>
      <c r="CD24" s="645"/>
      <c r="CE24" s="645"/>
      <c r="CF24" s="645"/>
      <c r="CG24" s="645"/>
      <c r="CH24" s="1037"/>
      <c r="CI24" s="756"/>
      <c r="CJ24" s="757"/>
      <c r="CK24" s="757"/>
      <c r="CL24" s="757"/>
      <c r="CM24" s="757"/>
      <c r="CN24" s="757"/>
      <c r="CO24" s="757"/>
      <c r="CP24" s="757"/>
      <c r="CQ24" s="757"/>
      <c r="CR24" s="757"/>
      <c r="CS24" s="757"/>
      <c r="CT24" s="757"/>
      <c r="CU24" s="757"/>
      <c r="CV24" s="757"/>
      <c r="CW24" s="757"/>
      <c r="CX24" s="757"/>
      <c r="CY24" s="757"/>
      <c r="CZ24" s="758"/>
    </row>
    <row r="25" spans="1:104" ht="15" customHeight="1" x14ac:dyDescent="0.25">
      <c r="B25" s="1028" t="str">
        <f>IF(B26="","",VLOOKUP(B26,BoonRef!$A$2:$Z$900,2,FALSE))</f>
        <v/>
      </c>
      <c r="C25" s="725"/>
      <c r="D25" s="725"/>
      <c r="E25" s="725"/>
      <c r="F25" s="725"/>
      <c r="G25" s="725"/>
      <c r="H25" s="725"/>
      <c r="I25" s="725" t="str">
        <f>IF(B26="","",VLOOKUP(B26,BoonRef!$A$2:$Z$900,3,FALSE))</f>
        <v/>
      </c>
      <c r="J25" s="725"/>
      <c r="K25" s="725" t="str">
        <f>IF(B26="","",VLOOKUP(B26,DescRef!$A$2:$B$900,2,FALSE))</f>
        <v/>
      </c>
      <c r="L25" s="725"/>
      <c r="M25" s="725"/>
      <c r="N25" s="725"/>
      <c r="O25" s="725"/>
      <c r="P25" s="725"/>
      <c r="Q25" s="725"/>
      <c r="R25" s="725"/>
      <c r="S25" s="725"/>
      <c r="T25" s="725"/>
      <c r="U25" s="725"/>
      <c r="V25" s="725"/>
      <c r="W25" s="725"/>
      <c r="X25" s="725"/>
      <c r="Y25" s="725"/>
      <c r="Z25" s="726"/>
      <c r="AB25" s="1028" t="str">
        <f>IF(AB26="","",VLOOKUP(AB26,BoonRef!$A$2:$Z$900,2,FALSE))</f>
        <v/>
      </c>
      <c r="AC25" s="725"/>
      <c r="AD25" s="725"/>
      <c r="AE25" s="725"/>
      <c r="AF25" s="725"/>
      <c r="AG25" s="725"/>
      <c r="AH25" s="725"/>
      <c r="AI25" s="725" t="str">
        <f>IF(AB26="","",VLOOKUP(AB26,BoonRef!$A$2:$Z$900,3,FALSE))</f>
        <v/>
      </c>
      <c r="AJ25" s="725"/>
      <c r="AK25" s="725" t="str">
        <f>IF(AB26="","",VLOOKUP(AB26,DescRef!$A$2:$B$900,2,FALSE))</f>
        <v/>
      </c>
      <c r="AL25" s="725"/>
      <c r="AM25" s="725"/>
      <c r="AN25" s="725"/>
      <c r="AO25" s="725"/>
      <c r="AP25" s="725"/>
      <c r="AQ25" s="725"/>
      <c r="AR25" s="725"/>
      <c r="AS25" s="725"/>
      <c r="AT25" s="725"/>
      <c r="AU25" s="725"/>
      <c r="AV25" s="725"/>
      <c r="AW25" s="725"/>
      <c r="AX25" s="725"/>
      <c r="AY25" s="725"/>
      <c r="AZ25" s="726"/>
      <c r="BB25" s="1029" t="str">
        <f>IF(BB26="","",VLOOKUP(BB26,KanckRef!$A$1:$G$300,2,FALSE))</f>
        <v/>
      </c>
      <c r="BC25" s="1030"/>
      <c r="BD25" s="1030"/>
      <c r="BE25" s="1030"/>
      <c r="BF25" s="1031"/>
      <c r="BG25" s="1048" t="str">
        <f>IF(BB26="","",VLOOKUP(BB26,KanckRef!$A$1:$G$300,6,FALSE))</f>
        <v/>
      </c>
      <c r="BH25" s="1049"/>
      <c r="BI25" s="988" t="str">
        <f>IF(BB26="","",VLOOKUP(BB26,DescRef!$D$2:$E$300,2,FALSE))</f>
        <v/>
      </c>
      <c r="BJ25" s="795"/>
      <c r="BK25" s="795"/>
      <c r="BL25" s="795"/>
      <c r="BM25" s="795"/>
      <c r="BN25" s="795"/>
      <c r="BO25" s="795"/>
      <c r="BP25" s="795"/>
      <c r="BQ25" s="795"/>
      <c r="BR25" s="795"/>
      <c r="BS25" s="795"/>
      <c r="BT25" s="795"/>
      <c r="BU25" s="795"/>
      <c r="BV25" s="795"/>
      <c r="BW25" s="795"/>
      <c r="BX25" s="795"/>
      <c r="BY25" s="795"/>
      <c r="BZ25" s="796"/>
      <c r="CB25" s="1029" t="str">
        <f>IF(CB26="","",VLOOKUP(CB26,KanckRef!$A$1:$G$300,2,FALSE))</f>
        <v/>
      </c>
      <c r="CC25" s="1030"/>
      <c r="CD25" s="1030"/>
      <c r="CE25" s="1030"/>
      <c r="CF25" s="1031"/>
      <c r="CG25" s="1048" t="str">
        <f>IF(CB26="","",VLOOKUP(CB26,KanckRef!$A$1:$G$300,6,FALSE))</f>
        <v/>
      </c>
      <c r="CH25" s="1049"/>
      <c r="CI25" s="988" t="str">
        <f>IF(CB26="","",VLOOKUP(CB26,DescRef!$D$2:$E$300,2,FALSE))</f>
        <v/>
      </c>
      <c r="CJ25" s="795"/>
      <c r="CK25" s="795"/>
      <c r="CL25" s="795"/>
      <c r="CM25" s="795"/>
      <c r="CN25" s="795"/>
      <c r="CO25" s="795"/>
      <c r="CP25" s="795"/>
      <c r="CQ25" s="795"/>
      <c r="CR25" s="795"/>
      <c r="CS25" s="795"/>
      <c r="CT25" s="795"/>
      <c r="CU25" s="795"/>
      <c r="CV25" s="795"/>
      <c r="CW25" s="795"/>
      <c r="CX25" s="795"/>
      <c r="CY25" s="795"/>
      <c r="CZ25" s="796"/>
    </row>
    <row r="26" spans="1:104" ht="15" customHeight="1" x14ac:dyDescent="0.25">
      <c r="A26" s="15">
        <v>4</v>
      </c>
      <c r="B26" s="1026" t="str">
        <f>IF(A26&lt;'Purchased Boons'!$B$496,VLOOKUP(A26,'Purchased Boons'!$BF$2:$BG$900,2,FALSE),"")</f>
        <v/>
      </c>
      <c r="C26" s="727"/>
      <c r="D26" s="727"/>
      <c r="E26" s="727"/>
      <c r="F26" s="727"/>
      <c r="G26" s="727"/>
      <c r="H26" s="727"/>
      <c r="I26" s="727" t="str">
        <f>IF(B26="","",VLOOKUP(B26,BoonRef!$A$2:$Z$900,25,FALSE))</f>
        <v/>
      </c>
      <c r="J26" s="727"/>
      <c r="K26" s="727"/>
      <c r="L26" s="727"/>
      <c r="M26" s="727"/>
      <c r="N26" s="727"/>
      <c r="O26" s="727"/>
      <c r="P26" s="727"/>
      <c r="Q26" s="727"/>
      <c r="R26" s="727"/>
      <c r="S26" s="727"/>
      <c r="T26" s="727"/>
      <c r="U26" s="727"/>
      <c r="V26" s="727"/>
      <c r="W26" s="727"/>
      <c r="X26" s="727"/>
      <c r="Y26" s="727"/>
      <c r="Z26" s="728"/>
      <c r="AA26" s="15">
        <v>111</v>
      </c>
      <c r="AB26" s="1026" t="str">
        <f>IF(AA26&lt;'Purchased Boons'!$B$496,VLOOKUP(AA26,'Purchased Boons'!$BF$2:$BG$900,2,FALSE),"")</f>
        <v/>
      </c>
      <c r="AC26" s="727"/>
      <c r="AD26" s="727"/>
      <c r="AE26" s="727"/>
      <c r="AF26" s="727"/>
      <c r="AG26" s="727"/>
      <c r="AH26" s="727"/>
      <c r="AI26" s="727" t="str">
        <f>IF(AB26="","",VLOOKUP(AB26,BoonRef!$A$2:$Z$900,25,FALSE))</f>
        <v/>
      </c>
      <c r="AJ26" s="727"/>
      <c r="AK26" s="727"/>
      <c r="AL26" s="727"/>
      <c r="AM26" s="727"/>
      <c r="AN26" s="727"/>
      <c r="AO26" s="727"/>
      <c r="AP26" s="727"/>
      <c r="AQ26" s="727"/>
      <c r="AR26" s="727"/>
      <c r="AS26" s="727"/>
      <c r="AT26" s="727"/>
      <c r="AU26" s="727"/>
      <c r="AV26" s="727"/>
      <c r="AW26" s="727"/>
      <c r="AX26" s="727"/>
      <c r="AY26" s="727"/>
      <c r="AZ26" s="728"/>
      <c r="BA26" s="15">
        <v>4</v>
      </c>
      <c r="BB26" s="1038" t="str">
        <f>IF(BA26&lt;'Purchased Knacks'!A$192,VLOOKUP(BA26,'Purchased Knacks'!$A$4:$E$300,3,FALSE),"")</f>
        <v/>
      </c>
      <c r="BC26" s="1039"/>
      <c r="BD26" s="1039"/>
      <c r="BE26" s="1039"/>
      <c r="BF26" s="1040"/>
      <c r="BG26" s="1032" t="str">
        <f>IF(BB26="","",VLOOKUP(BB26,KanckRef!$A$1:$G$300,7,FALSE))</f>
        <v/>
      </c>
      <c r="BH26" s="1033"/>
      <c r="BI26" s="753"/>
      <c r="BJ26" s="754"/>
      <c r="BK26" s="754"/>
      <c r="BL26" s="754"/>
      <c r="BM26" s="754"/>
      <c r="BN26" s="754"/>
      <c r="BO26" s="754"/>
      <c r="BP26" s="754"/>
      <c r="BQ26" s="754"/>
      <c r="BR26" s="754"/>
      <c r="BS26" s="754"/>
      <c r="BT26" s="754"/>
      <c r="BU26" s="754"/>
      <c r="BV26" s="754"/>
      <c r="BW26" s="754"/>
      <c r="BX26" s="754"/>
      <c r="BY26" s="754"/>
      <c r="BZ26" s="755"/>
      <c r="CA26" s="15">
        <v>111</v>
      </c>
      <c r="CB26" s="1038" t="str">
        <f>IF(CA26&lt;'Purchased Knacks'!A$192,VLOOKUP(CA26,'Purchased Knacks'!$A$4:$E$300,3,FALSE),"")</f>
        <v/>
      </c>
      <c r="CC26" s="1039"/>
      <c r="CD26" s="1039"/>
      <c r="CE26" s="1039"/>
      <c r="CF26" s="1040"/>
      <c r="CG26" s="1032" t="str">
        <f>IF(CB26="","",VLOOKUP(CB26,KanckRef!$A$1:$G$300,7,FALSE))</f>
        <v/>
      </c>
      <c r="CH26" s="1033"/>
      <c r="CI26" s="753"/>
      <c r="CJ26" s="754"/>
      <c r="CK26" s="754"/>
      <c r="CL26" s="754"/>
      <c r="CM26" s="754"/>
      <c r="CN26" s="754"/>
      <c r="CO26" s="754"/>
      <c r="CP26" s="754"/>
      <c r="CQ26" s="754"/>
      <c r="CR26" s="754"/>
      <c r="CS26" s="754"/>
      <c r="CT26" s="754"/>
      <c r="CU26" s="754"/>
      <c r="CV26" s="754"/>
      <c r="CW26" s="754"/>
      <c r="CX26" s="754"/>
      <c r="CY26" s="754"/>
      <c r="CZ26" s="755"/>
    </row>
    <row r="27" spans="1:104" ht="15" customHeight="1" x14ac:dyDescent="0.25">
      <c r="B27" s="1026"/>
      <c r="C27" s="727"/>
      <c r="D27" s="727"/>
      <c r="E27" s="727"/>
      <c r="F27" s="727"/>
      <c r="G27" s="727"/>
      <c r="H27" s="727"/>
      <c r="I27" s="727" t="str">
        <f>IF(B26="","",VLOOKUP(B26,BoonRef!$A$2:$Z$900,26,FALSE))</f>
        <v/>
      </c>
      <c r="J27" s="727"/>
      <c r="K27" s="727"/>
      <c r="L27" s="727"/>
      <c r="M27" s="727"/>
      <c r="N27" s="727"/>
      <c r="O27" s="727"/>
      <c r="P27" s="727"/>
      <c r="Q27" s="727"/>
      <c r="R27" s="727"/>
      <c r="S27" s="727"/>
      <c r="T27" s="727"/>
      <c r="U27" s="727"/>
      <c r="V27" s="727"/>
      <c r="W27" s="727"/>
      <c r="X27" s="727"/>
      <c r="Y27" s="727"/>
      <c r="Z27" s="728"/>
      <c r="AB27" s="1026"/>
      <c r="AC27" s="727"/>
      <c r="AD27" s="727"/>
      <c r="AE27" s="727"/>
      <c r="AF27" s="727"/>
      <c r="AG27" s="727"/>
      <c r="AH27" s="727"/>
      <c r="AI27" s="727" t="str">
        <f>IF(AB26="","",VLOOKUP(AB26,BoonRef!$A$2:$Z$900,26,FALSE))</f>
        <v/>
      </c>
      <c r="AJ27" s="727"/>
      <c r="AK27" s="727"/>
      <c r="AL27" s="727"/>
      <c r="AM27" s="727"/>
      <c r="AN27" s="727"/>
      <c r="AO27" s="727"/>
      <c r="AP27" s="727"/>
      <c r="AQ27" s="727"/>
      <c r="AR27" s="727"/>
      <c r="AS27" s="727"/>
      <c r="AT27" s="727"/>
      <c r="AU27" s="727"/>
      <c r="AV27" s="727"/>
      <c r="AW27" s="727"/>
      <c r="AX27" s="727"/>
      <c r="AY27" s="727"/>
      <c r="AZ27" s="728"/>
      <c r="BB27" s="1041"/>
      <c r="BC27" s="1042"/>
      <c r="BD27" s="1042"/>
      <c r="BE27" s="1042"/>
      <c r="BF27" s="1043"/>
      <c r="BG27" s="1034"/>
      <c r="BH27" s="1035"/>
      <c r="BI27" s="753"/>
      <c r="BJ27" s="754"/>
      <c r="BK27" s="754"/>
      <c r="BL27" s="754"/>
      <c r="BM27" s="754"/>
      <c r="BN27" s="754"/>
      <c r="BO27" s="754"/>
      <c r="BP27" s="754"/>
      <c r="BQ27" s="754"/>
      <c r="BR27" s="754"/>
      <c r="BS27" s="754"/>
      <c r="BT27" s="754"/>
      <c r="BU27" s="754"/>
      <c r="BV27" s="754"/>
      <c r="BW27" s="754"/>
      <c r="BX27" s="754"/>
      <c r="BY27" s="754"/>
      <c r="BZ27" s="755"/>
      <c r="CB27" s="1041"/>
      <c r="CC27" s="1042"/>
      <c r="CD27" s="1042"/>
      <c r="CE27" s="1042"/>
      <c r="CF27" s="1043"/>
      <c r="CG27" s="1034"/>
      <c r="CH27" s="1035"/>
      <c r="CI27" s="753"/>
      <c r="CJ27" s="754"/>
      <c r="CK27" s="754"/>
      <c r="CL27" s="754"/>
      <c r="CM27" s="754"/>
      <c r="CN27" s="754"/>
      <c r="CO27" s="754"/>
      <c r="CP27" s="754"/>
      <c r="CQ27" s="754"/>
      <c r="CR27" s="754"/>
      <c r="CS27" s="754"/>
      <c r="CT27" s="754"/>
      <c r="CU27" s="754"/>
      <c r="CV27" s="754"/>
      <c r="CW27" s="754"/>
      <c r="CX27" s="754"/>
      <c r="CY27" s="754"/>
      <c r="CZ27" s="755"/>
    </row>
    <row r="28" spans="1:104" ht="15" customHeight="1" x14ac:dyDescent="0.25">
      <c r="B28" s="1026" t="str">
        <f>IF(B26="","",VLOOKUP(B26,BoonRef!$A$2:$Z$900,24,FALSE))</f>
        <v/>
      </c>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8"/>
      <c r="AB28" s="1026" t="str">
        <f>IF(AB26="","",VLOOKUP(AB26,BoonRef!$A$2:$Z$900,24,FALSE))</f>
        <v/>
      </c>
      <c r="AC28" s="727"/>
      <c r="AD28" s="727"/>
      <c r="AE28" s="727"/>
      <c r="AF28" s="727"/>
      <c r="AG28" s="727"/>
      <c r="AH28" s="727"/>
      <c r="AI28" s="727"/>
      <c r="AJ28" s="727"/>
      <c r="AK28" s="727"/>
      <c r="AL28" s="727"/>
      <c r="AM28" s="727"/>
      <c r="AN28" s="727"/>
      <c r="AO28" s="727"/>
      <c r="AP28" s="727"/>
      <c r="AQ28" s="727"/>
      <c r="AR28" s="727"/>
      <c r="AS28" s="727"/>
      <c r="AT28" s="727"/>
      <c r="AU28" s="727"/>
      <c r="AV28" s="727"/>
      <c r="AW28" s="727"/>
      <c r="AX28" s="727"/>
      <c r="AY28" s="727"/>
      <c r="AZ28" s="728"/>
      <c r="BB28" s="641" t="str">
        <f>IF(BB26="","",VLOOKUP(BB26,KanckRef!$A$1:$G$300,4,FALSE))</f>
        <v/>
      </c>
      <c r="BC28" s="642"/>
      <c r="BD28" s="642"/>
      <c r="BE28" s="642"/>
      <c r="BF28" s="642"/>
      <c r="BG28" s="642"/>
      <c r="BH28" s="1033"/>
      <c r="BI28" s="753"/>
      <c r="BJ28" s="754"/>
      <c r="BK28" s="754"/>
      <c r="BL28" s="754"/>
      <c r="BM28" s="754"/>
      <c r="BN28" s="754"/>
      <c r="BO28" s="754"/>
      <c r="BP28" s="754"/>
      <c r="BQ28" s="754"/>
      <c r="BR28" s="754"/>
      <c r="BS28" s="754"/>
      <c r="BT28" s="754"/>
      <c r="BU28" s="754"/>
      <c r="BV28" s="754"/>
      <c r="BW28" s="754"/>
      <c r="BX28" s="754"/>
      <c r="BY28" s="754"/>
      <c r="BZ28" s="755"/>
      <c r="CB28" s="641" t="str">
        <f>IF(CB26="","",VLOOKUP(CB26,KanckRef!$A$1:$G$300,4,FALSE))</f>
        <v/>
      </c>
      <c r="CC28" s="642"/>
      <c r="CD28" s="642"/>
      <c r="CE28" s="642"/>
      <c r="CF28" s="642"/>
      <c r="CG28" s="642"/>
      <c r="CH28" s="1033"/>
      <c r="CI28" s="753"/>
      <c r="CJ28" s="754"/>
      <c r="CK28" s="754"/>
      <c r="CL28" s="754"/>
      <c r="CM28" s="754"/>
      <c r="CN28" s="754"/>
      <c r="CO28" s="754"/>
      <c r="CP28" s="754"/>
      <c r="CQ28" s="754"/>
      <c r="CR28" s="754"/>
      <c r="CS28" s="754"/>
      <c r="CT28" s="754"/>
      <c r="CU28" s="754"/>
      <c r="CV28" s="754"/>
      <c r="CW28" s="754"/>
      <c r="CX28" s="754"/>
      <c r="CY28" s="754"/>
      <c r="CZ28" s="755"/>
    </row>
    <row r="29" spans="1:104" ht="15" customHeight="1" x14ac:dyDescent="0.25">
      <c r="B29" s="1026" t="str">
        <f>IF(B26="","",VLOOKUP(B26,BoonRef!$A$2:$Z$900,23,FALSE))</f>
        <v/>
      </c>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8"/>
      <c r="AB29" s="1026" t="str">
        <f>IF(AB26="","",VLOOKUP(AB26,BoonRef!$A$2:$Z$900,23,FALSE))</f>
        <v/>
      </c>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8"/>
      <c r="BB29" s="635"/>
      <c r="BC29" s="636"/>
      <c r="BD29" s="636"/>
      <c r="BE29" s="636"/>
      <c r="BF29" s="636"/>
      <c r="BG29" s="636"/>
      <c r="BH29" s="1036"/>
      <c r="BI29" s="753"/>
      <c r="BJ29" s="754"/>
      <c r="BK29" s="754"/>
      <c r="BL29" s="754"/>
      <c r="BM29" s="754"/>
      <c r="BN29" s="754"/>
      <c r="BO29" s="754"/>
      <c r="BP29" s="754"/>
      <c r="BQ29" s="754"/>
      <c r="BR29" s="754"/>
      <c r="BS29" s="754"/>
      <c r="BT29" s="754"/>
      <c r="BU29" s="754"/>
      <c r="BV29" s="754"/>
      <c r="BW29" s="754"/>
      <c r="BX29" s="754"/>
      <c r="BY29" s="754"/>
      <c r="BZ29" s="755"/>
      <c r="CB29" s="635"/>
      <c r="CC29" s="636"/>
      <c r="CD29" s="636"/>
      <c r="CE29" s="636"/>
      <c r="CF29" s="636"/>
      <c r="CG29" s="636"/>
      <c r="CH29" s="1036"/>
      <c r="CI29" s="753"/>
      <c r="CJ29" s="754"/>
      <c r="CK29" s="754"/>
      <c r="CL29" s="754"/>
      <c r="CM29" s="754"/>
      <c r="CN29" s="754"/>
      <c r="CO29" s="754"/>
      <c r="CP29" s="754"/>
      <c r="CQ29" s="754"/>
      <c r="CR29" s="754"/>
      <c r="CS29" s="754"/>
      <c r="CT29" s="754"/>
      <c r="CU29" s="754"/>
      <c r="CV29" s="754"/>
      <c r="CW29" s="754"/>
      <c r="CX29" s="754"/>
      <c r="CY29" s="754"/>
      <c r="CZ29" s="755"/>
    </row>
    <row r="30" spans="1:104" ht="15" customHeight="1" thickBot="1" x14ac:dyDescent="0.3">
      <c r="B30" s="1027"/>
      <c r="C30" s="865"/>
      <c r="D30" s="865"/>
      <c r="E30" s="865"/>
      <c r="F30" s="865"/>
      <c r="G30" s="865"/>
      <c r="H30" s="865"/>
      <c r="I30" s="865"/>
      <c r="J30" s="865"/>
      <c r="K30" s="865"/>
      <c r="L30" s="865"/>
      <c r="M30" s="865"/>
      <c r="N30" s="865"/>
      <c r="O30" s="865"/>
      <c r="P30" s="865"/>
      <c r="Q30" s="865"/>
      <c r="R30" s="865"/>
      <c r="S30" s="865"/>
      <c r="T30" s="865"/>
      <c r="U30" s="865"/>
      <c r="V30" s="865"/>
      <c r="W30" s="865"/>
      <c r="X30" s="865"/>
      <c r="Y30" s="865"/>
      <c r="Z30" s="921"/>
      <c r="AB30" s="1027"/>
      <c r="AC30" s="865"/>
      <c r="AD30" s="865"/>
      <c r="AE30" s="865"/>
      <c r="AF30" s="865"/>
      <c r="AG30" s="865"/>
      <c r="AH30" s="865"/>
      <c r="AI30" s="865"/>
      <c r="AJ30" s="865"/>
      <c r="AK30" s="865"/>
      <c r="AL30" s="865"/>
      <c r="AM30" s="865"/>
      <c r="AN30" s="865"/>
      <c r="AO30" s="865"/>
      <c r="AP30" s="865"/>
      <c r="AQ30" s="865"/>
      <c r="AR30" s="865"/>
      <c r="AS30" s="865"/>
      <c r="AT30" s="865"/>
      <c r="AU30" s="865"/>
      <c r="AV30" s="865"/>
      <c r="AW30" s="865"/>
      <c r="AX30" s="865"/>
      <c r="AY30" s="865"/>
      <c r="AZ30" s="921"/>
      <c r="BB30" s="644"/>
      <c r="BC30" s="645"/>
      <c r="BD30" s="645"/>
      <c r="BE30" s="645"/>
      <c r="BF30" s="645"/>
      <c r="BG30" s="645"/>
      <c r="BH30" s="1037"/>
      <c r="BI30" s="756"/>
      <c r="BJ30" s="757"/>
      <c r="BK30" s="757"/>
      <c r="BL30" s="757"/>
      <c r="BM30" s="757"/>
      <c r="BN30" s="757"/>
      <c r="BO30" s="757"/>
      <c r="BP30" s="757"/>
      <c r="BQ30" s="757"/>
      <c r="BR30" s="757"/>
      <c r="BS30" s="757"/>
      <c r="BT30" s="757"/>
      <c r="BU30" s="757"/>
      <c r="BV30" s="757"/>
      <c r="BW30" s="757"/>
      <c r="BX30" s="757"/>
      <c r="BY30" s="757"/>
      <c r="BZ30" s="758"/>
      <c r="CB30" s="644"/>
      <c r="CC30" s="645"/>
      <c r="CD30" s="645"/>
      <c r="CE30" s="645"/>
      <c r="CF30" s="645"/>
      <c r="CG30" s="645"/>
      <c r="CH30" s="1037"/>
      <c r="CI30" s="756"/>
      <c r="CJ30" s="757"/>
      <c r="CK30" s="757"/>
      <c r="CL30" s="757"/>
      <c r="CM30" s="757"/>
      <c r="CN30" s="757"/>
      <c r="CO30" s="757"/>
      <c r="CP30" s="757"/>
      <c r="CQ30" s="757"/>
      <c r="CR30" s="757"/>
      <c r="CS30" s="757"/>
      <c r="CT30" s="757"/>
      <c r="CU30" s="757"/>
      <c r="CV30" s="757"/>
      <c r="CW30" s="757"/>
      <c r="CX30" s="757"/>
      <c r="CY30" s="757"/>
      <c r="CZ30" s="758"/>
    </row>
    <row r="31" spans="1:104" ht="15" customHeight="1" x14ac:dyDescent="0.25">
      <c r="B31" s="1028" t="str">
        <f>IF(B32="","",VLOOKUP(B32,BoonRef!$A$2:$Z$900,2,FALSE))</f>
        <v/>
      </c>
      <c r="C31" s="725"/>
      <c r="D31" s="725"/>
      <c r="E31" s="725"/>
      <c r="F31" s="725"/>
      <c r="G31" s="725"/>
      <c r="H31" s="725"/>
      <c r="I31" s="725" t="str">
        <f>IF(B32="","",VLOOKUP(B32,BoonRef!$A$2:$Z$900,3,FALSE))</f>
        <v/>
      </c>
      <c r="J31" s="725"/>
      <c r="K31" s="725" t="str">
        <f>IF(B32="","",VLOOKUP(B32,DescRef!$A$2:$B$900,2,FALSE))</f>
        <v/>
      </c>
      <c r="L31" s="725"/>
      <c r="M31" s="725"/>
      <c r="N31" s="725"/>
      <c r="O31" s="725"/>
      <c r="P31" s="725"/>
      <c r="Q31" s="725"/>
      <c r="R31" s="725"/>
      <c r="S31" s="725"/>
      <c r="T31" s="725"/>
      <c r="U31" s="725"/>
      <c r="V31" s="725"/>
      <c r="W31" s="725"/>
      <c r="X31" s="725"/>
      <c r="Y31" s="725"/>
      <c r="Z31" s="726"/>
      <c r="AB31" s="1028" t="str">
        <f>IF(AB32="","",VLOOKUP(AB32,BoonRef!$A$2:$Z$900,2,FALSE))</f>
        <v/>
      </c>
      <c r="AC31" s="725"/>
      <c r="AD31" s="725"/>
      <c r="AE31" s="725"/>
      <c r="AF31" s="725"/>
      <c r="AG31" s="725"/>
      <c r="AH31" s="725"/>
      <c r="AI31" s="725" t="str">
        <f>IF(AB32="","",VLOOKUP(AB32,BoonRef!$A$2:$Z$900,3,FALSE))</f>
        <v/>
      </c>
      <c r="AJ31" s="725"/>
      <c r="AK31" s="725" t="str">
        <f>IF(AB32="","",VLOOKUP(AB32,DescRef!$A$2:$B$900,2,FALSE))</f>
        <v/>
      </c>
      <c r="AL31" s="725"/>
      <c r="AM31" s="725"/>
      <c r="AN31" s="725"/>
      <c r="AO31" s="725"/>
      <c r="AP31" s="725"/>
      <c r="AQ31" s="725"/>
      <c r="AR31" s="725"/>
      <c r="AS31" s="725"/>
      <c r="AT31" s="725"/>
      <c r="AU31" s="725"/>
      <c r="AV31" s="725"/>
      <c r="AW31" s="725"/>
      <c r="AX31" s="725"/>
      <c r="AY31" s="725"/>
      <c r="AZ31" s="726"/>
      <c r="BB31" s="1029" t="str">
        <f>IF(BB32="","",VLOOKUP(BB32,KanckRef!$A$1:$G$300,2,FALSE))</f>
        <v/>
      </c>
      <c r="BC31" s="1030"/>
      <c r="BD31" s="1030"/>
      <c r="BE31" s="1030"/>
      <c r="BF31" s="1031"/>
      <c r="BG31" s="1048" t="str">
        <f>IF(BB32="","",VLOOKUP(BB32,KanckRef!$A$1:$G$300,6,FALSE))</f>
        <v/>
      </c>
      <c r="BH31" s="1049"/>
      <c r="BI31" s="988" t="str">
        <f>IF(BB32="","",VLOOKUP(BB32,DescRef!$D$2:$E$300,2,FALSE))</f>
        <v/>
      </c>
      <c r="BJ31" s="795"/>
      <c r="BK31" s="795"/>
      <c r="BL31" s="795"/>
      <c r="BM31" s="795"/>
      <c r="BN31" s="795"/>
      <c r="BO31" s="795"/>
      <c r="BP31" s="795"/>
      <c r="BQ31" s="795"/>
      <c r="BR31" s="795"/>
      <c r="BS31" s="795"/>
      <c r="BT31" s="795"/>
      <c r="BU31" s="795"/>
      <c r="BV31" s="795"/>
      <c r="BW31" s="795"/>
      <c r="BX31" s="795"/>
      <c r="BY31" s="795"/>
      <c r="BZ31" s="796"/>
      <c r="CB31" s="1029" t="str">
        <f>IF(CB32="","",VLOOKUP(CB32,KanckRef!$A$1:$G$300,2,FALSE))</f>
        <v/>
      </c>
      <c r="CC31" s="1030"/>
      <c r="CD31" s="1030"/>
      <c r="CE31" s="1030"/>
      <c r="CF31" s="1031"/>
      <c r="CG31" s="1048" t="str">
        <f>IF(CB32="","",VLOOKUP(CB32,KanckRef!$A$1:$G$300,6,FALSE))</f>
        <v/>
      </c>
      <c r="CH31" s="1049"/>
      <c r="CI31" s="988" t="str">
        <f>IF(CB32="","",VLOOKUP(CB32,DescRef!$D$2:$E$300,2,FALSE))</f>
        <v/>
      </c>
      <c r="CJ31" s="795"/>
      <c r="CK31" s="795"/>
      <c r="CL31" s="795"/>
      <c r="CM31" s="795"/>
      <c r="CN31" s="795"/>
      <c r="CO31" s="795"/>
      <c r="CP31" s="795"/>
      <c r="CQ31" s="795"/>
      <c r="CR31" s="795"/>
      <c r="CS31" s="795"/>
      <c r="CT31" s="795"/>
      <c r="CU31" s="795"/>
      <c r="CV31" s="795"/>
      <c r="CW31" s="795"/>
      <c r="CX31" s="795"/>
      <c r="CY31" s="795"/>
      <c r="CZ31" s="796"/>
    </row>
    <row r="32" spans="1:104" ht="15" customHeight="1" x14ac:dyDescent="0.25">
      <c r="A32" s="15">
        <v>5</v>
      </c>
      <c r="B32" s="1026" t="str">
        <f>IF(A32&lt;'Purchased Boons'!$B$496,VLOOKUP(A32,'Purchased Boons'!$BF$2:$BG$900,2,FALSE),"")</f>
        <v/>
      </c>
      <c r="C32" s="727"/>
      <c r="D32" s="727"/>
      <c r="E32" s="727"/>
      <c r="F32" s="727"/>
      <c r="G32" s="727"/>
      <c r="H32" s="727"/>
      <c r="I32" s="727" t="str">
        <f>IF(B32="","",VLOOKUP(B32,BoonRef!$A$2:$Z$900,25,FALSE))</f>
        <v/>
      </c>
      <c r="J32" s="727"/>
      <c r="K32" s="727"/>
      <c r="L32" s="727"/>
      <c r="M32" s="727"/>
      <c r="N32" s="727"/>
      <c r="O32" s="727"/>
      <c r="P32" s="727"/>
      <c r="Q32" s="727"/>
      <c r="R32" s="727"/>
      <c r="S32" s="727"/>
      <c r="T32" s="727"/>
      <c r="U32" s="727"/>
      <c r="V32" s="727"/>
      <c r="W32" s="727"/>
      <c r="X32" s="727"/>
      <c r="Y32" s="727"/>
      <c r="Z32" s="728"/>
      <c r="AA32" s="15">
        <v>112</v>
      </c>
      <c r="AB32" s="1026" t="str">
        <f>IF(AA32&lt;'Purchased Boons'!$B$496,VLOOKUP(AA32,'Purchased Boons'!$BF$2:$BG$900,2,FALSE),"")</f>
        <v/>
      </c>
      <c r="AC32" s="727"/>
      <c r="AD32" s="727"/>
      <c r="AE32" s="727"/>
      <c r="AF32" s="727"/>
      <c r="AG32" s="727"/>
      <c r="AH32" s="727"/>
      <c r="AI32" s="727" t="str">
        <f>IF(AB32="","",VLOOKUP(AB32,BoonRef!$A$2:$Z$900,25,FALSE))</f>
        <v/>
      </c>
      <c r="AJ32" s="727"/>
      <c r="AK32" s="727"/>
      <c r="AL32" s="727"/>
      <c r="AM32" s="727"/>
      <c r="AN32" s="727"/>
      <c r="AO32" s="727"/>
      <c r="AP32" s="727"/>
      <c r="AQ32" s="727"/>
      <c r="AR32" s="727"/>
      <c r="AS32" s="727"/>
      <c r="AT32" s="727"/>
      <c r="AU32" s="727"/>
      <c r="AV32" s="727"/>
      <c r="AW32" s="727"/>
      <c r="AX32" s="727"/>
      <c r="AY32" s="727"/>
      <c r="AZ32" s="728"/>
      <c r="BA32" s="15">
        <v>5</v>
      </c>
      <c r="BB32" s="1038" t="str">
        <f>IF(BA32&lt;'Purchased Knacks'!A$192,VLOOKUP(BA32,'Purchased Knacks'!$A$4:$E$300,3,FALSE),"")</f>
        <v/>
      </c>
      <c r="BC32" s="1039"/>
      <c r="BD32" s="1039"/>
      <c r="BE32" s="1039"/>
      <c r="BF32" s="1040"/>
      <c r="BG32" s="1032" t="str">
        <f>IF(BB32="","",VLOOKUP(BB32,KanckRef!$A$1:$G$300,7,FALSE))</f>
        <v/>
      </c>
      <c r="BH32" s="1033"/>
      <c r="BI32" s="753"/>
      <c r="BJ32" s="754"/>
      <c r="BK32" s="754"/>
      <c r="BL32" s="754"/>
      <c r="BM32" s="754"/>
      <c r="BN32" s="754"/>
      <c r="BO32" s="754"/>
      <c r="BP32" s="754"/>
      <c r="BQ32" s="754"/>
      <c r="BR32" s="754"/>
      <c r="BS32" s="754"/>
      <c r="BT32" s="754"/>
      <c r="BU32" s="754"/>
      <c r="BV32" s="754"/>
      <c r="BW32" s="754"/>
      <c r="BX32" s="754"/>
      <c r="BY32" s="754"/>
      <c r="BZ32" s="755"/>
      <c r="CA32" s="15">
        <v>112</v>
      </c>
      <c r="CB32" s="1038" t="str">
        <f>IF(CA32&lt;'Purchased Knacks'!A$192,VLOOKUP(CA32,'Purchased Knacks'!$A$4:$E$300,3,FALSE),"")</f>
        <v/>
      </c>
      <c r="CC32" s="1039"/>
      <c r="CD32" s="1039"/>
      <c r="CE32" s="1039"/>
      <c r="CF32" s="1040"/>
      <c r="CG32" s="1032" t="str">
        <f>IF(CB32="","",VLOOKUP(CB32,KanckRef!$A$1:$G$300,7,FALSE))</f>
        <v/>
      </c>
      <c r="CH32" s="1033"/>
      <c r="CI32" s="753"/>
      <c r="CJ32" s="754"/>
      <c r="CK32" s="754"/>
      <c r="CL32" s="754"/>
      <c r="CM32" s="754"/>
      <c r="CN32" s="754"/>
      <c r="CO32" s="754"/>
      <c r="CP32" s="754"/>
      <c r="CQ32" s="754"/>
      <c r="CR32" s="754"/>
      <c r="CS32" s="754"/>
      <c r="CT32" s="754"/>
      <c r="CU32" s="754"/>
      <c r="CV32" s="754"/>
      <c r="CW32" s="754"/>
      <c r="CX32" s="754"/>
      <c r="CY32" s="754"/>
      <c r="CZ32" s="755"/>
    </row>
    <row r="33" spans="1:104" ht="15" customHeight="1" x14ac:dyDescent="0.25">
      <c r="B33" s="1026"/>
      <c r="C33" s="727"/>
      <c r="D33" s="727"/>
      <c r="E33" s="727"/>
      <c r="F33" s="727"/>
      <c r="G33" s="727"/>
      <c r="H33" s="727"/>
      <c r="I33" s="727" t="str">
        <f>IF(B32="","",VLOOKUP(B32,BoonRef!$A$2:$Z$900,26,FALSE))</f>
        <v/>
      </c>
      <c r="J33" s="727"/>
      <c r="K33" s="727"/>
      <c r="L33" s="727"/>
      <c r="M33" s="727"/>
      <c r="N33" s="727"/>
      <c r="O33" s="727"/>
      <c r="P33" s="727"/>
      <c r="Q33" s="727"/>
      <c r="R33" s="727"/>
      <c r="S33" s="727"/>
      <c r="T33" s="727"/>
      <c r="U33" s="727"/>
      <c r="V33" s="727"/>
      <c r="W33" s="727"/>
      <c r="X33" s="727"/>
      <c r="Y33" s="727"/>
      <c r="Z33" s="728"/>
      <c r="AB33" s="1026"/>
      <c r="AC33" s="727"/>
      <c r="AD33" s="727"/>
      <c r="AE33" s="727"/>
      <c r="AF33" s="727"/>
      <c r="AG33" s="727"/>
      <c r="AH33" s="727"/>
      <c r="AI33" s="727" t="str">
        <f>IF(AB32="","",VLOOKUP(AB32,BoonRef!$A$2:$Z$900,26,FALSE))</f>
        <v/>
      </c>
      <c r="AJ33" s="727"/>
      <c r="AK33" s="727"/>
      <c r="AL33" s="727"/>
      <c r="AM33" s="727"/>
      <c r="AN33" s="727"/>
      <c r="AO33" s="727"/>
      <c r="AP33" s="727"/>
      <c r="AQ33" s="727"/>
      <c r="AR33" s="727"/>
      <c r="AS33" s="727"/>
      <c r="AT33" s="727"/>
      <c r="AU33" s="727"/>
      <c r="AV33" s="727"/>
      <c r="AW33" s="727"/>
      <c r="AX33" s="727"/>
      <c r="AY33" s="727"/>
      <c r="AZ33" s="728"/>
      <c r="BB33" s="1041"/>
      <c r="BC33" s="1042"/>
      <c r="BD33" s="1042"/>
      <c r="BE33" s="1042"/>
      <c r="BF33" s="1043"/>
      <c r="BG33" s="1034"/>
      <c r="BH33" s="1035"/>
      <c r="BI33" s="753"/>
      <c r="BJ33" s="754"/>
      <c r="BK33" s="754"/>
      <c r="BL33" s="754"/>
      <c r="BM33" s="754"/>
      <c r="BN33" s="754"/>
      <c r="BO33" s="754"/>
      <c r="BP33" s="754"/>
      <c r="BQ33" s="754"/>
      <c r="BR33" s="754"/>
      <c r="BS33" s="754"/>
      <c r="BT33" s="754"/>
      <c r="BU33" s="754"/>
      <c r="BV33" s="754"/>
      <c r="BW33" s="754"/>
      <c r="BX33" s="754"/>
      <c r="BY33" s="754"/>
      <c r="BZ33" s="755"/>
      <c r="CB33" s="1041"/>
      <c r="CC33" s="1042"/>
      <c r="CD33" s="1042"/>
      <c r="CE33" s="1042"/>
      <c r="CF33" s="1043"/>
      <c r="CG33" s="1034"/>
      <c r="CH33" s="1035"/>
      <c r="CI33" s="753"/>
      <c r="CJ33" s="754"/>
      <c r="CK33" s="754"/>
      <c r="CL33" s="754"/>
      <c r="CM33" s="754"/>
      <c r="CN33" s="754"/>
      <c r="CO33" s="754"/>
      <c r="CP33" s="754"/>
      <c r="CQ33" s="754"/>
      <c r="CR33" s="754"/>
      <c r="CS33" s="754"/>
      <c r="CT33" s="754"/>
      <c r="CU33" s="754"/>
      <c r="CV33" s="754"/>
      <c r="CW33" s="754"/>
      <c r="CX33" s="754"/>
      <c r="CY33" s="754"/>
      <c r="CZ33" s="755"/>
    </row>
    <row r="34" spans="1:104" ht="15" customHeight="1" x14ac:dyDescent="0.25">
      <c r="B34" s="1026" t="str">
        <f>IF(B32="","",VLOOKUP(B32,BoonRef!$A$2:$Z$900,24,FALSE))</f>
        <v/>
      </c>
      <c r="C34" s="727"/>
      <c r="D34" s="727"/>
      <c r="E34" s="727"/>
      <c r="F34" s="727"/>
      <c r="G34" s="727"/>
      <c r="H34" s="727"/>
      <c r="I34" s="727"/>
      <c r="J34" s="727"/>
      <c r="K34" s="727"/>
      <c r="L34" s="727"/>
      <c r="M34" s="727"/>
      <c r="N34" s="727"/>
      <c r="O34" s="727"/>
      <c r="P34" s="727"/>
      <c r="Q34" s="727"/>
      <c r="R34" s="727"/>
      <c r="S34" s="727"/>
      <c r="T34" s="727"/>
      <c r="U34" s="727"/>
      <c r="V34" s="727"/>
      <c r="W34" s="727"/>
      <c r="X34" s="727"/>
      <c r="Y34" s="727"/>
      <c r="Z34" s="728"/>
      <c r="AB34" s="1026" t="str">
        <f>IF(AB32="","",VLOOKUP(AB32,BoonRef!$A$2:$Z$900,24,FALSE))</f>
        <v/>
      </c>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8"/>
      <c r="BB34" s="641" t="str">
        <f>IF(BB32="","",VLOOKUP(BB32,KanckRef!$A$1:$G$300,4,FALSE))</f>
        <v/>
      </c>
      <c r="BC34" s="642"/>
      <c r="BD34" s="642"/>
      <c r="BE34" s="642"/>
      <c r="BF34" s="642"/>
      <c r="BG34" s="642"/>
      <c r="BH34" s="1033"/>
      <c r="BI34" s="753"/>
      <c r="BJ34" s="754"/>
      <c r="BK34" s="754"/>
      <c r="BL34" s="754"/>
      <c r="BM34" s="754"/>
      <c r="BN34" s="754"/>
      <c r="BO34" s="754"/>
      <c r="BP34" s="754"/>
      <c r="BQ34" s="754"/>
      <c r="BR34" s="754"/>
      <c r="BS34" s="754"/>
      <c r="BT34" s="754"/>
      <c r="BU34" s="754"/>
      <c r="BV34" s="754"/>
      <c r="BW34" s="754"/>
      <c r="BX34" s="754"/>
      <c r="BY34" s="754"/>
      <c r="BZ34" s="755"/>
      <c r="CB34" s="641" t="str">
        <f>IF(CB32="","",VLOOKUP(CB32,KanckRef!$A$1:$G$300,4,FALSE))</f>
        <v/>
      </c>
      <c r="CC34" s="642"/>
      <c r="CD34" s="642"/>
      <c r="CE34" s="642"/>
      <c r="CF34" s="642"/>
      <c r="CG34" s="642"/>
      <c r="CH34" s="1033"/>
      <c r="CI34" s="753"/>
      <c r="CJ34" s="754"/>
      <c r="CK34" s="754"/>
      <c r="CL34" s="754"/>
      <c r="CM34" s="754"/>
      <c r="CN34" s="754"/>
      <c r="CO34" s="754"/>
      <c r="CP34" s="754"/>
      <c r="CQ34" s="754"/>
      <c r="CR34" s="754"/>
      <c r="CS34" s="754"/>
      <c r="CT34" s="754"/>
      <c r="CU34" s="754"/>
      <c r="CV34" s="754"/>
      <c r="CW34" s="754"/>
      <c r="CX34" s="754"/>
      <c r="CY34" s="754"/>
      <c r="CZ34" s="755"/>
    </row>
    <row r="35" spans="1:104" ht="15" customHeight="1" x14ac:dyDescent="0.25">
      <c r="B35" s="1026" t="str">
        <f>IF(B32="","",VLOOKUP(B32,BoonRef!$A$2:$Z$900,23,FALSE))</f>
        <v/>
      </c>
      <c r="C35" s="727"/>
      <c r="D35" s="727"/>
      <c r="E35" s="727"/>
      <c r="F35" s="727"/>
      <c r="G35" s="727"/>
      <c r="H35" s="727"/>
      <c r="I35" s="727"/>
      <c r="J35" s="727"/>
      <c r="K35" s="727"/>
      <c r="L35" s="727"/>
      <c r="M35" s="727"/>
      <c r="N35" s="727"/>
      <c r="O35" s="727"/>
      <c r="P35" s="727"/>
      <c r="Q35" s="727"/>
      <c r="R35" s="727"/>
      <c r="S35" s="727"/>
      <c r="T35" s="727"/>
      <c r="U35" s="727"/>
      <c r="V35" s="727"/>
      <c r="W35" s="727"/>
      <c r="X35" s="727"/>
      <c r="Y35" s="727"/>
      <c r="Z35" s="728"/>
      <c r="AB35" s="1026" t="str">
        <f>IF(AB32="","",VLOOKUP(AB32,BoonRef!$A$2:$Z$900,23,FALSE))</f>
        <v/>
      </c>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8"/>
      <c r="BB35" s="635"/>
      <c r="BC35" s="636"/>
      <c r="BD35" s="636"/>
      <c r="BE35" s="636"/>
      <c r="BF35" s="636"/>
      <c r="BG35" s="636"/>
      <c r="BH35" s="1036"/>
      <c r="BI35" s="753"/>
      <c r="BJ35" s="754"/>
      <c r="BK35" s="754"/>
      <c r="BL35" s="754"/>
      <c r="BM35" s="754"/>
      <c r="BN35" s="754"/>
      <c r="BO35" s="754"/>
      <c r="BP35" s="754"/>
      <c r="BQ35" s="754"/>
      <c r="BR35" s="754"/>
      <c r="BS35" s="754"/>
      <c r="BT35" s="754"/>
      <c r="BU35" s="754"/>
      <c r="BV35" s="754"/>
      <c r="BW35" s="754"/>
      <c r="BX35" s="754"/>
      <c r="BY35" s="754"/>
      <c r="BZ35" s="755"/>
      <c r="CB35" s="635"/>
      <c r="CC35" s="636"/>
      <c r="CD35" s="636"/>
      <c r="CE35" s="636"/>
      <c r="CF35" s="636"/>
      <c r="CG35" s="636"/>
      <c r="CH35" s="1036"/>
      <c r="CI35" s="753"/>
      <c r="CJ35" s="754"/>
      <c r="CK35" s="754"/>
      <c r="CL35" s="754"/>
      <c r="CM35" s="754"/>
      <c r="CN35" s="754"/>
      <c r="CO35" s="754"/>
      <c r="CP35" s="754"/>
      <c r="CQ35" s="754"/>
      <c r="CR35" s="754"/>
      <c r="CS35" s="754"/>
      <c r="CT35" s="754"/>
      <c r="CU35" s="754"/>
      <c r="CV35" s="754"/>
      <c r="CW35" s="754"/>
      <c r="CX35" s="754"/>
      <c r="CY35" s="754"/>
      <c r="CZ35" s="755"/>
    </row>
    <row r="36" spans="1:104" ht="15" customHeight="1" thickBot="1" x14ac:dyDescent="0.3">
      <c r="B36" s="1027"/>
      <c r="C36" s="865"/>
      <c r="D36" s="865"/>
      <c r="E36" s="865"/>
      <c r="F36" s="865"/>
      <c r="G36" s="865"/>
      <c r="H36" s="865"/>
      <c r="I36" s="865"/>
      <c r="J36" s="865"/>
      <c r="K36" s="865"/>
      <c r="L36" s="865"/>
      <c r="M36" s="865"/>
      <c r="N36" s="865"/>
      <c r="O36" s="865"/>
      <c r="P36" s="865"/>
      <c r="Q36" s="865"/>
      <c r="R36" s="865"/>
      <c r="S36" s="865"/>
      <c r="T36" s="865"/>
      <c r="U36" s="865"/>
      <c r="V36" s="865"/>
      <c r="W36" s="865"/>
      <c r="X36" s="865"/>
      <c r="Y36" s="865"/>
      <c r="Z36" s="921"/>
      <c r="AB36" s="1027"/>
      <c r="AC36" s="865"/>
      <c r="AD36" s="865"/>
      <c r="AE36" s="865"/>
      <c r="AF36" s="865"/>
      <c r="AG36" s="865"/>
      <c r="AH36" s="865"/>
      <c r="AI36" s="865"/>
      <c r="AJ36" s="865"/>
      <c r="AK36" s="865"/>
      <c r="AL36" s="865"/>
      <c r="AM36" s="865"/>
      <c r="AN36" s="865"/>
      <c r="AO36" s="865"/>
      <c r="AP36" s="865"/>
      <c r="AQ36" s="865"/>
      <c r="AR36" s="865"/>
      <c r="AS36" s="865"/>
      <c r="AT36" s="865"/>
      <c r="AU36" s="865"/>
      <c r="AV36" s="865"/>
      <c r="AW36" s="865"/>
      <c r="AX36" s="865"/>
      <c r="AY36" s="865"/>
      <c r="AZ36" s="921"/>
      <c r="BB36" s="644"/>
      <c r="BC36" s="645"/>
      <c r="BD36" s="645"/>
      <c r="BE36" s="645"/>
      <c r="BF36" s="645"/>
      <c r="BG36" s="645"/>
      <c r="BH36" s="1037"/>
      <c r="BI36" s="756"/>
      <c r="BJ36" s="757"/>
      <c r="BK36" s="757"/>
      <c r="BL36" s="757"/>
      <c r="BM36" s="757"/>
      <c r="BN36" s="757"/>
      <c r="BO36" s="757"/>
      <c r="BP36" s="757"/>
      <c r="BQ36" s="757"/>
      <c r="BR36" s="757"/>
      <c r="BS36" s="757"/>
      <c r="BT36" s="757"/>
      <c r="BU36" s="757"/>
      <c r="BV36" s="757"/>
      <c r="BW36" s="757"/>
      <c r="BX36" s="757"/>
      <c r="BY36" s="757"/>
      <c r="BZ36" s="758"/>
      <c r="CB36" s="644"/>
      <c r="CC36" s="645"/>
      <c r="CD36" s="645"/>
      <c r="CE36" s="645"/>
      <c r="CF36" s="645"/>
      <c r="CG36" s="645"/>
      <c r="CH36" s="1037"/>
      <c r="CI36" s="756"/>
      <c r="CJ36" s="757"/>
      <c r="CK36" s="757"/>
      <c r="CL36" s="757"/>
      <c r="CM36" s="757"/>
      <c r="CN36" s="757"/>
      <c r="CO36" s="757"/>
      <c r="CP36" s="757"/>
      <c r="CQ36" s="757"/>
      <c r="CR36" s="757"/>
      <c r="CS36" s="757"/>
      <c r="CT36" s="757"/>
      <c r="CU36" s="757"/>
      <c r="CV36" s="757"/>
      <c r="CW36" s="757"/>
      <c r="CX36" s="757"/>
      <c r="CY36" s="757"/>
      <c r="CZ36" s="758"/>
    </row>
    <row r="37" spans="1:104" ht="15" customHeight="1" x14ac:dyDescent="0.25">
      <c r="B37" s="1028" t="str">
        <f>IF(B38="","",VLOOKUP(B38,BoonRef!$A$2:$Z$900,2,FALSE))</f>
        <v/>
      </c>
      <c r="C37" s="725"/>
      <c r="D37" s="725"/>
      <c r="E37" s="725"/>
      <c r="F37" s="725"/>
      <c r="G37" s="725"/>
      <c r="H37" s="725"/>
      <c r="I37" s="725" t="str">
        <f>IF(B38="","",VLOOKUP(B38,BoonRef!$A$2:$Z$900,3,FALSE))</f>
        <v/>
      </c>
      <c r="J37" s="725"/>
      <c r="K37" s="725" t="str">
        <f>IF(B38="","",VLOOKUP(B38,DescRef!$A$2:$B$900,2,FALSE))</f>
        <v/>
      </c>
      <c r="L37" s="725"/>
      <c r="M37" s="725"/>
      <c r="N37" s="725"/>
      <c r="O37" s="725"/>
      <c r="P37" s="725"/>
      <c r="Q37" s="725"/>
      <c r="R37" s="725"/>
      <c r="S37" s="725"/>
      <c r="T37" s="725"/>
      <c r="U37" s="725"/>
      <c r="V37" s="725"/>
      <c r="W37" s="725"/>
      <c r="X37" s="725"/>
      <c r="Y37" s="725"/>
      <c r="Z37" s="726"/>
      <c r="AB37" s="1028" t="str">
        <f>IF(AB38="","",VLOOKUP(AB38,BoonRef!$A$2:$Z$900,2,FALSE))</f>
        <v/>
      </c>
      <c r="AC37" s="725"/>
      <c r="AD37" s="725"/>
      <c r="AE37" s="725"/>
      <c r="AF37" s="725"/>
      <c r="AG37" s="725"/>
      <c r="AH37" s="725"/>
      <c r="AI37" s="725" t="str">
        <f>IF(AB38="","",VLOOKUP(AB38,BoonRef!$A$2:$Z$900,3,FALSE))</f>
        <v/>
      </c>
      <c r="AJ37" s="725"/>
      <c r="AK37" s="725" t="str">
        <f>IF(AB38="","",VLOOKUP(AB38,DescRef!$A$2:$B$900,2,FALSE))</f>
        <v/>
      </c>
      <c r="AL37" s="725"/>
      <c r="AM37" s="725"/>
      <c r="AN37" s="725"/>
      <c r="AO37" s="725"/>
      <c r="AP37" s="725"/>
      <c r="AQ37" s="725"/>
      <c r="AR37" s="725"/>
      <c r="AS37" s="725"/>
      <c r="AT37" s="725"/>
      <c r="AU37" s="725"/>
      <c r="AV37" s="725"/>
      <c r="AW37" s="725"/>
      <c r="AX37" s="725"/>
      <c r="AY37" s="725"/>
      <c r="AZ37" s="726"/>
      <c r="BB37" s="1029" t="str">
        <f>IF(BB38="","",VLOOKUP(BB38,KanckRef!$A$1:$G$300,2,FALSE))</f>
        <v/>
      </c>
      <c r="BC37" s="1030"/>
      <c r="BD37" s="1030"/>
      <c r="BE37" s="1030"/>
      <c r="BF37" s="1031"/>
      <c r="BG37" s="1048" t="str">
        <f>IF(BB38="","",VLOOKUP(BB38,KanckRef!$A$1:$G$300,6,FALSE))</f>
        <v/>
      </c>
      <c r="BH37" s="1049"/>
      <c r="BI37" s="988" t="str">
        <f>IF(BB38="","",VLOOKUP(BB38,DescRef!$D$2:$E$300,2,FALSE))</f>
        <v/>
      </c>
      <c r="BJ37" s="795"/>
      <c r="BK37" s="795"/>
      <c r="BL37" s="795"/>
      <c r="BM37" s="795"/>
      <c r="BN37" s="795"/>
      <c r="BO37" s="795"/>
      <c r="BP37" s="795"/>
      <c r="BQ37" s="795"/>
      <c r="BR37" s="795"/>
      <c r="BS37" s="795"/>
      <c r="BT37" s="795"/>
      <c r="BU37" s="795"/>
      <c r="BV37" s="795"/>
      <c r="BW37" s="795"/>
      <c r="BX37" s="795"/>
      <c r="BY37" s="795"/>
      <c r="BZ37" s="796"/>
      <c r="CB37" s="1029" t="str">
        <f>IF(CB38="","",VLOOKUP(CB38,KanckRef!$A$1:$G$300,2,FALSE))</f>
        <v/>
      </c>
      <c r="CC37" s="1030"/>
      <c r="CD37" s="1030"/>
      <c r="CE37" s="1030"/>
      <c r="CF37" s="1031"/>
      <c r="CG37" s="1048" t="str">
        <f>IF(CB38="","",VLOOKUP(CB38,KanckRef!$A$1:$G$300,6,FALSE))</f>
        <v/>
      </c>
      <c r="CH37" s="1049"/>
      <c r="CI37" s="988" t="str">
        <f>IF(CB38="","",VLOOKUP(CB38,DescRef!$D$2:$E$300,2,FALSE))</f>
        <v/>
      </c>
      <c r="CJ37" s="795"/>
      <c r="CK37" s="795"/>
      <c r="CL37" s="795"/>
      <c r="CM37" s="795"/>
      <c r="CN37" s="795"/>
      <c r="CO37" s="795"/>
      <c r="CP37" s="795"/>
      <c r="CQ37" s="795"/>
      <c r="CR37" s="795"/>
      <c r="CS37" s="795"/>
      <c r="CT37" s="795"/>
      <c r="CU37" s="795"/>
      <c r="CV37" s="795"/>
      <c r="CW37" s="795"/>
      <c r="CX37" s="795"/>
      <c r="CY37" s="795"/>
      <c r="CZ37" s="796"/>
    </row>
    <row r="38" spans="1:104" ht="15" customHeight="1" x14ac:dyDescent="0.25">
      <c r="A38" s="15">
        <v>6</v>
      </c>
      <c r="B38" s="1026" t="str">
        <f>IF(A38&lt;'Purchased Boons'!$B$496,VLOOKUP(A38,'Purchased Boons'!$BF$2:$BG$900,2,FALSE),"")</f>
        <v/>
      </c>
      <c r="C38" s="727"/>
      <c r="D38" s="727"/>
      <c r="E38" s="727"/>
      <c r="F38" s="727"/>
      <c r="G38" s="727"/>
      <c r="H38" s="727"/>
      <c r="I38" s="727" t="str">
        <f>IF(B38="","",VLOOKUP(B38,BoonRef!$A$2:$Z$900,25,FALSE))</f>
        <v/>
      </c>
      <c r="J38" s="727"/>
      <c r="K38" s="727"/>
      <c r="L38" s="727"/>
      <c r="M38" s="727"/>
      <c r="N38" s="727"/>
      <c r="O38" s="727"/>
      <c r="P38" s="727"/>
      <c r="Q38" s="727"/>
      <c r="R38" s="727"/>
      <c r="S38" s="727"/>
      <c r="T38" s="727"/>
      <c r="U38" s="727"/>
      <c r="V38" s="727"/>
      <c r="W38" s="727"/>
      <c r="X38" s="727"/>
      <c r="Y38" s="727"/>
      <c r="Z38" s="728"/>
      <c r="AA38" s="15">
        <v>113</v>
      </c>
      <c r="AB38" s="1026" t="str">
        <f>IF(AA38&lt;'Purchased Boons'!$B$496,VLOOKUP(AA38,'Purchased Boons'!$BF$2:$BG$900,2,FALSE),"")</f>
        <v/>
      </c>
      <c r="AC38" s="727"/>
      <c r="AD38" s="727"/>
      <c r="AE38" s="727"/>
      <c r="AF38" s="727"/>
      <c r="AG38" s="727"/>
      <c r="AH38" s="727"/>
      <c r="AI38" s="727" t="str">
        <f>IF(AB38="","",VLOOKUP(AB38,BoonRef!$A$2:$Z$900,25,FALSE))</f>
        <v/>
      </c>
      <c r="AJ38" s="727"/>
      <c r="AK38" s="727"/>
      <c r="AL38" s="727"/>
      <c r="AM38" s="727"/>
      <c r="AN38" s="727"/>
      <c r="AO38" s="727"/>
      <c r="AP38" s="727"/>
      <c r="AQ38" s="727"/>
      <c r="AR38" s="727"/>
      <c r="AS38" s="727"/>
      <c r="AT38" s="727"/>
      <c r="AU38" s="727"/>
      <c r="AV38" s="727"/>
      <c r="AW38" s="727"/>
      <c r="AX38" s="727"/>
      <c r="AY38" s="727"/>
      <c r="AZ38" s="728"/>
      <c r="BA38" s="15">
        <v>6</v>
      </c>
      <c r="BB38" s="1038" t="str">
        <f>IF(BA38&lt;'Purchased Knacks'!A$192,VLOOKUP(BA38,'Purchased Knacks'!$A$4:$E$300,3,FALSE),"")</f>
        <v/>
      </c>
      <c r="BC38" s="1039"/>
      <c r="BD38" s="1039"/>
      <c r="BE38" s="1039"/>
      <c r="BF38" s="1040"/>
      <c r="BG38" s="1032" t="str">
        <f>IF(BB38="","",VLOOKUP(BB38,KanckRef!$A$1:$G$300,7,FALSE))</f>
        <v/>
      </c>
      <c r="BH38" s="1033"/>
      <c r="BI38" s="753"/>
      <c r="BJ38" s="754"/>
      <c r="BK38" s="754"/>
      <c r="BL38" s="754"/>
      <c r="BM38" s="754"/>
      <c r="BN38" s="754"/>
      <c r="BO38" s="754"/>
      <c r="BP38" s="754"/>
      <c r="BQ38" s="754"/>
      <c r="BR38" s="754"/>
      <c r="BS38" s="754"/>
      <c r="BT38" s="754"/>
      <c r="BU38" s="754"/>
      <c r="BV38" s="754"/>
      <c r="BW38" s="754"/>
      <c r="BX38" s="754"/>
      <c r="BY38" s="754"/>
      <c r="BZ38" s="755"/>
      <c r="CA38" s="15">
        <v>113</v>
      </c>
      <c r="CB38" s="1038" t="str">
        <f>IF(CA38&lt;'Purchased Knacks'!A$192,VLOOKUP(CA38,'Purchased Knacks'!$A$4:$E$300,3,FALSE),"")</f>
        <v/>
      </c>
      <c r="CC38" s="1039"/>
      <c r="CD38" s="1039"/>
      <c r="CE38" s="1039"/>
      <c r="CF38" s="1040"/>
      <c r="CG38" s="1032" t="str">
        <f>IF(CB38="","",VLOOKUP(CB38,KanckRef!$A$1:$G$300,7,FALSE))</f>
        <v/>
      </c>
      <c r="CH38" s="1033"/>
      <c r="CI38" s="753"/>
      <c r="CJ38" s="754"/>
      <c r="CK38" s="754"/>
      <c r="CL38" s="754"/>
      <c r="CM38" s="754"/>
      <c r="CN38" s="754"/>
      <c r="CO38" s="754"/>
      <c r="CP38" s="754"/>
      <c r="CQ38" s="754"/>
      <c r="CR38" s="754"/>
      <c r="CS38" s="754"/>
      <c r="CT38" s="754"/>
      <c r="CU38" s="754"/>
      <c r="CV38" s="754"/>
      <c r="CW38" s="754"/>
      <c r="CX38" s="754"/>
      <c r="CY38" s="754"/>
      <c r="CZ38" s="755"/>
    </row>
    <row r="39" spans="1:104" ht="15" customHeight="1" x14ac:dyDescent="0.25">
      <c r="B39" s="1026"/>
      <c r="C39" s="727"/>
      <c r="D39" s="727"/>
      <c r="E39" s="727"/>
      <c r="F39" s="727"/>
      <c r="G39" s="727"/>
      <c r="H39" s="727"/>
      <c r="I39" s="727" t="str">
        <f>IF(B38="","",VLOOKUP(B38,BoonRef!$A$2:$Z$900,26,FALSE))</f>
        <v/>
      </c>
      <c r="J39" s="727"/>
      <c r="K39" s="727"/>
      <c r="L39" s="727"/>
      <c r="M39" s="727"/>
      <c r="N39" s="727"/>
      <c r="O39" s="727"/>
      <c r="P39" s="727"/>
      <c r="Q39" s="727"/>
      <c r="R39" s="727"/>
      <c r="S39" s="727"/>
      <c r="T39" s="727"/>
      <c r="U39" s="727"/>
      <c r="V39" s="727"/>
      <c r="W39" s="727"/>
      <c r="X39" s="727"/>
      <c r="Y39" s="727"/>
      <c r="Z39" s="728"/>
      <c r="AB39" s="1026"/>
      <c r="AC39" s="727"/>
      <c r="AD39" s="727"/>
      <c r="AE39" s="727"/>
      <c r="AF39" s="727"/>
      <c r="AG39" s="727"/>
      <c r="AH39" s="727"/>
      <c r="AI39" s="727" t="str">
        <f>IF(AB38="","",VLOOKUP(AB38,BoonRef!$A$2:$Z$900,26,FALSE))</f>
        <v/>
      </c>
      <c r="AJ39" s="727"/>
      <c r="AK39" s="727"/>
      <c r="AL39" s="727"/>
      <c r="AM39" s="727"/>
      <c r="AN39" s="727"/>
      <c r="AO39" s="727"/>
      <c r="AP39" s="727"/>
      <c r="AQ39" s="727"/>
      <c r="AR39" s="727"/>
      <c r="AS39" s="727"/>
      <c r="AT39" s="727"/>
      <c r="AU39" s="727"/>
      <c r="AV39" s="727"/>
      <c r="AW39" s="727"/>
      <c r="AX39" s="727"/>
      <c r="AY39" s="727"/>
      <c r="AZ39" s="728"/>
      <c r="BB39" s="1041"/>
      <c r="BC39" s="1042"/>
      <c r="BD39" s="1042"/>
      <c r="BE39" s="1042"/>
      <c r="BF39" s="1043"/>
      <c r="BG39" s="1034"/>
      <c r="BH39" s="1035"/>
      <c r="BI39" s="753"/>
      <c r="BJ39" s="754"/>
      <c r="BK39" s="754"/>
      <c r="BL39" s="754"/>
      <c r="BM39" s="754"/>
      <c r="BN39" s="754"/>
      <c r="BO39" s="754"/>
      <c r="BP39" s="754"/>
      <c r="BQ39" s="754"/>
      <c r="BR39" s="754"/>
      <c r="BS39" s="754"/>
      <c r="BT39" s="754"/>
      <c r="BU39" s="754"/>
      <c r="BV39" s="754"/>
      <c r="BW39" s="754"/>
      <c r="BX39" s="754"/>
      <c r="BY39" s="754"/>
      <c r="BZ39" s="755"/>
      <c r="CB39" s="1041"/>
      <c r="CC39" s="1042"/>
      <c r="CD39" s="1042"/>
      <c r="CE39" s="1042"/>
      <c r="CF39" s="1043"/>
      <c r="CG39" s="1034"/>
      <c r="CH39" s="1035"/>
      <c r="CI39" s="753"/>
      <c r="CJ39" s="754"/>
      <c r="CK39" s="754"/>
      <c r="CL39" s="754"/>
      <c r="CM39" s="754"/>
      <c r="CN39" s="754"/>
      <c r="CO39" s="754"/>
      <c r="CP39" s="754"/>
      <c r="CQ39" s="754"/>
      <c r="CR39" s="754"/>
      <c r="CS39" s="754"/>
      <c r="CT39" s="754"/>
      <c r="CU39" s="754"/>
      <c r="CV39" s="754"/>
      <c r="CW39" s="754"/>
      <c r="CX39" s="754"/>
      <c r="CY39" s="754"/>
      <c r="CZ39" s="755"/>
    </row>
    <row r="40" spans="1:104" ht="15" customHeight="1" x14ac:dyDescent="0.25">
      <c r="B40" s="1026" t="str">
        <f>IF(B38="","",VLOOKUP(B38,BoonRef!$A$2:$Z$900,24,FALSE))</f>
        <v/>
      </c>
      <c r="C40" s="727"/>
      <c r="D40" s="727"/>
      <c r="E40" s="727"/>
      <c r="F40" s="727"/>
      <c r="G40" s="727"/>
      <c r="H40" s="727"/>
      <c r="I40" s="727"/>
      <c r="J40" s="727"/>
      <c r="K40" s="727"/>
      <c r="L40" s="727"/>
      <c r="M40" s="727"/>
      <c r="N40" s="727"/>
      <c r="O40" s="727"/>
      <c r="P40" s="727"/>
      <c r="Q40" s="727"/>
      <c r="R40" s="727"/>
      <c r="S40" s="727"/>
      <c r="T40" s="727"/>
      <c r="U40" s="727"/>
      <c r="V40" s="727"/>
      <c r="W40" s="727"/>
      <c r="X40" s="727"/>
      <c r="Y40" s="727"/>
      <c r="Z40" s="728"/>
      <c r="AB40" s="1026" t="str">
        <f>IF(AB38="","",VLOOKUP(AB38,BoonRef!$A$2:$Z$900,24,FALSE))</f>
        <v/>
      </c>
      <c r="AC40" s="727"/>
      <c r="AD40" s="727"/>
      <c r="AE40" s="727"/>
      <c r="AF40" s="727"/>
      <c r="AG40" s="727"/>
      <c r="AH40" s="727"/>
      <c r="AI40" s="727"/>
      <c r="AJ40" s="727"/>
      <c r="AK40" s="727"/>
      <c r="AL40" s="727"/>
      <c r="AM40" s="727"/>
      <c r="AN40" s="727"/>
      <c r="AO40" s="727"/>
      <c r="AP40" s="727"/>
      <c r="AQ40" s="727"/>
      <c r="AR40" s="727"/>
      <c r="AS40" s="727"/>
      <c r="AT40" s="727"/>
      <c r="AU40" s="727"/>
      <c r="AV40" s="727"/>
      <c r="AW40" s="727"/>
      <c r="AX40" s="727"/>
      <c r="AY40" s="727"/>
      <c r="AZ40" s="728"/>
      <c r="BB40" s="641" t="str">
        <f>IF(BB38="","",VLOOKUP(BB38,KanckRef!$A$1:$G$300,4,FALSE))</f>
        <v/>
      </c>
      <c r="BC40" s="642"/>
      <c r="BD40" s="642"/>
      <c r="BE40" s="642"/>
      <c r="BF40" s="642"/>
      <c r="BG40" s="642"/>
      <c r="BH40" s="1033"/>
      <c r="BI40" s="753"/>
      <c r="BJ40" s="754"/>
      <c r="BK40" s="754"/>
      <c r="BL40" s="754"/>
      <c r="BM40" s="754"/>
      <c r="BN40" s="754"/>
      <c r="BO40" s="754"/>
      <c r="BP40" s="754"/>
      <c r="BQ40" s="754"/>
      <c r="BR40" s="754"/>
      <c r="BS40" s="754"/>
      <c r="BT40" s="754"/>
      <c r="BU40" s="754"/>
      <c r="BV40" s="754"/>
      <c r="BW40" s="754"/>
      <c r="BX40" s="754"/>
      <c r="BY40" s="754"/>
      <c r="BZ40" s="755"/>
      <c r="CB40" s="641" t="str">
        <f>IF(CB38="","",VLOOKUP(CB38,KanckRef!$A$1:$G$300,4,FALSE))</f>
        <v/>
      </c>
      <c r="CC40" s="642"/>
      <c r="CD40" s="642"/>
      <c r="CE40" s="642"/>
      <c r="CF40" s="642"/>
      <c r="CG40" s="642"/>
      <c r="CH40" s="1033"/>
      <c r="CI40" s="753"/>
      <c r="CJ40" s="754"/>
      <c r="CK40" s="754"/>
      <c r="CL40" s="754"/>
      <c r="CM40" s="754"/>
      <c r="CN40" s="754"/>
      <c r="CO40" s="754"/>
      <c r="CP40" s="754"/>
      <c r="CQ40" s="754"/>
      <c r="CR40" s="754"/>
      <c r="CS40" s="754"/>
      <c r="CT40" s="754"/>
      <c r="CU40" s="754"/>
      <c r="CV40" s="754"/>
      <c r="CW40" s="754"/>
      <c r="CX40" s="754"/>
      <c r="CY40" s="754"/>
      <c r="CZ40" s="755"/>
    </row>
    <row r="41" spans="1:104" ht="15" customHeight="1" x14ac:dyDescent="0.25">
      <c r="B41" s="1026" t="str">
        <f>IF(B38="","",VLOOKUP(B38,BoonRef!$A$2:$Z$900,23,FALSE))</f>
        <v/>
      </c>
      <c r="C41" s="727"/>
      <c r="D41" s="727"/>
      <c r="E41" s="727"/>
      <c r="F41" s="727"/>
      <c r="G41" s="727"/>
      <c r="H41" s="727"/>
      <c r="I41" s="727"/>
      <c r="J41" s="727"/>
      <c r="K41" s="727"/>
      <c r="L41" s="727"/>
      <c r="M41" s="727"/>
      <c r="N41" s="727"/>
      <c r="O41" s="727"/>
      <c r="P41" s="727"/>
      <c r="Q41" s="727"/>
      <c r="R41" s="727"/>
      <c r="S41" s="727"/>
      <c r="T41" s="727"/>
      <c r="U41" s="727"/>
      <c r="V41" s="727"/>
      <c r="W41" s="727"/>
      <c r="X41" s="727"/>
      <c r="Y41" s="727"/>
      <c r="Z41" s="728"/>
      <c r="AB41" s="1026" t="str">
        <f>IF(AB38="","",VLOOKUP(AB38,BoonRef!$A$2:$Z$900,23,FALSE))</f>
        <v/>
      </c>
      <c r="AC41" s="727"/>
      <c r="AD41" s="727"/>
      <c r="AE41" s="727"/>
      <c r="AF41" s="727"/>
      <c r="AG41" s="727"/>
      <c r="AH41" s="727"/>
      <c r="AI41" s="727"/>
      <c r="AJ41" s="727"/>
      <c r="AK41" s="727"/>
      <c r="AL41" s="727"/>
      <c r="AM41" s="727"/>
      <c r="AN41" s="727"/>
      <c r="AO41" s="727"/>
      <c r="AP41" s="727"/>
      <c r="AQ41" s="727"/>
      <c r="AR41" s="727"/>
      <c r="AS41" s="727"/>
      <c r="AT41" s="727"/>
      <c r="AU41" s="727"/>
      <c r="AV41" s="727"/>
      <c r="AW41" s="727"/>
      <c r="AX41" s="727"/>
      <c r="AY41" s="727"/>
      <c r="AZ41" s="728"/>
      <c r="BB41" s="635"/>
      <c r="BC41" s="636"/>
      <c r="BD41" s="636"/>
      <c r="BE41" s="636"/>
      <c r="BF41" s="636"/>
      <c r="BG41" s="636"/>
      <c r="BH41" s="1036"/>
      <c r="BI41" s="753"/>
      <c r="BJ41" s="754"/>
      <c r="BK41" s="754"/>
      <c r="BL41" s="754"/>
      <c r="BM41" s="754"/>
      <c r="BN41" s="754"/>
      <c r="BO41" s="754"/>
      <c r="BP41" s="754"/>
      <c r="BQ41" s="754"/>
      <c r="BR41" s="754"/>
      <c r="BS41" s="754"/>
      <c r="BT41" s="754"/>
      <c r="BU41" s="754"/>
      <c r="BV41" s="754"/>
      <c r="BW41" s="754"/>
      <c r="BX41" s="754"/>
      <c r="BY41" s="754"/>
      <c r="BZ41" s="755"/>
      <c r="CB41" s="635"/>
      <c r="CC41" s="636"/>
      <c r="CD41" s="636"/>
      <c r="CE41" s="636"/>
      <c r="CF41" s="636"/>
      <c r="CG41" s="636"/>
      <c r="CH41" s="1036"/>
      <c r="CI41" s="753"/>
      <c r="CJ41" s="754"/>
      <c r="CK41" s="754"/>
      <c r="CL41" s="754"/>
      <c r="CM41" s="754"/>
      <c r="CN41" s="754"/>
      <c r="CO41" s="754"/>
      <c r="CP41" s="754"/>
      <c r="CQ41" s="754"/>
      <c r="CR41" s="754"/>
      <c r="CS41" s="754"/>
      <c r="CT41" s="754"/>
      <c r="CU41" s="754"/>
      <c r="CV41" s="754"/>
      <c r="CW41" s="754"/>
      <c r="CX41" s="754"/>
      <c r="CY41" s="754"/>
      <c r="CZ41" s="755"/>
    </row>
    <row r="42" spans="1:104" ht="15" customHeight="1" thickBot="1" x14ac:dyDescent="0.3">
      <c r="B42" s="1027"/>
      <c r="C42" s="865"/>
      <c r="D42" s="865"/>
      <c r="E42" s="865"/>
      <c r="F42" s="865"/>
      <c r="G42" s="865"/>
      <c r="H42" s="865"/>
      <c r="I42" s="865"/>
      <c r="J42" s="865"/>
      <c r="K42" s="865"/>
      <c r="L42" s="865"/>
      <c r="M42" s="865"/>
      <c r="N42" s="865"/>
      <c r="O42" s="865"/>
      <c r="P42" s="865"/>
      <c r="Q42" s="865"/>
      <c r="R42" s="865"/>
      <c r="S42" s="865"/>
      <c r="T42" s="865"/>
      <c r="U42" s="865"/>
      <c r="V42" s="865"/>
      <c r="W42" s="865"/>
      <c r="X42" s="865"/>
      <c r="Y42" s="865"/>
      <c r="Z42" s="921"/>
      <c r="AB42" s="1027"/>
      <c r="AC42" s="865"/>
      <c r="AD42" s="865"/>
      <c r="AE42" s="865"/>
      <c r="AF42" s="865"/>
      <c r="AG42" s="865"/>
      <c r="AH42" s="865"/>
      <c r="AI42" s="865"/>
      <c r="AJ42" s="865"/>
      <c r="AK42" s="865"/>
      <c r="AL42" s="865"/>
      <c r="AM42" s="865"/>
      <c r="AN42" s="865"/>
      <c r="AO42" s="865"/>
      <c r="AP42" s="865"/>
      <c r="AQ42" s="865"/>
      <c r="AR42" s="865"/>
      <c r="AS42" s="865"/>
      <c r="AT42" s="865"/>
      <c r="AU42" s="865"/>
      <c r="AV42" s="865"/>
      <c r="AW42" s="865"/>
      <c r="AX42" s="865"/>
      <c r="AY42" s="865"/>
      <c r="AZ42" s="921"/>
      <c r="BB42" s="644"/>
      <c r="BC42" s="645"/>
      <c r="BD42" s="645"/>
      <c r="BE42" s="645"/>
      <c r="BF42" s="645"/>
      <c r="BG42" s="645"/>
      <c r="BH42" s="1037"/>
      <c r="BI42" s="756"/>
      <c r="BJ42" s="757"/>
      <c r="BK42" s="757"/>
      <c r="BL42" s="757"/>
      <c r="BM42" s="757"/>
      <c r="BN42" s="757"/>
      <c r="BO42" s="757"/>
      <c r="BP42" s="757"/>
      <c r="BQ42" s="757"/>
      <c r="BR42" s="757"/>
      <c r="BS42" s="757"/>
      <c r="BT42" s="757"/>
      <c r="BU42" s="757"/>
      <c r="BV42" s="757"/>
      <c r="BW42" s="757"/>
      <c r="BX42" s="757"/>
      <c r="BY42" s="757"/>
      <c r="BZ42" s="758"/>
      <c r="CB42" s="644"/>
      <c r="CC42" s="645"/>
      <c r="CD42" s="645"/>
      <c r="CE42" s="645"/>
      <c r="CF42" s="645"/>
      <c r="CG42" s="645"/>
      <c r="CH42" s="1037"/>
      <c r="CI42" s="756"/>
      <c r="CJ42" s="757"/>
      <c r="CK42" s="757"/>
      <c r="CL42" s="757"/>
      <c r="CM42" s="757"/>
      <c r="CN42" s="757"/>
      <c r="CO42" s="757"/>
      <c r="CP42" s="757"/>
      <c r="CQ42" s="757"/>
      <c r="CR42" s="757"/>
      <c r="CS42" s="757"/>
      <c r="CT42" s="757"/>
      <c r="CU42" s="757"/>
      <c r="CV42" s="757"/>
      <c r="CW42" s="757"/>
      <c r="CX42" s="757"/>
      <c r="CY42" s="757"/>
      <c r="CZ42" s="758"/>
    </row>
    <row r="43" spans="1:104" ht="15" customHeight="1" x14ac:dyDescent="0.25">
      <c r="B43" s="1028" t="str">
        <f>IF(B44="","",VLOOKUP(B44,BoonRef!$A$2:$Z$900,2,FALSE))</f>
        <v/>
      </c>
      <c r="C43" s="725"/>
      <c r="D43" s="725"/>
      <c r="E43" s="725"/>
      <c r="F43" s="725"/>
      <c r="G43" s="725"/>
      <c r="H43" s="725"/>
      <c r="I43" s="725" t="str">
        <f>IF(B44="","",VLOOKUP(B44,BoonRef!$A$2:$Z$900,3,FALSE))</f>
        <v/>
      </c>
      <c r="J43" s="725"/>
      <c r="K43" s="725" t="str">
        <f>IF(B44="","",VLOOKUP(B44,DescRef!$A$2:$B$900,2,FALSE))</f>
        <v/>
      </c>
      <c r="L43" s="725"/>
      <c r="M43" s="725"/>
      <c r="N43" s="725"/>
      <c r="O43" s="725"/>
      <c r="P43" s="725"/>
      <c r="Q43" s="725"/>
      <c r="R43" s="725"/>
      <c r="S43" s="725"/>
      <c r="T43" s="725"/>
      <c r="U43" s="725"/>
      <c r="V43" s="725"/>
      <c r="W43" s="725"/>
      <c r="X43" s="725"/>
      <c r="Y43" s="725"/>
      <c r="Z43" s="726"/>
      <c r="AB43" s="1028" t="str">
        <f>IF(AB44="","",VLOOKUP(AB44,BoonRef!$A$2:$Z$900,2,FALSE))</f>
        <v/>
      </c>
      <c r="AC43" s="725"/>
      <c r="AD43" s="725"/>
      <c r="AE43" s="725"/>
      <c r="AF43" s="725"/>
      <c r="AG43" s="725"/>
      <c r="AH43" s="725"/>
      <c r="AI43" s="725" t="str">
        <f>IF(AB44="","",VLOOKUP(AB44,BoonRef!$A$2:$Z$900,3,FALSE))</f>
        <v/>
      </c>
      <c r="AJ43" s="725"/>
      <c r="AK43" s="725" t="str">
        <f>IF(AB44="","",VLOOKUP(AB44,DescRef!$A$2:$B$900,2,FALSE))</f>
        <v/>
      </c>
      <c r="AL43" s="725"/>
      <c r="AM43" s="725"/>
      <c r="AN43" s="725"/>
      <c r="AO43" s="725"/>
      <c r="AP43" s="725"/>
      <c r="AQ43" s="725"/>
      <c r="AR43" s="725"/>
      <c r="AS43" s="725"/>
      <c r="AT43" s="725"/>
      <c r="AU43" s="725"/>
      <c r="AV43" s="725"/>
      <c r="AW43" s="725"/>
      <c r="AX43" s="725"/>
      <c r="AY43" s="725"/>
      <c r="AZ43" s="726"/>
      <c r="BB43" s="1029" t="str">
        <f>IF(BB44="","",VLOOKUP(BB44,KanckRef!$A$1:$G$300,2,FALSE))</f>
        <v/>
      </c>
      <c r="BC43" s="1030"/>
      <c r="BD43" s="1030"/>
      <c r="BE43" s="1030"/>
      <c r="BF43" s="1031"/>
      <c r="BG43" s="1048" t="str">
        <f>IF(BB44="","",VLOOKUP(BB44,KanckRef!$A$1:$G$300,6,FALSE))</f>
        <v/>
      </c>
      <c r="BH43" s="1049"/>
      <c r="BI43" s="988" t="str">
        <f>IF(BB44="","",VLOOKUP(BB44,DescRef!$D$2:$E$300,2,FALSE))</f>
        <v/>
      </c>
      <c r="BJ43" s="795"/>
      <c r="BK43" s="795"/>
      <c r="BL43" s="795"/>
      <c r="BM43" s="795"/>
      <c r="BN43" s="795"/>
      <c r="BO43" s="795"/>
      <c r="BP43" s="795"/>
      <c r="BQ43" s="795"/>
      <c r="BR43" s="795"/>
      <c r="BS43" s="795"/>
      <c r="BT43" s="795"/>
      <c r="BU43" s="795"/>
      <c r="BV43" s="795"/>
      <c r="BW43" s="795"/>
      <c r="BX43" s="795"/>
      <c r="BY43" s="795"/>
      <c r="BZ43" s="796"/>
      <c r="CB43" s="1029" t="str">
        <f>IF(CB44="","",VLOOKUP(CB44,KanckRef!$A$1:$G$300,2,FALSE))</f>
        <v/>
      </c>
      <c r="CC43" s="1030"/>
      <c r="CD43" s="1030"/>
      <c r="CE43" s="1030"/>
      <c r="CF43" s="1031"/>
      <c r="CG43" s="1048" t="str">
        <f>IF(CB44="","",VLOOKUP(CB44,KanckRef!$A$1:$G$300,6,FALSE))</f>
        <v/>
      </c>
      <c r="CH43" s="1049"/>
      <c r="CI43" s="988" t="str">
        <f>IF(CB44="","",VLOOKUP(CB44,DescRef!$D$2:$E$300,2,FALSE))</f>
        <v/>
      </c>
      <c r="CJ43" s="795"/>
      <c r="CK43" s="795"/>
      <c r="CL43" s="795"/>
      <c r="CM43" s="795"/>
      <c r="CN43" s="795"/>
      <c r="CO43" s="795"/>
      <c r="CP43" s="795"/>
      <c r="CQ43" s="795"/>
      <c r="CR43" s="795"/>
      <c r="CS43" s="795"/>
      <c r="CT43" s="795"/>
      <c r="CU43" s="795"/>
      <c r="CV43" s="795"/>
      <c r="CW43" s="795"/>
      <c r="CX43" s="795"/>
      <c r="CY43" s="795"/>
      <c r="CZ43" s="796"/>
    </row>
    <row r="44" spans="1:104" ht="15" customHeight="1" x14ac:dyDescent="0.25">
      <c r="A44" s="15">
        <v>7</v>
      </c>
      <c r="B44" s="1026" t="str">
        <f>IF(A44&lt;'Purchased Boons'!$B$496,VLOOKUP(A44,'Purchased Boons'!$BF$2:$BG$900,2,FALSE),"")</f>
        <v/>
      </c>
      <c r="C44" s="727"/>
      <c r="D44" s="727"/>
      <c r="E44" s="727"/>
      <c r="F44" s="727"/>
      <c r="G44" s="727"/>
      <c r="H44" s="727"/>
      <c r="I44" s="727" t="str">
        <f>IF(B44="","",VLOOKUP(B44,BoonRef!$A$2:$Z$900,25,FALSE))</f>
        <v/>
      </c>
      <c r="J44" s="727"/>
      <c r="K44" s="727"/>
      <c r="L44" s="727"/>
      <c r="M44" s="727"/>
      <c r="N44" s="727"/>
      <c r="O44" s="727"/>
      <c r="P44" s="727"/>
      <c r="Q44" s="727"/>
      <c r="R44" s="727"/>
      <c r="S44" s="727"/>
      <c r="T44" s="727"/>
      <c r="U44" s="727"/>
      <c r="V44" s="727"/>
      <c r="W44" s="727"/>
      <c r="X44" s="727"/>
      <c r="Y44" s="727"/>
      <c r="Z44" s="728"/>
      <c r="AA44" s="15">
        <v>114</v>
      </c>
      <c r="AB44" s="1026" t="str">
        <f>IF(AA44&lt;'Purchased Boons'!$B$496,VLOOKUP(AA44,'Purchased Boons'!$BF$2:$BG$900,2,FALSE),"")</f>
        <v/>
      </c>
      <c r="AC44" s="727"/>
      <c r="AD44" s="727"/>
      <c r="AE44" s="727"/>
      <c r="AF44" s="727"/>
      <c r="AG44" s="727"/>
      <c r="AH44" s="727"/>
      <c r="AI44" s="727" t="str">
        <f>IF(AB44="","",VLOOKUP(AB44,BoonRef!$A$2:$Z$900,25,FALSE))</f>
        <v/>
      </c>
      <c r="AJ44" s="727"/>
      <c r="AK44" s="727"/>
      <c r="AL44" s="727"/>
      <c r="AM44" s="727"/>
      <c r="AN44" s="727"/>
      <c r="AO44" s="727"/>
      <c r="AP44" s="727"/>
      <c r="AQ44" s="727"/>
      <c r="AR44" s="727"/>
      <c r="AS44" s="727"/>
      <c r="AT44" s="727"/>
      <c r="AU44" s="727"/>
      <c r="AV44" s="727"/>
      <c r="AW44" s="727"/>
      <c r="AX44" s="727"/>
      <c r="AY44" s="727"/>
      <c r="AZ44" s="728"/>
      <c r="BA44" s="15">
        <v>7</v>
      </c>
      <c r="BB44" s="1038" t="str">
        <f>IF(BA44&lt;'Purchased Knacks'!A$192,VLOOKUP(BA44,'Purchased Knacks'!$A$4:$E$300,3,FALSE),"")</f>
        <v/>
      </c>
      <c r="BC44" s="1039"/>
      <c r="BD44" s="1039"/>
      <c r="BE44" s="1039"/>
      <c r="BF44" s="1040"/>
      <c r="BG44" s="1032" t="str">
        <f>IF(BB44="","",VLOOKUP(BB44,KanckRef!$A$1:$G$300,7,FALSE))</f>
        <v/>
      </c>
      <c r="BH44" s="1033"/>
      <c r="BI44" s="753"/>
      <c r="BJ44" s="754"/>
      <c r="BK44" s="754"/>
      <c r="BL44" s="754"/>
      <c r="BM44" s="754"/>
      <c r="BN44" s="754"/>
      <c r="BO44" s="754"/>
      <c r="BP44" s="754"/>
      <c r="BQ44" s="754"/>
      <c r="BR44" s="754"/>
      <c r="BS44" s="754"/>
      <c r="BT44" s="754"/>
      <c r="BU44" s="754"/>
      <c r="BV44" s="754"/>
      <c r="BW44" s="754"/>
      <c r="BX44" s="754"/>
      <c r="BY44" s="754"/>
      <c r="BZ44" s="755"/>
      <c r="CA44" s="15">
        <v>114</v>
      </c>
      <c r="CB44" s="1038" t="str">
        <f>IF(CA44&lt;'Purchased Knacks'!A$192,VLOOKUP(CA44,'Purchased Knacks'!$A$4:$E$300,3,FALSE),"")</f>
        <v/>
      </c>
      <c r="CC44" s="1039"/>
      <c r="CD44" s="1039"/>
      <c r="CE44" s="1039"/>
      <c r="CF44" s="1040"/>
      <c r="CG44" s="1032" t="str">
        <f>IF(CB44="","",VLOOKUP(CB44,KanckRef!$A$1:$G$300,7,FALSE))</f>
        <v/>
      </c>
      <c r="CH44" s="1033"/>
      <c r="CI44" s="753"/>
      <c r="CJ44" s="754"/>
      <c r="CK44" s="754"/>
      <c r="CL44" s="754"/>
      <c r="CM44" s="754"/>
      <c r="CN44" s="754"/>
      <c r="CO44" s="754"/>
      <c r="CP44" s="754"/>
      <c r="CQ44" s="754"/>
      <c r="CR44" s="754"/>
      <c r="CS44" s="754"/>
      <c r="CT44" s="754"/>
      <c r="CU44" s="754"/>
      <c r="CV44" s="754"/>
      <c r="CW44" s="754"/>
      <c r="CX44" s="754"/>
      <c r="CY44" s="754"/>
      <c r="CZ44" s="755"/>
    </row>
    <row r="45" spans="1:104" ht="15" customHeight="1" x14ac:dyDescent="0.25">
      <c r="B45" s="1026"/>
      <c r="C45" s="727"/>
      <c r="D45" s="727"/>
      <c r="E45" s="727"/>
      <c r="F45" s="727"/>
      <c r="G45" s="727"/>
      <c r="H45" s="727"/>
      <c r="I45" s="727" t="str">
        <f>IF(B44="","",VLOOKUP(B44,BoonRef!$A$2:$Z$900,26,FALSE))</f>
        <v/>
      </c>
      <c r="J45" s="727"/>
      <c r="K45" s="727"/>
      <c r="L45" s="727"/>
      <c r="M45" s="727"/>
      <c r="N45" s="727"/>
      <c r="O45" s="727"/>
      <c r="P45" s="727"/>
      <c r="Q45" s="727"/>
      <c r="R45" s="727"/>
      <c r="S45" s="727"/>
      <c r="T45" s="727"/>
      <c r="U45" s="727"/>
      <c r="V45" s="727"/>
      <c r="W45" s="727"/>
      <c r="X45" s="727"/>
      <c r="Y45" s="727"/>
      <c r="Z45" s="728"/>
      <c r="AB45" s="1026"/>
      <c r="AC45" s="727"/>
      <c r="AD45" s="727"/>
      <c r="AE45" s="727"/>
      <c r="AF45" s="727"/>
      <c r="AG45" s="727"/>
      <c r="AH45" s="727"/>
      <c r="AI45" s="727" t="str">
        <f>IF(AB44="","",VLOOKUP(AB44,BoonRef!$A$2:$Z$900,26,FALSE))</f>
        <v/>
      </c>
      <c r="AJ45" s="727"/>
      <c r="AK45" s="727"/>
      <c r="AL45" s="727"/>
      <c r="AM45" s="727"/>
      <c r="AN45" s="727"/>
      <c r="AO45" s="727"/>
      <c r="AP45" s="727"/>
      <c r="AQ45" s="727"/>
      <c r="AR45" s="727"/>
      <c r="AS45" s="727"/>
      <c r="AT45" s="727"/>
      <c r="AU45" s="727"/>
      <c r="AV45" s="727"/>
      <c r="AW45" s="727"/>
      <c r="AX45" s="727"/>
      <c r="AY45" s="727"/>
      <c r="AZ45" s="728"/>
      <c r="BB45" s="1041"/>
      <c r="BC45" s="1042"/>
      <c r="BD45" s="1042"/>
      <c r="BE45" s="1042"/>
      <c r="BF45" s="1043"/>
      <c r="BG45" s="1034"/>
      <c r="BH45" s="1035"/>
      <c r="BI45" s="753"/>
      <c r="BJ45" s="754"/>
      <c r="BK45" s="754"/>
      <c r="BL45" s="754"/>
      <c r="BM45" s="754"/>
      <c r="BN45" s="754"/>
      <c r="BO45" s="754"/>
      <c r="BP45" s="754"/>
      <c r="BQ45" s="754"/>
      <c r="BR45" s="754"/>
      <c r="BS45" s="754"/>
      <c r="BT45" s="754"/>
      <c r="BU45" s="754"/>
      <c r="BV45" s="754"/>
      <c r="BW45" s="754"/>
      <c r="BX45" s="754"/>
      <c r="BY45" s="754"/>
      <c r="BZ45" s="755"/>
      <c r="CB45" s="1041"/>
      <c r="CC45" s="1042"/>
      <c r="CD45" s="1042"/>
      <c r="CE45" s="1042"/>
      <c r="CF45" s="1043"/>
      <c r="CG45" s="1034"/>
      <c r="CH45" s="1035"/>
      <c r="CI45" s="753"/>
      <c r="CJ45" s="754"/>
      <c r="CK45" s="754"/>
      <c r="CL45" s="754"/>
      <c r="CM45" s="754"/>
      <c r="CN45" s="754"/>
      <c r="CO45" s="754"/>
      <c r="CP45" s="754"/>
      <c r="CQ45" s="754"/>
      <c r="CR45" s="754"/>
      <c r="CS45" s="754"/>
      <c r="CT45" s="754"/>
      <c r="CU45" s="754"/>
      <c r="CV45" s="754"/>
      <c r="CW45" s="754"/>
      <c r="CX45" s="754"/>
      <c r="CY45" s="754"/>
      <c r="CZ45" s="755"/>
    </row>
    <row r="46" spans="1:104" ht="15" customHeight="1" x14ac:dyDescent="0.25">
      <c r="B46" s="1026" t="str">
        <f>IF(B44="","",VLOOKUP(B44,BoonRef!$A$2:$Z$900,24,FALSE))</f>
        <v/>
      </c>
      <c r="C46" s="727"/>
      <c r="D46" s="727"/>
      <c r="E46" s="727"/>
      <c r="F46" s="727"/>
      <c r="G46" s="727"/>
      <c r="H46" s="727"/>
      <c r="I46" s="727"/>
      <c r="J46" s="727"/>
      <c r="K46" s="727"/>
      <c r="L46" s="727"/>
      <c r="M46" s="727"/>
      <c r="N46" s="727"/>
      <c r="O46" s="727"/>
      <c r="P46" s="727"/>
      <c r="Q46" s="727"/>
      <c r="R46" s="727"/>
      <c r="S46" s="727"/>
      <c r="T46" s="727"/>
      <c r="U46" s="727"/>
      <c r="V46" s="727"/>
      <c r="W46" s="727"/>
      <c r="X46" s="727"/>
      <c r="Y46" s="727"/>
      <c r="Z46" s="728"/>
      <c r="AB46" s="1026" t="str">
        <f>IF(AB44="","",VLOOKUP(AB44,BoonRef!$A$2:$Z$900,24,FALSE))</f>
        <v/>
      </c>
      <c r="AC46" s="727"/>
      <c r="AD46" s="727"/>
      <c r="AE46" s="727"/>
      <c r="AF46" s="727"/>
      <c r="AG46" s="727"/>
      <c r="AH46" s="727"/>
      <c r="AI46" s="727"/>
      <c r="AJ46" s="727"/>
      <c r="AK46" s="727"/>
      <c r="AL46" s="727"/>
      <c r="AM46" s="727"/>
      <c r="AN46" s="727"/>
      <c r="AO46" s="727"/>
      <c r="AP46" s="727"/>
      <c r="AQ46" s="727"/>
      <c r="AR46" s="727"/>
      <c r="AS46" s="727"/>
      <c r="AT46" s="727"/>
      <c r="AU46" s="727"/>
      <c r="AV46" s="727"/>
      <c r="AW46" s="727"/>
      <c r="AX46" s="727"/>
      <c r="AY46" s="727"/>
      <c r="AZ46" s="728"/>
      <c r="BB46" s="641" t="str">
        <f>IF(BB44="","",VLOOKUP(BB44,KanckRef!$A$1:$G$300,4,FALSE))</f>
        <v/>
      </c>
      <c r="BC46" s="642"/>
      <c r="BD46" s="642"/>
      <c r="BE46" s="642"/>
      <c r="BF46" s="642"/>
      <c r="BG46" s="642"/>
      <c r="BH46" s="1033"/>
      <c r="BI46" s="753"/>
      <c r="BJ46" s="754"/>
      <c r="BK46" s="754"/>
      <c r="BL46" s="754"/>
      <c r="BM46" s="754"/>
      <c r="BN46" s="754"/>
      <c r="BO46" s="754"/>
      <c r="BP46" s="754"/>
      <c r="BQ46" s="754"/>
      <c r="BR46" s="754"/>
      <c r="BS46" s="754"/>
      <c r="BT46" s="754"/>
      <c r="BU46" s="754"/>
      <c r="BV46" s="754"/>
      <c r="BW46" s="754"/>
      <c r="BX46" s="754"/>
      <c r="BY46" s="754"/>
      <c r="BZ46" s="755"/>
      <c r="CB46" s="641" t="str">
        <f>IF(CB44="","",VLOOKUP(CB44,KanckRef!$A$1:$G$300,4,FALSE))</f>
        <v/>
      </c>
      <c r="CC46" s="642"/>
      <c r="CD46" s="642"/>
      <c r="CE46" s="642"/>
      <c r="CF46" s="642"/>
      <c r="CG46" s="642"/>
      <c r="CH46" s="1033"/>
      <c r="CI46" s="753"/>
      <c r="CJ46" s="754"/>
      <c r="CK46" s="754"/>
      <c r="CL46" s="754"/>
      <c r="CM46" s="754"/>
      <c r="CN46" s="754"/>
      <c r="CO46" s="754"/>
      <c r="CP46" s="754"/>
      <c r="CQ46" s="754"/>
      <c r="CR46" s="754"/>
      <c r="CS46" s="754"/>
      <c r="CT46" s="754"/>
      <c r="CU46" s="754"/>
      <c r="CV46" s="754"/>
      <c r="CW46" s="754"/>
      <c r="CX46" s="754"/>
      <c r="CY46" s="754"/>
      <c r="CZ46" s="755"/>
    </row>
    <row r="47" spans="1:104" ht="15" customHeight="1" x14ac:dyDescent="0.25">
      <c r="B47" s="1026" t="str">
        <f>IF(B44="","",VLOOKUP(B44,BoonRef!$A$2:$Z$900,23,FALSE))</f>
        <v/>
      </c>
      <c r="C47" s="727"/>
      <c r="D47" s="727"/>
      <c r="E47" s="727"/>
      <c r="F47" s="727"/>
      <c r="G47" s="727"/>
      <c r="H47" s="727"/>
      <c r="I47" s="727"/>
      <c r="J47" s="727"/>
      <c r="K47" s="727"/>
      <c r="L47" s="727"/>
      <c r="M47" s="727"/>
      <c r="N47" s="727"/>
      <c r="O47" s="727"/>
      <c r="P47" s="727"/>
      <c r="Q47" s="727"/>
      <c r="R47" s="727"/>
      <c r="S47" s="727"/>
      <c r="T47" s="727"/>
      <c r="U47" s="727"/>
      <c r="V47" s="727"/>
      <c r="W47" s="727"/>
      <c r="X47" s="727"/>
      <c r="Y47" s="727"/>
      <c r="Z47" s="728"/>
      <c r="AB47" s="1026" t="str">
        <f>IF(AB44="","",VLOOKUP(AB44,BoonRef!$A$2:$Z$900,23,FALSE))</f>
        <v/>
      </c>
      <c r="AC47" s="727"/>
      <c r="AD47" s="727"/>
      <c r="AE47" s="727"/>
      <c r="AF47" s="727"/>
      <c r="AG47" s="727"/>
      <c r="AH47" s="727"/>
      <c r="AI47" s="727"/>
      <c r="AJ47" s="727"/>
      <c r="AK47" s="727"/>
      <c r="AL47" s="727"/>
      <c r="AM47" s="727"/>
      <c r="AN47" s="727"/>
      <c r="AO47" s="727"/>
      <c r="AP47" s="727"/>
      <c r="AQ47" s="727"/>
      <c r="AR47" s="727"/>
      <c r="AS47" s="727"/>
      <c r="AT47" s="727"/>
      <c r="AU47" s="727"/>
      <c r="AV47" s="727"/>
      <c r="AW47" s="727"/>
      <c r="AX47" s="727"/>
      <c r="AY47" s="727"/>
      <c r="AZ47" s="728"/>
      <c r="BB47" s="635"/>
      <c r="BC47" s="636"/>
      <c r="BD47" s="636"/>
      <c r="BE47" s="636"/>
      <c r="BF47" s="636"/>
      <c r="BG47" s="636"/>
      <c r="BH47" s="1036"/>
      <c r="BI47" s="753"/>
      <c r="BJ47" s="754"/>
      <c r="BK47" s="754"/>
      <c r="BL47" s="754"/>
      <c r="BM47" s="754"/>
      <c r="BN47" s="754"/>
      <c r="BO47" s="754"/>
      <c r="BP47" s="754"/>
      <c r="BQ47" s="754"/>
      <c r="BR47" s="754"/>
      <c r="BS47" s="754"/>
      <c r="BT47" s="754"/>
      <c r="BU47" s="754"/>
      <c r="BV47" s="754"/>
      <c r="BW47" s="754"/>
      <c r="BX47" s="754"/>
      <c r="BY47" s="754"/>
      <c r="BZ47" s="755"/>
      <c r="CB47" s="635"/>
      <c r="CC47" s="636"/>
      <c r="CD47" s="636"/>
      <c r="CE47" s="636"/>
      <c r="CF47" s="636"/>
      <c r="CG47" s="636"/>
      <c r="CH47" s="1036"/>
      <c r="CI47" s="753"/>
      <c r="CJ47" s="754"/>
      <c r="CK47" s="754"/>
      <c r="CL47" s="754"/>
      <c r="CM47" s="754"/>
      <c r="CN47" s="754"/>
      <c r="CO47" s="754"/>
      <c r="CP47" s="754"/>
      <c r="CQ47" s="754"/>
      <c r="CR47" s="754"/>
      <c r="CS47" s="754"/>
      <c r="CT47" s="754"/>
      <c r="CU47" s="754"/>
      <c r="CV47" s="754"/>
      <c r="CW47" s="754"/>
      <c r="CX47" s="754"/>
      <c r="CY47" s="754"/>
      <c r="CZ47" s="755"/>
    </row>
    <row r="48" spans="1:104" ht="15" customHeight="1" thickBot="1" x14ac:dyDescent="0.3">
      <c r="B48" s="1027"/>
      <c r="C48" s="865"/>
      <c r="D48" s="865"/>
      <c r="E48" s="865"/>
      <c r="F48" s="865"/>
      <c r="G48" s="865"/>
      <c r="H48" s="865"/>
      <c r="I48" s="865"/>
      <c r="J48" s="865"/>
      <c r="K48" s="865"/>
      <c r="L48" s="865"/>
      <c r="M48" s="865"/>
      <c r="N48" s="865"/>
      <c r="O48" s="865"/>
      <c r="P48" s="865"/>
      <c r="Q48" s="865"/>
      <c r="R48" s="865"/>
      <c r="S48" s="865"/>
      <c r="T48" s="865"/>
      <c r="U48" s="865"/>
      <c r="V48" s="865"/>
      <c r="W48" s="865"/>
      <c r="X48" s="865"/>
      <c r="Y48" s="865"/>
      <c r="Z48" s="921"/>
      <c r="AB48" s="1027"/>
      <c r="AC48" s="865"/>
      <c r="AD48" s="865"/>
      <c r="AE48" s="865"/>
      <c r="AF48" s="865"/>
      <c r="AG48" s="865"/>
      <c r="AH48" s="865"/>
      <c r="AI48" s="865"/>
      <c r="AJ48" s="865"/>
      <c r="AK48" s="865"/>
      <c r="AL48" s="865"/>
      <c r="AM48" s="865"/>
      <c r="AN48" s="865"/>
      <c r="AO48" s="865"/>
      <c r="AP48" s="865"/>
      <c r="AQ48" s="865"/>
      <c r="AR48" s="865"/>
      <c r="AS48" s="865"/>
      <c r="AT48" s="865"/>
      <c r="AU48" s="865"/>
      <c r="AV48" s="865"/>
      <c r="AW48" s="865"/>
      <c r="AX48" s="865"/>
      <c r="AY48" s="865"/>
      <c r="AZ48" s="921"/>
      <c r="BB48" s="644"/>
      <c r="BC48" s="645"/>
      <c r="BD48" s="645"/>
      <c r="BE48" s="645"/>
      <c r="BF48" s="645"/>
      <c r="BG48" s="645"/>
      <c r="BH48" s="1037"/>
      <c r="BI48" s="756"/>
      <c r="BJ48" s="757"/>
      <c r="BK48" s="757"/>
      <c r="BL48" s="757"/>
      <c r="BM48" s="757"/>
      <c r="BN48" s="757"/>
      <c r="BO48" s="757"/>
      <c r="BP48" s="757"/>
      <c r="BQ48" s="757"/>
      <c r="BR48" s="757"/>
      <c r="BS48" s="757"/>
      <c r="BT48" s="757"/>
      <c r="BU48" s="757"/>
      <c r="BV48" s="757"/>
      <c r="BW48" s="757"/>
      <c r="BX48" s="757"/>
      <c r="BY48" s="757"/>
      <c r="BZ48" s="758"/>
      <c r="CB48" s="644"/>
      <c r="CC48" s="645"/>
      <c r="CD48" s="645"/>
      <c r="CE48" s="645"/>
      <c r="CF48" s="645"/>
      <c r="CG48" s="645"/>
      <c r="CH48" s="1037"/>
      <c r="CI48" s="756"/>
      <c r="CJ48" s="757"/>
      <c r="CK48" s="757"/>
      <c r="CL48" s="757"/>
      <c r="CM48" s="757"/>
      <c r="CN48" s="757"/>
      <c r="CO48" s="757"/>
      <c r="CP48" s="757"/>
      <c r="CQ48" s="757"/>
      <c r="CR48" s="757"/>
      <c r="CS48" s="757"/>
      <c r="CT48" s="757"/>
      <c r="CU48" s="757"/>
      <c r="CV48" s="757"/>
      <c r="CW48" s="757"/>
      <c r="CX48" s="757"/>
      <c r="CY48" s="757"/>
      <c r="CZ48" s="758"/>
    </row>
    <row r="49" spans="1:104" ht="15" customHeight="1" x14ac:dyDescent="0.25">
      <c r="B49" s="1028" t="str">
        <f>IF(B50="","",VLOOKUP(B50,BoonRef!$A$2:$Z$900,2,FALSE))</f>
        <v/>
      </c>
      <c r="C49" s="725"/>
      <c r="D49" s="725"/>
      <c r="E49" s="725"/>
      <c r="F49" s="725"/>
      <c r="G49" s="725"/>
      <c r="H49" s="725"/>
      <c r="I49" s="725" t="str">
        <f>IF(B50="","",VLOOKUP(B50,BoonRef!$A$2:$Z$900,3,FALSE))</f>
        <v/>
      </c>
      <c r="J49" s="725"/>
      <c r="K49" s="725" t="str">
        <f>IF(B50="","",VLOOKUP(B50,DescRef!$A$2:$B$900,2,FALSE))</f>
        <v/>
      </c>
      <c r="L49" s="725"/>
      <c r="M49" s="725"/>
      <c r="N49" s="725"/>
      <c r="O49" s="725"/>
      <c r="P49" s="725"/>
      <c r="Q49" s="725"/>
      <c r="R49" s="725"/>
      <c r="S49" s="725"/>
      <c r="T49" s="725"/>
      <c r="U49" s="725"/>
      <c r="V49" s="725"/>
      <c r="W49" s="725"/>
      <c r="X49" s="725"/>
      <c r="Y49" s="725"/>
      <c r="Z49" s="726"/>
      <c r="AB49" s="1028" t="str">
        <f>IF(AB50="","",VLOOKUP(AB50,BoonRef!$A$2:$Z$900,2,FALSE))</f>
        <v/>
      </c>
      <c r="AC49" s="725"/>
      <c r="AD49" s="725"/>
      <c r="AE49" s="725"/>
      <c r="AF49" s="725"/>
      <c r="AG49" s="725"/>
      <c r="AH49" s="725"/>
      <c r="AI49" s="725" t="str">
        <f>IF(AB50="","",VLOOKUP(AB50,BoonRef!$A$2:$Z$900,3,FALSE))</f>
        <v/>
      </c>
      <c r="AJ49" s="725"/>
      <c r="AK49" s="725" t="str">
        <f>IF(AB50="","",VLOOKUP(AB50,DescRef!$A$2:$B$900,2,FALSE))</f>
        <v/>
      </c>
      <c r="AL49" s="725"/>
      <c r="AM49" s="725"/>
      <c r="AN49" s="725"/>
      <c r="AO49" s="725"/>
      <c r="AP49" s="725"/>
      <c r="AQ49" s="725"/>
      <c r="AR49" s="725"/>
      <c r="AS49" s="725"/>
      <c r="AT49" s="725"/>
      <c r="AU49" s="725"/>
      <c r="AV49" s="725"/>
      <c r="AW49" s="725"/>
      <c r="AX49" s="725"/>
      <c r="AY49" s="725"/>
      <c r="AZ49" s="726"/>
      <c r="BB49" s="1029" t="str">
        <f>IF(BB50="","",VLOOKUP(BB50,KanckRef!$A$1:$G$300,2,FALSE))</f>
        <v/>
      </c>
      <c r="BC49" s="1030"/>
      <c r="BD49" s="1030"/>
      <c r="BE49" s="1030"/>
      <c r="BF49" s="1031"/>
      <c r="BG49" s="1048" t="str">
        <f>IF(BB50="","",VLOOKUP(BB50,KanckRef!$A$1:$G$300,6,FALSE))</f>
        <v/>
      </c>
      <c r="BH49" s="1049"/>
      <c r="BI49" s="988" t="str">
        <f>IF(BB50="","",VLOOKUP(BB50,DescRef!$D$2:$E$300,2,FALSE))</f>
        <v/>
      </c>
      <c r="BJ49" s="795"/>
      <c r="BK49" s="795"/>
      <c r="BL49" s="795"/>
      <c r="BM49" s="795"/>
      <c r="BN49" s="795"/>
      <c r="BO49" s="795"/>
      <c r="BP49" s="795"/>
      <c r="BQ49" s="795"/>
      <c r="BR49" s="795"/>
      <c r="BS49" s="795"/>
      <c r="BT49" s="795"/>
      <c r="BU49" s="795"/>
      <c r="BV49" s="795"/>
      <c r="BW49" s="795"/>
      <c r="BX49" s="795"/>
      <c r="BY49" s="795"/>
      <c r="BZ49" s="796"/>
      <c r="CB49" s="1029" t="str">
        <f>IF(CB50="","",VLOOKUP(CB50,KanckRef!$A$1:$G$300,2,FALSE))</f>
        <v/>
      </c>
      <c r="CC49" s="1030"/>
      <c r="CD49" s="1030"/>
      <c r="CE49" s="1030"/>
      <c r="CF49" s="1031"/>
      <c r="CG49" s="1048" t="str">
        <f>IF(CB50="","",VLOOKUP(CB50,KanckRef!$A$1:$G$300,6,FALSE))</f>
        <v/>
      </c>
      <c r="CH49" s="1049"/>
      <c r="CI49" s="988" t="str">
        <f>IF(CB50="","",VLOOKUP(CB50,DescRef!$D$2:$E$300,2,FALSE))</f>
        <v/>
      </c>
      <c r="CJ49" s="795"/>
      <c r="CK49" s="795"/>
      <c r="CL49" s="795"/>
      <c r="CM49" s="795"/>
      <c r="CN49" s="795"/>
      <c r="CO49" s="795"/>
      <c r="CP49" s="795"/>
      <c r="CQ49" s="795"/>
      <c r="CR49" s="795"/>
      <c r="CS49" s="795"/>
      <c r="CT49" s="795"/>
      <c r="CU49" s="795"/>
      <c r="CV49" s="795"/>
      <c r="CW49" s="795"/>
      <c r="CX49" s="795"/>
      <c r="CY49" s="795"/>
      <c r="CZ49" s="796"/>
    </row>
    <row r="50" spans="1:104" ht="15" customHeight="1" x14ac:dyDescent="0.25">
      <c r="A50" s="15">
        <v>8</v>
      </c>
      <c r="B50" s="1026" t="str">
        <f>IF(A50&lt;'Purchased Boons'!$B$496,VLOOKUP(A50,'Purchased Boons'!$BF$2:$BG$900,2,FALSE),"")</f>
        <v/>
      </c>
      <c r="C50" s="727"/>
      <c r="D50" s="727"/>
      <c r="E50" s="727"/>
      <c r="F50" s="727"/>
      <c r="G50" s="727"/>
      <c r="H50" s="727"/>
      <c r="I50" s="727" t="str">
        <f>IF(B50="","",VLOOKUP(B50,BoonRef!$A$2:$Z$900,25,FALSE))</f>
        <v/>
      </c>
      <c r="J50" s="727"/>
      <c r="K50" s="727"/>
      <c r="L50" s="727"/>
      <c r="M50" s="727"/>
      <c r="N50" s="727"/>
      <c r="O50" s="727"/>
      <c r="P50" s="727"/>
      <c r="Q50" s="727"/>
      <c r="R50" s="727"/>
      <c r="S50" s="727"/>
      <c r="T50" s="727"/>
      <c r="U50" s="727"/>
      <c r="V50" s="727"/>
      <c r="W50" s="727"/>
      <c r="X50" s="727"/>
      <c r="Y50" s="727"/>
      <c r="Z50" s="728"/>
      <c r="AA50" s="15">
        <v>115</v>
      </c>
      <c r="AB50" s="1026" t="str">
        <f>IF(AA50&lt;'Purchased Boons'!$B$496,VLOOKUP(AA50,'Purchased Boons'!$BF$2:$BG$900,2,FALSE),"")</f>
        <v/>
      </c>
      <c r="AC50" s="727"/>
      <c r="AD50" s="727"/>
      <c r="AE50" s="727"/>
      <c r="AF50" s="727"/>
      <c r="AG50" s="727"/>
      <c r="AH50" s="727"/>
      <c r="AI50" s="727" t="str">
        <f>IF(AB50="","",VLOOKUP(AB50,BoonRef!$A$2:$Z$900,25,FALSE))</f>
        <v/>
      </c>
      <c r="AJ50" s="727"/>
      <c r="AK50" s="727"/>
      <c r="AL50" s="727"/>
      <c r="AM50" s="727"/>
      <c r="AN50" s="727"/>
      <c r="AO50" s="727"/>
      <c r="AP50" s="727"/>
      <c r="AQ50" s="727"/>
      <c r="AR50" s="727"/>
      <c r="AS50" s="727"/>
      <c r="AT50" s="727"/>
      <c r="AU50" s="727"/>
      <c r="AV50" s="727"/>
      <c r="AW50" s="727"/>
      <c r="AX50" s="727"/>
      <c r="AY50" s="727"/>
      <c r="AZ50" s="728"/>
      <c r="BA50" s="15">
        <v>8</v>
      </c>
      <c r="BB50" s="1038" t="str">
        <f>IF(BA50&lt;'Purchased Knacks'!A$192,VLOOKUP(BA50,'Purchased Knacks'!$A$4:$E$300,3,FALSE),"")</f>
        <v/>
      </c>
      <c r="BC50" s="1039"/>
      <c r="BD50" s="1039"/>
      <c r="BE50" s="1039"/>
      <c r="BF50" s="1040"/>
      <c r="BG50" s="1032" t="str">
        <f>IF(BB50="","",VLOOKUP(BB50,KanckRef!$A$1:$G$300,7,FALSE))</f>
        <v/>
      </c>
      <c r="BH50" s="1033"/>
      <c r="BI50" s="753"/>
      <c r="BJ50" s="754"/>
      <c r="BK50" s="754"/>
      <c r="BL50" s="754"/>
      <c r="BM50" s="754"/>
      <c r="BN50" s="754"/>
      <c r="BO50" s="754"/>
      <c r="BP50" s="754"/>
      <c r="BQ50" s="754"/>
      <c r="BR50" s="754"/>
      <c r="BS50" s="754"/>
      <c r="BT50" s="754"/>
      <c r="BU50" s="754"/>
      <c r="BV50" s="754"/>
      <c r="BW50" s="754"/>
      <c r="BX50" s="754"/>
      <c r="BY50" s="754"/>
      <c r="BZ50" s="755"/>
      <c r="CA50" s="15">
        <v>115</v>
      </c>
      <c r="CB50" s="1038" t="str">
        <f>IF(CA50&lt;'Purchased Knacks'!A$192,VLOOKUP(CA50,'Purchased Knacks'!$A$4:$E$300,3,FALSE),"")</f>
        <v/>
      </c>
      <c r="CC50" s="1039"/>
      <c r="CD50" s="1039"/>
      <c r="CE50" s="1039"/>
      <c r="CF50" s="1040"/>
      <c r="CG50" s="1032" t="str">
        <f>IF(CB50="","",VLOOKUP(CB50,KanckRef!$A$1:$G$300,7,FALSE))</f>
        <v/>
      </c>
      <c r="CH50" s="1033"/>
      <c r="CI50" s="753"/>
      <c r="CJ50" s="754"/>
      <c r="CK50" s="754"/>
      <c r="CL50" s="754"/>
      <c r="CM50" s="754"/>
      <c r="CN50" s="754"/>
      <c r="CO50" s="754"/>
      <c r="CP50" s="754"/>
      <c r="CQ50" s="754"/>
      <c r="CR50" s="754"/>
      <c r="CS50" s="754"/>
      <c r="CT50" s="754"/>
      <c r="CU50" s="754"/>
      <c r="CV50" s="754"/>
      <c r="CW50" s="754"/>
      <c r="CX50" s="754"/>
      <c r="CY50" s="754"/>
      <c r="CZ50" s="755"/>
    </row>
    <row r="51" spans="1:104" ht="15" customHeight="1" x14ac:dyDescent="0.25">
      <c r="B51" s="1026"/>
      <c r="C51" s="727"/>
      <c r="D51" s="727"/>
      <c r="E51" s="727"/>
      <c r="F51" s="727"/>
      <c r="G51" s="727"/>
      <c r="H51" s="727"/>
      <c r="I51" s="727" t="str">
        <f>IF(B50="","",VLOOKUP(B50,BoonRef!$A$2:$Z$900,26,FALSE))</f>
        <v/>
      </c>
      <c r="J51" s="727"/>
      <c r="K51" s="727"/>
      <c r="L51" s="727"/>
      <c r="M51" s="727"/>
      <c r="N51" s="727"/>
      <c r="O51" s="727"/>
      <c r="P51" s="727"/>
      <c r="Q51" s="727"/>
      <c r="R51" s="727"/>
      <c r="S51" s="727"/>
      <c r="T51" s="727"/>
      <c r="U51" s="727"/>
      <c r="V51" s="727"/>
      <c r="W51" s="727"/>
      <c r="X51" s="727"/>
      <c r="Y51" s="727"/>
      <c r="Z51" s="728"/>
      <c r="AB51" s="1026"/>
      <c r="AC51" s="727"/>
      <c r="AD51" s="727"/>
      <c r="AE51" s="727"/>
      <c r="AF51" s="727"/>
      <c r="AG51" s="727"/>
      <c r="AH51" s="727"/>
      <c r="AI51" s="727" t="str">
        <f>IF(AB50="","",VLOOKUP(AB50,BoonRef!$A$2:$Z$900,26,FALSE))</f>
        <v/>
      </c>
      <c r="AJ51" s="727"/>
      <c r="AK51" s="727"/>
      <c r="AL51" s="727"/>
      <c r="AM51" s="727"/>
      <c r="AN51" s="727"/>
      <c r="AO51" s="727"/>
      <c r="AP51" s="727"/>
      <c r="AQ51" s="727"/>
      <c r="AR51" s="727"/>
      <c r="AS51" s="727"/>
      <c r="AT51" s="727"/>
      <c r="AU51" s="727"/>
      <c r="AV51" s="727"/>
      <c r="AW51" s="727"/>
      <c r="AX51" s="727"/>
      <c r="AY51" s="727"/>
      <c r="AZ51" s="728"/>
      <c r="BB51" s="1041"/>
      <c r="BC51" s="1042"/>
      <c r="BD51" s="1042"/>
      <c r="BE51" s="1042"/>
      <c r="BF51" s="1043"/>
      <c r="BG51" s="1034"/>
      <c r="BH51" s="1035"/>
      <c r="BI51" s="753"/>
      <c r="BJ51" s="754"/>
      <c r="BK51" s="754"/>
      <c r="BL51" s="754"/>
      <c r="BM51" s="754"/>
      <c r="BN51" s="754"/>
      <c r="BO51" s="754"/>
      <c r="BP51" s="754"/>
      <c r="BQ51" s="754"/>
      <c r="BR51" s="754"/>
      <c r="BS51" s="754"/>
      <c r="BT51" s="754"/>
      <c r="BU51" s="754"/>
      <c r="BV51" s="754"/>
      <c r="BW51" s="754"/>
      <c r="BX51" s="754"/>
      <c r="BY51" s="754"/>
      <c r="BZ51" s="755"/>
      <c r="CB51" s="1041"/>
      <c r="CC51" s="1042"/>
      <c r="CD51" s="1042"/>
      <c r="CE51" s="1042"/>
      <c r="CF51" s="1043"/>
      <c r="CG51" s="1034"/>
      <c r="CH51" s="1035"/>
      <c r="CI51" s="753"/>
      <c r="CJ51" s="754"/>
      <c r="CK51" s="754"/>
      <c r="CL51" s="754"/>
      <c r="CM51" s="754"/>
      <c r="CN51" s="754"/>
      <c r="CO51" s="754"/>
      <c r="CP51" s="754"/>
      <c r="CQ51" s="754"/>
      <c r="CR51" s="754"/>
      <c r="CS51" s="754"/>
      <c r="CT51" s="754"/>
      <c r="CU51" s="754"/>
      <c r="CV51" s="754"/>
      <c r="CW51" s="754"/>
      <c r="CX51" s="754"/>
      <c r="CY51" s="754"/>
      <c r="CZ51" s="755"/>
    </row>
    <row r="52" spans="1:104" ht="15" customHeight="1" x14ac:dyDescent="0.25">
      <c r="B52" s="1026" t="str">
        <f>IF(B50="","",VLOOKUP(B50,BoonRef!$A$2:$Z$900,24,FALSE))</f>
        <v/>
      </c>
      <c r="C52" s="727"/>
      <c r="D52" s="727"/>
      <c r="E52" s="727"/>
      <c r="F52" s="727"/>
      <c r="G52" s="727"/>
      <c r="H52" s="727"/>
      <c r="I52" s="727"/>
      <c r="J52" s="727"/>
      <c r="K52" s="727"/>
      <c r="L52" s="727"/>
      <c r="M52" s="727"/>
      <c r="N52" s="727"/>
      <c r="O52" s="727"/>
      <c r="P52" s="727"/>
      <c r="Q52" s="727"/>
      <c r="R52" s="727"/>
      <c r="S52" s="727"/>
      <c r="T52" s="727"/>
      <c r="U52" s="727"/>
      <c r="V52" s="727"/>
      <c r="W52" s="727"/>
      <c r="X52" s="727"/>
      <c r="Y52" s="727"/>
      <c r="Z52" s="728"/>
      <c r="AB52" s="1026" t="str">
        <f>IF(AB50="","",VLOOKUP(AB50,BoonRef!$A$2:$Z$900,24,FALSE))</f>
        <v/>
      </c>
      <c r="AC52" s="727"/>
      <c r="AD52" s="727"/>
      <c r="AE52" s="727"/>
      <c r="AF52" s="727"/>
      <c r="AG52" s="727"/>
      <c r="AH52" s="727"/>
      <c r="AI52" s="727"/>
      <c r="AJ52" s="727"/>
      <c r="AK52" s="727"/>
      <c r="AL52" s="727"/>
      <c r="AM52" s="727"/>
      <c r="AN52" s="727"/>
      <c r="AO52" s="727"/>
      <c r="AP52" s="727"/>
      <c r="AQ52" s="727"/>
      <c r="AR52" s="727"/>
      <c r="AS52" s="727"/>
      <c r="AT52" s="727"/>
      <c r="AU52" s="727"/>
      <c r="AV52" s="727"/>
      <c r="AW52" s="727"/>
      <c r="AX52" s="727"/>
      <c r="AY52" s="727"/>
      <c r="AZ52" s="728"/>
      <c r="BB52" s="641" t="str">
        <f>IF(BB50="","",VLOOKUP(BB50,KanckRef!$A$1:$G$300,4,FALSE))</f>
        <v/>
      </c>
      <c r="BC52" s="642"/>
      <c r="BD52" s="642"/>
      <c r="BE52" s="642"/>
      <c r="BF52" s="642"/>
      <c r="BG52" s="642"/>
      <c r="BH52" s="1033"/>
      <c r="BI52" s="753"/>
      <c r="BJ52" s="754"/>
      <c r="BK52" s="754"/>
      <c r="BL52" s="754"/>
      <c r="BM52" s="754"/>
      <c r="BN52" s="754"/>
      <c r="BO52" s="754"/>
      <c r="BP52" s="754"/>
      <c r="BQ52" s="754"/>
      <c r="BR52" s="754"/>
      <c r="BS52" s="754"/>
      <c r="BT52" s="754"/>
      <c r="BU52" s="754"/>
      <c r="BV52" s="754"/>
      <c r="BW52" s="754"/>
      <c r="BX52" s="754"/>
      <c r="BY52" s="754"/>
      <c r="BZ52" s="755"/>
      <c r="CB52" s="641" t="str">
        <f>IF(CB50="","",VLOOKUP(CB50,KanckRef!$A$1:$G$300,4,FALSE))</f>
        <v/>
      </c>
      <c r="CC52" s="642"/>
      <c r="CD52" s="642"/>
      <c r="CE52" s="642"/>
      <c r="CF52" s="642"/>
      <c r="CG52" s="642"/>
      <c r="CH52" s="1033"/>
      <c r="CI52" s="753"/>
      <c r="CJ52" s="754"/>
      <c r="CK52" s="754"/>
      <c r="CL52" s="754"/>
      <c r="CM52" s="754"/>
      <c r="CN52" s="754"/>
      <c r="CO52" s="754"/>
      <c r="CP52" s="754"/>
      <c r="CQ52" s="754"/>
      <c r="CR52" s="754"/>
      <c r="CS52" s="754"/>
      <c r="CT52" s="754"/>
      <c r="CU52" s="754"/>
      <c r="CV52" s="754"/>
      <c r="CW52" s="754"/>
      <c r="CX52" s="754"/>
      <c r="CY52" s="754"/>
      <c r="CZ52" s="755"/>
    </row>
    <row r="53" spans="1:104" ht="15" customHeight="1" x14ac:dyDescent="0.25">
      <c r="B53" s="1026" t="str">
        <f>IF(B50="","",VLOOKUP(B50,BoonRef!$A$2:$Z$900,23,FALSE))</f>
        <v/>
      </c>
      <c r="C53" s="727"/>
      <c r="D53" s="727"/>
      <c r="E53" s="727"/>
      <c r="F53" s="727"/>
      <c r="G53" s="727"/>
      <c r="H53" s="727"/>
      <c r="I53" s="727"/>
      <c r="J53" s="727"/>
      <c r="K53" s="727"/>
      <c r="L53" s="727"/>
      <c r="M53" s="727"/>
      <c r="N53" s="727"/>
      <c r="O53" s="727"/>
      <c r="P53" s="727"/>
      <c r="Q53" s="727"/>
      <c r="R53" s="727"/>
      <c r="S53" s="727"/>
      <c r="T53" s="727"/>
      <c r="U53" s="727"/>
      <c r="V53" s="727"/>
      <c r="W53" s="727"/>
      <c r="X53" s="727"/>
      <c r="Y53" s="727"/>
      <c r="Z53" s="728"/>
      <c r="AB53" s="1026" t="str">
        <f>IF(AB50="","",VLOOKUP(AB50,BoonRef!$A$2:$Z$900,23,FALSE))</f>
        <v/>
      </c>
      <c r="AC53" s="727"/>
      <c r="AD53" s="727"/>
      <c r="AE53" s="727"/>
      <c r="AF53" s="727"/>
      <c r="AG53" s="727"/>
      <c r="AH53" s="727"/>
      <c r="AI53" s="727"/>
      <c r="AJ53" s="727"/>
      <c r="AK53" s="727"/>
      <c r="AL53" s="727"/>
      <c r="AM53" s="727"/>
      <c r="AN53" s="727"/>
      <c r="AO53" s="727"/>
      <c r="AP53" s="727"/>
      <c r="AQ53" s="727"/>
      <c r="AR53" s="727"/>
      <c r="AS53" s="727"/>
      <c r="AT53" s="727"/>
      <c r="AU53" s="727"/>
      <c r="AV53" s="727"/>
      <c r="AW53" s="727"/>
      <c r="AX53" s="727"/>
      <c r="AY53" s="727"/>
      <c r="AZ53" s="728"/>
      <c r="BB53" s="635"/>
      <c r="BC53" s="636"/>
      <c r="BD53" s="636"/>
      <c r="BE53" s="636"/>
      <c r="BF53" s="636"/>
      <c r="BG53" s="636"/>
      <c r="BH53" s="1036"/>
      <c r="BI53" s="753"/>
      <c r="BJ53" s="754"/>
      <c r="BK53" s="754"/>
      <c r="BL53" s="754"/>
      <c r="BM53" s="754"/>
      <c r="BN53" s="754"/>
      <c r="BO53" s="754"/>
      <c r="BP53" s="754"/>
      <c r="BQ53" s="754"/>
      <c r="BR53" s="754"/>
      <c r="BS53" s="754"/>
      <c r="BT53" s="754"/>
      <c r="BU53" s="754"/>
      <c r="BV53" s="754"/>
      <c r="BW53" s="754"/>
      <c r="BX53" s="754"/>
      <c r="BY53" s="754"/>
      <c r="BZ53" s="755"/>
      <c r="CB53" s="635"/>
      <c r="CC53" s="636"/>
      <c r="CD53" s="636"/>
      <c r="CE53" s="636"/>
      <c r="CF53" s="636"/>
      <c r="CG53" s="636"/>
      <c r="CH53" s="1036"/>
      <c r="CI53" s="753"/>
      <c r="CJ53" s="754"/>
      <c r="CK53" s="754"/>
      <c r="CL53" s="754"/>
      <c r="CM53" s="754"/>
      <c r="CN53" s="754"/>
      <c r="CO53" s="754"/>
      <c r="CP53" s="754"/>
      <c r="CQ53" s="754"/>
      <c r="CR53" s="754"/>
      <c r="CS53" s="754"/>
      <c r="CT53" s="754"/>
      <c r="CU53" s="754"/>
      <c r="CV53" s="754"/>
      <c r="CW53" s="754"/>
      <c r="CX53" s="754"/>
      <c r="CY53" s="754"/>
      <c r="CZ53" s="755"/>
    </row>
    <row r="54" spans="1:104" ht="15" customHeight="1" thickBot="1" x14ac:dyDescent="0.3">
      <c r="B54" s="1027"/>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921"/>
      <c r="AB54" s="1027"/>
      <c r="AC54" s="865"/>
      <c r="AD54" s="865"/>
      <c r="AE54" s="865"/>
      <c r="AF54" s="865"/>
      <c r="AG54" s="865"/>
      <c r="AH54" s="865"/>
      <c r="AI54" s="865"/>
      <c r="AJ54" s="865"/>
      <c r="AK54" s="865"/>
      <c r="AL54" s="865"/>
      <c r="AM54" s="865"/>
      <c r="AN54" s="865"/>
      <c r="AO54" s="865"/>
      <c r="AP54" s="865"/>
      <c r="AQ54" s="865"/>
      <c r="AR54" s="865"/>
      <c r="AS54" s="865"/>
      <c r="AT54" s="865"/>
      <c r="AU54" s="865"/>
      <c r="AV54" s="865"/>
      <c r="AW54" s="865"/>
      <c r="AX54" s="865"/>
      <c r="AY54" s="865"/>
      <c r="AZ54" s="921"/>
      <c r="BB54" s="644"/>
      <c r="BC54" s="645"/>
      <c r="BD54" s="645"/>
      <c r="BE54" s="645"/>
      <c r="BF54" s="645"/>
      <c r="BG54" s="645"/>
      <c r="BH54" s="1037"/>
      <c r="BI54" s="756"/>
      <c r="BJ54" s="757"/>
      <c r="BK54" s="757"/>
      <c r="BL54" s="757"/>
      <c r="BM54" s="757"/>
      <c r="BN54" s="757"/>
      <c r="BO54" s="757"/>
      <c r="BP54" s="757"/>
      <c r="BQ54" s="757"/>
      <c r="BR54" s="757"/>
      <c r="BS54" s="757"/>
      <c r="BT54" s="757"/>
      <c r="BU54" s="757"/>
      <c r="BV54" s="757"/>
      <c r="BW54" s="757"/>
      <c r="BX54" s="757"/>
      <c r="BY54" s="757"/>
      <c r="BZ54" s="758"/>
      <c r="CB54" s="644"/>
      <c r="CC54" s="645"/>
      <c r="CD54" s="645"/>
      <c r="CE54" s="645"/>
      <c r="CF54" s="645"/>
      <c r="CG54" s="645"/>
      <c r="CH54" s="1037"/>
      <c r="CI54" s="756"/>
      <c r="CJ54" s="757"/>
      <c r="CK54" s="757"/>
      <c r="CL54" s="757"/>
      <c r="CM54" s="757"/>
      <c r="CN54" s="757"/>
      <c r="CO54" s="757"/>
      <c r="CP54" s="757"/>
      <c r="CQ54" s="757"/>
      <c r="CR54" s="757"/>
      <c r="CS54" s="757"/>
      <c r="CT54" s="757"/>
      <c r="CU54" s="757"/>
      <c r="CV54" s="757"/>
      <c r="CW54" s="757"/>
      <c r="CX54" s="757"/>
      <c r="CY54" s="757"/>
      <c r="CZ54" s="758"/>
    </row>
    <row r="55" spans="1:104" ht="15" customHeight="1" x14ac:dyDescent="0.25">
      <c r="B55" s="1028" t="str">
        <f>IF(B56="","",VLOOKUP(B56,BoonRef!$A$2:$Z$900,2,FALSE))</f>
        <v/>
      </c>
      <c r="C55" s="725"/>
      <c r="D55" s="725"/>
      <c r="E55" s="725"/>
      <c r="F55" s="725"/>
      <c r="G55" s="725"/>
      <c r="H55" s="725"/>
      <c r="I55" s="725" t="str">
        <f>IF(B56="","",VLOOKUP(B56,BoonRef!$A$2:$Z$900,3,FALSE))</f>
        <v/>
      </c>
      <c r="J55" s="725"/>
      <c r="K55" s="725" t="str">
        <f>IF(B56="","",VLOOKUP(B56,DescRef!$A$2:$B$900,2,FALSE))</f>
        <v/>
      </c>
      <c r="L55" s="725"/>
      <c r="M55" s="725"/>
      <c r="N55" s="725"/>
      <c r="O55" s="725"/>
      <c r="P55" s="725"/>
      <c r="Q55" s="725"/>
      <c r="R55" s="725"/>
      <c r="S55" s="725"/>
      <c r="T55" s="725"/>
      <c r="U55" s="725"/>
      <c r="V55" s="725"/>
      <c r="W55" s="725"/>
      <c r="X55" s="725"/>
      <c r="Y55" s="725"/>
      <c r="Z55" s="726"/>
      <c r="AB55" s="1028" t="str">
        <f>IF(AB56="","",VLOOKUP(AB56,BoonRef!$A$2:$Z$900,2,FALSE))</f>
        <v/>
      </c>
      <c r="AC55" s="725"/>
      <c r="AD55" s="725"/>
      <c r="AE55" s="725"/>
      <c r="AF55" s="725"/>
      <c r="AG55" s="725"/>
      <c r="AH55" s="725"/>
      <c r="AI55" s="725" t="str">
        <f>IF(AB56="","",VLOOKUP(AB56,BoonRef!$A$2:$Z$900,3,FALSE))</f>
        <v/>
      </c>
      <c r="AJ55" s="725"/>
      <c r="AK55" s="725" t="str">
        <f>IF(AB56="","",VLOOKUP(AB56,DescRef!$A$2:$B$900,2,FALSE))</f>
        <v/>
      </c>
      <c r="AL55" s="725"/>
      <c r="AM55" s="725"/>
      <c r="AN55" s="725"/>
      <c r="AO55" s="725"/>
      <c r="AP55" s="725"/>
      <c r="AQ55" s="725"/>
      <c r="AR55" s="725"/>
      <c r="AS55" s="725"/>
      <c r="AT55" s="725"/>
      <c r="AU55" s="725"/>
      <c r="AV55" s="725"/>
      <c r="AW55" s="725"/>
      <c r="AX55" s="725"/>
      <c r="AY55" s="725"/>
      <c r="AZ55" s="726"/>
      <c r="BB55" s="1029" t="str">
        <f>IF(BB56="","",VLOOKUP(BB56,KanckRef!$A$1:$G$300,2,FALSE))</f>
        <v/>
      </c>
      <c r="BC55" s="1030"/>
      <c r="BD55" s="1030"/>
      <c r="BE55" s="1030"/>
      <c r="BF55" s="1031"/>
      <c r="BG55" s="1048" t="str">
        <f>IF(BB56="","",VLOOKUP(BB56,KanckRef!$A$1:$G$300,6,FALSE))</f>
        <v/>
      </c>
      <c r="BH55" s="1049"/>
      <c r="BI55" s="988" t="str">
        <f>IF(BB56="","",VLOOKUP(BB56,DescRef!$D$2:$E$300,2,FALSE))</f>
        <v/>
      </c>
      <c r="BJ55" s="795"/>
      <c r="BK55" s="795"/>
      <c r="BL55" s="795"/>
      <c r="BM55" s="795"/>
      <c r="BN55" s="795"/>
      <c r="BO55" s="795"/>
      <c r="BP55" s="795"/>
      <c r="BQ55" s="795"/>
      <c r="BR55" s="795"/>
      <c r="BS55" s="795"/>
      <c r="BT55" s="795"/>
      <c r="BU55" s="795"/>
      <c r="BV55" s="795"/>
      <c r="BW55" s="795"/>
      <c r="BX55" s="795"/>
      <c r="BY55" s="795"/>
      <c r="BZ55" s="796"/>
      <c r="CB55" s="1029" t="str">
        <f>IF(CB56="","",VLOOKUP(CB56,KanckRef!$A$1:$G$300,2,FALSE))</f>
        <v/>
      </c>
      <c r="CC55" s="1030"/>
      <c r="CD55" s="1030"/>
      <c r="CE55" s="1030"/>
      <c r="CF55" s="1031"/>
      <c r="CG55" s="1048" t="str">
        <f>IF(CB56="","",VLOOKUP(CB56,KanckRef!$A$1:$G$300,6,FALSE))</f>
        <v/>
      </c>
      <c r="CH55" s="1049"/>
      <c r="CI55" s="988" t="str">
        <f>IF(CB56="","",VLOOKUP(CB56,DescRef!$D$2:$E$300,2,FALSE))</f>
        <v/>
      </c>
      <c r="CJ55" s="795"/>
      <c r="CK55" s="795"/>
      <c r="CL55" s="795"/>
      <c r="CM55" s="795"/>
      <c r="CN55" s="795"/>
      <c r="CO55" s="795"/>
      <c r="CP55" s="795"/>
      <c r="CQ55" s="795"/>
      <c r="CR55" s="795"/>
      <c r="CS55" s="795"/>
      <c r="CT55" s="795"/>
      <c r="CU55" s="795"/>
      <c r="CV55" s="795"/>
      <c r="CW55" s="795"/>
      <c r="CX55" s="795"/>
      <c r="CY55" s="795"/>
      <c r="CZ55" s="796"/>
    </row>
    <row r="56" spans="1:104" ht="15" customHeight="1" x14ac:dyDescent="0.25">
      <c r="A56" s="15">
        <v>9</v>
      </c>
      <c r="B56" s="1026" t="str">
        <f>IF(A56&lt;'Purchased Boons'!$B$496,VLOOKUP(A56,'Purchased Boons'!$BF$2:$BG$900,2,FALSE),"")</f>
        <v/>
      </c>
      <c r="C56" s="727"/>
      <c r="D56" s="727"/>
      <c r="E56" s="727"/>
      <c r="F56" s="727"/>
      <c r="G56" s="727"/>
      <c r="H56" s="727"/>
      <c r="I56" s="727" t="str">
        <f>IF(B56="","",VLOOKUP(B56,BoonRef!$A$2:$Z$900,25,FALSE))</f>
        <v/>
      </c>
      <c r="J56" s="727"/>
      <c r="K56" s="727"/>
      <c r="L56" s="727"/>
      <c r="M56" s="727"/>
      <c r="N56" s="727"/>
      <c r="O56" s="727"/>
      <c r="P56" s="727"/>
      <c r="Q56" s="727"/>
      <c r="R56" s="727"/>
      <c r="S56" s="727"/>
      <c r="T56" s="727"/>
      <c r="U56" s="727"/>
      <c r="V56" s="727"/>
      <c r="W56" s="727"/>
      <c r="X56" s="727"/>
      <c r="Y56" s="727"/>
      <c r="Z56" s="728"/>
      <c r="AA56" s="15">
        <v>116</v>
      </c>
      <c r="AB56" s="1026" t="str">
        <f>IF(AA56&lt;'Purchased Boons'!$B$496,VLOOKUP(AA56,'Purchased Boons'!$BF$2:$BG$900,2,FALSE),"")</f>
        <v/>
      </c>
      <c r="AC56" s="727"/>
      <c r="AD56" s="727"/>
      <c r="AE56" s="727"/>
      <c r="AF56" s="727"/>
      <c r="AG56" s="727"/>
      <c r="AH56" s="727"/>
      <c r="AI56" s="727" t="str">
        <f>IF(AB56="","",VLOOKUP(AB56,BoonRef!$A$2:$Z$900,25,FALSE))</f>
        <v/>
      </c>
      <c r="AJ56" s="727"/>
      <c r="AK56" s="727"/>
      <c r="AL56" s="727"/>
      <c r="AM56" s="727"/>
      <c r="AN56" s="727"/>
      <c r="AO56" s="727"/>
      <c r="AP56" s="727"/>
      <c r="AQ56" s="727"/>
      <c r="AR56" s="727"/>
      <c r="AS56" s="727"/>
      <c r="AT56" s="727"/>
      <c r="AU56" s="727"/>
      <c r="AV56" s="727"/>
      <c r="AW56" s="727"/>
      <c r="AX56" s="727"/>
      <c r="AY56" s="727"/>
      <c r="AZ56" s="728"/>
      <c r="BA56" s="15">
        <v>9</v>
      </c>
      <c r="BB56" s="1038" t="str">
        <f>IF(BA56&lt;'Purchased Knacks'!A$192,VLOOKUP(BA56,'Purchased Knacks'!$A$4:$E$300,3,FALSE),"")</f>
        <v/>
      </c>
      <c r="BC56" s="1039"/>
      <c r="BD56" s="1039"/>
      <c r="BE56" s="1039"/>
      <c r="BF56" s="1040"/>
      <c r="BG56" s="1032" t="str">
        <f>IF(BB56="","",VLOOKUP(BB56,KanckRef!$A$1:$G$300,7,FALSE))</f>
        <v/>
      </c>
      <c r="BH56" s="1033"/>
      <c r="BI56" s="753"/>
      <c r="BJ56" s="754"/>
      <c r="BK56" s="754"/>
      <c r="BL56" s="754"/>
      <c r="BM56" s="754"/>
      <c r="BN56" s="754"/>
      <c r="BO56" s="754"/>
      <c r="BP56" s="754"/>
      <c r="BQ56" s="754"/>
      <c r="BR56" s="754"/>
      <c r="BS56" s="754"/>
      <c r="BT56" s="754"/>
      <c r="BU56" s="754"/>
      <c r="BV56" s="754"/>
      <c r="BW56" s="754"/>
      <c r="BX56" s="754"/>
      <c r="BY56" s="754"/>
      <c r="BZ56" s="755"/>
      <c r="CA56" s="15">
        <v>116</v>
      </c>
      <c r="CB56" s="1038" t="str">
        <f>IF(CA56&lt;'Purchased Knacks'!A$192,VLOOKUP(CA56,'Purchased Knacks'!$A$4:$E$300,3,FALSE),"")</f>
        <v/>
      </c>
      <c r="CC56" s="1039"/>
      <c r="CD56" s="1039"/>
      <c r="CE56" s="1039"/>
      <c r="CF56" s="1040"/>
      <c r="CG56" s="1032" t="str">
        <f>IF(CB56="","",VLOOKUP(CB56,KanckRef!$A$1:$G$300,7,FALSE))</f>
        <v/>
      </c>
      <c r="CH56" s="1033"/>
      <c r="CI56" s="753"/>
      <c r="CJ56" s="754"/>
      <c r="CK56" s="754"/>
      <c r="CL56" s="754"/>
      <c r="CM56" s="754"/>
      <c r="CN56" s="754"/>
      <c r="CO56" s="754"/>
      <c r="CP56" s="754"/>
      <c r="CQ56" s="754"/>
      <c r="CR56" s="754"/>
      <c r="CS56" s="754"/>
      <c r="CT56" s="754"/>
      <c r="CU56" s="754"/>
      <c r="CV56" s="754"/>
      <c r="CW56" s="754"/>
      <c r="CX56" s="754"/>
      <c r="CY56" s="754"/>
      <c r="CZ56" s="755"/>
    </row>
    <row r="57" spans="1:104" ht="15" customHeight="1" x14ac:dyDescent="0.25">
      <c r="B57" s="1026"/>
      <c r="C57" s="727"/>
      <c r="D57" s="727"/>
      <c r="E57" s="727"/>
      <c r="F57" s="727"/>
      <c r="G57" s="727"/>
      <c r="H57" s="727"/>
      <c r="I57" s="727" t="str">
        <f>IF(B56="","",VLOOKUP(B56,BoonRef!$A$2:$Z$900,26,FALSE))</f>
        <v/>
      </c>
      <c r="J57" s="727"/>
      <c r="K57" s="727"/>
      <c r="L57" s="727"/>
      <c r="M57" s="727"/>
      <c r="N57" s="727"/>
      <c r="O57" s="727"/>
      <c r="P57" s="727"/>
      <c r="Q57" s="727"/>
      <c r="R57" s="727"/>
      <c r="S57" s="727"/>
      <c r="T57" s="727"/>
      <c r="U57" s="727"/>
      <c r="V57" s="727"/>
      <c r="W57" s="727"/>
      <c r="X57" s="727"/>
      <c r="Y57" s="727"/>
      <c r="Z57" s="728"/>
      <c r="AB57" s="1026"/>
      <c r="AC57" s="727"/>
      <c r="AD57" s="727"/>
      <c r="AE57" s="727"/>
      <c r="AF57" s="727"/>
      <c r="AG57" s="727"/>
      <c r="AH57" s="727"/>
      <c r="AI57" s="727" t="str">
        <f>IF(AB56="","",VLOOKUP(AB56,BoonRef!$A$2:$Z$900,26,FALSE))</f>
        <v/>
      </c>
      <c r="AJ57" s="727"/>
      <c r="AK57" s="727"/>
      <c r="AL57" s="727"/>
      <c r="AM57" s="727"/>
      <c r="AN57" s="727"/>
      <c r="AO57" s="727"/>
      <c r="AP57" s="727"/>
      <c r="AQ57" s="727"/>
      <c r="AR57" s="727"/>
      <c r="AS57" s="727"/>
      <c r="AT57" s="727"/>
      <c r="AU57" s="727"/>
      <c r="AV57" s="727"/>
      <c r="AW57" s="727"/>
      <c r="AX57" s="727"/>
      <c r="AY57" s="727"/>
      <c r="AZ57" s="728"/>
      <c r="BB57" s="1041"/>
      <c r="BC57" s="1042"/>
      <c r="BD57" s="1042"/>
      <c r="BE57" s="1042"/>
      <c r="BF57" s="1043"/>
      <c r="BG57" s="1034"/>
      <c r="BH57" s="1035"/>
      <c r="BI57" s="753"/>
      <c r="BJ57" s="754"/>
      <c r="BK57" s="754"/>
      <c r="BL57" s="754"/>
      <c r="BM57" s="754"/>
      <c r="BN57" s="754"/>
      <c r="BO57" s="754"/>
      <c r="BP57" s="754"/>
      <c r="BQ57" s="754"/>
      <c r="BR57" s="754"/>
      <c r="BS57" s="754"/>
      <c r="BT57" s="754"/>
      <c r="BU57" s="754"/>
      <c r="BV57" s="754"/>
      <c r="BW57" s="754"/>
      <c r="BX57" s="754"/>
      <c r="BY57" s="754"/>
      <c r="BZ57" s="755"/>
      <c r="CB57" s="1041"/>
      <c r="CC57" s="1042"/>
      <c r="CD57" s="1042"/>
      <c r="CE57" s="1042"/>
      <c r="CF57" s="1043"/>
      <c r="CG57" s="1034"/>
      <c r="CH57" s="1035"/>
      <c r="CI57" s="753"/>
      <c r="CJ57" s="754"/>
      <c r="CK57" s="754"/>
      <c r="CL57" s="754"/>
      <c r="CM57" s="754"/>
      <c r="CN57" s="754"/>
      <c r="CO57" s="754"/>
      <c r="CP57" s="754"/>
      <c r="CQ57" s="754"/>
      <c r="CR57" s="754"/>
      <c r="CS57" s="754"/>
      <c r="CT57" s="754"/>
      <c r="CU57" s="754"/>
      <c r="CV57" s="754"/>
      <c r="CW57" s="754"/>
      <c r="CX57" s="754"/>
      <c r="CY57" s="754"/>
      <c r="CZ57" s="755"/>
    </row>
    <row r="58" spans="1:104" ht="15" customHeight="1" x14ac:dyDescent="0.25">
      <c r="B58" s="1026" t="str">
        <f>IF(B56="","",VLOOKUP(B56,BoonRef!$A$2:$Z$900,24,FALSE))</f>
        <v/>
      </c>
      <c r="C58" s="727"/>
      <c r="D58" s="727"/>
      <c r="E58" s="727"/>
      <c r="F58" s="727"/>
      <c r="G58" s="727"/>
      <c r="H58" s="727"/>
      <c r="I58" s="727"/>
      <c r="J58" s="727"/>
      <c r="K58" s="727"/>
      <c r="L58" s="727"/>
      <c r="M58" s="727"/>
      <c r="N58" s="727"/>
      <c r="O58" s="727"/>
      <c r="P58" s="727"/>
      <c r="Q58" s="727"/>
      <c r="R58" s="727"/>
      <c r="S58" s="727"/>
      <c r="T58" s="727"/>
      <c r="U58" s="727"/>
      <c r="V58" s="727"/>
      <c r="W58" s="727"/>
      <c r="X58" s="727"/>
      <c r="Y58" s="727"/>
      <c r="Z58" s="728"/>
      <c r="AB58" s="1026" t="str">
        <f>IF(AB56="","",VLOOKUP(AB56,BoonRef!$A$2:$Z$900,24,FALSE))</f>
        <v/>
      </c>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8"/>
      <c r="BB58" s="641" t="str">
        <f>IF(BB56="","",VLOOKUP(BB56,KanckRef!$A$1:$G$300,4,FALSE))</f>
        <v/>
      </c>
      <c r="BC58" s="642"/>
      <c r="BD58" s="642"/>
      <c r="BE58" s="642"/>
      <c r="BF58" s="642"/>
      <c r="BG58" s="642"/>
      <c r="BH58" s="1033"/>
      <c r="BI58" s="753"/>
      <c r="BJ58" s="754"/>
      <c r="BK58" s="754"/>
      <c r="BL58" s="754"/>
      <c r="BM58" s="754"/>
      <c r="BN58" s="754"/>
      <c r="BO58" s="754"/>
      <c r="BP58" s="754"/>
      <c r="BQ58" s="754"/>
      <c r="BR58" s="754"/>
      <c r="BS58" s="754"/>
      <c r="BT58" s="754"/>
      <c r="BU58" s="754"/>
      <c r="BV58" s="754"/>
      <c r="BW58" s="754"/>
      <c r="BX58" s="754"/>
      <c r="BY58" s="754"/>
      <c r="BZ58" s="755"/>
      <c r="CB58" s="641" t="str">
        <f>IF(CB56="","",VLOOKUP(CB56,KanckRef!$A$1:$G$300,4,FALSE))</f>
        <v/>
      </c>
      <c r="CC58" s="642"/>
      <c r="CD58" s="642"/>
      <c r="CE58" s="642"/>
      <c r="CF58" s="642"/>
      <c r="CG58" s="642"/>
      <c r="CH58" s="1033"/>
      <c r="CI58" s="753"/>
      <c r="CJ58" s="754"/>
      <c r="CK58" s="754"/>
      <c r="CL58" s="754"/>
      <c r="CM58" s="754"/>
      <c r="CN58" s="754"/>
      <c r="CO58" s="754"/>
      <c r="CP58" s="754"/>
      <c r="CQ58" s="754"/>
      <c r="CR58" s="754"/>
      <c r="CS58" s="754"/>
      <c r="CT58" s="754"/>
      <c r="CU58" s="754"/>
      <c r="CV58" s="754"/>
      <c r="CW58" s="754"/>
      <c r="CX58" s="754"/>
      <c r="CY58" s="754"/>
      <c r="CZ58" s="755"/>
    </row>
    <row r="59" spans="1:104" ht="15" customHeight="1" x14ac:dyDescent="0.25">
      <c r="B59" s="1026" t="str">
        <f>IF(B56="","",VLOOKUP(B56,BoonRef!$A$2:$Z$900,23,FALSE))</f>
        <v/>
      </c>
      <c r="C59" s="727"/>
      <c r="D59" s="727"/>
      <c r="E59" s="727"/>
      <c r="F59" s="727"/>
      <c r="G59" s="727"/>
      <c r="H59" s="727"/>
      <c r="I59" s="727"/>
      <c r="J59" s="727"/>
      <c r="K59" s="727"/>
      <c r="L59" s="727"/>
      <c r="M59" s="727"/>
      <c r="N59" s="727"/>
      <c r="O59" s="727"/>
      <c r="P59" s="727"/>
      <c r="Q59" s="727"/>
      <c r="R59" s="727"/>
      <c r="S59" s="727"/>
      <c r="T59" s="727"/>
      <c r="U59" s="727"/>
      <c r="V59" s="727"/>
      <c r="W59" s="727"/>
      <c r="X59" s="727"/>
      <c r="Y59" s="727"/>
      <c r="Z59" s="728"/>
      <c r="AB59" s="1026" t="str">
        <f>IF(AB56="","",VLOOKUP(AB56,BoonRef!$A$2:$Z$900,23,FALSE))</f>
        <v/>
      </c>
      <c r="AC59" s="727"/>
      <c r="AD59" s="727"/>
      <c r="AE59" s="727"/>
      <c r="AF59" s="727"/>
      <c r="AG59" s="727"/>
      <c r="AH59" s="727"/>
      <c r="AI59" s="727"/>
      <c r="AJ59" s="727"/>
      <c r="AK59" s="727"/>
      <c r="AL59" s="727"/>
      <c r="AM59" s="727"/>
      <c r="AN59" s="727"/>
      <c r="AO59" s="727"/>
      <c r="AP59" s="727"/>
      <c r="AQ59" s="727"/>
      <c r="AR59" s="727"/>
      <c r="AS59" s="727"/>
      <c r="AT59" s="727"/>
      <c r="AU59" s="727"/>
      <c r="AV59" s="727"/>
      <c r="AW59" s="727"/>
      <c r="AX59" s="727"/>
      <c r="AY59" s="727"/>
      <c r="AZ59" s="728"/>
      <c r="BB59" s="635"/>
      <c r="BC59" s="636"/>
      <c r="BD59" s="636"/>
      <c r="BE59" s="636"/>
      <c r="BF59" s="636"/>
      <c r="BG59" s="636"/>
      <c r="BH59" s="1036"/>
      <c r="BI59" s="753"/>
      <c r="BJ59" s="754"/>
      <c r="BK59" s="754"/>
      <c r="BL59" s="754"/>
      <c r="BM59" s="754"/>
      <c r="BN59" s="754"/>
      <c r="BO59" s="754"/>
      <c r="BP59" s="754"/>
      <c r="BQ59" s="754"/>
      <c r="BR59" s="754"/>
      <c r="BS59" s="754"/>
      <c r="BT59" s="754"/>
      <c r="BU59" s="754"/>
      <c r="BV59" s="754"/>
      <c r="BW59" s="754"/>
      <c r="BX59" s="754"/>
      <c r="BY59" s="754"/>
      <c r="BZ59" s="755"/>
      <c r="CB59" s="635"/>
      <c r="CC59" s="636"/>
      <c r="CD59" s="636"/>
      <c r="CE59" s="636"/>
      <c r="CF59" s="636"/>
      <c r="CG59" s="636"/>
      <c r="CH59" s="1036"/>
      <c r="CI59" s="753"/>
      <c r="CJ59" s="754"/>
      <c r="CK59" s="754"/>
      <c r="CL59" s="754"/>
      <c r="CM59" s="754"/>
      <c r="CN59" s="754"/>
      <c r="CO59" s="754"/>
      <c r="CP59" s="754"/>
      <c r="CQ59" s="754"/>
      <c r="CR59" s="754"/>
      <c r="CS59" s="754"/>
      <c r="CT59" s="754"/>
      <c r="CU59" s="754"/>
      <c r="CV59" s="754"/>
      <c r="CW59" s="754"/>
      <c r="CX59" s="754"/>
      <c r="CY59" s="754"/>
      <c r="CZ59" s="755"/>
    </row>
    <row r="60" spans="1:104" ht="15" customHeight="1" thickBot="1" x14ac:dyDescent="0.3">
      <c r="B60" s="1027"/>
      <c r="C60" s="865"/>
      <c r="D60" s="865"/>
      <c r="E60" s="865"/>
      <c r="F60" s="865"/>
      <c r="G60" s="865"/>
      <c r="H60" s="865"/>
      <c r="I60" s="865"/>
      <c r="J60" s="865"/>
      <c r="K60" s="865"/>
      <c r="L60" s="865"/>
      <c r="M60" s="865"/>
      <c r="N60" s="865"/>
      <c r="O60" s="865"/>
      <c r="P60" s="865"/>
      <c r="Q60" s="865"/>
      <c r="R60" s="865"/>
      <c r="S60" s="865"/>
      <c r="T60" s="865"/>
      <c r="U60" s="865"/>
      <c r="V60" s="865"/>
      <c r="W60" s="865"/>
      <c r="X60" s="865"/>
      <c r="Y60" s="865"/>
      <c r="Z60" s="921"/>
      <c r="AB60" s="1027"/>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65"/>
      <c r="AY60" s="865"/>
      <c r="AZ60" s="921"/>
      <c r="BB60" s="644"/>
      <c r="BC60" s="645"/>
      <c r="BD60" s="645"/>
      <c r="BE60" s="645"/>
      <c r="BF60" s="645"/>
      <c r="BG60" s="645"/>
      <c r="BH60" s="1037"/>
      <c r="BI60" s="756"/>
      <c r="BJ60" s="757"/>
      <c r="BK60" s="757"/>
      <c r="BL60" s="757"/>
      <c r="BM60" s="757"/>
      <c r="BN60" s="757"/>
      <c r="BO60" s="757"/>
      <c r="BP60" s="757"/>
      <c r="BQ60" s="757"/>
      <c r="BR60" s="757"/>
      <c r="BS60" s="757"/>
      <c r="BT60" s="757"/>
      <c r="BU60" s="757"/>
      <c r="BV60" s="757"/>
      <c r="BW60" s="757"/>
      <c r="BX60" s="757"/>
      <c r="BY60" s="757"/>
      <c r="BZ60" s="758"/>
      <c r="CB60" s="644"/>
      <c r="CC60" s="645"/>
      <c r="CD60" s="645"/>
      <c r="CE60" s="645"/>
      <c r="CF60" s="645"/>
      <c r="CG60" s="645"/>
      <c r="CH60" s="1037"/>
      <c r="CI60" s="756"/>
      <c r="CJ60" s="757"/>
      <c r="CK60" s="757"/>
      <c r="CL60" s="757"/>
      <c r="CM60" s="757"/>
      <c r="CN60" s="757"/>
      <c r="CO60" s="757"/>
      <c r="CP60" s="757"/>
      <c r="CQ60" s="757"/>
      <c r="CR60" s="757"/>
      <c r="CS60" s="757"/>
      <c r="CT60" s="757"/>
      <c r="CU60" s="757"/>
      <c r="CV60" s="757"/>
      <c r="CW60" s="757"/>
      <c r="CX60" s="757"/>
      <c r="CY60" s="757"/>
      <c r="CZ60" s="758"/>
    </row>
    <row r="61" spans="1:104" ht="15" customHeight="1" x14ac:dyDescent="0.25">
      <c r="B61" s="1028" t="str">
        <f>IF(B62="","",VLOOKUP(B62,BoonRef!$A$2:$Z$900,2,FALSE))</f>
        <v/>
      </c>
      <c r="C61" s="725"/>
      <c r="D61" s="725"/>
      <c r="E61" s="725"/>
      <c r="F61" s="725"/>
      <c r="G61" s="725"/>
      <c r="H61" s="725"/>
      <c r="I61" s="725" t="str">
        <f>IF(B62="","",VLOOKUP(B62,BoonRef!$A$2:$Z$900,3,FALSE))</f>
        <v/>
      </c>
      <c r="J61" s="725"/>
      <c r="K61" s="725" t="str">
        <f>IF(B62="","",VLOOKUP(B62,DescRef!$A$2:$B$900,2,FALSE))</f>
        <v/>
      </c>
      <c r="L61" s="725"/>
      <c r="M61" s="725"/>
      <c r="N61" s="725"/>
      <c r="O61" s="725"/>
      <c r="P61" s="725"/>
      <c r="Q61" s="725"/>
      <c r="R61" s="725"/>
      <c r="S61" s="725"/>
      <c r="T61" s="725"/>
      <c r="U61" s="725"/>
      <c r="V61" s="725"/>
      <c r="W61" s="725"/>
      <c r="X61" s="725"/>
      <c r="Y61" s="725"/>
      <c r="Z61" s="726"/>
      <c r="AB61" s="1028" t="str">
        <f>IF(AB62="","",VLOOKUP(AB62,BoonRef!$A$2:$Z$900,2,FALSE))</f>
        <v/>
      </c>
      <c r="AC61" s="725"/>
      <c r="AD61" s="725"/>
      <c r="AE61" s="725"/>
      <c r="AF61" s="725"/>
      <c r="AG61" s="725"/>
      <c r="AH61" s="725"/>
      <c r="AI61" s="725" t="str">
        <f>IF(AB62="","",VLOOKUP(AB62,BoonRef!$A$2:$Z$900,3,FALSE))</f>
        <v/>
      </c>
      <c r="AJ61" s="725"/>
      <c r="AK61" s="725" t="str">
        <f>IF(AB62="","",VLOOKUP(AB62,DescRef!$A$2:$B$900,2,FALSE))</f>
        <v/>
      </c>
      <c r="AL61" s="725"/>
      <c r="AM61" s="725"/>
      <c r="AN61" s="725"/>
      <c r="AO61" s="725"/>
      <c r="AP61" s="725"/>
      <c r="AQ61" s="725"/>
      <c r="AR61" s="725"/>
      <c r="AS61" s="725"/>
      <c r="AT61" s="725"/>
      <c r="AU61" s="725"/>
      <c r="AV61" s="725"/>
      <c r="AW61" s="725"/>
      <c r="AX61" s="725"/>
      <c r="AY61" s="725"/>
      <c r="AZ61" s="726"/>
      <c r="BB61" s="1029" t="str">
        <f>IF(BB62="","",VLOOKUP(BB62,KanckRef!$A$1:$G$300,2,FALSE))</f>
        <v/>
      </c>
      <c r="BC61" s="1030"/>
      <c r="BD61" s="1030"/>
      <c r="BE61" s="1030"/>
      <c r="BF61" s="1031"/>
      <c r="BG61" s="1048" t="str">
        <f>IF(BB62="","",VLOOKUP(BB62,KanckRef!$A$1:$G$300,6,FALSE))</f>
        <v/>
      </c>
      <c r="BH61" s="1049"/>
      <c r="BI61" s="988" t="str">
        <f>IF(BB62="","",VLOOKUP(BB62,DescRef!$D$2:$E$300,2,FALSE))</f>
        <v/>
      </c>
      <c r="BJ61" s="795"/>
      <c r="BK61" s="795"/>
      <c r="BL61" s="795"/>
      <c r="BM61" s="795"/>
      <c r="BN61" s="795"/>
      <c r="BO61" s="795"/>
      <c r="BP61" s="795"/>
      <c r="BQ61" s="795"/>
      <c r="BR61" s="795"/>
      <c r="BS61" s="795"/>
      <c r="BT61" s="795"/>
      <c r="BU61" s="795"/>
      <c r="BV61" s="795"/>
      <c r="BW61" s="795"/>
      <c r="BX61" s="795"/>
      <c r="BY61" s="795"/>
      <c r="BZ61" s="796"/>
      <c r="CB61" s="1029" t="str">
        <f>IF(CB62="","",VLOOKUP(CB62,KanckRef!$A$1:$G$300,2,FALSE))</f>
        <v/>
      </c>
      <c r="CC61" s="1030"/>
      <c r="CD61" s="1030"/>
      <c r="CE61" s="1030"/>
      <c r="CF61" s="1031"/>
      <c r="CG61" s="1048" t="str">
        <f>IF(CB62="","",VLOOKUP(CB62,KanckRef!$A$1:$G$300,6,FALSE))</f>
        <v/>
      </c>
      <c r="CH61" s="1049"/>
      <c r="CI61" s="988" t="str">
        <f>IF(CB62="","",VLOOKUP(CB62,DescRef!$D$2:$E$300,2,FALSE))</f>
        <v/>
      </c>
      <c r="CJ61" s="795"/>
      <c r="CK61" s="795"/>
      <c r="CL61" s="795"/>
      <c r="CM61" s="795"/>
      <c r="CN61" s="795"/>
      <c r="CO61" s="795"/>
      <c r="CP61" s="795"/>
      <c r="CQ61" s="795"/>
      <c r="CR61" s="795"/>
      <c r="CS61" s="795"/>
      <c r="CT61" s="795"/>
      <c r="CU61" s="795"/>
      <c r="CV61" s="795"/>
      <c r="CW61" s="795"/>
      <c r="CX61" s="795"/>
      <c r="CY61" s="795"/>
      <c r="CZ61" s="796"/>
    </row>
    <row r="62" spans="1:104" ht="15" customHeight="1" x14ac:dyDescent="0.25">
      <c r="A62" s="15">
        <v>10</v>
      </c>
      <c r="B62" s="1026" t="str">
        <f>IF(A62&lt;'Purchased Boons'!$B$496,VLOOKUP(A62,'Purchased Boons'!$BF$2:$BG$900,2,FALSE),"")</f>
        <v/>
      </c>
      <c r="C62" s="727"/>
      <c r="D62" s="727"/>
      <c r="E62" s="727"/>
      <c r="F62" s="727"/>
      <c r="G62" s="727"/>
      <c r="H62" s="727"/>
      <c r="I62" s="727" t="str">
        <f>IF(B62="","",VLOOKUP(B62,BoonRef!$A$2:$Z$900,25,FALSE))</f>
        <v/>
      </c>
      <c r="J62" s="727"/>
      <c r="K62" s="727"/>
      <c r="L62" s="727"/>
      <c r="M62" s="727"/>
      <c r="N62" s="727"/>
      <c r="O62" s="727"/>
      <c r="P62" s="727"/>
      <c r="Q62" s="727"/>
      <c r="R62" s="727"/>
      <c r="S62" s="727"/>
      <c r="T62" s="727"/>
      <c r="U62" s="727"/>
      <c r="V62" s="727"/>
      <c r="W62" s="727"/>
      <c r="X62" s="727"/>
      <c r="Y62" s="727"/>
      <c r="Z62" s="728"/>
      <c r="AA62" s="15">
        <v>117</v>
      </c>
      <c r="AB62" s="1026" t="str">
        <f>IF(AA62&lt;'Purchased Boons'!$B$496,VLOOKUP(AA62,'Purchased Boons'!$BF$2:$BG$900,2,FALSE),"")</f>
        <v/>
      </c>
      <c r="AC62" s="727"/>
      <c r="AD62" s="727"/>
      <c r="AE62" s="727"/>
      <c r="AF62" s="727"/>
      <c r="AG62" s="727"/>
      <c r="AH62" s="727"/>
      <c r="AI62" s="727" t="str">
        <f>IF(AB62="","",VLOOKUP(AB62,BoonRef!$A$2:$Z$900,25,FALSE))</f>
        <v/>
      </c>
      <c r="AJ62" s="727"/>
      <c r="AK62" s="727"/>
      <c r="AL62" s="727"/>
      <c r="AM62" s="727"/>
      <c r="AN62" s="727"/>
      <c r="AO62" s="727"/>
      <c r="AP62" s="727"/>
      <c r="AQ62" s="727"/>
      <c r="AR62" s="727"/>
      <c r="AS62" s="727"/>
      <c r="AT62" s="727"/>
      <c r="AU62" s="727"/>
      <c r="AV62" s="727"/>
      <c r="AW62" s="727"/>
      <c r="AX62" s="727"/>
      <c r="AY62" s="727"/>
      <c r="AZ62" s="728"/>
      <c r="BA62" s="15">
        <v>10</v>
      </c>
      <c r="BB62" s="1038" t="str">
        <f>IF(BA62&lt;'Purchased Knacks'!A$192,VLOOKUP(BA62,'Purchased Knacks'!$A$4:$E$300,3,FALSE),"")</f>
        <v/>
      </c>
      <c r="BC62" s="1039"/>
      <c r="BD62" s="1039"/>
      <c r="BE62" s="1039"/>
      <c r="BF62" s="1040"/>
      <c r="BG62" s="1032" t="str">
        <f>IF(BB62="","",VLOOKUP(BB62,KanckRef!$A$1:$G$300,7,FALSE))</f>
        <v/>
      </c>
      <c r="BH62" s="1033"/>
      <c r="BI62" s="753"/>
      <c r="BJ62" s="754"/>
      <c r="BK62" s="754"/>
      <c r="BL62" s="754"/>
      <c r="BM62" s="754"/>
      <c r="BN62" s="754"/>
      <c r="BO62" s="754"/>
      <c r="BP62" s="754"/>
      <c r="BQ62" s="754"/>
      <c r="BR62" s="754"/>
      <c r="BS62" s="754"/>
      <c r="BT62" s="754"/>
      <c r="BU62" s="754"/>
      <c r="BV62" s="754"/>
      <c r="BW62" s="754"/>
      <c r="BX62" s="754"/>
      <c r="BY62" s="754"/>
      <c r="BZ62" s="755"/>
      <c r="CA62" s="15">
        <v>117</v>
      </c>
      <c r="CB62" s="1038" t="str">
        <f>IF(CA62&lt;'Purchased Knacks'!A$192,VLOOKUP(CA62,'Purchased Knacks'!$A$4:$E$300,3,FALSE),"")</f>
        <v/>
      </c>
      <c r="CC62" s="1039"/>
      <c r="CD62" s="1039"/>
      <c r="CE62" s="1039"/>
      <c r="CF62" s="1040"/>
      <c r="CG62" s="1032" t="str">
        <f>IF(CB62="","",VLOOKUP(CB62,KanckRef!$A$1:$G$300,7,FALSE))</f>
        <v/>
      </c>
      <c r="CH62" s="1033"/>
      <c r="CI62" s="753"/>
      <c r="CJ62" s="754"/>
      <c r="CK62" s="754"/>
      <c r="CL62" s="754"/>
      <c r="CM62" s="754"/>
      <c r="CN62" s="754"/>
      <c r="CO62" s="754"/>
      <c r="CP62" s="754"/>
      <c r="CQ62" s="754"/>
      <c r="CR62" s="754"/>
      <c r="CS62" s="754"/>
      <c r="CT62" s="754"/>
      <c r="CU62" s="754"/>
      <c r="CV62" s="754"/>
      <c r="CW62" s="754"/>
      <c r="CX62" s="754"/>
      <c r="CY62" s="754"/>
      <c r="CZ62" s="755"/>
    </row>
    <row r="63" spans="1:104" ht="15" customHeight="1" x14ac:dyDescent="0.25">
      <c r="B63" s="1026"/>
      <c r="C63" s="727"/>
      <c r="D63" s="727"/>
      <c r="E63" s="727"/>
      <c r="F63" s="727"/>
      <c r="G63" s="727"/>
      <c r="H63" s="727"/>
      <c r="I63" s="727" t="str">
        <f>IF(B62="","",VLOOKUP(B62,BoonRef!$A$2:$Z$900,26,FALSE))</f>
        <v/>
      </c>
      <c r="J63" s="727"/>
      <c r="K63" s="727"/>
      <c r="L63" s="727"/>
      <c r="M63" s="727"/>
      <c r="N63" s="727"/>
      <c r="O63" s="727"/>
      <c r="P63" s="727"/>
      <c r="Q63" s="727"/>
      <c r="R63" s="727"/>
      <c r="S63" s="727"/>
      <c r="T63" s="727"/>
      <c r="U63" s="727"/>
      <c r="V63" s="727"/>
      <c r="W63" s="727"/>
      <c r="X63" s="727"/>
      <c r="Y63" s="727"/>
      <c r="Z63" s="728"/>
      <c r="AB63" s="1026"/>
      <c r="AC63" s="727"/>
      <c r="AD63" s="727"/>
      <c r="AE63" s="727"/>
      <c r="AF63" s="727"/>
      <c r="AG63" s="727"/>
      <c r="AH63" s="727"/>
      <c r="AI63" s="727" t="str">
        <f>IF(AB62="","",VLOOKUP(AB62,BoonRef!$A$2:$Z$900,26,FALSE))</f>
        <v/>
      </c>
      <c r="AJ63" s="727"/>
      <c r="AK63" s="727"/>
      <c r="AL63" s="727"/>
      <c r="AM63" s="727"/>
      <c r="AN63" s="727"/>
      <c r="AO63" s="727"/>
      <c r="AP63" s="727"/>
      <c r="AQ63" s="727"/>
      <c r="AR63" s="727"/>
      <c r="AS63" s="727"/>
      <c r="AT63" s="727"/>
      <c r="AU63" s="727"/>
      <c r="AV63" s="727"/>
      <c r="AW63" s="727"/>
      <c r="AX63" s="727"/>
      <c r="AY63" s="727"/>
      <c r="AZ63" s="728"/>
      <c r="BB63" s="1041"/>
      <c r="BC63" s="1042"/>
      <c r="BD63" s="1042"/>
      <c r="BE63" s="1042"/>
      <c r="BF63" s="1043"/>
      <c r="BG63" s="1034"/>
      <c r="BH63" s="1035"/>
      <c r="BI63" s="753"/>
      <c r="BJ63" s="754"/>
      <c r="BK63" s="754"/>
      <c r="BL63" s="754"/>
      <c r="BM63" s="754"/>
      <c r="BN63" s="754"/>
      <c r="BO63" s="754"/>
      <c r="BP63" s="754"/>
      <c r="BQ63" s="754"/>
      <c r="BR63" s="754"/>
      <c r="BS63" s="754"/>
      <c r="BT63" s="754"/>
      <c r="BU63" s="754"/>
      <c r="BV63" s="754"/>
      <c r="BW63" s="754"/>
      <c r="BX63" s="754"/>
      <c r="BY63" s="754"/>
      <c r="BZ63" s="755"/>
      <c r="CB63" s="1041"/>
      <c r="CC63" s="1042"/>
      <c r="CD63" s="1042"/>
      <c r="CE63" s="1042"/>
      <c r="CF63" s="1043"/>
      <c r="CG63" s="1034"/>
      <c r="CH63" s="1035"/>
      <c r="CI63" s="753"/>
      <c r="CJ63" s="754"/>
      <c r="CK63" s="754"/>
      <c r="CL63" s="754"/>
      <c r="CM63" s="754"/>
      <c r="CN63" s="754"/>
      <c r="CO63" s="754"/>
      <c r="CP63" s="754"/>
      <c r="CQ63" s="754"/>
      <c r="CR63" s="754"/>
      <c r="CS63" s="754"/>
      <c r="CT63" s="754"/>
      <c r="CU63" s="754"/>
      <c r="CV63" s="754"/>
      <c r="CW63" s="754"/>
      <c r="CX63" s="754"/>
      <c r="CY63" s="754"/>
      <c r="CZ63" s="755"/>
    </row>
    <row r="64" spans="1:104" ht="15" customHeight="1" x14ac:dyDescent="0.25">
      <c r="B64" s="1026" t="str">
        <f>IF(B62="","",VLOOKUP(B62,BoonRef!$A$2:$Z$900,24,FALSE))</f>
        <v/>
      </c>
      <c r="C64" s="727"/>
      <c r="D64" s="727"/>
      <c r="E64" s="727"/>
      <c r="F64" s="727"/>
      <c r="G64" s="727"/>
      <c r="H64" s="727"/>
      <c r="I64" s="727"/>
      <c r="J64" s="727"/>
      <c r="K64" s="727"/>
      <c r="L64" s="727"/>
      <c r="M64" s="727"/>
      <c r="N64" s="727"/>
      <c r="O64" s="727"/>
      <c r="P64" s="727"/>
      <c r="Q64" s="727"/>
      <c r="R64" s="727"/>
      <c r="S64" s="727"/>
      <c r="T64" s="727"/>
      <c r="U64" s="727"/>
      <c r="V64" s="727"/>
      <c r="W64" s="727"/>
      <c r="X64" s="727"/>
      <c r="Y64" s="727"/>
      <c r="Z64" s="728"/>
      <c r="AB64" s="1026" t="str">
        <f>IF(AB62="","",VLOOKUP(AB62,BoonRef!$A$2:$Z$900,24,FALSE))</f>
        <v/>
      </c>
      <c r="AC64" s="727"/>
      <c r="AD64" s="727"/>
      <c r="AE64" s="727"/>
      <c r="AF64" s="727"/>
      <c r="AG64" s="727"/>
      <c r="AH64" s="727"/>
      <c r="AI64" s="727"/>
      <c r="AJ64" s="727"/>
      <c r="AK64" s="727"/>
      <c r="AL64" s="727"/>
      <c r="AM64" s="727"/>
      <c r="AN64" s="727"/>
      <c r="AO64" s="727"/>
      <c r="AP64" s="727"/>
      <c r="AQ64" s="727"/>
      <c r="AR64" s="727"/>
      <c r="AS64" s="727"/>
      <c r="AT64" s="727"/>
      <c r="AU64" s="727"/>
      <c r="AV64" s="727"/>
      <c r="AW64" s="727"/>
      <c r="AX64" s="727"/>
      <c r="AY64" s="727"/>
      <c r="AZ64" s="728"/>
      <c r="BB64" s="641" t="str">
        <f>IF(BB62="","",VLOOKUP(BB62,KanckRef!$A$1:$G$300,4,FALSE))</f>
        <v/>
      </c>
      <c r="BC64" s="642"/>
      <c r="BD64" s="642"/>
      <c r="BE64" s="642"/>
      <c r="BF64" s="642"/>
      <c r="BG64" s="642"/>
      <c r="BH64" s="1033"/>
      <c r="BI64" s="753"/>
      <c r="BJ64" s="754"/>
      <c r="BK64" s="754"/>
      <c r="BL64" s="754"/>
      <c r="BM64" s="754"/>
      <c r="BN64" s="754"/>
      <c r="BO64" s="754"/>
      <c r="BP64" s="754"/>
      <c r="BQ64" s="754"/>
      <c r="BR64" s="754"/>
      <c r="BS64" s="754"/>
      <c r="BT64" s="754"/>
      <c r="BU64" s="754"/>
      <c r="BV64" s="754"/>
      <c r="BW64" s="754"/>
      <c r="BX64" s="754"/>
      <c r="BY64" s="754"/>
      <c r="BZ64" s="755"/>
      <c r="CB64" s="641" t="str">
        <f>IF(CB62="","",VLOOKUP(CB62,KanckRef!$A$1:$G$300,4,FALSE))</f>
        <v/>
      </c>
      <c r="CC64" s="642"/>
      <c r="CD64" s="642"/>
      <c r="CE64" s="642"/>
      <c r="CF64" s="642"/>
      <c r="CG64" s="642"/>
      <c r="CH64" s="1033"/>
      <c r="CI64" s="753"/>
      <c r="CJ64" s="754"/>
      <c r="CK64" s="754"/>
      <c r="CL64" s="754"/>
      <c r="CM64" s="754"/>
      <c r="CN64" s="754"/>
      <c r="CO64" s="754"/>
      <c r="CP64" s="754"/>
      <c r="CQ64" s="754"/>
      <c r="CR64" s="754"/>
      <c r="CS64" s="754"/>
      <c r="CT64" s="754"/>
      <c r="CU64" s="754"/>
      <c r="CV64" s="754"/>
      <c r="CW64" s="754"/>
      <c r="CX64" s="754"/>
      <c r="CY64" s="754"/>
      <c r="CZ64" s="755"/>
    </row>
    <row r="65" spans="1:104" ht="15" customHeight="1" x14ac:dyDescent="0.25">
      <c r="B65" s="1026" t="str">
        <f>IF(B62="","",VLOOKUP(B62,BoonRef!$A$2:$Z$900,23,FALSE))</f>
        <v/>
      </c>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8"/>
      <c r="AB65" s="1026" t="str">
        <f>IF(AB62="","",VLOOKUP(AB62,BoonRef!$A$2:$Z$900,23,FALSE))</f>
        <v/>
      </c>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8"/>
      <c r="BB65" s="635"/>
      <c r="BC65" s="636"/>
      <c r="BD65" s="636"/>
      <c r="BE65" s="636"/>
      <c r="BF65" s="636"/>
      <c r="BG65" s="636"/>
      <c r="BH65" s="1036"/>
      <c r="BI65" s="753"/>
      <c r="BJ65" s="754"/>
      <c r="BK65" s="754"/>
      <c r="BL65" s="754"/>
      <c r="BM65" s="754"/>
      <c r="BN65" s="754"/>
      <c r="BO65" s="754"/>
      <c r="BP65" s="754"/>
      <c r="BQ65" s="754"/>
      <c r="BR65" s="754"/>
      <c r="BS65" s="754"/>
      <c r="BT65" s="754"/>
      <c r="BU65" s="754"/>
      <c r="BV65" s="754"/>
      <c r="BW65" s="754"/>
      <c r="BX65" s="754"/>
      <c r="BY65" s="754"/>
      <c r="BZ65" s="755"/>
      <c r="CB65" s="635"/>
      <c r="CC65" s="636"/>
      <c r="CD65" s="636"/>
      <c r="CE65" s="636"/>
      <c r="CF65" s="636"/>
      <c r="CG65" s="636"/>
      <c r="CH65" s="1036"/>
      <c r="CI65" s="753"/>
      <c r="CJ65" s="754"/>
      <c r="CK65" s="754"/>
      <c r="CL65" s="754"/>
      <c r="CM65" s="754"/>
      <c r="CN65" s="754"/>
      <c r="CO65" s="754"/>
      <c r="CP65" s="754"/>
      <c r="CQ65" s="754"/>
      <c r="CR65" s="754"/>
      <c r="CS65" s="754"/>
      <c r="CT65" s="754"/>
      <c r="CU65" s="754"/>
      <c r="CV65" s="754"/>
      <c r="CW65" s="754"/>
      <c r="CX65" s="754"/>
      <c r="CY65" s="754"/>
      <c r="CZ65" s="755"/>
    </row>
    <row r="66" spans="1:104" ht="15" customHeight="1" thickBot="1" x14ac:dyDescent="0.3">
      <c r="B66" s="1027"/>
      <c r="C66" s="865"/>
      <c r="D66" s="865"/>
      <c r="E66" s="865"/>
      <c r="F66" s="865"/>
      <c r="G66" s="865"/>
      <c r="H66" s="865"/>
      <c r="I66" s="865"/>
      <c r="J66" s="865"/>
      <c r="K66" s="865"/>
      <c r="L66" s="865"/>
      <c r="M66" s="865"/>
      <c r="N66" s="865"/>
      <c r="O66" s="865"/>
      <c r="P66" s="865"/>
      <c r="Q66" s="865"/>
      <c r="R66" s="865"/>
      <c r="S66" s="865"/>
      <c r="T66" s="865"/>
      <c r="U66" s="865"/>
      <c r="V66" s="865"/>
      <c r="W66" s="865"/>
      <c r="X66" s="865"/>
      <c r="Y66" s="865"/>
      <c r="Z66" s="921"/>
      <c r="AB66" s="1027"/>
      <c r="AC66" s="865"/>
      <c r="AD66" s="865"/>
      <c r="AE66" s="865"/>
      <c r="AF66" s="865"/>
      <c r="AG66" s="865"/>
      <c r="AH66" s="865"/>
      <c r="AI66" s="865"/>
      <c r="AJ66" s="865"/>
      <c r="AK66" s="865"/>
      <c r="AL66" s="865"/>
      <c r="AM66" s="865"/>
      <c r="AN66" s="865"/>
      <c r="AO66" s="865"/>
      <c r="AP66" s="865"/>
      <c r="AQ66" s="865"/>
      <c r="AR66" s="865"/>
      <c r="AS66" s="865"/>
      <c r="AT66" s="865"/>
      <c r="AU66" s="865"/>
      <c r="AV66" s="865"/>
      <c r="AW66" s="865"/>
      <c r="AX66" s="865"/>
      <c r="AY66" s="865"/>
      <c r="AZ66" s="921"/>
      <c r="BB66" s="644"/>
      <c r="BC66" s="645"/>
      <c r="BD66" s="645"/>
      <c r="BE66" s="645"/>
      <c r="BF66" s="645"/>
      <c r="BG66" s="645"/>
      <c r="BH66" s="1037"/>
      <c r="BI66" s="756"/>
      <c r="BJ66" s="757"/>
      <c r="BK66" s="757"/>
      <c r="BL66" s="757"/>
      <c r="BM66" s="757"/>
      <c r="BN66" s="757"/>
      <c r="BO66" s="757"/>
      <c r="BP66" s="757"/>
      <c r="BQ66" s="757"/>
      <c r="BR66" s="757"/>
      <c r="BS66" s="757"/>
      <c r="BT66" s="757"/>
      <c r="BU66" s="757"/>
      <c r="BV66" s="757"/>
      <c r="BW66" s="757"/>
      <c r="BX66" s="757"/>
      <c r="BY66" s="757"/>
      <c r="BZ66" s="758"/>
      <c r="CB66" s="644"/>
      <c r="CC66" s="645"/>
      <c r="CD66" s="645"/>
      <c r="CE66" s="645"/>
      <c r="CF66" s="645"/>
      <c r="CG66" s="645"/>
      <c r="CH66" s="1037"/>
      <c r="CI66" s="756"/>
      <c r="CJ66" s="757"/>
      <c r="CK66" s="757"/>
      <c r="CL66" s="757"/>
      <c r="CM66" s="757"/>
      <c r="CN66" s="757"/>
      <c r="CO66" s="757"/>
      <c r="CP66" s="757"/>
      <c r="CQ66" s="757"/>
      <c r="CR66" s="757"/>
      <c r="CS66" s="757"/>
      <c r="CT66" s="757"/>
      <c r="CU66" s="757"/>
      <c r="CV66" s="757"/>
      <c r="CW66" s="757"/>
      <c r="CX66" s="757"/>
      <c r="CY66" s="757"/>
      <c r="CZ66" s="758"/>
    </row>
    <row r="67" spans="1:104" ht="15" customHeight="1" x14ac:dyDescent="0.25">
      <c r="B67" s="1028" t="str">
        <f>IF(B68="","",VLOOKUP(B68,BoonRef!$A$2:$Z$900,2,FALSE))</f>
        <v/>
      </c>
      <c r="C67" s="725"/>
      <c r="D67" s="725"/>
      <c r="E67" s="725"/>
      <c r="F67" s="725"/>
      <c r="G67" s="725"/>
      <c r="H67" s="725"/>
      <c r="I67" s="725" t="str">
        <f>IF(B68="","",VLOOKUP(B68,BoonRef!$A$2:$Z$900,3,FALSE))</f>
        <v/>
      </c>
      <c r="J67" s="725"/>
      <c r="K67" s="725" t="str">
        <f>IF(B68="","",VLOOKUP(B68,DescRef!$A$2:$B$900,2,FALSE))</f>
        <v/>
      </c>
      <c r="L67" s="725"/>
      <c r="M67" s="725"/>
      <c r="N67" s="725"/>
      <c r="O67" s="725"/>
      <c r="P67" s="725"/>
      <c r="Q67" s="725"/>
      <c r="R67" s="725"/>
      <c r="S67" s="725"/>
      <c r="T67" s="725"/>
      <c r="U67" s="725"/>
      <c r="V67" s="725"/>
      <c r="W67" s="725"/>
      <c r="X67" s="725"/>
      <c r="Y67" s="725"/>
      <c r="Z67" s="726"/>
      <c r="AB67" s="1028" t="str">
        <f>IF(AB68="","",VLOOKUP(AB68,BoonRef!$A$2:$Z$900,2,FALSE))</f>
        <v/>
      </c>
      <c r="AC67" s="725"/>
      <c r="AD67" s="725"/>
      <c r="AE67" s="725"/>
      <c r="AF67" s="725"/>
      <c r="AG67" s="725"/>
      <c r="AH67" s="725"/>
      <c r="AI67" s="725" t="str">
        <f>IF(AB68="","",VLOOKUP(AB68,BoonRef!$A$2:$Z$900,3,FALSE))</f>
        <v/>
      </c>
      <c r="AJ67" s="725"/>
      <c r="AK67" s="725" t="str">
        <f>IF(AB68="","",VLOOKUP(AB68,DescRef!$A$2:$B$900,2,FALSE))</f>
        <v/>
      </c>
      <c r="AL67" s="725"/>
      <c r="AM67" s="725"/>
      <c r="AN67" s="725"/>
      <c r="AO67" s="725"/>
      <c r="AP67" s="725"/>
      <c r="AQ67" s="725"/>
      <c r="AR67" s="725"/>
      <c r="AS67" s="725"/>
      <c r="AT67" s="725"/>
      <c r="AU67" s="725"/>
      <c r="AV67" s="725"/>
      <c r="AW67" s="725"/>
      <c r="AX67" s="725"/>
      <c r="AY67" s="725"/>
      <c r="AZ67" s="726"/>
      <c r="BB67" s="1029" t="str">
        <f>IF(BB68="","",VLOOKUP(BB68,KanckRef!$A$1:$G$300,2,FALSE))</f>
        <v/>
      </c>
      <c r="BC67" s="1030"/>
      <c r="BD67" s="1030"/>
      <c r="BE67" s="1030"/>
      <c r="BF67" s="1031"/>
      <c r="BG67" s="1048" t="str">
        <f>IF(BB68="","",VLOOKUP(BB68,KanckRef!$A$1:$G$300,6,FALSE))</f>
        <v/>
      </c>
      <c r="BH67" s="1049"/>
      <c r="BI67" s="988" t="str">
        <f>IF(BB68="","",VLOOKUP(BB68,DescRef!$D$2:$E$300,2,FALSE))</f>
        <v/>
      </c>
      <c r="BJ67" s="795"/>
      <c r="BK67" s="795"/>
      <c r="BL67" s="795"/>
      <c r="BM67" s="795"/>
      <c r="BN67" s="795"/>
      <c r="BO67" s="795"/>
      <c r="BP67" s="795"/>
      <c r="BQ67" s="795"/>
      <c r="BR67" s="795"/>
      <c r="BS67" s="795"/>
      <c r="BT67" s="795"/>
      <c r="BU67" s="795"/>
      <c r="BV67" s="795"/>
      <c r="BW67" s="795"/>
      <c r="BX67" s="795"/>
      <c r="BY67" s="795"/>
      <c r="BZ67" s="796"/>
      <c r="CB67" s="1029" t="str">
        <f>IF(CB68="","",VLOOKUP(CB68,KanckRef!$A$1:$G$300,2,FALSE))</f>
        <v/>
      </c>
      <c r="CC67" s="1030"/>
      <c r="CD67" s="1030"/>
      <c r="CE67" s="1030"/>
      <c r="CF67" s="1031"/>
      <c r="CG67" s="1048" t="str">
        <f>IF(CB68="","",VLOOKUP(CB68,KanckRef!$A$1:$G$300,6,FALSE))</f>
        <v/>
      </c>
      <c r="CH67" s="1049"/>
      <c r="CI67" s="988" t="str">
        <f>IF(CB68="","",VLOOKUP(CB68,DescRef!$D$2:$E$300,2,FALSE))</f>
        <v/>
      </c>
      <c r="CJ67" s="795"/>
      <c r="CK67" s="795"/>
      <c r="CL67" s="795"/>
      <c r="CM67" s="795"/>
      <c r="CN67" s="795"/>
      <c r="CO67" s="795"/>
      <c r="CP67" s="795"/>
      <c r="CQ67" s="795"/>
      <c r="CR67" s="795"/>
      <c r="CS67" s="795"/>
      <c r="CT67" s="795"/>
      <c r="CU67" s="795"/>
      <c r="CV67" s="795"/>
      <c r="CW67" s="795"/>
      <c r="CX67" s="795"/>
      <c r="CY67" s="795"/>
      <c r="CZ67" s="796"/>
    </row>
    <row r="68" spans="1:104" ht="15" customHeight="1" x14ac:dyDescent="0.25">
      <c r="A68" s="15">
        <v>11</v>
      </c>
      <c r="B68" s="1026" t="str">
        <f>IF(A68&lt;'Purchased Boons'!$B$496,VLOOKUP(A68,'Purchased Boons'!$BF$2:$BG$900,2,FALSE),"")</f>
        <v/>
      </c>
      <c r="C68" s="727"/>
      <c r="D68" s="727"/>
      <c r="E68" s="727"/>
      <c r="F68" s="727"/>
      <c r="G68" s="727"/>
      <c r="H68" s="727"/>
      <c r="I68" s="727" t="str">
        <f>IF(B68="","",VLOOKUP(B68,BoonRef!$A$2:$Z$900,25,FALSE))</f>
        <v/>
      </c>
      <c r="J68" s="727"/>
      <c r="K68" s="727"/>
      <c r="L68" s="727"/>
      <c r="M68" s="727"/>
      <c r="N68" s="727"/>
      <c r="O68" s="727"/>
      <c r="P68" s="727"/>
      <c r="Q68" s="727"/>
      <c r="R68" s="727"/>
      <c r="S68" s="727"/>
      <c r="T68" s="727"/>
      <c r="U68" s="727"/>
      <c r="V68" s="727"/>
      <c r="W68" s="727"/>
      <c r="X68" s="727"/>
      <c r="Y68" s="727"/>
      <c r="Z68" s="728"/>
      <c r="AA68" s="15">
        <v>118</v>
      </c>
      <c r="AB68" s="1026" t="str">
        <f>IF(AA68&lt;'Purchased Boons'!$B$496,VLOOKUP(AA68,'Purchased Boons'!$BF$2:$BG$900,2,FALSE),"")</f>
        <v/>
      </c>
      <c r="AC68" s="727"/>
      <c r="AD68" s="727"/>
      <c r="AE68" s="727"/>
      <c r="AF68" s="727"/>
      <c r="AG68" s="727"/>
      <c r="AH68" s="727"/>
      <c r="AI68" s="727" t="str">
        <f>IF(AB68="","",VLOOKUP(AB68,BoonRef!$A$2:$Z$900,25,FALSE))</f>
        <v/>
      </c>
      <c r="AJ68" s="727"/>
      <c r="AK68" s="727"/>
      <c r="AL68" s="727"/>
      <c r="AM68" s="727"/>
      <c r="AN68" s="727"/>
      <c r="AO68" s="727"/>
      <c r="AP68" s="727"/>
      <c r="AQ68" s="727"/>
      <c r="AR68" s="727"/>
      <c r="AS68" s="727"/>
      <c r="AT68" s="727"/>
      <c r="AU68" s="727"/>
      <c r="AV68" s="727"/>
      <c r="AW68" s="727"/>
      <c r="AX68" s="727"/>
      <c r="AY68" s="727"/>
      <c r="AZ68" s="728"/>
      <c r="BA68" s="15">
        <v>11</v>
      </c>
      <c r="BB68" s="1038" t="str">
        <f>IF(BA68&lt;'Purchased Knacks'!A$192,VLOOKUP(BA68,'Purchased Knacks'!$A$4:$E$300,3,FALSE),"")</f>
        <v/>
      </c>
      <c r="BC68" s="1039"/>
      <c r="BD68" s="1039"/>
      <c r="BE68" s="1039"/>
      <c r="BF68" s="1040"/>
      <c r="BG68" s="1032" t="str">
        <f>IF(BB68="","",VLOOKUP(BB68,KanckRef!$A$1:$G$300,7,FALSE))</f>
        <v/>
      </c>
      <c r="BH68" s="1033"/>
      <c r="BI68" s="753"/>
      <c r="BJ68" s="754"/>
      <c r="BK68" s="754"/>
      <c r="BL68" s="754"/>
      <c r="BM68" s="754"/>
      <c r="BN68" s="754"/>
      <c r="BO68" s="754"/>
      <c r="BP68" s="754"/>
      <c r="BQ68" s="754"/>
      <c r="BR68" s="754"/>
      <c r="BS68" s="754"/>
      <c r="BT68" s="754"/>
      <c r="BU68" s="754"/>
      <c r="BV68" s="754"/>
      <c r="BW68" s="754"/>
      <c r="BX68" s="754"/>
      <c r="BY68" s="754"/>
      <c r="BZ68" s="755"/>
      <c r="CA68" s="15">
        <v>118</v>
      </c>
      <c r="CB68" s="1038" t="str">
        <f>IF(CA68&lt;'Purchased Knacks'!A$192,VLOOKUP(CA68,'Purchased Knacks'!$A$4:$E$300,3,FALSE),"")</f>
        <v/>
      </c>
      <c r="CC68" s="1039"/>
      <c r="CD68" s="1039"/>
      <c r="CE68" s="1039"/>
      <c r="CF68" s="1040"/>
      <c r="CG68" s="1032" t="str">
        <f>IF(CB68="","",VLOOKUP(CB68,KanckRef!$A$1:$G$300,7,FALSE))</f>
        <v/>
      </c>
      <c r="CH68" s="1033"/>
      <c r="CI68" s="753"/>
      <c r="CJ68" s="754"/>
      <c r="CK68" s="754"/>
      <c r="CL68" s="754"/>
      <c r="CM68" s="754"/>
      <c r="CN68" s="754"/>
      <c r="CO68" s="754"/>
      <c r="CP68" s="754"/>
      <c r="CQ68" s="754"/>
      <c r="CR68" s="754"/>
      <c r="CS68" s="754"/>
      <c r="CT68" s="754"/>
      <c r="CU68" s="754"/>
      <c r="CV68" s="754"/>
      <c r="CW68" s="754"/>
      <c r="CX68" s="754"/>
      <c r="CY68" s="754"/>
      <c r="CZ68" s="755"/>
    </row>
    <row r="69" spans="1:104" ht="15" customHeight="1" x14ac:dyDescent="0.25">
      <c r="B69" s="1026"/>
      <c r="C69" s="727"/>
      <c r="D69" s="727"/>
      <c r="E69" s="727"/>
      <c r="F69" s="727"/>
      <c r="G69" s="727"/>
      <c r="H69" s="727"/>
      <c r="I69" s="727" t="str">
        <f>IF(B68="","",VLOOKUP(B68,BoonRef!$A$2:$Z$900,26,FALSE))</f>
        <v/>
      </c>
      <c r="J69" s="727"/>
      <c r="K69" s="727"/>
      <c r="L69" s="727"/>
      <c r="M69" s="727"/>
      <c r="N69" s="727"/>
      <c r="O69" s="727"/>
      <c r="P69" s="727"/>
      <c r="Q69" s="727"/>
      <c r="R69" s="727"/>
      <c r="S69" s="727"/>
      <c r="T69" s="727"/>
      <c r="U69" s="727"/>
      <c r="V69" s="727"/>
      <c r="W69" s="727"/>
      <c r="X69" s="727"/>
      <c r="Y69" s="727"/>
      <c r="Z69" s="728"/>
      <c r="AB69" s="1026"/>
      <c r="AC69" s="727"/>
      <c r="AD69" s="727"/>
      <c r="AE69" s="727"/>
      <c r="AF69" s="727"/>
      <c r="AG69" s="727"/>
      <c r="AH69" s="727"/>
      <c r="AI69" s="727" t="str">
        <f>IF(AB68="","",VLOOKUP(AB68,BoonRef!$A$2:$Z$900,26,FALSE))</f>
        <v/>
      </c>
      <c r="AJ69" s="727"/>
      <c r="AK69" s="727"/>
      <c r="AL69" s="727"/>
      <c r="AM69" s="727"/>
      <c r="AN69" s="727"/>
      <c r="AO69" s="727"/>
      <c r="AP69" s="727"/>
      <c r="AQ69" s="727"/>
      <c r="AR69" s="727"/>
      <c r="AS69" s="727"/>
      <c r="AT69" s="727"/>
      <c r="AU69" s="727"/>
      <c r="AV69" s="727"/>
      <c r="AW69" s="727"/>
      <c r="AX69" s="727"/>
      <c r="AY69" s="727"/>
      <c r="AZ69" s="728"/>
      <c r="BB69" s="1041"/>
      <c r="BC69" s="1042"/>
      <c r="BD69" s="1042"/>
      <c r="BE69" s="1042"/>
      <c r="BF69" s="1043"/>
      <c r="BG69" s="1034"/>
      <c r="BH69" s="1035"/>
      <c r="BI69" s="753"/>
      <c r="BJ69" s="754"/>
      <c r="BK69" s="754"/>
      <c r="BL69" s="754"/>
      <c r="BM69" s="754"/>
      <c r="BN69" s="754"/>
      <c r="BO69" s="754"/>
      <c r="BP69" s="754"/>
      <c r="BQ69" s="754"/>
      <c r="BR69" s="754"/>
      <c r="BS69" s="754"/>
      <c r="BT69" s="754"/>
      <c r="BU69" s="754"/>
      <c r="BV69" s="754"/>
      <c r="BW69" s="754"/>
      <c r="BX69" s="754"/>
      <c r="BY69" s="754"/>
      <c r="BZ69" s="755"/>
      <c r="CB69" s="1041"/>
      <c r="CC69" s="1042"/>
      <c r="CD69" s="1042"/>
      <c r="CE69" s="1042"/>
      <c r="CF69" s="1043"/>
      <c r="CG69" s="1034"/>
      <c r="CH69" s="1035"/>
      <c r="CI69" s="753"/>
      <c r="CJ69" s="754"/>
      <c r="CK69" s="754"/>
      <c r="CL69" s="754"/>
      <c r="CM69" s="754"/>
      <c r="CN69" s="754"/>
      <c r="CO69" s="754"/>
      <c r="CP69" s="754"/>
      <c r="CQ69" s="754"/>
      <c r="CR69" s="754"/>
      <c r="CS69" s="754"/>
      <c r="CT69" s="754"/>
      <c r="CU69" s="754"/>
      <c r="CV69" s="754"/>
      <c r="CW69" s="754"/>
      <c r="CX69" s="754"/>
      <c r="CY69" s="754"/>
      <c r="CZ69" s="755"/>
    </row>
    <row r="70" spans="1:104" ht="15" customHeight="1" x14ac:dyDescent="0.25">
      <c r="B70" s="1026" t="str">
        <f>IF(B68="","",VLOOKUP(B68,BoonRef!$A$2:$Z$900,24,FALSE))</f>
        <v/>
      </c>
      <c r="C70" s="727"/>
      <c r="D70" s="727"/>
      <c r="E70" s="727"/>
      <c r="F70" s="727"/>
      <c r="G70" s="727"/>
      <c r="H70" s="727"/>
      <c r="I70" s="727"/>
      <c r="J70" s="727"/>
      <c r="K70" s="727"/>
      <c r="L70" s="727"/>
      <c r="M70" s="727"/>
      <c r="N70" s="727"/>
      <c r="O70" s="727"/>
      <c r="P70" s="727"/>
      <c r="Q70" s="727"/>
      <c r="R70" s="727"/>
      <c r="S70" s="727"/>
      <c r="T70" s="727"/>
      <c r="U70" s="727"/>
      <c r="V70" s="727"/>
      <c r="W70" s="727"/>
      <c r="X70" s="727"/>
      <c r="Y70" s="727"/>
      <c r="Z70" s="728"/>
      <c r="AB70" s="1026" t="str">
        <f>IF(AB68="","",VLOOKUP(AB68,BoonRef!$A$2:$Z$900,24,FALSE))</f>
        <v/>
      </c>
      <c r="AC70" s="727"/>
      <c r="AD70" s="727"/>
      <c r="AE70" s="727"/>
      <c r="AF70" s="727"/>
      <c r="AG70" s="727"/>
      <c r="AH70" s="727"/>
      <c r="AI70" s="727"/>
      <c r="AJ70" s="727"/>
      <c r="AK70" s="727"/>
      <c r="AL70" s="727"/>
      <c r="AM70" s="727"/>
      <c r="AN70" s="727"/>
      <c r="AO70" s="727"/>
      <c r="AP70" s="727"/>
      <c r="AQ70" s="727"/>
      <c r="AR70" s="727"/>
      <c r="AS70" s="727"/>
      <c r="AT70" s="727"/>
      <c r="AU70" s="727"/>
      <c r="AV70" s="727"/>
      <c r="AW70" s="727"/>
      <c r="AX70" s="727"/>
      <c r="AY70" s="727"/>
      <c r="AZ70" s="728"/>
      <c r="BB70" s="641" t="str">
        <f>IF(BB68="","",VLOOKUP(BB68,KanckRef!$A$1:$G$300,4,FALSE))</f>
        <v/>
      </c>
      <c r="BC70" s="642"/>
      <c r="BD70" s="642"/>
      <c r="BE70" s="642"/>
      <c r="BF70" s="642"/>
      <c r="BG70" s="642"/>
      <c r="BH70" s="1033"/>
      <c r="BI70" s="753"/>
      <c r="BJ70" s="754"/>
      <c r="BK70" s="754"/>
      <c r="BL70" s="754"/>
      <c r="BM70" s="754"/>
      <c r="BN70" s="754"/>
      <c r="BO70" s="754"/>
      <c r="BP70" s="754"/>
      <c r="BQ70" s="754"/>
      <c r="BR70" s="754"/>
      <c r="BS70" s="754"/>
      <c r="BT70" s="754"/>
      <c r="BU70" s="754"/>
      <c r="BV70" s="754"/>
      <c r="BW70" s="754"/>
      <c r="BX70" s="754"/>
      <c r="BY70" s="754"/>
      <c r="BZ70" s="755"/>
      <c r="CB70" s="641" t="str">
        <f>IF(CB68="","",VLOOKUP(CB68,KanckRef!$A$1:$G$300,4,FALSE))</f>
        <v/>
      </c>
      <c r="CC70" s="642"/>
      <c r="CD70" s="642"/>
      <c r="CE70" s="642"/>
      <c r="CF70" s="642"/>
      <c r="CG70" s="642"/>
      <c r="CH70" s="1033"/>
      <c r="CI70" s="753"/>
      <c r="CJ70" s="754"/>
      <c r="CK70" s="754"/>
      <c r="CL70" s="754"/>
      <c r="CM70" s="754"/>
      <c r="CN70" s="754"/>
      <c r="CO70" s="754"/>
      <c r="CP70" s="754"/>
      <c r="CQ70" s="754"/>
      <c r="CR70" s="754"/>
      <c r="CS70" s="754"/>
      <c r="CT70" s="754"/>
      <c r="CU70" s="754"/>
      <c r="CV70" s="754"/>
      <c r="CW70" s="754"/>
      <c r="CX70" s="754"/>
      <c r="CY70" s="754"/>
      <c r="CZ70" s="755"/>
    </row>
    <row r="71" spans="1:104" ht="15" customHeight="1" x14ac:dyDescent="0.25">
      <c r="B71" s="1026" t="str">
        <f>IF(B68="","",VLOOKUP(B68,BoonRef!$A$2:$Z$900,23,FALSE))</f>
        <v/>
      </c>
      <c r="C71" s="727"/>
      <c r="D71" s="727"/>
      <c r="E71" s="727"/>
      <c r="F71" s="727"/>
      <c r="G71" s="727"/>
      <c r="H71" s="727"/>
      <c r="I71" s="727"/>
      <c r="J71" s="727"/>
      <c r="K71" s="727"/>
      <c r="L71" s="727"/>
      <c r="M71" s="727"/>
      <c r="N71" s="727"/>
      <c r="O71" s="727"/>
      <c r="P71" s="727"/>
      <c r="Q71" s="727"/>
      <c r="R71" s="727"/>
      <c r="S71" s="727"/>
      <c r="T71" s="727"/>
      <c r="U71" s="727"/>
      <c r="V71" s="727"/>
      <c r="W71" s="727"/>
      <c r="X71" s="727"/>
      <c r="Y71" s="727"/>
      <c r="Z71" s="728"/>
      <c r="AB71" s="1026" t="str">
        <f>IF(AB68="","",VLOOKUP(AB68,BoonRef!$A$2:$Z$900,23,FALSE))</f>
        <v/>
      </c>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7"/>
      <c r="AY71" s="727"/>
      <c r="AZ71" s="728"/>
      <c r="BB71" s="635"/>
      <c r="BC71" s="636"/>
      <c r="BD71" s="636"/>
      <c r="BE71" s="636"/>
      <c r="BF71" s="636"/>
      <c r="BG71" s="636"/>
      <c r="BH71" s="1036"/>
      <c r="BI71" s="753"/>
      <c r="BJ71" s="754"/>
      <c r="BK71" s="754"/>
      <c r="BL71" s="754"/>
      <c r="BM71" s="754"/>
      <c r="BN71" s="754"/>
      <c r="BO71" s="754"/>
      <c r="BP71" s="754"/>
      <c r="BQ71" s="754"/>
      <c r="BR71" s="754"/>
      <c r="BS71" s="754"/>
      <c r="BT71" s="754"/>
      <c r="BU71" s="754"/>
      <c r="BV71" s="754"/>
      <c r="BW71" s="754"/>
      <c r="BX71" s="754"/>
      <c r="BY71" s="754"/>
      <c r="BZ71" s="755"/>
      <c r="CB71" s="635"/>
      <c r="CC71" s="636"/>
      <c r="CD71" s="636"/>
      <c r="CE71" s="636"/>
      <c r="CF71" s="636"/>
      <c r="CG71" s="636"/>
      <c r="CH71" s="1036"/>
      <c r="CI71" s="753"/>
      <c r="CJ71" s="754"/>
      <c r="CK71" s="754"/>
      <c r="CL71" s="754"/>
      <c r="CM71" s="754"/>
      <c r="CN71" s="754"/>
      <c r="CO71" s="754"/>
      <c r="CP71" s="754"/>
      <c r="CQ71" s="754"/>
      <c r="CR71" s="754"/>
      <c r="CS71" s="754"/>
      <c r="CT71" s="754"/>
      <c r="CU71" s="754"/>
      <c r="CV71" s="754"/>
      <c r="CW71" s="754"/>
      <c r="CX71" s="754"/>
      <c r="CY71" s="754"/>
      <c r="CZ71" s="755"/>
    </row>
    <row r="72" spans="1:104" ht="15" customHeight="1" thickBot="1" x14ac:dyDescent="0.3">
      <c r="B72" s="1027"/>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921"/>
      <c r="AB72" s="1027"/>
      <c r="AC72" s="865"/>
      <c r="AD72" s="865"/>
      <c r="AE72" s="865"/>
      <c r="AF72" s="865"/>
      <c r="AG72" s="865"/>
      <c r="AH72" s="865"/>
      <c r="AI72" s="865"/>
      <c r="AJ72" s="865"/>
      <c r="AK72" s="865"/>
      <c r="AL72" s="865"/>
      <c r="AM72" s="865"/>
      <c r="AN72" s="865"/>
      <c r="AO72" s="865"/>
      <c r="AP72" s="865"/>
      <c r="AQ72" s="865"/>
      <c r="AR72" s="865"/>
      <c r="AS72" s="865"/>
      <c r="AT72" s="865"/>
      <c r="AU72" s="865"/>
      <c r="AV72" s="865"/>
      <c r="AW72" s="865"/>
      <c r="AX72" s="865"/>
      <c r="AY72" s="865"/>
      <c r="AZ72" s="921"/>
      <c r="BB72" s="644"/>
      <c r="BC72" s="645"/>
      <c r="BD72" s="645"/>
      <c r="BE72" s="645"/>
      <c r="BF72" s="645"/>
      <c r="BG72" s="645"/>
      <c r="BH72" s="1037"/>
      <c r="BI72" s="756"/>
      <c r="BJ72" s="757"/>
      <c r="BK72" s="757"/>
      <c r="BL72" s="757"/>
      <c r="BM72" s="757"/>
      <c r="BN72" s="757"/>
      <c r="BO72" s="757"/>
      <c r="BP72" s="757"/>
      <c r="BQ72" s="757"/>
      <c r="BR72" s="757"/>
      <c r="BS72" s="757"/>
      <c r="BT72" s="757"/>
      <c r="BU72" s="757"/>
      <c r="BV72" s="757"/>
      <c r="BW72" s="757"/>
      <c r="BX72" s="757"/>
      <c r="BY72" s="757"/>
      <c r="BZ72" s="758"/>
      <c r="CB72" s="644"/>
      <c r="CC72" s="645"/>
      <c r="CD72" s="645"/>
      <c r="CE72" s="645"/>
      <c r="CF72" s="645"/>
      <c r="CG72" s="645"/>
      <c r="CH72" s="1037"/>
      <c r="CI72" s="756"/>
      <c r="CJ72" s="757"/>
      <c r="CK72" s="757"/>
      <c r="CL72" s="757"/>
      <c r="CM72" s="757"/>
      <c r="CN72" s="757"/>
      <c r="CO72" s="757"/>
      <c r="CP72" s="757"/>
      <c r="CQ72" s="757"/>
      <c r="CR72" s="757"/>
      <c r="CS72" s="757"/>
      <c r="CT72" s="757"/>
      <c r="CU72" s="757"/>
      <c r="CV72" s="757"/>
      <c r="CW72" s="757"/>
      <c r="CX72" s="757"/>
      <c r="CY72" s="757"/>
      <c r="CZ72" s="758"/>
    </row>
    <row r="73" spans="1:104" ht="15" customHeight="1" x14ac:dyDescent="0.25">
      <c r="B73" s="1028" t="str">
        <f>IF(B74="","",VLOOKUP(B74,BoonRef!$A$2:$Z$900,2,FALSE))</f>
        <v/>
      </c>
      <c r="C73" s="725"/>
      <c r="D73" s="725"/>
      <c r="E73" s="725"/>
      <c r="F73" s="725"/>
      <c r="G73" s="725"/>
      <c r="H73" s="725"/>
      <c r="I73" s="725" t="str">
        <f>IF(B74="","",VLOOKUP(B74,BoonRef!$A$2:$Z$900,3,FALSE))</f>
        <v/>
      </c>
      <c r="J73" s="725"/>
      <c r="K73" s="725" t="str">
        <f>IF(B74="","",VLOOKUP(B74,DescRef!$A$2:$B$900,2,FALSE))</f>
        <v/>
      </c>
      <c r="L73" s="725"/>
      <c r="M73" s="725"/>
      <c r="N73" s="725"/>
      <c r="O73" s="725"/>
      <c r="P73" s="725"/>
      <c r="Q73" s="725"/>
      <c r="R73" s="725"/>
      <c r="S73" s="725"/>
      <c r="T73" s="725"/>
      <c r="U73" s="725"/>
      <c r="V73" s="725"/>
      <c r="W73" s="725"/>
      <c r="X73" s="725"/>
      <c r="Y73" s="725"/>
      <c r="Z73" s="726"/>
      <c r="AB73" s="1028" t="str">
        <f>IF(AB74="","",VLOOKUP(AB74,BoonRef!$A$2:$Z$900,2,FALSE))</f>
        <v/>
      </c>
      <c r="AC73" s="725"/>
      <c r="AD73" s="725"/>
      <c r="AE73" s="725"/>
      <c r="AF73" s="725"/>
      <c r="AG73" s="725"/>
      <c r="AH73" s="725"/>
      <c r="AI73" s="725" t="str">
        <f>IF(AB74="","",VLOOKUP(AB74,BoonRef!$A$2:$Z$900,3,FALSE))</f>
        <v/>
      </c>
      <c r="AJ73" s="725"/>
      <c r="AK73" s="725" t="str">
        <f>IF(AB74="","",VLOOKUP(AB74,DescRef!$A$2:$B$900,2,FALSE))</f>
        <v/>
      </c>
      <c r="AL73" s="725"/>
      <c r="AM73" s="725"/>
      <c r="AN73" s="725"/>
      <c r="AO73" s="725"/>
      <c r="AP73" s="725"/>
      <c r="AQ73" s="725"/>
      <c r="AR73" s="725"/>
      <c r="AS73" s="725"/>
      <c r="AT73" s="725"/>
      <c r="AU73" s="725"/>
      <c r="AV73" s="725"/>
      <c r="AW73" s="725"/>
      <c r="AX73" s="725"/>
      <c r="AY73" s="725"/>
      <c r="AZ73" s="726"/>
      <c r="BB73" s="1029" t="str">
        <f>IF(BB74="","",VLOOKUP(BB74,KanckRef!$A$1:$G$300,2,FALSE))</f>
        <v/>
      </c>
      <c r="BC73" s="1030"/>
      <c r="BD73" s="1030"/>
      <c r="BE73" s="1030"/>
      <c r="BF73" s="1031"/>
      <c r="BG73" s="1048" t="str">
        <f>IF(BB74="","",VLOOKUP(BB74,KanckRef!$A$1:$G$300,6,FALSE))</f>
        <v/>
      </c>
      <c r="BH73" s="1049"/>
      <c r="BI73" s="988" t="str">
        <f>IF(BB74="","",VLOOKUP(BB74,DescRef!$D$2:$E$300,2,FALSE))</f>
        <v/>
      </c>
      <c r="BJ73" s="795"/>
      <c r="BK73" s="795"/>
      <c r="BL73" s="795"/>
      <c r="BM73" s="795"/>
      <c r="BN73" s="795"/>
      <c r="BO73" s="795"/>
      <c r="BP73" s="795"/>
      <c r="BQ73" s="795"/>
      <c r="BR73" s="795"/>
      <c r="BS73" s="795"/>
      <c r="BT73" s="795"/>
      <c r="BU73" s="795"/>
      <c r="BV73" s="795"/>
      <c r="BW73" s="795"/>
      <c r="BX73" s="795"/>
      <c r="BY73" s="795"/>
      <c r="BZ73" s="796"/>
      <c r="CB73" s="1029" t="str">
        <f>IF(CB74="","",VLOOKUP(CB74,KanckRef!$A$1:$G$300,2,FALSE))</f>
        <v/>
      </c>
      <c r="CC73" s="1030"/>
      <c r="CD73" s="1030"/>
      <c r="CE73" s="1030"/>
      <c r="CF73" s="1031"/>
      <c r="CG73" s="1048" t="str">
        <f>IF(CB74="","",VLOOKUP(CB74,KanckRef!$A$1:$G$300,6,FALSE))</f>
        <v/>
      </c>
      <c r="CH73" s="1049"/>
      <c r="CI73" s="988" t="str">
        <f>IF(CB74="","",VLOOKUP(CB74,DescRef!$D$2:$E$300,2,FALSE))</f>
        <v/>
      </c>
      <c r="CJ73" s="795"/>
      <c r="CK73" s="795"/>
      <c r="CL73" s="795"/>
      <c r="CM73" s="795"/>
      <c r="CN73" s="795"/>
      <c r="CO73" s="795"/>
      <c r="CP73" s="795"/>
      <c r="CQ73" s="795"/>
      <c r="CR73" s="795"/>
      <c r="CS73" s="795"/>
      <c r="CT73" s="795"/>
      <c r="CU73" s="795"/>
      <c r="CV73" s="795"/>
      <c r="CW73" s="795"/>
      <c r="CX73" s="795"/>
      <c r="CY73" s="795"/>
      <c r="CZ73" s="796"/>
    </row>
    <row r="74" spans="1:104" ht="15" customHeight="1" x14ac:dyDescent="0.25">
      <c r="A74" s="15">
        <v>12</v>
      </c>
      <c r="B74" s="1026" t="str">
        <f>IF(A74&lt;'Purchased Boons'!$B$496,VLOOKUP(A74,'Purchased Boons'!$BF$2:$BG$900,2,FALSE),"")</f>
        <v/>
      </c>
      <c r="C74" s="727"/>
      <c r="D74" s="727"/>
      <c r="E74" s="727"/>
      <c r="F74" s="727"/>
      <c r="G74" s="727"/>
      <c r="H74" s="727"/>
      <c r="I74" s="727" t="str">
        <f>IF(B74="","",VLOOKUP(B74,BoonRef!$A$2:$Z$900,25,FALSE))</f>
        <v/>
      </c>
      <c r="J74" s="727"/>
      <c r="K74" s="727"/>
      <c r="L74" s="727"/>
      <c r="M74" s="727"/>
      <c r="N74" s="727"/>
      <c r="O74" s="727"/>
      <c r="P74" s="727"/>
      <c r="Q74" s="727"/>
      <c r="R74" s="727"/>
      <c r="S74" s="727"/>
      <c r="T74" s="727"/>
      <c r="U74" s="727"/>
      <c r="V74" s="727"/>
      <c r="W74" s="727"/>
      <c r="X74" s="727"/>
      <c r="Y74" s="727"/>
      <c r="Z74" s="728"/>
      <c r="AA74" s="15">
        <v>119</v>
      </c>
      <c r="AB74" s="1026" t="str">
        <f>IF(AA74&lt;'Purchased Boons'!$B$496,VLOOKUP(AA74,'Purchased Boons'!$BF$2:$BG$900,2,FALSE),"")</f>
        <v/>
      </c>
      <c r="AC74" s="727"/>
      <c r="AD74" s="727"/>
      <c r="AE74" s="727"/>
      <c r="AF74" s="727"/>
      <c r="AG74" s="727"/>
      <c r="AH74" s="727"/>
      <c r="AI74" s="727" t="str">
        <f>IF(AB74="","",VLOOKUP(AB74,BoonRef!$A$2:$Z$900,25,FALSE))</f>
        <v/>
      </c>
      <c r="AJ74" s="727"/>
      <c r="AK74" s="727"/>
      <c r="AL74" s="727"/>
      <c r="AM74" s="727"/>
      <c r="AN74" s="727"/>
      <c r="AO74" s="727"/>
      <c r="AP74" s="727"/>
      <c r="AQ74" s="727"/>
      <c r="AR74" s="727"/>
      <c r="AS74" s="727"/>
      <c r="AT74" s="727"/>
      <c r="AU74" s="727"/>
      <c r="AV74" s="727"/>
      <c r="AW74" s="727"/>
      <c r="AX74" s="727"/>
      <c r="AY74" s="727"/>
      <c r="AZ74" s="728"/>
      <c r="BA74" s="15">
        <v>12</v>
      </c>
      <c r="BB74" s="1038" t="str">
        <f>IF(BA74&lt;'Purchased Knacks'!A$192,VLOOKUP(BA74,'Purchased Knacks'!$A$4:$E$300,3,FALSE),"")</f>
        <v/>
      </c>
      <c r="BC74" s="1039"/>
      <c r="BD74" s="1039"/>
      <c r="BE74" s="1039"/>
      <c r="BF74" s="1040"/>
      <c r="BG74" s="1032" t="str">
        <f>IF(BB74="","",VLOOKUP(BB74,KanckRef!$A$1:$G$300,7,FALSE))</f>
        <v/>
      </c>
      <c r="BH74" s="1033"/>
      <c r="BI74" s="753"/>
      <c r="BJ74" s="754"/>
      <c r="BK74" s="754"/>
      <c r="BL74" s="754"/>
      <c r="BM74" s="754"/>
      <c r="BN74" s="754"/>
      <c r="BO74" s="754"/>
      <c r="BP74" s="754"/>
      <c r="BQ74" s="754"/>
      <c r="BR74" s="754"/>
      <c r="BS74" s="754"/>
      <c r="BT74" s="754"/>
      <c r="BU74" s="754"/>
      <c r="BV74" s="754"/>
      <c r="BW74" s="754"/>
      <c r="BX74" s="754"/>
      <c r="BY74" s="754"/>
      <c r="BZ74" s="755"/>
      <c r="CA74" s="15">
        <v>119</v>
      </c>
      <c r="CB74" s="1038" t="str">
        <f>IF(CA74&lt;'Purchased Knacks'!A$192,VLOOKUP(CA74,'Purchased Knacks'!$A$4:$E$300,3,FALSE),"")</f>
        <v/>
      </c>
      <c r="CC74" s="1039"/>
      <c r="CD74" s="1039"/>
      <c r="CE74" s="1039"/>
      <c r="CF74" s="1040"/>
      <c r="CG74" s="1032" t="str">
        <f>IF(CB74="","",VLOOKUP(CB74,KanckRef!$A$1:$G$300,7,FALSE))</f>
        <v/>
      </c>
      <c r="CH74" s="1033"/>
      <c r="CI74" s="753"/>
      <c r="CJ74" s="754"/>
      <c r="CK74" s="754"/>
      <c r="CL74" s="754"/>
      <c r="CM74" s="754"/>
      <c r="CN74" s="754"/>
      <c r="CO74" s="754"/>
      <c r="CP74" s="754"/>
      <c r="CQ74" s="754"/>
      <c r="CR74" s="754"/>
      <c r="CS74" s="754"/>
      <c r="CT74" s="754"/>
      <c r="CU74" s="754"/>
      <c r="CV74" s="754"/>
      <c r="CW74" s="754"/>
      <c r="CX74" s="754"/>
      <c r="CY74" s="754"/>
      <c r="CZ74" s="755"/>
    </row>
    <row r="75" spans="1:104" ht="15" customHeight="1" x14ac:dyDescent="0.25">
      <c r="B75" s="1026"/>
      <c r="C75" s="727"/>
      <c r="D75" s="727"/>
      <c r="E75" s="727"/>
      <c r="F75" s="727"/>
      <c r="G75" s="727"/>
      <c r="H75" s="727"/>
      <c r="I75" s="727" t="str">
        <f>IF(B74="","",VLOOKUP(B74,BoonRef!$A$2:$Z$900,26,FALSE))</f>
        <v/>
      </c>
      <c r="J75" s="727"/>
      <c r="K75" s="727"/>
      <c r="L75" s="727"/>
      <c r="M75" s="727"/>
      <c r="N75" s="727"/>
      <c r="O75" s="727"/>
      <c r="P75" s="727"/>
      <c r="Q75" s="727"/>
      <c r="R75" s="727"/>
      <c r="S75" s="727"/>
      <c r="T75" s="727"/>
      <c r="U75" s="727"/>
      <c r="V75" s="727"/>
      <c r="W75" s="727"/>
      <c r="X75" s="727"/>
      <c r="Y75" s="727"/>
      <c r="Z75" s="728"/>
      <c r="AB75" s="1026"/>
      <c r="AC75" s="727"/>
      <c r="AD75" s="727"/>
      <c r="AE75" s="727"/>
      <c r="AF75" s="727"/>
      <c r="AG75" s="727"/>
      <c r="AH75" s="727"/>
      <c r="AI75" s="727" t="str">
        <f>IF(AB74="","",VLOOKUP(AB74,BoonRef!$A$2:$Z$900,26,FALSE))</f>
        <v/>
      </c>
      <c r="AJ75" s="727"/>
      <c r="AK75" s="727"/>
      <c r="AL75" s="727"/>
      <c r="AM75" s="727"/>
      <c r="AN75" s="727"/>
      <c r="AO75" s="727"/>
      <c r="AP75" s="727"/>
      <c r="AQ75" s="727"/>
      <c r="AR75" s="727"/>
      <c r="AS75" s="727"/>
      <c r="AT75" s="727"/>
      <c r="AU75" s="727"/>
      <c r="AV75" s="727"/>
      <c r="AW75" s="727"/>
      <c r="AX75" s="727"/>
      <c r="AY75" s="727"/>
      <c r="AZ75" s="728"/>
      <c r="BB75" s="1041"/>
      <c r="BC75" s="1042"/>
      <c r="BD75" s="1042"/>
      <c r="BE75" s="1042"/>
      <c r="BF75" s="1043"/>
      <c r="BG75" s="1034"/>
      <c r="BH75" s="1035"/>
      <c r="BI75" s="753"/>
      <c r="BJ75" s="754"/>
      <c r="BK75" s="754"/>
      <c r="BL75" s="754"/>
      <c r="BM75" s="754"/>
      <c r="BN75" s="754"/>
      <c r="BO75" s="754"/>
      <c r="BP75" s="754"/>
      <c r="BQ75" s="754"/>
      <c r="BR75" s="754"/>
      <c r="BS75" s="754"/>
      <c r="BT75" s="754"/>
      <c r="BU75" s="754"/>
      <c r="BV75" s="754"/>
      <c r="BW75" s="754"/>
      <c r="BX75" s="754"/>
      <c r="BY75" s="754"/>
      <c r="BZ75" s="755"/>
      <c r="CB75" s="1041"/>
      <c r="CC75" s="1042"/>
      <c r="CD75" s="1042"/>
      <c r="CE75" s="1042"/>
      <c r="CF75" s="1043"/>
      <c r="CG75" s="1034"/>
      <c r="CH75" s="1035"/>
      <c r="CI75" s="753"/>
      <c r="CJ75" s="754"/>
      <c r="CK75" s="754"/>
      <c r="CL75" s="754"/>
      <c r="CM75" s="754"/>
      <c r="CN75" s="754"/>
      <c r="CO75" s="754"/>
      <c r="CP75" s="754"/>
      <c r="CQ75" s="754"/>
      <c r="CR75" s="754"/>
      <c r="CS75" s="754"/>
      <c r="CT75" s="754"/>
      <c r="CU75" s="754"/>
      <c r="CV75" s="754"/>
      <c r="CW75" s="754"/>
      <c r="CX75" s="754"/>
      <c r="CY75" s="754"/>
      <c r="CZ75" s="755"/>
    </row>
    <row r="76" spans="1:104" ht="15" customHeight="1" x14ac:dyDescent="0.25">
      <c r="B76" s="1026" t="str">
        <f>IF(B74="","",VLOOKUP(B74,BoonRef!$A$2:$Z$900,24,FALSE))</f>
        <v/>
      </c>
      <c r="C76" s="727"/>
      <c r="D76" s="727"/>
      <c r="E76" s="727"/>
      <c r="F76" s="727"/>
      <c r="G76" s="727"/>
      <c r="H76" s="727"/>
      <c r="I76" s="727"/>
      <c r="J76" s="727"/>
      <c r="K76" s="727"/>
      <c r="L76" s="727"/>
      <c r="M76" s="727"/>
      <c r="N76" s="727"/>
      <c r="O76" s="727"/>
      <c r="P76" s="727"/>
      <c r="Q76" s="727"/>
      <c r="R76" s="727"/>
      <c r="S76" s="727"/>
      <c r="T76" s="727"/>
      <c r="U76" s="727"/>
      <c r="V76" s="727"/>
      <c r="W76" s="727"/>
      <c r="X76" s="727"/>
      <c r="Y76" s="727"/>
      <c r="Z76" s="728"/>
      <c r="AB76" s="1026" t="str">
        <f>IF(AB74="","",VLOOKUP(AB74,BoonRef!$A$2:$Z$900,24,FALSE))</f>
        <v/>
      </c>
      <c r="AC76" s="727"/>
      <c r="AD76" s="727"/>
      <c r="AE76" s="727"/>
      <c r="AF76" s="727"/>
      <c r="AG76" s="727"/>
      <c r="AH76" s="727"/>
      <c r="AI76" s="727"/>
      <c r="AJ76" s="727"/>
      <c r="AK76" s="727"/>
      <c r="AL76" s="727"/>
      <c r="AM76" s="727"/>
      <c r="AN76" s="727"/>
      <c r="AO76" s="727"/>
      <c r="AP76" s="727"/>
      <c r="AQ76" s="727"/>
      <c r="AR76" s="727"/>
      <c r="AS76" s="727"/>
      <c r="AT76" s="727"/>
      <c r="AU76" s="727"/>
      <c r="AV76" s="727"/>
      <c r="AW76" s="727"/>
      <c r="AX76" s="727"/>
      <c r="AY76" s="727"/>
      <c r="AZ76" s="728"/>
      <c r="BB76" s="641" t="str">
        <f>IF(BB74="","",VLOOKUP(BB74,KanckRef!$A$1:$G$300,4,FALSE))</f>
        <v/>
      </c>
      <c r="BC76" s="642"/>
      <c r="BD76" s="642"/>
      <c r="BE76" s="642"/>
      <c r="BF76" s="642"/>
      <c r="BG76" s="642"/>
      <c r="BH76" s="1033"/>
      <c r="BI76" s="753"/>
      <c r="BJ76" s="754"/>
      <c r="BK76" s="754"/>
      <c r="BL76" s="754"/>
      <c r="BM76" s="754"/>
      <c r="BN76" s="754"/>
      <c r="BO76" s="754"/>
      <c r="BP76" s="754"/>
      <c r="BQ76" s="754"/>
      <c r="BR76" s="754"/>
      <c r="BS76" s="754"/>
      <c r="BT76" s="754"/>
      <c r="BU76" s="754"/>
      <c r="BV76" s="754"/>
      <c r="BW76" s="754"/>
      <c r="BX76" s="754"/>
      <c r="BY76" s="754"/>
      <c r="BZ76" s="755"/>
      <c r="CB76" s="641" t="str">
        <f>IF(CB74="","",VLOOKUP(CB74,KanckRef!$A$1:$G$300,4,FALSE))</f>
        <v/>
      </c>
      <c r="CC76" s="642"/>
      <c r="CD76" s="642"/>
      <c r="CE76" s="642"/>
      <c r="CF76" s="642"/>
      <c r="CG76" s="642"/>
      <c r="CH76" s="1033"/>
      <c r="CI76" s="753"/>
      <c r="CJ76" s="754"/>
      <c r="CK76" s="754"/>
      <c r="CL76" s="754"/>
      <c r="CM76" s="754"/>
      <c r="CN76" s="754"/>
      <c r="CO76" s="754"/>
      <c r="CP76" s="754"/>
      <c r="CQ76" s="754"/>
      <c r="CR76" s="754"/>
      <c r="CS76" s="754"/>
      <c r="CT76" s="754"/>
      <c r="CU76" s="754"/>
      <c r="CV76" s="754"/>
      <c r="CW76" s="754"/>
      <c r="CX76" s="754"/>
      <c r="CY76" s="754"/>
      <c r="CZ76" s="755"/>
    </row>
    <row r="77" spans="1:104" ht="15" customHeight="1" x14ac:dyDescent="0.25">
      <c r="B77" s="1026" t="str">
        <f>IF(B74="","",VLOOKUP(B74,BoonRef!$A$2:$Z$900,23,FALSE))</f>
        <v/>
      </c>
      <c r="C77" s="727"/>
      <c r="D77" s="727"/>
      <c r="E77" s="727"/>
      <c r="F77" s="727"/>
      <c r="G77" s="727"/>
      <c r="H77" s="727"/>
      <c r="I77" s="727"/>
      <c r="J77" s="727"/>
      <c r="K77" s="727"/>
      <c r="L77" s="727"/>
      <c r="M77" s="727"/>
      <c r="N77" s="727"/>
      <c r="O77" s="727"/>
      <c r="P77" s="727"/>
      <c r="Q77" s="727"/>
      <c r="R77" s="727"/>
      <c r="S77" s="727"/>
      <c r="T77" s="727"/>
      <c r="U77" s="727"/>
      <c r="V77" s="727"/>
      <c r="W77" s="727"/>
      <c r="X77" s="727"/>
      <c r="Y77" s="727"/>
      <c r="Z77" s="728"/>
      <c r="AB77" s="1026" t="str">
        <f>IF(AB74="","",VLOOKUP(AB74,BoonRef!$A$2:$Z$900,23,FALSE))</f>
        <v/>
      </c>
      <c r="AC77" s="727"/>
      <c r="AD77" s="727"/>
      <c r="AE77" s="727"/>
      <c r="AF77" s="727"/>
      <c r="AG77" s="727"/>
      <c r="AH77" s="727"/>
      <c r="AI77" s="727"/>
      <c r="AJ77" s="727"/>
      <c r="AK77" s="727"/>
      <c r="AL77" s="727"/>
      <c r="AM77" s="727"/>
      <c r="AN77" s="727"/>
      <c r="AO77" s="727"/>
      <c r="AP77" s="727"/>
      <c r="AQ77" s="727"/>
      <c r="AR77" s="727"/>
      <c r="AS77" s="727"/>
      <c r="AT77" s="727"/>
      <c r="AU77" s="727"/>
      <c r="AV77" s="727"/>
      <c r="AW77" s="727"/>
      <c r="AX77" s="727"/>
      <c r="AY77" s="727"/>
      <c r="AZ77" s="728"/>
      <c r="BB77" s="635"/>
      <c r="BC77" s="636"/>
      <c r="BD77" s="636"/>
      <c r="BE77" s="636"/>
      <c r="BF77" s="636"/>
      <c r="BG77" s="636"/>
      <c r="BH77" s="1036"/>
      <c r="BI77" s="753"/>
      <c r="BJ77" s="754"/>
      <c r="BK77" s="754"/>
      <c r="BL77" s="754"/>
      <c r="BM77" s="754"/>
      <c r="BN77" s="754"/>
      <c r="BO77" s="754"/>
      <c r="BP77" s="754"/>
      <c r="BQ77" s="754"/>
      <c r="BR77" s="754"/>
      <c r="BS77" s="754"/>
      <c r="BT77" s="754"/>
      <c r="BU77" s="754"/>
      <c r="BV77" s="754"/>
      <c r="BW77" s="754"/>
      <c r="BX77" s="754"/>
      <c r="BY77" s="754"/>
      <c r="BZ77" s="755"/>
      <c r="CB77" s="635"/>
      <c r="CC77" s="636"/>
      <c r="CD77" s="636"/>
      <c r="CE77" s="636"/>
      <c r="CF77" s="636"/>
      <c r="CG77" s="636"/>
      <c r="CH77" s="1036"/>
      <c r="CI77" s="753"/>
      <c r="CJ77" s="754"/>
      <c r="CK77" s="754"/>
      <c r="CL77" s="754"/>
      <c r="CM77" s="754"/>
      <c r="CN77" s="754"/>
      <c r="CO77" s="754"/>
      <c r="CP77" s="754"/>
      <c r="CQ77" s="754"/>
      <c r="CR77" s="754"/>
      <c r="CS77" s="754"/>
      <c r="CT77" s="754"/>
      <c r="CU77" s="754"/>
      <c r="CV77" s="754"/>
      <c r="CW77" s="754"/>
      <c r="CX77" s="754"/>
      <c r="CY77" s="754"/>
      <c r="CZ77" s="755"/>
    </row>
    <row r="78" spans="1:104" ht="15" customHeight="1" thickBot="1" x14ac:dyDescent="0.3">
      <c r="B78" s="1027"/>
      <c r="C78" s="865"/>
      <c r="D78" s="865"/>
      <c r="E78" s="865"/>
      <c r="F78" s="865"/>
      <c r="G78" s="865"/>
      <c r="H78" s="865"/>
      <c r="I78" s="865"/>
      <c r="J78" s="865"/>
      <c r="K78" s="865"/>
      <c r="L78" s="865"/>
      <c r="M78" s="865"/>
      <c r="N78" s="865"/>
      <c r="O78" s="865"/>
      <c r="P78" s="865"/>
      <c r="Q78" s="865"/>
      <c r="R78" s="865"/>
      <c r="S78" s="865"/>
      <c r="T78" s="865"/>
      <c r="U78" s="865"/>
      <c r="V78" s="865"/>
      <c r="W78" s="865"/>
      <c r="X78" s="865"/>
      <c r="Y78" s="865"/>
      <c r="Z78" s="921"/>
      <c r="AB78" s="1027"/>
      <c r="AC78" s="865"/>
      <c r="AD78" s="865"/>
      <c r="AE78" s="865"/>
      <c r="AF78" s="865"/>
      <c r="AG78" s="865"/>
      <c r="AH78" s="865"/>
      <c r="AI78" s="865"/>
      <c r="AJ78" s="865"/>
      <c r="AK78" s="865"/>
      <c r="AL78" s="865"/>
      <c r="AM78" s="865"/>
      <c r="AN78" s="865"/>
      <c r="AO78" s="865"/>
      <c r="AP78" s="865"/>
      <c r="AQ78" s="865"/>
      <c r="AR78" s="865"/>
      <c r="AS78" s="865"/>
      <c r="AT78" s="865"/>
      <c r="AU78" s="865"/>
      <c r="AV78" s="865"/>
      <c r="AW78" s="865"/>
      <c r="AX78" s="865"/>
      <c r="AY78" s="865"/>
      <c r="AZ78" s="921"/>
      <c r="BB78" s="644"/>
      <c r="BC78" s="645"/>
      <c r="BD78" s="645"/>
      <c r="BE78" s="645"/>
      <c r="BF78" s="645"/>
      <c r="BG78" s="645"/>
      <c r="BH78" s="1037"/>
      <c r="BI78" s="756"/>
      <c r="BJ78" s="757"/>
      <c r="BK78" s="757"/>
      <c r="BL78" s="757"/>
      <c r="BM78" s="757"/>
      <c r="BN78" s="757"/>
      <c r="BO78" s="757"/>
      <c r="BP78" s="757"/>
      <c r="BQ78" s="757"/>
      <c r="BR78" s="757"/>
      <c r="BS78" s="757"/>
      <c r="BT78" s="757"/>
      <c r="BU78" s="757"/>
      <c r="BV78" s="757"/>
      <c r="BW78" s="757"/>
      <c r="BX78" s="757"/>
      <c r="BY78" s="757"/>
      <c r="BZ78" s="758"/>
      <c r="CB78" s="644"/>
      <c r="CC78" s="645"/>
      <c r="CD78" s="645"/>
      <c r="CE78" s="645"/>
      <c r="CF78" s="645"/>
      <c r="CG78" s="645"/>
      <c r="CH78" s="1037"/>
      <c r="CI78" s="756"/>
      <c r="CJ78" s="757"/>
      <c r="CK78" s="757"/>
      <c r="CL78" s="757"/>
      <c r="CM78" s="757"/>
      <c r="CN78" s="757"/>
      <c r="CO78" s="757"/>
      <c r="CP78" s="757"/>
      <c r="CQ78" s="757"/>
      <c r="CR78" s="757"/>
      <c r="CS78" s="757"/>
      <c r="CT78" s="757"/>
      <c r="CU78" s="757"/>
      <c r="CV78" s="757"/>
      <c r="CW78" s="757"/>
      <c r="CX78" s="757"/>
      <c r="CY78" s="757"/>
      <c r="CZ78" s="758"/>
    </row>
    <row r="79" spans="1:104" ht="15" customHeight="1" x14ac:dyDescent="0.25">
      <c r="B79" s="1028" t="str">
        <f>IF(B80="","",VLOOKUP(B80,BoonRef!$A$2:$Z$900,2,FALSE))</f>
        <v/>
      </c>
      <c r="C79" s="725"/>
      <c r="D79" s="725"/>
      <c r="E79" s="725"/>
      <c r="F79" s="725"/>
      <c r="G79" s="725"/>
      <c r="H79" s="725"/>
      <c r="I79" s="725" t="str">
        <f>IF(B80="","",VLOOKUP(B80,BoonRef!$A$2:$Z$900,3,FALSE))</f>
        <v/>
      </c>
      <c r="J79" s="725"/>
      <c r="K79" s="725" t="str">
        <f>IF(B80="","",VLOOKUP(B80,DescRef!$A$2:$B$900,2,FALSE))</f>
        <v/>
      </c>
      <c r="L79" s="725"/>
      <c r="M79" s="725"/>
      <c r="N79" s="725"/>
      <c r="O79" s="725"/>
      <c r="P79" s="725"/>
      <c r="Q79" s="725"/>
      <c r="R79" s="725"/>
      <c r="S79" s="725"/>
      <c r="T79" s="725"/>
      <c r="U79" s="725"/>
      <c r="V79" s="725"/>
      <c r="W79" s="725"/>
      <c r="X79" s="725"/>
      <c r="Y79" s="725"/>
      <c r="Z79" s="726"/>
      <c r="AB79" s="1028" t="str">
        <f>IF(AB80="","",VLOOKUP(AB80,BoonRef!$A$2:$Z$900,2,FALSE))</f>
        <v/>
      </c>
      <c r="AC79" s="725"/>
      <c r="AD79" s="725"/>
      <c r="AE79" s="725"/>
      <c r="AF79" s="725"/>
      <c r="AG79" s="725"/>
      <c r="AH79" s="725"/>
      <c r="AI79" s="725" t="str">
        <f>IF(AB80="","",VLOOKUP(AB80,BoonRef!$A$2:$Z$900,3,FALSE))</f>
        <v/>
      </c>
      <c r="AJ79" s="725"/>
      <c r="AK79" s="725" t="str">
        <f>IF(AB80="","",VLOOKUP(AB80,DescRef!$A$2:$B$900,2,FALSE))</f>
        <v/>
      </c>
      <c r="AL79" s="725"/>
      <c r="AM79" s="725"/>
      <c r="AN79" s="725"/>
      <c r="AO79" s="725"/>
      <c r="AP79" s="725"/>
      <c r="AQ79" s="725"/>
      <c r="AR79" s="725"/>
      <c r="AS79" s="725"/>
      <c r="AT79" s="725"/>
      <c r="AU79" s="725"/>
      <c r="AV79" s="725"/>
      <c r="AW79" s="725"/>
      <c r="AX79" s="725"/>
      <c r="AY79" s="725"/>
      <c r="AZ79" s="726"/>
      <c r="BB79" s="1029" t="str">
        <f>IF(BB80="","",VLOOKUP(BB80,KanckRef!$A$1:$G$300,2,FALSE))</f>
        <v/>
      </c>
      <c r="BC79" s="1030"/>
      <c r="BD79" s="1030"/>
      <c r="BE79" s="1030"/>
      <c r="BF79" s="1031"/>
      <c r="BG79" s="1048" t="str">
        <f>IF(BB80="","",VLOOKUP(BB80,KanckRef!$A$1:$G$300,6,FALSE))</f>
        <v/>
      </c>
      <c r="BH79" s="1049"/>
      <c r="BI79" s="988" t="str">
        <f>IF(BB80="","",VLOOKUP(BB80,DescRef!$D$2:$E$300,2,FALSE))</f>
        <v/>
      </c>
      <c r="BJ79" s="795"/>
      <c r="BK79" s="795"/>
      <c r="BL79" s="795"/>
      <c r="BM79" s="795"/>
      <c r="BN79" s="795"/>
      <c r="BO79" s="795"/>
      <c r="BP79" s="795"/>
      <c r="BQ79" s="795"/>
      <c r="BR79" s="795"/>
      <c r="BS79" s="795"/>
      <c r="BT79" s="795"/>
      <c r="BU79" s="795"/>
      <c r="BV79" s="795"/>
      <c r="BW79" s="795"/>
      <c r="BX79" s="795"/>
      <c r="BY79" s="795"/>
      <c r="BZ79" s="796"/>
      <c r="CB79" s="1029" t="str">
        <f>IF(CB80="","",VLOOKUP(CB80,KanckRef!$A$1:$G$300,2,FALSE))</f>
        <v/>
      </c>
      <c r="CC79" s="1030"/>
      <c r="CD79" s="1030"/>
      <c r="CE79" s="1030"/>
      <c r="CF79" s="1031"/>
      <c r="CG79" s="1048" t="str">
        <f>IF(CB80="","",VLOOKUP(CB80,KanckRef!$A$1:$G$300,6,FALSE))</f>
        <v/>
      </c>
      <c r="CH79" s="1049"/>
      <c r="CI79" s="988" t="str">
        <f>IF(CB80="","",VLOOKUP(CB80,DescRef!$D$2:$E$300,2,FALSE))</f>
        <v/>
      </c>
      <c r="CJ79" s="795"/>
      <c r="CK79" s="795"/>
      <c r="CL79" s="795"/>
      <c r="CM79" s="795"/>
      <c r="CN79" s="795"/>
      <c r="CO79" s="795"/>
      <c r="CP79" s="795"/>
      <c r="CQ79" s="795"/>
      <c r="CR79" s="795"/>
      <c r="CS79" s="795"/>
      <c r="CT79" s="795"/>
      <c r="CU79" s="795"/>
      <c r="CV79" s="795"/>
      <c r="CW79" s="795"/>
      <c r="CX79" s="795"/>
      <c r="CY79" s="795"/>
      <c r="CZ79" s="796"/>
    </row>
    <row r="80" spans="1:104" ht="15" customHeight="1" x14ac:dyDescent="0.25">
      <c r="A80" s="15">
        <v>13</v>
      </c>
      <c r="B80" s="1026" t="str">
        <f>IF(A80&lt;'Purchased Boons'!$B$496,VLOOKUP(A80,'Purchased Boons'!$BF$2:$BG$900,2,FALSE),"")</f>
        <v/>
      </c>
      <c r="C80" s="727"/>
      <c r="D80" s="727"/>
      <c r="E80" s="727"/>
      <c r="F80" s="727"/>
      <c r="G80" s="727"/>
      <c r="H80" s="727"/>
      <c r="I80" s="727" t="str">
        <f>IF(B80="","",VLOOKUP(B80,BoonRef!$A$2:$Z$900,25,FALSE))</f>
        <v/>
      </c>
      <c r="J80" s="727"/>
      <c r="K80" s="727"/>
      <c r="L80" s="727"/>
      <c r="M80" s="727"/>
      <c r="N80" s="727"/>
      <c r="O80" s="727"/>
      <c r="P80" s="727"/>
      <c r="Q80" s="727"/>
      <c r="R80" s="727"/>
      <c r="S80" s="727"/>
      <c r="T80" s="727"/>
      <c r="U80" s="727"/>
      <c r="V80" s="727"/>
      <c r="W80" s="727"/>
      <c r="X80" s="727"/>
      <c r="Y80" s="727"/>
      <c r="Z80" s="728"/>
      <c r="AA80" s="15">
        <v>120</v>
      </c>
      <c r="AB80" s="1026" t="str">
        <f>IF(AA80&lt;'Purchased Boons'!$B$496,VLOOKUP(AA80,'Purchased Boons'!$BF$2:$BG$900,2,FALSE),"")</f>
        <v/>
      </c>
      <c r="AC80" s="727"/>
      <c r="AD80" s="727"/>
      <c r="AE80" s="727"/>
      <c r="AF80" s="727"/>
      <c r="AG80" s="727"/>
      <c r="AH80" s="727"/>
      <c r="AI80" s="727" t="str">
        <f>IF(AB80="","",VLOOKUP(AB80,BoonRef!$A$2:$Z$900,25,FALSE))</f>
        <v/>
      </c>
      <c r="AJ80" s="727"/>
      <c r="AK80" s="727"/>
      <c r="AL80" s="727"/>
      <c r="AM80" s="727"/>
      <c r="AN80" s="727"/>
      <c r="AO80" s="727"/>
      <c r="AP80" s="727"/>
      <c r="AQ80" s="727"/>
      <c r="AR80" s="727"/>
      <c r="AS80" s="727"/>
      <c r="AT80" s="727"/>
      <c r="AU80" s="727"/>
      <c r="AV80" s="727"/>
      <c r="AW80" s="727"/>
      <c r="AX80" s="727"/>
      <c r="AY80" s="727"/>
      <c r="AZ80" s="728"/>
      <c r="BA80" s="15">
        <v>13</v>
      </c>
      <c r="BB80" s="1038" t="str">
        <f>IF(BA80&lt;'Purchased Knacks'!A$192,VLOOKUP(BA80,'Purchased Knacks'!$A$4:$E$300,3,FALSE),"")</f>
        <v/>
      </c>
      <c r="BC80" s="1039"/>
      <c r="BD80" s="1039"/>
      <c r="BE80" s="1039"/>
      <c r="BF80" s="1040"/>
      <c r="BG80" s="1032" t="str">
        <f>IF(BB80="","",VLOOKUP(BB80,KanckRef!$A$1:$G$300,7,FALSE))</f>
        <v/>
      </c>
      <c r="BH80" s="1033"/>
      <c r="BI80" s="753"/>
      <c r="BJ80" s="754"/>
      <c r="BK80" s="754"/>
      <c r="BL80" s="754"/>
      <c r="BM80" s="754"/>
      <c r="BN80" s="754"/>
      <c r="BO80" s="754"/>
      <c r="BP80" s="754"/>
      <c r="BQ80" s="754"/>
      <c r="BR80" s="754"/>
      <c r="BS80" s="754"/>
      <c r="BT80" s="754"/>
      <c r="BU80" s="754"/>
      <c r="BV80" s="754"/>
      <c r="BW80" s="754"/>
      <c r="BX80" s="754"/>
      <c r="BY80" s="754"/>
      <c r="BZ80" s="755"/>
      <c r="CA80" s="15">
        <v>120</v>
      </c>
      <c r="CB80" s="1038" t="str">
        <f>IF(CA80&lt;'Purchased Knacks'!A$192,VLOOKUP(CA80,'Purchased Knacks'!$A$4:$E$300,3,FALSE),"")</f>
        <v/>
      </c>
      <c r="CC80" s="1039"/>
      <c r="CD80" s="1039"/>
      <c r="CE80" s="1039"/>
      <c r="CF80" s="1040"/>
      <c r="CG80" s="1032" t="str">
        <f>IF(CB80="","",VLOOKUP(CB80,KanckRef!$A$1:$G$300,7,FALSE))</f>
        <v/>
      </c>
      <c r="CH80" s="1033"/>
      <c r="CI80" s="753"/>
      <c r="CJ80" s="754"/>
      <c r="CK80" s="754"/>
      <c r="CL80" s="754"/>
      <c r="CM80" s="754"/>
      <c r="CN80" s="754"/>
      <c r="CO80" s="754"/>
      <c r="CP80" s="754"/>
      <c r="CQ80" s="754"/>
      <c r="CR80" s="754"/>
      <c r="CS80" s="754"/>
      <c r="CT80" s="754"/>
      <c r="CU80" s="754"/>
      <c r="CV80" s="754"/>
      <c r="CW80" s="754"/>
      <c r="CX80" s="754"/>
      <c r="CY80" s="754"/>
      <c r="CZ80" s="755"/>
    </row>
    <row r="81" spans="1:104" ht="15" customHeight="1" x14ac:dyDescent="0.25">
      <c r="B81" s="1026"/>
      <c r="C81" s="727"/>
      <c r="D81" s="727"/>
      <c r="E81" s="727"/>
      <c r="F81" s="727"/>
      <c r="G81" s="727"/>
      <c r="H81" s="727"/>
      <c r="I81" s="727" t="str">
        <f>IF(B80="","",VLOOKUP(B80,BoonRef!$A$2:$Z$900,26,FALSE))</f>
        <v/>
      </c>
      <c r="J81" s="727"/>
      <c r="K81" s="727"/>
      <c r="L81" s="727"/>
      <c r="M81" s="727"/>
      <c r="N81" s="727"/>
      <c r="O81" s="727"/>
      <c r="P81" s="727"/>
      <c r="Q81" s="727"/>
      <c r="R81" s="727"/>
      <c r="S81" s="727"/>
      <c r="T81" s="727"/>
      <c r="U81" s="727"/>
      <c r="V81" s="727"/>
      <c r="W81" s="727"/>
      <c r="X81" s="727"/>
      <c r="Y81" s="727"/>
      <c r="Z81" s="728"/>
      <c r="AB81" s="1026"/>
      <c r="AC81" s="727"/>
      <c r="AD81" s="727"/>
      <c r="AE81" s="727"/>
      <c r="AF81" s="727"/>
      <c r="AG81" s="727"/>
      <c r="AH81" s="727"/>
      <c r="AI81" s="727" t="str">
        <f>IF(AB80="","",VLOOKUP(AB80,BoonRef!$A$2:$Z$900,26,FALSE))</f>
        <v/>
      </c>
      <c r="AJ81" s="727"/>
      <c r="AK81" s="727"/>
      <c r="AL81" s="727"/>
      <c r="AM81" s="727"/>
      <c r="AN81" s="727"/>
      <c r="AO81" s="727"/>
      <c r="AP81" s="727"/>
      <c r="AQ81" s="727"/>
      <c r="AR81" s="727"/>
      <c r="AS81" s="727"/>
      <c r="AT81" s="727"/>
      <c r="AU81" s="727"/>
      <c r="AV81" s="727"/>
      <c r="AW81" s="727"/>
      <c r="AX81" s="727"/>
      <c r="AY81" s="727"/>
      <c r="AZ81" s="728"/>
      <c r="BB81" s="1041"/>
      <c r="BC81" s="1042"/>
      <c r="BD81" s="1042"/>
      <c r="BE81" s="1042"/>
      <c r="BF81" s="1043"/>
      <c r="BG81" s="1034"/>
      <c r="BH81" s="1035"/>
      <c r="BI81" s="753"/>
      <c r="BJ81" s="754"/>
      <c r="BK81" s="754"/>
      <c r="BL81" s="754"/>
      <c r="BM81" s="754"/>
      <c r="BN81" s="754"/>
      <c r="BO81" s="754"/>
      <c r="BP81" s="754"/>
      <c r="BQ81" s="754"/>
      <c r="BR81" s="754"/>
      <c r="BS81" s="754"/>
      <c r="BT81" s="754"/>
      <c r="BU81" s="754"/>
      <c r="BV81" s="754"/>
      <c r="BW81" s="754"/>
      <c r="BX81" s="754"/>
      <c r="BY81" s="754"/>
      <c r="BZ81" s="755"/>
      <c r="CB81" s="1041"/>
      <c r="CC81" s="1042"/>
      <c r="CD81" s="1042"/>
      <c r="CE81" s="1042"/>
      <c r="CF81" s="1043"/>
      <c r="CG81" s="1034"/>
      <c r="CH81" s="1035"/>
      <c r="CI81" s="753"/>
      <c r="CJ81" s="754"/>
      <c r="CK81" s="754"/>
      <c r="CL81" s="754"/>
      <c r="CM81" s="754"/>
      <c r="CN81" s="754"/>
      <c r="CO81" s="754"/>
      <c r="CP81" s="754"/>
      <c r="CQ81" s="754"/>
      <c r="CR81" s="754"/>
      <c r="CS81" s="754"/>
      <c r="CT81" s="754"/>
      <c r="CU81" s="754"/>
      <c r="CV81" s="754"/>
      <c r="CW81" s="754"/>
      <c r="CX81" s="754"/>
      <c r="CY81" s="754"/>
      <c r="CZ81" s="755"/>
    </row>
    <row r="82" spans="1:104" ht="15" customHeight="1" x14ac:dyDescent="0.25">
      <c r="B82" s="1026" t="str">
        <f>IF(B80="","",VLOOKUP(B80,BoonRef!$A$2:$Z$900,24,FALSE))</f>
        <v/>
      </c>
      <c r="C82" s="727"/>
      <c r="D82" s="727"/>
      <c r="E82" s="727"/>
      <c r="F82" s="727"/>
      <c r="G82" s="727"/>
      <c r="H82" s="727"/>
      <c r="I82" s="727"/>
      <c r="J82" s="727"/>
      <c r="K82" s="727"/>
      <c r="L82" s="727"/>
      <c r="M82" s="727"/>
      <c r="N82" s="727"/>
      <c r="O82" s="727"/>
      <c r="P82" s="727"/>
      <c r="Q82" s="727"/>
      <c r="R82" s="727"/>
      <c r="S82" s="727"/>
      <c r="T82" s="727"/>
      <c r="U82" s="727"/>
      <c r="V82" s="727"/>
      <c r="W82" s="727"/>
      <c r="X82" s="727"/>
      <c r="Y82" s="727"/>
      <c r="Z82" s="728"/>
      <c r="AB82" s="1026" t="str">
        <f>IF(AB80="","",VLOOKUP(AB80,BoonRef!$A$2:$Z$900,24,FALSE))</f>
        <v/>
      </c>
      <c r="AC82" s="727"/>
      <c r="AD82" s="727"/>
      <c r="AE82" s="727"/>
      <c r="AF82" s="727"/>
      <c r="AG82" s="727"/>
      <c r="AH82" s="727"/>
      <c r="AI82" s="727"/>
      <c r="AJ82" s="727"/>
      <c r="AK82" s="727"/>
      <c r="AL82" s="727"/>
      <c r="AM82" s="727"/>
      <c r="AN82" s="727"/>
      <c r="AO82" s="727"/>
      <c r="AP82" s="727"/>
      <c r="AQ82" s="727"/>
      <c r="AR82" s="727"/>
      <c r="AS82" s="727"/>
      <c r="AT82" s="727"/>
      <c r="AU82" s="727"/>
      <c r="AV82" s="727"/>
      <c r="AW82" s="727"/>
      <c r="AX82" s="727"/>
      <c r="AY82" s="727"/>
      <c r="AZ82" s="728"/>
      <c r="BB82" s="641" t="str">
        <f>IF(BB80="","",VLOOKUP(BB80,KanckRef!$A$1:$G$300,4,FALSE))</f>
        <v/>
      </c>
      <c r="BC82" s="642"/>
      <c r="BD82" s="642"/>
      <c r="BE82" s="642"/>
      <c r="BF82" s="642"/>
      <c r="BG82" s="642"/>
      <c r="BH82" s="1033"/>
      <c r="BI82" s="753"/>
      <c r="BJ82" s="754"/>
      <c r="BK82" s="754"/>
      <c r="BL82" s="754"/>
      <c r="BM82" s="754"/>
      <c r="BN82" s="754"/>
      <c r="BO82" s="754"/>
      <c r="BP82" s="754"/>
      <c r="BQ82" s="754"/>
      <c r="BR82" s="754"/>
      <c r="BS82" s="754"/>
      <c r="BT82" s="754"/>
      <c r="BU82" s="754"/>
      <c r="BV82" s="754"/>
      <c r="BW82" s="754"/>
      <c r="BX82" s="754"/>
      <c r="BY82" s="754"/>
      <c r="BZ82" s="755"/>
      <c r="CB82" s="641" t="str">
        <f>IF(CB80="","",VLOOKUP(CB80,KanckRef!$A$1:$G$300,4,FALSE))</f>
        <v/>
      </c>
      <c r="CC82" s="642"/>
      <c r="CD82" s="642"/>
      <c r="CE82" s="642"/>
      <c r="CF82" s="642"/>
      <c r="CG82" s="642"/>
      <c r="CH82" s="1033"/>
      <c r="CI82" s="753"/>
      <c r="CJ82" s="754"/>
      <c r="CK82" s="754"/>
      <c r="CL82" s="754"/>
      <c r="CM82" s="754"/>
      <c r="CN82" s="754"/>
      <c r="CO82" s="754"/>
      <c r="CP82" s="754"/>
      <c r="CQ82" s="754"/>
      <c r="CR82" s="754"/>
      <c r="CS82" s="754"/>
      <c r="CT82" s="754"/>
      <c r="CU82" s="754"/>
      <c r="CV82" s="754"/>
      <c r="CW82" s="754"/>
      <c r="CX82" s="754"/>
      <c r="CY82" s="754"/>
      <c r="CZ82" s="755"/>
    </row>
    <row r="83" spans="1:104" ht="15" customHeight="1" x14ac:dyDescent="0.25">
      <c r="B83" s="1026" t="str">
        <f>IF(B80="","",VLOOKUP(B80,BoonRef!$A$2:$Z$900,23,FALSE))</f>
        <v/>
      </c>
      <c r="C83" s="727"/>
      <c r="D83" s="727"/>
      <c r="E83" s="727"/>
      <c r="F83" s="727"/>
      <c r="G83" s="727"/>
      <c r="H83" s="727"/>
      <c r="I83" s="727"/>
      <c r="J83" s="727"/>
      <c r="K83" s="727"/>
      <c r="L83" s="727"/>
      <c r="M83" s="727"/>
      <c r="N83" s="727"/>
      <c r="O83" s="727"/>
      <c r="P83" s="727"/>
      <c r="Q83" s="727"/>
      <c r="R83" s="727"/>
      <c r="S83" s="727"/>
      <c r="T83" s="727"/>
      <c r="U83" s="727"/>
      <c r="V83" s="727"/>
      <c r="W83" s="727"/>
      <c r="X83" s="727"/>
      <c r="Y83" s="727"/>
      <c r="Z83" s="728"/>
      <c r="AB83" s="1026" t="str">
        <f>IF(AB80="","",VLOOKUP(AB80,BoonRef!$A$2:$Z$900,23,FALSE))</f>
        <v/>
      </c>
      <c r="AC83" s="727"/>
      <c r="AD83" s="727"/>
      <c r="AE83" s="727"/>
      <c r="AF83" s="727"/>
      <c r="AG83" s="727"/>
      <c r="AH83" s="727"/>
      <c r="AI83" s="727"/>
      <c r="AJ83" s="727"/>
      <c r="AK83" s="727"/>
      <c r="AL83" s="727"/>
      <c r="AM83" s="727"/>
      <c r="AN83" s="727"/>
      <c r="AO83" s="727"/>
      <c r="AP83" s="727"/>
      <c r="AQ83" s="727"/>
      <c r="AR83" s="727"/>
      <c r="AS83" s="727"/>
      <c r="AT83" s="727"/>
      <c r="AU83" s="727"/>
      <c r="AV83" s="727"/>
      <c r="AW83" s="727"/>
      <c r="AX83" s="727"/>
      <c r="AY83" s="727"/>
      <c r="AZ83" s="728"/>
      <c r="BB83" s="635"/>
      <c r="BC83" s="636"/>
      <c r="BD83" s="636"/>
      <c r="BE83" s="636"/>
      <c r="BF83" s="636"/>
      <c r="BG83" s="636"/>
      <c r="BH83" s="1036"/>
      <c r="BI83" s="753"/>
      <c r="BJ83" s="754"/>
      <c r="BK83" s="754"/>
      <c r="BL83" s="754"/>
      <c r="BM83" s="754"/>
      <c r="BN83" s="754"/>
      <c r="BO83" s="754"/>
      <c r="BP83" s="754"/>
      <c r="BQ83" s="754"/>
      <c r="BR83" s="754"/>
      <c r="BS83" s="754"/>
      <c r="BT83" s="754"/>
      <c r="BU83" s="754"/>
      <c r="BV83" s="754"/>
      <c r="BW83" s="754"/>
      <c r="BX83" s="754"/>
      <c r="BY83" s="754"/>
      <c r="BZ83" s="755"/>
      <c r="CB83" s="635"/>
      <c r="CC83" s="636"/>
      <c r="CD83" s="636"/>
      <c r="CE83" s="636"/>
      <c r="CF83" s="636"/>
      <c r="CG83" s="636"/>
      <c r="CH83" s="1036"/>
      <c r="CI83" s="753"/>
      <c r="CJ83" s="754"/>
      <c r="CK83" s="754"/>
      <c r="CL83" s="754"/>
      <c r="CM83" s="754"/>
      <c r="CN83" s="754"/>
      <c r="CO83" s="754"/>
      <c r="CP83" s="754"/>
      <c r="CQ83" s="754"/>
      <c r="CR83" s="754"/>
      <c r="CS83" s="754"/>
      <c r="CT83" s="754"/>
      <c r="CU83" s="754"/>
      <c r="CV83" s="754"/>
      <c r="CW83" s="754"/>
      <c r="CX83" s="754"/>
      <c r="CY83" s="754"/>
      <c r="CZ83" s="755"/>
    </row>
    <row r="84" spans="1:104" ht="15" customHeight="1" thickBot="1" x14ac:dyDescent="0.3">
      <c r="B84" s="1027"/>
      <c r="C84" s="865"/>
      <c r="D84" s="865"/>
      <c r="E84" s="865"/>
      <c r="F84" s="865"/>
      <c r="G84" s="865"/>
      <c r="H84" s="865"/>
      <c r="I84" s="865"/>
      <c r="J84" s="865"/>
      <c r="K84" s="865"/>
      <c r="L84" s="865"/>
      <c r="M84" s="865"/>
      <c r="N84" s="865"/>
      <c r="O84" s="865"/>
      <c r="P84" s="865"/>
      <c r="Q84" s="865"/>
      <c r="R84" s="865"/>
      <c r="S84" s="865"/>
      <c r="T84" s="865"/>
      <c r="U84" s="865"/>
      <c r="V84" s="865"/>
      <c r="W84" s="865"/>
      <c r="X84" s="865"/>
      <c r="Y84" s="865"/>
      <c r="Z84" s="921"/>
      <c r="AB84" s="1027"/>
      <c r="AC84" s="865"/>
      <c r="AD84" s="865"/>
      <c r="AE84" s="865"/>
      <c r="AF84" s="865"/>
      <c r="AG84" s="865"/>
      <c r="AH84" s="865"/>
      <c r="AI84" s="865"/>
      <c r="AJ84" s="865"/>
      <c r="AK84" s="865"/>
      <c r="AL84" s="865"/>
      <c r="AM84" s="865"/>
      <c r="AN84" s="865"/>
      <c r="AO84" s="865"/>
      <c r="AP84" s="865"/>
      <c r="AQ84" s="865"/>
      <c r="AR84" s="865"/>
      <c r="AS84" s="865"/>
      <c r="AT84" s="865"/>
      <c r="AU84" s="865"/>
      <c r="AV84" s="865"/>
      <c r="AW84" s="865"/>
      <c r="AX84" s="865"/>
      <c r="AY84" s="865"/>
      <c r="AZ84" s="921"/>
      <c r="BB84" s="644"/>
      <c r="BC84" s="645"/>
      <c r="BD84" s="645"/>
      <c r="BE84" s="645"/>
      <c r="BF84" s="645"/>
      <c r="BG84" s="645"/>
      <c r="BH84" s="1037"/>
      <c r="BI84" s="756"/>
      <c r="BJ84" s="757"/>
      <c r="BK84" s="757"/>
      <c r="BL84" s="757"/>
      <c r="BM84" s="757"/>
      <c r="BN84" s="757"/>
      <c r="BO84" s="757"/>
      <c r="BP84" s="757"/>
      <c r="BQ84" s="757"/>
      <c r="BR84" s="757"/>
      <c r="BS84" s="757"/>
      <c r="BT84" s="757"/>
      <c r="BU84" s="757"/>
      <c r="BV84" s="757"/>
      <c r="BW84" s="757"/>
      <c r="BX84" s="757"/>
      <c r="BY84" s="757"/>
      <c r="BZ84" s="758"/>
      <c r="CB84" s="644"/>
      <c r="CC84" s="645"/>
      <c r="CD84" s="645"/>
      <c r="CE84" s="645"/>
      <c r="CF84" s="645"/>
      <c r="CG84" s="645"/>
      <c r="CH84" s="1037"/>
      <c r="CI84" s="756"/>
      <c r="CJ84" s="757"/>
      <c r="CK84" s="757"/>
      <c r="CL84" s="757"/>
      <c r="CM84" s="757"/>
      <c r="CN84" s="757"/>
      <c r="CO84" s="757"/>
      <c r="CP84" s="757"/>
      <c r="CQ84" s="757"/>
      <c r="CR84" s="757"/>
      <c r="CS84" s="757"/>
      <c r="CT84" s="757"/>
      <c r="CU84" s="757"/>
      <c r="CV84" s="757"/>
      <c r="CW84" s="757"/>
      <c r="CX84" s="757"/>
      <c r="CY84" s="757"/>
      <c r="CZ84" s="758"/>
    </row>
    <row r="85" spans="1:104" ht="15" customHeight="1" x14ac:dyDescent="0.25">
      <c r="B85" s="1028" t="str">
        <f>IF(B86="","",VLOOKUP(B86,BoonRef!$A$2:$Z$900,2,FALSE))</f>
        <v/>
      </c>
      <c r="C85" s="725"/>
      <c r="D85" s="725"/>
      <c r="E85" s="725"/>
      <c r="F85" s="725"/>
      <c r="G85" s="725"/>
      <c r="H85" s="725"/>
      <c r="I85" s="725" t="str">
        <f>IF(B86="","",VLOOKUP(B86,BoonRef!$A$2:$Z$900,3,FALSE))</f>
        <v/>
      </c>
      <c r="J85" s="725"/>
      <c r="K85" s="725" t="str">
        <f>IF(B86="","",VLOOKUP(B86,DescRef!$A$2:$B$900,2,FALSE))</f>
        <v/>
      </c>
      <c r="L85" s="725"/>
      <c r="M85" s="725"/>
      <c r="N85" s="725"/>
      <c r="O85" s="725"/>
      <c r="P85" s="725"/>
      <c r="Q85" s="725"/>
      <c r="R85" s="725"/>
      <c r="S85" s="725"/>
      <c r="T85" s="725"/>
      <c r="U85" s="725"/>
      <c r="V85" s="725"/>
      <c r="W85" s="725"/>
      <c r="X85" s="725"/>
      <c r="Y85" s="725"/>
      <c r="Z85" s="726"/>
      <c r="AB85" s="1028" t="str">
        <f>IF(AB86="","",VLOOKUP(AB86,BoonRef!$A$2:$Z$900,2,FALSE))</f>
        <v/>
      </c>
      <c r="AC85" s="725"/>
      <c r="AD85" s="725"/>
      <c r="AE85" s="725"/>
      <c r="AF85" s="725"/>
      <c r="AG85" s="725"/>
      <c r="AH85" s="725"/>
      <c r="AI85" s="725" t="str">
        <f>IF(AB86="","",VLOOKUP(AB86,BoonRef!$A$2:$Z$900,3,FALSE))</f>
        <v/>
      </c>
      <c r="AJ85" s="725"/>
      <c r="AK85" s="725" t="str">
        <f>IF(AB86="","",VLOOKUP(AB86,DescRef!$A$2:$B$900,2,FALSE))</f>
        <v/>
      </c>
      <c r="AL85" s="725"/>
      <c r="AM85" s="725"/>
      <c r="AN85" s="725"/>
      <c r="AO85" s="725"/>
      <c r="AP85" s="725"/>
      <c r="AQ85" s="725"/>
      <c r="AR85" s="725"/>
      <c r="AS85" s="725"/>
      <c r="AT85" s="725"/>
      <c r="AU85" s="725"/>
      <c r="AV85" s="725"/>
      <c r="AW85" s="725"/>
      <c r="AX85" s="725"/>
      <c r="AY85" s="725"/>
      <c r="AZ85" s="726"/>
      <c r="BB85" s="1029" t="str">
        <f>IF(BB86="","",VLOOKUP(BB86,KanckRef!$A$1:$G$300,2,FALSE))</f>
        <v/>
      </c>
      <c r="BC85" s="1030"/>
      <c r="BD85" s="1030"/>
      <c r="BE85" s="1030"/>
      <c r="BF85" s="1031"/>
      <c r="BG85" s="1048" t="str">
        <f>IF(BB86="","",VLOOKUP(BB86,KanckRef!$A$1:$G$300,6,FALSE))</f>
        <v/>
      </c>
      <c r="BH85" s="1049"/>
      <c r="BI85" s="988" t="str">
        <f>IF(BB86="","",VLOOKUP(BB86,DescRef!$D$2:$E$300,2,FALSE))</f>
        <v/>
      </c>
      <c r="BJ85" s="795"/>
      <c r="BK85" s="795"/>
      <c r="BL85" s="795"/>
      <c r="BM85" s="795"/>
      <c r="BN85" s="795"/>
      <c r="BO85" s="795"/>
      <c r="BP85" s="795"/>
      <c r="BQ85" s="795"/>
      <c r="BR85" s="795"/>
      <c r="BS85" s="795"/>
      <c r="BT85" s="795"/>
      <c r="BU85" s="795"/>
      <c r="BV85" s="795"/>
      <c r="BW85" s="795"/>
      <c r="BX85" s="795"/>
      <c r="BY85" s="795"/>
      <c r="BZ85" s="796"/>
      <c r="CB85" s="1029" t="str">
        <f>IF(CB86="","",VLOOKUP(CB86,KanckRef!$A$1:$G$300,2,FALSE))</f>
        <v/>
      </c>
      <c r="CC85" s="1030"/>
      <c r="CD85" s="1030"/>
      <c r="CE85" s="1030"/>
      <c r="CF85" s="1031"/>
      <c r="CG85" s="1048" t="str">
        <f>IF(CB86="","",VLOOKUP(CB86,KanckRef!$A$1:$G$300,6,FALSE))</f>
        <v/>
      </c>
      <c r="CH85" s="1049"/>
      <c r="CI85" s="988" t="str">
        <f>IF(CB86="","",VLOOKUP(CB86,DescRef!$D$2:$E$300,2,FALSE))</f>
        <v/>
      </c>
      <c r="CJ85" s="795"/>
      <c r="CK85" s="795"/>
      <c r="CL85" s="795"/>
      <c r="CM85" s="795"/>
      <c r="CN85" s="795"/>
      <c r="CO85" s="795"/>
      <c r="CP85" s="795"/>
      <c r="CQ85" s="795"/>
      <c r="CR85" s="795"/>
      <c r="CS85" s="795"/>
      <c r="CT85" s="795"/>
      <c r="CU85" s="795"/>
      <c r="CV85" s="795"/>
      <c r="CW85" s="795"/>
      <c r="CX85" s="795"/>
      <c r="CY85" s="795"/>
      <c r="CZ85" s="796"/>
    </row>
    <row r="86" spans="1:104" ht="15" customHeight="1" x14ac:dyDescent="0.25">
      <c r="A86" s="15">
        <v>14</v>
      </c>
      <c r="B86" s="1026" t="str">
        <f>IF(A86&lt;'Purchased Boons'!$B$496,VLOOKUP(A86,'Purchased Boons'!$BF$2:$BG$900,2,FALSE),"")</f>
        <v/>
      </c>
      <c r="C86" s="727"/>
      <c r="D86" s="727"/>
      <c r="E86" s="727"/>
      <c r="F86" s="727"/>
      <c r="G86" s="727"/>
      <c r="H86" s="727"/>
      <c r="I86" s="727" t="str">
        <f>IF(B86="","",VLOOKUP(B86,BoonRef!$A$2:$Z$900,25,FALSE))</f>
        <v/>
      </c>
      <c r="J86" s="727"/>
      <c r="K86" s="727"/>
      <c r="L86" s="727"/>
      <c r="M86" s="727"/>
      <c r="N86" s="727"/>
      <c r="O86" s="727"/>
      <c r="P86" s="727"/>
      <c r="Q86" s="727"/>
      <c r="R86" s="727"/>
      <c r="S86" s="727"/>
      <c r="T86" s="727"/>
      <c r="U86" s="727"/>
      <c r="V86" s="727"/>
      <c r="W86" s="727"/>
      <c r="X86" s="727"/>
      <c r="Y86" s="727"/>
      <c r="Z86" s="728"/>
      <c r="AA86" s="15">
        <v>121</v>
      </c>
      <c r="AB86" s="1026" t="str">
        <f>IF(AA86&lt;'Purchased Boons'!$B$496,VLOOKUP(AA86,'Purchased Boons'!$BF$2:$BG$900,2,FALSE),"")</f>
        <v/>
      </c>
      <c r="AC86" s="727"/>
      <c r="AD86" s="727"/>
      <c r="AE86" s="727"/>
      <c r="AF86" s="727"/>
      <c r="AG86" s="727"/>
      <c r="AH86" s="727"/>
      <c r="AI86" s="727" t="str">
        <f>IF(AB86="","",VLOOKUP(AB86,BoonRef!$A$2:$Z$900,25,FALSE))</f>
        <v/>
      </c>
      <c r="AJ86" s="727"/>
      <c r="AK86" s="727"/>
      <c r="AL86" s="727"/>
      <c r="AM86" s="727"/>
      <c r="AN86" s="727"/>
      <c r="AO86" s="727"/>
      <c r="AP86" s="727"/>
      <c r="AQ86" s="727"/>
      <c r="AR86" s="727"/>
      <c r="AS86" s="727"/>
      <c r="AT86" s="727"/>
      <c r="AU86" s="727"/>
      <c r="AV86" s="727"/>
      <c r="AW86" s="727"/>
      <c r="AX86" s="727"/>
      <c r="AY86" s="727"/>
      <c r="AZ86" s="728"/>
      <c r="BA86" s="15">
        <v>14</v>
      </c>
      <c r="BB86" s="1038" t="str">
        <f>IF(BA86&lt;'Purchased Knacks'!A$192,VLOOKUP(BA86,'Purchased Knacks'!$A$4:$E$300,3,FALSE),"")</f>
        <v/>
      </c>
      <c r="BC86" s="1039"/>
      <c r="BD86" s="1039"/>
      <c r="BE86" s="1039"/>
      <c r="BF86" s="1040"/>
      <c r="BG86" s="1032" t="str">
        <f>IF(BB86="","",VLOOKUP(BB86,KanckRef!$A$1:$G$300,7,FALSE))</f>
        <v/>
      </c>
      <c r="BH86" s="1033"/>
      <c r="BI86" s="753"/>
      <c r="BJ86" s="754"/>
      <c r="BK86" s="754"/>
      <c r="BL86" s="754"/>
      <c r="BM86" s="754"/>
      <c r="BN86" s="754"/>
      <c r="BO86" s="754"/>
      <c r="BP86" s="754"/>
      <c r="BQ86" s="754"/>
      <c r="BR86" s="754"/>
      <c r="BS86" s="754"/>
      <c r="BT86" s="754"/>
      <c r="BU86" s="754"/>
      <c r="BV86" s="754"/>
      <c r="BW86" s="754"/>
      <c r="BX86" s="754"/>
      <c r="BY86" s="754"/>
      <c r="BZ86" s="755"/>
      <c r="CA86" s="15">
        <v>121</v>
      </c>
      <c r="CB86" s="1038" t="str">
        <f>IF(CA86&lt;'Purchased Knacks'!A$192,VLOOKUP(CA86,'Purchased Knacks'!$A$4:$E$300,3,FALSE),"")</f>
        <v/>
      </c>
      <c r="CC86" s="1039"/>
      <c r="CD86" s="1039"/>
      <c r="CE86" s="1039"/>
      <c r="CF86" s="1040"/>
      <c r="CG86" s="1032" t="str">
        <f>IF(CB86="","",VLOOKUP(CB86,KanckRef!$A$1:$G$300,7,FALSE))</f>
        <v/>
      </c>
      <c r="CH86" s="1033"/>
      <c r="CI86" s="753"/>
      <c r="CJ86" s="754"/>
      <c r="CK86" s="754"/>
      <c r="CL86" s="754"/>
      <c r="CM86" s="754"/>
      <c r="CN86" s="754"/>
      <c r="CO86" s="754"/>
      <c r="CP86" s="754"/>
      <c r="CQ86" s="754"/>
      <c r="CR86" s="754"/>
      <c r="CS86" s="754"/>
      <c r="CT86" s="754"/>
      <c r="CU86" s="754"/>
      <c r="CV86" s="754"/>
      <c r="CW86" s="754"/>
      <c r="CX86" s="754"/>
      <c r="CY86" s="754"/>
      <c r="CZ86" s="755"/>
    </row>
    <row r="87" spans="1:104" ht="15" customHeight="1" x14ac:dyDescent="0.25">
      <c r="B87" s="1026"/>
      <c r="C87" s="727"/>
      <c r="D87" s="727"/>
      <c r="E87" s="727"/>
      <c r="F87" s="727"/>
      <c r="G87" s="727"/>
      <c r="H87" s="727"/>
      <c r="I87" s="727" t="str">
        <f>IF(B86="","",VLOOKUP(B86,BoonRef!$A$2:$Z$900,26,FALSE))</f>
        <v/>
      </c>
      <c r="J87" s="727"/>
      <c r="K87" s="727"/>
      <c r="L87" s="727"/>
      <c r="M87" s="727"/>
      <c r="N87" s="727"/>
      <c r="O87" s="727"/>
      <c r="P87" s="727"/>
      <c r="Q87" s="727"/>
      <c r="R87" s="727"/>
      <c r="S87" s="727"/>
      <c r="T87" s="727"/>
      <c r="U87" s="727"/>
      <c r="V87" s="727"/>
      <c r="W87" s="727"/>
      <c r="X87" s="727"/>
      <c r="Y87" s="727"/>
      <c r="Z87" s="728"/>
      <c r="AB87" s="1026"/>
      <c r="AC87" s="727"/>
      <c r="AD87" s="727"/>
      <c r="AE87" s="727"/>
      <c r="AF87" s="727"/>
      <c r="AG87" s="727"/>
      <c r="AH87" s="727"/>
      <c r="AI87" s="727" t="str">
        <f>IF(AB86="","",VLOOKUP(AB86,BoonRef!$A$2:$Z$900,26,FALSE))</f>
        <v/>
      </c>
      <c r="AJ87" s="727"/>
      <c r="AK87" s="727"/>
      <c r="AL87" s="727"/>
      <c r="AM87" s="727"/>
      <c r="AN87" s="727"/>
      <c r="AO87" s="727"/>
      <c r="AP87" s="727"/>
      <c r="AQ87" s="727"/>
      <c r="AR87" s="727"/>
      <c r="AS87" s="727"/>
      <c r="AT87" s="727"/>
      <c r="AU87" s="727"/>
      <c r="AV87" s="727"/>
      <c r="AW87" s="727"/>
      <c r="AX87" s="727"/>
      <c r="AY87" s="727"/>
      <c r="AZ87" s="728"/>
      <c r="BB87" s="1041"/>
      <c r="BC87" s="1042"/>
      <c r="BD87" s="1042"/>
      <c r="BE87" s="1042"/>
      <c r="BF87" s="1043"/>
      <c r="BG87" s="1034"/>
      <c r="BH87" s="1035"/>
      <c r="BI87" s="753"/>
      <c r="BJ87" s="754"/>
      <c r="BK87" s="754"/>
      <c r="BL87" s="754"/>
      <c r="BM87" s="754"/>
      <c r="BN87" s="754"/>
      <c r="BO87" s="754"/>
      <c r="BP87" s="754"/>
      <c r="BQ87" s="754"/>
      <c r="BR87" s="754"/>
      <c r="BS87" s="754"/>
      <c r="BT87" s="754"/>
      <c r="BU87" s="754"/>
      <c r="BV87" s="754"/>
      <c r="BW87" s="754"/>
      <c r="BX87" s="754"/>
      <c r="BY87" s="754"/>
      <c r="BZ87" s="755"/>
      <c r="CB87" s="1041"/>
      <c r="CC87" s="1042"/>
      <c r="CD87" s="1042"/>
      <c r="CE87" s="1042"/>
      <c r="CF87" s="1043"/>
      <c r="CG87" s="1034"/>
      <c r="CH87" s="1035"/>
      <c r="CI87" s="753"/>
      <c r="CJ87" s="754"/>
      <c r="CK87" s="754"/>
      <c r="CL87" s="754"/>
      <c r="CM87" s="754"/>
      <c r="CN87" s="754"/>
      <c r="CO87" s="754"/>
      <c r="CP87" s="754"/>
      <c r="CQ87" s="754"/>
      <c r="CR87" s="754"/>
      <c r="CS87" s="754"/>
      <c r="CT87" s="754"/>
      <c r="CU87" s="754"/>
      <c r="CV87" s="754"/>
      <c r="CW87" s="754"/>
      <c r="CX87" s="754"/>
      <c r="CY87" s="754"/>
      <c r="CZ87" s="755"/>
    </row>
    <row r="88" spans="1:104" ht="15" customHeight="1" x14ac:dyDescent="0.25">
      <c r="B88" s="1026" t="str">
        <f>IF(B86="","",VLOOKUP(B86,BoonRef!$A$2:$Z$900,24,FALSE))</f>
        <v/>
      </c>
      <c r="C88" s="727"/>
      <c r="D88" s="727"/>
      <c r="E88" s="727"/>
      <c r="F88" s="727"/>
      <c r="G88" s="727"/>
      <c r="H88" s="727"/>
      <c r="I88" s="727"/>
      <c r="J88" s="727"/>
      <c r="K88" s="727"/>
      <c r="L88" s="727"/>
      <c r="M88" s="727"/>
      <c r="N88" s="727"/>
      <c r="O88" s="727"/>
      <c r="P88" s="727"/>
      <c r="Q88" s="727"/>
      <c r="R88" s="727"/>
      <c r="S88" s="727"/>
      <c r="T88" s="727"/>
      <c r="U88" s="727"/>
      <c r="V88" s="727"/>
      <c r="W88" s="727"/>
      <c r="X88" s="727"/>
      <c r="Y88" s="727"/>
      <c r="Z88" s="728"/>
      <c r="AB88" s="1026" t="str">
        <f>IF(AB86="","",VLOOKUP(AB86,BoonRef!$A$2:$Z$900,24,FALSE))</f>
        <v/>
      </c>
      <c r="AC88" s="727"/>
      <c r="AD88" s="727"/>
      <c r="AE88" s="727"/>
      <c r="AF88" s="727"/>
      <c r="AG88" s="727"/>
      <c r="AH88" s="727"/>
      <c r="AI88" s="727"/>
      <c r="AJ88" s="727"/>
      <c r="AK88" s="727"/>
      <c r="AL88" s="727"/>
      <c r="AM88" s="727"/>
      <c r="AN88" s="727"/>
      <c r="AO88" s="727"/>
      <c r="AP88" s="727"/>
      <c r="AQ88" s="727"/>
      <c r="AR88" s="727"/>
      <c r="AS88" s="727"/>
      <c r="AT88" s="727"/>
      <c r="AU88" s="727"/>
      <c r="AV88" s="727"/>
      <c r="AW88" s="727"/>
      <c r="AX88" s="727"/>
      <c r="AY88" s="727"/>
      <c r="AZ88" s="728"/>
      <c r="BB88" s="641" t="str">
        <f>IF(BB86="","",VLOOKUP(BB86,KanckRef!$A$1:$G$300,4,FALSE))</f>
        <v/>
      </c>
      <c r="BC88" s="642"/>
      <c r="BD88" s="642"/>
      <c r="BE88" s="642"/>
      <c r="BF88" s="642"/>
      <c r="BG88" s="642"/>
      <c r="BH88" s="1033"/>
      <c r="BI88" s="753"/>
      <c r="BJ88" s="754"/>
      <c r="BK88" s="754"/>
      <c r="BL88" s="754"/>
      <c r="BM88" s="754"/>
      <c r="BN88" s="754"/>
      <c r="BO88" s="754"/>
      <c r="BP88" s="754"/>
      <c r="BQ88" s="754"/>
      <c r="BR88" s="754"/>
      <c r="BS88" s="754"/>
      <c r="BT88" s="754"/>
      <c r="BU88" s="754"/>
      <c r="BV88" s="754"/>
      <c r="BW88" s="754"/>
      <c r="BX88" s="754"/>
      <c r="BY88" s="754"/>
      <c r="BZ88" s="755"/>
      <c r="CB88" s="641" t="str">
        <f>IF(CB86="","",VLOOKUP(CB86,KanckRef!$A$1:$G$300,4,FALSE))</f>
        <v/>
      </c>
      <c r="CC88" s="642"/>
      <c r="CD88" s="642"/>
      <c r="CE88" s="642"/>
      <c r="CF88" s="642"/>
      <c r="CG88" s="642"/>
      <c r="CH88" s="1033"/>
      <c r="CI88" s="753"/>
      <c r="CJ88" s="754"/>
      <c r="CK88" s="754"/>
      <c r="CL88" s="754"/>
      <c r="CM88" s="754"/>
      <c r="CN88" s="754"/>
      <c r="CO88" s="754"/>
      <c r="CP88" s="754"/>
      <c r="CQ88" s="754"/>
      <c r="CR88" s="754"/>
      <c r="CS88" s="754"/>
      <c r="CT88" s="754"/>
      <c r="CU88" s="754"/>
      <c r="CV88" s="754"/>
      <c r="CW88" s="754"/>
      <c r="CX88" s="754"/>
      <c r="CY88" s="754"/>
      <c r="CZ88" s="755"/>
    </row>
    <row r="89" spans="1:104" ht="15" customHeight="1" x14ac:dyDescent="0.25">
      <c r="B89" s="1026" t="str">
        <f>IF(B86="","",VLOOKUP(B86,BoonRef!$A$2:$Z$900,23,FALSE))</f>
        <v/>
      </c>
      <c r="C89" s="727"/>
      <c r="D89" s="727"/>
      <c r="E89" s="727"/>
      <c r="F89" s="727"/>
      <c r="G89" s="727"/>
      <c r="H89" s="727"/>
      <c r="I89" s="727"/>
      <c r="J89" s="727"/>
      <c r="K89" s="727"/>
      <c r="L89" s="727"/>
      <c r="M89" s="727"/>
      <c r="N89" s="727"/>
      <c r="O89" s="727"/>
      <c r="P89" s="727"/>
      <c r="Q89" s="727"/>
      <c r="R89" s="727"/>
      <c r="S89" s="727"/>
      <c r="T89" s="727"/>
      <c r="U89" s="727"/>
      <c r="V89" s="727"/>
      <c r="W89" s="727"/>
      <c r="X89" s="727"/>
      <c r="Y89" s="727"/>
      <c r="Z89" s="728"/>
      <c r="AB89" s="1026" t="str">
        <f>IF(AB86="","",VLOOKUP(AB86,BoonRef!$A$2:$Z$900,23,FALSE))</f>
        <v/>
      </c>
      <c r="AC89" s="727"/>
      <c r="AD89" s="727"/>
      <c r="AE89" s="727"/>
      <c r="AF89" s="727"/>
      <c r="AG89" s="727"/>
      <c r="AH89" s="727"/>
      <c r="AI89" s="727"/>
      <c r="AJ89" s="727"/>
      <c r="AK89" s="727"/>
      <c r="AL89" s="727"/>
      <c r="AM89" s="727"/>
      <c r="AN89" s="727"/>
      <c r="AO89" s="727"/>
      <c r="AP89" s="727"/>
      <c r="AQ89" s="727"/>
      <c r="AR89" s="727"/>
      <c r="AS89" s="727"/>
      <c r="AT89" s="727"/>
      <c r="AU89" s="727"/>
      <c r="AV89" s="727"/>
      <c r="AW89" s="727"/>
      <c r="AX89" s="727"/>
      <c r="AY89" s="727"/>
      <c r="AZ89" s="728"/>
      <c r="BB89" s="635"/>
      <c r="BC89" s="636"/>
      <c r="BD89" s="636"/>
      <c r="BE89" s="636"/>
      <c r="BF89" s="636"/>
      <c r="BG89" s="636"/>
      <c r="BH89" s="1036"/>
      <c r="BI89" s="753"/>
      <c r="BJ89" s="754"/>
      <c r="BK89" s="754"/>
      <c r="BL89" s="754"/>
      <c r="BM89" s="754"/>
      <c r="BN89" s="754"/>
      <c r="BO89" s="754"/>
      <c r="BP89" s="754"/>
      <c r="BQ89" s="754"/>
      <c r="BR89" s="754"/>
      <c r="BS89" s="754"/>
      <c r="BT89" s="754"/>
      <c r="BU89" s="754"/>
      <c r="BV89" s="754"/>
      <c r="BW89" s="754"/>
      <c r="BX89" s="754"/>
      <c r="BY89" s="754"/>
      <c r="BZ89" s="755"/>
      <c r="CB89" s="635"/>
      <c r="CC89" s="636"/>
      <c r="CD89" s="636"/>
      <c r="CE89" s="636"/>
      <c r="CF89" s="636"/>
      <c r="CG89" s="636"/>
      <c r="CH89" s="1036"/>
      <c r="CI89" s="753"/>
      <c r="CJ89" s="754"/>
      <c r="CK89" s="754"/>
      <c r="CL89" s="754"/>
      <c r="CM89" s="754"/>
      <c r="CN89" s="754"/>
      <c r="CO89" s="754"/>
      <c r="CP89" s="754"/>
      <c r="CQ89" s="754"/>
      <c r="CR89" s="754"/>
      <c r="CS89" s="754"/>
      <c r="CT89" s="754"/>
      <c r="CU89" s="754"/>
      <c r="CV89" s="754"/>
      <c r="CW89" s="754"/>
      <c r="CX89" s="754"/>
      <c r="CY89" s="754"/>
      <c r="CZ89" s="755"/>
    </row>
    <row r="90" spans="1:104" ht="15" customHeight="1" thickBot="1" x14ac:dyDescent="0.3">
      <c r="B90" s="1027"/>
      <c r="C90" s="865"/>
      <c r="D90" s="865"/>
      <c r="E90" s="865"/>
      <c r="F90" s="865"/>
      <c r="G90" s="865"/>
      <c r="H90" s="865"/>
      <c r="I90" s="865"/>
      <c r="J90" s="865"/>
      <c r="K90" s="865"/>
      <c r="L90" s="865"/>
      <c r="M90" s="865"/>
      <c r="N90" s="865"/>
      <c r="O90" s="865"/>
      <c r="P90" s="865"/>
      <c r="Q90" s="865"/>
      <c r="R90" s="865"/>
      <c r="S90" s="865"/>
      <c r="T90" s="865"/>
      <c r="U90" s="865"/>
      <c r="V90" s="865"/>
      <c r="W90" s="865"/>
      <c r="X90" s="865"/>
      <c r="Y90" s="865"/>
      <c r="Z90" s="921"/>
      <c r="AB90" s="1027"/>
      <c r="AC90" s="865"/>
      <c r="AD90" s="865"/>
      <c r="AE90" s="865"/>
      <c r="AF90" s="865"/>
      <c r="AG90" s="865"/>
      <c r="AH90" s="865"/>
      <c r="AI90" s="865"/>
      <c r="AJ90" s="865"/>
      <c r="AK90" s="865"/>
      <c r="AL90" s="865"/>
      <c r="AM90" s="865"/>
      <c r="AN90" s="865"/>
      <c r="AO90" s="865"/>
      <c r="AP90" s="865"/>
      <c r="AQ90" s="865"/>
      <c r="AR90" s="865"/>
      <c r="AS90" s="865"/>
      <c r="AT90" s="865"/>
      <c r="AU90" s="865"/>
      <c r="AV90" s="865"/>
      <c r="AW90" s="865"/>
      <c r="AX90" s="865"/>
      <c r="AY90" s="865"/>
      <c r="AZ90" s="921"/>
      <c r="BB90" s="644"/>
      <c r="BC90" s="645"/>
      <c r="BD90" s="645"/>
      <c r="BE90" s="645"/>
      <c r="BF90" s="645"/>
      <c r="BG90" s="645"/>
      <c r="BH90" s="1037"/>
      <c r="BI90" s="756"/>
      <c r="BJ90" s="757"/>
      <c r="BK90" s="757"/>
      <c r="BL90" s="757"/>
      <c r="BM90" s="757"/>
      <c r="BN90" s="757"/>
      <c r="BO90" s="757"/>
      <c r="BP90" s="757"/>
      <c r="BQ90" s="757"/>
      <c r="BR90" s="757"/>
      <c r="BS90" s="757"/>
      <c r="BT90" s="757"/>
      <c r="BU90" s="757"/>
      <c r="BV90" s="757"/>
      <c r="BW90" s="757"/>
      <c r="BX90" s="757"/>
      <c r="BY90" s="757"/>
      <c r="BZ90" s="758"/>
      <c r="CB90" s="644"/>
      <c r="CC90" s="645"/>
      <c r="CD90" s="645"/>
      <c r="CE90" s="645"/>
      <c r="CF90" s="645"/>
      <c r="CG90" s="645"/>
      <c r="CH90" s="1037"/>
      <c r="CI90" s="756"/>
      <c r="CJ90" s="757"/>
      <c r="CK90" s="757"/>
      <c r="CL90" s="757"/>
      <c r="CM90" s="757"/>
      <c r="CN90" s="757"/>
      <c r="CO90" s="757"/>
      <c r="CP90" s="757"/>
      <c r="CQ90" s="757"/>
      <c r="CR90" s="757"/>
      <c r="CS90" s="757"/>
      <c r="CT90" s="757"/>
      <c r="CU90" s="757"/>
      <c r="CV90" s="757"/>
      <c r="CW90" s="757"/>
      <c r="CX90" s="757"/>
      <c r="CY90" s="757"/>
      <c r="CZ90" s="758"/>
    </row>
    <row r="91" spans="1:104" ht="15" customHeight="1" x14ac:dyDescent="0.25">
      <c r="B91" s="1028" t="str">
        <f>IF(B92="","",VLOOKUP(B92,BoonRef!$A$2:$Z$900,2,FALSE))</f>
        <v/>
      </c>
      <c r="C91" s="725"/>
      <c r="D91" s="725"/>
      <c r="E91" s="725"/>
      <c r="F91" s="725"/>
      <c r="G91" s="725"/>
      <c r="H91" s="725"/>
      <c r="I91" s="725" t="str">
        <f>IF(B92="","",VLOOKUP(B92,BoonRef!$A$2:$Z$900,3,FALSE))</f>
        <v/>
      </c>
      <c r="J91" s="725"/>
      <c r="K91" s="725" t="str">
        <f>IF(B92="","",VLOOKUP(B92,DescRef!$A$2:$B$900,2,FALSE))</f>
        <v/>
      </c>
      <c r="L91" s="725"/>
      <c r="M91" s="725"/>
      <c r="N91" s="725"/>
      <c r="O91" s="725"/>
      <c r="P91" s="725"/>
      <c r="Q91" s="725"/>
      <c r="R91" s="725"/>
      <c r="S91" s="725"/>
      <c r="T91" s="725"/>
      <c r="U91" s="725"/>
      <c r="V91" s="725"/>
      <c r="W91" s="725"/>
      <c r="X91" s="725"/>
      <c r="Y91" s="725"/>
      <c r="Z91" s="726"/>
      <c r="AB91" s="1028" t="str">
        <f>IF(AB92="","",VLOOKUP(AB92,BoonRef!$A$2:$Z$900,2,FALSE))</f>
        <v/>
      </c>
      <c r="AC91" s="725"/>
      <c r="AD91" s="725"/>
      <c r="AE91" s="725"/>
      <c r="AF91" s="725"/>
      <c r="AG91" s="725"/>
      <c r="AH91" s="725"/>
      <c r="AI91" s="725" t="str">
        <f>IF(AB92="","",VLOOKUP(AB92,BoonRef!$A$2:$Z$900,3,FALSE))</f>
        <v/>
      </c>
      <c r="AJ91" s="725"/>
      <c r="AK91" s="725" t="str">
        <f>IF(AB92="","",VLOOKUP(AB92,DescRef!$A$2:$B$900,2,FALSE))</f>
        <v/>
      </c>
      <c r="AL91" s="725"/>
      <c r="AM91" s="725"/>
      <c r="AN91" s="725"/>
      <c r="AO91" s="725"/>
      <c r="AP91" s="725"/>
      <c r="AQ91" s="725"/>
      <c r="AR91" s="725"/>
      <c r="AS91" s="725"/>
      <c r="AT91" s="725"/>
      <c r="AU91" s="725"/>
      <c r="AV91" s="725"/>
      <c r="AW91" s="725"/>
      <c r="AX91" s="725"/>
      <c r="AY91" s="725"/>
      <c r="AZ91" s="726"/>
      <c r="BB91" s="1029" t="str">
        <f>IF(BB92="","",VLOOKUP(BB92,KanckRef!$A$1:$G$300,2,FALSE))</f>
        <v/>
      </c>
      <c r="BC91" s="1030"/>
      <c r="BD91" s="1030"/>
      <c r="BE91" s="1030"/>
      <c r="BF91" s="1031"/>
      <c r="BG91" s="1048" t="str">
        <f>IF(BB92="","",VLOOKUP(BB92,KanckRef!$A$1:$G$300,6,FALSE))</f>
        <v/>
      </c>
      <c r="BH91" s="1049"/>
      <c r="BI91" s="988" t="str">
        <f>IF(BB92="","",VLOOKUP(BB92,DescRef!$D$2:$E$300,2,FALSE))</f>
        <v/>
      </c>
      <c r="BJ91" s="795"/>
      <c r="BK91" s="795"/>
      <c r="BL91" s="795"/>
      <c r="BM91" s="795"/>
      <c r="BN91" s="795"/>
      <c r="BO91" s="795"/>
      <c r="BP91" s="795"/>
      <c r="BQ91" s="795"/>
      <c r="BR91" s="795"/>
      <c r="BS91" s="795"/>
      <c r="BT91" s="795"/>
      <c r="BU91" s="795"/>
      <c r="BV91" s="795"/>
      <c r="BW91" s="795"/>
      <c r="BX91" s="795"/>
      <c r="BY91" s="795"/>
      <c r="BZ91" s="796"/>
      <c r="CB91" s="1029" t="str">
        <f>IF(CB92="","",VLOOKUP(CB92,KanckRef!$A$1:$G$300,2,FALSE))</f>
        <v/>
      </c>
      <c r="CC91" s="1030"/>
      <c r="CD91" s="1030"/>
      <c r="CE91" s="1030"/>
      <c r="CF91" s="1031"/>
      <c r="CG91" s="1048" t="str">
        <f>IF(CB92="","",VLOOKUP(CB92,KanckRef!$A$1:$G$300,6,FALSE))</f>
        <v/>
      </c>
      <c r="CH91" s="1049"/>
      <c r="CI91" s="988" t="str">
        <f>IF(CB92="","",VLOOKUP(CB92,DescRef!$D$2:$E$300,2,FALSE))</f>
        <v/>
      </c>
      <c r="CJ91" s="795"/>
      <c r="CK91" s="795"/>
      <c r="CL91" s="795"/>
      <c r="CM91" s="795"/>
      <c r="CN91" s="795"/>
      <c r="CO91" s="795"/>
      <c r="CP91" s="795"/>
      <c r="CQ91" s="795"/>
      <c r="CR91" s="795"/>
      <c r="CS91" s="795"/>
      <c r="CT91" s="795"/>
      <c r="CU91" s="795"/>
      <c r="CV91" s="795"/>
      <c r="CW91" s="795"/>
      <c r="CX91" s="795"/>
      <c r="CY91" s="795"/>
      <c r="CZ91" s="796"/>
    </row>
    <row r="92" spans="1:104" ht="15" customHeight="1" x14ac:dyDescent="0.25">
      <c r="A92" s="15">
        <v>15</v>
      </c>
      <c r="B92" s="1026" t="str">
        <f>IF(A92&lt;'Purchased Boons'!$B$496,VLOOKUP(A92,'Purchased Boons'!$BF$2:$BG$900,2,FALSE),"")</f>
        <v/>
      </c>
      <c r="C92" s="727"/>
      <c r="D92" s="727"/>
      <c r="E92" s="727"/>
      <c r="F92" s="727"/>
      <c r="G92" s="727"/>
      <c r="H92" s="727"/>
      <c r="I92" s="727" t="str">
        <f>IF(B92="","",VLOOKUP(B92,BoonRef!$A$2:$Z$900,25,FALSE))</f>
        <v/>
      </c>
      <c r="J92" s="727"/>
      <c r="K92" s="727"/>
      <c r="L92" s="727"/>
      <c r="M92" s="727"/>
      <c r="N92" s="727"/>
      <c r="O92" s="727"/>
      <c r="P92" s="727"/>
      <c r="Q92" s="727"/>
      <c r="R92" s="727"/>
      <c r="S92" s="727"/>
      <c r="T92" s="727"/>
      <c r="U92" s="727"/>
      <c r="V92" s="727"/>
      <c r="W92" s="727"/>
      <c r="X92" s="727"/>
      <c r="Y92" s="727"/>
      <c r="Z92" s="728"/>
      <c r="AA92" s="15">
        <v>122</v>
      </c>
      <c r="AB92" s="1026" t="str">
        <f>IF(AA92&lt;'Purchased Boons'!$B$496,VLOOKUP(AA92,'Purchased Boons'!$BF$2:$BG$900,2,FALSE),"")</f>
        <v/>
      </c>
      <c r="AC92" s="727"/>
      <c r="AD92" s="727"/>
      <c r="AE92" s="727"/>
      <c r="AF92" s="727"/>
      <c r="AG92" s="727"/>
      <c r="AH92" s="727"/>
      <c r="AI92" s="727" t="str">
        <f>IF(AB92="","",VLOOKUP(AB92,BoonRef!$A$2:$Z$900,25,FALSE))</f>
        <v/>
      </c>
      <c r="AJ92" s="727"/>
      <c r="AK92" s="727"/>
      <c r="AL92" s="727"/>
      <c r="AM92" s="727"/>
      <c r="AN92" s="727"/>
      <c r="AO92" s="727"/>
      <c r="AP92" s="727"/>
      <c r="AQ92" s="727"/>
      <c r="AR92" s="727"/>
      <c r="AS92" s="727"/>
      <c r="AT92" s="727"/>
      <c r="AU92" s="727"/>
      <c r="AV92" s="727"/>
      <c r="AW92" s="727"/>
      <c r="AX92" s="727"/>
      <c r="AY92" s="727"/>
      <c r="AZ92" s="728"/>
      <c r="BA92" s="15">
        <v>15</v>
      </c>
      <c r="BB92" s="1038" t="str">
        <f>IF(BA92&lt;'Purchased Knacks'!A$192,VLOOKUP(BA92,'Purchased Knacks'!$A$4:$E$300,3,FALSE),"")</f>
        <v/>
      </c>
      <c r="BC92" s="1039"/>
      <c r="BD92" s="1039"/>
      <c r="BE92" s="1039"/>
      <c r="BF92" s="1040"/>
      <c r="BG92" s="1032" t="str">
        <f>IF(BB92="","",VLOOKUP(BB92,KanckRef!$A$1:$G$300,7,FALSE))</f>
        <v/>
      </c>
      <c r="BH92" s="1033"/>
      <c r="BI92" s="753"/>
      <c r="BJ92" s="754"/>
      <c r="BK92" s="754"/>
      <c r="BL92" s="754"/>
      <c r="BM92" s="754"/>
      <c r="BN92" s="754"/>
      <c r="BO92" s="754"/>
      <c r="BP92" s="754"/>
      <c r="BQ92" s="754"/>
      <c r="BR92" s="754"/>
      <c r="BS92" s="754"/>
      <c r="BT92" s="754"/>
      <c r="BU92" s="754"/>
      <c r="BV92" s="754"/>
      <c r="BW92" s="754"/>
      <c r="BX92" s="754"/>
      <c r="BY92" s="754"/>
      <c r="BZ92" s="755"/>
      <c r="CA92" s="15">
        <v>122</v>
      </c>
      <c r="CB92" s="1038" t="str">
        <f>IF(CA92&lt;'Purchased Knacks'!A$192,VLOOKUP(CA92,'Purchased Knacks'!$A$4:$E$300,3,FALSE),"")</f>
        <v/>
      </c>
      <c r="CC92" s="1039"/>
      <c r="CD92" s="1039"/>
      <c r="CE92" s="1039"/>
      <c r="CF92" s="1040"/>
      <c r="CG92" s="1032" t="str">
        <f>IF(CB92="","",VLOOKUP(CB92,KanckRef!$A$1:$G$300,7,FALSE))</f>
        <v/>
      </c>
      <c r="CH92" s="1033"/>
      <c r="CI92" s="753"/>
      <c r="CJ92" s="754"/>
      <c r="CK92" s="754"/>
      <c r="CL92" s="754"/>
      <c r="CM92" s="754"/>
      <c r="CN92" s="754"/>
      <c r="CO92" s="754"/>
      <c r="CP92" s="754"/>
      <c r="CQ92" s="754"/>
      <c r="CR92" s="754"/>
      <c r="CS92" s="754"/>
      <c r="CT92" s="754"/>
      <c r="CU92" s="754"/>
      <c r="CV92" s="754"/>
      <c r="CW92" s="754"/>
      <c r="CX92" s="754"/>
      <c r="CY92" s="754"/>
      <c r="CZ92" s="755"/>
    </row>
    <row r="93" spans="1:104" ht="15.75" customHeight="1" x14ac:dyDescent="0.25">
      <c r="B93" s="1026"/>
      <c r="C93" s="727"/>
      <c r="D93" s="727"/>
      <c r="E93" s="727"/>
      <c r="F93" s="727"/>
      <c r="G93" s="727"/>
      <c r="H93" s="727"/>
      <c r="I93" s="727" t="str">
        <f>IF(B92="","",VLOOKUP(B92,BoonRef!$A$2:$Z$900,26,FALSE))</f>
        <v/>
      </c>
      <c r="J93" s="727"/>
      <c r="K93" s="727"/>
      <c r="L93" s="727"/>
      <c r="M93" s="727"/>
      <c r="N93" s="727"/>
      <c r="O93" s="727"/>
      <c r="P93" s="727"/>
      <c r="Q93" s="727"/>
      <c r="R93" s="727"/>
      <c r="S93" s="727"/>
      <c r="T93" s="727"/>
      <c r="U93" s="727"/>
      <c r="V93" s="727"/>
      <c r="W93" s="727"/>
      <c r="X93" s="727"/>
      <c r="Y93" s="727"/>
      <c r="Z93" s="728"/>
      <c r="AB93" s="1026"/>
      <c r="AC93" s="727"/>
      <c r="AD93" s="727"/>
      <c r="AE93" s="727"/>
      <c r="AF93" s="727"/>
      <c r="AG93" s="727"/>
      <c r="AH93" s="727"/>
      <c r="AI93" s="727" t="str">
        <f>IF(AB92="","",VLOOKUP(AB92,BoonRef!$A$2:$Z$900,26,FALSE))</f>
        <v/>
      </c>
      <c r="AJ93" s="727"/>
      <c r="AK93" s="727"/>
      <c r="AL93" s="727"/>
      <c r="AM93" s="727"/>
      <c r="AN93" s="727"/>
      <c r="AO93" s="727"/>
      <c r="AP93" s="727"/>
      <c r="AQ93" s="727"/>
      <c r="AR93" s="727"/>
      <c r="AS93" s="727"/>
      <c r="AT93" s="727"/>
      <c r="AU93" s="727"/>
      <c r="AV93" s="727"/>
      <c r="AW93" s="727"/>
      <c r="AX93" s="727"/>
      <c r="AY93" s="727"/>
      <c r="AZ93" s="728"/>
      <c r="BB93" s="1041"/>
      <c r="BC93" s="1042"/>
      <c r="BD93" s="1042"/>
      <c r="BE93" s="1042"/>
      <c r="BF93" s="1043"/>
      <c r="BG93" s="1034"/>
      <c r="BH93" s="1035"/>
      <c r="BI93" s="753"/>
      <c r="BJ93" s="754"/>
      <c r="BK93" s="754"/>
      <c r="BL93" s="754"/>
      <c r="BM93" s="754"/>
      <c r="BN93" s="754"/>
      <c r="BO93" s="754"/>
      <c r="BP93" s="754"/>
      <c r="BQ93" s="754"/>
      <c r="BR93" s="754"/>
      <c r="BS93" s="754"/>
      <c r="BT93" s="754"/>
      <c r="BU93" s="754"/>
      <c r="BV93" s="754"/>
      <c r="BW93" s="754"/>
      <c r="BX93" s="754"/>
      <c r="BY93" s="754"/>
      <c r="BZ93" s="755"/>
      <c r="CB93" s="1041"/>
      <c r="CC93" s="1042"/>
      <c r="CD93" s="1042"/>
      <c r="CE93" s="1042"/>
      <c r="CF93" s="1043"/>
      <c r="CG93" s="1034"/>
      <c r="CH93" s="1035"/>
      <c r="CI93" s="753"/>
      <c r="CJ93" s="754"/>
      <c r="CK93" s="754"/>
      <c r="CL93" s="754"/>
      <c r="CM93" s="754"/>
      <c r="CN93" s="754"/>
      <c r="CO93" s="754"/>
      <c r="CP93" s="754"/>
      <c r="CQ93" s="754"/>
      <c r="CR93" s="754"/>
      <c r="CS93" s="754"/>
      <c r="CT93" s="754"/>
      <c r="CU93" s="754"/>
      <c r="CV93" s="754"/>
      <c r="CW93" s="754"/>
      <c r="CX93" s="754"/>
      <c r="CY93" s="754"/>
      <c r="CZ93" s="755"/>
    </row>
    <row r="94" spans="1:104" ht="15" customHeight="1" x14ac:dyDescent="0.25">
      <c r="B94" s="1026" t="str">
        <f>IF(B92="","",VLOOKUP(B92,BoonRef!$A$2:$Z$900,24,FALSE))</f>
        <v/>
      </c>
      <c r="C94" s="727"/>
      <c r="D94" s="727"/>
      <c r="E94" s="727"/>
      <c r="F94" s="727"/>
      <c r="G94" s="727"/>
      <c r="H94" s="727"/>
      <c r="I94" s="727"/>
      <c r="J94" s="727"/>
      <c r="K94" s="727"/>
      <c r="L94" s="727"/>
      <c r="M94" s="727"/>
      <c r="N94" s="727"/>
      <c r="O94" s="727"/>
      <c r="P94" s="727"/>
      <c r="Q94" s="727"/>
      <c r="R94" s="727"/>
      <c r="S94" s="727"/>
      <c r="T94" s="727"/>
      <c r="U94" s="727"/>
      <c r="V94" s="727"/>
      <c r="W94" s="727"/>
      <c r="X94" s="727"/>
      <c r="Y94" s="727"/>
      <c r="Z94" s="728"/>
      <c r="AB94" s="1026" t="str">
        <f>IF(AB92="","",VLOOKUP(AB92,BoonRef!$A$2:$Z$900,24,FALSE))</f>
        <v/>
      </c>
      <c r="AC94" s="727"/>
      <c r="AD94" s="727"/>
      <c r="AE94" s="727"/>
      <c r="AF94" s="727"/>
      <c r="AG94" s="727"/>
      <c r="AH94" s="727"/>
      <c r="AI94" s="727"/>
      <c r="AJ94" s="727"/>
      <c r="AK94" s="727"/>
      <c r="AL94" s="727"/>
      <c r="AM94" s="727"/>
      <c r="AN94" s="727"/>
      <c r="AO94" s="727"/>
      <c r="AP94" s="727"/>
      <c r="AQ94" s="727"/>
      <c r="AR94" s="727"/>
      <c r="AS94" s="727"/>
      <c r="AT94" s="727"/>
      <c r="AU94" s="727"/>
      <c r="AV94" s="727"/>
      <c r="AW94" s="727"/>
      <c r="AX94" s="727"/>
      <c r="AY94" s="727"/>
      <c r="AZ94" s="728"/>
      <c r="BB94" s="641" t="str">
        <f>IF(BB92="","",VLOOKUP(BB92,KanckRef!$A$1:$G$300,4,FALSE))</f>
        <v/>
      </c>
      <c r="BC94" s="642"/>
      <c r="BD94" s="642"/>
      <c r="BE94" s="642"/>
      <c r="BF94" s="642"/>
      <c r="BG94" s="642"/>
      <c r="BH94" s="1033"/>
      <c r="BI94" s="753"/>
      <c r="BJ94" s="754"/>
      <c r="BK94" s="754"/>
      <c r="BL94" s="754"/>
      <c r="BM94" s="754"/>
      <c r="BN94" s="754"/>
      <c r="BO94" s="754"/>
      <c r="BP94" s="754"/>
      <c r="BQ94" s="754"/>
      <c r="BR94" s="754"/>
      <c r="BS94" s="754"/>
      <c r="BT94" s="754"/>
      <c r="BU94" s="754"/>
      <c r="BV94" s="754"/>
      <c r="BW94" s="754"/>
      <c r="BX94" s="754"/>
      <c r="BY94" s="754"/>
      <c r="BZ94" s="755"/>
      <c r="CB94" s="641" t="str">
        <f>IF(CB92="","",VLOOKUP(CB92,KanckRef!$A$1:$G$300,4,FALSE))</f>
        <v/>
      </c>
      <c r="CC94" s="642"/>
      <c r="CD94" s="642"/>
      <c r="CE94" s="642"/>
      <c r="CF94" s="642"/>
      <c r="CG94" s="642"/>
      <c r="CH94" s="1033"/>
      <c r="CI94" s="753"/>
      <c r="CJ94" s="754"/>
      <c r="CK94" s="754"/>
      <c r="CL94" s="754"/>
      <c r="CM94" s="754"/>
      <c r="CN94" s="754"/>
      <c r="CO94" s="754"/>
      <c r="CP94" s="754"/>
      <c r="CQ94" s="754"/>
      <c r="CR94" s="754"/>
      <c r="CS94" s="754"/>
      <c r="CT94" s="754"/>
      <c r="CU94" s="754"/>
      <c r="CV94" s="754"/>
      <c r="CW94" s="754"/>
      <c r="CX94" s="754"/>
      <c r="CY94" s="754"/>
      <c r="CZ94" s="755"/>
    </row>
    <row r="95" spans="1:104" ht="15" customHeight="1" x14ac:dyDescent="0.25">
      <c r="B95" s="1026" t="str">
        <f>IF(B92="","",VLOOKUP(B92,BoonRef!$A$2:$Z$900,23,FALSE))</f>
        <v/>
      </c>
      <c r="C95" s="727"/>
      <c r="D95" s="727"/>
      <c r="E95" s="727"/>
      <c r="F95" s="727"/>
      <c r="G95" s="727"/>
      <c r="H95" s="727"/>
      <c r="I95" s="727"/>
      <c r="J95" s="727"/>
      <c r="K95" s="727"/>
      <c r="L95" s="727"/>
      <c r="M95" s="727"/>
      <c r="N95" s="727"/>
      <c r="O95" s="727"/>
      <c r="P95" s="727"/>
      <c r="Q95" s="727"/>
      <c r="R95" s="727"/>
      <c r="S95" s="727"/>
      <c r="T95" s="727"/>
      <c r="U95" s="727"/>
      <c r="V95" s="727"/>
      <c r="W95" s="727"/>
      <c r="X95" s="727"/>
      <c r="Y95" s="727"/>
      <c r="Z95" s="728"/>
      <c r="AB95" s="1026" t="str">
        <f>IF(AB92="","",VLOOKUP(AB92,BoonRef!$A$2:$Z$900,23,FALSE))</f>
        <v/>
      </c>
      <c r="AC95" s="727"/>
      <c r="AD95" s="727"/>
      <c r="AE95" s="727"/>
      <c r="AF95" s="727"/>
      <c r="AG95" s="727"/>
      <c r="AH95" s="727"/>
      <c r="AI95" s="727"/>
      <c r="AJ95" s="727"/>
      <c r="AK95" s="727"/>
      <c r="AL95" s="727"/>
      <c r="AM95" s="727"/>
      <c r="AN95" s="727"/>
      <c r="AO95" s="727"/>
      <c r="AP95" s="727"/>
      <c r="AQ95" s="727"/>
      <c r="AR95" s="727"/>
      <c r="AS95" s="727"/>
      <c r="AT95" s="727"/>
      <c r="AU95" s="727"/>
      <c r="AV95" s="727"/>
      <c r="AW95" s="727"/>
      <c r="AX95" s="727"/>
      <c r="AY95" s="727"/>
      <c r="AZ95" s="728"/>
      <c r="BB95" s="635"/>
      <c r="BC95" s="636"/>
      <c r="BD95" s="636"/>
      <c r="BE95" s="636"/>
      <c r="BF95" s="636"/>
      <c r="BG95" s="636"/>
      <c r="BH95" s="1036"/>
      <c r="BI95" s="753"/>
      <c r="BJ95" s="754"/>
      <c r="BK95" s="754"/>
      <c r="BL95" s="754"/>
      <c r="BM95" s="754"/>
      <c r="BN95" s="754"/>
      <c r="BO95" s="754"/>
      <c r="BP95" s="754"/>
      <c r="BQ95" s="754"/>
      <c r="BR95" s="754"/>
      <c r="BS95" s="754"/>
      <c r="BT95" s="754"/>
      <c r="BU95" s="754"/>
      <c r="BV95" s="754"/>
      <c r="BW95" s="754"/>
      <c r="BX95" s="754"/>
      <c r="BY95" s="754"/>
      <c r="BZ95" s="755"/>
      <c r="CB95" s="635"/>
      <c r="CC95" s="636"/>
      <c r="CD95" s="636"/>
      <c r="CE95" s="636"/>
      <c r="CF95" s="636"/>
      <c r="CG95" s="636"/>
      <c r="CH95" s="1036"/>
      <c r="CI95" s="753"/>
      <c r="CJ95" s="754"/>
      <c r="CK95" s="754"/>
      <c r="CL95" s="754"/>
      <c r="CM95" s="754"/>
      <c r="CN95" s="754"/>
      <c r="CO95" s="754"/>
      <c r="CP95" s="754"/>
      <c r="CQ95" s="754"/>
      <c r="CR95" s="754"/>
      <c r="CS95" s="754"/>
      <c r="CT95" s="754"/>
      <c r="CU95" s="754"/>
      <c r="CV95" s="754"/>
      <c r="CW95" s="754"/>
      <c r="CX95" s="754"/>
      <c r="CY95" s="754"/>
      <c r="CZ95" s="755"/>
    </row>
    <row r="96" spans="1:104" ht="15" customHeight="1" thickBot="1" x14ac:dyDescent="0.3">
      <c r="B96" s="1027"/>
      <c r="C96" s="865"/>
      <c r="D96" s="865"/>
      <c r="E96" s="865"/>
      <c r="F96" s="865"/>
      <c r="G96" s="865"/>
      <c r="H96" s="865"/>
      <c r="I96" s="865"/>
      <c r="J96" s="865"/>
      <c r="K96" s="865"/>
      <c r="L96" s="865"/>
      <c r="M96" s="865"/>
      <c r="N96" s="865"/>
      <c r="O96" s="865"/>
      <c r="P96" s="865"/>
      <c r="Q96" s="865"/>
      <c r="R96" s="865"/>
      <c r="S96" s="865"/>
      <c r="T96" s="865"/>
      <c r="U96" s="865"/>
      <c r="V96" s="865"/>
      <c r="W96" s="865"/>
      <c r="X96" s="865"/>
      <c r="Y96" s="865"/>
      <c r="Z96" s="921"/>
      <c r="AB96" s="1027"/>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865"/>
      <c r="AY96" s="865"/>
      <c r="AZ96" s="921"/>
      <c r="BB96" s="644"/>
      <c r="BC96" s="645"/>
      <c r="BD96" s="645"/>
      <c r="BE96" s="645"/>
      <c r="BF96" s="645"/>
      <c r="BG96" s="645"/>
      <c r="BH96" s="1037"/>
      <c r="BI96" s="756"/>
      <c r="BJ96" s="757"/>
      <c r="BK96" s="757"/>
      <c r="BL96" s="757"/>
      <c r="BM96" s="757"/>
      <c r="BN96" s="757"/>
      <c r="BO96" s="757"/>
      <c r="BP96" s="757"/>
      <c r="BQ96" s="757"/>
      <c r="BR96" s="757"/>
      <c r="BS96" s="757"/>
      <c r="BT96" s="757"/>
      <c r="BU96" s="757"/>
      <c r="BV96" s="757"/>
      <c r="BW96" s="757"/>
      <c r="BX96" s="757"/>
      <c r="BY96" s="757"/>
      <c r="BZ96" s="758"/>
      <c r="CB96" s="644"/>
      <c r="CC96" s="645"/>
      <c r="CD96" s="645"/>
      <c r="CE96" s="645"/>
      <c r="CF96" s="645"/>
      <c r="CG96" s="645"/>
      <c r="CH96" s="1037"/>
      <c r="CI96" s="756"/>
      <c r="CJ96" s="757"/>
      <c r="CK96" s="757"/>
      <c r="CL96" s="757"/>
      <c r="CM96" s="757"/>
      <c r="CN96" s="757"/>
      <c r="CO96" s="757"/>
      <c r="CP96" s="757"/>
      <c r="CQ96" s="757"/>
      <c r="CR96" s="757"/>
      <c r="CS96" s="757"/>
      <c r="CT96" s="757"/>
      <c r="CU96" s="757"/>
      <c r="CV96" s="757"/>
      <c r="CW96" s="757"/>
      <c r="CX96" s="757"/>
      <c r="CY96" s="757"/>
      <c r="CZ96" s="758"/>
    </row>
    <row r="97" spans="1:104" ht="15" customHeight="1" x14ac:dyDescent="0.25">
      <c r="B97" s="1028" t="str">
        <f>IF(B98="","",VLOOKUP(B98,BoonRef!$A$2:$Z$900,2,FALSE))</f>
        <v/>
      </c>
      <c r="C97" s="725"/>
      <c r="D97" s="725"/>
      <c r="E97" s="725"/>
      <c r="F97" s="725"/>
      <c r="G97" s="725"/>
      <c r="H97" s="725"/>
      <c r="I97" s="725" t="str">
        <f>IF(B98="","",VLOOKUP(B98,BoonRef!$A$2:$Z$900,3,FALSE))</f>
        <v/>
      </c>
      <c r="J97" s="725"/>
      <c r="K97" s="725" t="str">
        <f>IF(B98="","",VLOOKUP(B98,DescRef!$A$2:$B$900,2,FALSE))</f>
        <v/>
      </c>
      <c r="L97" s="725"/>
      <c r="M97" s="725"/>
      <c r="N97" s="725"/>
      <c r="O97" s="725"/>
      <c r="P97" s="725"/>
      <c r="Q97" s="725"/>
      <c r="R97" s="725"/>
      <c r="S97" s="725"/>
      <c r="T97" s="725"/>
      <c r="U97" s="725"/>
      <c r="V97" s="725"/>
      <c r="W97" s="725"/>
      <c r="X97" s="725"/>
      <c r="Y97" s="725"/>
      <c r="Z97" s="726"/>
      <c r="AB97" s="1028" t="str">
        <f>IF(AB98="","",VLOOKUP(AB98,BoonRef!$A$2:$Z$900,2,FALSE))</f>
        <v/>
      </c>
      <c r="AC97" s="725"/>
      <c r="AD97" s="725"/>
      <c r="AE97" s="725"/>
      <c r="AF97" s="725"/>
      <c r="AG97" s="725"/>
      <c r="AH97" s="725"/>
      <c r="AI97" s="725" t="str">
        <f>IF(AB98="","",VLOOKUP(AB98,BoonRef!$A$2:$Z$900,3,FALSE))</f>
        <v/>
      </c>
      <c r="AJ97" s="725"/>
      <c r="AK97" s="725" t="str">
        <f>IF(AB98="","",VLOOKUP(AB98,DescRef!$A$2:$B$900,2,FALSE))</f>
        <v/>
      </c>
      <c r="AL97" s="725"/>
      <c r="AM97" s="725"/>
      <c r="AN97" s="725"/>
      <c r="AO97" s="725"/>
      <c r="AP97" s="725"/>
      <c r="AQ97" s="725"/>
      <c r="AR97" s="725"/>
      <c r="AS97" s="725"/>
      <c r="AT97" s="725"/>
      <c r="AU97" s="725"/>
      <c r="AV97" s="725"/>
      <c r="AW97" s="725"/>
      <c r="AX97" s="725"/>
      <c r="AY97" s="725"/>
      <c r="AZ97" s="726"/>
      <c r="BB97" s="1029" t="str">
        <f>IF(BB98="","",VLOOKUP(BB98,KanckRef!$A$1:$G$300,2,FALSE))</f>
        <v/>
      </c>
      <c r="BC97" s="1030"/>
      <c r="BD97" s="1030"/>
      <c r="BE97" s="1030"/>
      <c r="BF97" s="1031"/>
      <c r="BG97" s="1048" t="str">
        <f>IF(BB98="","",VLOOKUP(BB98,KanckRef!$A$1:$G$300,6,FALSE))</f>
        <v/>
      </c>
      <c r="BH97" s="1049"/>
      <c r="BI97" s="988" t="str">
        <f>IF(BB98="","",VLOOKUP(BB98,DescRef!$D$2:$E$300,2,FALSE))</f>
        <v/>
      </c>
      <c r="BJ97" s="795"/>
      <c r="BK97" s="795"/>
      <c r="BL97" s="795"/>
      <c r="BM97" s="795"/>
      <c r="BN97" s="795"/>
      <c r="BO97" s="795"/>
      <c r="BP97" s="795"/>
      <c r="BQ97" s="795"/>
      <c r="BR97" s="795"/>
      <c r="BS97" s="795"/>
      <c r="BT97" s="795"/>
      <c r="BU97" s="795"/>
      <c r="BV97" s="795"/>
      <c r="BW97" s="795"/>
      <c r="BX97" s="795"/>
      <c r="BY97" s="795"/>
      <c r="BZ97" s="796"/>
      <c r="CB97" s="1029" t="str">
        <f>IF(CB98="","",VLOOKUP(CB98,KanckRef!$A$1:$G$300,2,FALSE))</f>
        <v/>
      </c>
      <c r="CC97" s="1030"/>
      <c r="CD97" s="1030"/>
      <c r="CE97" s="1030"/>
      <c r="CF97" s="1031"/>
      <c r="CG97" s="1048" t="str">
        <f>IF(CB98="","",VLOOKUP(CB98,KanckRef!$A$1:$G$300,6,FALSE))</f>
        <v/>
      </c>
      <c r="CH97" s="1049"/>
      <c r="CI97" s="988" t="str">
        <f>IF(CB98="","",VLOOKUP(CB98,DescRef!$D$2:$E$300,2,FALSE))</f>
        <v/>
      </c>
      <c r="CJ97" s="795"/>
      <c r="CK97" s="795"/>
      <c r="CL97" s="795"/>
      <c r="CM97" s="795"/>
      <c r="CN97" s="795"/>
      <c r="CO97" s="795"/>
      <c r="CP97" s="795"/>
      <c r="CQ97" s="795"/>
      <c r="CR97" s="795"/>
      <c r="CS97" s="795"/>
      <c r="CT97" s="795"/>
      <c r="CU97" s="795"/>
      <c r="CV97" s="795"/>
      <c r="CW97" s="795"/>
      <c r="CX97" s="795"/>
      <c r="CY97" s="795"/>
      <c r="CZ97" s="796"/>
    </row>
    <row r="98" spans="1:104" ht="15" customHeight="1" x14ac:dyDescent="0.25">
      <c r="A98" s="15">
        <v>16</v>
      </c>
      <c r="B98" s="1026" t="str">
        <f>IF(A98&lt;'Purchased Boons'!$B$496,VLOOKUP(A98,'Purchased Boons'!$BF$2:$BG$900,2,FALSE),"")</f>
        <v/>
      </c>
      <c r="C98" s="727"/>
      <c r="D98" s="727"/>
      <c r="E98" s="727"/>
      <c r="F98" s="727"/>
      <c r="G98" s="727"/>
      <c r="H98" s="727"/>
      <c r="I98" s="727" t="str">
        <f>IF(B98="","",VLOOKUP(B98,BoonRef!$A$2:$Z$900,25,FALSE))</f>
        <v/>
      </c>
      <c r="J98" s="727"/>
      <c r="K98" s="727"/>
      <c r="L98" s="727"/>
      <c r="M98" s="727"/>
      <c r="N98" s="727"/>
      <c r="O98" s="727"/>
      <c r="P98" s="727"/>
      <c r="Q98" s="727"/>
      <c r="R98" s="727"/>
      <c r="S98" s="727"/>
      <c r="T98" s="727"/>
      <c r="U98" s="727"/>
      <c r="V98" s="727"/>
      <c r="W98" s="727"/>
      <c r="X98" s="727"/>
      <c r="Y98" s="727"/>
      <c r="Z98" s="728"/>
      <c r="AA98" s="15">
        <v>123</v>
      </c>
      <c r="AB98" s="1026" t="str">
        <f>IF(AA98&lt;'Purchased Boons'!$B$496,VLOOKUP(AA98,'Purchased Boons'!$BF$2:$BG$900,2,FALSE),"")</f>
        <v/>
      </c>
      <c r="AC98" s="727"/>
      <c r="AD98" s="727"/>
      <c r="AE98" s="727"/>
      <c r="AF98" s="727"/>
      <c r="AG98" s="727"/>
      <c r="AH98" s="727"/>
      <c r="AI98" s="727" t="str">
        <f>IF(AB98="","",VLOOKUP(AB98,BoonRef!$A$2:$Z$900,25,FALSE))</f>
        <v/>
      </c>
      <c r="AJ98" s="727"/>
      <c r="AK98" s="727"/>
      <c r="AL98" s="727"/>
      <c r="AM98" s="727"/>
      <c r="AN98" s="727"/>
      <c r="AO98" s="727"/>
      <c r="AP98" s="727"/>
      <c r="AQ98" s="727"/>
      <c r="AR98" s="727"/>
      <c r="AS98" s="727"/>
      <c r="AT98" s="727"/>
      <c r="AU98" s="727"/>
      <c r="AV98" s="727"/>
      <c r="AW98" s="727"/>
      <c r="AX98" s="727"/>
      <c r="AY98" s="727"/>
      <c r="AZ98" s="728"/>
      <c r="BA98" s="15">
        <v>16</v>
      </c>
      <c r="BB98" s="1038" t="str">
        <f>IF(BA98&lt;'Purchased Knacks'!A$192,VLOOKUP(BA98,'Purchased Knacks'!$A$4:$E$300,3,FALSE),"")</f>
        <v/>
      </c>
      <c r="BC98" s="1039"/>
      <c r="BD98" s="1039"/>
      <c r="BE98" s="1039"/>
      <c r="BF98" s="1040"/>
      <c r="BG98" s="1032" t="str">
        <f>IF(BB98="","",VLOOKUP(BB98,KanckRef!$A$1:$G$300,7,FALSE))</f>
        <v/>
      </c>
      <c r="BH98" s="1033"/>
      <c r="BI98" s="753"/>
      <c r="BJ98" s="754"/>
      <c r="BK98" s="754"/>
      <c r="BL98" s="754"/>
      <c r="BM98" s="754"/>
      <c r="BN98" s="754"/>
      <c r="BO98" s="754"/>
      <c r="BP98" s="754"/>
      <c r="BQ98" s="754"/>
      <c r="BR98" s="754"/>
      <c r="BS98" s="754"/>
      <c r="BT98" s="754"/>
      <c r="BU98" s="754"/>
      <c r="BV98" s="754"/>
      <c r="BW98" s="754"/>
      <c r="BX98" s="754"/>
      <c r="BY98" s="754"/>
      <c r="BZ98" s="755"/>
      <c r="CA98" s="15">
        <v>123</v>
      </c>
      <c r="CB98" s="1038" t="str">
        <f>IF(CA98&lt;'Purchased Knacks'!A$192,VLOOKUP(CA98,'Purchased Knacks'!$A$4:$E$300,3,FALSE),"")</f>
        <v/>
      </c>
      <c r="CC98" s="1039"/>
      <c r="CD98" s="1039"/>
      <c r="CE98" s="1039"/>
      <c r="CF98" s="1040"/>
      <c r="CG98" s="1032" t="str">
        <f>IF(CB98="","",VLOOKUP(CB98,KanckRef!$A$1:$G$300,7,FALSE))</f>
        <v/>
      </c>
      <c r="CH98" s="1033"/>
      <c r="CI98" s="753"/>
      <c r="CJ98" s="754"/>
      <c r="CK98" s="754"/>
      <c r="CL98" s="754"/>
      <c r="CM98" s="754"/>
      <c r="CN98" s="754"/>
      <c r="CO98" s="754"/>
      <c r="CP98" s="754"/>
      <c r="CQ98" s="754"/>
      <c r="CR98" s="754"/>
      <c r="CS98" s="754"/>
      <c r="CT98" s="754"/>
      <c r="CU98" s="754"/>
      <c r="CV98" s="754"/>
      <c r="CW98" s="754"/>
      <c r="CX98" s="754"/>
      <c r="CY98" s="754"/>
      <c r="CZ98" s="755"/>
    </row>
    <row r="99" spans="1:104" ht="15" customHeight="1" x14ac:dyDescent="0.25">
      <c r="B99" s="1026"/>
      <c r="C99" s="727"/>
      <c r="D99" s="727"/>
      <c r="E99" s="727"/>
      <c r="F99" s="727"/>
      <c r="G99" s="727"/>
      <c r="H99" s="727"/>
      <c r="I99" s="727" t="str">
        <f>IF(B98="","",VLOOKUP(B98,BoonRef!$A$2:$Z$900,26,FALSE))</f>
        <v/>
      </c>
      <c r="J99" s="727"/>
      <c r="K99" s="727"/>
      <c r="L99" s="727"/>
      <c r="M99" s="727"/>
      <c r="N99" s="727"/>
      <c r="O99" s="727"/>
      <c r="P99" s="727"/>
      <c r="Q99" s="727"/>
      <c r="R99" s="727"/>
      <c r="S99" s="727"/>
      <c r="T99" s="727"/>
      <c r="U99" s="727"/>
      <c r="V99" s="727"/>
      <c r="W99" s="727"/>
      <c r="X99" s="727"/>
      <c r="Y99" s="727"/>
      <c r="Z99" s="728"/>
      <c r="AB99" s="1026"/>
      <c r="AC99" s="727"/>
      <c r="AD99" s="727"/>
      <c r="AE99" s="727"/>
      <c r="AF99" s="727"/>
      <c r="AG99" s="727"/>
      <c r="AH99" s="727"/>
      <c r="AI99" s="727" t="str">
        <f>IF(AB98="","",VLOOKUP(AB98,BoonRef!$A$2:$Z$900,26,FALSE))</f>
        <v/>
      </c>
      <c r="AJ99" s="727"/>
      <c r="AK99" s="727"/>
      <c r="AL99" s="727"/>
      <c r="AM99" s="727"/>
      <c r="AN99" s="727"/>
      <c r="AO99" s="727"/>
      <c r="AP99" s="727"/>
      <c r="AQ99" s="727"/>
      <c r="AR99" s="727"/>
      <c r="AS99" s="727"/>
      <c r="AT99" s="727"/>
      <c r="AU99" s="727"/>
      <c r="AV99" s="727"/>
      <c r="AW99" s="727"/>
      <c r="AX99" s="727"/>
      <c r="AY99" s="727"/>
      <c r="AZ99" s="728"/>
      <c r="BB99" s="1041"/>
      <c r="BC99" s="1042"/>
      <c r="BD99" s="1042"/>
      <c r="BE99" s="1042"/>
      <c r="BF99" s="1043"/>
      <c r="BG99" s="1034"/>
      <c r="BH99" s="1035"/>
      <c r="BI99" s="753"/>
      <c r="BJ99" s="754"/>
      <c r="BK99" s="754"/>
      <c r="BL99" s="754"/>
      <c r="BM99" s="754"/>
      <c r="BN99" s="754"/>
      <c r="BO99" s="754"/>
      <c r="BP99" s="754"/>
      <c r="BQ99" s="754"/>
      <c r="BR99" s="754"/>
      <c r="BS99" s="754"/>
      <c r="BT99" s="754"/>
      <c r="BU99" s="754"/>
      <c r="BV99" s="754"/>
      <c r="BW99" s="754"/>
      <c r="BX99" s="754"/>
      <c r="BY99" s="754"/>
      <c r="BZ99" s="755"/>
      <c r="CB99" s="1041"/>
      <c r="CC99" s="1042"/>
      <c r="CD99" s="1042"/>
      <c r="CE99" s="1042"/>
      <c r="CF99" s="1043"/>
      <c r="CG99" s="1034"/>
      <c r="CH99" s="1035"/>
      <c r="CI99" s="753"/>
      <c r="CJ99" s="754"/>
      <c r="CK99" s="754"/>
      <c r="CL99" s="754"/>
      <c r="CM99" s="754"/>
      <c r="CN99" s="754"/>
      <c r="CO99" s="754"/>
      <c r="CP99" s="754"/>
      <c r="CQ99" s="754"/>
      <c r="CR99" s="754"/>
      <c r="CS99" s="754"/>
      <c r="CT99" s="754"/>
      <c r="CU99" s="754"/>
      <c r="CV99" s="754"/>
      <c r="CW99" s="754"/>
      <c r="CX99" s="754"/>
      <c r="CY99" s="754"/>
      <c r="CZ99" s="755"/>
    </row>
    <row r="100" spans="1:104" ht="15" customHeight="1" x14ac:dyDescent="0.25">
      <c r="B100" s="1026" t="str">
        <f>IF(B98="","",VLOOKUP(B98,BoonRef!$A$2:$Z$900,24,FALSE))</f>
        <v/>
      </c>
      <c r="C100" s="727"/>
      <c r="D100" s="727"/>
      <c r="E100" s="727"/>
      <c r="F100" s="727"/>
      <c r="G100" s="727"/>
      <c r="H100" s="727"/>
      <c r="I100" s="727"/>
      <c r="J100" s="727"/>
      <c r="K100" s="727"/>
      <c r="L100" s="727"/>
      <c r="M100" s="727"/>
      <c r="N100" s="727"/>
      <c r="O100" s="727"/>
      <c r="P100" s="727"/>
      <c r="Q100" s="727"/>
      <c r="R100" s="727"/>
      <c r="S100" s="727"/>
      <c r="T100" s="727"/>
      <c r="U100" s="727"/>
      <c r="V100" s="727"/>
      <c r="W100" s="727"/>
      <c r="X100" s="727"/>
      <c r="Y100" s="727"/>
      <c r="Z100" s="728"/>
      <c r="AB100" s="1026" t="str">
        <f>IF(AB98="","",VLOOKUP(AB98,BoonRef!$A$2:$Z$900,24,FALSE))</f>
        <v/>
      </c>
      <c r="AC100" s="727"/>
      <c r="AD100" s="727"/>
      <c r="AE100" s="727"/>
      <c r="AF100" s="727"/>
      <c r="AG100" s="727"/>
      <c r="AH100" s="727"/>
      <c r="AI100" s="727"/>
      <c r="AJ100" s="727"/>
      <c r="AK100" s="727"/>
      <c r="AL100" s="727"/>
      <c r="AM100" s="727"/>
      <c r="AN100" s="727"/>
      <c r="AO100" s="727"/>
      <c r="AP100" s="727"/>
      <c r="AQ100" s="727"/>
      <c r="AR100" s="727"/>
      <c r="AS100" s="727"/>
      <c r="AT100" s="727"/>
      <c r="AU100" s="727"/>
      <c r="AV100" s="727"/>
      <c r="AW100" s="727"/>
      <c r="AX100" s="727"/>
      <c r="AY100" s="727"/>
      <c r="AZ100" s="728"/>
      <c r="BB100" s="641" t="str">
        <f>IF(BB98="","",VLOOKUP(BB98,KanckRef!$A$1:$G$300,4,FALSE))</f>
        <v/>
      </c>
      <c r="BC100" s="642"/>
      <c r="BD100" s="642"/>
      <c r="BE100" s="642"/>
      <c r="BF100" s="642"/>
      <c r="BG100" s="642"/>
      <c r="BH100" s="1033"/>
      <c r="BI100" s="753"/>
      <c r="BJ100" s="754"/>
      <c r="BK100" s="754"/>
      <c r="BL100" s="754"/>
      <c r="BM100" s="754"/>
      <c r="BN100" s="754"/>
      <c r="BO100" s="754"/>
      <c r="BP100" s="754"/>
      <c r="BQ100" s="754"/>
      <c r="BR100" s="754"/>
      <c r="BS100" s="754"/>
      <c r="BT100" s="754"/>
      <c r="BU100" s="754"/>
      <c r="BV100" s="754"/>
      <c r="BW100" s="754"/>
      <c r="BX100" s="754"/>
      <c r="BY100" s="754"/>
      <c r="BZ100" s="755"/>
      <c r="CB100" s="641" t="str">
        <f>IF(CB98="","",VLOOKUP(CB98,KanckRef!$A$1:$G$300,4,FALSE))</f>
        <v/>
      </c>
      <c r="CC100" s="642"/>
      <c r="CD100" s="642"/>
      <c r="CE100" s="642"/>
      <c r="CF100" s="642"/>
      <c r="CG100" s="642"/>
      <c r="CH100" s="1033"/>
      <c r="CI100" s="753"/>
      <c r="CJ100" s="754"/>
      <c r="CK100" s="754"/>
      <c r="CL100" s="754"/>
      <c r="CM100" s="754"/>
      <c r="CN100" s="754"/>
      <c r="CO100" s="754"/>
      <c r="CP100" s="754"/>
      <c r="CQ100" s="754"/>
      <c r="CR100" s="754"/>
      <c r="CS100" s="754"/>
      <c r="CT100" s="754"/>
      <c r="CU100" s="754"/>
      <c r="CV100" s="754"/>
      <c r="CW100" s="754"/>
      <c r="CX100" s="754"/>
      <c r="CY100" s="754"/>
      <c r="CZ100" s="755"/>
    </row>
    <row r="101" spans="1:104" ht="15" customHeight="1" x14ac:dyDescent="0.25">
      <c r="B101" s="1026" t="str">
        <f>IF(B98="","",VLOOKUP(B98,BoonRef!$A$2:$Z$900,23,FALSE))</f>
        <v/>
      </c>
      <c r="C101" s="727"/>
      <c r="D101" s="727"/>
      <c r="E101" s="727"/>
      <c r="F101" s="727"/>
      <c r="G101" s="727"/>
      <c r="H101" s="727"/>
      <c r="I101" s="727"/>
      <c r="J101" s="727"/>
      <c r="K101" s="727"/>
      <c r="L101" s="727"/>
      <c r="M101" s="727"/>
      <c r="N101" s="727"/>
      <c r="O101" s="727"/>
      <c r="P101" s="727"/>
      <c r="Q101" s="727"/>
      <c r="R101" s="727"/>
      <c r="S101" s="727"/>
      <c r="T101" s="727"/>
      <c r="U101" s="727"/>
      <c r="V101" s="727"/>
      <c r="W101" s="727"/>
      <c r="X101" s="727"/>
      <c r="Y101" s="727"/>
      <c r="Z101" s="728"/>
      <c r="AB101" s="1026" t="str">
        <f>IF(AB98="","",VLOOKUP(AB98,BoonRef!$A$2:$Z$900,23,FALSE))</f>
        <v/>
      </c>
      <c r="AC101" s="727"/>
      <c r="AD101" s="727"/>
      <c r="AE101" s="727"/>
      <c r="AF101" s="727"/>
      <c r="AG101" s="727"/>
      <c r="AH101" s="727"/>
      <c r="AI101" s="727"/>
      <c r="AJ101" s="727"/>
      <c r="AK101" s="727"/>
      <c r="AL101" s="727"/>
      <c r="AM101" s="727"/>
      <c r="AN101" s="727"/>
      <c r="AO101" s="727"/>
      <c r="AP101" s="727"/>
      <c r="AQ101" s="727"/>
      <c r="AR101" s="727"/>
      <c r="AS101" s="727"/>
      <c r="AT101" s="727"/>
      <c r="AU101" s="727"/>
      <c r="AV101" s="727"/>
      <c r="AW101" s="727"/>
      <c r="AX101" s="727"/>
      <c r="AY101" s="727"/>
      <c r="AZ101" s="728"/>
      <c r="BB101" s="635"/>
      <c r="BC101" s="636"/>
      <c r="BD101" s="636"/>
      <c r="BE101" s="636"/>
      <c r="BF101" s="636"/>
      <c r="BG101" s="636"/>
      <c r="BH101" s="1036"/>
      <c r="BI101" s="753"/>
      <c r="BJ101" s="754"/>
      <c r="BK101" s="754"/>
      <c r="BL101" s="754"/>
      <c r="BM101" s="754"/>
      <c r="BN101" s="754"/>
      <c r="BO101" s="754"/>
      <c r="BP101" s="754"/>
      <c r="BQ101" s="754"/>
      <c r="BR101" s="754"/>
      <c r="BS101" s="754"/>
      <c r="BT101" s="754"/>
      <c r="BU101" s="754"/>
      <c r="BV101" s="754"/>
      <c r="BW101" s="754"/>
      <c r="BX101" s="754"/>
      <c r="BY101" s="754"/>
      <c r="BZ101" s="755"/>
      <c r="CB101" s="635"/>
      <c r="CC101" s="636"/>
      <c r="CD101" s="636"/>
      <c r="CE101" s="636"/>
      <c r="CF101" s="636"/>
      <c r="CG101" s="636"/>
      <c r="CH101" s="1036"/>
      <c r="CI101" s="753"/>
      <c r="CJ101" s="754"/>
      <c r="CK101" s="754"/>
      <c r="CL101" s="754"/>
      <c r="CM101" s="754"/>
      <c r="CN101" s="754"/>
      <c r="CO101" s="754"/>
      <c r="CP101" s="754"/>
      <c r="CQ101" s="754"/>
      <c r="CR101" s="754"/>
      <c r="CS101" s="754"/>
      <c r="CT101" s="754"/>
      <c r="CU101" s="754"/>
      <c r="CV101" s="754"/>
      <c r="CW101" s="754"/>
      <c r="CX101" s="754"/>
      <c r="CY101" s="754"/>
      <c r="CZ101" s="755"/>
    </row>
    <row r="102" spans="1:104" ht="15" customHeight="1" thickBot="1" x14ac:dyDescent="0.3">
      <c r="B102" s="1027"/>
      <c r="C102" s="865"/>
      <c r="D102" s="865"/>
      <c r="E102" s="865"/>
      <c r="F102" s="865"/>
      <c r="G102" s="865"/>
      <c r="H102" s="865"/>
      <c r="I102" s="865"/>
      <c r="J102" s="865"/>
      <c r="K102" s="865"/>
      <c r="L102" s="865"/>
      <c r="M102" s="865"/>
      <c r="N102" s="865"/>
      <c r="O102" s="865"/>
      <c r="P102" s="865"/>
      <c r="Q102" s="865"/>
      <c r="R102" s="865"/>
      <c r="S102" s="865"/>
      <c r="T102" s="865"/>
      <c r="U102" s="865"/>
      <c r="V102" s="865"/>
      <c r="W102" s="865"/>
      <c r="X102" s="865"/>
      <c r="Y102" s="865"/>
      <c r="Z102" s="921"/>
      <c r="AB102" s="1027"/>
      <c r="AC102" s="865"/>
      <c r="AD102" s="865"/>
      <c r="AE102" s="865"/>
      <c r="AF102" s="865"/>
      <c r="AG102" s="865"/>
      <c r="AH102" s="865"/>
      <c r="AI102" s="865"/>
      <c r="AJ102" s="865"/>
      <c r="AK102" s="865"/>
      <c r="AL102" s="865"/>
      <c r="AM102" s="865"/>
      <c r="AN102" s="865"/>
      <c r="AO102" s="865"/>
      <c r="AP102" s="865"/>
      <c r="AQ102" s="865"/>
      <c r="AR102" s="865"/>
      <c r="AS102" s="865"/>
      <c r="AT102" s="865"/>
      <c r="AU102" s="865"/>
      <c r="AV102" s="865"/>
      <c r="AW102" s="865"/>
      <c r="AX102" s="865"/>
      <c r="AY102" s="865"/>
      <c r="AZ102" s="921"/>
      <c r="BB102" s="644"/>
      <c r="BC102" s="645"/>
      <c r="BD102" s="645"/>
      <c r="BE102" s="645"/>
      <c r="BF102" s="645"/>
      <c r="BG102" s="645"/>
      <c r="BH102" s="1037"/>
      <c r="BI102" s="756"/>
      <c r="BJ102" s="757"/>
      <c r="BK102" s="757"/>
      <c r="BL102" s="757"/>
      <c r="BM102" s="757"/>
      <c r="BN102" s="757"/>
      <c r="BO102" s="757"/>
      <c r="BP102" s="757"/>
      <c r="BQ102" s="757"/>
      <c r="BR102" s="757"/>
      <c r="BS102" s="757"/>
      <c r="BT102" s="757"/>
      <c r="BU102" s="757"/>
      <c r="BV102" s="757"/>
      <c r="BW102" s="757"/>
      <c r="BX102" s="757"/>
      <c r="BY102" s="757"/>
      <c r="BZ102" s="758"/>
      <c r="CB102" s="644"/>
      <c r="CC102" s="645"/>
      <c r="CD102" s="645"/>
      <c r="CE102" s="645"/>
      <c r="CF102" s="645"/>
      <c r="CG102" s="645"/>
      <c r="CH102" s="1037"/>
      <c r="CI102" s="756"/>
      <c r="CJ102" s="757"/>
      <c r="CK102" s="757"/>
      <c r="CL102" s="757"/>
      <c r="CM102" s="757"/>
      <c r="CN102" s="757"/>
      <c r="CO102" s="757"/>
      <c r="CP102" s="757"/>
      <c r="CQ102" s="757"/>
      <c r="CR102" s="757"/>
      <c r="CS102" s="757"/>
      <c r="CT102" s="757"/>
      <c r="CU102" s="757"/>
      <c r="CV102" s="757"/>
      <c r="CW102" s="757"/>
      <c r="CX102" s="757"/>
      <c r="CY102" s="757"/>
      <c r="CZ102" s="758"/>
    </row>
    <row r="103" spans="1:104" ht="15" customHeight="1" x14ac:dyDescent="0.25">
      <c r="B103" s="1028" t="str">
        <f>IF(B104="","",VLOOKUP(B104,BoonRef!$A$2:$Z$900,2,FALSE))</f>
        <v/>
      </c>
      <c r="C103" s="725"/>
      <c r="D103" s="725"/>
      <c r="E103" s="725"/>
      <c r="F103" s="725"/>
      <c r="G103" s="725"/>
      <c r="H103" s="725"/>
      <c r="I103" s="725" t="str">
        <f>IF(B104="","",VLOOKUP(B104,BoonRef!$A$2:$Z$900,3,FALSE))</f>
        <v/>
      </c>
      <c r="J103" s="725"/>
      <c r="K103" s="725" t="str">
        <f>IF(B104="","",VLOOKUP(B104,DescRef!$A$2:$B$900,2,FALSE))</f>
        <v/>
      </c>
      <c r="L103" s="725"/>
      <c r="M103" s="725"/>
      <c r="N103" s="725"/>
      <c r="O103" s="725"/>
      <c r="P103" s="725"/>
      <c r="Q103" s="725"/>
      <c r="R103" s="725"/>
      <c r="S103" s="725"/>
      <c r="T103" s="725"/>
      <c r="U103" s="725"/>
      <c r="V103" s="725"/>
      <c r="W103" s="725"/>
      <c r="X103" s="725"/>
      <c r="Y103" s="725"/>
      <c r="Z103" s="726"/>
      <c r="AB103" s="1028" t="str">
        <f>IF(AB104="","",VLOOKUP(AB104,BoonRef!$A$2:$Z$900,2,FALSE))</f>
        <v/>
      </c>
      <c r="AC103" s="725"/>
      <c r="AD103" s="725"/>
      <c r="AE103" s="725"/>
      <c r="AF103" s="725"/>
      <c r="AG103" s="725"/>
      <c r="AH103" s="725"/>
      <c r="AI103" s="725" t="str">
        <f>IF(AB104="","",VLOOKUP(AB104,BoonRef!$A$2:$Z$900,3,FALSE))</f>
        <v/>
      </c>
      <c r="AJ103" s="725"/>
      <c r="AK103" s="725" t="str">
        <f>IF(AB104="","",VLOOKUP(AB104,DescRef!$A$2:$B$900,2,FALSE))</f>
        <v/>
      </c>
      <c r="AL103" s="725"/>
      <c r="AM103" s="725"/>
      <c r="AN103" s="725"/>
      <c r="AO103" s="725"/>
      <c r="AP103" s="725"/>
      <c r="AQ103" s="725"/>
      <c r="AR103" s="725"/>
      <c r="AS103" s="725"/>
      <c r="AT103" s="725"/>
      <c r="AU103" s="725"/>
      <c r="AV103" s="725"/>
      <c r="AW103" s="725"/>
      <c r="AX103" s="725"/>
      <c r="AY103" s="725"/>
      <c r="AZ103" s="726"/>
      <c r="BB103" s="1029" t="str">
        <f>IF(BB104="","",VLOOKUP(BB104,KanckRef!$A$1:$G$300,2,FALSE))</f>
        <v/>
      </c>
      <c r="BC103" s="1030"/>
      <c r="BD103" s="1030"/>
      <c r="BE103" s="1030"/>
      <c r="BF103" s="1031"/>
      <c r="BG103" s="1048" t="str">
        <f>IF(BB104="","",VLOOKUP(BB104,KanckRef!$A$1:$G$300,6,FALSE))</f>
        <v/>
      </c>
      <c r="BH103" s="1049"/>
      <c r="BI103" s="988" t="str">
        <f>IF(BB104="","",VLOOKUP(BB104,DescRef!$D$2:$E$300,2,FALSE))</f>
        <v/>
      </c>
      <c r="BJ103" s="795"/>
      <c r="BK103" s="795"/>
      <c r="BL103" s="795"/>
      <c r="BM103" s="795"/>
      <c r="BN103" s="795"/>
      <c r="BO103" s="795"/>
      <c r="BP103" s="795"/>
      <c r="BQ103" s="795"/>
      <c r="BR103" s="795"/>
      <c r="BS103" s="795"/>
      <c r="BT103" s="795"/>
      <c r="BU103" s="795"/>
      <c r="BV103" s="795"/>
      <c r="BW103" s="795"/>
      <c r="BX103" s="795"/>
      <c r="BY103" s="795"/>
      <c r="BZ103" s="796"/>
      <c r="CB103" s="1029" t="str">
        <f>IF(CB104="","",VLOOKUP(CB104,KanckRef!$A$1:$G$300,2,FALSE))</f>
        <v/>
      </c>
      <c r="CC103" s="1030"/>
      <c r="CD103" s="1030"/>
      <c r="CE103" s="1030"/>
      <c r="CF103" s="1031"/>
      <c r="CG103" s="1048" t="str">
        <f>IF(CB104="","",VLOOKUP(CB104,KanckRef!$A$1:$G$300,6,FALSE))</f>
        <v/>
      </c>
      <c r="CH103" s="1049"/>
      <c r="CI103" s="988" t="str">
        <f>IF(CB104="","",VLOOKUP(CB104,DescRef!$D$2:$E$300,2,FALSE))</f>
        <v/>
      </c>
      <c r="CJ103" s="795"/>
      <c r="CK103" s="795"/>
      <c r="CL103" s="795"/>
      <c r="CM103" s="795"/>
      <c r="CN103" s="795"/>
      <c r="CO103" s="795"/>
      <c r="CP103" s="795"/>
      <c r="CQ103" s="795"/>
      <c r="CR103" s="795"/>
      <c r="CS103" s="795"/>
      <c r="CT103" s="795"/>
      <c r="CU103" s="795"/>
      <c r="CV103" s="795"/>
      <c r="CW103" s="795"/>
      <c r="CX103" s="795"/>
      <c r="CY103" s="795"/>
      <c r="CZ103" s="796"/>
    </row>
    <row r="104" spans="1:104" ht="15" customHeight="1" x14ac:dyDescent="0.25">
      <c r="A104" s="15">
        <v>17</v>
      </c>
      <c r="B104" s="1026" t="str">
        <f>IF(A104&lt;'Purchased Boons'!$B$496,VLOOKUP(A104,'Purchased Boons'!$BF$2:$BG$900,2,FALSE),"")</f>
        <v/>
      </c>
      <c r="C104" s="727"/>
      <c r="D104" s="727"/>
      <c r="E104" s="727"/>
      <c r="F104" s="727"/>
      <c r="G104" s="727"/>
      <c r="H104" s="727"/>
      <c r="I104" s="727" t="str">
        <f>IF(B104="","",VLOOKUP(B104,BoonRef!$A$2:$Z$900,25,FALSE))</f>
        <v/>
      </c>
      <c r="J104" s="727"/>
      <c r="K104" s="727"/>
      <c r="L104" s="727"/>
      <c r="M104" s="727"/>
      <c r="N104" s="727"/>
      <c r="O104" s="727"/>
      <c r="P104" s="727"/>
      <c r="Q104" s="727"/>
      <c r="R104" s="727"/>
      <c r="S104" s="727"/>
      <c r="T104" s="727"/>
      <c r="U104" s="727"/>
      <c r="V104" s="727"/>
      <c r="W104" s="727"/>
      <c r="X104" s="727"/>
      <c r="Y104" s="727"/>
      <c r="Z104" s="728"/>
      <c r="AA104" s="15">
        <v>124</v>
      </c>
      <c r="AB104" s="1026" t="str">
        <f>IF(AA104&lt;'Purchased Boons'!$B$496,VLOOKUP(AA104,'Purchased Boons'!$BF$2:$BG$900,2,FALSE),"")</f>
        <v/>
      </c>
      <c r="AC104" s="727"/>
      <c r="AD104" s="727"/>
      <c r="AE104" s="727"/>
      <c r="AF104" s="727"/>
      <c r="AG104" s="727"/>
      <c r="AH104" s="727"/>
      <c r="AI104" s="727" t="str">
        <f>IF(AB104="","",VLOOKUP(AB104,BoonRef!$A$2:$Z$900,25,FALSE))</f>
        <v/>
      </c>
      <c r="AJ104" s="727"/>
      <c r="AK104" s="727"/>
      <c r="AL104" s="727"/>
      <c r="AM104" s="727"/>
      <c r="AN104" s="727"/>
      <c r="AO104" s="727"/>
      <c r="AP104" s="727"/>
      <c r="AQ104" s="727"/>
      <c r="AR104" s="727"/>
      <c r="AS104" s="727"/>
      <c r="AT104" s="727"/>
      <c r="AU104" s="727"/>
      <c r="AV104" s="727"/>
      <c r="AW104" s="727"/>
      <c r="AX104" s="727"/>
      <c r="AY104" s="727"/>
      <c r="AZ104" s="728"/>
      <c r="BA104" s="15">
        <v>17</v>
      </c>
      <c r="BB104" s="1038" t="str">
        <f>IF(BA104&lt;'Purchased Knacks'!A$192,VLOOKUP(BA104,'Purchased Knacks'!$A$4:$E$300,3,FALSE),"")</f>
        <v/>
      </c>
      <c r="BC104" s="1039"/>
      <c r="BD104" s="1039"/>
      <c r="BE104" s="1039"/>
      <c r="BF104" s="1040"/>
      <c r="BG104" s="1032" t="str">
        <f>IF(BB104="","",VLOOKUP(BB104,KanckRef!$A$1:$G$300,7,FALSE))</f>
        <v/>
      </c>
      <c r="BH104" s="1033"/>
      <c r="BI104" s="753"/>
      <c r="BJ104" s="754"/>
      <c r="BK104" s="754"/>
      <c r="BL104" s="754"/>
      <c r="BM104" s="754"/>
      <c r="BN104" s="754"/>
      <c r="BO104" s="754"/>
      <c r="BP104" s="754"/>
      <c r="BQ104" s="754"/>
      <c r="BR104" s="754"/>
      <c r="BS104" s="754"/>
      <c r="BT104" s="754"/>
      <c r="BU104" s="754"/>
      <c r="BV104" s="754"/>
      <c r="BW104" s="754"/>
      <c r="BX104" s="754"/>
      <c r="BY104" s="754"/>
      <c r="BZ104" s="755"/>
      <c r="CA104" s="15">
        <v>124</v>
      </c>
      <c r="CB104" s="1038" t="str">
        <f>IF(CA104&lt;'Purchased Knacks'!A$192,VLOOKUP(CA104,'Purchased Knacks'!$A$4:$E$300,3,FALSE),"")</f>
        <v/>
      </c>
      <c r="CC104" s="1039"/>
      <c r="CD104" s="1039"/>
      <c r="CE104" s="1039"/>
      <c r="CF104" s="1040"/>
      <c r="CG104" s="1032" t="str">
        <f>IF(CB104="","",VLOOKUP(CB104,KanckRef!$A$1:$G$300,7,FALSE))</f>
        <v/>
      </c>
      <c r="CH104" s="1033"/>
      <c r="CI104" s="753"/>
      <c r="CJ104" s="754"/>
      <c r="CK104" s="754"/>
      <c r="CL104" s="754"/>
      <c r="CM104" s="754"/>
      <c r="CN104" s="754"/>
      <c r="CO104" s="754"/>
      <c r="CP104" s="754"/>
      <c r="CQ104" s="754"/>
      <c r="CR104" s="754"/>
      <c r="CS104" s="754"/>
      <c r="CT104" s="754"/>
      <c r="CU104" s="754"/>
      <c r="CV104" s="754"/>
      <c r="CW104" s="754"/>
      <c r="CX104" s="754"/>
      <c r="CY104" s="754"/>
      <c r="CZ104" s="755"/>
    </row>
    <row r="105" spans="1:104" ht="15" customHeight="1" x14ac:dyDescent="0.25">
      <c r="B105" s="1026"/>
      <c r="C105" s="727"/>
      <c r="D105" s="727"/>
      <c r="E105" s="727"/>
      <c r="F105" s="727"/>
      <c r="G105" s="727"/>
      <c r="H105" s="727"/>
      <c r="I105" s="727" t="str">
        <f>IF(B104="","",VLOOKUP(B104,BoonRef!$A$2:$Z$900,26,FALSE))</f>
        <v/>
      </c>
      <c r="J105" s="727"/>
      <c r="K105" s="727"/>
      <c r="L105" s="727"/>
      <c r="M105" s="727"/>
      <c r="N105" s="727"/>
      <c r="O105" s="727"/>
      <c r="P105" s="727"/>
      <c r="Q105" s="727"/>
      <c r="R105" s="727"/>
      <c r="S105" s="727"/>
      <c r="T105" s="727"/>
      <c r="U105" s="727"/>
      <c r="V105" s="727"/>
      <c r="W105" s="727"/>
      <c r="X105" s="727"/>
      <c r="Y105" s="727"/>
      <c r="Z105" s="728"/>
      <c r="AB105" s="1026"/>
      <c r="AC105" s="727"/>
      <c r="AD105" s="727"/>
      <c r="AE105" s="727"/>
      <c r="AF105" s="727"/>
      <c r="AG105" s="727"/>
      <c r="AH105" s="727"/>
      <c r="AI105" s="727" t="str">
        <f>IF(AB104="","",VLOOKUP(AB104,BoonRef!$A$2:$Z$900,26,FALSE))</f>
        <v/>
      </c>
      <c r="AJ105" s="727"/>
      <c r="AK105" s="727"/>
      <c r="AL105" s="727"/>
      <c r="AM105" s="727"/>
      <c r="AN105" s="727"/>
      <c r="AO105" s="727"/>
      <c r="AP105" s="727"/>
      <c r="AQ105" s="727"/>
      <c r="AR105" s="727"/>
      <c r="AS105" s="727"/>
      <c r="AT105" s="727"/>
      <c r="AU105" s="727"/>
      <c r="AV105" s="727"/>
      <c r="AW105" s="727"/>
      <c r="AX105" s="727"/>
      <c r="AY105" s="727"/>
      <c r="AZ105" s="728"/>
      <c r="BB105" s="1041"/>
      <c r="BC105" s="1042"/>
      <c r="BD105" s="1042"/>
      <c r="BE105" s="1042"/>
      <c r="BF105" s="1043"/>
      <c r="BG105" s="1034"/>
      <c r="BH105" s="1035"/>
      <c r="BI105" s="753"/>
      <c r="BJ105" s="754"/>
      <c r="BK105" s="754"/>
      <c r="BL105" s="754"/>
      <c r="BM105" s="754"/>
      <c r="BN105" s="754"/>
      <c r="BO105" s="754"/>
      <c r="BP105" s="754"/>
      <c r="BQ105" s="754"/>
      <c r="BR105" s="754"/>
      <c r="BS105" s="754"/>
      <c r="BT105" s="754"/>
      <c r="BU105" s="754"/>
      <c r="BV105" s="754"/>
      <c r="BW105" s="754"/>
      <c r="BX105" s="754"/>
      <c r="BY105" s="754"/>
      <c r="BZ105" s="755"/>
      <c r="CB105" s="1041"/>
      <c r="CC105" s="1042"/>
      <c r="CD105" s="1042"/>
      <c r="CE105" s="1042"/>
      <c r="CF105" s="1043"/>
      <c r="CG105" s="1034"/>
      <c r="CH105" s="1035"/>
      <c r="CI105" s="753"/>
      <c r="CJ105" s="754"/>
      <c r="CK105" s="754"/>
      <c r="CL105" s="754"/>
      <c r="CM105" s="754"/>
      <c r="CN105" s="754"/>
      <c r="CO105" s="754"/>
      <c r="CP105" s="754"/>
      <c r="CQ105" s="754"/>
      <c r="CR105" s="754"/>
      <c r="CS105" s="754"/>
      <c r="CT105" s="754"/>
      <c r="CU105" s="754"/>
      <c r="CV105" s="754"/>
      <c r="CW105" s="754"/>
      <c r="CX105" s="754"/>
      <c r="CY105" s="754"/>
      <c r="CZ105" s="755"/>
    </row>
    <row r="106" spans="1:104" ht="15" customHeight="1" x14ac:dyDescent="0.25">
      <c r="B106" s="1026" t="str">
        <f>IF(B104="","",VLOOKUP(B104,BoonRef!$A$2:$Z$900,24,FALSE))</f>
        <v/>
      </c>
      <c r="C106" s="727"/>
      <c r="D106" s="727"/>
      <c r="E106" s="727"/>
      <c r="F106" s="727"/>
      <c r="G106" s="727"/>
      <c r="H106" s="727"/>
      <c r="I106" s="727"/>
      <c r="J106" s="727"/>
      <c r="K106" s="727"/>
      <c r="L106" s="727"/>
      <c r="M106" s="727"/>
      <c r="N106" s="727"/>
      <c r="O106" s="727"/>
      <c r="P106" s="727"/>
      <c r="Q106" s="727"/>
      <c r="R106" s="727"/>
      <c r="S106" s="727"/>
      <c r="T106" s="727"/>
      <c r="U106" s="727"/>
      <c r="V106" s="727"/>
      <c r="W106" s="727"/>
      <c r="X106" s="727"/>
      <c r="Y106" s="727"/>
      <c r="Z106" s="728"/>
      <c r="AB106" s="1026" t="str">
        <f>IF(AB104="","",VLOOKUP(AB104,BoonRef!$A$2:$Z$900,24,FALSE))</f>
        <v/>
      </c>
      <c r="AC106" s="727"/>
      <c r="AD106" s="727"/>
      <c r="AE106" s="727"/>
      <c r="AF106" s="727"/>
      <c r="AG106" s="727"/>
      <c r="AH106" s="727"/>
      <c r="AI106" s="727"/>
      <c r="AJ106" s="727"/>
      <c r="AK106" s="727"/>
      <c r="AL106" s="727"/>
      <c r="AM106" s="727"/>
      <c r="AN106" s="727"/>
      <c r="AO106" s="727"/>
      <c r="AP106" s="727"/>
      <c r="AQ106" s="727"/>
      <c r="AR106" s="727"/>
      <c r="AS106" s="727"/>
      <c r="AT106" s="727"/>
      <c r="AU106" s="727"/>
      <c r="AV106" s="727"/>
      <c r="AW106" s="727"/>
      <c r="AX106" s="727"/>
      <c r="AY106" s="727"/>
      <c r="AZ106" s="728"/>
      <c r="BB106" s="641" t="str">
        <f>IF(BB104="","",VLOOKUP(BB104,KanckRef!$A$1:$G$300,4,FALSE))</f>
        <v/>
      </c>
      <c r="BC106" s="642"/>
      <c r="BD106" s="642"/>
      <c r="BE106" s="642"/>
      <c r="BF106" s="642"/>
      <c r="BG106" s="642"/>
      <c r="BH106" s="1033"/>
      <c r="BI106" s="753"/>
      <c r="BJ106" s="754"/>
      <c r="BK106" s="754"/>
      <c r="BL106" s="754"/>
      <c r="BM106" s="754"/>
      <c r="BN106" s="754"/>
      <c r="BO106" s="754"/>
      <c r="BP106" s="754"/>
      <c r="BQ106" s="754"/>
      <c r="BR106" s="754"/>
      <c r="BS106" s="754"/>
      <c r="BT106" s="754"/>
      <c r="BU106" s="754"/>
      <c r="BV106" s="754"/>
      <c r="BW106" s="754"/>
      <c r="BX106" s="754"/>
      <c r="BY106" s="754"/>
      <c r="BZ106" s="755"/>
      <c r="CB106" s="641" t="str">
        <f>IF(CB104="","",VLOOKUP(CB104,KanckRef!$A$1:$G$300,4,FALSE))</f>
        <v/>
      </c>
      <c r="CC106" s="642"/>
      <c r="CD106" s="642"/>
      <c r="CE106" s="642"/>
      <c r="CF106" s="642"/>
      <c r="CG106" s="642"/>
      <c r="CH106" s="1033"/>
      <c r="CI106" s="753"/>
      <c r="CJ106" s="754"/>
      <c r="CK106" s="754"/>
      <c r="CL106" s="754"/>
      <c r="CM106" s="754"/>
      <c r="CN106" s="754"/>
      <c r="CO106" s="754"/>
      <c r="CP106" s="754"/>
      <c r="CQ106" s="754"/>
      <c r="CR106" s="754"/>
      <c r="CS106" s="754"/>
      <c r="CT106" s="754"/>
      <c r="CU106" s="754"/>
      <c r="CV106" s="754"/>
      <c r="CW106" s="754"/>
      <c r="CX106" s="754"/>
      <c r="CY106" s="754"/>
      <c r="CZ106" s="755"/>
    </row>
    <row r="107" spans="1:104" ht="15" customHeight="1" x14ac:dyDescent="0.25">
      <c r="B107" s="1026" t="str">
        <f>IF(B104="","",VLOOKUP(B104,BoonRef!$A$2:$Z$900,23,FALSE))</f>
        <v/>
      </c>
      <c r="C107" s="727"/>
      <c r="D107" s="727"/>
      <c r="E107" s="727"/>
      <c r="F107" s="727"/>
      <c r="G107" s="727"/>
      <c r="H107" s="727"/>
      <c r="I107" s="727"/>
      <c r="J107" s="727"/>
      <c r="K107" s="727"/>
      <c r="L107" s="727"/>
      <c r="M107" s="727"/>
      <c r="N107" s="727"/>
      <c r="O107" s="727"/>
      <c r="P107" s="727"/>
      <c r="Q107" s="727"/>
      <c r="R107" s="727"/>
      <c r="S107" s="727"/>
      <c r="T107" s="727"/>
      <c r="U107" s="727"/>
      <c r="V107" s="727"/>
      <c r="W107" s="727"/>
      <c r="X107" s="727"/>
      <c r="Y107" s="727"/>
      <c r="Z107" s="728"/>
      <c r="AB107" s="1026" t="str">
        <f>IF(AB104="","",VLOOKUP(AB104,BoonRef!$A$2:$Z$900,23,FALSE))</f>
        <v/>
      </c>
      <c r="AC107" s="727"/>
      <c r="AD107" s="727"/>
      <c r="AE107" s="727"/>
      <c r="AF107" s="727"/>
      <c r="AG107" s="727"/>
      <c r="AH107" s="727"/>
      <c r="AI107" s="727"/>
      <c r="AJ107" s="727"/>
      <c r="AK107" s="727"/>
      <c r="AL107" s="727"/>
      <c r="AM107" s="727"/>
      <c r="AN107" s="727"/>
      <c r="AO107" s="727"/>
      <c r="AP107" s="727"/>
      <c r="AQ107" s="727"/>
      <c r="AR107" s="727"/>
      <c r="AS107" s="727"/>
      <c r="AT107" s="727"/>
      <c r="AU107" s="727"/>
      <c r="AV107" s="727"/>
      <c r="AW107" s="727"/>
      <c r="AX107" s="727"/>
      <c r="AY107" s="727"/>
      <c r="AZ107" s="728"/>
      <c r="BB107" s="635"/>
      <c r="BC107" s="636"/>
      <c r="BD107" s="636"/>
      <c r="BE107" s="636"/>
      <c r="BF107" s="636"/>
      <c r="BG107" s="636"/>
      <c r="BH107" s="1036"/>
      <c r="BI107" s="753"/>
      <c r="BJ107" s="754"/>
      <c r="BK107" s="754"/>
      <c r="BL107" s="754"/>
      <c r="BM107" s="754"/>
      <c r="BN107" s="754"/>
      <c r="BO107" s="754"/>
      <c r="BP107" s="754"/>
      <c r="BQ107" s="754"/>
      <c r="BR107" s="754"/>
      <c r="BS107" s="754"/>
      <c r="BT107" s="754"/>
      <c r="BU107" s="754"/>
      <c r="BV107" s="754"/>
      <c r="BW107" s="754"/>
      <c r="BX107" s="754"/>
      <c r="BY107" s="754"/>
      <c r="BZ107" s="755"/>
      <c r="CB107" s="635"/>
      <c r="CC107" s="636"/>
      <c r="CD107" s="636"/>
      <c r="CE107" s="636"/>
      <c r="CF107" s="636"/>
      <c r="CG107" s="636"/>
      <c r="CH107" s="1036"/>
      <c r="CI107" s="753"/>
      <c r="CJ107" s="754"/>
      <c r="CK107" s="754"/>
      <c r="CL107" s="754"/>
      <c r="CM107" s="754"/>
      <c r="CN107" s="754"/>
      <c r="CO107" s="754"/>
      <c r="CP107" s="754"/>
      <c r="CQ107" s="754"/>
      <c r="CR107" s="754"/>
      <c r="CS107" s="754"/>
      <c r="CT107" s="754"/>
      <c r="CU107" s="754"/>
      <c r="CV107" s="754"/>
      <c r="CW107" s="754"/>
      <c r="CX107" s="754"/>
      <c r="CY107" s="754"/>
      <c r="CZ107" s="755"/>
    </row>
    <row r="108" spans="1:104" ht="15" customHeight="1" thickBot="1" x14ac:dyDescent="0.3">
      <c r="B108" s="1027"/>
      <c r="C108" s="865"/>
      <c r="D108" s="865"/>
      <c r="E108" s="865"/>
      <c r="F108" s="865"/>
      <c r="G108" s="865"/>
      <c r="H108" s="865"/>
      <c r="I108" s="865"/>
      <c r="J108" s="865"/>
      <c r="K108" s="865"/>
      <c r="L108" s="865"/>
      <c r="M108" s="865"/>
      <c r="N108" s="865"/>
      <c r="O108" s="865"/>
      <c r="P108" s="865"/>
      <c r="Q108" s="865"/>
      <c r="R108" s="865"/>
      <c r="S108" s="865"/>
      <c r="T108" s="865"/>
      <c r="U108" s="865"/>
      <c r="V108" s="865"/>
      <c r="W108" s="865"/>
      <c r="X108" s="865"/>
      <c r="Y108" s="865"/>
      <c r="Z108" s="921"/>
      <c r="AB108" s="1027"/>
      <c r="AC108" s="865"/>
      <c r="AD108" s="865"/>
      <c r="AE108" s="865"/>
      <c r="AF108" s="865"/>
      <c r="AG108" s="865"/>
      <c r="AH108" s="865"/>
      <c r="AI108" s="865"/>
      <c r="AJ108" s="865"/>
      <c r="AK108" s="865"/>
      <c r="AL108" s="865"/>
      <c r="AM108" s="865"/>
      <c r="AN108" s="865"/>
      <c r="AO108" s="865"/>
      <c r="AP108" s="865"/>
      <c r="AQ108" s="865"/>
      <c r="AR108" s="865"/>
      <c r="AS108" s="865"/>
      <c r="AT108" s="865"/>
      <c r="AU108" s="865"/>
      <c r="AV108" s="865"/>
      <c r="AW108" s="865"/>
      <c r="AX108" s="865"/>
      <c r="AY108" s="865"/>
      <c r="AZ108" s="921"/>
      <c r="BB108" s="644"/>
      <c r="BC108" s="645"/>
      <c r="BD108" s="645"/>
      <c r="BE108" s="645"/>
      <c r="BF108" s="645"/>
      <c r="BG108" s="645"/>
      <c r="BH108" s="1037"/>
      <c r="BI108" s="756"/>
      <c r="BJ108" s="757"/>
      <c r="BK108" s="757"/>
      <c r="BL108" s="757"/>
      <c r="BM108" s="757"/>
      <c r="BN108" s="757"/>
      <c r="BO108" s="757"/>
      <c r="BP108" s="757"/>
      <c r="BQ108" s="757"/>
      <c r="BR108" s="757"/>
      <c r="BS108" s="757"/>
      <c r="BT108" s="757"/>
      <c r="BU108" s="757"/>
      <c r="BV108" s="757"/>
      <c r="BW108" s="757"/>
      <c r="BX108" s="757"/>
      <c r="BY108" s="757"/>
      <c r="BZ108" s="758"/>
      <c r="CB108" s="644"/>
      <c r="CC108" s="645"/>
      <c r="CD108" s="645"/>
      <c r="CE108" s="645"/>
      <c r="CF108" s="645"/>
      <c r="CG108" s="645"/>
      <c r="CH108" s="1037"/>
      <c r="CI108" s="756"/>
      <c r="CJ108" s="757"/>
      <c r="CK108" s="757"/>
      <c r="CL108" s="757"/>
      <c r="CM108" s="757"/>
      <c r="CN108" s="757"/>
      <c r="CO108" s="757"/>
      <c r="CP108" s="757"/>
      <c r="CQ108" s="757"/>
      <c r="CR108" s="757"/>
      <c r="CS108" s="757"/>
      <c r="CT108" s="757"/>
      <c r="CU108" s="757"/>
      <c r="CV108" s="757"/>
      <c r="CW108" s="757"/>
      <c r="CX108" s="757"/>
      <c r="CY108" s="757"/>
      <c r="CZ108" s="758"/>
    </row>
    <row r="109" spans="1:104" ht="15" customHeight="1" x14ac:dyDescent="0.25">
      <c r="B109" s="1028" t="str">
        <f>IF(B110="","",VLOOKUP(B110,BoonRef!$A$2:$Z$900,2,FALSE))</f>
        <v/>
      </c>
      <c r="C109" s="725"/>
      <c r="D109" s="725"/>
      <c r="E109" s="725"/>
      <c r="F109" s="725"/>
      <c r="G109" s="725"/>
      <c r="H109" s="725"/>
      <c r="I109" s="725" t="str">
        <f>IF(B110="","",VLOOKUP(B110,BoonRef!$A$2:$Z$900,3,FALSE))</f>
        <v/>
      </c>
      <c r="J109" s="725"/>
      <c r="K109" s="725" t="str">
        <f>IF(B110="","",VLOOKUP(B110,DescRef!$A$2:$B$900,2,FALSE))</f>
        <v/>
      </c>
      <c r="L109" s="725"/>
      <c r="M109" s="725"/>
      <c r="N109" s="725"/>
      <c r="O109" s="725"/>
      <c r="P109" s="725"/>
      <c r="Q109" s="725"/>
      <c r="R109" s="725"/>
      <c r="S109" s="725"/>
      <c r="T109" s="725"/>
      <c r="U109" s="725"/>
      <c r="V109" s="725"/>
      <c r="W109" s="725"/>
      <c r="X109" s="725"/>
      <c r="Y109" s="725"/>
      <c r="Z109" s="726"/>
      <c r="AB109" s="1028" t="str">
        <f>IF(AB110="","",VLOOKUP(AB110,BoonRef!$A$2:$Z$900,2,FALSE))</f>
        <v/>
      </c>
      <c r="AC109" s="725"/>
      <c r="AD109" s="725"/>
      <c r="AE109" s="725"/>
      <c r="AF109" s="725"/>
      <c r="AG109" s="725"/>
      <c r="AH109" s="725"/>
      <c r="AI109" s="725" t="str">
        <f>IF(AB110="","",VLOOKUP(AB110,BoonRef!$A$2:$Z$900,3,FALSE))</f>
        <v/>
      </c>
      <c r="AJ109" s="725"/>
      <c r="AK109" s="725" t="str">
        <f>IF(AB110="","",VLOOKUP(AB110,DescRef!$A$2:$B$900,2,FALSE))</f>
        <v/>
      </c>
      <c r="AL109" s="725"/>
      <c r="AM109" s="725"/>
      <c r="AN109" s="725"/>
      <c r="AO109" s="725"/>
      <c r="AP109" s="725"/>
      <c r="AQ109" s="725"/>
      <c r="AR109" s="725"/>
      <c r="AS109" s="725"/>
      <c r="AT109" s="725"/>
      <c r="AU109" s="725"/>
      <c r="AV109" s="725"/>
      <c r="AW109" s="725"/>
      <c r="AX109" s="725"/>
      <c r="AY109" s="725"/>
      <c r="AZ109" s="726"/>
      <c r="BB109" s="1029" t="str">
        <f>IF(BB110="","",VLOOKUP(BB110,KanckRef!$A$1:$G$300,2,FALSE))</f>
        <v/>
      </c>
      <c r="BC109" s="1030"/>
      <c r="BD109" s="1030"/>
      <c r="BE109" s="1030"/>
      <c r="BF109" s="1031"/>
      <c r="BG109" s="1048" t="str">
        <f>IF(BB110="","",VLOOKUP(BB110,KanckRef!$A$1:$G$300,6,FALSE))</f>
        <v/>
      </c>
      <c r="BH109" s="1049"/>
      <c r="BI109" s="988" t="str">
        <f>IF(BB110="","",VLOOKUP(BB110,DescRef!$D$2:$E$300,2,FALSE))</f>
        <v/>
      </c>
      <c r="BJ109" s="795"/>
      <c r="BK109" s="795"/>
      <c r="BL109" s="795"/>
      <c r="BM109" s="795"/>
      <c r="BN109" s="795"/>
      <c r="BO109" s="795"/>
      <c r="BP109" s="795"/>
      <c r="BQ109" s="795"/>
      <c r="BR109" s="795"/>
      <c r="BS109" s="795"/>
      <c r="BT109" s="795"/>
      <c r="BU109" s="795"/>
      <c r="BV109" s="795"/>
      <c r="BW109" s="795"/>
      <c r="BX109" s="795"/>
      <c r="BY109" s="795"/>
      <c r="BZ109" s="796"/>
      <c r="CB109" s="1029" t="str">
        <f>IF(CB110="","",VLOOKUP(CB110,KanckRef!$A$1:$G$300,2,FALSE))</f>
        <v/>
      </c>
      <c r="CC109" s="1030"/>
      <c r="CD109" s="1030"/>
      <c r="CE109" s="1030"/>
      <c r="CF109" s="1031"/>
      <c r="CG109" s="1048" t="str">
        <f>IF(CB110="","",VLOOKUP(CB110,KanckRef!$A$1:$G$300,6,FALSE))</f>
        <v/>
      </c>
      <c r="CH109" s="1049"/>
      <c r="CI109" s="988" t="str">
        <f>IF(CB110="","",VLOOKUP(CB110,DescRef!$D$2:$E$300,2,FALSE))</f>
        <v/>
      </c>
      <c r="CJ109" s="795"/>
      <c r="CK109" s="795"/>
      <c r="CL109" s="795"/>
      <c r="CM109" s="795"/>
      <c r="CN109" s="795"/>
      <c r="CO109" s="795"/>
      <c r="CP109" s="795"/>
      <c r="CQ109" s="795"/>
      <c r="CR109" s="795"/>
      <c r="CS109" s="795"/>
      <c r="CT109" s="795"/>
      <c r="CU109" s="795"/>
      <c r="CV109" s="795"/>
      <c r="CW109" s="795"/>
      <c r="CX109" s="795"/>
      <c r="CY109" s="795"/>
      <c r="CZ109" s="796"/>
    </row>
    <row r="110" spans="1:104" ht="15" customHeight="1" x14ac:dyDescent="0.25">
      <c r="A110" s="15">
        <v>18</v>
      </c>
      <c r="B110" s="1026" t="str">
        <f>IF(A110&lt;'Purchased Boons'!$B$496,VLOOKUP(A110,'Purchased Boons'!$BF$2:$BG$900,2,FALSE),"")</f>
        <v/>
      </c>
      <c r="C110" s="727"/>
      <c r="D110" s="727"/>
      <c r="E110" s="727"/>
      <c r="F110" s="727"/>
      <c r="G110" s="727"/>
      <c r="H110" s="727"/>
      <c r="I110" s="727" t="str">
        <f>IF(B110="","",VLOOKUP(B110,BoonRef!$A$2:$Z$900,25,FALSE))</f>
        <v/>
      </c>
      <c r="J110" s="727"/>
      <c r="K110" s="727"/>
      <c r="L110" s="727"/>
      <c r="M110" s="727"/>
      <c r="N110" s="727"/>
      <c r="O110" s="727"/>
      <c r="P110" s="727"/>
      <c r="Q110" s="727"/>
      <c r="R110" s="727"/>
      <c r="S110" s="727"/>
      <c r="T110" s="727"/>
      <c r="U110" s="727"/>
      <c r="V110" s="727"/>
      <c r="W110" s="727"/>
      <c r="X110" s="727"/>
      <c r="Y110" s="727"/>
      <c r="Z110" s="728"/>
      <c r="AA110" s="15">
        <v>125</v>
      </c>
      <c r="AB110" s="1026" t="str">
        <f>IF(AA110&lt;'Purchased Boons'!$B$496,VLOOKUP(AA110,'Purchased Boons'!$BF$2:$BG$900,2,FALSE),"")</f>
        <v/>
      </c>
      <c r="AC110" s="727"/>
      <c r="AD110" s="727"/>
      <c r="AE110" s="727"/>
      <c r="AF110" s="727"/>
      <c r="AG110" s="727"/>
      <c r="AH110" s="727"/>
      <c r="AI110" s="727" t="str">
        <f>IF(AB110="","",VLOOKUP(AB110,BoonRef!$A$2:$Z$900,25,FALSE))</f>
        <v/>
      </c>
      <c r="AJ110" s="727"/>
      <c r="AK110" s="727"/>
      <c r="AL110" s="727"/>
      <c r="AM110" s="727"/>
      <c r="AN110" s="727"/>
      <c r="AO110" s="727"/>
      <c r="AP110" s="727"/>
      <c r="AQ110" s="727"/>
      <c r="AR110" s="727"/>
      <c r="AS110" s="727"/>
      <c r="AT110" s="727"/>
      <c r="AU110" s="727"/>
      <c r="AV110" s="727"/>
      <c r="AW110" s="727"/>
      <c r="AX110" s="727"/>
      <c r="AY110" s="727"/>
      <c r="AZ110" s="728"/>
      <c r="BA110" s="15">
        <v>18</v>
      </c>
      <c r="BB110" s="1038" t="str">
        <f>IF(BA110&lt;'Purchased Knacks'!A$192,VLOOKUP(BA110,'Purchased Knacks'!$A$4:$E$300,3,FALSE),"")</f>
        <v/>
      </c>
      <c r="BC110" s="1039"/>
      <c r="BD110" s="1039"/>
      <c r="BE110" s="1039"/>
      <c r="BF110" s="1040"/>
      <c r="BG110" s="1032" t="str">
        <f>IF(BB110="","",VLOOKUP(BB110,KanckRef!$A$1:$G$300,7,FALSE))</f>
        <v/>
      </c>
      <c r="BH110" s="1033"/>
      <c r="BI110" s="753"/>
      <c r="BJ110" s="754"/>
      <c r="BK110" s="754"/>
      <c r="BL110" s="754"/>
      <c r="BM110" s="754"/>
      <c r="BN110" s="754"/>
      <c r="BO110" s="754"/>
      <c r="BP110" s="754"/>
      <c r="BQ110" s="754"/>
      <c r="BR110" s="754"/>
      <c r="BS110" s="754"/>
      <c r="BT110" s="754"/>
      <c r="BU110" s="754"/>
      <c r="BV110" s="754"/>
      <c r="BW110" s="754"/>
      <c r="BX110" s="754"/>
      <c r="BY110" s="754"/>
      <c r="BZ110" s="755"/>
      <c r="CA110" s="15">
        <v>125</v>
      </c>
      <c r="CB110" s="1038" t="str">
        <f>IF(CA110&lt;'Purchased Knacks'!A$192,VLOOKUP(CA110,'Purchased Knacks'!$A$4:$E$300,3,FALSE),"")</f>
        <v/>
      </c>
      <c r="CC110" s="1039"/>
      <c r="CD110" s="1039"/>
      <c r="CE110" s="1039"/>
      <c r="CF110" s="1040"/>
      <c r="CG110" s="1032" t="str">
        <f>IF(CB110="","",VLOOKUP(CB110,KanckRef!$A$1:$G$300,7,FALSE))</f>
        <v/>
      </c>
      <c r="CH110" s="1033"/>
      <c r="CI110" s="753"/>
      <c r="CJ110" s="754"/>
      <c r="CK110" s="754"/>
      <c r="CL110" s="754"/>
      <c r="CM110" s="754"/>
      <c r="CN110" s="754"/>
      <c r="CO110" s="754"/>
      <c r="CP110" s="754"/>
      <c r="CQ110" s="754"/>
      <c r="CR110" s="754"/>
      <c r="CS110" s="754"/>
      <c r="CT110" s="754"/>
      <c r="CU110" s="754"/>
      <c r="CV110" s="754"/>
      <c r="CW110" s="754"/>
      <c r="CX110" s="754"/>
      <c r="CY110" s="754"/>
      <c r="CZ110" s="755"/>
    </row>
    <row r="111" spans="1:104" ht="15" customHeight="1" x14ac:dyDescent="0.25">
      <c r="B111" s="1026"/>
      <c r="C111" s="727"/>
      <c r="D111" s="727"/>
      <c r="E111" s="727"/>
      <c r="F111" s="727"/>
      <c r="G111" s="727"/>
      <c r="H111" s="727"/>
      <c r="I111" s="727" t="str">
        <f>IF(B110="","",VLOOKUP(B110,BoonRef!$A$2:$Z$900,26,FALSE))</f>
        <v/>
      </c>
      <c r="J111" s="727"/>
      <c r="K111" s="727"/>
      <c r="L111" s="727"/>
      <c r="M111" s="727"/>
      <c r="N111" s="727"/>
      <c r="O111" s="727"/>
      <c r="P111" s="727"/>
      <c r="Q111" s="727"/>
      <c r="R111" s="727"/>
      <c r="S111" s="727"/>
      <c r="T111" s="727"/>
      <c r="U111" s="727"/>
      <c r="V111" s="727"/>
      <c r="W111" s="727"/>
      <c r="X111" s="727"/>
      <c r="Y111" s="727"/>
      <c r="Z111" s="728"/>
      <c r="AB111" s="1026"/>
      <c r="AC111" s="727"/>
      <c r="AD111" s="727"/>
      <c r="AE111" s="727"/>
      <c r="AF111" s="727"/>
      <c r="AG111" s="727"/>
      <c r="AH111" s="727"/>
      <c r="AI111" s="727" t="str">
        <f>IF(AB110="","",VLOOKUP(AB110,BoonRef!$A$2:$Z$900,26,FALSE))</f>
        <v/>
      </c>
      <c r="AJ111" s="727"/>
      <c r="AK111" s="727"/>
      <c r="AL111" s="727"/>
      <c r="AM111" s="727"/>
      <c r="AN111" s="727"/>
      <c r="AO111" s="727"/>
      <c r="AP111" s="727"/>
      <c r="AQ111" s="727"/>
      <c r="AR111" s="727"/>
      <c r="AS111" s="727"/>
      <c r="AT111" s="727"/>
      <c r="AU111" s="727"/>
      <c r="AV111" s="727"/>
      <c r="AW111" s="727"/>
      <c r="AX111" s="727"/>
      <c r="AY111" s="727"/>
      <c r="AZ111" s="728"/>
      <c r="BB111" s="1041"/>
      <c r="BC111" s="1042"/>
      <c r="BD111" s="1042"/>
      <c r="BE111" s="1042"/>
      <c r="BF111" s="1043"/>
      <c r="BG111" s="1034"/>
      <c r="BH111" s="1035"/>
      <c r="BI111" s="753"/>
      <c r="BJ111" s="754"/>
      <c r="BK111" s="754"/>
      <c r="BL111" s="754"/>
      <c r="BM111" s="754"/>
      <c r="BN111" s="754"/>
      <c r="BO111" s="754"/>
      <c r="BP111" s="754"/>
      <c r="BQ111" s="754"/>
      <c r="BR111" s="754"/>
      <c r="BS111" s="754"/>
      <c r="BT111" s="754"/>
      <c r="BU111" s="754"/>
      <c r="BV111" s="754"/>
      <c r="BW111" s="754"/>
      <c r="BX111" s="754"/>
      <c r="BY111" s="754"/>
      <c r="BZ111" s="755"/>
      <c r="CB111" s="1041"/>
      <c r="CC111" s="1042"/>
      <c r="CD111" s="1042"/>
      <c r="CE111" s="1042"/>
      <c r="CF111" s="1043"/>
      <c r="CG111" s="1034"/>
      <c r="CH111" s="1035"/>
      <c r="CI111" s="753"/>
      <c r="CJ111" s="754"/>
      <c r="CK111" s="754"/>
      <c r="CL111" s="754"/>
      <c r="CM111" s="754"/>
      <c r="CN111" s="754"/>
      <c r="CO111" s="754"/>
      <c r="CP111" s="754"/>
      <c r="CQ111" s="754"/>
      <c r="CR111" s="754"/>
      <c r="CS111" s="754"/>
      <c r="CT111" s="754"/>
      <c r="CU111" s="754"/>
      <c r="CV111" s="754"/>
      <c r="CW111" s="754"/>
      <c r="CX111" s="754"/>
      <c r="CY111" s="754"/>
      <c r="CZ111" s="755"/>
    </row>
    <row r="112" spans="1:104" ht="15" customHeight="1" x14ac:dyDescent="0.25">
      <c r="B112" s="1026" t="str">
        <f>IF(B110="","",VLOOKUP(B110,BoonRef!$A$2:$Z$900,24,FALSE))</f>
        <v/>
      </c>
      <c r="C112" s="727"/>
      <c r="D112" s="727"/>
      <c r="E112" s="727"/>
      <c r="F112" s="727"/>
      <c r="G112" s="727"/>
      <c r="H112" s="727"/>
      <c r="I112" s="727"/>
      <c r="J112" s="727"/>
      <c r="K112" s="727"/>
      <c r="L112" s="727"/>
      <c r="M112" s="727"/>
      <c r="N112" s="727"/>
      <c r="O112" s="727"/>
      <c r="P112" s="727"/>
      <c r="Q112" s="727"/>
      <c r="R112" s="727"/>
      <c r="S112" s="727"/>
      <c r="T112" s="727"/>
      <c r="U112" s="727"/>
      <c r="V112" s="727"/>
      <c r="W112" s="727"/>
      <c r="X112" s="727"/>
      <c r="Y112" s="727"/>
      <c r="Z112" s="728"/>
      <c r="AB112" s="1026" t="str">
        <f>IF(AB110="","",VLOOKUP(AB110,BoonRef!$A$2:$Z$900,24,FALSE))</f>
        <v/>
      </c>
      <c r="AC112" s="727"/>
      <c r="AD112" s="727"/>
      <c r="AE112" s="727"/>
      <c r="AF112" s="727"/>
      <c r="AG112" s="727"/>
      <c r="AH112" s="727"/>
      <c r="AI112" s="727"/>
      <c r="AJ112" s="727"/>
      <c r="AK112" s="727"/>
      <c r="AL112" s="727"/>
      <c r="AM112" s="727"/>
      <c r="AN112" s="727"/>
      <c r="AO112" s="727"/>
      <c r="AP112" s="727"/>
      <c r="AQ112" s="727"/>
      <c r="AR112" s="727"/>
      <c r="AS112" s="727"/>
      <c r="AT112" s="727"/>
      <c r="AU112" s="727"/>
      <c r="AV112" s="727"/>
      <c r="AW112" s="727"/>
      <c r="AX112" s="727"/>
      <c r="AY112" s="727"/>
      <c r="AZ112" s="728"/>
      <c r="BB112" s="641" t="str">
        <f>IF(BB110="","",VLOOKUP(BB110,KanckRef!$A$1:$G$300,4,FALSE))</f>
        <v/>
      </c>
      <c r="BC112" s="642"/>
      <c r="BD112" s="642"/>
      <c r="BE112" s="642"/>
      <c r="BF112" s="642"/>
      <c r="BG112" s="642"/>
      <c r="BH112" s="1033"/>
      <c r="BI112" s="753"/>
      <c r="BJ112" s="754"/>
      <c r="BK112" s="754"/>
      <c r="BL112" s="754"/>
      <c r="BM112" s="754"/>
      <c r="BN112" s="754"/>
      <c r="BO112" s="754"/>
      <c r="BP112" s="754"/>
      <c r="BQ112" s="754"/>
      <c r="BR112" s="754"/>
      <c r="BS112" s="754"/>
      <c r="BT112" s="754"/>
      <c r="BU112" s="754"/>
      <c r="BV112" s="754"/>
      <c r="BW112" s="754"/>
      <c r="BX112" s="754"/>
      <c r="BY112" s="754"/>
      <c r="BZ112" s="755"/>
      <c r="CB112" s="641" t="str">
        <f>IF(CB110="","",VLOOKUP(CB110,KanckRef!$A$1:$G$300,4,FALSE))</f>
        <v/>
      </c>
      <c r="CC112" s="642"/>
      <c r="CD112" s="642"/>
      <c r="CE112" s="642"/>
      <c r="CF112" s="642"/>
      <c r="CG112" s="642"/>
      <c r="CH112" s="1033"/>
      <c r="CI112" s="753"/>
      <c r="CJ112" s="754"/>
      <c r="CK112" s="754"/>
      <c r="CL112" s="754"/>
      <c r="CM112" s="754"/>
      <c r="CN112" s="754"/>
      <c r="CO112" s="754"/>
      <c r="CP112" s="754"/>
      <c r="CQ112" s="754"/>
      <c r="CR112" s="754"/>
      <c r="CS112" s="754"/>
      <c r="CT112" s="754"/>
      <c r="CU112" s="754"/>
      <c r="CV112" s="754"/>
      <c r="CW112" s="754"/>
      <c r="CX112" s="754"/>
      <c r="CY112" s="754"/>
      <c r="CZ112" s="755"/>
    </row>
    <row r="113" spans="1:104" ht="15" customHeight="1" x14ac:dyDescent="0.25">
      <c r="B113" s="1026" t="str">
        <f>IF(B110="","",VLOOKUP(B110,BoonRef!$A$2:$Z$900,23,FALSE))</f>
        <v/>
      </c>
      <c r="C113" s="727"/>
      <c r="D113" s="727"/>
      <c r="E113" s="727"/>
      <c r="F113" s="727"/>
      <c r="G113" s="727"/>
      <c r="H113" s="727"/>
      <c r="I113" s="727"/>
      <c r="J113" s="727"/>
      <c r="K113" s="727"/>
      <c r="L113" s="727"/>
      <c r="M113" s="727"/>
      <c r="N113" s="727"/>
      <c r="O113" s="727"/>
      <c r="P113" s="727"/>
      <c r="Q113" s="727"/>
      <c r="R113" s="727"/>
      <c r="S113" s="727"/>
      <c r="T113" s="727"/>
      <c r="U113" s="727"/>
      <c r="V113" s="727"/>
      <c r="W113" s="727"/>
      <c r="X113" s="727"/>
      <c r="Y113" s="727"/>
      <c r="Z113" s="728"/>
      <c r="AB113" s="1026" t="str">
        <f>IF(AB110="","",VLOOKUP(AB110,BoonRef!$A$2:$Z$900,23,FALSE))</f>
        <v/>
      </c>
      <c r="AC113" s="727"/>
      <c r="AD113" s="727"/>
      <c r="AE113" s="727"/>
      <c r="AF113" s="727"/>
      <c r="AG113" s="727"/>
      <c r="AH113" s="727"/>
      <c r="AI113" s="727"/>
      <c r="AJ113" s="727"/>
      <c r="AK113" s="727"/>
      <c r="AL113" s="727"/>
      <c r="AM113" s="727"/>
      <c r="AN113" s="727"/>
      <c r="AO113" s="727"/>
      <c r="AP113" s="727"/>
      <c r="AQ113" s="727"/>
      <c r="AR113" s="727"/>
      <c r="AS113" s="727"/>
      <c r="AT113" s="727"/>
      <c r="AU113" s="727"/>
      <c r="AV113" s="727"/>
      <c r="AW113" s="727"/>
      <c r="AX113" s="727"/>
      <c r="AY113" s="727"/>
      <c r="AZ113" s="728"/>
      <c r="BB113" s="635"/>
      <c r="BC113" s="636"/>
      <c r="BD113" s="636"/>
      <c r="BE113" s="636"/>
      <c r="BF113" s="636"/>
      <c r="BG113" s="636"/>
      <c r="BH113" s="1036"/>
      <c r="BI113" s="753"/>
      <c r="BJ113" s="754"/>
      <c r="BK113" s="754"/>
      <c r="BL113" s="754"/>
      <c r="BM113" s="754"/>
      <c r="BN113" s="754"/>
      <c r="BO113" s="754"/>
      <c r="BP113" s="754"/>
      <c r="BQ113" s="754"/>
      <c r="BR113" s="754"/>
      <c r="BS113" s="754"/>
      <c r="BT113" s="754"/>
      <c r="BU113" s="754"/>
      <c r="BV113" s="754"/>
      <c r="BW113" s="754"/>
      <c r="BX113" s="754"/>
      <c r="BY113" s="754"/>
      <c r="BZ113" s="755"/>
      <c r="CB113" s="635"/>
      <c r="CC113" s="636"/>
      <c r="CD113" s="636"/>
      <c r="CE113" s="636"/>
      <c r="CF113" s="636"/>
      <c r="CG113" s="636"/>
      <c r="CH113" s="1036"/>
      <c r="CI113" s="753"/>
      <c r="CJ113" s="754"/>
      <c r="CK113" s="754"/>
      <c r="CL113" s="754"/>
      <c r="CM113" s="754"/>
      <c r="CN113" s="754"/>
      <c r="CO113" s="754"/>
      <c r="CP113" s="754"/>
      <c r="CQ113" s="754"/>
      <c r="CR113" s="754"/>
      <c r="CS113" s="754"/>
      <c r="CT113" s="754"/>
      <c r="CU113" s="754"/>
      <c r="CV113" s="754"/>
      <c r="CW113" s="754"/>
      <c r="CX113" s="754"/>
      <c r="CY113" s="754"/>
      <c r="CZ113" s="755"/>
    </row>
    <row r="114" spans="1:104" ht="15" customHeight="1" thickBot="1" x14ac:dyDescent="0.3">
      <c r="B114" s="1027"/>
      <c r="C114" s="865"/>
      <c r="D114" s="865"/>
      <c r="E114" s="865"/>
      <c r="F114" s="865"/>
      <c r="G114" s="865"/>
      <c r="H114" s="865"/>
      <c r="I114" s="865"/>
      <c r="J114" s="865"/>
      <c r="K114" s="865"/>
      <c r="L114" s="865"/>
      <c r="M114" s="865"/>
      <c r="N114" s="865"/>
      <c r="O114" s="865"/>
      <c r="P114" s="865"/>
      <c r="Q114" s="865"/>
      <c r="R114" s="865"/>
      <c r="S114" s="865"/>
      <c r="T114" s="865"/>
      <c r="U114" s="865"/>
      <c r="V114" s="865"/>
      <c r="W114" s="865"/>
      <c r="X114" s="865"/>
      <c r="Y114" s="865"/>
      <c r="Z114" s="921"/>
      <c r="AB114" s="1027"/>
      <c r="AC114" s="865"/>
      <c r="AD114" s="865"/>
      <c r="AE114" s="865"/>
      <c r="AF114" s="865"/>
      <c r="AG114" s="865"/>
      <c r="AH114" s="865"/>
      <c r="AI114" s="865"/>
      <c r="AJ114" s="865"/>
      <c r="AK114" s="865"/>
      <c r="AL114" s="865"/>
      <c r="AM114" s="865"/>
      <c r="AN114" s="865"/>
      <c r="AO114" s="865"/>
      <c r="AP114" s="865"/>
      <c r="AQ114" s="865"/>
      <c r="AR114" s="865"/>
      <c r="AS114" s="865"/>
      <c r="AT114" s="865"/>
      <c r="AU114" s="865"/>
      <c r="AV114" s="865"/>
      <c r="AW114" s="865"/>
      <c r="AX114" s="865"/>
      <c r="AY114" s="865"/>
      <c r="AZ114" s="921"/>
      <c r="BB114" s="644"/>
      <c r="BC114" s="645"/>
      <c r="BD114" s="645"/>
      <c r="BE114" s="645"/>
      <c r="BF114" s="645"/>
      <c r="BG114" s="645"/>
      <c r="BH114" s="1037"/>
      <c r="BI114" s="756"/>
      <c r="BJ114" s="757"/>
      <c r="BK114" s="757"/>
      <c r="BL114" s="757"/>
      <c r="BM114" s="757"/>
      <c r="BN114" s="757"/>
      <c r="BO114" s="757"/>
      <c r="BP114" s="757"/>
      <c r="BQ114" s="757"/>
      <c r="BR114" s="757"/>
      <c r="BS114" s="757"/>
      <c r="BT114" s="757"/>
      <c r="BU114" s="757"/>
      <c r="BV114" s="757"/>
      <c r="BW114" s="757"/>
      <c r="BX114" s="757"/>
      <c r="BY114" s="757"/>
      <c r="BZ114" s="758"/>
      <c r="CB114" s="644"/>
      <c r="CC114" s="645"/>
      <c r="CD114" s="645"/>
      <c r="CE114" s="645"/>
      <c r="CF114" s="645"/>
      <c r="CG114" s="645"/>
      <c r="CH114" s="1037"/>
      <c r="CI114" s="756"/>
      <c r="CJ114" s="757"/>
      <c r="CK114" s="757"/>
      <c r="CL114" s="757"/>
      <c r="CM114" s="757"/>
      <c r="CN114" s="757"/>
      <c r="CO114" s="757"/>
      <c r="CP114" s="757"/>
      <c r="CQ114" s="757"/>
      <c r="CR114" s="757"/>
      <c r="CS114" s="757"/>
      <c r="CT114" s="757"/>
      <c r="CU114" s="757"/>
      <c r="CV114" s="757"/>
      <c r="CW114" s="757"/>
      <c r="CX114" s="757"/>
      <c r="CY114" s="757"/>
      <c r="CZ114" s="758"/>
    </row>
    <row r="115" spans="1:104" ht="15" customHeight="1" x14ac:dyDescent="0.25">
      <c r="B115" s="1028" t="str">
        <f>IF(B116="","",VLOOKUP(B116,BoonRef!$A$2:$Z$900,2,FALSE))</f>
        <v/>
      </c>
      <c r="C115" s="725"/>
      <c r="D115" s="725"/>
      <c r="E115" s="725"/>
      <c r="F115" s="725"/>
      <c r="G115" s="725"/>
      <c r="H115" s="725"/>
      <c r="I115" s="725" t="str">
        <f>IF(B116="","",VLOOKUP(B116,BoonRef!$A$2:$Z$900,3,FALSE))</f>
        <v/>
      </c>
      <c r="J115" s="725"/>
      <c r="K115" s="725" t="str">
        <f>IF(B116="","",VLOOKUP(B116,DescRef!$A$2:$B$900,2,FALSE))</f>
        <v/>
      </c>
      <c r="L115" s="725"/>
      <c r="M115" s="725"/>
      <c r="N115" s="725"/>
      <c r="O115" s="725"/>
      <c r="P115" s="725"/>
      <c r="Q115" s="725"/>
      <c r="R115" s="725"/>
      <c r="S115" s="725"/>
      <c r="T115" s="725"/>
      <c r="U115" s="725"/>
      <c r="V115" s="725"/>
      <c r="W115" s="725"/>
      <c r="X115" s="725"/>
      <c r="Y115" s="725"/>
      <c r="Z115" s="726"/>
      <c r="AB115" s="1028" t="str">
        <f>IF(AB116="","",VLOOKUP(AB116,BoonRef!$A$2:$Z$900,2,FALSE))</f>
        <v/>
      </c>
      <c r="AC115" s="725"/>
      <c r="AD115" s="725"/>
      <c r="AE115" s="725"/>
      <c r="AF115" s="725"/>
      <c r="AG115" s="725"/>
      <c r="AH115" s="725"/>
      <c r="AI115" s="725" t="str">
        <f>IF(AB116="","",VLOOKUP(AB116,BoonRef!$A$2:$Z$900,3,FALSE))</f>
        <v/>
      </c>
      <c r="AJ115" s="725"/>
      <c r="AK115" s="725" t="str">
        <f>IF(AB116="","",VLOOKUP(AB116,DescRef!$A$2:$B$900,2,FALSE))</f>
        <v/>
      </c>
      <c r="AL115" s="725"/>
      <c r="AM115" s="725"/>
      <c r="AN115" s="725"/>
      <c r="AO115" s="725"/>
      <c r="AP115" s="725"/>
      <c r="AQ115" s="725"/>
      <c r="AR115" s="725"/>
      <c r="AS115" s="725"/>
      <c r="AT115" s="725"/>
      <c r="AU115" s="725"/>
      <c r="AV115" s="725"/>
      <c r="AW115" s="725"/>
      <c r="AX115" s="725"/>
      <c r="AY115" s="725"/>
      <c r="AZ115" s="726"/>
      <c r="BB115" s="1029" t="str">
        <f>IF(BB116="","",VLOOKUP(BB116,KanckRef!$A$1:$G$300,2,FALSE))</f>
        <v/>
      </c>
      <c r="BC115" s="1030"/>
      <c r="BD115" s="1030"/>
      <c r="BE115" s="1030"/>
      <c r="BF115" s="1031"/>
      <c r="BG115" s="1048" t="str">
        <f>IF(BB116="","",VLOOKUP(BB116,KanckRef!$A$1:$G$300,6,FALSE))</f>
        <v/>
      </c>
      <c r="BH115" s="1049"/>
      <c r="BI115" s="988" t="str">
        <f>IF(BB116="","",VLOOKUP(BB116,DescRef!$D$2:$E$300,2,FALSE))</f>
        <v/>
      </c>
      <c r="BJ115" s="795"/>
      <c r="BK115" s="795"/>
      <c r="BL115" s="795"/>
      <c r="BM115" s="795"/>
      <c r="BN115" s="795"/>
      <c r="BO115" s="795"/>
      <c r="BP115" s="795"/>
      <c r="BQ115" s="795"/>
      <c r="BR115" s="795"/>
      <c r="BS115" s="795"/>
      <c r="BT115" s="795"/>
      <c r="BU115" s="795"/>
      <c r="BV115" s="795"/>
      <c r="BW115" s="795"/>
      <c r="BX115" s="795"/>
      <c r="BY115" s="795"/>
      <c r="BZ115" s="796"/>
      <c r="CB115" s="1029" t="str">
        <f>IF(CB116="","",VLOOKUP(CB116,KanckRef!$A$1:$G$300,2,FALSE))</f>
        <v/>
      </c>
      <c r="CC115" s="1030"/>
      <c r="CD115" s="1030"/>
      <c r="CE115" s="1030"/>
      <c r="CF115" s="1031"/>
      <c r="CG115" s="1048" t="str">
        <f>IF(CB116="","",VLOOKUP(CB116,KanckRef!$A$1:$G$300,6,FALSE))</f>
        <v/>
      </c>
      <c r="CH115" s="1049"/>
      <c r="CI115" s="988" t="str">
        <f>IF(CB116="","",VLOOKUP(CB116,DescRef!$D$2:$E$300,2,FALSE))</f>
        <v/>
      </c>
      <c r="CJ115" s="795"/>
      <c r="CK115" s="795"/>
      <c r="CL115" s="795"/>
      <c r="CM115" s="795"/>
      <c r="CN115" s="795"/>
      <c r="CO115" s="795"/>
      <c r="CP115" s="795"/>
      <c r="CQ115" s="795"/>
      <c r="CR115" s="795"/>
      <c r="CS115" s="795"/>
      <c r="CT115" s="795"/>
      <c r="CU115" s="795"/>
      <c r="CV115" s="795"/>
      <c r="CW115" s="795"/>
      <c r="CX115" s="795"/>
      <c r="CY115" s="795"/>
      <c r="CZ115" s="796"/>
    </row>
    <row r="116" spans="1:104" ht="15" customHeight="1" x14ac:dyDescent="0.25">
      <c r="A116" s="15">
        <v>19</v>
      </c>
      <c r="B116" s="1026" t="str">
        <f>IF(A116&lt;'Purchased Boons'!$B$496,VLOOKUP(A116,'Purchased Boons'!$BF$2:$BG$900,2,FALSE),"")</f>
        <v/>
      </c>
      <c r="C116" s="727"/>
      <c r="D116" s="727"/>
      <c r="E116" s="727"/>
      <c r="F116" s="727"/>
      <c r="G116" s="727"/>
      <c r="H116" s="727"/>
      <c r="I116" s="727" t="str">
        <f>IF(B116="","",VLOOKUP(B116,BoonRef!$A$2:$Z$900,25,FALSE))</f>
        <v/>
      </c>
      <c r="J116" s="727"/>
      <c r="K116" s="727"/>
      <c r="L116" s="727"/>
      <c r="M116" s="727"/>
      <c r="N116" s="727"/>
      <c r="O116" s="727"/>
      <c r="P116" s="727"/>
      <c r="Q116" s="727"/>
      <c r="R116" s="727"/>
      <c r="S116" s="727"/>
      <c r="T116" s="727"/>
      <c r="U116" s="727"/>
      <c r="V116" s="727"/>
      <c r="W116" s="727"/>
      <c r="X116" s="727"/>
      <c r="Y116" s="727"/>
      <c r="Z116" s="728"/>
      <c r="AA116" s="15">
        <v>126</v>
      </c>
      <c r="AB116" s="1026" t="str">
        <f>IF(AA116&lt;'Purchased Boons'!$B$496,VLOOKUP(AA116,'Purchased Boons'!$BF$2:$BG$900,2,FALSE),"")</f>
        <v/>
      </c>
      <c r="AC116" s="727"/>
      <c r="AD116" s="727"/>
      <c r="AE116" s="727"/>
      <c r="AF116" s="727"/>
      <c r="AG116" s="727"/>
      <c r="AH116" s="727"/>
      <c r="AI116" s="727" t="str">
        <f>IF(AB116="","",VLOOKUP(AB116,BoonRef!$A$2:$Z$900,25,FALSE))</f>
        <v/>
      </c>
      <c r="AJ116" s="727"/>
      <c r="AK116" s="727"/>
      <c r="AL116" s="727"/>
      <c r="AM116" s="727"/>
      <c r="AN116" s="727"/>
      <c r="AO116" s="727"/>
      <c r="AP116" s="727"/>
      <c r="AQ116" s="727"/>
      <c r="AR116" s="727"/>
      <c r="AS116" s="727"/>
      <c r="AT116" s="727"/>
      <c r="AU116" s="727"/>
      <c r="AV116" s="727"/>
      <c r="AW116" s="727"/>
      <c r="AX116" s="727"/>
      <c r="AY116" s="727"/>
      <c r="AZ116" s="728"/>
      <c r="BA116" s="15">
        <v>19</v>
      </c>
      <c r="BB116" s="1038" t="str">
        <f>IF(BA116&lt;'Purchased Knacks'!A$192,VLOOKUP(BA116,'Purchased Knacks'!$A$4:$E$300,3,FALSE),"")</f>
        <v/>
      </c>
      <c r="BC116" s="1039"/>
      <c r="BD116" s="1039"/>
      <c r="BE116" s="1039"/>
      <c r="BF116" s="1040"/>
      <c r="BG116" s="1032" t="str">
        <f>IF(BB116="","",VLOOKUP(BB116,KanckRef!$A$1:$G$300,7,FALSE))</f>
        <v/>
      </c>
      <c r="BH116" s="1033"/>
      <c r="BI116" s="753"/>
      <c r="BJ116" s="754"/>
      <c r="BK116" s="754"/>
      <c r="BL116" s="754"/>
      <c r="BM116" s="754"/>
      <c r="BN116" s="754"/>
      <c r="BO116" s="754"/>
      <c r="BP116" s="754"/>
      <c r="BQ116" s="754"/>
      <c r="BR116" s="754"/>
      <c r="BS116" s="754"/>
      <c r="BT116" s="754"/>
      <c r="BU116" s="754"/>
      <c r="BV116" s="754"/>
      <c r="BW116" s="754"/>
      <c r="BX116" s="754"/>
      <c r="BY116" s="754"/>
      <c r="BZ116" s="755"/>
      <c r="CA116" s="15">
        <v>126</v>
      </c>
      <c r="CB116" s="1038" t="str">
        <f>IF(CA116&lt;'Purchased Knacks'!A$192,VLOOKUP(CA116,'Purchased Knacks'!$A$4:$E$300,3,FALSE),"")</f>
        <v/>
      </c>
      <c r="CC116" s="1039"/>
      <c r="CD116" s="1039"/>
      <c r="CE116" s="1039"/>
      <c r="CF116" s="1040"/>
      <c r="CG116" s="1032" t="str">
        <f>IF(CB116="","",VLOOKUP(CB116,KanckRef!$A$1:$G$300,7,FALSE))</f>
        <v/>
      </c>
      <c r="CH116" s="1033"/>
      <c r="CI116" s="753"/>
      <c r="CJ116" s="754"/>
      <c r="CK116" s="754"/>
      <c r="CL116" s="754"/>
      <c r="CM116" s="754"/>
      <c r="CN116" s="754"/>
      <c r="CO116" s="754"/>
      <c r="CP116" s="754"/>
      <c r="CQ116" s="754"/>
      <c r="CR116" s="754"/>
      <c r="CS116" s="754"/>
      <c r="CT116" s="754"/>
      <c r="CU116" s="754"/>
      <c r="CV116" s="754"/>
      <c r="CW116" s="754"/>
      <c r="CX116" s="754"/>
      <c r="CY116" s="754"/>
      <c r="CZ116" s="755"/>
    </row>
    <row r="117" spans="1:104" ht="15" customHeight="1" x14ac:dyDescent="0.25">
      <c r="B117" s="1026"/>
      <c r="C117" s="727"/>
      <c r="D117" s="727"/>
      <c r="E117" s="727"/>
      <c r="F117" s="727"/>
      <c r="G117" s="727"/>
      <c r="H117" s="727"/>
      <c r="I117" s="727" t="str">
        <f>IF(B116="","",VLOOKUP(B116,BoonRef!$A$2:$Z$900,26,FALSE))</f>
        <v/>
      </c>
      <c r="J117" s="727"/>
      <c r="K117" s="727"/>
      <c r="L117" s="727"/>
      <c r="M117" s="727"/>
      <c r="N117" s="727"/>
      <c r="O117" s="727"/>
      <c r="P117" s="727"/>
      <c r="Q117" s="727"/>
      <c r="R117" s="727"/>
      <c r="S117" s="727"/>
      <c r="T117" s="727"/>
      <c r="U117" s="727"/>
      <c r="V117" s="727"/>
      <c r="W117" s="727"/>
      <c r="X117" s="727"/>
      <c r="Y117" s="727"/>
      <c r="Z117" s="728"/>
      <c r="AB117" s="1026"/>
      <c r="AC117" s="727"/>
      <c r="AD117" s="727"/>
      <c r="AE117" s="727"/>
      <c r="AF117" s="727"/>
      <c r="AG117" s="727"/>
      <c r="AH117" s="727"/>
      <c r="AI117" s="727" t="str">
        <f>IF(AB116="","",VLOOKUP(AB116,BoonRef!$A$2:$Z$900,26,FALSE))</f>
        <v/>
      </c>
      <c r="AJ117" s="727"/>
      <c r="AK117" s="727"/>
      <c r="AL117" s="727"/>
      <c r="AM117" s="727"/>
      <c r="AN117" s="727"/>
      <c r="AO117" s="727"/>
      <c r="AP117" s="727"/>
      <c r="AQ117" s="727"/>
      <c r="AR117" s="727"/>
      <c r="AS117" s="727"/>
      <c r="AT117" s="727"/>
      <c r="AU117" s="727"/>
      <c r="AV117" s="727"/>
      <c r="AW117" s="727"/>
      <c r="AX117" s="727"/>
      <c r="AY117" s="727"/>
      <c r="AZ117" s="728"/>
      <c r="BB117" s="1041"/>
      <c r="BC117" s="1042"/>
      <c r="BD117" s="1042"/>
      <c r="BE117" s="1042"/>
      <c r="BF117" s="1043"/>
      <c r="BG117" s="1034"/>
      <c r="BH117" s="1035"/>
      <c r="BI117" s="753"/>
      <c r="BJ117" s="754"/>
      <c r="BK117" s="754"/>
      <c r="BL117" s="754"/>
      <c r="BM117" s="754"/>
      <c r="BN117" s="754"/>
      <c r="BO117" s="754"/>
      <c r="BP117" s="754"/>
      <c r="BQ117" s="754"/>
      <c r="BR117" s="754"/>
      <c r="BS117" s="754"/>
      <c r="BT117" s="754"/>
      <c r="BU117" s="754"/>
      <c r="BV117" s="754"/>
      <c r="BW117" s="754"/>
      <c r="BX117" s="754"/>
      <c r="BY117" s="754"/>
      <c r="BZ117" s="755"/>
      <c r="CB117" s="1041"/>
      <c r="CC117" s="1042"/>
      <c r="CD117" s="1042"/>
      <c r="CE117" s="1042"/>
      <c r="CF117" s="1043"/>
      <c r="CG117" s="1034"/>
      <c r="CH117" s="1035"/>
      <c r="CI117" s="753"/>
      <c r="CJ117" s="754"/>
      <c r="CK117" s="754"/>
      <c r="CL117" s="754"/>
      <c r="CM117" s="754"/>
      <c r="CN117" s="754"/>
      <c r="CO117" s="754"/>
      <c r="CP117" s="754"/>
      <c r="CQ117" s="754"/>
      <c r="CR117" s="754"/>
      <c r="CS117" s="754"/>
      <c r="CT117" s="754"/>
      <c r="CU117" s="754"/>
      <c r="CV117" s="754"/>
      <c r="CW117" s="754"/>
      <c r="CX117" s="754"/>
      <c r="CY117" s="754"/>
      <c r="CZ117" s="755"/>
    </row>
    <row r="118" spans="1:104" ht="15" customHeight="1" x14ac:dyDescent="0.25">
      <c r="B118" s="1026" t="str">
        <f>IF(B116="","",VLOOKUP(B116,BoonRef!$A$2:$Z$900,24,FALSE))</f>
        <v/>
      </c>
      <c r="C118" s="727"/>
      <c r="D118" s="727"/>
      <c r="E118" s="727"/>
      <c r="F118" s="727"/>
      <c r="G118" s="727"/>
      <c r="H118" s="727"/>
      <c r="I118" s="727"/>
      <c r="J118" s="727"/>
      <c r="K118" s="727"/>
      <c r="L118" s="727"/>
      <c r="M118" s="727"/>
      <c r="N118" s="727"/>
      <c r="O118" s="727"/>
      <c r="P118" s="727"/>
      <c r="Q118" s="727"/>
      <c r="R118" s="727"/>
      <c r="S118" s="727"/>
      <c r="T118" s="727"/>
      <c r="U118" s="727"/>
      <c r="V118" s="727"/>
      <c r="W118" s="727"/>
      <c r="X118" s="727"/>
      <c r="Y118" s="727"/>
      <c r="Z118" s="728"/>
      <c r="AB118" s="1026" t="str">
        <f>IF(AB116="","",VLOOKUP(AB116,BoonRef!$A$2:$Z$900,24,FALSE))</f>
        <v/>
      </c>
      <c r="AC118" s="727"/>
      <c r="AD118" s="727"/>
      <c r="AE118" s="727"/>
      <c r="AF118" s="727"/>
      <c r="AG118" s="727"/>
      <c r="AH118" s="727"/>
      <c r="AI118" s="727"/>
      <c r="AJ118" s="727"/>
      <c r="AK118" s="727"/>
      <c r="AL118" s="727"/>
      <c r="AM118" s="727"/>
      <c r="AN118" s="727"/>
      <c r="AO118" s="727"/>
      <c r="AP118" s="727"/>
      <c r="AQ118" s="727"/>
      <c r="AR118" s="727"/>
      <c r="AS118" s="727"/>
      <c r="AT118" s="727"/>
      <c r="AU118" s="727"/>
      <c r="AV118" s="727"/>
      <c r="AW118" s="727"/>
      <c r="AX118" s="727"/>
      <c r="AY118" s="727"/>
      <c r="AZ118" s="728"/>
      <c r="BB118" s="641" t="str">
        <f>IF(BB116="","",VLOOKUP(BB116,KanckRef!$A$1:$G$300,4,FALSE))</f>
        <v/>
      </c>
      <c r="BC118" s="642"/>
      <c r="BD118" s="642"/>
      <c r="BE118" s="642"/>
      <c r="BF118" s="642"/>
      <c r="BG118" s="642"/>
      <c r="BH118" s="1033"/>
      <c r="BI118" s="753"/>
      <c r="BJ118" s="754"/>
      <c r="BK118" s="754"/>
      <c r="BL118" s="754"/>
      <c r="BM118" s="754"/>
      <c r="BN118" s="754"/>
      <c r="BO118" s="754"/>
      <c r="BP118" s="754"/>
      <c r="BQ118" s="754"/>
      <c r="BR118" s="754"/>
      <c r="BS118" s="754"/>
      <c r="BT118" s="754"/>
      <c r="BU118" s="754"/>
      <c r="BV118" s="754"/>
      <c r="BW118" s="754"/>
      <c r="BX118" s="754"/>
      <c r="BY118" s="754"/>
      <c r="BZ118" s="755"/>
      <c r="CB118" s="641" t="str">
        <f>IF(CB116="","",VLOOKUP(CB116,KanckRef!$A$1:$G$300,4,FALSE))</f>
        <v/>
      </c>
      <c r="CC118" s="642"/>
      <c r="CD118" s="642"/>
      <c r="CE118" s="642"/>
      <c r="CF118" s="642"/>
      <c r="CG118" s="642"/>
      <c r="CH118" s="1033"/>
      <c r="CI118" s="753"/>
      <c r="CJ118" s="754"/>
      <c r="CK118" s="754"/>
      <c r="CL118" s="754"/>
      <c r="CM118" s="754"/>
      <c r="CN118" s="754"/>
      <c r="CO118" s="754"/>
      <c r="CP118" s="754"/>
      <c r="CQ118" s="754"/>
      <c r="CR118" s="754"/>
      <c r="CS118" s="754"/>
      <c r="CT118" s="754"/>
      <c r="CU118" s="754"/>
      <c r="CV118" s="754"/>
      <c r="CW118" s="754"/>
      <c r="CX118" s="754"/>
      <c r="CY118" s="754"/>
      <c r="CZ118" s="755"/>
    </row>
    <row r="119" spans="1:104" ht="15" customHeight="1" x14ac:dyDescent="0.25">
      <c r="B119" s="1026" t="str">
        <f>IF(B116="","",VLOOKUP(B116,BoonRef!$A$2:$Z$900,23,FALSE))</f>
        <v/>
      </c>
      <c r="C119" s="727"/>
      <c r="D119" s="727"/>
      <c r="E119" s="727"/>
      <c r="F119" s="727"/>
      <c r="G119" s="727"/>
      <c r="H119" s="727"/>
      <c r="I119" s="727"/>
      <c r="J119" s="727"/>
      <c r="K119" s="727"/>
      <c r="L119" s="727"/>
      <c r="M119" s="727"/>
      <c r="N119" s="727"/>
      <c r="O119" s="727"/>
      <c r="P119" s="727"/>
      <c r="Q119" s="727"/>
      <c r="R119" s="727"/>
      <c r="S119" s="727"/>
      <c r="T119" s="727"/>
      <c r="U119" s="727"/>
      <c r="V119" s="727"/>
      <c r="W119" s="727"/>
      <c r="X119" s="727"/>
      <c r="Y119" s="727"/>
      <c r="Z119" s="728"/>
      <c r="AB119" s="1026" t="str">
        <f>IF(AB116="","",VLOOKUP(AB116,BoonRef!$A$2:$Z$900,23,FALSE))</f>
        <v/>
      </c>
      <c r="AC119" s="727"/>
      <c r="AD119" s="727"/>
      <c r="AE119" s="727"/>
      <c r="AF119" s="727"/>
      <c r="AG119" s="727"/>
      <c r="AH119" s="727"/>
      <c r="AI119" s="727"/>
      <c r="AJ119" s="727"/>
      <c r="AK119" s="727"/>
      <c r="AL119" s="727"/>
      <c r="AM119" s="727"/>
      <c r="AN119" s="727"/>
      <c r="AO119" s="727"/>
      <c r="AP119" s="727"/>
      <c r="AQ119" s="727"/>
      <c r="AR119" s="727"/>
      <c r="AS119" s="727"/>
      <c r="AT119" s="727"/>
      <c r="AU119" s="727"/>
      <c r="AV119" s="727"/>
      <c r="AW119" s="727"/>
      <c r="AX119" s="727"/>
      <c r="AY119" s="727"/>
      <c r="AZ119" s="728"/>
      <c r="BB119" s="635"/>
      <c r="BC119" s="636"/>
      <c r="BD119" s="636"/>
      <c r="BE119" s="636"/>
      <c r="BF119" s="636"/>
      <c r="BG119" s="636"/>
      <c r="BH119" s="1036"/>
      <c r="BI119" s="753"/>
      <c r="BJ119" s="754"/>
      <c r="BK119" s="754"/>
      <c r="BL119" s="754"/>
      <c r="BM119" s="754"/>
      <c r="BN119" s="754"/>
      <c r="BO119" s="754"/>
      <c r="BP119" s="754"/>
      <c r="BQ119" s="754"/>
      <c r="BR119" s="754"/>
      <c r="BS119" s="754"/>
      <c r="BT119" s="754"/>
      <c r="BU119" s="754"/>
      <c r="BV119" s="754"/>
      <c r="BW119" s="754"/>
      <c r="BX119" s="754"/>
      <c r="BY119" s="754"/>
      <c r="BZ119" s="755"/>
      <c r="CB119" s="635"/>
      <c r="CC119" s="636"/>
      <c r="CD119" s="636"/>
      <c r="CE119" s="636"/>
      <c r="CF119" s="636"/>
      <c r="CG119" s="636"/>
      <c r="CH119" s="1036"/>
      <c r="CI119" s="753"/>
      <c r="CJ119" s="754"/>
      <c r="CK119" s="754"/>
      <c r="CL119" s="754"/>
      <c r="CM119" s="754"/>
      <c r="CN119" s="754"/>
      <c r="CO119" s="754"/>
      <c r="CP119" s="754"/>
      <c r="CQ119" s="754"/>
      <c r="CR119" s="754"/>
      <c r="CS119" s="754"/>
      <c r="CT119" s="754"/>
      <c r="CU119" s="754"/>
      <c r="CV119" s="754"/>
      <c r="CW119" s="754"/>
      <c r="CX119" s="754"/>
      <c r="CY119" s="754"/>
      <c r="CZ119" s="755"/>
    </row>
    <row r="120" spans="1:104" ht="15" customHeight="1" thickBot="1" x14ac:dyDescent="0.3">
      <c r="B120" s="1027"/>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65"/>
      <c r="Y120" s="865"/>
      <c r="Z120" s="921"/>
      <c r="AB120" s="1027"/>
      <c r="AC120" s="865"/>
      <c r="AD120" s="865"/>
      <c r="AE120" s="865"/>
      <c r="AF120" s="865"/>
      <c r="AG120" s="865"/>
      <c r="AH120" s="865"/>
      <c r="AI120" s="865"/>
      <c r="AJ120" s="865"/>
      <c r="AK120" s="865"/>
      <c r="AL120" s="865"/>
      <c r="AM120" s="865"/>
      <c r="AN120" s="865"/>
      <c r="AO120" s="865"/>
      <c r="AP120" s="865"/>
      <c r="AQ120" s="865"/>
      <c r="AR120" s="865"/>
      <c r="AS120" s="865"/>
      <c r="AT120" s="865"/>
      <c r="AU120" s="865"/>
      <c r="AV120" s="865"/>
      <c r="AW120" s="865"/>
      <c r="AX120" s="865"/>
      <c r="AY120" s="865"/>
      <c r="AZ120" s="921"/>
      <c r="BB120" s="644"/>
      <c r="BC120" s="645"/>
      <c r="BD120" s="645"/>
      <c r="BE120" s="645"/>
      <c r="BF120" s="645"/>
      <c r="BG120" s="645"/>
      <c r="BH120" s="1037"/>
      <c r="BI120" s="756"/>
      <c r="BJ120" s="757"/>
      <c r="BK120" s="757"/>
      <c r="BL120" s="757"/>
      <c r="BM120" s="757"/>
      <c r="BN120" s="757"/>
      <c r="BO120" s="757"/>
      <c r="BP120" s="757"/>
      <c r="BQ120" s="757"/>
      <c r="BR120" s="757"/>
      <c r="BS120" s="757"/>
      <c r="BT120" s="757"/>
      <c r="BU120" s="757"/>
      <c r="BV120" s="757"/>
      <c r="BW120" s="757"/>
      <c r="BX120" s="757"/>
      <c r="BY120" s="757"/>
      <c r="BZ120" s="758"/>
      <c r="CB120" s="644"/>
      <c r="CC120" s="645"/>
      <c r="CD120" s="645"/>
      <c r="CE120" s="645"/>
      <c r="CF120" s="645"/>
      <c r="CG120" s="645"/>
      <c r="CH120" s="1037"/>
      <c r="CI120" s="756"/>
      <c r="CJ120" s="757"/>
      <c r="CK120" s="757"/>
      <c r="CL120" s="757"/>
      <c r="CM120" s="757"/>
      <c r="CN120" s="757"/>
      <c r="CO120" s="757"/>
      <c r="CP120" s="757"/>
      <c r="CQ120" s="757"/>
      <c r="CR120" s="757"/>
      <c r="CS120" s="757"/>
      <c r="CT120" s="757"/>
      <c r="CU120" s="757"/>
      <c r="CV120" s="757"/>
      <c r="CW120" s="757"/>
      <c r="CX120" s="757"/>
      <c r="CY120" s="757"/>
      <c r="CZ120" s="758"/>
    </row>
    <row r="121" spans="1:104" ht="15" customHeight="1" x14ac:dyDescent="0.25">
      <c r="B121" s="1028" t="str">
        <f>IF(B122="","",VLOOKUP(B122,BoonRef!$A$2:$Z$900,2,FALSE))</f>
        <v/>
      </c>
      <c r="C121" s="725"/>
      <c r="D121" s="725"/>
      <c r="E121" s="725"/>
      <c r="F121" s="725"/>
      <c r="G121" s="725"/>
      <c r="H121" s="725"/>
      <c r="I121" s="725" t="str">
        <f>IF(B122="","",VLOOKUP(B122,BoonRef!$A$2:$Z$900,3,FALSE))</f>
        <v/>
      </c>
      <c r="J121" s="725"/>
      <c r="K121" s="725" t="str">
        <f>IF(B122="","",VLOOKUP(B122,DescRef!$A$2:$B$900,2,FALSE))</f>
        <v/>
      </c>
      <c r="L121" s="725"/>
      <c r="M121" s="725"/>
      <c r="N121" s="725"/>
      <c r="O121" s="725"/>
      <c r="P121" s="725"/>
      <c r="Q121" s="725"/>
      <c r="R121" s="725"/>
      <c r="S121" s="725"/>
      <c r="T121" s="725"/>
      <c r="U121" s="725"/>
      <c r="V121" s="725"/>
      <c r="W121" s="725"/>
      <c r="X121" s="725"/>
      <c r="Y121" s="725"/>
      <c r="Z121" s="726"/>
      <c r="AB121" s="1028" t="str">
        <f>IF(AB122="","",VLOOKUP(AB122,BoonRef!$A$2:$Z$900,2,FALSE))</f>
        <v/>
      </c>
      <c r="AC121" s="725"/>
      <c r="AD121" s="725"/>
      <c r="AE121" s="725"/>
      <c r="AF121" s="725"/>
      <c r="AG121" s="725"/>
      <c r="AH121" s="725"/>
      <c r="AI121" s="725" t="str">
        <f>IF(AB122="","",VLOOKUP(AB122,BoonRef!$A$2:$Z$900,3,FALSE))</f>
        <v/>
      </c>
      <c r="AJ121" s="725"/>
      <c r="AK121" s="725" t="str">
        <f>IF(AB122="","",VLOOKUP(AB122,DescRef!$A$2:$B$900,2,FALSE))</f>
        <v/>
      </c>
      <c r="AL121" s="725"/>
      <c r="AM121" s="725"/>
      <c r="AN121" s="725"/>
      <c r="AO121" s="725"/>
      <c r="AP121" s="725"/>
      <c r="AQ121" s="725"/>
      <c r="AR121" s="725"/>
      <c r="AS121" s="725"/>
      <c r="AT121" s="725"/>
      <c r="AU121" s="725"/>
      <c r="AV121" s="725"/>
      <c r="AW121" s="725"/>
      <c r="AX121" s="725"/>
      <c r="AY121" s="725"/>
      <c r="AZ121" s="726"/>
      <c r="BB121" s="1029" t="str">
        <f>IF(BB122="","",VLOOKUP(BB122,KanckRef!$A$1:$G$300,2,FALSE))</f>
        <v/>
      </c>
      <c r="BC121" s="1030"/>
      <c r="BD121" s="1030"/>
      <c r="BE121" s="1030"/>
      <c r="BF121" s="1031"/>
      <c r="BG121" s="1048" t="str">
        <f>IF(BB122="","",VLOOKUP(BB122,KanckRef!$A$1:$G$300,6,FALSE))</f>
        <v/>
      </c>
      <c r="BH121" s="1049"/>
      <c r="BI121" s="988" t="str">
        <f>IF(BB122="","",VLOOKUP(BB122,DescRef!$D$2:$E$300,2,FALSE))</f>
        <v/>
      </c>
      <c r="BJ121" s="795"/>
      <c r="BK121" s="795"/>
      <c r="BL121" s="795"/>
      <c r="BM121" s="795"/>
      <c r="BN121" s="795"/>
      <c r="BO121" s="795"/>
      <c r="BP121" s="795"/>
      <c r="BQ121" s="795"/>
      <c r="BR121" s="795"/>
      <c r="BS121" s="795"/>
      <c r="BT121" s="795"/>
      <c r="BU121" s="795"/>
      <c r="BV121" s="795"/>
      <c r="BW121" s="795"/>
      <c r="BX121" s="795"/>
      <c r="BY121" s="795"/>
      <c r="BZ121" s="796"/>
      <c r="CB121" s="1029" t="str">
        <f>IF(CB122="","",VLOOKUP(CB122,KanckRef!$A$1:$G$300,2,FALSE))</f>
        <v/>
      </c>
      <c r="CC121" s="1030"/>
      <c r="CD121" s="1030"/>
      <c r="CE121" s="1030"/>
      <c r="CF121" s="1031"/>
      <c r="CG121" s="1048" t="str">
        <f>IF(CB122="","",VLOOKUP(CB122,KanckRef!$A$1:$G$300,6,FALSE))</f>
        <v/>
      </c>
      <c r="CH121" s="1049"/>
      <c r="CI121" s="988" t="str">
        <f>IF(CB122="","",VLOOKUP(CB122,DescRef!$D$2:$E$300,2,FALSE))</f>
        <v/>
      </c>
      <c r="CJ121" s="795"/>
      <c r="CK121" s="795"/>
      <c r="CL121" s="795"/>
      <c r="CM121" s="795"/>
      <c r="CN121" s="795"/>
      <c r="CO121" s="795"/>
      <c r="CP121" s="795"/>
      <c r="CQ121" s="795"/>
      <c r="CR121" s="795"/>
      <c r="CS121" s="795"/>
      <c r="CT121" s="795"/>
      <c r="CU121" s="795"/>
      <c r="CV121" s="795"/>
      <c r="CW121" s="795"/>
      <c r="CX121" s="795"/>
      <c r="CY121" s="795"/>
      <c r="CZ121" s="796"/>
    </row>
    <row r="122" spans="1:104" ht="15" customHeight="1" x14ac:dyDescent="0.25">
      <c r="A122" s="15">
        <v>20</v>
      </c>
      <c r="B122" s="1026" t="str">
        <f>IF(A122&lt;'Purchased Boons'!$B$496,VLOOKUP(A122,'Purchased Boons'!$BF$2:$BG$900,2,FALSE),"")</f>
        <v/>
      </c>
      <c r="C122" s="727"/>
      <c r="D122" s="727"/>
      <c r="E122" s="727"/>
      <c r="F122" s="727"/>
      <c r="G122" s="727"/>
      <c r="H122" s="727"/>
      <c r="I122" s="727" t="str">
        <f>IF(B122="","",VLOOKUP(B122,BoonRef!$A$2:$Z$900,25,FALSE))</f>
        <v/>
      </c>
      <c r="J122" s="727"/>
      <c r="K122" s="727"/>
      <c r="L122" s="727"/>
      <c r="M122" s="727"/>
      <c r="N122" s="727"/>
      <c r="O122" s="727"/>
      <c r="P122" s="727"/>
      <c r="Q122" s="727"/>
      <c r="R122" s="727"/>
      <c r="S122" s="727"/>
      <c r="T122" s="727"/>
      <c r="U122" s="727"/>
      <c r="V122" s="727"/>
      <c r="W122" s="727"/>
      <c r="X122" s="727"/>
      <c r="Y122" s="727"/>
      <c r="Z122" s="728"/>
      <c r="AA122" s="15">
        <v>127</v>
      </c>
      <c r="AB122" s="1026" t="str">
        <f>IF(AA122&lt;'Purchased Boons'!$B$496,VLOOKUP(AA122,'Purchased Boons'!$BF$2:$BG$900,2,FALSE),"")</f>
        <v/>
      </c>
      <c r="AC122" s="727"/>
      <c r="AD122" s="727"/>
      <c r="AE122" s="727"/>
      <c r="AF122" s="727"/>
      <c r="AG122" s="727"/>
      <c r="AH122" s="727"/>
      <c r="AI122" s="727" t="str">
        <f>IF(AB122="","",VLOOKUP(AB122,BoonRef!$A$2:$Z$900,25,FALSE))</f>
        <v/>
      </c>
      <c r="AJ122" s="727"/>
      <c r="AK122" s="727"/>
      <c r="AL122" s="727"/>
      <c r="AM122" s="727"/>
      <c r="AN122" s="727"/>
      <c r="AO122" s="727"/>
      <c r="AP122" s="727"/>
      <c r="AQ122" s="727"/>
      <c r="AR122" s="727"/>
      <c r="AS122" s="727"/>
      <c r="AT122" s="727"/>
      <c r="AU122" s="727"/>
      <c r="AV122" s="727"/>
      <c r="AW122" s="727"/>
      <c r="AX122" s="727"/>
      <c r="AY122" s="727"/>
      <c r="AZ122" s="728"/>
      <c r="BA122" s="15">
        <v>20</v>
      </c>
      <c r="BB122" s="1038" t="str">
        <f>IF(BA122&lt;'Purchased Knacks'!A$192,VLOOKUP(BA122,'Purchased Knacks'!$A$4:$E$300,3,FALSE),"")</f>
        <v/>
      </c>
      <c r="BC122" s="1039"/>
      <c r="BD122" s="1039"/>
      <c r="BE122" s="1039"/>
      <c r="BF122" s="1040"/>
      <c r="BG122" s="1032" t="str">
        <f>IF(BB122="","",VLOOKUP(BB122,KanckRef!$A$1:$G$300,7,FALSE))</f>
        <v/>
      </c>
      <c r="BH122" s="1033"/>
      <c r="BI122" s="753"/>
      <c r="BJ122" s="754"/>
      <c r="BK122" s="754"/>
      <c r="BL122" s="754"/>
      <c r="BM122" s="754"/>
      <c r="BN122" s="754"/>
      <c r="BO122" s="754"/>
      <c r="BP122" s="754"/>
      <c r="BQ122" s="754"/>
      <c r="BR122" s="754"/>
      <c r="BS122" s="754"/>
      <c r="BT122" s="754"/>
      <c r="BU122" s="754"/>
      <c r="BV122" s="754"/>
      <c r="BW122" s="754"/>
      <c r="BX122" s="754"/>
      <c r="BY122" s="754"/>
      <c r="BZ122" s="755"/>
      <c r="CA122" s="15">
        <v>127</v>
      </c>
      <c r="CB122" s="1038" t="str">
        <f>IF(CA122&lt;'Purchased Knacks'!A$192,VLOOKUP(CA122,'Purchased Knacks'!$A$4:$E$300,3,FALSE),"")</f>
        <v/>
      </c>
      <c r="CC122" s="1039"/>
      <c r="CD122" s="1039"/>
      <c r="CE122" s="1039"/>
      <c r="CF122" s="1040"/>
      <c r="CG122" s="1032" t="str">
        <f>IF(CB122="","",VLOOKUP(CB122,KanckRef!$A$1:$G$300,7,FALSE))</f>
        <v/>
      </c>
      <c r="CH122" s="1033"/>
      <c r="CI122" s="753"/>
      <c r="CJ122" s="754"/>
      <c r="CK122" s="754"/>
      <c r="CL122" s="754"/>
      <c r="CM122" s="754"/>
      <c r="CN122" s="754"/>
      <c r="CO122" s="754"/>
      <c r="CP122" s="754"/>
      <c r="CQ122" s="754"/>
      <c r="CR122" s="754"/>
      <c r="CS122" s="754"/>
      <c r="CT122" s="754"/>
      <c r="CU122" s="754"/>
      <c r="CV122" s="754"/>
      <c r="CW122" s="754"/>
      <c r="CX122" s="754"/>
      <c r="CY122" s="754"/>
      <c r="CZ122" s="755"/>
    </row>
    <row r="123" spans="1:104" ht="15" customHeight="1" x14ac:dyDescent="0.25">
      <c r="B123" s="1026"/>
      <c r="C123" s="727"/>
      <c r="D123" s="727"/>
      <c r="E123" s="727"/>
      <c r="F123" s="727"/>
      <c r="G123" s="727"/>
      <c r="H123" s="727"/>
      <c r="I123" s="727" t="str">
        <f>IF(B122="","",VLOOKUP(B122,BoonRef!$A$2:$Z$900,26,FALSE))</f>
        <v/>
      </c>
      <c r="J123" s="727"/>
      <c r="K123" s="727"/>
      <c r="L123" s="727"/>
      <c r="M123" s="727"/>
      <c r="N123" s="727"/>
      <c r="O123" s="727"/>
      <c r="P123" s="727"/>
      <c r="Q123" s="727"/>
      <c r="R123" s="727"/>
      <c r="S123" s="727"/>
      <c r="T123" s="727"/>
      <c r="U123" s="727"/>
      <c r="V123" s="727"/>
      <c r="W123" s="727"/>
      <c r="X123" s="727"/>
      <c r="Y123" s="727"/>
      <c r="Z123" s="728"/>
      <c r="AB123" s="1026"/>
      <c r="AC123" s="727"/>
      <c r="AD123" s="727"/>
      <c r="AE123" s="727"/>
      <c r="AF123" s="727"/>
      <c r="AG123" s="727"/>
      <c r="AH123" s="727"/>
      <c r="AI123" s="727" t="str">
        <f>IF(AB122="","",VLOOKUP(AB122,BoonRef!$A$2:$Z$900,26,FALSE))</f>
        <v/>
      </c>
      <c r="AJ123" s="727"/>
      <c r="AK123" s="727"/>
      <c r="AL123" s="727"/>
      <c r="AM123" s="727"/>
      <c r="AN123" s="727"/>
      <c r="AO123" s="727"/>
      <c r="AP123" s="727"/>
      <c r="AQ123" s="727"/>
      <c r="AR123" s="727"/>
      <c r="AS123" s="727"/>
      <c r="AT123" s="727"/>
      <c r="AU123" s="727"/>
      <c r="AV123" s="727"/>
      <c r="AW123" s="727"/>
      <c r="AX123" s="727"/>
      <c r="AY123" s="727"/>
      <c r="AZ123" s="728"/>
      <c r="BB123" s="1041"/>
      <c r="BC123" s="1042"/>
      <c r="BD123" s="1042"/>
      <c r="BE123" s="1042"/>
      <c r="BF123" s="1043"/>
      <c r="BG123" s="1034"/>
      <c r="BH123" s="1035"/>
      <c r="BI123" s="753"/>
      <c r="BJ123" s="754"/>
      <c r="BK123" s="754"/>
      <c r="BL123" s="754"/>
      <c r="BM123" s="754"/>
      <c r="BN123" s="754"/>
      <c r="BO123" s="754"/>
      <c r="BP123" s="754"/>
      <c r="BQ123" s="754"/>
      <c r="BR123" s="754"/>
      <c r="BS123" s="754"/>
      <c r="BT123" s="754"/>
      <c r="BU123" s="754"/>
      <c r="BV123" s="754"/>
      <c r="BW123" s="754"/>
      <c r="BX123" s="754"/>
      <c r="BY123" s="754"/>
      <c r="BZ123" s="755"/>
      <c r="CB123" s="1041"/>
      <c r="CC123" s="1042"/>
      <c r="CD123" s="1042"/>
      <c r="CE123" s="1042"/>
      <c r="CF123" s="1043"/>
      <c r="CG123" s="1034"/>
      <c r="CH123" s="1035"/>
      <c r="CI123" s="753"/>
      <c r="CJ123" s="754"/>
      <c r="CK123" s="754"/>
      <c r="CL123" s="754"/>
      <c r="CM123" s="754"/>
      <c r="CN123" s="754"/>
      <c r="CO123" s="754"/>
      <c r="CP123" s="754"/>
      <c r="CQ123" s="754"/>
      <c r="CR123" s="754"/>
      <c r="CS123" s="754"/>
      <c r="CT123" s="754"/>
      <c r="CU123" s="754"/>
      <c r="CV123" s="754"/>
      <c r="CW123" s="754"/>
      <c r="CX123" s="754"/>
      <c r="CY123" s="754"/>
      <c r="CZ123" s="755"/>
    </row>
    <row r="124" spans="1:104" ht="15" customHeight="1" x14ac:dyDescent="0.25">
      <c r="B124" s="1026" t="str">
        <f>IF(B122="","",VLOOKUP(B122,BoonRef!$A$2:$Z$900,24,FALSE))</f>
        <v/>
      </c>
      <c r="C124" s="727"/>
      <c r="D124" s="727"/>
      <c r="E124" s="727"/>
      <c r="F124" s="727"/>
      <c r="G124" s="727"/>
      <c r="H124" s="727"/>
      <c r="I124" s="727"/>
      <c r="J124" s="727"/>
      <c r="K124" s="727"/>
      <c r="L124" s="727"/>
      <c r="M124" s="727"/>
      <c r="N124" s="727"/>
      <c r="O124" s="727"/>
      <c r="P124" s="727"/>
      <c r="Q124" s="727"/>
      <c r="R124" s="727"/>
      <c r="S124" s="727"/>
      <c r="T124" s="727"/>
      <c r="U124" s="727"/>
      <c r="V124" s="727"/>
      <c r="W124" s="727"/>
      <c r="X124" s="727"/>
      <c r="Y124" s="727"/>
      <c r="Z124" s="728"/>
      <c r="AB124" s="1026" t="str">
        <f>IF(AB122="","",VLOOKUP(AB122,BoonRef!$A$2:$Z$900,24,FALSE))</f>
        <v/>
      </c>
      <c r="AC124" s="727"/>
      <c r="AD124" s="727"/>
      <c r="AE124" s="727"/>
      <c r="AF124" s="727"/>
      <c r="AG124" s="727"/>
      <c r="AH124" s="727"/>
      <c r="AI124" s="727"/>
      <c r="AJ124" s="727"/>
      <c r="AK124" s="727"/>
      <c r="AL124" s="727"/>
      <c r="AM124" s="727"/>
      <c r="AN124" s="727"/>
      <c r="AO124" s="727"/>
      <c r="AP124" s="727"/>
      <c r="AQ124" s="727"/>
      <c r="AR124" s="727"/>
      <c r="AS124" s="727"/>
      <c r="AT124" s="727"/>
      <c r="AU124" s="727"/>
      <c r="AV124" s="727"/>
      <c r="AW124" s="727"/>
      <c r="AX124" s="727"/>
      <c r="AY124" s="727"/>
      <c r="AZ124" s="728"/>
      <c r="BB124" s="641" t="str">
        <f>IF(BB122="","",VLOOKUP(BB122,KanckRef!$A$1:$G$300,4,FALSE))</f>
        <v/>
      </c>
      <c r="BC124" s="642"/>
      <c r="BD124" s="642"/>
      <c r="BE124" s="642"/>
      <c r="BF124" s="642"/>
      <c r="BG124" s="642"/>
      <c r="BH124" s="1033"/>
      <c r="BI124" s="753"/>
      <c r="BJ124" s="754"/>
      <c r="BK124" s="754"/>
      <c r="BL124" s="754"/>
      <c r="BM124" s="754"/>
      <c r="BN124" s="754"/>
      <c r="BO124" s="754"/>
      <c r="BP124" s="754"/>
      <c r="BQ124" s="754"/>
      <c r="BR124" s="754"/>
      <c r="BS124" s="754"/>
      <c r="BT124" s="754"/>
      <c r="BU124" s="754"/>
      <c r="BV124" s="754"/>
      <c r="BW124" s="754"/>
      <c r="BX124" s="754"/>
      <c r="BY124" s="754"/>
      <c r="BZ124" s="755"/>
      <c r="CB124" s="641" t="str">
        <f>IF(CB122="","",VLOOKUP(CB122,KanckRef!$A$1:$G$300,4,FALSE))</f>
        <v/>
      </c>
      <c r="CC124" s="642"/>
      <c r="CD124" s="642"/>
      <c r="CE124" s="642"/>
      <c r="CF124" s="642"/>
      <c r="CG124" s="642"/>
      <c r="CH124" s="1033"/>
      <c r="CI124" s="753"/>
      <c r="CJ124" s="754"/>
      <c r="CK124" s="754"/>
      <c r="CL124" s="754"/>
      <c r="CM124" s="754"/>
      <c r="CN124" s="754"/>
      <c r="CO124" s="754"/>
      <c r="CP124" s="754"/>
      <c r="CQ124" s="754"/>
      <c r="CR124" s="754"/>
      <c r="CS124" s="754"/>
      <c r="CT124" s="754"/>
      <c r="CU124" s="754"/>
      <c r="CV124" s="754"/>
      <c r="CW124" s="754"/>
      <c r="CX124" s="754"/>
      <c r="CY124" s="754"/>
      <c r="CZ124" s="755"/>
    </row>
    <row r="125" spans="1:104" ht="15" customHeight="1" x14ac:dyDescent="0.25">
      <c r="B125" s="1026" t="str">
        <f>IF(B122="","",VLOOKUP(B122,BoonRef!$A$2:$Z$900,23,FALSE))</f>
        <v/>
      </c>
      <c r="C125" s="727"/>
      <c r="D125" s="727"/>
      <c r="E125" s="727"/>
      <c r="F125" s="727"/>
      <c r="G125" s="727"/>
      <c r="H125" s="727"/>
      <c r="I125" s="727"/>
      <c r="J125" s="727"/>
      <c r="K125" s="727"/>
      <c r="L125" s="727"/>
      <c r="M125" s="727"/>
      <c r="N125" s="727"/>
      <c r="O125" s="727"/>
      <c r="P125" s="727"/>
      <c r="Q125" s="727"/>
      <c r="R125" s="727"/>
      <c r="S125" s="727"/>
      <c r="T125" s="727"/>
      <c r="U125" s="727"/>
      <c r="V125" s="727"/>
      <c r="W125" s="727"/>
      <c r="X125" s="727"/>
      <c r="Y125" s="727"/>
      <c r="Z125" s="728"/>
      <c r="AB125" s="1026" t="str">
        <f>IF(AB122="","",VLOOKUP(AB122,BoonRef!$A$2:$Z$900,23,FALSE))</f>
        <v/>
      </c>
      <c r="AC125" s="727"/>
      <c r="AD125" s="727"/>
      <c r="AE125" s="727"/>
      <c r="AF125" s="727"/>
      <c r="AG125" s="727"/>
      <c r="AH125" s="727"/>
      <c r="AI125" s="727"/>
      <c r="AJ125" s="727"/>
      <c r="AK125" s="727"/>
      <c r="AL125" s="727"/>
      <c r="AM125" s="727"/>
      <c r="AN125" s="727"/>
      <c r="AO125" s="727"/>
      <c r="AP125" s="727"/>
      <c r="AQ125" s="727"/>
      <c r="AR125" s="727"/>
      <c r="AS125" s="727"/>
      <c r="AT125" s="727"/>
      <c r="AU125" s="727"/>
      <c r="AV125" s="727"/>
      <c r="AW125" s="727"/>
      <c r="AX125" s="727"/>
      <c r="AY125" s="727"/>
      <c r="AZ125" s="728"/>
      <c r="BB125" s="635"/>
      <c r="BC125" s="636"/>
      <c r="BD125" s="636"/>
      <c r="BE125" s="636"/>
      <c r="BF125" s="636"/>
      <c r="BG125" s="636"/>
      <c r="BH125" s="1036"/>
      <c r="BI125" s="753"/>
      <c r="BJ125" s="754"/>
      <c r="BK125" s="754"/>
      <c r="BL125" s="754"/>
      <c r="BM125" s="754"/>
      <c r="BN125" s="754"/>
      <c r="BO125" s="754"/>
      <c r="BP125" s="754"/>
      <c r="BQ125" s="754"/>
      <c r="BR125" s="754"/>
      <c r="BS125" s="754"/>
      <c r="BT125" s="754"/>
      <c r="BU125" s="754"/>
      <c r="BV125" s="754"/>
      <c r="BW125" s="754"/>
      <c r="BX125" s="754"/>
      <c r="BY125" s="754"/>
      <c r="BZ125" s="755"/>
      <c r="CB125" s="635"/>
      <c r="CC125" s="636"/>
      <c r="CD125" s="636"/>
      <c r="CE125" s="636"/>
      <c r="CF125" s="636"/>
      <c r="CG125" s="636"/>
      <c r="CH125" s="1036"/>
      <c r="CI125" s="753"/>
      <c r="CJ125" s="754"/>
      <c r="CK125" s="754"/>
      <c r="CL125" s="754"/>
      <c r="CM125" s="754"/>
      <c r="CN125" s="754"/>
      <c r="CO125" s="754"/>
      <c r="CP125" s="754"/>
      <c r="CQ125" s="754"/>
      <c r="CR125" s="754"/>
      <c r="CS125" s="754"/>
      <c r="CT125" s="754"/>
      <c r="CU125" s="754"/>
      <c r="CV125" s="754"/>
      <c r="CW125" s="754"/>
      <c r="CX125" s="754"/>
      <c r="CY125" s="754"/>
      <c r="CZ125" s="755"/>
    </row>
    <row r="126" spans="1:104" ht="15" customHeight="1" thickBot="1" x14ac:dyDescent="0.3">
      <c r="B126" s="1027"/>
      <c r="C126" s="865"/>
      <c r="D126" s="865"/>
      <c r="E126" s="865"/>
      <c r="F126" s="865"/>
      <c r="G126" s="865"/>
      <c r="H126" s="865"/>
      <c r="I126" s="865"/>
      <c r="J126" s="865"/>
      <c r="K126" s="865"/>
      <c r="L126" s="865"/>
      <c r="M126" s="865"/>
      <c r="N126" s="865"/>
      <c r="O126" s="865"/>
      <c r="P126" s="865"/>
      <c r="Q126" s="865"/>
      <c r="R126" s="865"/>
      <c r="S126" s="865"/>
      <c r="T126" s="865"/>
      <c r="U126" s="865"/>
      <c r="V126" s="865"/>
      <c r="W126" s="865"/>
      <c r="X126" s="865"/>
      <c r="Y126" s="865"/>
      <c r="Z126" s="921"/>
      <c r="AB126" s="1027"/>
      <c r="AC126" s="865"/>
      <c r="AD126" s="865"/>
      <c r="AE126" s="865"/>
      <c r="AF126" s="865"/>
      <c r="AG126" s="865"/>
      <c r="AH126" s="865"/>
      <c r="AI126" s="865"/>
      <c r="AJ126" s="865"/>
      <c r="AK126" s="865"/>
      <c r="AL126" s="865"/>
      <c r="AM126" s="865"/>
      <c r="AN126" s="865"/>
      <c r="AO126" s="865"/>
      <c r="AP126" s="865"/>
      <c r="AQ126" s="865"/>
      <c r="AR126" s="865"/>
      <c r="AS126" s="865"/>
      <c r="AT126" s="865"/>
      <c r="AU126" s="865"/>
      <c r="AV126" s="865"/>
      <c r="AW126" s="865"/>
      <c r="AX126" s="865"/>
      <c r="AY126" s="865"/>
      <c r="AZ126" s="921"/>
      <c r="BB126" s="644"/>
      <c r="BC126" s="645"/>
      <c r="BD126" s="645"/>
      <c r="BE126" s="645"/>
      <c r="BF126" s="645"/>
      <c r="BG126" s="645"/>
      <c r="BH126" s="1037"/>
      <c r="BI126" s="756"/>
      <c r="BJ126" s="757"/>
      <c r="BK126" s="757"/>
      <c r="BL126" s="757"/>
      <c r="BM126" s="757"/>
      <c r="BN126" s="757"/>
      <c r="BO126" s="757"/>
      <c r="BP126" s="757"/>
      <c r="BQ126" s="757"/>
      <c r="BR126" s="757"/>
      <c r="BS126" s="757"/>
      <c r="BT126" s="757"/>
      <c r="BU126" s="757"/>
      <c r="BV126" s="757"/>
      <c r="BW126" s="757"/>
      <c r="BX126" s="757"/>
      <c r="BY126" s="757"/>
      <c r="BZ126" s="758"/>
      <c r="CB126" s="644"/>
      <c r="CC126" s="645"/>
      <c r="CD126" s="645"/>
      <c r="CE126" s="645"/>
      <c r="CF126" s="645"/>
      <c r="CG126" s="645"/>
      <c r="CH126" s="1037"/>
      <c r="CI126" s="756"/>
      <c r="CJ126" s="757"/>
      <c r="CK126" s="757"/>
      <c r="CL126" s="757"/>
      <c r="CM126" s="757"/>
      <c r="CN126" s="757"/>
      <c r="CO126" s="757"/>
      <c r="CP126" s="757"/>
      <c r="CQ126" s="757"/>
      <c r="CR126" s="757"/>
      <c r="CS126" s="757"/>
      <c r="CT126" s="757"/>
      <c r="CU126" s="757"/>
      <c r="CV126" s="757"/>
      <c r="CW126" s="757"/>
      <c r="CX126" s="757"/>
      <c r="CY126" s="757"/>
      <c r="CZ126" s="758"/>
    </row>
    <row r="127" spans="1:104" ht="15" customHeight="1" x14ac:dyDescent="0.25">
      <c r="B127" s="1028" t="str">
        <f>IF(B128="","",VLOOKUP(B128,BoonRef!$A$2:$Z$900,2,FALSE))</f>
        <v/>
      </c>
      <c r="C127" s="725"/>
      <c r="D127" s="725"/>
      <c r="E127" s="725"/>
      <c r="F127" s="725"/>
      <c r="G127" s="725"/>
      <c r="H127" s="725"/>
      <c r="I127" s="725" t="str">
        <f>IF(B128="","",VLOOKUP(B128,BoonRef!$A$2:$Z$900,3,FALSE))</f>
        <v/>
      </c>
      <c r="J127" s="725"/>
      <c r="K127" s="725" t="str">
        <f>IF(B128="","",VLOOKUP(B128,DescRef!$A$2:$B$900,2,FALSE))</f>
        <v/>
      </c>
      <c r="L127" s="725"/>
      <c r="M127" s="725"/>
      <c r="N127" s="725"/>
      <c r="O127" s="725"/>
      <c r="P127" s="725"/>
      <c r="Q127" s="725"/>
      <c r="R127" s="725"/>
      <c r="S127" s="725"/>
      <c r="T127" s="725"/>
      <c r="U127" s="725"/>
      <c r="V127" s="725"/>
      <c r="W127" s="725"/>
      <c r="X127" s="725"/>
      <c r="Y127" s="725"/>
      <c r="Z127" s="726"/>
      <c r="AB127" s="1028" t="str">
        <f>IF(AB128="","",VLOOKUP(AB128,BoonRef!$A$2:$Z$900,2,FALSE))</f>
        <v/>
      </c>
      <c r="AC127" s="725"/>
      <c r="AD127" s="725"/>
      <c r="AE127" s="725"/>
      <c r="AF127" s="725"/>
      <c r="AG127" s="725"/>
      <c r="AH127" s="725"/>
      <c r="AI127" s="725" t="str">
        <f>IF(AB128="","",VLOOKUP(AB128,BoonRef!$A$2:$Z$900,3,FALSE))</f>
        <v/>
      </c>
      <c r="AJ127" s="725"/>
      <c r="AK127" s="725" t="str">
        <f>IF(AB128="","",VLOOKUP(AB128,DescRef!$A$2:$B$900,2,FALSE))</f>
        <v/>
      </c>
      <c r="AL127" s="725"/>
      <c r="AM127" s="725"/>
      <c r="AN127" s="725"/>
      <c r="AO127" s="725"/>
      <c r="AP127" s="725"/>
      <c r="AQ127" s="725"/>
      <c r="AR127" s="725"/>
      <c r="AS127" s="725"/>
      <c r="AT127" s="725"/>
      <c r="AU127" s="725"/>
      <c r="AV127" s="725"/>
      <c r="AW127" s="725"/>
      <c r="AX127" s="725"/>
      <c r="AY127" s="725"/>
      <c r="AZ127" s="726"/>
      <c r="BB127" s="1029" t="str">
        <f>IF(BB128="","",VLOOKUP(BB128,KanckRef!$A$1:$G$300,2,FALSE))</f>
        <v/>
      </c>
      <c r="BC127" s="1030"/>
      <c r="BD127" s="1030"/>
      <c r="BE127" s="1030"/>
      <c r="BF127" s="1031"/>
      <c r="BG127" s="1048" t="str">
        <f>IF(BB128="","",VLOOKUP(BB128,KanckRef!$A$1:$G$300,6,FALSE))</f>
        <v/>
      </c>
      <c r="BH127" s="1049"/>
      <c r="BI127" s="988" t="str">
        <f>IF(BB128="","",VLOOKUP(BB128,DescRef!$D$2:$E$300,2,FALSE))</f>
        <v/>
      </c>
      <c r="BJ127" s="795"/>
      <c r="BK127" s="795"/>
      <c r="BL127" s="795"/>
      <c r="BM127" s="795"/>
      <c r="BN127" s="795"/>
      <c r="BO127" s="795"/>
      <c r="BP127" s="795"/>
      <c r="BQ127" s="795"/>
      <c r="BR127" s="795"/>
      <c r="BS127" s="795"/>
      <c r="BT127" s="795"/>
      <c r="BU127" s="795"/>
      <c r="BV127" s="795"/>
      <c r="BW127" s="795"/>
      <c r="BX127" s="795"/>
      <c r="BY127" s="795"/>
      <c r="BZ127" s="796"/>
      <c r="CB127" s="1029" t="str">
        <f>IF(CB128="","",VLOOKUP(CB128,KanckRef!$A$1:$G$300,2,FALSE))</f>
        <v/>
      </c>
      <c r="CC127" s="1030"/>
      <c r="CD127" s="1030"/>
      <c r="CE127" s="1030"/>
      <c r="CF127" s="1031"/>
      <c r="CG127" s="1048" t="str">
        <f>IF(CB128="","",VLOOKUP(CB128,KanckRef!$A$1:$G$300,6,FALSE))</f>
        <v/>
      </c>
      <c r="CH127" s="1049"/>
      <c r="CI127" s="988" t="str">
        <f>IF(CB128="","",VLOOKUP(CB128,DescRef!$D$2:$E$300,2,FALSE))</f>
        <v/>
      </c>
      <c r="CJ127" s="795"/>
      <c r="CK127" s="795"/>
      <c r="CL127" s="795"/>
      <c r="CM127" s="795"/>
      <c r="CN127" s="795"/>
      <c r="CO127" s="795"/>
      <c r="CP127" s="795"/>
      <c r="CQ127" s="795"/>
      <c r="CR127" s="795"/>
      <c r="CS127" s="795"/>
      <c r="CT127" s="795"/>
      <c r="CU127" s="795"/>
      <c r="CV127" s="795"/>
      <c r="CW127" s="795"/>
      <c r="CX127" s="795"/>
      <c r="CY127" s="795"/>
      <c r="CZ127" s="796"/>
    </row>
    <row r="128" spans="1:104" ht="15" customHeight="1" x14ac:dyDescent="0.25">
      <c r="A128" s="15">
        <v>21</v>
      </c>
      <c r="B128" s="1026" t="str">
        <f>IF(A128&lt;'Purchased Boons'!$B$496,VLOOKUP(A128,'Purchased Boons'!$BF$2:$BG$900,2,FALSE),"")</f>
        <v/>
      </c>
      <c r="C128" s="727"/>
      <c r="D128" s="727"/>
      <c r="E128" s="727"/>
      <c r="F128" s="727"/>
      <c r="G128" s="727"/>
      <c r="H128" s="727"/>
      <c r="I128" s="727" t="str">
        <f>IF(B128="","",VLOOKUP(B128,BoonRef!$A$2:$Z$900,25,FALSE))</f>
        <v/>
      </c>
      <c r="J128" s="727"/>
      <c r="K128" s="727"/>
      <c r="L128" s="727"/>
      <c r="M128" s="727"/>
      <c r="N128" s="727"/>
      <c r="O128" s="727"/>
      <c r="P128" s="727"/>
      <c r="Q128" s="727"/>
      <c r="R128" s="727"/>
      <c r="S128" s="727"/>
      <c r="T128" s="727"/>
      <c r="U128" s="727"/>
      <c r="V128" s="727"/>
      <c r="W128" s="727"/>
      <c r="X128" s="727"/>
      <c r="Y128" s="727"/>
      <c r="Z128" s="728"/>
      <c r="AA128" s="15">
        <v>128</v>
      </c>
      <c r="AB128" s="1026" t="str">
        <f>IF(AA128&lt;'Purchased Boons'!$B$496,VLOOKUP(AA128,'Purchased Boons'!$BF$2:$BG$900,2,FALSE),"")</f>
        <v/>
      </c>
      <c r="AC128" s="727"/>
      <c r="AD128" s="727"/>
      <c r="AE128" s="727"/>
      <c r="AF128" s="727"/>
      <c r="AG128" s="727"/>
      <c r="AH128" s="727"/>
      <c r="AI128" s="727" t="str">
        <f>IF(AB128="","",VLOOKUP(AB128,BoonRef!$A$2:$Z$900,25,FALSE))</f>
        <v/>
      </c>
      <c r="AJ128" s="727"/>
      <c r="AK128" s="727"/>
      <c r="AL128" s="727"/>
      <c r="AM128" s="727"/>
      <c r="AN128" s="727"/>
      <c r="AO128" s="727"/>
      <c r="AP128" s="727"/>
      <c r="AQ128" s="727"/>
      <c r="AR128" s="727"/>
      <c r="AS128" s="727"/>
      <c r="AT128" s="727"/>
      <c r="AU128" s="727"/>
      <c r="AV128" s="727"/>
      <c r="AW128" s="727"/>
      <c r="AX128" s="727"/>
      <c r="AY128" s="727"/>
      <c r="AZ128" s="728"/>
      <c r="BA128" s="15">
        <v>21</v>
      </c>
      <c r="BB128" s="1038" t="str">
        <f>IF(BA128&lt;'Purchased Knacks'!A$192,VLOOKUP(BA128,'Purchased Knacks'!$A$4:$E$300,3,FALSE),"")</f>
        <v/>
      </c>
      <c r="BC128" s="1039"/>
      <c r="BD128" s="1039"/>
      <c r="BE128" s="1039"/>
      <c r="BF128" s="1040"/>
      <c r="BG128" s="1032" t="str">
        <f>IF(BB128="","",VLOOKUP(BB128,KanckRef!$A$1:$G$300,7,FALSE))</f>
        <v/>
      </c>
      <c r="BH128" s="1033"/>
      <c r="BI128" s="753"/>
      <c r="BJ128" s="754"/>
      <c r="BK128" s="754"/>
      <c r="BL128" s="754"/>
      <c r="BM128" s="754"/>
      <c r="BN128" s="754"/>
      <c r="BO128" s="754"/>
      <c r="BP128" s="754"/>
      <c r="BQ128" s="754"/>
      <c r="BR128" s="754"/>
      <c r="BS128" s="754"/>
      <c r="BT128" s="754"/>
      <c r="BU128" s="754"/>
      <c r="BV128" s="754"/>
      <c r="BW128" s="754"/>
      <c r="BX128" s="754"/>
      <c r="BY128" s="754"/>
      <c r="BZ128" s="755"/>
      <c r="CA128" s="15">
        <v>128</v>
      </c>
      <c r="CB128" s="1038" t="str">
        <f>IF(CA128&lt;'Purchased Knacks'!A$192,VLOOKUP(CA128,'Purchased Knacks'!$A$4:$E$300,3,FALSE),"")</f>
        <v/>
      </c>
      <c r="CC128" s="1039"/>
      <c r="CD128" s="1039"/>
      <c r="CE128" s="1039"/>
      <c r="CF128" s="1040"/>
      <c r="CG128" s="1032" t="str">
        <f>IF(CB128="","",VLOOKUP(CB128,KanckRef!$A$1:$G$300,7,FALSE))</f>
        <v/>
      </c>
      <c r="CH128" s="1033"/>
      <c r="CI128" s="753"/>
      <c r="CJ128" s="754"/>
      <c r="CK128" s="754"/>
      <c r="CL128" s="754"/>
      <c r="CM128" s="754"/>
      <c r="CN128" s="754"/>
      <c r="CO128" s="754"/>
      <c r="CP128" s="754"/>
      <c r="CQ128" s="754"/>
      <c r="CR128" s="754"/>
      <c r="CS128" s="754"/>
      <c r="CT128" s="754"/>
      <c r="CU128" s="754"/>
      <c r="CV128" s="754"/>
      <c r="CW128" s="754"/>
      <c r="CX128" s="754"/>
      <c r="CY128" s="754"/>
      <c r="CZ128" s="755"/>
    </row>
    <row r="129" spans="1:104" ht="15" customHeight="1" x14ac:dyDescent="0.25">
      <c r="B129" s="1026"/>
      <c r="C129" s="727"/>
      <c r="D129" s="727"/>
      <c r="E129" s="727"/>
      <c r="F129" s="727"/>
      <c r="G129" s="727"/>
      <c r="H129" s="727"/>
      <c r="I129" s="727" t="str">
        <f>IF(B128="","",VLOOKUP(B128,BoonRef!$A$2:$Z$900,26,FALSE))</f>
        <v/>
      </c>
      <c r="J129" s="727"/>
      <c r="K129" s="727"/>
      <c r="L129" s="727"/>
      <c r="M129" s="727"/>
      <c r="N129" s="727"/>
      <c r="O129" s="727"/>
      <c r="P129" s="727"/>
      <c r="Q129" s="727"/>
      <c r="R129" s="727"/>
      <c r="S129" s="727"/>
      <c r="T129" s="727"/>
      <c r="U129" s="727"/>
      <c r="V129" s="727"/>
      <c r="W129" s="727"/>
      <c r="X129" s="727"/>
      <c r="Y129" s="727"/>
      <c r="Z129" s="728"/>
      <c r="AB129" s="1026"/>
      <c r="AC129" s="727"/>
      <c r="AD129" s="727"/>
      <c r="AE129" s="727"/>
      <c r="AF129" s="727"/>
      <c r="AG129" s="727"/>
      <c r="AH129" s="727"/>
      <c r="AI129" s="727" t="str">
        <f>IF(AB128="","",VLOOKUP(AB128,BoonRef!$A$2:$Z$900,26,FALSE))</f>
        <v/>
      </c>
      <c r="AJ129" s="727"/>
      <c r="AK129" s="727"/>
      <c r="AL129" s="727"/>
      <c r="AM129" s="727"/>
      <c r="AN129" s="727"/>
      <c r="AO129" s="727"/>
      <c r="AP129" s="727"/>
      <c r="AQ129" s="727"/>
      <c r="AR129" s="727"/>
      <c r="AS129" s="727"/>
      <c r="AT129" s="727"/>
      <c r="AU129" s="727"/>
      <c r="AV129" s="727"/>
      <c r="AW129" s="727"/>
      <c r="AX129" s="727"/>
      <c r="AY129" s="727"/>
      <c r="AZ129" s="728"/>
      <c r="BB129" s="1041"/>
      <c r="BC129" s="1042"/>
      <c r="BD129" s="1042"/>
      <c r="BE129" s="1042"/>
      <c r="BF129" s="1043"/>
      <c r="BG129" s="1034"/>
      <c r="BH129" s="1035"/>
      <c r="BI129" s="753"/>
      <c r="BJ129" s="754"/>
      <c r="BK129" s="754"/>
      <c r="BL129" s="754"/>
      <c r="BM129" s="754"/>
      <c r="BN129" s="754"/>
      <c r="BO129" s="754"/>
      <c r="BP129" s="754"/>
      <c r="BQ129" s="754"/>
      <c r="BR129" s="754"/>
      <c r="BS129" s="754"/>
      <c r="BT129" s="754"/>
      <c r="BU129" s="754"/>
      <c r="BV129" s="754"/>
      <c r="BW129" s="754"/>
      <c r="BX129" s="754"/>
      <c r="BY129" s="754"/>
      <c r="BZ129" s="755"/>
      <c r="CB129" s="1041"/>
      <c r="CC129" s="1042"/>
      <c r="CD129" s="1042"/>
      <c r="CE129" s="1042"/>
      <c r="CF129" s="1043"/>
      <c r="CG129" s="1034"/>
      <c r="CH129" s="1035"/>
      <c r="CI129" s="753"/>
      <c r="CJ129" s="754"/>
      <c r="CK129" s="754"/>
      <c r="CL129" s="754"/>
      <c r="CM129" s="754"/>
      <c r="CN129" s="754"/>
      <c r="CO129" s="754"/>
      <c r="CP129" s="754"/>
      <c r="CQ129" s="754"/>
      <c r="CR129" s="754"/>
      <c r="CS129" s="754"/>
      <c r="CT129" s="754"/>
      <c r="CU129" s="754"/>
      <c r="CV129" s="754"/>
      <c r="CW129" s="754"/>
      <c r="CX129" s="754"/>
      <c r="CY129" s="754"/>
      <c r="CZ129" s="755"/>
    </row>
    <row r="130" spans="1:104" ht="15" customHeight="1" x14ac:dyDescent="0.25">
      <c r="B130" s="1026" t="str">
        <f>IF(B128="","",VLOOKUP(B128,BoonRef!$A$2:$Z$900,24,FALSE))</f>
        <v/>
      </c>
      <c r="C130" s="727"/>
      <c r="D130" s="727"/>
      <c r="E130" s="727"/>
      <c r="F130" s="727"/>
      <c r="G130" s="727"/>
      <c r="H130" s="727"/>
      <c r="I130" s="727"/>
      <c r="J130" s="727"/>
      <c r="K130" s="727"/>
      <c r="L130" s="727"/>
      <c r="M130" s="727"/>
      <c r="N130" s="727"/>
      <c r="O130" s="727"/>
      <c r="P130" s="727"/>
      <c r="Q130" s="727"/>
      <c r="R130" s="727"/>
      <c r="S130" s="727"/>
      <c r="T130" s="727"/>
      <c r="U130" s="727"/>
      <c r="V130" s="727"/>
      <c r="W130" s="727"/>
      <c r="X130" s="727"/>
      <c r="Y130" s="727"/>
      <c r="Z130" s="728"/>
      <c r="AB130" s="1026" t="str">
        <f>IF(AB128="","",VLOOKUP(AB128,BoonRef!$A$2:$Z$900,24,FALSE))</f>
        <v/>
      </c>
      <c r="AC130" s="727"/>
      <c r="AD130" s="727"/>
      <c r="AE130" s="727"/>
      <c r="AF130" s="727"/>
      <c r="AG130" s="727"/>
      <c r="AH130" s="727"/>
      <c r="AI130" s="727"/>
      <c r="AJ130" s="727"/>
      <c r="AK130" s="727"/>
      <c r="AL130" s="727"/>
      <c r="AM130" s="727"/>
      <c r="AN130" s="727"/>
      <c r="AO130" s="727"/>
      <c r="AP130" s="727"/>
      <c r="AQ130" s="727"/>
      <c r="AR130" s="727"/>
      <c r="AS130" s="727"/>
      <c r="AT130" s="727"/>
      <c r="AU130" s="727"/>
      <c r="AV130" s="727"/>
      <c r="AW130" s="727"/>
      <c r="AX130" s="727"/>
      <c r="AY130" s="727"/>
      <c r="AZ130" s="728"/>
      <c r="BB130" s="641" t="str">
        <f>IF(BB128="","",VLOOKUP(BB128,KanckRef!$A$1:$G$300,4,FALSE))</f>
        <v/>
      </c>
      <c r="BC130" s="642"/>
      <c r="BD130" s="642"/>
      <c r="BE130" s="642"/>
      <c r="BF130" s="642"/>
      <c r="BG130" s="642"/>
      <c r="BH130" s="1033"/>
      <c r="BI130" s="753"/>
      <c r="BJ130" s="754"/>
      <c r="BK130" s="754"/>
      <c r="BL130" s="754"/>
      <c r="BM130" s="754"/>
      <c r="BN130" s="754"/>
      <c r="BO130" s="754"/>
      <c r="BP130" s="754"/>
      <c r="BQ130" s="754"/>
      <c r="BR130" s="754"/>
      <c r="BS130" s="754"/>
      <c r="BT130" s="754"/>
      <c r="BU130" s="754"/>
      <c r="BV130" s="754"/>
      <c r="BW130" s="754"/>
      <c r="BX130" s="754"/>
      <c r="BY130" s="754"/>
      <c r="BZ130" s="755"/>
      <c r="CB130" s="641" t="str">
        <f>IF(CB128="","",VLOOKUP(CB128,KanckRef!$A$1:$G$300,4,FALSE))</f>
        <v/>
      </c>
      <c r="CC130" s="642"/>
      <c r="CD130" s="642"/>
      <c r="CE130" s="642"/>
      <c r="CF130" s="642"/>
      <c r="CG130" s="642"/>
      <c r="CH130" s="1033"/>
      <c r="CI130" s="753"/>
      <c r="CJ130" s="754"/>
      <c r="CK130" s="754"/>
      <c r="CL130" s="754"/>
      <c r="CM130" s="754"/>
      <c r="CN130" s="754"/>
      <c r="CO130" s="754"/>
      <c r="CP130" s="754"/>
      <c r="CQ130" s="754"/>
      <c r="CR130" s="754"/>
      <c r="CS130" s="754"/>
      <c r="CT130" s="754"/>
      <c r="CU130" s="754"/>
      <c r="CV130" s="754"/>
      <c r="CW130" s="754"/>
      <c r="CX130" s="754"/>
      <c r="CY130" s="754"/>
      <c r="CZ130" s="755"/>
    </row>
    <row r="131" spans="1:104" ht="15" customHeight="1" x14ac:dyDescent="0.25">
      <c r="B131" s="1026" t="str">
        <f>IF(B128="","",VLOOKUP(B128,BoonRef!$A$2:$Z$900,23,FALSE))</f>
        <v/>
      </c>
      <c r="C131" s="727"/>
      <c r="D131" s="727"/>
      <c r="E131" s="727"/>
      <c r="F131" s="727"/>
      <c r="G131" s="727"/>
      <c r="H131" s="727"/>
      <c r="I131" s="727"/>
      <c r="J131" s="727"/>
      <c r="K131" s="727"/>
      <c r="L131" s="727"/>
      <c r="M131" s="727"/>
      <c r="N131" s="727"/>
      <c r="O131" s="727"/>
      <c r="P131" s="727"/>
      <c r="Q131" s="727"/>
      <c r="R131" s="727"/>
      <c r="S131" s="727"/>
      <c r="T131" s="727"/>
      <c r="U131" s="727"/>
      <c r="V131" s="727"/>
      <c r="W131" s="727"/>
      <c r="X131" s="727"/>
      <c r="Y131" s="727"/>
      <c r="Z131" s="728"/>
      <c r="AB131" s="1026" t="str">
        <f>IF(AB128="","",VLOOKUP(AB128,BoonRef!$A$2:$Z$900,23,FALSE))</f>
        <v/>
      </c>
      <c r="AC131" s="727"/>
      <c r="AD131" s="727"/>
      <c r="AE131" s="727"/>
      <c r="AF131" s="727"/>
      <c r="AG131" s="727"/>
      <c r="AH131" s="727"/>
      <c r="AI131" s="727"/>
      <c r="AJ131" s="727"/>
      <c r="AK131" s="727"/>
      <c r="AL131" s="727"/>
      <c r="AM131" s="727"/>
      <c r="AN131" s="727"/>
      <c r="AO131" s="727"/>
      <c r="AP131" s="727"/>
      <c r="AQ131" s="727"/>
      <c r="AR131" s="727"/>
      <c r="AS131" s="727"/>
      <c r="AT131" s="727"/>
      <c r="AU131" s="727"/>
      <c r="AV131" s="727"/>
      <c r="AW131" s="727"/>
      <c r="AX131" s="727"/>
      <c r="AY131" s="727"/>
      <c r="AZ131" s="728"/>
      <c r="BB131" s="635"/>
      <c r="BC131" s="636"/>
      <c r="BD131" s="636"/>
      <c r="BE131" s="636"/>
      <c r="BF131" s="636"/>
      <c r="BG131" s="636"/>
      <c r="BH131" s="1036"/>
      <c r="BI131" s="753"/>
      <c r="BJ131" s="754"/>
      <c r="BK131" s="754"/>
      <c r="BL131" s="754"/>
      <c r="BM131" s="754"/>
      <c r="BN131" s="754"/>
      <c r="BO131" s="754"/>
      <c r="BP131" s="754"/>
      <c r="BQ131" s="754"/>
      <c r="BR131" s="754"/>
      <c r="BS131" s="754"/>
      <c r="BT131" s="754"/>
      <c r="BU131" s="754"/>
      <c r="BV131" s="754"/>
      <c r="BW131" s="754"/>
      <c r="BX131" s="754"/>
      <c r="BY131" s="754"/>
      <c r="BZ131" s="755"/>
      <c r="CB131" s="635"/>
      <c r="CC131" s="636"/>
      <c r="CD131" s="636"/>
      <c r="CE131" s="636"/>
      <c r="CF131" s="636"/>
      <c r="CG131" s="636"/>
      <c r="CH131" s="1036"/>
      <c r="CI131" s="753"/>
      <c r="CJ131" s="754"/>
      <c r="CK131" s="754"/>
      <c r="CL131" s="754"/>
      <c r="CM131" s="754"/>
      <c r="CN131" s="754"/>
      <c r="CO131" s="754"/>
      <c r="CP131" s="754"/>
      <c r="CQ131" s="754"/>
      <c r="CR131" s="754"/>
      <c r="CS131" s="754"/>
      <c r="CT131" s="754"/>
      <c r="CU131" s="754"/>
      <c r="CV131" s="754"/>
      <c r="CW131" s="754"/>
      <c r="CX131" s="754"/>
      <c r="CY131" s="754"/>
      <c r="CZ131" s="755"/>
    </row>
    <row r="132" spans="1:104" ht="15" customHeight="1" thickBot="1" x14ac:dyDescent="0.3">
      <c r="B132" s="1027"/>
      <c r="C132" s="865"/>
      <c r="D132" s="865"/>
      <c r="E132" s="865"/>
      <c r="F132" s="865"/>
      <c r="G132" s="865"/>
      <c r="H132" s="865"/>
      <c r="I132" s="865"/>
      <c r="J132" s="865"/>
      <c r="K132" s="865"/>
      <c r="L132" s="865"/>
      <c r="M132" s="865"/>
      <c r="N132" s="865"/>
      <c r="O132" s="865"/>
      <c r="P132" s="865"/>
      <c r="Q132" s="865"/>
      <c r="R132" s="865"/>
      <c r="S132" s="865"/>
      <c r="T132" s="865"/>
      <c r="U132" s="865"/>
      <c r="V132" s="865"/>
      <c r="W132" s="865"/>
      <c r="X132" s="865"/>
      <c r="Y132" s="865"/>
      <c r="Z132" s="921"/>
      <c r="AB132" s="1027"/>
      <c r="AC132" s="865"/>
      <c r="AD132" s="865"/>
      <c r="AE132" s="865"/>
      <c r="AF132" s="865"/>
      <c r="AG132" s="865"/>
      <c r="AH132" s="865"/>
      <c r="AI132" s="865"/>
      <c r="AJ132" s="865"/>
      <c r="AK132" s="865"/>
      <c r="AL132" s="865"/>
      <c r="AM132" s="865"/>
      <c r="AN132" s="865"/>
      <c r="AO132" s="865"/>
      <c r="AP132" s="865"/>
      <c r="AQ132" s="865"/>
      <c r="AR132" s="865"/>
      <c r="AS132" s="865"/>
      <c r="AT132" s="865"/>
      <c r="AU132" s="865"/>
      <c r="AV132" s="865"/>
      <c r="AW132" s="865"/>
      <c r="AX132" s="865"/>
      <c r="AY132" s="865"/>
      <c r="AZ132" s="921"/>
      <c r="BB132" s="644"/>
      <c r="BC132" s="645"/>
      <c r="BD132" s="645"/>
      <c r="BE132" s="645"/>
      <c r="BF132" s="645"/>
      <c r="BG132" s="645"/>
      <c r="BH132" s="1037"/>
      <c r="BI132" s="756"/>
      <c r="BJ132" s="757"/>
      <c r="BK132" s="757"/>
      <c r="BL132" s="757"/>
      <c r="BM132" s="757"/>
      <c r="BN132" s="757"/>
      <c r="BO132" s="757"/>
      <c r="BP132" s="757"/>
      <c r="BQ132" s="757"/>
      <c r="BR132" s="757"/>
      <c r="BS132" s="757"/>
      <c r="BT132" s="757"/>
      <c r="BU132" s="757"/>
      <c r="BV132" s="757"/>
      <c r="BW132" s="757"/>
      <c r="BX132" s="757"/>
      <c r="BY132" s="757"/>
      <c r="BZ132" s="758"/>
      <c r="CB132" s="644"/>
      <c r="CC132" s="645"/>
      <c r="CD132" s="645"/>
      <c r="CE132" s="645"/>
      <c r="CF132" s="645"/>
      <c r="CG132" s="645"/>
      <c r="CH132" s="1037"/>
      <c r="CI132" s="756"/>
      <c r="CJ132" s="757"/>
      <c r="CK132" s="757"/>
      <c r="CL132" s="757"/>
      <c r="CM132" s="757"/>
      <c r="CN132" s="757"/>
      <c r="CO132" s="757"/>
      <c r="CP132" s="757"/>
      <c r="CQ132" s="757"/>
      <c r="CR132" s="757"/>
      <c r="CS132" s="757"/>
      <c r="CT132" s="757"/>
      <c r="CU132" s="757"/>
      <c r="CV132" s="757"/>
      <c r="CW132" s="757"/>
      <c r="CX132" s="757"/>
      <c r="CY132" s="757"/>
      <c r="CZ132" s="758"/>
    </row>
    <row r="133" spans="1:104" ht="15" customHeight="1" x14ac:dyDescent="0.25">
      <c r="B133" s="1028" t="str">
        <f>IF(B134="","",VLOOKUP(B134,BoonRef!$A$2:$Z$900,2,FALSE))</f>
        <v/>
      </c>
      <c r="C133" s="725"/>
      <c r="D133" s="725"/>
      <c r="E133" s="725"/>
      <c r="F133" s="725"/>
      <c r="G133" s="725"/>
      <c r="H133" s="725"/>
      <c r="I133" s="725" t="str">
        <f>IF(B134="","",VLOOKUP(B134,BoonRef!$A$2:$Z$900,3,FALSE))</f>
        <v/>
      </c>
      <c r="J133" s="725"/>
      <c r="K133" s="725" t="str">
        <f>IF(B134="","",VLOOKUP(B134,DescRef!$A$2:$B$900,2,FALSE))</f>
        <v/>
      </c>
      <c r="L133" s="725"/>
      <c r="M133" s="725"/>
      <c r="N133" s="725"/>
      <c r="O133" s="725"/>
      <c r="P133" s="725"/>
      <c r="Q133" s="725"/>
      <c r="R133" s="725"/>
      <c r="S133" s="725"/>
      <c r="T133" s="725"/>
      <c r="U133" s="725"/>
      <c r="V133" s="725"/>
      <c r="W133" s="725"/>
      <c r="X133" s="725"/>
      <c r="Y133" s="725"/>
      <c r="Z133" s="726"/>
      <c r="AB133" s="1028" t="str">
        <f>IF(AB134="","",VLOOKUP(AB134,BoonRef!$A$2:$Z$900,2,FALSE))</f>
        <v/>
      </c>
      <c r="AC133" s="725"/>
      <c r="AD133" s="725"/>
      <c r="AE133" s="725"/>
      <c r="AF133" s="725"/>
      <c r="AG133" s="725"/>
      <c r="AH133" s="725"/>
      <c r="AI133" s="725" t="str">
        <f>IF(AB134="","",VLOOKUP(AB134,BoonRef!$A$2:$Z$900,3,FALSE))</f>
        <v/>
      </c>
      <c r="AJ133" s="725"/>
      <c r="AK133" s="725" t="str">
        <f>IF(AB134="","",VLOOKUP(AB134,DescRef!$A$2:$B$900,2,FALSE))</f>
        <v/>
      </c>
      <c r="AL133" s="725"/>
      <c r="AM133" s="725"/>
      <c r="AN133" s="725"/>
      <c r="AO133" s="725"/>
      <c r="AP133" s="725"/>
      <c r="AQ133" s="725"/>
      <c r="AR133" s="725"/>
      <c r="AS133" s="725"/>
      <c r="AT133" s="725"/>
      <c r="AU133" s="725"/>
      <c r="AV133" s="725"/>
      <c r="AW133" s="725"/>
      <c r="AX133" s="725"/>
      <c r="AY133" s="725"/>
      <c r="AZ133" s="726"/>
      <c r="BB133" s="1029" t="str">
        <f>IF(BB134="","",VLOOKUP(BB134,KanckRef!$A$1:$G$300,2,FALSE))</f>
        <v/>
      </c>
      <c r="BC133" s="1030"/>
      <c r="BD133" s="1030"/>
      <c r="BE133" s="1030"/>
      <c r="BF133" s="1031"/>
      <c r="BG133" s="1048" t="str">
        <f>IF(BB134="","",VLOOKUP(BB134,KanckRef!$A$1:$G$300,6,FALSE))</f>
        <v/>
      </c>
      <c r="BH133" s="1049"/>
      <c r="BI133" s="988" t="str">
        <f>IF(BB134="","",VLOOKUP(BB134,DescRef!$D$2:$E$300,2,FALSE))</f>
        <v/>
      </c>
      <c r="BJ133" s="795"/>
      <c r="BK133" s="795"/>
      <c r="BL133" s="795"/>
      <c r="BM133" s="795"/>
      <c r="BN133" s="795"/>
      <c r="BO133" s="795"/>
      <c r="BP133" s="795"/>
      <c r="BQ133" s="795"/>
      <c r="BR133" s="795"/>
      <c r="BS133" s="795"/>
      <c r="BT133" s="795"/>
      <c r="BU133" s="795"/>
      <c r="BV133" s="795"/>
      <c r="BW133" s="795"/>
      <c r="BX133" s="795"/>
      <c r="BY133" s="795"/>
      <c r="BZ133" s="796"/>
      <c r="CB133" s="1029" t="str">
        <f>IF(CB134="","",VLOOKUP(CB134,KanckRef!$A$1:$G$300,2,FALSE))</f>
        <v/>
      </c>
      <c r="CC133" s="1030"/>
      <c r="CD133" s="1030"/>
      <c r="CE133" s="1030"/>
      <c r="CF133" s="1031"/>
      <c r="CG133" s="1048" t="str">
        <f>IF(CB134="","",VLOOKUP(CB134,KanckRef!$A$1:$G$300,6,FALSE))</f>
        <v/>
      </c>
      <c r="CH133" s="1049"/>
      <c r="CI133" s="988" t="str">
        <f>IF(CB134="","",VLOOKUP(CB134,DescRef!$D$2:$E$300,2,FALSE))</f>
        <v/>
      </c>
      <c r="CJ133" s="795"/>
      <c r="CK133" s="795"/>
      <c r="CL133" s="795"/>
      <c r="CM133" s="795"/>
      <c r="CN133" s="795"/>
      <c r="CO133" s="795"/>
      <c r="CP133" s="795"/>
      <c r="CQ133" s="795"/>
      <c r="CR133" s="795"/>
      <c r="CS133" s="795"/>
      <c r="CT133" s="795"/>
      <c r="CU133" s="795"/>
      <c r="CV133" s="795"/>
      <c r="CW133" s="795"/>
      <c r="CX133" s="795"/>
      <c r="CY133" s="795"/>
      <c r="CZ133" s="796"/>
    </row>
    <row r="134" spans="1:104" ht="15" customHeight="1" x14ac:dyDescent="0.25">
      <c r="A134" s="15">
        <v>22</v>
      </c>
      <c r="B134" s="1026" t="str">
        <f>IF(A134&lt;'Purchased Boons'!$B$496,VLOOKUP(A134,'Purchased Boons'!$BF$2:$BG$900,2,FALSE),"")</f>
        <v/>
      </c>
      <c r="C134" s="727"/>
      <c r="D134" s="727"/>
      <c r="E134" s="727"/>
      <c r="F134" s="727"/>
      <c r="G134" s="727"/>
      <c r="H134" s="727"/>
      <c r="I134" s="727" t="str">
        <f>IF(B134="","",VLOOKUP(B134,BoonRef!$A$2:$Z$900,25,FALSE))</f>
        <v/>
      </c>
      <c r="J134" s="727"/>
      <c r="K134" s="727"/>
      <c r="L134" s="727"/>
      <c r="M134" s="727"/>
      <c r="N134" s="727"/>
      <c r="O134" s="727"/>
      <c r="P134" s="727"/>
      <c r="Q134" s="727"/>
      <c r="R134" s="727"/>
      <c r="S134" s="727"/>
      <c r="T134" s="727"/>
      <c r="U134" s="727"/>
      <c r="V134" s="727"/>
      <c r="W134" s="727"/>
      <c r="X134" s="727"/>
      <c r="Y134" s="727"/>
      <c r="Z134" s="728"/>
      <c r="AA134" s="15">
        <v>129</v>
      </c>
      <c r="AB134" s="1026" t="str">
        <f>IF(AA134&lt;'Purchased Boons'!$B$496,VLOOKUP(AA134,'Purchased Boons'!$BF$2:$BG$900,2,FALSE),"")</f>
        <v/>
      </c>
      <c r="AC134" s="727"/>
      <c r="AD134" s="727"/>
      <c r="AE134" s="727"/>
      <c r="AF134" s="727"/>
      <c r="AG134" s="727"/>
      <c r="AH134" s="727"/>
      <c r="AI134" s="727" t="str">
        <f>IF(AB134="","",VLOOKUP(AB134,BoonRef!$A$2:$Z$900,25,FALSE))</f>
        <v/>
      </c>
      <c r="AJ134" s="727"/>
      <c r="AK134" s="727"/>
      <c r="AL134" s="727"/>
      <c r="AM134" s="727"/>
      <c r="AN134" s="727"/>
      <c r="AO134" s="727"/>
      <c r="AP134" s="727"/>
      <c r="AQ134" s="727"/>
      <c r="AR134" s="727"/>
      <c r="AS134" s="727"/>
      <c r="AT134" s="727"/>
      <c r="AU134" s="727"/>
      <c r="AV134" s="727"/>
      <c r="AW134" s="727"/>
      <c r="AX134" s="727"/>
      <c r="AY134" s="727"/>
      <c r="AZ134" s="728"/>
      <c r="BA134" s="15">
        <v>22</v>
      </c>
      <c r="BB134" s="1038" t="str">
        <f>IF(BA134&lt;'Purchased Knacks'!A$192,VLOOKUP(BA134,'Purchased Knacks'!$A$4:$E$300,3,FALSE),"")</f>
        <v/>
      </c>
      <c r="BC134" s="1039"/>
      <c r="BD134" s="1039"/>
      <c r="BE134" s="1039"/>
      <c r="BF134" s="1040"/>
      <c r="BG134" s="1032" t="str">
        <f>IF(BB134="","",VLOOKUP(BB134,KanckRef!$A$1:$G$300,7,FALSE))</f>
        <v/>
      </c>
      <c r="BH134" s="1033"/>
      <c r="BI134" s="753"/>
      <c r="BJ134" s="754"/>
      <c r="BK134" s="754"/>
      <c r="BL134" s="754"/>
      <c r="BM134" s="754"/>
      <c r="BN134" s="754"/>
      <c r="BO134" s="754"/>
      <c r="BP134" s="754"/>
      <c r="BQ134" s="754"/>
      <c r="BR134" s="754"/>
      <c r="BS134" s="754"/>
      <c r="BT134" s="754"/>
      <c r="BU134" s="754"/>
      <c r="BV134" s="754"/>
      <c r="BW134" s="754"/>
      <c r="BX134" s="754"/>
      <c r="BY134" s="754"/>
      <c r="BZ134" s="755"/>
      <c r="CA134" s="15">
        <v>129</v>
      </c>
      <c r="CB134" s="1038" t="str">
        <f>IF(CA134&lt;'Purchased Knacks'!A$192,VLOOKUP(CA134,'Purchased Knacks'!$A$4:$E$300,3,FALSE),"")</f>
        <v/>
      </c>
      <c r="CC134" s="1039"/>
      <c r="CD134" s="1039"/>
      <c r="CE134" s="1039"/>
      <c r="CF134" s="1040"/>
      <c r="CG134" s="1032" t="str">
        <f>IF(CB134="","",VLOOKUP(CB134,KanckRef!$A$1:$G$300,7,FALSE))</f>
        <v/>
      </c>
      <c r="CH134" s="1033"/>
      <c r="CI134" s="753"/>
      <c r="CJ134" s="754"/>
      <c r="CK134" s="754"/>
      <c r="CL134" s="754"/>
      <c r="CM134" s="754"/>
      <c r="CN134" s="754"/>
      <c r="CO134" s="754"/>
      <c r="CP134" s="754"/>
      <c r="CQ134" s="754"/>
      <c r="CR134" s="754"/>
      <c r="CS134" s="754"/>
      <c r="CT134" s="754"/>
      <c r="CU134" s="754"/>
      <c r="CV134" s="754"/>
      <c r="CW134" s="754"/>
      <c r="CX134" s="754"/>
      <c r="CY134" s="754"/>
      <c r="CZ134" s="755"/>
    </row>
    <row r="135" spans="1:104" ht="15" customHeight="1" x14ac:dyDescent="0.25">
      <c r="B135" s="1026"/>
      <c r="C135" s="727"/>
      <c r="D135" s="727"/>
      <c r="E135" s="727"/>
      <c r="F135" s="727"/>
      <c r="G135" s="727"/>
      <c r="H135" s="727"/>
      <c r="I135" s="727" t="str">
        <f>IF(B134="","",VLOOKUP(B134,BoonRef!$A$2:$Z$900,26,FALSE))</f>
        <v/>
      </c>
      <c r="J135" s="727"/>
      <c r="K135" s="727"/>
      <c r="L135" s="727"/>
      <c r="M135" s="727"/>
      <c r="N135" s="727"/>
      <c r="O135" s="727"/>
      <c r="P135" s="727"/>
      <c r="Q135" s="727"/>
      <c r="R135" s="727"/>
      <c r="S135" s="727"/>
      <c r="T135" s="727"/>
      <c r="U135" s="727"/>
      <c r="V135" s="727"/>
      <c r="W135" s="727"/>
      <c r="X135" s="727"/>
      <c r="Y135" s="727"/>
      <c r="Z135" s="728"/>
      <c r="AB135" s="1026"/>
      <c r="AC135" s="727"/>
      <c r="AD135" s="727"/>
      <c r="AE135" s="727"/>
      <c r="AF135" s="727"/>
      <c r="AG135" s="727"/>
      <c r="AH135" s="727"/>
      <c r="AI135" s="727" t="str">
        <f>IF(AB134="","",VLOOKUP(AB134,BoonRef!$A$2:$Z$900,26,FALSE))</f>
        <v/>
      </c>
      <c r="AJ135" s="727"/>
      <c r="AK135" s="727"/>
      <c r="AL135" s="727"/>
      <c r="AM135" s="727"/>
      <c r="AN135" s="727"/>
      <c r="AO135" s="727"/>
      <c r="AP135" s="727"/>
      <c r="AQ135" s="727"/>
      <c r="AR135" s="727"/>
      <c r="AS135" s="727"/>
      <c r="AT135" s="727"/>
      <c r="AU135" s="727"/>
      <c r="AV135" s="727"/>
      <c r="AW135" s="727"/>
      <c r="AX135" s="727"/>
      <c r="AY135" s="727"/>
      <c r="AZ135" s="728"/>
      <c r="BB135" s="1041"/>
      <c r="BC135" s="1042"/>
      <c r="BD135" s="1042"/>
      <c r="BE135" s="1042"/>
      <c r="BF135" s="1043"/>
      <c r="BG135" s="1034"/>
      <c r="BH135" s="1035"/>
      <c r="BI135" s="753"/>
      <c r="BJ135" s="754"/>
      <c r="BK135" s="754"/>
      <c r="BL135" s="754"/>
      <c r="BM135" s="754"/>
      <c r="BN135" s="754"/>
      <c r="BO135" s="754"/>
      <c r="BP135" s="754"/>
      <c r="BQ135" s="754"/>
      <c r="BR135" s="754"/>
      <c r="BS135" s="754"/>
      <c r="BT135" s="754"/>
      <c r="BU135" s="754"/>
      <c r="BV135" s="754"/>
      <c r="BW135" s="754"/>
      <c r="BX135" s="754"/>
      <c r="BY135" s="754"/>
      <c r="BZ135" s="755"/>
      <c r="CB135" s="1041"/>
      <c r="CC135" s="1042"/>
      <c r="CD135" s="1042"/>
      <c r="CE135" s="1042"/>
      <c r="CF135" s="1043"/>
      <c r="CG135" s="1034"/>
      <c r="CH135" s="1035"/>
      <c r="CI135" s="753"/>
      <c r="CJ135" s="754"/>
      <c r="CK135" s="754"/>
      <c r="CL135" s="754"/>
      <c r="CM135" s="754"/>
      <c r="CN135" s="754"/>
      <c r="CO135" s="754"/>
      <c r="CP135" s="754"/>
      <c r="CQ135" s="754"/>
      <c r="CR135" s="754"/>
      <c r="CS135" s="754"/>
      <c r="CT135" s="754"/>
      <c r="CU135" s="754"/>
      <c r="CV135" s="754"/>
      <c r="CW135" s="754"/>
      <c r="CX135" s="754"/>
      <c r="CY135" s="754"/>
      <c r="CZ135" s="755"/>
    </row>
    <row r="136" spans="1:104" ht="15" customHeight="1" x14ac:dyDescent="0.25">
      <c r="B136" s="1026" t="str">
        <f>IF(B134="","",VLOOKUP(B134,BoonRef!$A$2:$Z$900,24,FALSE))</f>
        <v/>
      </c>
      <c r="C136" s="727"/>
      <c r="D136" s="727"/>
      <c r="E136" s="727"/>
      <c r="F136" s="727"/>
      <c r="G136" s="727"/>
      <c r="H136" s="727"/>
      <c r="I136" s="727"/>
      <c r="J136" s="727"/>
      <c r="K136" s="727"/>
      <c r="L136" s="727"/>
      <c r="M136" s="727"/>
      <c r="N136" s="727"/>
      <c r="O136" s="727"/>
      <c r="P136" s="727"/>
      <c r="Q136" s="727"/>
      <c r="R136" s="727"/>
      <c r="S136" s="727"/>
      <c r="T136" s="727"/>
      <c r="U136" s="727"/>
      <c r="V136" s="727"/>
      <c r="W136" s="727"/>
      <c r="X136" s="727"/>
      <c r="Y136" s="727"/>
      <c r="Z136" s="728"/>
      <c r="AB136" s="1026" t="str">
        <f>IF(AB134="","",VLOOKUP(AB134,BoonRef!$A$2:$Z$900,24,FALSE))</f>
        <v/>
      </c>
      <c r="AC136" s="727"/>
      <c r="AD136" s="727"/>
      <c r="AE136" s="727"/>
      <c r="AF136" s="727"/>
      <c r="AG136" s="727"/>
      <c r="AH136" s="727"/>
      <c r="AI136" s="727"/>
      <c r="AJ136" s="727"/>
      <c r="AK136" s="727"/>
      <c r="AL136" s="727"/>
      <c r="AM136" s="727"/>
      <c r="AN136" s="727"/>
      <c r="AO136" s="727"/>
      <c r="AP136" s="727"/>
      <c r="AQ136" s="727"/>
      <c r="AR136" s="727"/>
      <c r="AS136" s="727"/>
      <c r="AT136" s="727"/>
      <c r="AU136" s="727"/>
      <c r="AV136" s="727"/>
      <c r="AW136" s="727"/>
      <c r="AX136" s="727"/>
      <c r="AY136" s="727"/>
      <c r="AZ136" s="728"/>
      <c r="BB136" s="641" t="str">
        <f>IF(BB134="","",VLOOKUP(BB134,KanckRef!$A$1:$G$300,4,FALSE))</f>
        <v/>
      </c>
      <c r="BC136" s="642"/>
      <c r="BD136" s="642"/>
      <c r="BE136" s="642"/>
      <c r="BF136" s="642"/>
      <c r="BG136" s="642"/>
      <c r="BH136" s="1033"/>
      <c r="BI136" s="753"/>
      <c r="BJ136" s="754"/>
      <c r="BK136" s="754"/>
      <c r="BL136" s="754"/>
      <c r="BM136" s="754"/>
      <c r="BN136" s="754"/>
      <c r="BO136" s="754"/>
      <c r="BP136" s="754"/>
      <c r="BQ136" s="754"/>
      <c r="BR136" s="754"/>
      <c r="BS136" s="754"/>
      <c r="BT136" s="754"/>
      <c r="BU136" s="754"/>
      <c r="BV136" s="754"/>
      <c r="BW136" s="754"/>
      <c r="BX136" s="754"/>
      <c r="BY136" s="754"/>
      <c r="BZ136" s="755"/>
      <c r="CB136" s="641" t="str">
        <f>IF(CB134="","",VLOOKUP(CB134,KanckRef!$A$1:$G$300,4,FALSE))</f>
        <v/>
      </c>
      <c r="CC136" s="642"/>
      <c r="CD136" s="642"/>
      <c r="CE136" s="642"/>
      <c r="CF136" s="642"/>
      <c r="CG136" s="642"/>
      <c r="CH136" s="1033"/>
      <c r="CI136" s="753"/>
      <c r="CJ136" s="754"/>
      <c r="CK136" s="754"/>
      <c r="CL136" s="754"/>
      <c r="CM136" s="754"/>
      <c r="CN136" s="754"/>
      <c r="CO136" s="754"/>
      <c r="CP136" s="754"/>
      <c r="CQ136" s="754"/>
      <c r="CR136" s="754"/>
      <c r="CS136" s="754"/>
      <c r="CT136" s="754"/>
      <c r="CU136" s="754"/>
      <c r="CV136" s="754"/>
      <c r="CW136" s="754"/>
      <c r="CX136" s="754"/>
      <c r="CY136" s="754"/>
      <c r="CZ136" s="755"/>
    </row>
    <row r="137" spans="1:104" ht="15" customHeight="1" x14ac:dyDescent="0.25">
      <c r="B137" s="1026" t="str">
        <f>IF(B134="","",VLOOKUP(B134,BoonRef!$A$2:$Z$900,23,FALSE))</f>
        <v/>
      </c>
      <c r="C137" s="727"/>
      <c r="D137" s="727"/>
      <c r="E137" s="727"/>
      <c r="F137" s="727"/>
      <c r="G137" s="727"/>
      <c r="H137" s="727"/>
      <c r="I137" s="727"/>
      <c r="J137" s="727"/>
      <c r="K137" s="727"/>
      <c r="L137" s="727"/>
      <c r="M137" s="727"/>
      <c r="N137" s="727"/>
      <c r="O137" s="727"/>
      <c r="P137" s="727"/>
      <c r="Q137" s="727"/>
      <c r="R137" s="727"/>
      <c r="S137" s="727"/>
      <c r="T137" s="727"/>
      <c r="U137" s="727"/>
      <c r="V137" s="727"/>
      <c r="W137" s="727"/>
      <c r="X137" s="727"/>
      <c r="Y137" s="727"/>
      <c r="Z137" s="728"/>
      <c r="AB137" s="1026" t="str">
        <f>IF(AB134="","",VLOOKUP(AB134,BoonRef!$A$2:$Z$900,23,FALSE))</f>
        <v/>
      </c>
      <c r="AC137" s="727"/>
      <c r="AD137" s="727"/>
      <c r="AE137" s="727"/>
      <c r="AF137" s="727"/>
      <c r="AG137" s="727"/>
      <c r="AH137" s="727"/>
      <c r="AI137" s="727"/>
      <c r="AJ137" s="727"/>
      <c r="AK137" s="727"/>
      <c r="AL137" s="727"/>
      <c r="AM137" s="727"/>
      <c r="AN137" s="727"/>
      <c r="AO137" s="727"/>
      <c r="AP137" s="727"/>
      <c r="AQ137" s="727"/>
      <c r="AR137" s="727"/>
      <c r="AS137" s="727"/>
      <c r="AT137" s="727"/>
      <c r="AU137" s="727"/>
      <c r="AV137" s="727"/>
      <c r="AW137" s="727"/>
      <c r="AX137" s="727"/>
      <c r="AY137" s="727"/>
      <c r="AZ137" s="728"/>
      <c r="BB137" s="635"/>
      <c r="BC137" s="636"/>
      <c r="BD137" s="636"/>
      <c r="BE137" s="636"/>
      <c r="BF137" s="636"/>
      <c r="BG137" s="636"/>
      <c r="BH137" s="1036"/>
      <c r="BI137" s="753"/>
      <c r="BJ137" s="754"/>
      <c r="BK137" s="754"/>
      <c r="BL137" s="754"/>
      <c r="BM137" s="754"/>
      <c r="BN137" s="754"/>
      <c r="BO137" s="754"/>
      <c r="BP137" s="754"/>
      <c r="BQ137" s="754"/>
      <c r="BR137" s="754"/>
      <c r="BS137" s="754"/>
      <c r="BT137" s="754"/>
      <c r="BU137" s="754"/>
      <c r="BV137" s="754"/>
      <c r="BW137" s="754"/>
      <c r="BX137" s="754"/>
      <c r="BY137" s="754"/>
      <c r="BZ137" s="755"/>
      <c r="CB137" s="635"/>
      <c r="CC137" s="636"/>
      <c r="CD137" s="636"/>
      <c r="CE137" s="636"/>
      <c r="CF137" s="636"/>
      <c r="CG137" s="636"/>
      <c r="CH137" s="1036"/>
      <c r="CI137" s="753"/>
      <c r="CJ137" s="754"/>
      <c r="CK137" s="754"/>
      <c r="CL137" s="754"/>
      <c r="CM137" s="754"/>
      <c r="CN137" s="754"/>
      <c r="CO137" s="754"/>
      <c r="CP137" s="754"/>
      <c r="CQ137" s="754"/>
      <c r="CR137" s="754"/>
      <c r="CS137" s="754"/>
      <c r="CT137" s="754"/>
      <c r="CU137" s="754"/>
      <c r="CV137" s="754"/>
      <c r="CW137" s="754"/>
      <c r="CX137" s="754"/>
      <c r="CY137" s="754"/>
      <c r="CZ137" s="755"/>
    </row>
    <row r="138" spans="1:104" ht="15" customHeight="1" thickBot="1" x14ac:dyDescent="0.3">
      <c r="B138" s="1027"/>
      <c r="C138" s="865"/>
      <c r="D138" s="865"/>
      <c r="E138" s="865"/>
      <c r="F138" s="865"/>
      <c r="G138" s="865"/>
      <c r="H138" s="865"/>
      <c r="I138" s="865"/>
      <c r="J138" s="865"/>
      <c r="K138" s="865"/>
      <c r="L138" s="865"/>
      <c r="M138" s="865"/>
      <c r="N138" s="865"/>
      <c r="O138" s="865"/>
      <c r="P138" s="865"/>
      <c r="Q138" s="865"/>
      <c r="R138" s="865"/>
      <c r="S138" s="865"/>
      <c r="T138" s="865"/>
      <c r="U138" s="865"/>
      <c r="V138" s="865"/>
      <c r="W138" s="865"/>
      <c r="X138" s="865"/>
      <c r="Y138" s="865"/>
      <c r="Z138" s="921"/>
      <c r="AB138" s="1027"/>
      <c r="AC138" s="865"/>
      <c r="AD138" s="865"/>
      <c r="AE138" s="865"/>
      <c r="AF138" s="865"/>
      <c r="AG138" s="865"/>
      <c r="AH138" s="865"/>
      <c r="AI138" s="865"/>
      <c r="AJ138" s="865"/>
      <c r="AK138" s="865"/>
      <c r="AL138" s="865"/>
      <c r="AM138" s="865"/>
      <c r="AN138" s="865"/>
      <c r="AO138" s="865"/>
      <c r="AP138" s="865"/>
      <c r="AQ138" s="865"/>
      <c r="AR138" s="865"/>
      <c r="AS138" s="865"/>
      <c r="AT138" s="865"/>
      <c r="AU138" s="865"/>
      <c r="AV138" s="865"/>
      <c r="AW138" s="865"/>
      <c r="AX138" s="865"/>
      <c r="AY138" s="865"/>
      <c r="AZ138" s="921"/>
      <c r="BB138" s="644"/>
      <c r="BC138" s="645"/>
      <c r="BD138" s="645"/>
      <c r="BE138" s="645"/>
      <c r="BF138" s="645"/>
      <c r="BG138" s="645"/>
      <c r="BH138" s="1037"/>
      <c r="BI138" s="756"/>
      <c r="BJ138" s="757"/>
      <c r="BK138" s="757"/>
      <c r="BL138" s="757"/>
      <c r="BM138" s="757"/>
      <c r="BN138" s="757"/>
      <c r="BO138" s="757"/>
      <c r="BP138" s="757"/>
      <c r="BQ138" s="757"/>
      <c r="BR138" s="757"/>
      <c r="BS138" s="757"/>
      <c r="BT138" s="757"/>
      <c r="BU138" s="757"/>
      <c r="BV138" s="757"/>
      <c r="BW138" s="757"/>
      <c r="BX138" s="757"/>
      <c r="BY138" s="757"/>
      <c r="BZ138" s="758"/>
      <c r="CB138" s="644"/>
      <c r="CC138" s="645"/>
      <c r="CD138" s="645"/>
      <c r="CE138" s="645"/>
      <c r="CF138" s="645"/>
      <c r="CG138" s="645"/>
      <c r="CH138" s="1037"/>
      <c r="CI138" s="756"/>
      <c r="CJ138" s="757"/>
      <c r="CK138" s="757"/>
      <c r="CL138" s="757"/>
      <c r="CM138" s="757"/>
      <c r="CN138" s="757"/>
      <c r="CO138" s="757"/>
      <c r="CP138" s="757"/>
      <c r="CQ138" s="757"/>
      <c r="CR138" s="757"/>
      <c r="CS138" s="757"/>
      <c r="CT138" s="757"/>
      <c r="CU138" s="757"/>
      <c r="CV138" s="757"/>
      <c r="CW138" s="757"/>
      <c r="CX138" s="757"/>
      <c r="CY138" s="757"/>
      <c r="CZ138" s="758"/>
    </row>
    <row r="139" spans="1:104" ht="15" customHeight="1" x14ac:dyDescent="0.25">
      <c r="B139" s="1028" t="str">
        <f>IF(B140="","",VLOOKUP(B140,BoonRef!$A$2:$Z$900,2,FALSE))</f>
        <v/>
      </c>
      <c r="C139" s="725"/>
      <c r="D139" s="725"/>
      <c r="E139" s="725"/>
      <c r="F139" s="725"/>
      <c r="G139" s="725"/>
      <c r="H139" s="725"/>
      <c r="I139" s="725" t="str">
        <f>IF(B140="","",VLOOKUP(B140,BoonRef!$A$2:$Z$900,3,FALSE))</f>
        <v/>
      </c>
      <c r="J139" s="725"/>
      <c r="K139" s="725" t="str">
        <f>IF(B140="","",VLOOKUP(B140,DescRef!$A$2:$B$900,2,FALSE))</f>
        <v/>
      </c>
      <c r="L139" s="725"/>
      <c r="M139" s="725"/>
      <c r="N139" s="725"/>
      <c r="O139" s="725"/>
      <c r="P139" s="725"/>
      <c r="Q139" s="725"/>
      <c r="R139" s="725"/>
      <c r="S139" s="725"/>
      <c r="T139" s="725"/>
      <c r="U139" s="725"/>
      <c r="V139" s="725"/>
      <c r="W139" s="725"/>
      <c r="X139" s="725"/>
      <c r="Y139" s="725"/>
      <c r="Z139" s="726"/>
      <c r="AB139" s="1028" t="str">
        <f>IF(AB140="","",VLOOKUP(AB140,BoonRef!$A$2:$Z$900,2,FALSE))</f>
        <v/>
      </c>
      <c r="AC139" s="725"/>
      <c r="AD139" s="725"/>
      <c r="AE139" s="725"/>
      <c r="AF139" s="725"/>
      <c r="AG139" s="725"/>
      <c r="AH139" s="725"/>
      <c r="AI139" s="725" t="str">
        <f>IF(AB140="","",VLOOKUP(AB140,BoonRef!$A$2:$Z$900,3,FALSE))</f>
        <v/>
      </c>
      <c r="AJ139" s="725"/>
      <c r="AK139" s="725" t="str">
        <f>IF(AB140="","",VLOOKUP(AB140,DescRef!$A$2:$B$900,2,FALSE))</f>
        <v/>
      </c>
      <c r="AL139" s="725"/>
      <c r="AM139" s="725"/>
      <c r="AN139" s="725"/>
      <c r="AO139" s="725"/>
      <c r="AP139" s="725"/>
      <c r="AQ139" s="725"/>
      <c r="AR139" s="725"/>
      <c r="AS139" s="725"/>
      <c r="AT139" s="725"/>
      <c r="AU139" s="725"/>
      <c r="AV139" s="725"/>
      <c r="AW139" s="725"/>
      <c r="AX139" s="725"/>
      <c r="AY139" s="725"/>
      <c r="AZ139" s="726"/>
      <c r="BB139" s="1029" t="str">
        <f>IF(BB140="","",VLOOKUP(BB140,KanckRef!$A$1:$G$300,2,FALSE))</f>
        <v/>
      </c>
      <c r="BC139" s="1030"/>
      <c r="BD139" s="1030"/>
      <c r="BE139" s="1030"/>
      <c r="BF139" s="1031"/>
      <c r="BG139" s="1048" t="str">
        <f>IF(BB140="","",VLOOKUP(BB140,KanckRef!$A$1:$G$300,6,FALSE))</f>
        <v/>
      </c>
      <c r="BH139" s="1049"/>
      <c r="BI139" s="988" t="str">
        <f>IF(BB140="","",VLOOKUP(BB140,DescRef!$D$2:$E$300,2,FALSE))</f>
        <v/>
      </c>
      <c r="BJ139" s="795"/>
      <c r="BK139" s="795"/>
      <c r="BL139" s="795"/>
      <c r="BM139" s="795"/>
      <c r="BN139" s="795"/>
      <c r="BO139" s="795"/>
      <c r="BP139" s="795"/>
      <c r="BQ139" s="795"/>
      <c r="BR139" s="795"/>
      <c r="BS139" s="795"/>
      <c r="BT139" s="795"/>
      <c r="BU139" s="795"/>
      <c r="BV139" s="795"/>
      <c r="BW139" s="795"/>
      <c r="BX139" s="795"/>
      <c r="BY139" s="795"/>
      <c r="BZ139" s="796"/>
      <c r="CB139" s="1029" t="str">
        <f>IF(CB140="","",VLOOKUP(CB140,KanckRef!$A$1:$G$300,2,FALSE))</f>
        <v/>
      </c>
      <c r="CC139" s="1030"/>
      <c r="CD139" s="1030"/>
      <c r="CE139" s="1030"/>
      <c r="CF139" s="1031"/>
      <c r="CG139" s="1048" t="str">
        <f>IF(CB140="","",VLOOKUP(CB140,KanckRef!$A$1:$G$300,6,FALSE))</f>
        <v/>
      </c>
      <c r="CH139" s="1049"/>
      <c r="CI139" s="988" t="str">
        <f>IF(CB140="","",VLOOKUP(CB140,DescRef!$D$2:$E$300,2,FALSE))</f>
        <v/>
      </c>
      <c r="CJ139" s="795"/>
      <c r="CK139" s="795"/>
      <c r="CL139" s="795"/>
      <c r="CM139" s="795"/>
      <c r="CN139" s="795"/>
      <c r="CO139" s="795"/>
      <c r="CP139" s="795"/>
      <c r="CQ139" s="795"/>
      <c r="CR139" s="795"/>
      <c r="CS139" s="795"/>
      <c r="CT139" s="795"/>
      <c r="CU139" s="795"/>
      <c r="CV139" s="795"/>
      <c r="CW139" s="795"/>
      <c r="CX139" s="795"/>
      <c r="CY139" s="795"/>
      <c r="CZ139" s="796"/>
    </row>
    <row r="140" spans="1:104" ht="15" customHeight="1" x14ac:dyDescent="0.25">
      <c r="A140" s="15">
        <v>23</v>
      </c>
      <c r="B140" s="1026" t="str">
        <f>IF(A140&lt;'Purchased Boons'!$B$496,VLOOKUP(A140,'Purchased Boons'!$BF$2:$BG$900,2,FALSE),"")</f>
        <v/>
      </c>
      <c r="C140" s="727"/>
      <c r="D140" s="727"/>
      <c r="E140" s="727"/>
      <c r="F140" s="727"/>
      <c r="G140" s="727"/>
      <c r="H140" s="727"/>
      <c r="I140" s="727" t="str">
        <f>IF(B140="","",VLOOKUP(B140,BoonRef!$A$2:$Z$900,25,FALSE))</f>
        <v/>
      </c>
      <c r="J140" s="727"/>
      <c r="K140" s="727"/>
      <c r="L140" s="727"/>
      <c r="M140" s="727"/>
      <c r="N140" s="727"/>
      <c r="O140" s="727"/>
      <c r="P140" s="727"/>
      <c r="Q140" s="727"/>
      <c r="R140" s="727"/>
      <c r="S140" s="727"/>
      <c r="T140" s="727"/>
      <c r="U140" s="727"/>
      <c r="V140" s="727"/>
      <c r="W140" s="727"/>
      <c r="X140" s="727"/>
      <c r="Y140" s="727"/>
      <c r="Z140" s="728"/>
      <c r="AA140" s="15">
        <v>130</v>
      </c>
      <c r="AB140" s="1026" t="str">
        <f>IF(AA140&lt;'Purchased Boons'!$B$496,VLOOKUP(AA140,'Purchased Boons'!$BF$2:$BG$900,2,FALSE),"")</f>
        <v/>
      </c>
      <c r="AC140" s="727"/>
      <c r="AD140" s="727"/>
      <c r="AE140" s="727"/>
      <c r="AF140" s="727"/>
      <c r="AG140" s="727"/>
      <c r="AH140" s="727"/>
      <c r="AI140" s="727" t="str">
        <f>IF(AB140="","",VLOOKUP(AB140,BoonRef!$A$2:$Z$900,25,FALSE))</f>
        <v/>
      </c>
      <c r="AJ140" s="727"/>
      <c r="AK140" s="727"/>
      <c r="AL140" s="727"/>
      <c r="AM140" s="727"/>
      <c r="AN140" s="727"/>
      <c r="AO140" s="727"/>
      <c r="AP140" s="727"/>
      <c r="AQ140" s="727"/>
      <c r="AR140" s="727"/>
      <c r="AS140" s="727"/>
      <c r="AT140" s="727"/>
      <c r="AU140" s="727"/>
      <c r="AV140" s="727"/>
      <c r="AW140" s="727"/>
      <c r="AX140" s="727"/>
      <c r="AY140" s="727"/>
      <c r="AZ140" s="728"/>
      <c r="BA140" s="15">
        <v>23</v>
      </c>
      <c r="BB140" s="1038" t="str">
        <f>IF(BA140&lt;'Purchased Knacks'!A$192,VLOOKUP(BA140,'Purchased Knacks'!$A$4:$E$300,3,FALSE),"")</f>
        <v/>
      </c>
      <c r="BC140" s="1039"/>
      <c r="BD140" s="1039"/>
      <c r="BE140" s="1039"/>
      <c r="BF140" s="1040"/>
      <c r="BG140" s="1032" t="str">
        <f>IF(BB140="","",VLOOKUP(BB140,KanckRef!$A$1:$G$300,7,FALSE))</f>
        <v/>
      </c>
      <c r="BH140" s="1033"/>
      <c r="BI140" s="753"/>
      <c r="BJ140" s="754"/>
      <c r="BK140" s="754"/>
      <c r="BL140" s="754"/>
      <c r="BM140" s="754"/>
      <c r="BN140" s="754"/>
      <c r="BO140" s="754"/>
      <c r="BP140" s="754"/>
      <c r="BQ140" s="754"/>
      <c r="BR140" s="754"/>
      <c r="BS140" s="754"/>
      <c r="BT140" s="754"/>
      <c r="BU140" s="754"/>
      <c r="BV140" s="754"/>
      <c r="BW140" s="754"/>
      <c r="BX140" s="754"/>
      <c r="BY140" s="754"/>
      <c r="BZ140" s="755"/>
      <c r="CA140" s="15">
        <v>130</v>
      </c>
      <c r="CB140" s="1038" t="str">
        <f>IF(CA140&lt;'Purchased Knacks'!A$192,VLOOKUP(CA140,'Purchased Knacks'!$A$4:$E$300,3,FALSE),"")</f>
        <v/>
      </c>
      <c r="CC140" s="1039"/>
      <c r="CD140" s="1039"/>
      <c r="CE140" s="1039"/>
      <c r="CF140" s="1040"/>
      <c r="CG140" s="1032" t="str">
        <f>IF(CB140="","",VLOOKUP(CB140,KanckRef!$A$1:$G$300,7,FALSE))</f>
        <v/>
      </c>
      <c r="CH140" s="1033"/>
      <c r="CI140" s="753"/>
      <c r="CJ140" s="754"/>
      <c r="CK140" s="754"/>
      <c r="CL140" s="754"/>
      <c r="CM140" s="754"/>
      <c r="CN140" s="754"/>
      <c r="CO140" s="754"/>
      <c r="CP140" s="754"/>
      <c r="CQ140" s="754"/>
      <c r="CR140" s="754"/>
      <c r="CS140" s="754"/>
      <c r="CT140" s="754"/>
      <c r="CU140" s="754"/>
      <c r="CV140" s="754"/>
      <c r="CW140" s="754"/>
      <c r="CX140" s="754"/>
      <c r="CY140" s="754"/>
      <c r="CZ140" s="755"/>
    </row>
    <row r="141" spans="1:104" ht="15" customHeight="1" x14ac:dyDescent="0.25">
      <c r="B141" s="1026"/>
      <c r="C141" s="727"/>
      <c r="D141" s="727"/>
      <c r="E141" s="727"/>
      <c r="F141" s="727"/>
      <c r="G141" s="727"/>
      <c r="H141" s="727"/>
      <c r="I141" s="727" t="str">
        <f>IF(B140="","",VLOOKUP(B140,BoonRef!$A$2:$Z$900,26,FALSE))</f>
        <v/>
      </c>
      <c r="J141" s="727"/>
      <c r="K141" s="727"/>
      <c r="L141" s="727"/>
      <c r="M141" s="727"/>
      <c r="N141" s="727"/>
      <c r="O141" s="727"/>
      <c r="P141" s="727"/>
      <c r="Q141" s="727"/>
      <c r="R141" s="727"/>
      <c r="S141" s="727"/>
      <c r="T141" s="727"/>
      <c r="U141" s="727"/>
      <c r="V141" s="727"/>
      <c r="W141" s="727"/>
      <c r="X141" s="727"/>
      <c r="Y141" s="727"/>
      <c r="Z141" s="728"/>
      <c r="AB141" s="1026"/>
      <c r="AC141" s="727"/>
      <c r="AD141" s="727"/>
      <c r="AE141" s="727"/>
      <c r="AF141" s="727"/>
      <c r="AG141" s="727"/>
      <c r="AH141" s="727"/>
      <c r="AI141" s="727" t="str">
        <f>IF(AB140="","",VLOOKUP(AB140,BoonRef!$A$2:$Z$900,26,FALSE))</f>
        <v/>
      </c>
      <c r="AJ141" s="727"/>
      <c r="AK141" s="727"/>
      <c r="AL141" s="727"/>
      <c r="AM141" s="727"/>
      <c r="AN141" s="727"/>
      <c r="AO141" s="727"/>
      <c r="AP141" s="727"/>
      <c r="AQ141" s="727"/>
      <c r="AR141" s="727"/>
      <c r="AS141" s="727"/>
      <c r="AT141" s="727"/>
      <c r="AU141" s="727"/>
      <c r="AV141" s="727"/>
      <c r="AW141" s="727"/>
      <c r="AX141" s="727"/>
      <c r="AY141" s="727"/>
      <c r="AZ141" s="728"/>
      <c r="BB141" s="1041"/>
      <c r="BC141" s="1042"/>
      <c r="BD141" s="1042"/>
      <c r="BE141" s="1042"/>
      <c r="BF141" s="1043"/>
      <c r="BG141" s="1034"/>
      <c r="BH141" s="1035"/>
      <c r="BI141" s="753"/>
      <c r="BJ141" s="754"/>
      <c r="BK141" s="754"/>
      <c r="BL141" s="754"/>
      <c r="BM141" s="754"/>
      <c r="BN141" s="754"/>
      <c r="BO141" s="754"/>
      <c r="BP141" s="754"/>
      <c r="BQ141" s="754"/>
      <c r="BR141" s="754"/>
      <c r="BS141" s="754"/>
      <c r="BT141" s="754"/>
      <c r="BU141" s="754"/>
      <c r="BV141" s="754"/>
      <c r="BW141" s="754"/>
      <c r="BX141" s="754"/>
      <c r="BY141" s="754"/>
      <c r="BZ141" s="755"/>
      <c r="CB141" s="1041"/>
      <c r="CC141" s="1042"/>
      <c r="CD141" s="1042"/>
      <c r="CE141" s="1042"/>
      <c r="CF141" s="1043"/>
      <c r="CG141" s="1034"/>
      <c r="CH141" s="1035"/>
      <c r="CI141" s="753"/>
      <c r="CJ141" s="754"/>
      <c r="CK141" s="754"/>
      <c r="CL141" s="754"/>
      <c r="CM141" s="754"/>
      <c r="CN141" s="754"/>
      <c r="CO141" s="754"/>
      <c r="CP141" s="754"/>
      <c r="CQ141" s="754"/>
      <c r="CR141" s="754"/>
      <c r="CS141" s="754"/>
      <c r="CT141" s="754"/>
      <c r="CU141" s="754"/>
      <c r="CV141" s="754"/>
      <c r="CW141" s="754"/>
      <c r="CX141" s="754"/>
      <c r="CY141" s="754"/>
      <c r="CZ141" s="755"/>
    </row>
    <row r="142" spans="1:104" ht="15" customHeight="1" x14ac:dyDescent="0.25">
      <c r="B142" s="1026" t="str">
        <f>IF(B140="","",VLOOKUP(B140,BoonRef!$A$2:$Z$900,24,FALSE))</f>
        <v/>
      </c>
      <c r="C142" s="727"/>
      <c r="D142" s="727"/>
      <c r="E142" s="727"/>
      <c r="F142" s="727"/>
      <c r="G142" s="727"/>
      <c r="H142" s="727"/>
      <c r="I142" s="727"/>
      <c r="J142" s="727"/>
      <c r="K142" s="727"/>
      <c r="L142" s="727"/>
      <c r="M142" s="727"/>
      <c r="N142" s="727"/>
      <c r="O142" s="727"/>
      <c r="P142" s="727"/>
      <c r="Q142" s="727"/>
      <c r="R142" s="727"/>
      <c r="S142" s="727"/>
      <c r="T142" s="727"/>
      <c r="U142" s="727"/>
      <c r="V142" s="727"/>
      <c r="W142" s="727"/>
      <c r="X142" s="727"/>
      <c r="Y142" s="727"/>
      <c r="Z142" s="728"/>
      <c r="AB142" s="1026" t="str">
        <f>IF(AB140="","",VLOOKUP(AB140,BoonRef!$A$2:$Z$900,24,FALSE))</f>
        <v/>
      </c>
      <c r="AC142" s="727"/>
      <c r="AD142" s="727"/>
      <c r="AE142" s="727"/>
      <c r="AF142" s="727"/>
      <c r="AG142" s="727"/>
      <c r="AH142" s="727"/>
      <c r="AI142" s="727"/>
      <c r="AJ142" s="727"/>
      <c r="AK142" s="727"/>
      <c r="AL142" s="727"/>
      <c r="AM142" s="727"/>
      <c r="AN142" s="727"/>
      <c r="AO142" s="727"/>
      <c r="AP142" s="727"/>
      <c r="AQ142" s="727"/>
      <c r="AR142" s="727"/>
      <c r="AS142" s="727"/>
      <c r="AT142" s="727"/>
      <c r="AU142" s="727"/>
      <c r="AV142" s="727"/>
      <c r="AW142" s="727"/>
      <c r="AX142" s="727"/>
      <c r="AY142" s="727"/>
      <c r="AZ142" s="728"/>
      <c r="BB142" s="641" t="str">
        <f>IF(BB140="","",VLOOKUP(BB140,KanckRef!$A$1:$G$300,4,FALSE))</f>
        <v/>
      </c>
      <c r="BC142" s="642"/>
      <c r="BD142" s="642"/>
      <c r="BE142" s="642"/>
      <c r="BF142" s="642"/>
      <c r="BG142" s="642"/>
      <c r="BH142" s="1033"/>
      <c r="BI142" s="753"/>
      <c r="BJ142" s="754"/>
      <c r="BK142" s="754"/>
      <c r="BL142" s="754"/>
      <c r="BM142" s="754"/>
      <c r="BN142" s="754"/>
      <c r="BO142" s="754"/>
      <c r="BP142" s="754"/>
      <c r="BQ142" s="754"/>
      <c r="BR142" s="754"/>
      <c r="BS142" s="754"/>
      <c r="BT142" s="754"/>
      <c r="BU142" s="754"/>
      <c r="BV142" s="754"/>
      <c r="BW142" s="754"/>
      <c r="BX142" s="754"/>
      <c r="BY142" s="754"/>
      <c r="BZ142" s="755"/>
      <c r="CB142" s="641" t="str">
        <f>IF(CB140="","",VLOOKUP(CB140,KanckRef!$A$1:$G$300,4,FALSE))</f>
        <v/>
      </c>
      <c r="CC142" s="642"/>
      <c r="CD142" s="642"/>
      <c r="CE142" s="642"/>
      <c r="CF142" s="642"/>
      <c r="CG142" s="642"/>
      <c r="CH142" s="1033"/>
      <c r="CI142" s="753"/>
      <c r="CJ142" s="754"/>
      <c r="CK142" s="754"/>
      <c r="CL142" s="754"/>
      <c r="CM142" s="754"/>
      <c r="CN142" s="754"/>
      <c r="CO142" s="754"/>
      <c r="CP142" s="754"/>
      <c r="CQ142" s="754"/>
      <c r="CR142" s="754"/>
      <c r="CS142" s="754"/>
      <c r="CT142" s="754"/>
      <c r="CU142" s="754"/>
      <c r="CV142" s="754"/>
      <c r="CW142" s="754"/>
      <c r="CX142" s="754"/>
      <c r="CY142" s="754"/>
      <c r="CZ142" s="755"/>
    </row>
    <row r="143" spans="1:104" ht="15" customHeight="1" x14ac:dyDescent="0.25">
      <c r="B143" s="1026" t="str">
        <f>IF(B140="","",VLOOKUP(B140,BoonRef!$A$2:$Z$900,23,FALSE))</f>
        <v/>
      </c>
      <c r="C143" s="727"/>
      <c r="D143" s="727"/>
      <c r="E143" s="727"/>
      <c r="F143" s="727"/>
      <c r="G143" s="727"/>
      <c r="H143" s="727"/>
      <c r="I143" s="727"/>
      <c r="J143" s="727"/>
      <c r="K143" s="727"/>
      <c r="L143" s="727"/>
      <c r="M143" s="727"/>
      <c r="N143" s="727"/>
      <c r="O143" s="727"/>
      <c r="P143" s="727"/>
      <c r="Q143" s="727"/>
      <c r="R143" s="727"/>
      <c r="S143" s="727"/>
      <c r="T143" s="727"/>
      <c r="U143" s="727"/>
      <c r="V143" s="727"/>
      <c r="W143" s="727"/>
      <c r="X143" s="727"/>
      <c r="Y143" s="727"/>
      <c r="Z143" s="728"/>
      <c r="AB143" s="1026" t="str">
        <f>IF(AB140="","",VLOOKUP(AB140,BoonRef!$A$2:$Z$900,23,FALSE))</f>
        <v/>
      </c>
      <c r="AC143" s="727"/>
      <c r="AD143" s="727"/>
      <c r="AE143" s="727"/>
      <c r="AF143" s="727"/>
      <c r="AG143" s="727"/>
      <c r="AH143" s="727"/>
      <c r="AI143" s="727"/>
      <c r="AJ143" s="727"/>
      <c r="AK143" s="727"/>
      <c r="AL143" s="727"/>
      <c r="AM143" s="727"/>
      <c r="AN143" s="727"/>
      <c r="AO143" s="727"/>
      <c r="AP143" s="727"/>
      <c r="AQ143" s="727"/>
      <c r="AR143" s="727"/>
      <c r="AS143" s="727"/>
      <c r="AT143" s="727"/>
      <c r="AU143" s="727"/>
      <c r="AV143" s="727"/>
      <c r="AW143" s="727"/>
      <c r="AX143" s="727"/>
      <c r="AY143" s="727"/>
      <c r="AZ143" s="728"/>
      <c r="BB143" s="635"/>
      <c r="BC143" s="636"/>
      <c r="BD143" s="636"/>
      <c r="BE143" s="636"/>
      <c r="BF143" s="636"/>
      <c r="BG143" s="636"/>
      <c r="BH143" s="1036"/>
      <c r="BI143" s="753"/>
      <c r="BJ143" s="754"/>
      <c r="BK143" s="754"/>
      <c r="BL143" s="754"/>
      <c r="BM143" s="754"/>
      <c r="BN143" s="754"/>
      <c r="BO143" s="754"/>
      <c r="BP143" s="754"/>
      <c r="BQ143" s="754"/>
      <c r="BR143" s="754"/>
      <c r="BS143" s="754"/>
      <c r="BT143" s="754"/>
      <c r="BU143" s="754"/>
      <c r="BV143" s="754"/>
      <c r="BW143" s="754"/>
      <c r="BX143" s="754"/>
      <c r="BY143" s="754"/>
      <c r="BZ143" s="755"/>
      <c r="CB143" s="635"/>
      <c r="CC143" s="636"/>
      <c r="CD143" s="636"/>
      <c r="CE143" s="636"/>
      <c r="CF143" s="636"/>
      <c r="CG143" s="636"/>
      <c r="CH143" s="1036"/>
      <c r="CI143" s="753"/>
      <c r="CJ143" s="754"/>
      <c r="CK143" s="754"/>
      <c r="CL143" s="754"/>
      <c r="CM143" s="754"/>
      <c r="CN143" s="754"/>
      <c r="CO143" s="754"/>
      <c r="CP143" s="754"/>
      <c r="CQ143" s="754"/>
      <c r="CR143" s="754"/>
      <c r="CS143" s="754"/>
      <c r="CT143" s="754"/>
      <c r="CU143" s="754"/>
      <c r="CV143" s="754"/>
      <c r="CW143" s="754"/>
      <c r="CX143" s="754"/>
      <c r="CY143" s="754"/>
      <c r="CZ143" s="755"/>
    </row>
    <row r="144" spans="1:104" ht="15" customHeight="1" thickBot="1" x14ac:dyDescent="0.3">
      <c r="B144" s="1027"/>
      <c r="C144" s="865"/>
      <c r="D144" s="865"/>
      <c r="E144" s="865"/>
      <c r="F144" s="865"/>
      <c r="G144" s="865"/>
      <c r="H144" s="865"/>
      <c r="I144" s="865"/>
      <c r="J144" s="865"/>
      <c r="K144" s="865"/>
      <c r="L144" s="865"/>
      <c r="M144" s="865"/>
      <c r="N144" s="865"/>
      <c r="O144" s="865"/>
      <c r="P144" s="865"/>
      <c r="Q144" s="865"/>
      <c r="R144" s="865"/>
      <c r="S144" s="865"/>
      <c r="T144" s="865"/>
      <c r="U144" s="865"/>
      <c r="V144" s="865"/>
      <c r="W144" s="865"/>
      <c r="X144" s="865"/>
      <c r="Y144" s="865"/>
      <c r="Z144" s="921"/>
      <c r="AB144" s="1027"/>
      <c r="AC144" s="865"/>
      <c r="AD144" s="865"/>
      <c r="AE144" s="865"/>
      <c r="AF144" s="865"/>
      <c r="AG144" s="865"/>
      <c r="AH144" s="865"/>
      <c r="AI144" s="865"/>
      <c r="AJ144" s="865"/>
      <c r="AK144" s="865"/>
      <c r="AL144" s="865"/>
      <c r="AM144" s="865"/>
      <c r="AN144" s="865"/>
      <c r="AO144" s="865"/>
      <c r="AP144" s="865"/>
      <c r="AQ144" s="865"/>
      <c r="AR144" s="865"/>
      <c r="AS144" s="865"/>
      <c r="AT144" s="865"/>
      <c r="AU144" s="865"/>
      <c r="AV144" s="865"/>
      <c r="AW144" s="865"/>
      <c r="AX144" s="865"/>
      <c r="AY144" s="865"/>
      <c r="AZ144" s="921"/>
      <c r="BB144" s="644"/>
      <c r="BC144" s="645"/>
      <c r="BD144" s="645"/>
      <c r="BE144" s="645"/>
      <c r="BF144" s="645"/>
      <c r="BG144" s="645"/>
      <c r="BH144" s="1037"/>
      <c r="BI144" s="756"/>
      <c r="BJ144" s="757"/>
      <c r="BK144" s="757"/>
      <c r="BL144" s="757"/>
      <c r="BM144" s="757"/>
      <c r="BN144" s="757"/>
      <c r="BO144" s="757"/>
      <c r="BP144" s="757"/>
      <c r="BQ144" s="757"/>
      <c r="BR144" s="757"/>
      <c r="BS144" s="757"/>
      <c r="BT144" s="757"/>
      <c r="BU144" s="757"/>
      <c r="BV144" s="757"/>
      <c r="BW144" s="757"/>
      <c r="BX144" s="757"/>
      <c r="BY144" s="757"/>
      <c r="BZ144" s="758"/>
      <c r="CB144" s="644"/>
      <c r="CC144" s="645"/>
      <c r="CD144" s="645"/>
      <c r="CE144" s="645"/>
      <c r="CF144" s="645"/>
      <c r="CG144" s="645"/>
      <c r="CH144" s="1037"/>
      <c r="CI144" s="756"/>
      <c r="CJ144" s="757"/>
      <c r="CK144" s="757"/>
      <c r="CL144" s="757"/>
      <c r="CM144" s="757"/>
      <c r="CN144" s="757"/>
      <c r="CO144" s="757"/>
      <c r="CP144" s="757"/>
      <c r="CQ144" s="757"/>
      <c r="CR144" s="757"/>
      <c r="CS144" s="757"/>
      <c r="CT144" s="757"/>
      <c r="CU144" s="757"/>
      <c r="CV144" s="757"/>
      <c r="CW144" s="757"/>
      <c r="CX144" s="757"/>
      <c r="CY144" s="757"/>
      <c r="CZ144" s="758"/>
    </row>
    <row r="145" spans="1:104" ht="15" customHeight="1" x14ac:dyDescent="0.25">
      <c r="B145" s="1028" t="str">
        <f>IF(B146="","",VLOOKUP(B146,BoonRef!$A$2:$Z$900,2,FALSE))</f>
        <v/>
      </c>
      <c r="C145" s="725"/>
      <c r="D145" s="725"/>
      <c r="E145" s="725"/>
      <c r="F145" s="725"/>
      <c r="G145" s="725"/>
      <c r="H145" s="725"/>
      <c r="I145" s="725" t="str">
        <f>IF(B146="","",VLOOKUP(B146,BoonRef!$A$2:$Z$900,3,FALSE))</f>
        <v/>
      </c>
      <c r="J145" s="725"/>
      <c r="K145" s="725" t="str">
        <f>IF(B146="","",VLOOKUP(B146,DescRef!$A$2:$B$900,2,FALSE))</f>
        <v/>
      </c>
      <c r="L145" s="725"/>
      <c r="M145" s="725"/>
      <c r="N145" s="725"/>
      <c r="O145" s="725"/>
      <c r="P145" s="725"/>
      <c r="Q145" s="725"/>
      <c r="R145" s="725"/>
      <c r="S145" s="725"/>
      <c r="T145" s="725"/>
      <c r="U145" s="725"/>
      <c r="V145" s="725"/>
      <c r="W145" s="725"/>
      <c r="X145" s="725"/>
      <c r="Y145" s="725"/>
      <c r="Z145" s="726"/>
      <c r="AB145" s="1028" t="str">
        <f>IF(AB146="","",VLOOKUP(AB146,BoonRef!$A$2:$Z$900,2,FALSE))</f>
        <v/>
      </c>
      <c r="AC145" s="725"/>
      <c r="AD145" s="725"/>
      <c r="AE145" s="725"/>
      <c r="AF145" s="725"/>
      <c r="AG145" s="725"/>
      <c r="AH145" s="725"/>
      <c r="AI145" s="725" t="str">
        <f>IF(AB146="","",VLOOKUP(AB146,BoonRef!$A$2:$Z$900,3,FALSE))</f>
        <v/>
      </c>
      <c r="AJ145" s="725"/>
      <c r="AK145" s="725" t="str">
        <f>IF(AB146="","",VLOOKUP(AB146,DescRef!$A$2:$B$900,2,FALSE))</f>
        <v/>
      </c>
      <c r="AL145" s="725"/>
      <c r="AM145" s="725"/>
      <c r="AN145" s="725"/>
      <c r="AO145" s="725"/>
      <c r="AP145" s="725"/>
      <c r="AQ145" s="725"/>
      <c r="AR145" s="725"/>
      <c r="AS145" s="725"/>
      <c r="AT145" s="725"/>
      <c r="AU145" s="725"/>
      <c r="AV145" s="725"/>
      <c r="AW145" s="725"/>
      <c r="AX145" s="725"/>
      <c r="AY145" s="725"/>
      <c r="AZ145" s="726"/>
      <c r="BB145" s="1029" t="str">
        <f>IF(BB146="","",VLOOKUP(BB146,KanckRef!$A$1:$G$300,2,FALSE))</f>
        <v/>
      </c>
      <c r="BC145" s="1030"/>
      <c r="BD145" s="1030"/>
      <c r="BE145" s="1030"/>
      <c r="BF145" s="1031"/>
      <c r="BG145" s="1048" t="str">
        <f>IF(BB146="","",VLOOKUP(BB146,KanckRef!$A$1:$G$300,6,FALSE))</f>
        <v/>
      </c>
      <c r="BH145" s="1049"/>
      <c r="BI145" s="988" t="str">
        <f>IF(BB146="","",VLOOKUP(BB146,DescRef!$D$2:$E$300,2,FALSE))</f>
        <v/>
      </c>
      <c r="BJ145" s="795"/>
      <c r="BK145" s="795"/>
      <c r="BL145" s="795"/>
      <c r="BM145" s="795"/>
      <c r="BN145" s="795"/>
      <c r="BO145" s="795"/>
      <c r="BP145" s="795"/>
      <c r="BQ145" s="795"/>
      <c r="BR145" s="795"/>
      <c r="BS145" s="795"/>
      <c r="BT145" s="795"/>
      <c r="BU145" s="795"/>
      <c r="BV145" s="795"/>
      <c r="BW145" s="795"/>
      <c r="BX145" s="795"/>
      <c r="BY145" s="795"/>
      <c r="BZ145" s="796"/>
      <c r="CB145" s="1029" t="str">
        <f>IF(CB146="","",VLOOKUP(CB146,KanckRef!$A$1:$G$300,2,FALSE))</f>
        <v/>
      </c>
      <c r="CC145" s="1030"/>
      <c r="CD145" s="1030"/>
      <c r="CE145" s="1030"/>
      <c r="CF145" s="1031"/>
      <c r="CG145" s="1048" t="str">
        <f>IF(CB146="","",VLOOKUP(CB146,KanckRef!$A$1:$G$300,6,FALSE))</f>
        <v/>
      </c>
      <c r="CH145" s="1049"/>
      <c r="CI145" s="988" t="str">
        <f>IF(CB146="","",VLOOKUP(CB146,DescRef!$D$2:$E$300,2,FALSE))</f>
        <v/>
      </c>
      <c r="CJ145" s="795"/>
      <c r="CK145" s="795"/>
      <c r="CL145" s="795"/>
      <c r="CM145" s="795"/>
      <c r="CN145" s="795"/>
      <c r="CO145" s="795"/>
      <c r="CP145" s="795"/>
      <c r="CQ145" s="795"/>
      <c r="CR145" s="795"/>
      <c r="CS145" s="795"/>
      <c r="CT145" s="795"/>
      <c r="CU145" s="795"/>
      <c r="CV145" s="795"/>
      <c r="CW145" s="795"/>
      <c r="CX145" s="795"/>
      <c r="CY145" s="795"/>
      <c r="CZ145" s="796"/>
    </row>
    <row r="146" spans="1:104" ht="15" customHeight="1" x14ac:dyDescent="0.25">
      <c r="A146" s="15">
        <v>24</v>
      </c>
      <c r="B146" s="1026" t="str">
        <f>IF(A146&lt;'Purchased Boons'!$B$496,VLOOKUP(A146,'Purchased Boons'!$BF$2:$BG$900,2,FALSE),"")</f>
        <v/>
      </c>
      <c r="C146" s="727"/>
      <c r="D146" s="727"/>
      <c r="E146" s="727"/>
      <c r="F146" s="727"/>
      <c r="G146" s="727"/>
      <c r="H146" s="727"/>
      <c r="I146" s="727" t="str">
        <f>IF(B146="","",VLOOKUP(B146,BoonRef!$A$2:$Z$900,25,FALSE))</f>
        <v/>
      </c>
      <c r="J146" s="727"/>
      <c r="K146" s="727"/>
      <c r="L146" s="727"/>
      <c r="M146" s="727"/>
      <c r="N146" s="727"/>
      <c r="O146" s="727"/>
      <c r="P146" s="727"/>
      <c r="Q146" s="727"/>
      <c r="R146" s="727"/>
      <c r="S146" s="727"/>
      <c r="T146" s="727"/>
      <c r="U146" s="727"/>
      <c r="V146" s="727"/>
      <c r="W146" s="727"/>
      <c r="X146" s="727"/>
      <c r="Y146" s="727"/>
      <c r="Z146" s="728"/>
      <c r="AA146" s="15">
        <v>131</v>
      </c>
      <c r="AB146" s="1026" t="str">
        <f>IF(AA146&lt;'Purchased Boons'!$B$496,VLOOKUP(AA146,'Purchased Boons'!$BF$2:$BG$900,2,FALSE),"")</f>
        <v/>
      </c>
      <c r="AC146" s="727"/>
      <c r="AD146" s="727"/>
      <c r="AE146" s="727"/>
      <c r="AF146" s="727"/>
      <c r="AG146" s="727"/>
      <c r="AH146" s="727"/>
      <c r="AI146" s="727" t="str">
        <f>IF(AB146="","",VLOOKUP(AB146,BoonRef!$A$2:$Z$900,25,FALSE))</f>
        <v/>
      </c>
      <c r="AJ146" s="727"/>
      <c r="AK146" s="727"/>
      <c r="AL146" s="727"/>
      <c r="AM146" s="727"/>
      <c r="AN146" s="727"/>
      <c r="AO146" s="727"/>
      <c r="AP146" s="727"/>
      <c r="AQ146" s="727"/>
      <c r="AR146" s="727"/>
      <c r="AS146" s="727"/>
      <c r="AT146" s="727"/>
      <c r="AU146" s="727"/>
      <c r="AV146" s="727"/>
      <c r="AW146" s="727"/>
      <c r="AX146" s="727"/>
      <c r="AY146" s="727"/>
      <c r="AZ146" s="728"/>
      <c r="BA146" s="15">
        <v>24</v>
      </c>
      <c r="BB146" s="1038" t="str">
        <f>IF(BA146&lt;'Purchased Knacks'!A$192,VLOOKUP(BA146,'Purchased Knacks'!$A$4:$E$300,3,FALSE),"")</f>
        <v/>
      </c>
      <c r="BC146" s="1039"/>
      <c r="BD146" s="1039"/>
      <c r="BE146" s="1039"/>
      <c r="BF146" s="1040"/>
      <c r="BG146" s="1032" t="str">
        <f>IF(BB146="","",VLOOKUP(BB146,KanckRef!$A$1:$G$300,7,FALSE))</f>
        <v/>
      </c>
      <c r="BH146" s="1033"/>
      <c r="BI146" s="753"/>
      <c r="BJ146" s="754"/>
      <c r="BK146" s="754"/>
      <c r="BL146" s="754"/>
      <c r="BM146" s="754"/>
      <c r="BN146" s="754"/>
      <c r="BO146" s="754"/>
      <c r="BP146" s="754"/>
      <c r="BQ146" s="754"/>
      <c r="BR146" s="754"/>
      <c r="BS146" s="754"/>
      <c r="BT146" s="754"/>
      <c r="BU146" s="754"/>
      <c r="BV146" s="754"/>
      <c r="BW146" s="754"/>
      <c r="BX146" s="754"/>
      <c r="BY146" s="754"/>
      <c r="BZ146" s="755"/>
      <c r="CA146" s="15">
        <v>131</v>
      </c>
      <c r="CB146" s="1038" t="str">
        <f>IF(CA146&lt;'Purchased Knacks'!A$192,VLOOKUP(CA146,'Purchased Knacks'!$A$4:$E$300,3,FALSE),"")</f>
        <v/>
      </c>
      <c r="CC146" s="1039"/>
      <c r="CD146" s="1039"/>
      <c r="CE146" s="1039"/>
      <c r="CF146" s="1040"/>
      <c r="CG146" s="1032" t="str">
        <f>IF(CB146="","",VLOOKUP(CB146,KanckRef!$A$1:$G$300,7,FALSE))</f>
        <v/>
      </c>
      <c r="CH146" s="1033"/>
      <c r="CI146" s="753"/>
      <c r="CJ146" s="754"/>
      <c r="CK146" s="754"/>
      <c r="CL146" s="754"/>
      <c r="CM146" s="754"/>
      <c r="CN146" s="754"/>
      <c r="CO146" s="754"/>
      <c r="CP146" s="754"/>
      <c r="CQ146" s="754"/>
      <c r="CR146" s="754"/>
      <c r="CS146" s="754"/>
      <c r="CT146" s="754"/>
      <c r="CU146" s="754"/>
      <c r="CV146" s="754"/>
      <c r="CW146" s="754"/>
      <c r="CX146" s="754"/>
      <c r="CY146" s="754"/>
      <c r="CZ146" s="755"/>
    </row>
    <row r="147" spans="1:104" ht="15" customHeight="1" x14ac:dyDescent="0.25">
      <c r="B147" s="1026"/>
      <c r="C147" s="727"/>
      <c r="D147" s="727"/>
      <c r="E147" s="727"/>
      <c r="F147" s="727"/>
      <c r="G147" s="727"/>
      <c r="H147" s="727"/>
      <c r="I147" s="727" t="str">
        <f>IF(B146="","",VLOOKUP(B146,BoonRef!$A$2:$Z$900,26,FALSE))</f>
        <v/>
      </c>
      <c r="J147" s="727"/>
      <c r="K147" s="727"/>
      <c r="L147" s="727"/>
      <c r="M147" s="727"/>
      <c r="N147" s="727"/>
      <c r="O147" s="727"/>
      <c r="P147" s="727"/>
      <c r="Q147" s="727"/>
      <c r="R147" s="727"/>
      <c r="S147" s="727"/>
      <c r="T147" s="727"/>
      <c r="U147" s="727"/>
      <c r="V147" s="727"/>
      <c r="W147" s="727"/>
      <c r="X147" s="727"/>
      <c r="Y147" s="727"/>
      <c r="Z147" s="728"/>
      <c r="AB147" s="1026"/>
      <c r="AC147" s="727"/>
      <c r="AD147" s="727"/>
      <c r="AE147" s="727"/>
      <c r="AF147" s="727"/>
      <c r="AG147" s="727"/>
      <c r="AH147" s="727"/>
      <c r="AI147" s="727" t="str">
        <f>IF(AB146="","",VLOOKUP(AB146,BoonRef!$A$2:$Z$900,26,FALSE))</f>
        <v/>
      </c>
      <c r="AJ147" s="727"/>
      <c r="AK147" s="727"/>
      <c r="AL147" s="727"/>
      <c r="AM147" s="727"/>
      <c r="AN147" s="727"/>
      <c r="AO147" s="727"/>
      <c r="AP147" s="727"/>
      <c r="AQ147" s="727"/>
      <c r="AR147" s="727"/>
      <c r="AS147" s="727"/>
      <c r="AT147" s="727"/>
      <c r="AU147" s="727"/>
      <c r="AV147" s="727"/>
      <c r="AW147" s="727"/>
      <c r="AX147" s="727"/>
      <c r="AY147" s="727"/>
      <c r="AZ147" s="728"/>
      <c r="BB147" s="1041"/>
      <c r="BC147" s="1042"/>
      <c r="BD147" s="1042"/>
      <c r="BE147" s="1042"/>
      <c r="BF147" s="1043"/>
      <c r="BG147" s="1034"/>
      <c r="BH147" s="1035"/>
      <c r="BI147" s="753"/>
      <c r="BJ147" s="754"/>
      <c r="BK147" s="754"/>
      <c r="BL147" s="754"/>
      <c r="BM147" s="754"/>
      <c r="BN147" s="754"/>
      <c r="BO147" s="754"/>
      <c r="BP147" s="754"/>
      <c r="BQ147" s="754"/>
      <c r="BR147" s="754"/>
      <c r="BS147" s="754"/>
      <c r="BT147" s="754"/>
      <c r="BU147" s="754"/>
      <c r="BV147" s="754"/>
      <c r="BW147" s="754"/>
      <c r="BX147" s="754"/>
      <c r="BY147" s="754"/>
      <c r="BZ147" s="755"/>
      <c r="CB147" s="1041"/>
      <c r="CC147" s="1042"/>
      <c r="CD147" s="1042"/>
      <c r="CE147" s="1042"/>
      <c r="CF147" s="1043"/>
      <c r="CG147" s="1034"/>
      <c r="CH147" s="1035"/>
      <c r="CI147" s="753"/>
      <c r="CJ147" s="754"/>
      <c r="CK147" s="754"/>
      <c r="CL147" s="754"/>
      <c r="CM147" s="754"/>
      <c r="CN147" s="754"/>
      <c r="CO147" s="754"/>
      <c r="CP147" s="754"/>
      <c r="CQ147" s="754"/>
      <c r="CR147" s="754"/>
      <c r="CS147" s="754"/>
      <c r="CT147" s="754"/>
      <c r="CU147" s="754"/>
      <c r="CV147" s="754"/>
      <c r="CW147" s="754"/>
      <c r="CX147" s="754"/>
      <c r="CY147" s="754"/>
      <c r="CZ147" s="755"/>
    </row>
    <row r="148" spans="1:104" ht="15" customHeight="1" x14ac:dyDescent="0.25">
      <c r="B148" s="1026" t="str">
        <f>IF(B146="","",VLOOKUP(B146,BoonRef!$A$2:$Z$900,24,FALSE))</f>
        <v/>
      </c>
      <c r="C148" s="727"/>
      <c r="D148" s="727"/>
      <c r="E148" s="727"/>
      <c r="F148" s="727"/>
      <c r="G148" s="727"/>
      <c r="H148" s="727"/>
      <c r="I148" s="727"/>
      <c r="J148" s="727"/>
      <c r="K148" s="727"/>
      <c r="L148" s="727"/>
      <c r="M148" s="727"/>
      <c r="N148" s="727"/>
      <c r="O148" s="727"/>
      <c r="P148" s="727"/>
      <c r="Q148" s="727"/>
      <c r="R148" s="727"/>
      <c r="S148" s="727"/>
      <c r="T148" s="727"/>
      <c r="U148" s="727"/>
      <c r="V148" s="727"/>
      <c r="W148" s="727"/>
      <c r="X148" s="727"/>
      <c r="Y148" s="727"/>
      <c r="Z148" s="728"/>
      <c r="AB148" s="1026" t="str">
        <f>IF(AB146="","",VLOOKUP(AB146,BoonRef!$A$2:$Z$900,24,FALSE))</f>
        <v/>
      </c>
      <c r="AC148" s="727"/>
      <c r="AD148" s="727"/>
      <c r="AE148" s="727"/>
      <c r="AF148" s="727"/>
      <c r="AG148" s="727"/>
      <c r="AH148" s="727"/>
      <c r="AI148" s="727"/>
      <c r="AJ148" s="727"/>
      <c r="AK148" s="727"/>
      <c r="AL148" s="727"/>
      <c r="AM148" s="727"/>
      <c r="AN148" s="727"/>
      <c r="AO148" s="727"/>
      <c r="AP148" s="727"/>
      <c r="AQ148" s="727"/>
      <c r="AR148" s="727"/>
      <c r="AS148" s="727"/>
      <c r="AT148" s="727"/>
      <c r="AU148" s="727"/>
      <c r="AV148" s="727"/>
      <c r="AW148" s="727"/>
      <c r="AX148" s="727"/>
      <c r="AY148" s="727"/>
      <c r="AZ148" s="728"/>
      <c r="BB148" s="641" t="str">
        <f>IF(BB146="","",VLOOKUP(BB146,KanckRef!$A$1:$G$300,4,FALSE))</f>
        <v/>
      </c>
      <c r="BC148" s="642"/>
      <c r="BD148" s="642"/>
      <c r="BE148" s="642"/>
      <c r="BF148" s="642"/>
      <c r="BG148" s="642"/>
      <c r="BH148" s="1033"/>
      <c r="BI148" s="753"/>
      <c r="BJ148" s="754"/>
      <c r="BK148" s="754"/>
      <c r="BL148" s="754"/>
      <c r="BM148" s="754"/>
      <c r="BN148" s="754"/>
      <c r="BO148" s="754"/>
      <c r="BP148" s="754"/>
      <c r="BQ148" s="754"/>
      <c r="BR148" s="754"/>
      <c r="BS148" s="754"/>
      <c r="BT148" s="754"/>
      <c r="BU148" s="754"/>
      <c r="BV148" s="754"/>
      <c r="BW148" s="754"/>
      <c r="BX148" s="754"/>
      <c r="BY148" s="754"/>
      <c r="BZ148" s="755"/>
      <c r="CB148" s="641" t="str">
        <f>IF(CB146="","",VLOOKUP(CB146,KanckRef!$A$1:$G$300,4,FALSE))</f>
        <v/>
      </c>
      <c r="CC148" s="642"/>
      <c r="CD148" s="642"/>
      <c r="CE148" s="642"/>
      <c r="CF148" s="642"/>
      <c r="CG148" s="642"/>
      <c r="CH148" s="1033"/>
      <c r="CI148" s="753"/>
      <c r="CJ148" s="754"/>
      <c r="CK148" s="754"/>
      <c r="CL148" s="754"/>
      <c r="CM148" s="754"/>
      <c r="CN148" s="754"/>
      <c r="CO148" s="754"/>
      <c r="CP148" s="754"/>
      <c r="CQ148" s="754"/>
      <c r="CR148" s="754"/>
      <c r="CS148" s="754"/>
      <c r="CT148" s="754"/>
      <c r="CU148" s="754"/>
      <c r="CV148" s="754"/>
      <c r="CW148" s="754"/>
      <c r="CX148" s="754"/>
      <c r="CY148" s="754"/>
      <c r="CZ148" s="755"/>
    </row>
    <row r="149" spans="1:104" ht="15" customHeight="1" x14ac:dyDescent="0.25">
      <c r="B149" s="1026" t="str">
        <f>IF(B146="","",VLOOKUP(B146,BoonRef!$A$2:$Z$900,23,FALSE))</f>
        <v/>
      </c>
      <c r="C149" s="727"/>
      <c r="D149" s="727"/>
      <c r="E149" s="727"/>
      <c r="F149" s="727"/>
      <c r="G149" s="727"/>
      <c r="H149" s="727"/>
      <c r="I149" s="727"/>
      <c r="J149" s="727"/>
      <c r="K149" s="727"/>
      <c r="L149" s="727"/>
      <c r="M149" s="727"/>
      <c r="N149" s="727"/>
      <c r="O149" s="727"/>
      <c r="P149" s="727"/>
      <c r="Q149" s="727"/>
      <c r="R149" s="727"/>
      <c r="S149" s="727"/>
      <c r="T149" s="727"/>
      <c r="U149" s="727"/>
      <c r="V149" s="727"/>
      <c r="W149" s="727"/>
      <c r="X149" s="727"/>
      <c r="Y149" s="727"/>
      <c r="Z149" s="728"/>
      <c r="AB149" s="1026" t="str">
        <f>IF(AB146="","",VLOOKUP(AB146,BoonRef!$A$2:$Z$900,23,FALSE))</f>
        <v/>
      </c>
      <c r="AC149" s="727"/>
      <c r="AD149" s="727"/>
      <c r="AE149" s="727"/>
      <c r="AF149" s="727"/>
      <c r="AG149" s="727"/>
      <c r="AH149" s="727"/>
      <c r="AI149" s="727"/>
      <c r="AJ149" s="727"/>
      <c r="AK149" s="727"/>
      <c r="AL149" s="727"/>
      <c r="AM149" s="727"/>
      <c r="AN149" s="727"/>
      <c r="AO149" s="727"/>
      <c r="AP149" s="727"/>
      <c r="AQ149" s="727"/>
      <c r="AR149" s="727"/>
      <c r="AS149" s="727"/>
      <c r="AT149" s="727"/>
      <c r="AU149" s="727"/>
      <c r="AV149" s="727"/>
      <c r="AW149" s="727"/>
      <c r="AX149" s="727"/>
      <c r="AY149" s="727"/>
      <c r="AZ149" s="728"/>
      <c r="BB149" s="635"/>
      <c r="BC149" s="636"/>
      <c r="BD149" s="636"/>
      <c r="BE149" s="636"/>
      <c r="BF149" s="636"/>
      <c r="BG149" s="636"/>
      <c r="BH149" s="1036"/>
      <c r="BI149" s="753"/>
      <c r="BJ149" s="754"/>
      <c r="BK149" s="754"/>
      <c r="BL149" s="754"/>
      <c r="BM149" s="754"/>
      <c r="BN149" s="754"/>
      <c r="BO149" s="754"/>
      <c r="BP149" s="754"/>
      <c r="BQ149" s="754"/>
      <c r="BR149" s="754"/>
      <c r="BS149" s="754"/>
      <c r="BT149" s="754"/>
      <c r="BU149" s="754"/>
      <c r="BV149" s="754"/>
      <c r="BW149" s="754"/>
      <c r="BX149" s="754"/>
      <c r="BY149" s="754"/>
      <c r="BZ149" s="755"/>
      <c r="CB149" s="635"/>
      <c r="CC149" s="636"/>
      <c r="CD149" s="636"/>
      <c r="CE149" s="636"/>
      <c r="CF149" s="636"/>
      <c r="CG149" s="636"/>
      <c r="CH149" s="1036"/>
      <c r="CI149" s="753"/>
      <c r="CJ149" s="754"/>
      <c r="CK149" s="754"/>
      <c r="CL149" s="754"/>
      <c r="CM149" s="754"/>
      <c r="CN149" s="754"/>
      <c r="CO149" s="754"/>
      <c r="CP149" s="754"/>
      <c r="CQ149" s="754"/>
      <c r="CR149" s="754"/>
      <c r="CS149" s="754"/>
      <c r="CT149" s="754"/>
      <c r="CU149" s="754"/>
      <c r="CV149" s="754"/>
      <c r="CW149" s="754"/>
      <c r="CX149" s="754"/>
      <c r="CY149" s="754"/>
      <c r="CZ149" s="755"/>
    </row>
    <row r="150" spans="1:104" ht="15" customHeight="1" thickBot="1" x14ac:dyDescent="0.3">
      <c r="B150" s="1027"/>
      <c r="C150" s="865"/>
      <c r="D150" s="865"/>
      <c r="E150" s="865"/>
      <c r="F150" s="865"/>
      <c r="G150" s="865"/>
      <c r="H150" s="865"/>
      <c r="I150" s="865"/>
      <c r="J150" s="865"/>
      <c r="K150" s="865"/>
      <c r="L150" s="865"/>
      <c r="M150" s="865"/>
      <c r="N150" s="865"/>
      <c r="O150" s="865"/>
      <c r="P150" s="865"/>
      <c r="Q150" s="865"/>
      <c r="R150" s="865"/>
      <c r="S150" s="865"/>
      <c r="T150" s="865"/>
      <c r="U150" s="865"/>
      <c r="V150" s="865"/>
      <c r="W150" s="865"/>
      <c r="X150" s="865"/>
      <c r="Y150" s="865"/>
      <c r="Z150" s="921"/>
      <c r="AB150" s="1027"/>
      <c r="AC150" s="865"/>
      <c r="AD150" s="865"/>
      <c r="AE150" s="865"/>
      <c r="AF150" s="865"/>
      <c r="AG150" s="865"/>
      <c r="AH150" s="865"/>
      <c r="AI150" s="865"/>
      <c r="AJ150" s="865"/>
      <c r="AK150" s="865"/>
      <c r="AL150" s="865"/>
      <c r="AM150" s="865"/>
      <c r="AN150" s="865"/>
      <c r="AO150" s="865"/>
      <c r="AP150" s="865"/>
      <c r="AQ150" s="865"/>
      <c r="AR150" s="865"/>
      <c r="AS150" s="865"/>
      <c r="AT150" s="865"/>
      <c r="AU150" s="865"/>
      <c r="AV150" s="865"/>
      <c r="AW150" s="865"/>
      <c r="AX150" s="865"/>
      <c r="AY150" s="865"/>
      <c r="AZ150" s="921"/>
      <c r="BB150" s="644"/>
      <c r="BC150" s="645"/>
      <c r="BD150" s="645"/>
      <c r="BE150" s="645"/>
      <c r="BF150" s="645"/>
      <c r="BG150" s="645"/>
      <c r="BH150" s="1037"/>
      <c r="BI150" s="756"/>
      <c r="BJ150" s="757"/>
      <c r="BK150" s="757"/>
      <c r="BL150" s="757"/>
      <c r="BM150" s="757"/>
      <c r="BN150" s="757"/>
      <c r="BO150" s="757"/>
      <c r="BP150" s="757"/>
      <c r="BQ150" s="757"/>
      <c r="BR150" s="757"/>
      <c r="BS150" s="757"/>
      <c r="BT150" s="757"/>
      <c r="BU150" s="757"/>
      <c r="BV150" s="757"/>
      <c r="BW150" s="757"/>
      <c r="BX150" s="757"/>
      <c r="BY150" s="757"/>
      <c r="BZ150" s="758"/>
      <c r="CB150" s="644"/>
      <c r="CC150" s="645"/>
      <c r="CD150" s="645"/>
      <c r="CE150" s="645"/>
      <c r="CF150" s="645"/>
      <c r="CG150" s="645"/>
      <c r="CH150" s="1037"/>
      <c r="CI150" s="756"/>
      <c r="CJ150" s="757"/>
      <c r="CK150" s="757"/>
      <c r="CL150" s="757"/>
      <c r="CM150" s="757"/>
      <c r="CN150" s="757"/>
      <c r="CO150" s="757"/>
      <c r="CP150" s="757"/>
      <c r="CQ150" s="757"/>
      <c r="CR150" s="757"/>
      <c r="CS150" s="757"/>
      <c r="CT150" s="757"/>
      <c r="CU150" s="757"/>
      <c r="CV150" s="757"/>
      <c r="CW150" s="757"/>
      <c r="CX150" s="757"/>
      <c r="CY150" s="757"/>
      <c r="CZ150" s="758"/>
    </row>
    <row r="151" spans="1:104" ht="15" customHeight="1" x14ac:dyDescent="0.25">
      <c r="B151" s="1028" t="str">
        <f>IF(B152="","",VLOOKUP(B152,BoonRef!$A$2:$Z$900,2,FALSE))</f>
        <v/>
      </c>
      <c r="C151" s="725"/>
      <c r="D151" s="725"/>
      <c r="E151" s="725"/>
      <c r="F151" s="725"/>
      <c r="G151" s="725"/>
      <c r="H151" s="725"/>
      <c r="I151" s="725" t="str">
        <f>IF(B152="","",VLOOKUP(B152,BoonRef!$A$2:$Z$900,3,FALSE))</f>
        <v/>
      </c>
      <c r="J151" s="725"/>
      <c r="K151" s="725" t="str">
        <f>IF(B152="","",VLOOKUP(B152,DescRef!$A$2:$B$900,2,FALSE))</f>
        <v/>
      </c>
      <c r="L151" s="725"/>
      <c r="M151" s="725"/>
      <c r="N151" s="725"/>
      <c r="O151" s="725"/>
      <c r="P151" s="725"/>
      <c r="Q151" s="725"/>
      <c r="R151" s="725"/>
      <c r="S151" s="725"/>
      <c r="T151" s="725"/>
      <c r="U151" s="725"/>
      <c r="V151" s="725"/>
      <c r="W151" s="725"/>
      <c r="X151" s="725"/>
      <c r="Y151" s="725"/>
      <c r="Z151" s="726"/>
      <c r="AB151" s="1028" t="str">
        <f>IF(AB152="","",VLOOKUP(AB152,BoonRef!$A$2:$Z$900,2,FALSE))</f>
        <v/>
      </c>
      <c r="AC151" s="725"/>
      <c r="AD151" s="725"/>
      <c r="AE151" s="725"/>
      <c r="AF151" s="725"/>
      <c r="AG151" s="725"/>
      <c r="AH151" s="725"/>
      <c r="AI151" s="725" t="str">
        <f>IF(AB152="","",VLOOKUP(AB152,BoonRef!$A$2:$Z$900,3,FALSE))</f>
        <v/>
      </c>
      <c r="AJ151" s="725"/>
      <c r="AK151" s="725" t="str">
        <f>IF(AB152="","",VLOOKUP(AB152,DescRef!$A$2:$B$900,2,FALSE))</f>
        <v/>
      </c>
      <c r="AL151" s="725"/>
      <c r="AM151" s="725"/>
      <c r="AN151" s="725"/>
      <c r="AO151" s="725"/>
      <c r="AP151" s="725"/>
      <c r="AQ151" s="725"/>
      <c r="AR151" s="725"/>
      <c r="AS151" s="725"/>
      <c r="AT151" s="725"/>
      <c r="AU151" s="725"/>
      <c r="AV151" s="725"/>
      <c r="AW151" s="725"/>
      <c r="AX151" s="725"/>
      <c r="AY151" s="725"/>
      <c r="AZ151" s="726"/>
      <c r="BB151" s="1029" t="str">
        <f>IF(BB152="","",VLOOKUP(BB152,KanckRef!$A$1:$G$300,2,FALSE))</f>
        <v/>
      </c>
      <c r="BC151" s="1030"/>
      <c r="BD151" s="1030"/>
      <c r="BE151" s="1030"/>
      <c r="BF151" s="1031"/>
      <c r="BG151" s="1048" t="str">
        <f>IF(BB152="","",VLOOKUP(BB152,KanckRef!$A$1:$G$300,6,FALSE))</f>
        <v/>
      </c>
      <c r="BH151" s="1049"/>
      <c r="BI151" s="988" t="str">
        <f>IF(BB152="","",VLOOKUP(BB152,DescRef!$D$2:$E$300,2,FALSE))</f>
        <v/>
      </c>
      <c r="BJ151" s="795"/>
      <c r="BK151" s="795"/>
      <c r="BL151" s="795"/>
      <c r="BM151" s="795"/>
      <c r="BN151" s="795"/>
      <c r="BO151" s="795"/>
      <c r="BP151" s="795"/>
      <c r="BQ151" s="795"/>
      <c r="BR151" s="795"/>
      <c r="BS151" s="795"/>
      <c r="BT151" s="795"/>
      <c r="BU151" s="795"/>
      <c r="BV151" s="795"/>
      <c r="BW151" s="795"/>
      <c r="BX151" s="795"/>
      <c r="BY151" s="795"/>
      <c r="BZ151" s="796"/>
      <c r="CB151" s="1029" t="str">
        <f>IF(CB152="","",VLOOKUP(CB152,KanckRef!$A$1:$G$300,2,FALSE))</f>
        <v/>
      </c>
      <c r="CC151" s="1030"/>
      <c r="CD151" s="1030"/>
      <c r="CE151" s="1030"/>
      <c r="CF151" s="1031"/>
      <c r="CG151" s="1048" t="str">
        <f>IF(CB152="","",VLOOKUP(CB152,KanckRef!$A$1:$G$300,6,FALSE))</f>
        <v/>
      </c>
      <c r="CH151" s="1049"/>
      <c r="CI151" s="988" t="str">
        <f>IF(CB152="","",VLOOKUP(CB152,DescRef!$D$2:$E$300,2,FALSE))</f>
        <v/>
      </c>
      <c r="CJ151" s="795"/>
      <c r="CK151" s="795"/>
      <c r="CL151" s="795"/>
      <c r="CM151" s="795"/>
      <c r="CN151" s="795"/>
      <c r="CO151" s="795"/>
      <c r="CP151" s="795"/>
      <c r="CQ151" s="795"/>
      <c r="CR151" s="795"/>
      <c r="CS151" s="795"/>
      <c r="CT151" s="795"/>
      <c r="CU151" s="795"/>
      <c r="CV151" s="795"/>
      <c r="CW151" s="795"/>
      <c r="CX151" s="795"/>
      <c r="CY151" s="795"/>
      <c r="CZ151" s="796"/>
    </row>
    <row r="152" spans="1:104" ht="15" customHeight="1" x14ac:dyDescent="0.25">
      <c r="A152" s="15">
        <v>25</v>
      </c>
      <c r="B152" s="1026" t="str">
        <f>IF(A152&lt;'Purchased Boons'!$B$496,VLOOKUP(A152,'Purchased Boons'!$BF$2:$BG$900,2,FALSE),"")</f>
        <v/>
      </c>
      <c r="C152" s="727"/>
      <c r="D152" s="727"/>
      <c r="E152" s="727"/>
      <c r="F152" s="727"/>
      <c r="G152" s="727"/>
      <c r="H152" s="727"/>
      <c r="I152" s="727" t="str">
        <f>IF(B152="","",VLOOKUP(B152,BoonRef!$A$2:$Z$900,25,FALSE))</f>
        <v/>
      </c>
      <c r="J152" s="727"/>
      <c r="K152" s="727"/>
      <c r="L152" s="727"/>
      <c r="M152" s="727"/>
      <c r="N152" s="727"/>
      <c r="O152" s="727"/>
      <c r="P152" s="727"/>
      <c r="Q152" s="727"/>
      <c r="R152" s="727"/>
      <c r="S152" s="727"/>
      <c r="T152" s="727"/>
      <c r="U152" s="727"/>
      <c r="V152" s="727"/>
      <c r="W152" s="727"/>
      <c r="X152" s="727"/>
      <c r="Y152" s="727"/>
      <c r="Z152" s="728"/>
      <c r="AA152" s="15">
        <v>132</v>
      </c>
      <c r="AB152" s="1026" t="str">
        <f>IF(AA152&lt;'Purchased Boons'!$B$496,VLOOKUP(AA152,'Purchased Boons'!$BF$2:$BG$900,2,FALSE),"")</f>
        <v/>
      </c>
      <c r="AC152" s="727"/>
      <c r="AD152" s="727"/>
      <c r="AE152" s="727"/>
      <c r="AF152" s="727"/>
      <c r="AG152" s="727"/>
      <c r="AH152" s="727"/>
      <c r="AI152" s="727" t="str">
        <f>IF(AB152="","",VLOOKUP(AB152,BoonRef!$A$2:$Z$900,25,FALSE))</f>
        <v/>
      </c>
      <c r="AJ152" s="727"/>
      <c r="AK152" s="727"/>
      <c r="AL152" s="727"/>
      <c r="AM152" s="727"/>
      <c r="AN152" s="727"/>
      <c r="AO152" s="727"/>
      <c r="AP152" s="727"/>
      <c r="AQ152" s="727"/>
      <c r="AR152" s="727"/>
      <c r="AS152" s="727"/>
      <c r="AT152" s="727"/>
      <c r="AU152" s="727"/>
      <c r="AV152" s="727"/>
      <c r="AW152" s="727"/>
      <c r="AX152" s="727"/>
      <c r="AY152" s="727"/>
      <c r="AZ152" s="728"/>
      <c r="BA152" s="15">
        <v>25</v>
      </c>
      <c r="BB152" s="1038" t="str">
        <f>IF(BA152&lt;'Purchased Knacks'!A$192,VLOOKUP(BA152,'Purchased Knacks'!$A$4:$E$300,3,FALSE),"")</f>
        <v/>
      </c>
      <c r="BC152" s="1039"/>
      <c r="BD152" s="1039"/>
      <c r="BE152" s="1039"/>
      <c r="BF152" s="1040"/>
      <c r="BG152" s="1032" t="str">
        <f>IF(BB152="","",VLOOKUP(BB152,KanckRef!$A$1:$G$300,7,FALSE))</f>
        <v/>
      </c>
      <c r="BH152" s="1033"/>
      <c r="BI152" s="753"/>
      <c r="BJ152" s="754"/>
      <c r="BK152" s="754"/>
      <c r="BL152" s="754"/>
      <c r="BM152" s="754"/>
      <c r="BN152" s="754"/>
      <c r="BO152" s="754"/>
      <c r="BP152" s="754"/>
      <c r="BQ152" s="754"/>
      <c r="BR152" s="754"/>
      <c r="BS152" s="754"/>
      <c r="BT152" s="754"/>
      <c r="BU152" s="754"/>
      <c r="BV152" s="754"/>
      <c r="BW152" s="754"/>
      <c r="BX152" s="754"/>
      <c r="BY152" s="754"/>
      <c r="BZ152" s="755"/>
      <c r="CA152" s="15">
        <v>132</v>
      </c>
      <c r="CB152" s="1038" t="str">
        <f>IF(CA152&lt;'Purchased Knacks'!A$192,VLOOKUP(CA152,'Purchased Knacks'!$A$4:$E$300,3,FALSE),"")</f>
        <v/>
      </c>
      <c r="CC152" s="1039"/>
      <c r="CD152" s="1039"/>
      <c r="CE152" s="1039"/>
      <c r="CF152" s="1040"/>
      <c r="CG152" s="1032" t="str">
        <f>IF(CB152="","",VLOOKUP(CB152,KanckRef!$A$1:$G$300,7,FALSE))</f>
        <v/>
      </c>
      <c r="CH152" s="1033"/>
      <c r="CI152" s="753"/>
      <c r="CJ152" s="754"/>
      <c r="CK152" s="754"/>
      <c r="CL152" s="754"/>
      <c r="CM152" s="754"/>
      <c r="CN152" s="754"/>
      <c r="CO152" s="754"/>
      <c r="CP152" s="754"/>
      <c r="CQ152" s="754"/>
      <c r="CR152" s="754"/>
      <c r="CS152" s="754"/>
      <c r="CT152" s="754"/>
      <c r="CU152" s="754"/>
      <c r="CV152" s="754"/>
      <c r="CW152" s="754"/>
      <c r="CX152" s="754"/>
      <c r="CY152" s="754"/>
      <c r="CZ152" s="755"/>
    </row>
    <row r="153" spans="1:104" ht="15" customHeight="1" x14ac:dyDescent="0.25">
      <c r="B153" s="1026"/>
      <c r="C153" s="727"/>
      <c r="D153" s="727"/>
      <c r="E153" s="727"/>
      <c r="F153" s="727"/>
      <c r="G153" s="727"/>
      <c r="H153" s="727"/>
      <c r="I153" s="727" t="str">
        <f>IF(B152="","",VLOOKUP(B152,BoonRef!$A$2:$Z$900,26,FALSE))</f>
        <v/>
      </c>
      <c r="J153" s="727"/>
      <c r="K153" s="727"/>
      <c r="L153" s="727"/>
      <c r="M153" s="727"/>
      <c r="N153" s="727"/>
      <c r="O153" s="727"/>
      <c r="P153" s="727"/>
      <c r="Q153" s="727"/>
      <c r="R153" s="727"/>
      <c r="S153" s="727"/>
      <c r="T153" s="727"/>
      <c r="U153" s="727"/>
      <c r="V153" s="727"/>
      <c r="W153" s="727"/>
      <c r="X153" s="727"/>
      <c r="Y153" s="727"/>
      <c r="Z153" s="728"/>
      <c r="AB153" s="1026"/>
      <c r="AC153" s="727"/>
      <c r="AD153" s="727"/>
      <c r="AE153" s="727"/>
      <c r="AF153" s="727"/>
      <c r="AG153" s="727"/>
      <c r="AH153" s="727"/>
      <c r="AI153" s="727" t="str">
        <f>IF(AB152="","",VLOOKUP(AB152,BoonRef!$A$2:$Z$900,26,FALSE))</f>
        <v/>
      </c>
      <c r="AJ153" s="727"/>
      <c r="AK153" s="727"/>
      <c r="AL153" s="727"/>
      <c r="AM153" s="727"/>
      <c r="AN153" s="727"/>
      <c r="AO153" s="727"/>
      <c r="AP153" s="727"/>
      <c r="AQ153" s="727"/>
      <c r="AR153" s="727"/>
      <c r="AS153" s="727"/>
      <c r="AT153" s="727"/>
      <c r="AU153" s="727"/>
      <c r="AV153" s="727"/>
      <c r="AW153" s="727"/>
      <c r="AX153" s="727"/>
      <c r="AY153" s="727"/>
      <c r="AZ153" s="728"/>
      <c r="BB153" s="1041"/>
      <c r="BC153" s="1042"/>
      <c r="BD153" s="1042"/>
      <c r="BE153" s="1042"/>
      <c r="BF153" s="1043"/>
      <c r="BG153" s="1034"/>
      <c r="BH153" s="1035"/>
      <c r="BI153" s="753"/>
      <c r="BJ153" s="754"/>
      <c r="BK153" s="754"/>
      <c r="BL153" s="754"/>
      <c r="BM153" s="754"/>
      <c r="BN153" s="754"/>
      <c r="BO153" s="754"/>
      <c r="BP153" s="754"/>
      <c r="BQ153" s="754"/>
      <c r="BR153" s="754"/>
      <c r="BS153" s="754"/>
      <c r="BT153" s="754"/>
      <c r="BU153" s="754"/>
      <c r="BV153" s="754"/>
      <c r="BW153" s="754"/>
      <c r="BX153" s="754"/>
      <c r="BY153" s="754"/>
      <c r="BZ153" s="755"/>
      <c r="CB153" s="1041"/>
      <c r="CC153" s="1042"/>
      <c r="CD153" s="1042"/>
      <c r="CE153" s="1042"/>
      <c r="CF153" s="1043"/>
      <c r="CG153" s="1034"/>
      <c r="CH153" s="1035"/>
      <c r="CI153" s="753"/>
      <c r="CJ153" s="754"/>
      <c r="CK153" s="754"/>
      <c r="CL153" s="754"/>
      <c r="CM153" s="754"/>
      <c r="CN153" s="754"/>
      <c r="CO153" s="754"/>
      <c r="CP153" s="754"/>
      <c r="CQ153" s="754"/>
      <c r="CR153" s="754"/>
      <c r="CS153" s="754"/>
      <c r="CT153" s="754"/>
      <c r="CU153" s="754"/>
      <c r="CV153" s="754"/>
      <c r="CW153" s="754"/>
      <c r="CX153" s="754"/>
      <c r="CY153" s="754"/>
      <c r="CZ153" s="755"/>
    </row>
    <row r="154" spans="1:104" ht="15" customHeight="1" x14ac:dyDescent="0.25">
      <c r="B154" s="1026" t="str">
        <f>IF(B152="","",VLOOKUP(B152,BoonRef!$A$2:$Z$900,24,FALSE))</f>
        <v/>
      </c>
      <c r="C154" s="727"/>
      <c r="D154" s="727"/>
      <c r="E154" s="727"/>
      <c r="F154" s="727"/>
      <c r="G154" s="727"/>
      <c r="H154" s="727"/>
      <c r="I154" s="727"/>
      <c r="J154" s="727"/>
      <c r="K154" s="727"/>
      <c r="L154" s="727"/>
      <c r="M154" s="727"/>
      <c r="N154" s="727"/>
      <c r="O154" s="727"/>
      <c r="P154" s="727"/>
      <c r="Q154" s="727"/>
      <c r="R154" s="727"/>
      <c r="S154" s="727"/>
      <c r="T154" s="727"/>
      <c r="U154" s="727"/>
      <c r="V154" s="727"/>
      <c r="W154" s="727"/>
      <c r="X154" s="727"/>
      <c r="Y154" s="727"/>
      <c r="Z154" s="728"/>
      <c r="AB154" s="1026" t="str">
        <f>IF(AB152="","",VLOOKUP(AB152,BoonRef!$A$2:$Z$900,24,FALSE))</f>
        <v/>
      </c>
      <c r="AC154" s="727"/>
      <c r="AD154" s="727"/>
      <c r="AE154" s="727"/>
      <c r="AF154" s="727"/>
      <c r="AG154" s="727"/>
      <c r="AH154" s="727"/>
      <c r="AI154" s="727"/>
      <c r="AJ154" s="727"/>
      <c r="AK154" s="727"/>
      <c r="AL154" s="727"/>
      <c r="AM154" s="727"/>
      <c r="AN154" s="727"/>
      <c r="AO154" s="727"/>
      <c r="AP154" s="727"/>
      <c r="AQ154" s="727"/>
      <c r="AR154" s="727"/>
      <c r="AS154" s="727"/>
      <c r="AT154" s="727"/>
      <c r="AU154" s="727"/>
      <c r="AV154" s="727"/>
      <c r="AW154" s="727"/>
      <c r="AX154" s="727"/>
      <c r="AY154" s="727"/>
      <c r="AZ154" s="728"/>
      <c r="BB154" s="641" t="str">
        <f>IF(BB152="","",VLOOKUP(BB152,KanckRef!$A$1:$G$300,4,FALSE))</f>
        <v/>
      </c>
      <c r="BC154" s="642"/>
      <c r="BD154" s="642"/>
      <c r="BE154" s="642"/>
      <c r="BF154" s="642"/>
      <c r="BG154" s="642"/>
      <c r="BH154" s="1033"/>
      <c r="BI154" s="753"/>
      <c r="BJ154" s="754"/>
      <c r="BK154" s="754"/>
      <c r="BL154" s="754"/>
      <c r="BM154" s="754"/>
      <c r="BN154" s="754"/>
      <c r="BO154" s="754"/>
      <c r="BP154" s="754"/>
      <c r="BQ154" s="754"/>
      <c r="BR154" s="754"/>
      <c r="BS154" s="754"/>
      <c r="BT154" s="754"/>
      <c r="BU154" s="754"/>
      <c r="BV154" s="754"/>
      <c r="BW154" s="754"/>
      <c r="BX154" s="754"/>
      <c r="BY154" s="754"/>
      <c r="BZ154" s="755"/>
      <c r="CB154" s="641" t="str">
        <f>IF(CB152="","",VLOOKUP(CB152,KanckRef!$A$1:$G$300,4,FALSE))</f>
        <v/>
      </c>
      <c r="CC154" s="642"/>
      <c r="CD154" s="642"/>
      <c r="CE154" s="642"/>
      <c r="CF154" s="642"/>
      <c r="CG154" s="642"/>
      <c r="CH154" s="1033"/>
      <c r="CI154" s="753"/>
      <c r="CJ154" s="754"/>
      <c r="CK154" s="754"/>
      <c r="CL154" s="754"/>
      <c r="CM154" s="754"/>
      <c r="CN154" s="754"/>
      <c r="CO154" s="754"/>
      <c r="CP154" s="754"/>
      <c r="CQ154" s="754"/>
      <c r="CR154" s="754"/>
      <c r="CS154" s="754"/>
      <c r="CT154" s="754"/>
      <c r="CU154" s="754"/>
      <c r="CV154" s="754"/>
      <c r="CW154" s="754"/>
      <c r="CX154" s="754"/>
      <c r="CY154" s="754"/>
      <c r="CZ154" s="755"/>
    </row>
    <row r="155" spans="1:104" ht="15" customHeight="1" x14ac:dyDescent="0.25">
      <c r="B155" s="1026" t="str">
        <f>IF(B152="","",VLOOKUP(B152,BoonRef!$A$2:$Z$900,23,FALSE))</f>
        <v/>
      </c>
      <c r="C155" s="727"/>
      <c r="D155" s="727"/>
      <c r="E155" s="727"/>
      <c r="F155" s="727"/>
      <c r="G155" s="727"/>
      <c r="H155" s="727"/>
      <c r="I155" s="727"/>
      <c r="J155" s="727"/>
      <c r="K155" s="727"/>
      <c r="L155" s="727"/>
      <c r="M155" s="727"/>
      <c r="N155" s="727"/>
      <c r="O155" s="727"/>
      <c r="P155" s="727"/>
      <c r="Q155" s="727"/>
      <c r="R155" s="727"/>
      <c r="S155" s="727"/>
      <c r="T155" s="727"/>
      <c r="U155" s="727"/>
      <c r="V155" s="727"/>
      <c r="W155" s="727"/>
      <c r="X155" s="727"/>
      <c r="Y155" s="727"/>
      <c r="Z155" s="728"/>
      <c r="AB155" s="1026" t="str">
        <f>IF(AB152="","",VLOOKUP(AB152,BoonRef!$A$2:$Z$900,23,FALSE))</f>
        <v/>
      </c>
      <c r="AC155" s="727"/>
      <c r="AD155" s="727"/>
      <c r="AE155" s="727"/>
      <c r="AF155" s="727"/>
      <c r="AG155" s="727"/>
      <c r="AH155" s="727"/>
      <c r="AI155" s="727"/>
      <c r="AJ155" s="727"/>
      <c r="AK155" s="727"/>
      <c r="AL155" s="727"/>
      <c r="AM155" s="727"/>
      <c r="AN155" s="727"/>
      <c r="AO155" s="727"/>
      <c r="AP155" s="727"/>
      <c r="AQ155" s="727"/>
      <c r="AR155" s="727"/>
      <c r="AS155" s="727"/>
      <c r="AT155" s="727"/>
      <c r="AU155" s="727"/>
      <c r="AV155" s="727"/>
      <c r="AW155" s="727"/>
      <c r="AX155" s="727"/>
      <c r="AY155" s="727"/>
      <c r="AZ155" s="728"/>
      <c r="BB155" s="635"/>
      <c r="BC155" s="636"/>
      <c r="BD155" s="636"/>
      <c r="BE155" s="636"/>
      <c r="BF155" s="636"/>
      <c r="BG155" s="636"/>
      <c r="BH155" s="1036"/>
      <c r="BI155" s="753"/>
      <c r="BJ155" s="754"/>
      <c r="BK155" s="754"/>
      <c r="BL155" s="754"/>
      <c r="BM155" s="754"/>
      <c r="BN155" s="754"/>
      <c r="BO155" s="754"/>
      <c r="BP155" s="754"/>
      <c r="BQ155" s="754"/>
      <c r="BR155" s="754"/>
      <c r="BS155" s="754"/>
      <c r="BT155" s="754"/>
      <c r="BU155" s="754"/>
      <c r="BV155" s="754"/>
      <c r="BW155" s="754"/>
      <c r="BX155" s="754"/>
      <c r="BY155" s="754"/>
      <c r="BZ155" s="755"/>
      <c r="CB155" s="635"/>
      <c r="CC155" s="636"/>
      <c r="CD155" s="636"/>
      <c r="CE155" s="636"/>
      <c r="CF155" s="636"/>
      <c r="CG155" s="636"/>
      <c r="CH155" s="1036"/>
      <c r="CI155" s="753"/>
      <c r="CJ155" s="754"/>
      <c r="CK155" s="754"/>
      <c r="CL155" s="754"/>
      <c r="CM155" s="754"/>
      <c r="CN155" s="754"/>
      <c r="CO155" s="754"/>
      <c r="CP155" s="754"/>
      <c r="CQ155" s="754"/>
      <c r="CR155" s="754"/>
      <c r="CS155" s="754"/>
      <c r="CT155" s="754"/>
      <c r="CU155" s="754"/>
      <c r="CV155" s="754"/>
      <c r="CW155" s="754"/>
      <c r="CX155" s="754"/>
      <c r="CY155" s="754"/>
      <c r="CZ155" s="755"/>
    </row>
    <row r="156" spans="1:104" ht="15" customHeight="1" thickBot="1" x14ac:dyDescent="0.3">
      <c r="B156" s="1027"/>
      <c r="C156" s="865"/>
      <c r="D156" s="865"/>
      <c r="E156" s="865"/>
      <c r="F156" s="865"/>
      <c r="G156" s="865"/>
      <c r="H156" s="865"/>
      <c r="I156" s="865"/>
      <c r="J156" s="865"/>
      <c r="K156" s="865"/>
      <c r="L156" s="865"/>
      <c r="M156" s="865"/>
      <c r="N156" s="865"/>
      <c r="O156" s="865"/>
      <c r="P156" s="865"/>
      <c r="Q156" s="865"/>
      <c r="R156" s="865"/>
      <c r="S156" s="865"/>
      <c r="T156" s="865"/>
      <c r="U156" s="865"/>
      <c r="V156" s="865"/>
      <c r="W156" s="865"/>
      <c r="X156" s="865"/>
      <c r="Y156" s="865"/>
      <c r="Z156" s="921"/>
      <c r="AB156" s="1027"/>
      <c r="AC156" s="865"/>
      <c r="AD156" s="865"/>
      <c r="AE156" s="865"/>
      <c r="AF156" s="865"/>
      <c r="AG156" s="865"/>
      <c r="AH156" s="865"/>
      <c r="AI156" s="865"/>
      <c r="AJ156" s="865"/>
      <c r="AK156" s="865"/>
      <c r="AL156" s="865"/>
      <c r="AM156" s="865"/>
      <c r="AN156" s="865"/>
      <c r="AO156" s="865"/>
      <c r="AP156" s="865"/>
      <c r="AQ156" s="865"/>
      <c r="AR156" s="865"/>
      <c r="AS156" s="865"/>
      <c r="AT156" s="865"/>
      <c r="AU156" s="865"/>
      <c r="AV156" s="865"/>
      <c r="AW156" s="865"/>
      <c r="AX156" s="865"/>
      <c r="AY156" s="865"/>
      <c r="AZ156" s="921"/>
      <c r="BB156" s="644"/>
      <c r="BC156" s="645"/>
      <c r="BD156" s="645"/>
      <c r="BE156" s="645"/>
      <c r="BF156" s="645"/>
      <c r="BG156" s="645"/>
      <c r="BH156" s="1037"/>
      <c r="BI156" s="756"/>
      <c r="BJ156" s="757"/>
      <c r="BK156" s="757"/>
      <c r="BL156" s="757"/>
      <c r="BM156" s="757"/>
      <c r="BN156" s="757"/>
      <c r="BO156" s="757"/>
      <c r="BP156" s="757"/>
      <c r="BQ156" s="757"/>
      <c r="BR156" s="757"/>
      <c r="BS156" s="757"/>
      <c r="BT156" s="757"/>
      <c r="BU156" s="757"/>
      <c r="BV156" s="757"/>
      <c r="BW156" s="757"/>
      <c r="BX156" s="757"/>
      <c r="BY156" s="757"/>
      <c r="BZ156" s="758"/>
      <c r="CB156" s="644"/>
      <c r="CC156" s="645"/>
      <c r="CD156" s="645"/>
      <c r="CE156" s="645"/>
      <c r="CF156" s="645"/>
      <c r="CG156" s="645"/>
      <c r="CH156" s="1037"/>
      <c r="CI156" s="756"/>
      <c r="CJ156" s="757"/>
      <c r="CK156" s="757"/>
      <c r="CL156" s="757"/>
      <c r="CM156" s="757"/>
      <c r="CN156" s="757"/>
      <c r="CO156" s="757"/>
      <c r="CP156" s="757"/>
      <c r="CQ156" s="757"/>
      <c r="CR156" s="757"/>
      <c r="CS156" s="757"/>
      <c r="CT156" s="757"/>
      <c r="CU156" s="757"/>
      <c r="CV156" s="757"/>
      <c r="CW156" s="757"/>
      <c r="CX156" s="757"/>
      <c r="CY156" s="757"/>
      <c r="CZ156" s="758"/>
    </row>
    <row r="157" spans="1:104" ht="15" customHeight="1" x14ac:dyDescent="0.25">
      <c r="B157" s="1028" t="str">
        <f>IF(B158="","",VLOOKUP(B158,BoonRef!$A$2:$Z$900,2,FALSE))</f>
        <v/>
      </c>
      <c r="C157" s="725"/>
      <c r="D157" s="725"/>
      <c r="E157" s="725"/>
      <c r="F157" s="725"/>
      <c r="G157" s="725"/>
      <c r="H157" s="725"/>
      <c r="I157" s="725" t="str">
        <f>IF(B158="","",VLOOKUP(B158,BoonRef!$A$2:$Z$900,3,FALSE))</f>
        <v/>
      </c>
      <c r="J157" s="725"/>
      <c r="K157" s="725" t="str">
        <f>IF(B158="","",VLOOKUP(B158,DescRef!$A$2:$B$900,2,FALSE))</f>
        <v/>
      </c>
      <c r="L157" s="725"/>
      <c r="M157" s="725"/>
      <c r="N157" s="725"/>
      <c r="O157" s="725"/>
      <c r="P157" s="725"/>
      <c r="Q157" s="725"/>
      <c r="R157" s="725"/>
      <c r="S157" s="725"/>
      <c r="T157" s="725"/>
      <c r="U157" s="725"/>
      <c r="V157" s="725"/>
      <c r="W157" s="725"/>
      <c r="X157" s="725"/>
      <c r="Y157" s="725"/>
      <c r="Z157" s="726"/>
      <c r="AB157" s="1028" t="str">
        <f>IF(AB158="","",VLOOKUP(AB158,BoonRef!$A$2:$Z$900,2,FALSE))</f>
        <v/>
      </c>
      <c r="AC157" s="725"/>
      <c r="AD157" s="725"/>
      <c r="AE157" s="725"/>
      <c r="AF157" s="725"/>
      <c r="AG157" s="725"/>
      <c r="AH157" s="725"/>
      <c r="AI157" s="725" t="str">
        <f>IF(AB158="","",VLOOKUP(AB158,BoonRef!$A$2:$Z$900,3,FALSE))</f>
        <v/>
      </c>
      <c r="AJ157" s="725"/>
      <c r="AK157" s="725" t="str">
        <f>IF(AB158="","",VLOOKUP(AB158,DescRef!$A$2:$B$900,2,FALSE))</f>
        <v/>
      </c>
      <c r="AL157" s="725"/>
      <c r="AM157" s="725"/>
      <c r="AN157" s="725"/>
      <c r="AO157" s="725"/>
      <c r="AP157" s="725"/>
      <c r="AQ157" s="725"/>
      <c r="AR157" s="725"/>
      <c r="AS157" s="725"/>
      <c r="AT157" s="725"/>
      <c r="AU157" s="725"/>
      <c r="AV157" s="725"/>
      <c r="AW157" s="725"/>
      <c r="AX157" s="725"/>
      <c r="AY157" s="725"/>
      <c r="AZ157" s="726"/>
      <c r="BB157" s="1029" t="str">
        <f>IF(BB158="","",VLOOKUP(BB158,KanckRef!$A$1:$G$300,2,FALSE))</f>
        <v/>
      </c>
      <c r="BC157" s="1030"/>
      <c r="BD157" s="1030"/>
      <c r="BE157" s="1030"/>
      <c r="BF157" s="1031"/>
      <c r="BG157" s="1048" t="str">
        <f>IF(BB158="","",VLOOKUP(BB158,KanckRef!$A$1:$G$300,6,FALSE))</f>
        <v/>
      </c>
      <c r="BH157" s="1049"/>
      <c r="BI157" s="988" t="str">
        <f>IF(BB158="","",VLOOKUP(BB158,DescRef!$D$2:$E$300,2,FALSE))</f>
        <v/>
      </c>
      <c r="BJ157" s="795"/>
      <c r="BK157" s="795"/>
      <c r="BL157" s="795"/>
      <c r="BM157" s="795"/>
      <c r="BN157" s="795"/>
      <c r="BO157" s="795"/>
      <c r="BP157" s="795"/>
      <c r="BQ157" s="795"/>
      <c r="BR157" s="795"/>
      <c r="BS157" s="795"/>
      <c r="BT157" s="795"/>
      <c r="BU157" s="795"/>
      <c r="BV157" s="795"/>
      <c r="BW157" s="795"/>
      <c r="BX157" s="795"/>
      <c r="BY157" s="795"/>
      <c r="BZ157" s="796"/>
      <c r="CB157" s="1029" t="str">
        <f>IF(CB158="","",VLOOKUP(CB158,KanckRef!$A$1:$G$300,2,FALSE))</f>
        <v/>
      </c>
      <c r="CC157" s="1030"/>
      <c r="CD157" s="1030"/>
      <c r="CE157" s="1030"/>
      <c r="CF157" s="1031"/>
      <c r="CG157" s="1048" t="str">
        <f>IF(CB158="","",VLOOKUP(CB158,KanckRef!$A$1:$G$300,6,FALSE))</f>
        <v/>
      </c>
      <c r="CH157" s="1049"/>
      <c r="CI157" s="988" t="str">
        <f>IF(CB158="","",VLOOKUP(CB158,DescRef!$D$2:$E$300,2,FALSE))</f>
        <v/>
      </c>
      <c r="CJ157" s="795"/>
      <c r="CK157" s="795"/>
      <c r="CL157" s="795"/>
      <c r="CM157" s="795"/>
      <c r="CN157" s="795"/>
      <c r="CO157" s="795"/>
      <c r="CP157" s="795"/>
      <c r="CQ157" s="795"/>
      <c r="CR157" s="795"/>
      <c r="CS157" s="795"/>
      <c r="CT157" s="795"/>
      <c r="CU157" s="795"/>
      <c r="CV157" s="795"/>
      <c r="CW157" s="795"/>
      <c r="CX157" s="795"/>
      <c r="CY157" s="795"/>
      <c r="CZ157" s="796"/>
    </row>
    <row r="158" spans="1:104" ht="15" customHeight="1" x14ac:dyDescent="0.25">
      <c r="A158" s="15">
        <v>26</v>
      </c>
      <c r="B158" s="1026" t="str">
        <f>IF(A158&lt;'Purchased Boons'!$B$496,VLOOKUP(A158,'Purchased Boons'!$BF$2:$BG$900,2,FALSE),"")</f>
        <v/>
      </c>
      <c r="C158" s="727"/>
      <c r="D158" s="727"/>
      <c r="E158" s="727"/>
      <c r="F158" s="727"/>
      <c r="G158" s="727"/>
      <c r="H158" s="727"/>
      <c r="I158" s="727" t="str">
        <f>IF(B158="","",VLOOKUP(B158,BoonRef!$A$2:$Z$900,25,FALSE))</f>
        <v/>
      </c>
      <c r="J158" s="727"/>
      <c r="K158" s="727"/>
      <c r="L158" s="727"/>
      <c r="M158" s="727"/>
      <c r="N158" s="727"/>
      <c r="O158" s="727"/>
      <c r="P158" s="727"/>
      <c r="Q158" s="727"/>
      <c r="R158" s="727"/>
      <c r="S158" s="727"/>
      <c r="T158" s="727"/>
      <c r="U158" s="727"/>
      <c r="V158" s="727"/>
      <c r="W158" s="727"/>
      <c r="X158" s="727"/>
      <c r="Y158" s="727"/>
      <c r="Z158" s="728"/>
      <c r="AA158" s="15">
        <v>133</v>
      </c>
      <c r="AB158" s="1026" t="str">
        <f>IF(AA158&lt;'Purchased Boons'!$B$496,VLOOKUP(AA158,'Purchased Boons'!$BF$2:$BG$900,2,FALSE),"")</f>
        <v/>
      </c>
      <c r="AC158" s="727"/>
      <c r="AD158" s="727"/>
      <c r="AE158" s="727"/>
      <c r="AF158" s="727"/>
      <c r="AG158" s="727"/>
      <c r="AH158" s="727"/>
      <c r="AI158" s="727" t="str">
        <f>IF(AB158="","",VLOOKUP(AB158,BoonRef!$A$2:$Z$900,25,FALSE))</f>
        <v/>
      </c>
      <c r="AJ158" s="727"/>
      <c r="AK158" s="727"/>
      <c r="AL158" s="727"/>
      <c r="AM158" s="727"/>
      <c r="AN158" s="727"/>
      <c r="AO158" s="727"/>
      <c r="AP158" s="727"/>
      <c r="AQ158" s="727"/>
      <c r="AR158" s="727"/>
      <c r="AS158" s="727"/>
      <c r="AT158" s="727"/>
      <c r="AU158" s="727"/>
      <c r="AV158" s="727"/>
      <c r="AW158" s="727"/>
      <c r="AX158" s="727"/>
      <c r="AY158" s="727"/>
      <c r="AZ158" s="728"/>
      <c r="BA158" s="15">
        <v>26</v>
      </c>
      <c r="BB158" s="1038" t="str">
        <f>IF(BA158&lt;'Purchased Knacks'!A$192,VLOOKUP(BA158,'Purchased Knacks'!$A$4:$E$300,3,FALSE),"")</f>
        <v/>
      </c>
      <c r="BC158" s="1039"/>
      <c r="BD158" s="1039"/>
      <c r="BE158" s="1039"/>
      <c r="BF158" s="1040"/>
      <c r="BG158" s="1032" t="str">
        <f>IF(BB158="","",VLOOKUP(BB158,KanckRef!$A$1:$G$300,7,FALSE))</f>
        <v/>
      </c>
      <c r="BH158" s="1033"/>
      <c r="BI158" s="753"/>
      <c r="BJ158" s="754"/>
      <c r="BK158" s="754"/>
      <c r="BL158" s="754"/>
      <c r="BM158" s="754"/>
      <c r="BN158" s="754"/>
      <c r="BO158" s="754"/>
      <c r="BP158" s="754"/>
      <c r="BQ158" s="754"/>
      <c r="BR158" s="754"/>
      <c r="BS158" s="754"/>
      <c r="BT158" s="754"/>
      <c r="BU158" s="754"/>
      <c r="BV158" s="754"/>
      <c r="BW158" s="754"/>
      <c r="BX158" s="754"/>
      <c r="BY158" s="754"/>
      <c r="BZ158" s="755"/>
      <c r="CA158" s="15">
        <v>133</v>
      </c>
      <c r="CB158" s="1038" t="str">
        <f>IF(CA158&lt;'Purchased Knacks'!A$192,VLOOKUP(CA158,'Purchased Knacks'!$A$4:$E$300,3,FALSE),"")</f>
        <v/>
      </c>
      <c r="CC158" s="1039"/>
      <c r="CD158" s="1039"/>
      <c r="CE158" s="1039"/>
      <c r="CF158" s="1040"/>
      <c r="CG158" s="1032" t="str">
        <f>IF(CB158="","",VLOOKUP(CB158,KanckRef!$A$1:$G$300,7,FALSE))</f>
        <v/>
      </c>
      <c r="CH158" s="1033"/>
      <c r="CI158" s="753"/>
      <c r="CJ158" s="754"/>
      <c r="CK158" s="754"/>
      <c r="CL158" s="754"/>
      <c r="CM158" s="754"/>
      <c r="CN158" s="754"/>
      <c r="CO158" s="754"/>
      <c r="CP158" s="754"/>
      <c r="CQ158" s="754"/>
      <c r="CR158" s="754"/>
      <c r="CS158" s="754"/>
      <c r="CT158" s="754"/>
      <c r="CU158" s="754"/>
      <c r="CV158" s="754"/>
      <c r="CW158" s="754"/>
      <c r="CX158" s="754"/>
      <c r="CY158" s="754"/>
      <c r="CZ158" s="755"/>
    </row>
    <row r="159" spans="1:104" ht="15" customHeight="1" x14ac:dyDescent="0.25">
      <c r="B159" s="1026"/>
      <c r="C159" s="727"/>
      <c r="D159" s="727"/>
      <c r="E159" s="727"/>
      <c r="F159" s="727"/>
      <c r="G159" s="727"/>
      <c r="H159" s="727"/>
      <c r="I159" s="727" t="str">
        <f>IF(B158="","",VLOOKUP(B158,BoonRef!$A$2:$Z$900,26,FALSE))</f>
        <v/>
      </c>
      <c r="J159" s="727"/>
      <c r="K159" s="727"/>
      <c r="L159" s="727"/>
      <c r="M159" s="727"/>
      <c r="N159" s="727"/>
      <c r="O159" s="727"/>
      <c r="P159" s="727"/>
      <c r="Q159" s="727"/>
      <c r="R159" s="727"/>
      <c r="S159" s="727"/>
      <c r="T159" s="727"/>
      <c r="U159" s="727"/>
      <c r="V159" s="727"/>
      <c r="W159" s="727"/>
      <c r="X159" s="727"/>
      <c r="Y159" s="727"/>
      <c r="Z159" s="728"/>
      <c r="AB159" s="1026"/>
      <c r="AC159" s="727"/>
      <c r="AD159" s="727"/>
      <c r="AE159" s="727"/>
      <c r="AF159" s="727"/>
      <c r="AG159" s="727"/>
      <c r="AH159" s="727"/>
      <c r="AI159" s="727" t="str">
        <f>IF(AB158="","",VLOOKUP(AB158,BoonRef!$A$2:$Z$900,26,FALSE))</f>
        <v/>
      </c>
      <c r="AJ159" s="727"/>
      <c r="AK159" s="727"/>
      <c r="AL159" s="727"/>
      <c r="AM159" s="727"/>
      <c r="AN159" s="727"/>
      <c r="AO159" s="727"/>
      <c r="AP159" s="727"/>
      <c r="AQ159" s="727"/>
      <c r="AR159" s="727"/>
      <c r="AS159" s="727"/>
      <c r="AT159" s="727"/>
      <c r="AU159" s="727"/>
      <c r="AV159" s="727"/>
      <c r="AW159" s="727"/>
      <c r="AX159" s="727"/>
      <c r="AY159" s="727"/>
      <c r="AZ159" s="728"/>
      <c r="BB159" s="1041"/>
      <c r="BC159" s="1042"/>
      <c r="BD159" s="1042"/>
      <c r="BE159" s="1042"/>
      <c r="BF159" s="1043"/>
      <c r="BG159" s="1034"/>
      <c r="BH159" s="1035"/>
      <c r="BI159" s="753"/>
      <c r="BJ159" s="754"/>
      <c r="BK159" s="754"/>
      <c r="BL159" s="754"/>
      <c r="BM159" s="754"/>
      <c r="BN159" s="754"/>
      <c r="BO159" s="754"/>
      <c r="BP159" s="754"/>
      <c r="BQ159" s="754"/>
      <c r="BR159" s="754"/>
      <c r="BS159" s="754"/>
      <c r="BT159" s="754"/>
      <c r="BU159" s="754"/>
      <c r="BV159" s="754"/>
      <c r="BW159" s="754"/>
      <c r="BX159" s="754"/>
      <c r="BY159" s="754"/>
      <c r="BZ159" s="755"/>
      <c r="CB159" s="1041"/>
      <c r="CC159" s="1042"/>
      <c r="CD159" s="1042"/>
      <c r="CE159" s="1042"/>
      <c r="CF159" s="1043"/>
      <c r="CG159" s="1034"/>
      <c r="CH159" s="1035"/>
      <c r="CI159" s="753"/>
      <c r="CJ159" s="754"/>
      <c r="CK159" s="754"/>
      <c r="CL159" s="754"/>
      <c r="CM159" s="754"/>
      <c r="CN159" s="754"/>
      <c r="CO159" s="754"/>
      <c r="CP159" s="754"/>
      <c r="CQ159" s="754"/>
      <c r="CR159" s="754"/>
      <c r="CS159" s="754"/>
      <c r="CT159" s="754"/>
      <c r="CU159" s="754"/>
      <c r="CV159" s="754"/>
      <c r="CW159" s="754"/>
      <c r="CX159" s="754"/>
      <c r="CY159" s="754"/>
      <c r="CZ159" s="755"/>
    </row>
    <row r="160" spans="1:104" ht="15" customHeight="1" x14ac:dyDescent="0.25">
      <c r="B160" s="1026" t="str">
        <f>IF(B158="","",VLOOKUP(B158,BoonRef!$A$2:$Z$900,24,FALSE))</f>
        <v/>
      </c>
      <c r="C160" s="727"/>
      <c r="D160" s="727"/>
      <c r="E160" s="727"/>
      <c r="F160" s="727"/>
      <c r="G160" s="727"/>
      <c r="H160" s="727"/>
      <c r="I160" s="727"/>
      <c r="J160" s="727"/>
      <c r="K160" s="727"/>
      <c r="L160" s="727"/>
      <c r="M160" s="727"/>
      <c r="N160" s="727"/>
      <c r="O160" s="727"/>
      <c r="P160" s="727"/>
      <c r="Q160" s="727"/>
      <c r="R160" s="727"/>
      <c r="S160" s="727"/>
      <c r="T160" s="727"/>
      <c r="U160" s="727"/>
      <c r="V160" s="727"/>
      <c r="W160" s="727"/>
      <c r="X160" s="727"/>
      <c r="Y160" s="727"/>
      <c r="Z160" s="728"/>
      <c r="AB160" s="1026" t="str">
        <f>IF(AB158="","",VLOOKUP(AB158,BoonRef!$A$2:$Z$900,24,FALSE))</f>
        <v/>
      </c>
      <c r="AC160" s="727"/>
      <c r="AD160" s="727"/>
      <c r="AE160" s="727"/>
      <c r="AF160" s="727"/>
      <c r="AG160" s="727"/>
      <c r="AH160" s="727"/>
      <c r="AI160" s="727"/>
      <c r="AJ160" s="727"/>
      <c r="AK160" s="727"/>
      <c r="AL160" s="727"/>
      <c r="AM160" s="727"/>
      <c r="AN160" s="727"/>
      <c r="AO160" s="727"/>
      <c r="AP160" s="727"/>
      <c r="AQ160" s="727"/>
      <c r="AR160" s="727"/>
      <c r="AS160" s="727"/>
      <c r="AT160" s="727"/>
      <c r="AU160" s="727"/>
      <c r="AV160" s="727"/>
      <c r="AW160" s="727"/>
      <c r="AX160" s="727"/>
      <c r="AY160" s="727"/>
      <c r="AZ160" s="728"/>
      <c r="BB160" s="641" t="str">
        <f>IF(BB158="","",VLOOKUP(BB158,KanckRef!$A$1:$G$300,4,FALSE))</f>
        <v/>
      </c>
      <c r="BC160" s="642"/>
      <c r="BD160" s="642"/>
      <c r="BE160" s="642"/>
      <c r="BF160" s="642"/>
      <c r="BG160" s="642"/>
      <c r="BH160" s="1033"/>
      <c r="BI160" s="753"/>
      <c r="BJ160" s="754"/>
      <c r="BK160" s="754"/>
      <c r="BL160" s="754"/>
      <c r="BM160" s="754"/>
      <c r="BN160" s="754"/>
      <c r="BO160" s="754"/>
      <c r="BP160" s="754"/>
      <c r="BQ160" s="754"/>
      <c r="BR160" s="754"/>
      <c r="BS160" s="754"/>
      <c r="BT160" s="754"/>
      <c r="BU160" s="754"/>
      <c r="BV160" s="754"/>
      <c r="BW160" s="754"/>
      <c r="BX160" s="754"/>
      <c r="BY160" s="754"/>
      <c r="BZ160" s="755"/>
      <c r="CB160" s="641" t="str">
        <f>IF(CB158="","",VLOOKUP(CB158,KanckRef!$A$1:$G$300,4,FALSE))</f>
        <v/>
      </c>
      <c r="CC160" s="642"/>
      <c r="CD160" s="642"/>
      <c r="CE160" s="642"/>
      <c r="CF160" s="642"/>
      <c r="CG160" s="642"/>
      <c r="CH160" s="1033"/>
      <c r="CI160" s="753"/>
      <c r="CJ160" s="754"/>
      <c r="CK160" s="754"/>
      <c r="CL160" s="754"/>
      <c r="CM160" s="754"/>
      <c r="CN160" s="754"/>
      <c r="CO160" s="754"/>
      <c r="CP160" s="754"/>
      <c r="CQ160" s="754"/>
      <c r="CR160" s="754"/>
      <c r="CS160" s="754"/>
      <c r="CT160" s="754"/>
      <c r="CU160" s="754"/>
      <c r="CV160" s="754"/>
      <c r="CW160" s="754"/>
      <c r="CX160" s="754"/>
      <c r="CY160" s="754"/>
      <c r="CZ160" s="755"/>
    </row>
    <row r="161" spans="1:104" ht="15" customHeight="1" x14ac:dyDescent="0.25">
      <c r="B161" s="1026" t="str">
        <f>IF(B158="","",VLOOKUP(B158,BoonRef!$A$2:$Z$900,23,FALSE))</f>
        <v/>
      </c>
      <c r="C161" s="727"/>
      <c r="D161" s="727"/>
      <c r="E161" s="727"/>
      <c r="F161" s="727"/>
      <c r="G161" s="727"/>
      <c r="H161" s="727"/>
      <c r="I161" s="727"/>
      <c r="J161" s="727"/>
      <c r="K161" s="727"/>
      <c r="L161" s="727"/>
      <c r="M161" s="727"/>
      <c r="N161" s="727"/>
      <c r="O161" s="727"/>
      <c r="P161" s="727"/>
      <c r="Q161" s="727"/>
      <c r="R161" s="727"/>
      <c r="S161" s="727"/>
      <c r="T161" s="727"/>
      <c r="U161" s="727"/>
      <c r="V161" s="727"/>
      <c r="W161" s="727"/>
      <c r="X161" s="727"/>
      <c r="Y161" s="727"/>
      <c r="Z161" s="728"/>
      <c r="AB161" s="1026" t="str">
        <f>IF(AB158="","",VLOOKUP(AB158,BoonRef!$A$2:$Z$900,23,FALSE))</f>
        <v/>
      </c>
      <c r="AC161" s="727"/>
      <c r="AD161" s="727"/>
      <c r="AE161" s="727"/>
      <c r="AF161" s="727"/>
      <c r="AG161" s="727"/>
      <c r="AH161" s="727"/>
      <c r="AI161" s="727"/>
      <c r="AJ161" s="727"/>
      <c r="AK161" s="727"/>
      <c r="AL161" s="727"/>
      <c r="AM161" s="727"/>
      <c r="AN161" s="727"/>
      <c r="AO161" s="727"/>
      <c r="AP161" s="727"/>
      <c r="AQ161" s="727"/>
      <c r="AR161" s="727"/>
      <c r="AS161" s="727"/>
      <c r="AT161" s="727"/>
      <c r="AU161" s="727"/>
      <c r="AV161" s="727"/>
      <c r="AW161" s="727"/>
      <c r="AX161" s="727"/>
      <c r="AY161" s="727"/>
      <c r="AZ161" s="728"/>
      <c r="BB161" s="635"/>
      <c r="BC161" s="636"/>
      <c r="BD161" s="636"/>
      <c r="BE161" s="636"/>
      <c r="BF161" s="636"/>
      <c r="BG161" s="636"/>
      <c r="BH161" s="1036"/>
      <c r="BI161" s="753"/>
      <c r="BJ161" s="754"/>
      <c r="BK161" s="754"/>
      <c r="BL161" s="754"/>
      <c r="BM161" s="754"/>
      <c r="BN161" s="754"/>
      <c r="BO161" s="754"/>
      <c r="BP161" s="754"/>
      <c r="BQ161" s="754"/>
      <c r="BR161" s="754"/>
      <c r="BS161" s="754"/>
      <c r="BT161" s="754"/>
      <c r="BU161" s="754"/>
      <c r="BV161" s="754"/>
      <c r="BW161" s="754"/>
      <c r="BX161" s="754"/>
      <c r="BY161" s="754"/>
      <c r="BZ161" s="755"/>
      <c r="CB161" s="635"/>
      <c r="CC161" s="636"/>
      <c r="CD161" s="636"/>
      <c r="CE161" s="636"/>
      <c r="CF161" s="636"/>
      <c r="CG161" s="636"/>
      <c r="CH161" s="1036"/>
      <c r="CI161" s="753"/>
      <c r="CJ161" s="754"/>
      <c r="CK161" s="754"/>
      <c r="CL161" s="754"/>
      <c r="CM161" s="754"/>
      <c r="CN161" s="754"/>
      <c r="CO161" s="754"/>
      <c r="CP161" s="754"/>
      <c r="CQ161" s="754"/>
      <c r="CR161" s="754"/>
      <c r="CS161" s="754"/>
      <c r="CT161" s="754"/>
      <c r="CU161" s="754"/>
      <c r="CV161" s="754"/>
      <c r="CW161" s="754"/>
      <c r="CX161" s="754"/>
      <c r="CY161" s="754"/>
      <c r="CZ161" s="755"/>
    </row>
    <row r="162" spans="1:104" ht="15" customHeight="1" thickBot="1" x14ac:dyDescent="0.3">
      <c r="B162" s="1027"/>
      <c r="C162" s="865"/>
      <c r="D162" s="865"/>
      <c r="E162" s="865"/>
      <c r="F162" s="865"/>
      <c r="G162" s="865"/>
      <c r="H162" s="865"/>
      <c r="I162" s="865"/>
      <c r="J162" s="865"/>
      <c r="K162" s="865"/>
      <c r="L162" s="865"/>
      <c r="M162" s="865"/>
      <c r="N162" s="865"/>
      <c r="O162" s="865"/>
      <c r="P162" s="865"/>
      <c r="Q162" s="865"/>
      <c r="R162" s="865"/>
      <c r="S162" s="865"/>
      <c r="T162" s="865"/>
      <c r="U162" s="865"/>
      <c r="V162" s="865"/>
      <c r="W162" s="865"/>
      <c r="X162" s="865"/>
      <c r="Y162" s="865"/>
      <c r="Z162" s="921"/>
      <c r="AB162" s="1027"/>
      <c r="AC162" s="865"/>
      <c r="AD162" s="865"/>
      <c r="AE162" s="865"/>
      <c r="AF162" s="865"/>
      <c r="AG162" s="865"/>
      <c r="AH162" s="865"/>
      <c r="AI162" s="865"/>
      <c r="AJ162" s="865"/>
      <c r="AK162" s="865"/>
      <c r="AL162" s="865"/>
      <c r="AM162" s="865"/>
      <c r="AN162" s="865"/>
      <c r="AO162" s="865"/>
      <c r="AP162" s="865"/>
      <c r="AQ162" s="865"/>
      <c r="AR162" s="865"/>
      <c r="AS162" s="865"/>
      <c r="AT162" s="865"/>
      <c r="AU162" s="865"/>
      <c r="AV162" s="865"/>
      <c r="AW162" s="865"/>
      <c r="AX162" s="865"/>
      <c r="AY162" s="865"/>
      <c r="AZ162" s="921"/>
      <c r="BB162" s="644"/>
      <c r="BC162" s="645"/>
      <c r="BD162" s="645"/>
      <c r="BE162" s="645"/>
      <c r="BF162" s="645"/>
      <c r="BG162" s="645"/>
      <c r="BH162" s="1037"/>
      <c r="BI162" s="756"/>
      <c r="BJ162" s="757"/>
      <c r="BK162" s="757"/>
      <c r="BL162" s="757"/>
      <c r="BM162" s="757"/>
      <c r="BN162" s="757"/>
      <c r="BO162" s="757"/>
      <c r="BP162" s="757"/>
      <c r="BQ162" s="757"/>
      <c r="BR162" s="757"/>
      <c r="BS162" s="757"/>
      <c r="BT162" s="757"/>
      <c r="BU162" s="757"/>
      <c r="BV162" s="757"/>
      <c r="BW162" s="757"/>
      <c r="BX162" s="757"/>
      <c r="BY162" s="757"/>
      <c r="BZ162" s="758"/>
      <c r="CB162" s="644"/>
      <c r="CC162" s="645"/>
      <c r="CD162" s="645"/>
      <c r="CE162" s="645"/>
      <c r="CF162" s="645"/>
      <c r="CG162" s="645"/>
      <c r="CH162" s="1037"/>
      <c r="CI162" s="756"/>
      <c r="CJ162" s="757"/>
      <c r="CK162" s="757"/>
      <c r="CL162" s="757"/>
      <c r="CM162" s="757"/>
      <c r="CN162" s="757"/>
      <c r="CO162" s="757"/>
      <c r="CP162" s="757"/>
      <c r="CQ162" s="757"/>
      <c r="CR162" s="757"/>
      <c r="CS162" s="757"/>
      <c r="CT162" s="757"/>
      <c r="CU162" s="757"/>
      <c r="CV162" s="757"/>
      <c r="CW162" s="757"/>
      <c r="CX162" s="757"/>
      <c r="CY162" s="757"/>
      <c r="CZ162" s="758"/>
    </row>
    <row r="163" spans="1:104" ht="15" customHeight="1" x14ac:dyDescent="0.25">
      <c r="B163" s="1028" t="str">
        <f>IF(B164="","",VLOOKUP(B164,BoonRef!$A$2:$Z$900,2,FALSE))</f>
        <v/>
      </c>
      <c r="C163" s="725"/>
      <c r="D163" s="725"/>
      <c r="E163" s="725"/>
      <c r="F163" s="725"/>
      <c r="G163" s="725"/>
      <c r="H163" s="725"/>
      <c r="I163" s="725" t="str">
        <f>IF(B164="","",VLOOKUP(B164,BoonRef!$A$2:$Z$900,3,FALSE))</f>
        <v/>
      </c>
      <c r="J163" s="725"/>
      <c r="K163" s="725" t="str">
        <f>IF(B164="","",VLOOKUP(B164,DescRef!$A$2:$B$900,2,FALSE))</f>
        <v/>
      </c>
      <c r="L163" s="725"/>
      <c r="M163" s="725"/>
      <c r="N163" s="725"/>
      <c r="O163" s="725"/>
      <c r="P163" s="725"/>
      <c r="Q163" s="725"/>
      <c r="R163" s="725"/>
      <c r="S163" s="725"/>
      <c r="T163" s="725"/>
      <c r="U163" s="725"/>
      <c r="V163" s="725"/>
      <c r="W163" s="725"/>
      <c r="X163" s="725"/>
      <c r="Y163" s="725"/>
      <c r="Z163" s="726"/>
      <c r="AB163" s="1028" t="str">
        <f>IF(AB164="","",VLOOKUP(AB164,BoonRef!$A$2:$Z$900,2,FALSE))</f>
        <v/>
      </c>
      <c r="AC163" s="725"/>
      <c r="AD163" s="725"/>
      <c r="AE163" s="725"/>
      <c r="AF163" s="725"/>
      <c r="AG163" s="725"/>
      <c r="AH163" s="725"/>
      <c r="AI163" s="725" t="str">
        <f>IF(AB164="","",VLOOKUP(AB164,BoonRef!$A$2:$Z$900,3,FALSE))</f>
        <v/>
      </c>
      <c r="AJ163" s="725"/>
      <c r="AK163" s="725" t="str">
        <f>IF(AB164="","",VLOOKUP(AB164,DescRef!$A$2:$B$900,2,FALSE))</f>
        <v/>
      </c>
      <c r="AL163" s="725"/>
      <c r="AM163" s="725"/>
      <c r="AN163" s="725"/>
      <c r="AO163" s="725"/>
      <c r="AP163" s="725"/>
      <c r="AQ163" s="725"/>
      <c r="AR163" s="725"/>
      <c r="AS163" s="725"/>
      <c r="AT163" s="725"/>
      <c r="AU163" s="725"/>
      <c r="AV163" s="725"/>
      <c r="AW163" s="725"/>
      <c r="AX163" s="725"/>
      <c r="AY163" s="725"/>
      <c r="AZ163" s="726"/>
      <c r="BB163" s="1029" t="str">
        <f>IF(BB164="","",VLOOKUP(BB164,KanckRef!$A$1:$G$300,2,FALSE))</f>
        <v/>
      </c>
      <c r="BC163" s="1030"/>
      <c r="BD163" s="1030"/>
      <c r="BE163" s="1030"/>
      <c r="BF163" s="1031"/>
      <c r="BG163" s="1048" t="str">
        <f>IF(BB164="","",VLOOKUP(BB164,KanckRef!$A$1:$G$300,6,FALSE))</f>
        <v/>
      </c>
      <c r="BH163" s="1049"/>
      <c r="BI163" s="988" t="str">
        <f>IF(BB164="","",VLOOKUP(BB164,DescRef!$D$2:$E$300,2,FALSE))</f>
        <v/>
      </c>
      <c r="BJ163" s="795"/>
      <c r="BK163" s="795"/>
      <c r="BL163" s="795"/>
      <c r="BM163" s="795"/>
      <c r="BN163" s="795"/>
      <c r="BO163" s="795"/>
      <c r="BP163" s="795"/>
      <c r="BQ163" s="795"/>
      <c r="BR163" s="795"/>
      <c r="BS163" s="795"/>
      <c r="BT163" s="795"/>
      <c r="BU163" s="795"/>
      <c r="BV163" s="795"/>
      <c r="BW163" s="795"/>
      <c r="BX163" s="795"/>
      <c r="BY163" s="795"/>
      <c r="BZ163" s="796"/>
      <c r="CB163" s="1029" t="str">
        <f>IF(CB164="","",VLOOKUP(CB164,KanckRef!$A$1:$G$300,2,FALSE))</f>
        <v/>
      </c>
      <c r="CC163" s="1030"/>
      <c r="CD163" s="1030"/>
      <c r="CE163" s="1030"/>
      <c r="CF163" s="1031"/>
      <c r="CG163" s="1048" t="str">
        <f>IF(CB164="","",VLOOKUP(CB164,KanckRef!$A$1:$G$300,6,FALSE))</f>
        <v/>
      </c>
      <c r="CH163" s="1049"/>
      <c r="CI163" s="988" t="str">
        <f>IF(CB164="","",VLOOKUP(CB164,DescRef!$D$2:$E$300,2,FALSE))</f>
        <v/>
      </c>
      <c r="CJ163" s="795"/>
      <c r="CK163" s="795"/>
      <c r="CL163" s="795"/>
      <c r="CM163" s="795"/>
      <c r="CN163" s="795"/>
      <c r="CO163" s="795"/>
      <c r="CP163" s="795"/>
      <c r="CQ163" s="795"/>
      <c r="CR163" s="795"/>
      <c r="CS163" s="795"/>
      <c r="CT163" s="795"/>
      <c r="CU163" s="795"/>
      <c r="CV163" s="795"/>
      <c r="CW163" s="795"/>
      <c r="CX163" s="795"/>
      <c r="CY163" s="795"/>
      <c r="CZ163" s="796"/>
    </row>
    <row r="164" spans="1:104" ht="15" customHeight="1" x14ac:dyDescent="0.25">
      <c r="A164" s="15">
        <v>27</v>
      </c>
      <c r="B164" s="1026" t="str">
        <f>IF(A164&lt;'Purchased Boons'!$B$496,VLOOKUP(A164,'Purchased Boons'!$BF$2:$BG$900,2,FALSE),"")</f>
        <v/>
      </c>
      <c r="C164" s="727"/>
      <c r="D164" s="727"/>
      <c r="E164" s="727"/>
      <c r="F164" s="727"/>
      <c r="G164" s="727"/>
      <c r="H164" s="727"/>
      <c r="I164" s="727" t="str">
        <f>IF(B164="","",VLOOKUP(B164,BoonRef!$A$2:$Z$900,25,FALSE))</f>
        <v/>
      </c>
      <c r="J164" s="727"/>
      <c r="K164" s="727"/>
      <c r="L164" s="727"/>
      <c r="M164" s="727"/>
      <c r="N164" s="727"/>
      <c r="O164" s="727"/>
      <c r="P164" s="727"/>
      <c r="Q164" s="727"/>
      <c r="R164" s="727"/>
      <c r="S164" s="727"/>
      <c r="T164" s="727"/>
      <c r="U164" s="727"/>
      <c r="V164" s="727"/>
      <c r="W164" s="727"/>
      <c r="X164" s="727"/>
      <c r="Y164" s="727"/>
      <c r="Z164" s="728"/>
      <c r="AA164" s="15">
        <v>134</v>
      </c>
      <c r="AB164" s="1026" t="str">
        <f>IF(AA164&lt;'Purchased Boons'!$B$496,VLOOKUP(AA164,'Purchased Boons'!$BF$2:$BG$900,2,FALSE),"")</f>
        <v/>
      </c>
      <c r="AC164" s="727"/>
      <c r="AD164" s="727"/>
      <c r="AE164" s="727"/>
      <c r="AF164" s="727"/>
      <c r="AG164" s="727"/>
      <c r="AH164" s="727"/>
      <c r="AI164" s="727" t="str">
        <f>IF(AB164="","",VLOOKUP(AB164,BoonRef!$A$2:$Z$900,25,FALSE))</f>
        <v/>
      </c>
      <c r="AJ164" s="727"/>
      <c r="AK164" s="727"/>
      <c r="AL164" s="727"/>
      <c r="AM164" s="727"/>
      <c r="AN164" s="727"/>
      <c r="AO164" s="727"/>
      <c r="AP164" s="727"/>
      <c r="AQ164" s="727"/>
      <c r="AR164" s="727"/>
      <c r="AS164" s="727"/>
      <c r="AT164" s="727"/>
      <c r="AU164" s="727"/>
      <c r="AV164" s="727"/>
      <c r="AW164" s="727"/>
      <c r="AX164" s="727"/>
      <c r="AY164" s="727"/>
      <c r="AZ164" s="728"/>
      <c r="BA164" s="15">
        <v>27</v>
      </c>
      <c r="BB164" s="1038" t="str">
        <f>IF(BA164&lt;'Purchased Knacks'!A$192,VLOOKUP(BA164,'Purchased Knacks'!$A$4:$E$300,3,FALSE),"")</f>
        <v/>
      </c>
      <c r="BC164" s="1039"/>
      <c r="BD164" s="1039"/>
      <c r="BE164" s="1039"/>
      <c r="BF164" s="1040"/>
      <c r="BG164" s="1032" t="str">
        <f>IF(BB164="","",VLOOKUP(BB164,KanckRef!$A$1:$G$300,7,FALSE))</f>
        <v/>
      </c>
      <c r="BH164" s="1033"/>
      <c r="BI164" s="753"/>
      <c r="BJ164" s="754"/>
      <c r="BK164" s="754"/>
      <c r="BL164" s="754"/>
      <c r="BM164" s="754"/>
      <c r="BN164" s="754"/>
      <c r="BO164" s="754"/>
      <c r="BP164" s="754"/>
      <c r="BQ164" s="754"/>
      <c r="BR164" s="754"/>
      <c r="BS164" s="754"/>
      <c r="BT164" s="754"/>
      <c r="BU164" s="754"/>
      <c r="BV164" s="754"/>
      <c r="BW164" s="754"/>
      <c r="BX164" s="754"/>
      <c r="BY164" s="754"/>
      <c r="BZ164" s="755"/>
      <c r="CA164" s="15">
        <v>134</v>
      </c>
      <c r="CB164" s="1038" t="str">
        <f>IF(CA164&lt;'Purchased Knacks'!A$192,VLOOKUP(CA164,'Purchased Knacks'!$A$4:$E$300,3,FALSE),"")</f>
        <v/>
      </c>
      <c r="CC164" s="1039"/>
      <c r="CD164" s="1039"/>
      <c r="CE164" s="1039"/>
      <c r="CF164" s="1040"/>
      <c r="CG164" s="1032" t="str">
        <f>IF(CB164="","",VLOOKUP(CB164,KanckRef!$A$1:$G$300,7,FALSE))</f>
        <v/>
      </c>
      <c r="CH164" s="1033"/>
      <c r="CI164" s="753"/>
      <c r="CJ164" s="754"/>
      <c r="CK164" s="754"/>
      <c r="CL164" s="754"/>
      <c r="CM164" s="754"/>
      <c r="CN164" s="754"/>
      <c r="CO164" s="754"/>
      <c r="CP164" s="754"/>
      <c r="CQ164" s="754"/>
      <c r="CR164" s="754"/>
      <c r="CS164" s="754"/>
      <c r="CT164" s="754"/>
      <c r="CU164" s="754"/>
      <c r="CV164" s="754"/>
      <c r="CW164" s="754"/>
      <c r="CX164" s="754"/>
      <c r="CY164" s="754"/>
      <c r="CZ164" s="755"/>
    </row>
    <row r="165" spans="1:104" ht="15" customHeight="1" x14ac:dyDescent="0.25">
      <c r="B165" s="1026"/>
      <c r="C165" s="727"/>
      <c r="D165" s="727"/>
      <c r="E165" s="727"/>
      <c r="F165" s="727"/>
      <c r="G165" s="727"/>
      <c r="H165" s="727"/>
      <c r="I165" s="727" t="str">
        <f>IF(B164="","",VLOOKUP(B164,BoonRef!$A$2:$Z$900,26,FALSE))</f>
        <v/>
      </c>
      <c r="J165" s="727"/>
      <c r="K165" s="727"/>
      <c r="L165" s="727"/>
      <c r="M165" s="727"/>
      <c r="N165" s="727"/>
      <c r="O165" s="727"/>
      <c r="P165" s="727"/>
      <c r="Q165" s="727"/>
      <c r="R165" s="727"/>
      <c r="S165" s="727"/>
      <c r="T165" s="727"/>
      <c r="U165" s="727"/>
      <c r="V165" s="727"/>
      <c r="W165" s="727"/>
      <c r="X165" s="727"/>
      <c r="Y165" s="727"/>
      <c r="Z165" s="728"/>
      <c r="AB165" s="1026"/>
      <c r="AC165" s="727"/>
      <c r="AD165" s="727"/>
      <c r="AE165" s="727"/>
      <c r="AF165" s="727"/>
      <c r="AG165" s="727"/>
      <c r="AH165" s="727"/>
      <c r="AI165" s="727" t="str">
        <f>IF(AB164="","",VLOOKUP(AB164,BoonRef!$A$2:$Z$900,26,FALSE))</f>
        <v/>
      </c>
      <c r="AJ165" s="727"/>
      <c r="AK165" s="727"/>
      <c r="AL165" s="727"/>
      <c r="AM165" s="727"/>
      <c r="AN165" s="727"/>
      <c r="AO165" s="727"/>
      <c r="AP165" s="727"/>
      <c r="AQ165" s="727"/>
      <c r="AR165" s="727"/>
      <c r="AS165" s="727"/>
      <c r="AT165" s="727"/>
      <c r="AU165" s="727"/>
      <c r="AV165" s="727"/>
      <c r="AW165" s="727"/>
      <c r="AX165" s="727"/>
      <c r="AY165" s="727"/>
      <c r="AZ165" s="728"/>
      <c r="BB165" s="1041"/>
      <c r="BC165" s="1042"/>
      <c r="BD165" s="1042"/>
      <c r="BE165" s="1042"/>
      <c r="BF165" s="1043"/>
      <c r="BG165" s="1034"/>
      <c r="BH165" s="1035"/>
      <c r="BI165" s="753"/>
      <c r="BJ165" s="754"/>
      <c r="BK165" s="754"/>
      <c r="BL165" s="754"/>
      <c r="BM165" s="754"/>
      <c r="BN165" s="754"/>
      <c r="BO165" s="754"/>
      <c r="BP165" s="754"/>
      <c r="BQ165" s="754"/>
      <c r="BR165" s="754"/>
      <c r="BS165" s="754"/>
      <c r="BT165" s="754"/>
      <c r="BU165" s="754"/>
      <c r="BV165" s="754"/>
      <c r="BW165" s="754"/>
      <c r="BX165" s="754"/>
      <c r="BY165" s="754"/>
      <c r="BZ165" s="755"/>
      <c r="CB165" s="1041"/>
      <c r="CC165" s="1042"/>
      <c r="CD165" s="1042"/>
      <c r="CE165" s="1042"/>
      <c r="CF165" s="1043"/>
      <c r="CG165" s="1034"/>
      <c r="CH165" s="1035"/>
      <c r="CI165" s="753"/>
      <c r="CJ165" s="754"/>
      <c r="CK165" s="754"/>
      <c r="CL165" s="754"/>
      <c r="CM165" s="754"/>
      <c r="CN165" s="754"/>
      <c r="CO165" s="754"/>
      <c r="CP165" s="754"/>
      <c r="CQ165" s="754"/>
      <c r="CR165" s="754"/>
      <c r="CS165" s="754"/>
      <c r="CT165" s="754"/>
      <c r="CU165" s="754"/>
      <c r="CV165" s="754"/>
      <c r="CW165" s="754"/>
      <c r="CX165" s="754"/>
      <c r="CY165" s="754"/>
      <c r="CZ165" s="755"/>
    </row>
    <row r="166" spans="1:104" ht="15" customHeight="1" x14ac:dyDescent="0.25">
      <c r="B166" s="1026" t="str">
        <f>IF(B164="","",VLOOKUP(B164,BoonRef!$A$2:$Z$900,24,FALSE))</f>
        <v/>
      </c>
      <c r="C166" s="727"/>
      <c r="D166" s="727"/>
      <c r="E166" s="727"/>
      <c r="F166" s="727"/>
      <c r="G166" s="727"/>
      <c r="H166" s="727"/>
      <c r="I166" s="727"/>
      <c r="J166" s="727"/>
      <c r="K166" s="727"/>
      <c r="L166" s="727"/>
      <c r="M166" s="727"/>
      <c r="N166" s="727"/>
      <c r="O166" s="727"/>
      <c r="P166" s="727"/>
      <c r="Q166" s="727"/>
      <c r="R166" s="727"/>
      <c r="S166" s="727"/>
      <c r="T166" s="727"/>
      <c r="U166" s="727"/>
      <c r="V166" s="727"/>
      <c r="W166" s="727"/>
      <c r="X166" s="727"/>
      <c r="Y166" s="727"/>
      <c r="Z166" s="728"/>
      <c r="AB166" s="1026" t="str">
        <f>IF(AB164="","",VLOOKUP(AB164,BoonRef!$A$2:$Z$900,24,FALSE))</f>
        <v/>
      </c>
      <c r="AC166" s="727"/>
      <c r="AD166" s="727"/>
      <c r="AE166" s="727"/>
      <c r="AF166" s="727"/>
      <c r="AG166" s="727"/>
      <c r="AH166" s="727"/>
      <c r="AI166" s="727"/>
      <c r="AJ166" s="727"/>
      <c r="AK166" s="727"/>
      <c r="AL166" s="727"/>
      <c r="AM166" s="727"/>
      <c r="AN166" s="727"/>
      <c r="AO166" s="727"/>
      <c r="AP166" s="727"/>
      <c r="AQ166" s="727"/>
      <c r="AR166" s="727"/>
      <c r="AS166" s="727"/>
      <c r="AT166" s="727"/>
      <c r="AU166" s="727"/>
      <c r="AV166" s="727"/>
      <c r="AW166" s="727"/>
      <c r="AX166" s="727"/>
      <c r="AY166" s="727"/>
      <c r="AZ166" s="728"/>
      <c r="BB166" s="641" t="str">
        <f>IF(BB164="","",VLOOKUP(BB164,KanckRef!$A$1:$G$300,4,FALSE))</f>
        <v/>
      </c>
      <c r="BC166" s="642"/>
      <c r="BD166" s="642"/>
      <c r="BE166" s="642"/>
      <c r="BF166" s="642"/>
      <c r="BG166" s="642"/>
      <c r="BH166" s="1033"/>
      <c r="BI166" s="753"/>
      <c r="BJ166" s="754"/>
      <c r="BK166" s="754"/>
      <c r="BL166" s="754"/>
      <c r="BM166" s="754"/>
      <c r="BN166" s="754"/>
      <c r="BO166" s="754"/>
      <c r="BP166" s="754"/>
      <c r="BQ166" s="754"/>
      <c r="BR166" s="754"/>
      <c r="BS166" s="754"/>
      <c r="BT166" s="754"/>
      <c r="BU166" s="754"/>
      <c r="BV166" s="754"/>
      <c r="BW166" s="754"/>
      <c r="BX166" s="754"/>
      <c r="BY166" s="754"/>
      <c r="BZ166" s="755"/>
      <c r="CB166" s="641" t="str">
        <f>IF(CB164="","",VLOOKUP(CB164,KanckRef!$A$1:$G$300,4,FALSE))</f>
        <v/>
      </c>
      <c r="CC166" s="642"/>
      <c r="CD166" s="642"/>
      <c r="CE166" s="642"/>
      <c r="CF166" s="642"/>
      <c r="CG166" s="642"/>
      <c r="CH166" s="1033"/>
      <c r="CI166" s="753"/>
      <c r="CJ166" s="754"/>
      <c r="CK166" s="754"/>
      <c r="CL166" s="754"/>
      <c r="CM166" s="754"/>
      <c r="CN166" s="754"/>
      <c r="CO166" s="754"/>
      <c r="CP166" s="754"/>
      <c r="CQ166" s="754"/>
      <c r="CR166" s="754"/>
      <c r="CS166" s="754"/>
      <c r="CT166" s="754"/>
      <c r="CU166" s="754"/>
      <c r="CV166" s="754"/>
      <c r="CW166" s="754"/>
      <c r="CX166" s="754"/>
      <c r="CY166" s="754"/>
      <c r="CZ166" s="755"/>
    </row>
    <row r="167" spans="1:104" ht="15" customHeight="1" x14ac:dyDescent="0.25">
      <c r="B167" s="1026" t="str">
        <f>IF(B164="","",VLOOKUP(B164,BoonRef!$A$2:$Z$900,23,FALSE))</f>
        <v/>
      </c>
      <c r="C167" s="727"/>
      <c r="D167" s="727"/>
      <c r="E167" s="727"/>
      <c r="F167" s="727"/>
      <c r="G167" s="727"/>
      <c r="H167" s="727"/>
      <c r="I167" s="727"/>
      <c r="J167" s="727"/>
      <c r="K167" s="727"/>
      <c r="L167" s="727"/>
      <c r="M167" s="727"/>
      <c r="N167" s="727"/>
      <c r="O167" s="727"/>
      <c r="P167" s="727"/>
      <c r="Q167" s="727"/>
      <c r="R167" s="727"/>
      <c r="S167" s="727"/>
      <c r="T167" s="727"/>
      <c r="U167" s="727"/>
      <c r="V167" s="727"/>
      <c r="W167" s="727"/>
      <c r="X167" s="727"/>
      <c r="Y167" s="727"/>
      <c r="Z167" s="728"/>
      <c r="AB167" s="1026" t="str">
        <f>IF(AB164="","",VLOOKUP(AB164,BoonRef!$A$2:$Z$900,23,FALSE))</f>
        <v/>
      </c>
      <c r="AC167" s="727"/>
      <c r="AD167" s="727"/>
      <c r="AE167" s="727"/>
      <c r="AF167" s="727"/>
      <c r="AG167" s="727"/>
      <c r="AH167" s="727"/>
      <c r="AI167" s="727"/>
      <c r="AJ167" s="727"/>
      <c r="AK167" s="727"/>
      <c r="AL167" s="727"/>
      <c r="AM167" s="727"/>
      <c r="AN167" s="727"/>
      <c r="AO167" s="727"/>
      <c r="AP167" s="727"/>
      <c r="AQ167" s="727"/>
      <c r="AR167" s="727"/>
      <c r="AS167" s="727"/>
      <c r="AT167" s="727"/>
      <c r="AU167" s="727"/>
      <c r="AV167" s="727"/>
      <c r="AW167" s="727"/>
      <c r="AX167" s="727"/>
      <c r="AY167" s="727"/>
      <c r="AZ167" s="728"/>
      <c r="BB167" s="635"/>
      <c r="BC167" s="636"/>
      <c r="BD167" s="636"/>
      <c r="BE167" s="636"/>
      <c r="BF167" s="636"/>
      <c r="BG167" s="636"/>
      <c r="BH167" s="1036"/>
      <c r="BI167" s="753"/>
      <c r="BJ167" s="754"/>
      <c r="BK167" s="754"/>
      <c r="BL167" s="754"/>
      <c r="BM167" s="754"/>
      <c r="BN167" s="754"/>
      <c r="BO167" s="754"/>
      <c r="BP167" s="754"/>
      <c r="BQ167" s="754"/>
      <c r="BR167" s="754"/>
      <c r="BS167" s="754"/>
      <c r="BT167" s="754"/>
      <c r="BU167" s="754"/>
      <c r="BV167" s="754"/>
      <c r="BW167" s="754"/>
      <c r="BX167" s="754"/>
      <c r="BY167" s="754"/>
      <c r="BZ167" s="755"/>
      <c r="CB167" s="635"/>
      <c r="CC167" s="636"/>
      <c r="CD167" s="636"/>
      <c r="CE167" s="636"/>
      <c r="CF167" s="636"/>
      <c r="CG167" s="636"/>
      <c r="CH167" s="1036"/>
      <c r="CI167" s="753"/>
      <c r="CJ167" s="754"/>
      <c r="CK167" s="754"/>
      <c r="CL167" s="754"/>
      <c r="CM167" s="754"/>
      <c r="CN167" s="754"/>
      <c r="CO167" s="754"/>
      <c r="CP167" s="754"/>
      <c r="CQ167" s="754"/>
      <c r="CR167" s="754"/>
      <c r="CS167" s="754"/>
      <c r="CT167" s="754"/>
      <c r="CU167" s="754"/>
      <c r="CV167" s="754"/>
      <c r="CW167" s="754"/>
      <c r="CX167" s="754"/>
      <c r="CY167" s="754"/>
      <c r="CZ167" s="755"/>
    </row>
    <row r="168" spans="1:104" ht="15" customHeight="1" thickBot="1" x14ac:dyDescent="0.3">
      <c r="B168" s="1027"/>
      <c r="C168" s="865"/>
      <c r="D168" s="865"/>
      <c r="E168" s="865"/>
      <c r="F168" s="865"/>
      <c r="G168" s="865"/>
      <c r="H168" s="865"/>
      <c r="I168" s="865"/>
      <c r="J168" s="865"/>
      <c r="K168" s="865"/>
      <c r="L168" s="865"/>
      <c r="M168" s="865"/>
      <c r="N168" s="865"/>
      <c r="O168" s="865"/>
      <c r="P168" s="865"/>
      <c r="Q168" s="865"/>
      <c r="R168" s="865"/>
      <c r="S168" s="865"/>
      <c r="T168" s="865"/>
      <c r="U168" s="865"/>
      <c r="V168" s="865"/>
      <c r="W168" s="865"/>
      <c r="X168" s="865"/>
      <c r="Y168" s="865"/>
      <c r="Z168" s="921"/>
      <c r="AB168" s="1027"/>
      <c r="AC168" s="865"/>
      <c r="AD168" s="865"/>
      <c r="AE168" s="865"/>
      <c r="AF168" s="865"/>
      <c r="AG168" s="865"/>
      <c r="AH168" s="865"/>
      <c r="AI168" s="865"/>
      <c r="AJ168" s="865"/>
      <c r="AK168" s="865"/>
      <c r="AL168" s="865"/>
      <c r="AM168" s="865"/>
      <c r="AN168" s="865"/>
      <c r="AO168" s="865"/>
      <c r="AP168" s="865"/>
      <c r="AQ168" s="865"/>
      <c r="AR168" s="865"/>
      <c r="AS168" s="865"/>
      <c r="AT168" s="865"/>
      <c r="AU168" s="865"/>
      <c r="AV168" s="865"/>
      <c r="AW168" s="865"/>
      <c r="AX168" s="865"/>
      <c r="AY168" s="865"/>
      <c r="AZ168" s="921"/>
      <c r="BB168" s="644"/>
      <c r="BC168" s="645"/>
      <c r="BD168" s="645"/>
      <c r="BE168" s="645"/>
      <c r="BF168" s="645"/>
      <c r="BG168" s="645"/>
      <c r="BH168" s="1037"/>
      <c r="BI168" s="756"/>
      <c r="BJ168" s="757"/>
      <c r="BK168" s="757"/>
      <c r="BL168" s="757"/>
      <c r="BM168" s="757"/>
      <c r="BN168" s="757"/>
      <c r="BO168" s="757"/>
      <c r="BP168" s="757"/>
      <c r="BQ168" s="757"/>
      <c r="BR168" s="757"/>
      <c r="BS168" s="757"/>
      <c r="BT168" s="757"/>
      <c r="BU168" s="757"/>
      <c r="BV168" s="757"/>
      <c r="BW168" s="757"/>
      <c r="BX168" s="757"/>
      <c r="BY168" s="757"/>
      <c r="BZ168" s="758"/>
      <c r="CB168" s="644"/>
      <c r="CC168" s="645"/>
      <c r="CD168" s="645"/>
      <c r="CE168" s="645"/>
      <c r="CF168" s="645"/>
      <c r="CG168" s="645"/>
      <c r="CH168" s="1037"/>
      <c r="CI168" s="756"/>
      <c r="CJ168" s="757"/>
      <c r="CK168" s="757"/>
      <c r="CL168" s="757"/>
      <c r="CM168" s="757"/>
      <c r="CN168" s="757"/>
      <c r="CO168" s="757"/>
      <c r="CP168" s="757"/>
      <c r="CQ168" s="757"/>
      <c r="CR168" s="757"/>
      <c r="CS168" s="757"/>
      <c r="CT168" s="757"/>
      <c r="CU168" s="757"/>
      <c r="CV168" s="757"/>
      <c r="CW168" s="757"/>
      <c r="CX168" s="757"/>
      <c r="CY168" s="757"/>
      <c r="CZ168" s="758"/>
    </row>
    <row r="169" spans="1:104" ht="15" customHeight="1" x14ac:dyDescent="0.25">
      <c r="B169" s="1028" t="str">
        <f>IF(B170="","",VLOOKUP(B170,BoonRef!$A$2:$Z$900,2,FALSE))</f>
        <v/>
      </c>
      <c r="C169" s="725"/>
      <c r="D169" s="725"/>
      <c r="E169" s="725"/>
      <c r="F169" s="725"/>
      <c r="G169" s="725"/>
      <c r="H169" s="725"/>
      <c r="I169" s="725" t="str">
        <f>IF(B170="","",VLOOKUP(B170,BoonRef!$A$2:$Z$900,3,FALSE))</f>
        <v/>
      </c>
      <c r="J169" s="725"/>
      <c r="K169" s="725" t="str">
        <f>IF(B170="","",VLOOKUP(B170,DescRef!$A$2:$B$900,2,FALSE))</f>
        <v/>
      </c>
      <c r="L169" s="725"/>
      <c r="M169" s="725"/>
      <c r="N169" s="725"/>
      <c r="O169" s="725"/>
      <c r="P169" s="725"/>
      <c r="Q169" s="725"/>
      <c r="R169" s="725"/>
      <c r="S169" s="725"/>
      <c r="T169" s="725"/>
      <c r="U169" s="725"/>
      <c r="V169" s="725"/>
      <c r="W169" s="725"/>
      <c r="X169" s="725"/>
      <c r="Y169" s="725"/>
      <c r="Z169" s="726"/>
      <c r="AB169" s="1028" t="str">
        <f>IF(AB170="","",VLOOKUP(AB170,BoonRef!$A$2:$Z$900,2,FALSE))</f>
        <v/>
      </c>
      <c r="AC169" s="725"/>
      <c r="AD169" s="725"/>
      <c r="AE169" s="725"/>
      <c r="AF169" s="725"/>
      <c r="AG169" s="725"/>
      <c r="AH169" s="725"/>
      <c r="AI169" s="725" t="str">
        <f>IF(AB170="","",VLOOKUP(AB170,BoonRef!$A$2:$Z$900,3,FALSE))</f>
        <v/>
      </c>
      <c r="AJ169" s="725"/>
      <c r="AK169" s="725" t="str">
        <f>IF(AB170="","",VLOOKUP(AB170,DescRef!$A$2:$B$900,2,FALSE))</f>
        <v/>
      </c>
      <c r="AL169" s="725"/>
      <c r="AM169" s="725"/>
      <c r="AN169" s="725"/>
      <c r="AO169" s="725"/>
      <c r="AP169" s="725"/>
      <c r="AQ169" s="725"/>
      <c r="AR169" s="725"/>
      <c r="AS169" s="725"/>
      <c r="AT169" s="725"/>
      <c r="AU169" s="725"/>
      <c r="AV169" s="725"/>
      <c r="AW169" s="725"/>
      <c r="AX169" s="725"/>
      <c r="AY169" s="725"/>
      <c r="AZ169" s="726"/>
      <c r="BB169" s="1029" t="str">
        <f>IF(BB170="","",VLOOKUP(BB170,KanckRef!$A$1:$G$300,2,FALSE))</f>
        <v/>
      </c>
      <c r="BC169" s="1030"/>
      <c r="BD169" s="1030"/>
      <c r="BE169" s="1030"/>
      <c r="BF169" s="1031"/>
      <c r="BG169" s="1048" t="str">
        <f>IF(BB170="","",VLOOKUP(BB170,KanckRef!$A$1:$G$300,6,FALSE))</f>
        <v/>
      </c>
      <c r="BH169" s="1049"/>
      <c r="BI169" s="988" t="str">
        <f>IF(BB170="","",VLOOKUP(BB170,DescRef!$D$2:$E$300,2,FALSE))</f>
        <v/>
      </c>
      <c r="BJ169" s="795"/>
      <c r="BK169" s="795"/>
      <c r="BL169" s="795"/>
      <c r="BM169" s="795"/>
      <c r="BN169" s="795"/>
      <c r="BO169" s="795"/>
      <c r="BP169" s="795"/>
      <c r="BQ169" s="795"/>
      <c r="BR169" s="795"/>
      <c r="BS169" s="795"/>
      <c r="BT169" s="795"/>
      <c r="BU169" s="795"/>
      <c r="BV169" s="795"/>
      <c r="BW169" s="795"/>
      <c r="BX169" s="795"/>
      <c r="BY169" s="795"/>
      <c r="BZ169" s="796"/>
      <c r="CB169" s="1029" t="str">
        <f>IF(CB170="","",VLOOKUP(CB170,KanckRef!$A$1:$G$300,2,FALSE))</f>
        <v/>
      </c>
      <c r="CC169" s="1030"/>
      <c r="CD169" s="1030"/>
      <c r="CE169" s="1030"/>
      <c r="CF169" s="1031"/>
      <c r="CG169" s="1048" t="str">
        <f>IF(CB170="","",VLOOKUP(CB170,KanckRef!$A$1:$G$300,6,FALSE))</f>
        <v/>
      </c>
      <c r="CH169" s="1049"/>
      <c r="CI169" s="988" t="str">
        <f>IF(CB170="","",VLOOKUP(CB170,DescRef!$D$2:$E$300,2,FALSE))</f>
        <v/>
      </c>
      <c r="CJ169" s="795"/>
      <c r="CK169" s="795"/>
      <c r="CL169" s="795"/>
      <c r="CM169" s="795"/>
      <c r="CN169" s="795"/>
      <c r="CO169" s="795"/>
      <c r="CP169" s="795"/>
      <c r="CQ169" s="795"/>
      <c r="CR169" s="795"/>
      <c r="CS169" s="795"/>
      <c r="CT169" s="795"/>
      <c r="CU169" s="795"/>
      <c r="CV169" s="795"/>
      <c r="CW169" s="795"/>
      <c r="CX169" s="795"/>
      <c r="CY169" s="795"/>
      <c r="CZ169" s="796"/>
    </row>
    <row r="170" spans="1:104" ht="15" customHeight="1" x14ac:dyDescent="0.25">
      <c r="A170" s="15">
        <v>28</v>
      </c>
      <c r="B170" s="1026" t="str">
        <f>IF(A170&lt;'Purchased Boons'!$B$496,VLOOKUP(A170,'Purchased Boons'!$BF$2:$BG$900,2,FALSE),"")</f>
        <v/>
      </c>
      <c r="C170" s="727"/>
      <c r="D170" s="727"/>
      <c r="E170" s="727"/>
      <c r="F170" s="727"/>
      <c r="G170" s="727"/>
      <c r="H170" s="727"/>
      <c r="I170" s="727" t="str">
        <f>IF(B170="","",VLOOKUP(B170,BoonRef!$A$2:$Z$900,25,FALSE))</f>
        <v/>
      </c>
      <c r="J170" s="727"/>
      <c r="K170" s="727"/>
      <c r="L170" s="727"/>
      <c r="M170" s="727"/>
      <c r="N170" s="727"/>
      <c r="O170" s="727"/>
      <c r="P170" s="727"/>
      <c r="Q170" s="727"/>
      <c r="R170" s="727"/>
      <c r="S170" s="727"/>
      <c r="T170" s="727"/>
      <c r="U170" s="727"/>
      <c r="V170" s="727"/>
      <c r="W170" s="727"/>
      <c r="X170" s="727"/>
      <c r="Y170" s="727"/>
      <c r="Z170" s="728"/>
      <c r="AA170" s="15">
        <v>135</v>
      </c>
      <c r="AB170" s="1026" t="str">
        <f>IF(AA170&lt;'Purchased Boons'!$B$496,VLOOKUP(AA170,'Purchased Boons'!$BF$2:$BG$900,2,FALSE),"")</f>
        <v/>
      </c>
      <c r="AC170" s="727"/>
      <c r="AD170" s="727"/>
      <c r="AE170" s="727"/>
      <c r="AF170" s="727"/>
      <c r="AG170" s="727"/>
      <c r="AH170" s="727"/>
      <c r="AI170" s="727" t="str">
        <f>IF(AB170="","",VLOOKUP(AB170,BoonRef!$A$2:$Z$900,25,FALSE))</f>
        <v/>
      </c>
      <c r="AJ170" s="727"/>
      <c r="AK170" s="727"/>
      <c r="AL170" s="727"/>
      <c r="AM170" s="727"/>
      <c r="AN170" s="727"/>
      <c r="AO170" s="727"/>
      <c r="AP170" s="727"/>
      <c r="AQ170" s="727"/>
      <c r="AR170" s="727"/>
      <c r="AS170" s="727"/>
      <c r="AT170" s="727"/>
      <c r="AU170" s="727"/>
      <c r="AV170" s="727"/>
      <c r="AW170" s="727"/>
      <c r="AX170" s="727"/>
      <c r="AY170" s="727"/>
      <c r="AZ170" s="728"/>
      <c r="BA170" s="15">
        <v>28</v>
      </c>
      <c r="BB170" s="1038" t="str">
        <f>IF(BA170&lt;'Purchased Knacks'!A$192,VLOOKUP(BA170,'Purchased Knacks'!$A$4:$E$300,3,FALSE),"")</f>
        <v/>
      </c>
      <c r="BC170" s="1039"/>
      <c r="BD170" s="1039"/>
      <c r="BE170" s="1039"/>
      <c r="BF170" s="1040"/>
      <c r="BG170" s="1032" t="str">
        <f>IF(BB170="","",VLOOKUP(BB170,KanckRef!$A$1:$G$300,7,FALSE))</f>
        <v/>
      </c>
      <c r="BH170" s="1033"/>
      <c r="BI170" s="753"/>
      <c r="BJ170" s="754"/>
      <c r="BK170" s="754"/>
      <c r="BL170" s="754"/>
      <c r="BM170" s="754"/>
      <c r="BN170" s="754"/>
      <c r="BO170" s="754"/>
      <c r="BP170" s="754"/>
      <c r="BQ170" s="754"/>
      <c r="BR170" s="754"/>
      <c r="BS170" s="754"/>
      <c r="BT170" s="754"/>
      <c r="BU170" s="754"/>
      <c r="BV170" s="754"/>
      <c r="BW170" s="754"/>
      <c r="BX170" s="754"/>
      <c r="BY170" s="754"/>
      <c r="BZ170" s="755"/>
      <c r="CA170" s="15">
        <v>135</v>
      </c>
      <c r="CB170" s="1038" t="str">
        <f>IF(CA170&lt;'Purchased Knacks'!A$192,VLOOKUP(CA170,'Purchased Knacks'!$A$4:$E$300,3,FALSE),"")</f>
        <v/>
      </c>
      <c r="CC170" s="1039"/>
      <c r="CD170" s="1039"/>
      <c r="CE170" s="1039"/>
      <c r="CF170" s="1040"/>
      <c r="CG170" s="1032" t="str">
        <f>IF(CB170="","",VLOOKUP(CB170,KanckRef!$A$1:$G$300,7,FALSE))</f>
        <v/>
      </c>
      <c r="CH170" s="1033"/>
      <c r="CI170" s="753"/>
      <c r="CJ170" s="754"/>
      <c r="CK170" s="754"/>
      <c r="CL170" s="754"/>
      <c r="CM170" s="754"/>
      <c r="CN170" s="754"/>
      <c r="CO170" s="754"/>
      <c r="CP170" s="754"/>
      <c r="CQ170" s="754"/>
      <c r="CR170" s="754"/>
      <c r="CS170" s="754"/>
      <c r="CT170" s="754"/>
      <c r="CU170" s="754"/>
      <c r="CV170" s="754"/>
      <c r="CW170" s="754"/>
      <c r="CX170" s="754"/>
      <c r="CY170" s="754"/>
      <c r="CZ170" s="755"/>
    </row>
    <row r="171" spans="1:104" ht="15" customHeight="1" x14ac:dyDescent="0.25">
      <c r="B171" s="1026"/>
      <c r="C171" s="727"/>
      <c r="D171" s="727"/>
      <c r="E171" s="727"/>
      <c r="F171" s="727"/>
      <c r="G171" s="727"/>
      <c r="H171" s="727"/>
      <c r="I171" s="727" t="str">
        <f>IF(B170="","",VLOOKUP(B170,BoonRef!$A$2:$Z$900,26,FALSE))</f>
        <v/>
      </c>
      <c r="J171" s="727"/>
      <c r="K171" s="727"/>
      <c r="L171" s="727"/>
      <c r="M171" s="727"/>
      <c r="N171" s="727"/>
      <c r="O171" s="727"/>
      <c r="P171" s="727"/>
      <c r="Q171" s="727"/>
      <c r="R171" s="727"/>
      <c r="S171" s="727"/>
      <c r="T171" s="727"/>
      <c r="U171" s="727"/>
      <c r="V171" s="727"/>
      <c r="W171" s="727"/>
      <c r="X171" s="727"/>
      <c r="Y171" s="727"/>
      <c r="Z171" s="728"/>
      <c r="AB171" s="1026"/>
      <c r="AC171" s="727"/>
      <c r="AD171" s="727"/>
      <c r="AE171" s="727"/>
      <c r="AF171" s="727"/>
      <c r="AG171" s="727"/>
      <c r="AH171" s="727"/>
      <c r="AI171" s="727" t="str">
        <f>IF(AB170="","",VLOOKUP(AB170,BoonRef!$A$2:$Z$900,26,FALSE))</f>
        <v/>
      </c>
      <c r="AJ171" s="727"/>
      <c r="AK171" s="727"/>
      <c r="AL171" s="727"/>
      <c r="AM171" s="727"/>
      <c r="AN171" s="727"/>
      <c r="AO171" s="727"/>
      <c r="AP171" s="727"/>
      <c r="AQ171" s="727"/>
      <c r="AR171" s="727"/>
      <c r="AS171" s="727"/>
      <c r="AT171" s="727"/>
      <c r="AU171" s="727"/>
      <c r="AV171" s="727"/>
      <c r="AW171" s="727"/>
      <c r="AX171" s="727"/>
      <c r="AY171" s="727"/>
      <c r="AZ171" s="728"/>
      <c r="BB171" s="1041"/>
      <c r="BC171" s="1042"/>
      <c r="BD171" s="1042"/>
      <c r="BE171" s="1042"/>
      <c r="BF171" s="1043"/>
      <c r="BG171" s="1034"/>
      <c r="BH171" s="1035"/>
      <c r="BI171" s="753"/>
      <c r="BJ171" s="754"/>
      <c r="BK171" s="754"/>
      <c r="BL171" s="754"/>
      <c r="BM171" s="754"/>
      <c r="BN171" s="754"/>
      <c r="BO171" s="754"/>
      <c r="BP171" s="754"/>
      <c r="BQ171" s="754"/>
      <c r="BR171" s="754"/>
      <c r="BS171" s="754"/>
      <c r="BT171" s="754"/>
      <c r="BU171" s="754"/>
      <c r="BV171" s="754"/>
      <c r="BW171" s="754"/>
      <c r="BX171" s="754"/>
      <c r="BY171" s="754"/>
      <c r="BZ171" s="755"/>
      <c r="CB171" s="1041"/>
      <c r="CC171" s="1042"/>
      <c r="CD171" s="1042"/>
      <c r="CE171" s="1042"/>
      <c r="CF171" s="1043"/>
      <c r="CG171" s="1034"/>
      <c r="CH171" s="1035"/>
      <c r="CI171" s="753"/>
      <c r="CJ171" s="754"/>
      <c r="CK171" s="754"/>
      <c r="CL171" s="754"/>
      <c r="CM171" s="754"/>
      <c r="CN171" s="754"/>
      <c r="CO171" s="754"/>
      <c r="CP171" s="754"/>
      <c r="CQ171" s="754"/>
      <c r="CR171" s="754"/>
      <c r="CS171" s="754"/>
      <c r="CT171" s="754"/>
      <c r="CU171" s="754"/>
      <c r="CV171" s="754"/>
      <c r="CW171" s="754"/>
      <c r="CX171" s="754"/>
      <c r="CY171" s="754"/>
      <c r="CZ171" s="755"/>
    </row>
    <row r="172" spans="1:104" ht="15" customHeight="1" x14ac:dyDescent="0.25">
      <c r="B172" s="1026" t="str">
        <f>IF(B170="","",VLOOKUP(B170,BoonRef!$A$2:$Z$900,24,FALSE))</f>
        <v/>
      </c>
      <c r="C172" s="727"/>
      <c r="D172" s="727"/>
      <c r="E172" s="727"/>
      <c r="F172" s="727"/>
      <c r="G172" s="727"/>
      <c r="H172" s="727"/>
      <c r="I172" s="727"/>
      <c r="J172" s="727"/>
      <c r="K172" s="727"/>
      <c r="L172" s="727"/>
      <c r="M172" s="727"/>
      <c r="N172" s="727"/>
      <c r="O172" s="727"/>
      <c r="P172" s="727"/>
      <c r="Q172" s="727"/>
      <c r="R172" s="727"/>
      <c r="S172" s="727"/>
      <c r="T172" s="727"/>
      <c r="U172" s="727"/>
      <c r="V172" s="727"/>
      <c r="W172" s="727"/>
      <c r="X172" s="727"/>
      <c r="Y172" s="727"/>
      <c r="Z172" s="728"/>
      <c r="AB172" s="1026" t="str">
        <f>IF(AB170="","",VLOOKUP(AB170,BoonRef!$A$2:$Z$900,24,FALSE))</f>
        <v/>
      </c>
      <c r="AC172" s="727"/>
      <c r="AD172" s="727"/>
      <c r="AE172" s="727"/>
      <c r="AF172" s="727"/>
      <c r="AG172" s="727"/>
      <c r="AH172" s="727"/>
      <c r="AI172" s="727"/>
      <c r="AJ172" s="727"/>
      <c r="AK172" s="727"/>
      <c r="AL172" s="727"/>
      <c r="AM172" s="727"/>
      <c r="AN172" s="727"/>
      <c r="AO172" s="727"/>
      <c r="AP172" s="727"/>
      <c r="AQ172" s="727"/>
      <c r="AR172" s="727"/>
      <c r="AS172" s="727"/>
      <c r="AT172" s="727"/>
      <c r="AU172" s="727"/>
      <c r="AV172" s="727"/>
      <c r="AW172" s="727"/>
      <c r="AX172" s="727"/>
      <c r="AY172" s="727"/>
      <c r="AZ172" s="728"/>
      <c r="BB172" s="641" t="str">
        <f>IF(BB170="","",VLOOKUP(BB170,KanckRef!$A$1:$G$300,4,FALSE))</f>
        <v/>
      </c>
      <c r="BC172" s="642"/>
      <c r="BD172" s="642"/>
      <c r="BE172" s="642"/>
      <c r="BF172" s="642"/>
      <c r="BG172" s="642"/>
      <c r="BH172" s="1033"/>
      <c r="BI172" s="753"/>
      <c r="BJ172" s="754"/>
      <c r="BK172" s="754"/>
      <c r="BL172" s="754"/>
      <c r="BM172" s="754"/>
      <c r="BN172" s="754"/>
      <c r="BO172" s="754"/>
      <c r="BP172" s="754"/>
      <c r="BQ172" s="754"/>
      <c r="BR172" s="754"/>
      <c r="BS172" s="754"/>
      <c r="BT172" s="754"/>
      <c r="BU172" s="754"/>
      <c r="BV172" s="754"/>
      <c r="BW172" s="754"/>
      <c r="BX172" s="754"/>
      <c r="BY172" s="754"/>
      <c r="BZ172" s="755"/>
      <c r="CB172" s="641" t="str">
        <f>IF(CB170="","",VLOOKUP(CB170,KanckRef!$A$1:$G$300,4,FALSE))</f>
        <v/>
      </c>
      <c r="CC172" s="642"/>
      <c r="CD172" s="642"/>
      <c r="CE172" s="642"/>
      <c r="CF172" s="642"/>
      <c r="CG172" s="642"/>
      <c r="CH172" s="1033"/>
      <c r="CI172" s="753"/>
      <c r="CJ172" s="754"/>
      <c r="CK172" s="754"/>
      <c r="CL172" s="754"/>
      <c r="CM172" s="754"/>
      <c r="CN172" s="754"/>
      <c r="CO172" s="754"/>
      <c r="CP172" s="754"/>
      <c r="CQ172" s="754"/>
      <c r="CR172" s="754"/>
      <c r="CS172" s="754"/>
      <c r="CT172" s="754"/>
      <c r="CU172" s="754"/>
      <c r="CV172" s="754"/>
      <c r="CW172" s="754"/>
      <c r="CX172" s="754"/>
      <c r="CY172" s="754"/>
      <c r="CZ172" s="755"/>
    </row>
    <row r="173" spans="1:104" ht="15" customHeight="1" x14ac:dyDescent="0.25">
      <c r="B173" s="1026" t="str">
        <f>IF(B170="","",VLOOKUP(B170,BoonRef!$A$2:$Z$900,23,FALSE))</f>
        <v/>
      </c>
      <c r="C173" s="727"/>
      <c r="D173" s="727"/>
      <c r="E173" s="727"/>
      <c r="F173" s="727"/>
      <c r="G173" s="727"/>
      <c r="H173" s="727"/>
      <c r="I173" s="727"/>
      <c r="J173" s="727"/>
      <c r="K173" s="727"/>
      <c r="L173" s="727"/>
      <c r="M173" s="727"/>
      <c r="N173" s="727"/>
      <c r="O173" s="727"/>
      <c r="P173" s="727"/>
      <c r="Q173" s="727"/>
      <c r="R173" s="727"/>
      <c r="S173" s="727"/>
      <c r="T173" s="727"/>
      <c r="U173" s="727"/>
      <c r="V173" s="727"/>
      <c r="W173" s="727"/>
      <c r="X173" s="727"/>
      <c r="Y173" s="727"/>
      <c r="Z173" s="728"/>
      <c r="AB173" s="1026" t="str">
        <f>IF(AB170="","",VLOOKUP(AB170,BoonRef!$A$2:$Z$900,23,FALSE))</f>
        <v/>
      </c>
      <c r="AC173" s="727"/>
      <c r="AD173" s="727"/>
      <c r="AE173" s="727"/>
      <c r="AF173" s="727"/>
      <c r="AG173" s="727"/>
      <c r="AH173" s="727"/>
      <c r="AI173" s="727"/>
      <c r="AJ173" s="727"/>
      <c r="AK173" s="727"/>
      <c r="AL173" s="727"/>
      <c r="AM173" s="727"/>
      <c r="AN173" s="727"/>
      <c r="AO173" s="727"/>
      <c r="AP173" s="727"/>
      <c r="AQ173" s="727"/>
      <c r="AR173" s="727"/>
      <c r="AS173" s="727"/>
      <c r="AT173" s="727"/>
      <c r="AU173" s="727"/>
      <c r="AV173" s="727"/>
      <c r="AW173" s="727"/>
      <c r="AX173" s="727"/>
      <c r="AY173" s="727"/>
      <c r="AZ173" s="728"/>
      <c r="BB173" s="635"/>
      <c r="BC173" s="636"/>
      <c r="BD173" s="636"/>
      <c r="BE173" s="636"/>
      <c r="BF173" s="636"/>
      <c r="BG173" s="636"/>
      <c r="BH173" s="1036"/>
      <c r="BI173" s="753"/>
      <c r="BJ173" s="754"/>
      <c r="BK173" s="754"/>
      <c r="BL173" s="754"/>
      <c r="BM173" s="754"/>
      <c r="BN173" s="754"/>
      <c r="BO173" s="754"/>
      <c r="BP173" s="754"/>
      <c r="BQ173" s="754"/>
      <c r="BR173" s="754"/>
      <c r="BS173" s="754"/>
      <c r="BT173" s="754"/>
      <c r="BU173" s="754"/>
      <c r="BV173" s="754"/>
      <c r="BW173" s="754"/>
      <c r="BX173" s="754"/>
      <c r="BY173" s="754"/>
      <c r="BZ173" s="755"/>
      <c r="CB173" s="635"/>
      <c r="CC173" s="636"/>
      <c r="CD173" s="636"/>
      <c r="CE173" s="636"/>
      <c r="CF173" s="636"/>
      <c r="CG173" s="636"/>
      <c r="CH173" s="1036"/>
      <c r="CI173" s="753"/>
      <c r="CJ173" s="754"/>
      <c r="CK173" s="754"/>
      <c r="CL173" s="754"/>
      <c r="CM173" s="754"/>
      <c r="CN173" s="754"/>
      <c r="CO173" s="754"/>
      <c r="CP173" s="754"/>
      <c r="CQ173" s="754"/>
      <c r="CR173" s="754"/>
      <c r="CS173" s="754"/>
      <c r="CT173" s="754"/>
      <c r="CU173" s="754"/>
      <c r="CV173" s="754"/>
      <c r="CW173" s="754"/>
      <c r="CX173" s="754"/>
      <c r="CY173" s="754"/>
      <c r="CZ173" s="755"/>
    </row>
    <row r="174" spans="1:104" ht="15" customHeight="1" thickBot="1" x14ac:dyDescent="0.3">
      <c r="B174" s="1027"/>
      <c r="C174" s="865"/>
      <c r="D174" s="865"/>
      <c r="E174" s="865"/>
      <c r="F174" s="865"/>
      <c r="G174" s="865"/>
      <c r="H174" s="865"/>
      <c r="I174" s="865"/>
      <c r="J174" s="865"/>
      <c r="K174" s="865"/>
      <c r="L174" s="865"/>
      <c r="M174" s="865"/>
      <c r="N174" s="865"/>
      <c r="O174" s="865"/>
      <c r="P174" s="865"/>
      <c r="Q174" s="865"/>
      <c r="R174" s="865"/>
      <c r="S174" s="865"/>
      <c r="T174" s="865"/>
      <c r="U174" s="865"/>
      <c r="V174" s="865"/>
      <c r="W174" s="865"/>
      <c r="X174" s="865"/>
      <c r="Y174" s="865"/>
      <c r="Z174" s="921"/>
      <c r="AB174" s="1027"/>
      <c r="AC174" s="865"/>
      <c r="AD174" s="865"/>
      <c r="AE174" s="865"/>
      <c r="AF174" s="865"/>
      <c r="AG174" s="865"/>
      <c r="AH174" s="865"/>
      <c r="AI174" s="865"/>
      <c r="AJ174" s="865"/>
      <c r="AK174" s="865"/>
      <c r="AL174" s="865"/>
      <c r="AM174" s="865"/>
      <c r="AN174" s="865"/>
      <c r="AO174" s="865"/>
      <c r="AP174" s="865"/>
      <c r="AQ174" s="865"/>
      <c r="AR174" s="865"/>
      <c r="AS174" s="865"/>
      <c r="AT174" s="865"/>
      <c r="AU174" s="865"/>
      <c r="AV174" s="865"/>
      <c r="AW174" s="865"/>
      <c r="AX174" s="865"/>
      <c r="AY174" s="865"/>
      <c r="AZ174" s="921"/>
      <c r="BB174" s="644"/>
      <c r="BC174" s="645"/>
      <c r="BD174" s="645"/>
      <c r="BE174" s="645"/>
      <c r="BF174" s="645"/>
      <c r="BG174" s="645"/>
      <c r="BH174" s="1037"/>
      <c r="BI174" s="756"/>
      <c r="BJ174" s="757"/>
      <c r="BK174" s="757"/>
      <c r="BL174" s="757"/>
      <c r="BM174" s="757"/>
      <c r="BN174" s="757"/>
      <c r="BO174" s="757"/>
      <c r="BP174" s="757"/>
      <c r="BQ174" s="757"/>
      <c r="BR174" s="757"/>
      <c r="BS174" s="757"/>
      <c r="BT174" s="757"/>
      <c r="BU174" s="757"/>
      <c r="BV174" s="757"/>
      <c r="BW174" s="757"/>
      <c r="BX174" s="757"/>
      <c r="BY174" s="757"/>
      <c r="BZ174" s="758"/>
      <c r="CB174" s="644"/>
      <c r="CC174" s="645"/>
      <c r="CD174" s="645"/>
      <c r="CE174" s="645"/>
      <c r="CF174" s="645"/>
      <c r="CG174" s="645"/>
      <c r="CH174" s="1037"/>
      <c r="CI174" s="756"/>
      <c r="CJ174" s="757"/>
      <c r="CK174" s="757"/>
      <c r="CL174" s="757"/>
      <c r="CM174" s="757"/>
      <c r="CN174" s="757"/>
      <c r="CO174" s="757"/>
      <c r="CP174" s="757"/>
      <c r="CQ174" s="757"/>
      <c r="CR174" s="757"/>
      <c r="CS174" s="757"/>
      <c r="CT174" s="757"/>
      <c r="CU174" s="757"/>
      <c r="CV174" s="757"/>
      <c r="CW174" s="757"/>
      <c r="CX174" s="757"/>
      <c r="CY174" s="757"/>
      <c r="CZ174" s="758"/>
    </row>
    <row r="175" spans="1:104" ht="15" customHeight="1" x14ac:dyDescent="0.25">
      <c r="B175" s="1028" t="str">
        <f>IF(B176="","",VLOOKUP(B176,BoonRef!$A$2:$Z$900,2,FALSE))</f>
        <v/>
      </c>
      <c r="C175" s="725"/>
      <c r="D175" s="725"/>
      <c r="E175" s="725"/>
      <c r="F175" s="725"/>
      <c r="G175" s="725"/>
      <c r="H175" s="725"/>
      <c r="I175" s="725" t="str">
        <f>IF(B176="","",VLOOKUP(B176,BoonRef!$A$2:$Z$900,3,FALSE))</f>
        <v/>
      </c>
      <c r="J175" s="725"/>
      <c r="K175" s="725" t="str">
        <f>IF(B176="","",VLOOKUP(B176,DescRef!$A$2:$B$900,2,FALSE))</f>
        <v/>
      </c>
      <c r="L175" s="725"/>
      <c r="M175" s="725"/>
      <c r="N175" s="725"/>
      <c r="O175" s="725"/>
      <c r="P175" s="725"/>
      <c r="Q175" s="725"/>
      <c r="R175" s="725"/>
      <c r="S175" s="725"/>
      <c r="T175" s="725"/>
      <c r="U175" s="725"/>
      <c r="V175" s="725"/>
      <c r="W175" s="725"/>
      <c r="X175" s="725"/>
      <c r="Y175" s="725"/>
      <c r="Z175" s="726"/>
      <c r="AB175" s="1028" t="str">
        <f>IF(AB176="","",VLOOKUP(AB176,BoonRef!$A$2:$Z$900,2,FALSE))</f>
        <v/>
      </c>
      <c r="AC175" s="725"/>
      <c r="AD175" s="725"/>
      <c r="AE175" s="725"/>
      <c r="AF175" s="725"/>
      <c r="AG175" s="725"/>
      <c r="AH175" s="725"/>
      <c r="AI175" s="725" t="str">
        <f>IF(AB176="","",VLOOKUP(AB176,BoonRef!$A$2:$Z$900,3,FALSE))</f>
        <v/>
      </c>
      <c r="AJ175" s="725"/>
      <c r="AK175" s="725" t="str">
        <f>IF(AB176="","",VLOOKUP(AB176,DescRef!$A$2:$B$900,2,FALSE))</f>
        <v/>
      </c>
      <c r="AL175" s="725"/>
      <c r="AM175" s="725"/>
      <c r="AN175" s="725"/>
      <c r="AO175" s="725"/>
      <c r="AP175" s="725"/>
      <c r="AQ175" s="725"/>
      <c r="AR175" s="725"/>
      <c r="AS175" s="725"/>
      <c r="AT175" s="725"/>
      <c r="AU175" s="725"/>
      <c r="AV175" s="725"/>
      <c r="AW175" s="725"/>
      <c r="AX175" s="725"/>
      <c r="AY175" s="725"/>
      <c r="AZ175" s="726"/>
      <c r="BB175" s="1029" t="str">
        <f>IF(BB176="","",VLOOKUP(BB176,KanckRef!$A$1:$G$300,2,FALSE))</f>
        <v/>
      </c>
      <c r="BC175" s="1030"/>
      <c r="BD175" s="1030"/>
      <c r="BE175" s="1030"/>
      <c r="BF175" s="1031"/>
      <c r="BG175" s="1048" t="str">
        <f>IF(BB176="","",VLOOKUP(BB176,KanckRef!$A$1:$G$300,6,FALSE))</f>
        <v/>
      </c>
      <c r="BH175" s="1049"/>
      <c r="BI175" s="988" t="str">
        <f>IF(BB176="","",VLOOKUP(BB176,DescRef!$D$2:$E$300,2,FALSE))</f>
        <v/>
      </c>
      <c r="BJ175" s="795"/>
      <c r="BK175" s="795"/>
      <c r="BL175" s="795"/>
      <c r="BM175" s="795"/>
      <c r="BN175" s="795"/>
      <c r="BO175" s="795"/>
      <c r="BP175" s="795"/>
      <c r="BQ175" s="795"/>
      <c r="BR175" s="795"/>
      <c r="BS175" s="795"/>
      <c r="BT175" s="795"/>
      <c r="BU175" s="795"/>
      <c r="BV175" s="795"/>
      <c r="BW175" s="795"/>
      <c r="BX175" s="795"/>
      <c r="BY175" s="795"/>
      <c r="BZ175" s="796"/>
      <c r="CB175" s="1029" t="str">
        <f>IF(CB176="","",VLOOKUP(CB176,KanckRef!$A$1:$G$300,2,FALSE))</f>
        <v/>
      </c>
      <c r="CC175" s="1030"/>
      <c r="CD175" s="1030"/>
      <c r="CE175" s="1030"/>
      <c r="CF175" s="1031"/>
      <c r="CG175" s="1048" t="str">
        <f>IF(CB176="","",VLOOKUP(CB176,KanckRef!$A$1:$G$300,6,FALSE))</f>
        <v/>
      </c>
      <c r="CH175" s="1049"/>
      <c r="CI175" s="988" t="str">
        <f>IF(CB176="","",VLOOKUP(CB176,DescRef!$D$2:$E$300,2,FALSE))</f>
        <v/>
      </c>
      <c r="CJ175" s="795"/>
      <c r="CK175" s="795"/>
      <c r="CL175" s="795"/>
      <c r="CM175" s="795"/>
      <c r="CN175" s="795"/>
      <c r="CO175" s="795"/>
      <c r="CP175" s="795"/>
      <c r="CQ175" s="795"/>
      <c r="CR175" s="795"/>
      <c r="CS175" s="795"/>
      <c r="CT175" s="795"/>
      <c r="CU175" s="795"/>
      <c r="CV175" s="795"/>
      <c r="CW175" s="795"/>
      <c r="CX175" s="795"/>
      <c r="CY175" s="795"/>
      <c r="CZ175" s="796"/>
    </row>
    <row r="176" spans="1:104" ht="15" customHeight="1" x14ac:dyDescent="0.25">
      <c r="A176" s="15">
        <v>29</v>
      </c>
      <c r="B176" s="1026" t="str">
        <f>IF(A176&lt;'Purchased Boons'!$B$496,VLOOKUP(A176,'Purchased Boons'!$BF$2:$BG$900,2,FALSE),"")</f>
        <v/>
      </c>
      <c r="C176" s="727"/>
      <c r="D176" s="727"/>
      <c r="E176" s="727"/>
      <c r="F176" s="727"/>
      <c r="G176" s="727"/>
      <c r="H176" s="727"/>
      <c r="I176" s="727" t="str">
        <f>IF(B176="","",VLOOKUP(B176,BoonRef!$A$2:$Z$900,25,FALSE))</f>
        <v/>
      </c>
      <c r="J176" s="727"/>
      <c r="K176" s="727"/>
      <c r="L176" s="727"/>
      <c r="M176" s="727"/>
      <c r="N176" s="727"/>
      <c r="O176" s="727"/>
      <c r="P176" s="727"/>
      <c r="Q176" s="727"/>
      <c r="R176" s="727"/>
      <c r="S176" s="727"/>
      <c r="T176" s="727"/>
      <c r="U176" s="727"/>
      <c r="V176" s="727"/>
      <c r="W176" s="727"/>
      <c r="X176" s="727"/>
      <c r="Y176" s="727"/>
      <c r="Z176" s="728"/>
      <c r="AA176" s="15">
        <v>136</v>
      </c>
      <c r="AB176" s="1026" t="str">
        <f>IF(AA176&lt;'Purchased Boons'!$B$496,VLOOKUP(AA176,'Purchased Boons'!$BF$2:$BG$900,2,FALSE),"")</f>
        <v/>
      </c>
      <c r="AC176" s="727"/>
      <c r="AD176" s="727"/>
      <c r="AE176" s="727"/>
      <c r="AF176" s="727"/>
      <c r="AG176" s="727"/>
      <c r="AH176" s="727"/>
      <c r="AI176" s="727" t="str">
        <f>IF(AB176="","",VLOOKUP(AB176,BoonRef!$A$2:$Z$900,25,FALSE))</f>
        <v/>
      </c>
      <c r="AJ176" s="727"/>
      <c r="AK176" s="727"/>
      <c r="AL176" s="727"/>
      <c r="AM176" s="727"/>
      <c r="AN176" s="727"/>
      <c r="AO176" s="727"/>
      <c r="AP176" s="727"/>
      <c r="AQ176" s="727"/>
      <c r="AR176" s="727"/>
      <c r="AS176" s="727"/>
      <c r="AT176" s="727"/>
      <c r="AU176" s="727"/>
      <c r="AV176" s="727"/>
      <c r="AW176" s="727"/>
      <c r="AX176" s="727"/>
      <c r="AY176" s="727"/>
      <c r="AZ176" s="728"/>
      <c r="BA176" s="15">
        <v>29</v>
      </c>
      <c r="BB176" s="1038" t="str">
        <f>IF(BA176&lt;'Purchased Knacks'!A$192,VLOOKUP(BA176,'Purchased Knacks'!$A$4:$E$300,3,FALSE),"")</f>
        <v/>
      </c>
      <c r="BC176" s="1039"/>
      <c r="BD176" s="1039"/>
      <c r="BE176" s="1039"/>
      <c r="BF176" s="1040"/>
      <c r="BG176" s="1032" t="str">
        <f>IF(BB176="","",VLOOKUP(BB176,KanckRef!$A$1:$G$300,7,FALSE))</f>
        <v/>
      </c>
      <c r="BH176" s="1033"/>
      <c r="BI176" s="753"/>
      <c r="BJ176" s="754"/>
      <c r="BK176" s="754"/>
      <c r="BL176" s="754"/>
      <c r="BM176" s="754"/>
      <c r="BN176" s="754"/>
      <c r="BO176" s="754"/>
      <c r="BP176" s="754"/>
      <c r="BQ176" s="754"/>
      <c r="BR176" s="754"/>
      <c r="BS176" s="754"/>
      <c r="BT176" s="754"/>
      <c r="BU176" s="754"/>
      <c r="BV176" s="754"/>
      <c r="BW176" s="754"/>
      <c r="BX176" s="754"/>
      <c r="BY176" s="754"/>
      <c r="BZ176" s="755"/>
      <c r="CA176" s="15">
        <v>136</v>
      </c>
      <c r="CB176" s="1038" t="str">
        <f>IF(CA176&lt;'Purchased Knacks'!A$192,VLOOKUP(CA176,'Purchased Knacks'!$A$4:$E$300,3,FALSE),"")</f>
        <v/>
      </c>
      <c r="CC176" s="1039"/>
      <c r="CD176" s="1039"/>
      <c r="CE176" s="1039"/>
      <c r="CF176" s="1040"/>
      <c r="CG176" s="1032" t="str">
        <f>IF(CB176="","",VLOOKUP(CB176,KanckRef!$A$1:$G$300,7,FALSE))</f>
        <v/>
      </c>
      <c r="CH176" s="1033"/>
      <c r="CI176" s="753"/>
      <c r="CJ176" s="754"/>
      <c r="CK176" s="754"/>
      <c r="CL176" s="754"/>
      <c r="CM176" s="754"/>
      <c r="CN176" s="754"/>
      <c r="CO176" s="754"/>
      <c r="CP176" s="754"/>
      <c r="CQ176" s="754"/>
      <c r="CR176" s="754"/>
      <c r="CS176" s="754"/>
      <c r="CT176" s="754"/>
      <c r="CU176" s="754"/>
      <c r="CV176" s="754"/>
      <c r="CW176" s="754"/>
      <c r="CX176" s="754"/>
      <c r="CY176" s="754"/>
      <c r="CZ176" s="755"/>
    </row>
    <row r="177" spans="1:104" ht="15" customHeight="1" x14ac:dyDescent="0.25">
      <c r="B177" s="1026"/>
      <c r="C177" s="727"/>
      <c r="D177" s="727"/>
      <c r="E177" s="727"/>
      <c r="F177" s="727"/>
      <c r="G177" s="727"/>
      <c r="H177" s="727"/>
      <c r="I177" s="727" t="str">
        <f>IF(B176="","",VLOOKUP(B176,BoonRef!$A$2:$Z$900,26,FALSE))</f>
        <v/>
      </c>
      <c r="J177" s="727"/>
      <c r="K177" s="727"/>
      <c r="L177" s="727"/>
      <c r="M177" s="727"/>
      <c r="N177" s="727"/>
      <c r="O177" s="727"/>
      <c r="P177" s="727"/>
      <c r="Q177" s="727"/>
      <c r="R177" s="727"/>
      <c r="S177" s="727"/>
      <c r="T177" s="727"/>
      <c r="U177" s="727"/>
      <c r="V177" s="727"/>
      <c r="W177" s="727"/>
      <c r="X177" s="727"/>
      <c r="Y177" s="727"/>
      <c r="Z177" s="728"/>
      <c r="AB177" s="1026"/>
      <c r="AC177" s="727"/>
      <c r="AD177" s="727"/>
      <c r="AE177" s="727"/>
      <c r="AF177" s="727"/>
      <c r="AG177" s="727"/>
      <c r="AH177" s="727"/>
      <c r="AI177" s="727" t="str">
        <f>IF(AB176="","",VLOOKUP(AB176,BoonRef!$A$2:$Z$900,26,FALSE))</f>
        <v/>
      </c>
      <c r="AJ177" s="727"/>
      <c r="AK177" s="727"/>
      <c r="AL177" s="727"/>
      <c r="AM177" s="727"/>
      <c r="AN177" s="727"/>
      <c r="AO177" s="727"/>
      <c r="AP177" s="727"/>
      <c r="AQ177" s="727"/>
      <c r="AR177" s="727"/>
      <c r="AS177" s="727"/>
      <c r="AT177" s="727"/>
      <c r="AU177" s="727"/>
      <c r="AV177" s="727"/>
      <c r="AW177" s="727"/>
      <c r="AX177" s="727"/>
      <c r="AY177" s="727"/>
      <c r="AZ177" s="728"/>
      <c r="BB177" s="1041"/>
      <c r="BC177" s="1042"/>
      <c r="BD177" s="1042"/>
      <c r="BE177" s="1042"/>
      <c r="BF177" s="1043"/>
      <c r="BG177" s="1034"/>
      <c r="BH177" s="1035"/>
      <c r="BI177" s="753"/>
      <c r="BJ177" s="754"/>
      <c r="BK177" s="754"/>
      <c r="BL177" s="754"/>
      <c r="BM177" s="754"/>
      <c r="BN177" s="754"/>
      <c r="BO177" s="754"/>
      <c r="BP177" s="754"/>
      <c r="BQ177" s="754"/>
      <c r="BR177" s="754"/>
      <c r="BS177" s="754"/>
      <c r="BT177" s="754"/>
      <c r="BU177" s="754"/>
      <c r="BV177" s="754"/>
      <c r="BW177" s="754"/>
      <c r="BX177" s="754"/>
      <c r="BY177" s="754"/>
      <c r="BZ177" s="755"/>
      <c r="CB177" s="1041"/>
      <c r="CC177" s="1042"/>
      <c r="CD177" s="1042"/>
      <c r="CE177" s="1042"/>
      <c r="CF177" s="1043"/>
      <c r="CG177" s="1034"/>
      <c r="CH177" s="1035"/>
      <c r="CI177" s="753"/>
      <c r="CJ177" s="754"/>
      <c r="CK177" s="754"/>
      <c r="CL177" s="754"/>
      <c r="CM177" s="754"/>
      <c r="CN177" s="754"/>
      <c r="CO177" s="754"/>
      <c r="CP177" s="754"/>
      <c r="CQ177" s="754"/>
      <c r="CR177" s="754"/>
      <c r="CS177" s="754"/>
      <c r="CT177" s="754"/>
      <c r="CU177" s="754"/>
      <c r="CV177" s="754"/>
      <c r="CW177" s="754"/>
      <c r="CX177" s="754"/>
      <c r="CY177" s="754"/>
      <c r="CZ177" s="755"/>
    </row>
    <row r="178" spans="1:104" ht="15" customHeight="1" x14ac:dyDescent="0.25">
      <c r="B178" s="1026" t="str">
        <f>IF(B176="","",VLOOKUP(B176,BoonRef!$A$2:$Z$900,24,FALSE))</f>
        <v/>
      </c>
      <c r="C178" s="727"/>
      <c r="D178" s="727"/>
      <c r="E178" s="727"/>
      <c r="F178" s="727"/>
      <c r="G178" s="727"/>
      <c r="H178" s="727"/>
      <c r="I178" s="727"/>
      <c r="J178" s="727"/>
      <c r="K178" s="727"/>
      <c r="L178" s="727"/>
      <c r="M178" s="727"/>
      <c r="N178" s="727"/>
      <c r="O178" s="727"/>
      <c r="P178" s="727"/>
      <c r="Q178" s="727"/>
      <c r="R178" s="727"/>
      <c r="S178" s="727"/>
      <c r="T178" s="727"/>
      <c r="U178" s="727"/>
      <c r="V178" s="727"/>
      <c r="W178" s="727"/>
      <c r="X178" s="727"/>
      <c r="Y178" s="727"/>
      <c r="Z178" s="728"/>
      <c r="AB178" s="1026" t="str">
        <f>IF(AB176="","",VLOOKUP(AB176,BoonRef!$A$2:$Z$900,24,FALSE))</f>
        <v/>
      </c>
      <c r="AC178" s="727"/>
      <c r="AD178" s="727"/>
      <c r="AE178" s="727"/>
      <c r="AF178" s="727"/>
      <c r="AG178" s="727"/>
      <c r="AH178" s="727"/>
      <c r="AI178" s="727"/>
      <c r="AJ178" s="727"/>
      <c r="AK178" s="727"/>
      <c r="AL178" s="727"/>
      <c r="AM178" s="727"/>
      <c r="AN178" s="727"/>
      <c r="AO178" s="727"/>
      <c r="AP178" s="727"/>
      <c r="AQ178" s="727"/>
      <c r="AR178" s="727"/>
      <c r="AS178" s="727"/>
      <c r="AT178" s="727"/>
      <c r="AU178" s="727"/>
      <c r="AV178" s="727"/>
      <c r="AW178" s="727"/>
      <c r="AX178" s="727"/>
      <c r="AY178" s="727"/>
      <c r="AZ178" s="728"/>
      <c r="BB178" s="641" t="str">
        <f>IF(BB176="","",VLOOKUP(BB176,KanckRef!$A$1:$G$300,4,FALSE))</f>
        <v/>
      </c>
      <c r="BC178" s="642"/>
      <c r="BD178" s="642"/>
      <c r="BE178" s="642"/>
      <c r="BF178" s="642"/>
      <c r="BG178" s="642"/>
      <c r="BH178" s="1033"/>
      <c r="BI178" s="753"/>
      <c r="BJ178" s="754"/>
      <c r="BK178" s="754"/>
      <c r="BL178" s="754"/>
      <c r="BM178" s="754"/>
      <c r="BN178" s="754"/>
      <c r="BO178" s="754"/>
      <c r="BP178" s="754"/>
      <c r="BQ178" s="754"/>
      <c r="BR178" s="754"/>
      <c r="BS178" s="754"/>
      <c r="BT178" s="754"/>
      <c r="BU178" s="754"/>
      <c r="BV178" s="754"/>
      <c r="BW178" s="754"/>
      <c r="BX178" s="754"/>
      <c r="BY178" s="754"/>
      <c r="BZ178" s="755"/>
      <c r="CB178" s="641" t="str">
        <f>IF(CB176="","",VLOOKUP(CB176,KanckRef!$A$1:$G$300,4,FALSE))</f>
        <v/>
      </c>
      <c r="CC178" s="642"/>
      <c r="CD178" s="642"/>
      <c r="CE178" s="642"/>
      <c r="CF178" s="642"/>
      <c r="CG178" s="642"/>
      <c r="CH178" s="1033"/>
      <c r="CI178" s="753"/>
      <c r="CJ178" s="754"/>
      <c r="CK178" s="754"/>
      <c r="CL178" s="754"/>
      <c r="CM178" s="754"/>
      <c r="CN178" s="754"/>
      <c r="CO178" s="754"/>
      <c r="CP178" s="754"/>
      <c r="CQ178" s="754"/>
      <c r="CR178" s="754"/>
      <c r="CS178" s="754"/>
      <c r="CT178" s="754"/>
      <c r="CU178" s="754"/>
      <c r="CV178" s="754"/>
      <c r="CW178" s="754"/>
      <c r="CX178" s="754"/>
      <c r="CY178" s="754"/>
      <c r="CZ178" s="755"/>
    </row>
    <row r="179" spans="1:104" ht="15" customHeight="1" x14ac:dyDescent="0.25">
      <c r="B179" s="1026" t="str">
        <f>IF(B176="","",VLOOKUP(B176,BoonRef!$A$2:$Z$900,23,FALSE))</f>
        <v/>
      </c>
      <c r="C179" s="727"/>
      <c r="D179" s="727"/>
      <c r="E179" s="727"/>
      <c r="F179" s="727"/>
      <c r="G179" s="727"/>
      <c r="H179" s="727"/>
      <c r="I179" s="727"/>
      <c r="J179" s="727"/>
      <c r="K179" s="727"/>
      <c r="L179" s="727"/>
      <c r="M179" s="727"/>
      <c r="N179" s="727"/>
      <c r="O179" s="727"/>
      <c r="P179" s="727"/>
      <c r="Q179" s="727"/>
      <c r="R179" s="727"/>
      <c r="S179" s="727"/>
      <c r="T179" s="727"/>
      <c r="U179" s="727"/>
      <c r="V179" s="727"/>
      <c r="W179" s="727"/>
      <c r="X179" s="727"/>
      <c r="Y179" s="727"/>
      <c r="Z179" s="728"/>
      <c r="AB179" s="1026" t="str">
        <f>IF(AB176="","",VLOOKUP(AB176,BoonRef!$A$2:$Z$900,23,FALSE))</f>
        <v/>
      </c>
      <c r="AC179" s="727"/>
      <c r="AD179" s="727"/>
      <c r="AE179" s="727"/>
      <c r="AF179" s="727"/>
      <c r="AG179" s="727"/>
      <c r="AH179" s="727"/>
      <c r="AI179" s="727"/>
      <c r="AJ179" s="727"/>
      <c r="AK179" s="727"/>
      <c r="AL179" s="727"/>
      <c r="AM179" s="727"/>
      <c r="AN179" s="727"/>
      <c r="AO179" s="727"/>
      <c r="AP179" s="727"/>
      <c r="AQ179" s="727"/>
      <c r="AR179" s="727"/>
      <c r="AS179" s="727"/>
      <c r="AT179" s="727"/>
      <c r="AU179" s="727"/>
      <c r="AV179" s="727"/>
      <c r="AW179" s="727"/>
      <c r="AX179" s="727"/>
      <c r="AY179" s="727"/>
      <c r="AZ179" s="728"/>
      <c r="BB179" s="635"/>
      <c r="BC179" s="636"/>
      <c r="BD179" s="636"/>
      <c r="BE179" s="636"/>
      <c r="BF179" s="636"/>
      <c r="BG179" s="636"/>
      <c r="BH179" s="1036"/>
      <c r="BI179" s="753"/>
      <c r="BJ179" s="754"/>
      <c r="BK179" s="754"/>
      <c r="BL179" s="754"/>
      <c r="BM179" s="754"/>
      <c r="BN179" s="754"/>
      <c r="BO179" s="754"/>
      <c r="BP179" s="754"/>
      <c r="BQ179" s="754"/>
      <c r="BR179" s="754"/>
      <c r="BS179" s="754"/>
      <c r="BT179" s="754"/>
      <c r="BU179" s="754"/>
      <c r="BV179" s="754"/>
      <c r="BW179" s="754"/>
      <c r="BX179" s="754"/>
      <c r="BY179" s="754"/>
      <c r="BZ179" s="755"/>
      <c r="CB179" s="635"/>
      <c r="CC179" s="636"/>
      <c r="CD179" s="636"/>
      <c r="CE179" s="636"/>
      <c r="CF179" s="636"/>
      <c r="CG179" s="636"/>
      <c r="CH179" s="1036"/>
      <c r="CI179" s="753"/>
      <c r="CJ179" s="754"/>
      <c r="CK179" s="754"/>
      <c r="CL179" s="754"/>
      <c r="CM179" s="754"/>
      <c r="CN179" s="754"/>
      <c r="CO179" s="754"/>
      <c r="CP179" s="754"/>
      <c r="CQ179" s="754"/>
      <c r="CR179" s="754"/>
      <c r="CS179" s="754"/>
      <c r="CT179" s="754"/>
      <c r="CU179" s="754"/>
      <c r="CV179" s="754"/>
      <c r="CW179" s="754"/>
      <c r="CX179" s="754"/>
      <c r="CY179" s="754"/>
      <c r="CZ179" s="755"/>
    </row>
    <row r="180" spans="1:104" ht="15" customHeight="1" thickBot="1" x14ac:dyDescent="0.3">
      <c r="B180" s="1027"/>
      <c r="C180" s="865"/>
      <c r="D180" s="865"/>
      <c r="E180" s="865"/>
      <c r="F180" s="865"/>
      <c r="G180" s="865"/>
      <c r="H180" s="865"/>
      <c r="I180" s="865"/>
      <c r="J180" s="865"/>
      <c r="K180" s="865"/>
      <c r="L180" s="865"/>
      <c r="M180" s="865"/>
      <c r="N180" s="865"/>
      <c r="O180" s="865"/>
      <c r="P180" s="865"/>
      <c r="Q180" s="865"/>
      <c r="R180" s="865"/>
      <c r="S180" s="865"/>
      <c r="T180" s="865"/>
      <c r="U180" s="865"/>
      <c r="V180" s="865"/>
      <c r="W180" s="865"/>
      <c r="X180" s="865"/>
      <c r="Y180" s="865"/>
      <c r="Z180" s="921"/>
      <c r="AB180" s="1027"/>
      <c r="AC180" s="865"/>
      <c r="AD180" s="865"/>
      <c r="AE180" s="865"/>
      <c r="AF180" s="865"/>
      <c r="AG180" s="865"/>
      <c r="AH180" s="865"/>
      <c r="AI180" s="865"/>
      <c r="AJ180" s="865"/>
      <c r="AK180" s="865"/>
      <c r="AL180" s="865"/>
      <c r="AM180" s="865"/>
      <c r="AN180" s="865"/>
      <c r="AO180" s="865"/>
      <c r="AP180" s="865"/>
      <c r="AQ180" s="865"/>
      <c r="AR180" s="865"/>
      <c r="AS180" s="865"/>
      <c r="AT180" s="865"/>
      <c r="AU180" s="865"/>
      <c r="AV180" s="865"/>
      <c r="AW180" s="865"/>
      <c r="AX180" s="865"/>
      <c r="AY180" s="865"/>
      <c r="AZ180" s="921"/>
      <c r="BB180" s="644"/>
      <c r="BC180" s="645"/>
      <c r="BD180" s="645"/>
      <c r="BE180" s="645"/>
      <c r="BF180" s="645"/>
      <c r="BG180" s="645"/>
      <c r="BH180" s="1037"/>
      <c r="BI180" s="756"/>
      <c r="BJ180" s="757"/>
      <c r="BK180" s="757"/>
      <c r="BL180" s="757"/>
      <c r="BM180" s="757"/>
      <c r="BN180" s="757"/>
      <c r="BO180" s="757"/>
      <c r="BP180" s="757"/>
      <c r="BQ180" s="757"/>
      <c r="BR180" s="757"/>
      <c r="BS180" s="757"/>
      <c r="BT180" s="757"/>
      <c r="BU180" s="757"/>
      <c r="BV180" s="757"/>
      <c r="BW180" s="757"/>
      <c r="BX180" s="757"/>
      <c r="BY180" s="757"/>
      <c r="BZ180" s="758"/>
      <c r="CB180" s="644"/>
      <c r="CC180" s="645"/>
      <c r="CD180" s="645"/>
      <c r="CE180" s="645"/>
      <c r="CF180" s="645"/>
      <c r="CG180" s="645"/>
      <c r="CH180" s="1037"/>
      <c r="CI180" s="756"/>
      <c r="CJ180" s="757"/>
      <c r="CK180" s="757"/>
      <c r="CL180" s="757"/>
      <c r="CM180" s="757"/>
      <c r="CN180" s="757"/>
      <c r="CO180" s="757"/>
      <c r="CP180" s="757"/>
      <c r="CQ180" s="757"/>
      <c r="CR180" s="757"/>
      <c r="CS180" s="757"/>
      <c r="CT180" s="757"/>
      <c r="CU180" s="757"/>
      <c r="CV180" s="757"/>
      <c r="CW180" s="757"/>
      <c r="CX180" s="757"/>
      <c r="CY180" s="757"/>
      <c r="CZ180" s="758"/>
    </row>
    <row r="181" spans="1:104" ht="15" customHeight="1" x14ac:dyDescent="0.25">
      <c r="B181" s="1028" t="str">
        <f>IF(B182="","",VLOOKUP(B182,BoonRef!$A$2:$Z$900,2,FALSE))</f>
        <v/>
      </c>
      <c r="C181" s="725"/>
      <c r="D181" s="725"/>
      <c r="E181" s="725"/>
      <c r="F181" s="725"/>
      <c r="G181" s="725"/>
      <c r="H181" s="725"/>
      <c r="I181" s="725" t="str">
        <f>IF(B182="","",VLOOKUP(B182,BoonRef!$A$2:$Z$900,3,FALSE))</f>
        <v/>
      </c>
      <c r="J181" s="725"/>
      <c r="K181" s="725" t="str">
        <f>IF(B182="","",VLOOKUP(B182,DescRef!$A$2:$B$900,2,FALSE))</f>
        <v/>
      </c>
      <c r="L181" s="725"/>
      <c r="M181" s="725"/>
      <c r="N181" s="725"/>
      <c r="O181" s="725"/>
      <c r="P181" s="725"/>
      <c r="Q181" s="725"/>
      <c r="R181" s="725"/>
      <c r="S181" s="725"/>
      <c r="T181" s="725"/>
      <c r="U181" s="725"/>
      <c r="V181" s="725"/>
      <c r="W181" s="725"/>
      <c r="X181" s="725"/>
      <c r="Y181" s="725"/>
      <c r="Z181" s="726"/>
      <c r="AB181" s="1028" t="str">
        <f>IF(AB182="","",VLOOKUP(AB182,BoonRef!$A$2:$Z$900,2,FALSE))</f>
        <v/>
      </c>
      <c r="AC181" s="725"/>
      <c r="AD181" s="725"/>
      <c r="AE181" s="725"/>
      <c r="AF181" s="725"/>
      <c r="AG181" s="725"/>
      <c r="AH181" s="725"/>
      <c r="AI181" s="725" t="str">
        <f>IF(AB182="","",VLOOKUP(AB182,BoonRef!$A$2:$Z$900,3,FALSE))</f>
        <v/>
      </c>
      <c r="AJ181" s="725"/>
      <c r="AK181" s="725" t="str">
        <f>IF(AB182="","",VLOOKUP(AB182,DescRef!$A$2:$B$900,2,FALSE))</f>
        <v/>
      </c>
      <c r="AL181" s="725"/>
      <c r="AM181" s="725"/>
      <c r="AN181" s="725"/>
      <c r="AO181" s="725"/>
      <c r="AP181" s="725"/>
      <c r="AQ181" s="725"/>
      <c r="AR181" s="725"/>
      <c r="AS181" s="725"/>
      <c r="AT181" s="725"/>
      <c r="AU181" s="725"/>
      <c r="AV181" s="725"/>
      <c r="AW181" s="725"/>
      <c r="AX181" s="725"/>
      <c r="AY181" s="725"/>
      <c r="AZ181" s="726"/>
      <c r="BB181" s="1029" t="str">
        <f>IF(BB182="","",VLOOKUP(BB182,KanckRef!$A$1:$G$300,2,FALSE))</f>
        <v/>
      </c>
      <c r="BC181" s="1030"/>
      <c r="BD181" s="1030"/>
      <c r="BE181" s="1030"/>
      <c r="BF181" s="1031"/>
      <c r="BG181" s="1048" t="str">
        <f>IF(BB182="","",VLOOKUP(BB182,KanckRef!$A$1:$G$300,6,FALSE))</f>
        <v/>
      </c>
      <c r="BH181" s="1049"/>
      <c r="BI181" s="988" t="str">
        <f>IF(BB182="","",VLOOKUP(BB182,DescRef!$D$2:$E$300,2,FALSE))</f>
        <v/>
      </c>
      <c r="BJ181" s="795"/>
      <c r="BK181" s="795"/>
      <c r="BL181" s="795"/>
      <c r="BM181" s="795"/>
      <c r="BN181" s="795"/>
      <c r="BO181" s="795"/>
      <c r="BP181" s="795"/>
      <c r="BQ181" s="795"/>
      <c r="BR181" s="795"/>
      <c r="BS181" s="795"/>
      <c r="BT181" s="795"/>
      <c r="BU181" s="795"/>
      <c r="BV181" s="795"/>
      <c r="BW181" s="795"/>
      <c r="BX181" s="795"/>
      <c r="BY181" s="795"/>
      <c r="BZ181" s="796"/>
      <c r="CB181" s="1029" t="str">
        <f>IF(CB182="","",VLOOKUP(CB182,KanckRef!$A$1:$G$300,2,FALSE))</f>
        <v/>
      </c>
      <c r="CC181" s="1030"/>
      <c r="CD181" s="1030"/>
      <c r="CE181" s="1030"/>
      <c r="CF181" s="1031"/>
      <c r="CG181" s="1048" t="str">
        <f>IF(CB182="","",VLOOKUP(CB182,KanckRef!$A$1:$G$300,6,FALSE))</f>
        <v/>
      </c>
      <c r="CH181" s="1049"/>
      <c r="CI181" s="988" t="str">
        <f>IF(CB182="","",VLOOKUP(CB182,DescRef!$D$2:$E$300,2,FALSE))</f>
        <v/>
      </c>
      <c r="CJ181" s="795"/>
      <c r="CK181" s="795"/>
      <c r="CL181" s="795"/>
      <c r="CM181" s="795"/>
      <c r="CN181" s="795"/>
      <c r="CO181" s="795"/>
      <c r="CP181" s="795"/>
      <c r="CQ181" s="795"/>
      <c r="CR181" s="795"/>
      <c r="CS181" s="795"/>
      <c r="CT181" s="795"/>
      <c r="CU181" s="795"/>
      <c r="CV181" s="795"/>
      <c r="CW181" s="795"/>
      <c r="CX181" s="795"/>
      <c r="CY181" s="795"/>
      <c r="CZ181" s="796"/>
    </row>
    <row r="182" spans="1:104" ht="15" customHeight="1" x14ac:dyDescent="0.25">
      <c r="A182" s="15">
        <v>30</v>
      </c>
      <c r="B182" s="1026" t="str">
        <f>IF(A182&lt;'Purchased Boons'!$B$496,VLOOKUP(A182,'Purchased Boons'!$BF$2:$BG$900,2,FALSE),"")</f>
        <v/>
      </c>
      <c r="C182" s="727"/>
      <c r="D182" s="727"/>
      <c r="E182" s="727"/>
      <c r="F182" s="727"/>
      <c r="G182" s="727"/>
      <c r="H182" s="727"/>
      <c r="I182" s="727" t="str">
        <f>IF(B182="","",VLOOKUP(B182,BoonRef!$A$2:$Z$900,25,FALSE))</f>
        <v/>
      </c>
      <c r="J182" s="727"/>
      <c r="K182" s="727"/>
      <c r="L182" s="727"/>
      <c r="M182" s="727"/>
      <c r="N182" s="727"/>
      <c r="O182" s="727"/>
      <c r="P182" s="727"/>
      <c r="Q182" s="727"/>
      <c r="R182" s="727"/>
      <c r="S182" s="727"/>
      <c r="T182" s="727"/>
      <c r="U182" s="727"/>
      <c r="V182" s="727"/>
      <c r="W182" s="727"/>
      <c r="X182" s="727"/>
      <c r="Y182" s="727"/>
      <c r="Z182" s="728"/>
      <c r="AA182" s="15">
        <v>137</v>
      </c>
      <c r="AB182" s="1026" t="str">
        <f>IF(AA182&lt;'Purchased Boons'!$B$496,VLOOKUP(AA182,'Purchased Boons'!$BF$2:$BG$900,2,FALSE),"")</f>
        <v/>
      </c>
      <c r="AC182" s="727"/>
      <c r="AD182" s="727"/>
      <c r="AE182" s="727"/>
      <c r="AF182" s="727"/>
      <c r="AG182" s="727"/>
      <c r="AH182" s="727"/>
      <c r="AI182" s="727" t="str">
        <f>IF(AB182="","",VLOOKUP(AB182,BoonRef!$A$2:$Z$900,25,FALSE))</f>
        <v/>
      </c>
      <c r="AJ182" s="727"/>
      <c r="AK182" s="727"/>
      <c r="AL182" s="727"/>
      <c r="AM182" s="727"/>
      <c r="AN182" s="727"/>
      <c r="AO182" s="727"/>
      <c r="AP182" s="727"/>
      <c r="AQ182" s="727"/>
      <c r="AR182" s="727"/>
      <c r="AS182" s="727"/>
      <c r="AT182" s="727"/>
      <c r="AU182" s="727"/>
      <c r="AV182" s="727"/>
      <c r="AW182" s="727"/>
      <c r="AX182" s="727"/>
      <c r="AY182" s="727"/>
      <c r="AZ182" s="728"/>
      <c r="BA182" s="15">
        <v>30</v>
      </c>
      <c r="BB182" s="1038" t="str">
        <f>IF(BA182&lt;'Purchased Knacks'!A$192,VLOOKUP(BA182,'Purchased Knacks'!$A$4:$E$300,3,FALSE),"")</f>
        <v/>
      </c>
      <c r="BC182" s="1039"/>
      <c r="BD182" s="1039"/>
      <c r="BE182" s="1039"/>
      <c r="BF182" s="1040"/>
      <c r="BG182" s="1032" t="str">
        <f>IF(BB182="","",VLOOKUP(BB182,KanckRef!$A$1:$G$300,7,FALSE))</f>
        <v/>
      </c>
      <c r="BH182" s="1033"/>
      <c r="BI182" s="753"/>
      <c r="BJ182" s="754"/>
      <c r="BK182" s="754"/>
      <c r="BL182" s="754"/>
      <c r="BM182" s="754"/>
      <c r="BN182" s="754"/>
      <c r="BO182" s="754"/>
      <c r="BP182" s="754"/>
      <c r="BQ182" s="754"/>
      <c r="BR182" s="754"/>
      <c r="BS182" s="754"/>
      <c r="BT182" s="754"/>
      <c r="BU182" s="754"/>
      <c r="BV182" s="754"/>
      <c r="BW182" s="754"/>
      <c r="BX182" s="754"/>
      <c r="BY182" s="754"/>
      <c r="BZ182" s="755"/>
      <c r="CA182" s="15">
        <v>137</v>
      </c>
      <c r="CB182" s="1038" t="str">
        <f>IF(CA182&lt;'Purchased Knacks'!A$192,VLOOKUP(CA182,'Purchased Knacks'!$A$4:$E$300,3,FALSE),"")</f>
        <v/>
      </c>
      <c r="CC182" s="1039"/>
      <c r="CD182" s="1039"/>
      <c r="CE182" s="1039"/>
      <c r="CF182" s="1040"/>
      <c r="CG182" s="1032" t="str">
        <f>IF(CB182="","",VLOOKUP(CB182,KanckRef!$A$1:$G$300,7,FALSE))</f>
        <v/>
      </c>
      <c r="CH182" s="1033"/>
      <c r="CI182" s="753"/>
      <c r="CJ182" s="754"/>
      <c r="CK182" s="754"/>
      <c r="CL182" s="754"/>
      <c r="CM182" s="754"/>
      <c r="CN182" s="754"/>
      <c r="CO182" s="754"/>
      <c r="CP182" s="754"/>
      <c r="CQ182" s="754"/>
      <c r="CR182" s="754"/>
      <c r="CS182" s="754"/>
      <c r="CT182" s="754"/>
      <c r="CU182" s="754"/>
      <c r="CV182" s="754"/>
      <c r="CW182" s="754"/>
      <c r="CX182" s="754"/>
      <c r="CY182" s="754"/>
      <c r="CZ182" s="755"/>
    </row>
    <row r="183" spans="1:104" ht="15.75" customHeight="1" x14ac:dyDescent="0.25">
      <c r="B183" s="1026"/>
      <c r="C183" s="727"/>
      <c r="D183" s="727"/>
      <c r="E183" s="727"/>
      <c r="F183" s="727"/>
      <c r="G183" s="727"/>
      <c r="H183" s="727"/>
      <c r="I183" s="727" t="str">
        <f>IF(B182="","",VLOOKUP(B182,BoonRef!$A$2:$Z$900,26,FALSE))</f>
        <v/>
      </c>
      <c r="J183" s="727"/>
      <c r="K183" s="727"/>
      <c r="L183" s="727"/>
      <c r="M183" s="727"/>
      <c r="N183" s="727"/>
      <c r="O183" s="727"/>
      <c r="P183" s="727"/>
      <c r="Q183" s="727"/>
      <c r="R183" s="727"/>
      <c r="S183" s="727"/>
      <c r="T183" s="727"/>
      <c r="U183" s="727"/>
      <c r="V183" s="727"/>
      <c r="W183" s="727"/>
      <c r="X183" s="727"/>
      <c r="Y183" s="727"/>
      <c r="Z183" s="728"/>
      <c r="AB183" s="1026"/>
      <c r="AC183" s="727"/>
      <c r="AD183" s="727"/>
      <c r="AE183" s="727"/>
      <c r="AF183" s="727"/>
      <c r="AG183" s="727"/>
      <c r="AH183" s="727"/>
      <c r="AI183" s="727" t="str">
        <f>IF(AB182="","",VLOOKUP(AB182,BoonRef!$A$2:$Z$900,26,FALSE))</f>
        <v/>
      </c>
      <c r="AJ183" s="727"/>
      <c r="AK183" s="727"/>
      <c r="AL183" s="727"/>
      <c r="AM183" s="727"/>
      <c r="AN183" s="727"/>
      <c r="AO183" s="727"/>
      <c r="AP183" s="727"/>
      <c r="AQ183" s="727"/>
      <c r="AR183" s="727"/>
      <c r="AS183" s="727"/>
      <c r="AT183" s="727"/>
      <c r="AU183" s="727"/>
      <c r="AV183" s="727"/>
      <c r="AW183" s="727"/>
      <c r="AX183" s="727"/>
      <c r="AY183" s="727"/>
      <c r="AZ183" s="728"/>
      <c r="BB183" s="1041"/>
      <c r="BC183" s="1042"/>
      <c r="BD183" s="1042"/>
      <c r="BE183" s="1042"/>
      <c r="BF183" s="1043"/>
      <c r="BG183" s="1034"/>
      <c r="BH183" s="1035"/>
      <c r="BI183" s="753"/>
      <c r="BJ183" s="754"/>
      <c r="BK183" s="754"/>
      <c r="BL183" s="754"/>
      <c r="BM183" s="754"/>
      <c r="BN183" s="754"/>
      <c r="BO183" s="754"/>
      <c r="BP183" s="754"/>
      <c r="BQ183" s="754"/>
      <c r="BR183" s="754"/>
      <c r="BS183" s="754"/>
      <c r="BT183" s="754"/>
      <c r="BU183" s="754"/>
      <c r="BV183" s="754"/>
      <c r="BW183" s="754"/>
      <c r="BX183" s="754"/>
      <c r="BY183" s="754"/>
      <c r="BZ183" s="755"/>
      <c r="CB183" s="1041"/>
      <c r="CC183" s="1042"/>
      <c r="CD183" s="1042"/>
      <c r="CE183" s="1042"/>
      <c r="CF183" s="1043"/>
      <c r="CG183" s="1034"/>
      <c r="CH183" s="1035"/>
      <c r="CI183" s="753"/>
      <c r="CJ183" s="754"/>
      <c r="CK183" s="754"/>
      <c r="CL183" s="754"/>
      <c r="CM183" s="754"/>
      <c r="CN183" s="754"/>
      <c r="CO183" s="754"/>
      <c r="CP183" s="754"/>
      <c r="CQ183" s="754"/>
      <c r="CR183" s="754"/>
      <c r="CS183" s="754"/>
      <c r="CT183" s="754"/>
      <c r="CU183" s="754"/>
      <c r="CV183" s="754"/>
      <c r="CW183" s="754"/>
      <c r="CX183" s="754"/>
      <c r="CY183" s="754"/>
      <c r="CZ183" s="755"/>
    </row>
    <row r="184" spans="1:104" x14ac:dyDescent="0.25">
      <c r="B184" s="1026" t="str">
        <f>IF(B182="","",VLOOKUP(B182,BoonRef!$A$2:$Z$900,24,FALSE))</f>
        <v/>
      </c>
      <c r="C184" s="727"/>
      <c r="D184" s="727"/>
      <c r="E184" s="727"/>
      <c r="F184" s="727"/>
      <c r="G184" s="727"/>
      <c r="H184" s="727"/>
      <c r="I184" s="727"/>
      <c r="J184" s="727"/>
      <c r="K184" s="727"/>
      <c r="L184" s="727"/>
      <c r="M184" s="727"/>
      <c r="N184" s="727"/>
      <c r="O184" s="727"/>
      <c r="P184" s="727"/>
      <c r="Q184" s="727"/>
      <c r="R184" s="727"/>
      <c r="S184" s="727"/>
      <c r="T184" s="727"/>
      <c r="U184" s="727"/>
      <c r="V184" s="727"/>
      <c r="W184" s="727"/>
      <c r="X184" s="727"/>
      <c r="Y184" s="727"/>
      <c r="Z184" s="728"/>
      <c r="AB184" s="1026" t="str">
        <f>IF(AB182="","",VLOOKUP(AB182,BoonRef!$A$2:$Z$900,24,FALSE))</f>
        <v/>
      </c>
      <c r="AC184" s="727"/>
      <c r="AD184" s="727"/>
      <c r="AE184" s="727"/>
      <c r="AF184" s="727"/>
      <c r="AG184" s="727"/>
      <c r="AH184" s="727"/>
      <c r="AI184" s="727"/>
      <c r="AJ184" s="727"/>
      <c r="AK184" s="727"/>
      <c r="AL184" s="727"/>
      <c r="AM184" s="727"/>
      <c r="AN184" s="727"/>
      <c r="AO184" s="727"/>
      <c r="AP184" s="727"/>
      <c r="AQ184" s="727"/>
      <c r="AR184" s="727"/>
      <c r="AS184" s="727"/>
      <c r="AT184" s="727"/>
      <c r="AU184" s="727"/>
      <c r="AV184" s="727"/>
      <c r="AW184" s="727"/>
      <c r="AX184" s="727"/>
      <c r="AY184" s="727"/>
      <c r="AZ184" s="728"/>
      <c r="BB184" s="641" t="str">
        <f>IF(BB182="","",VLOOKUP(BB182,KanckRef!$A$1:$G$300,4,FALSE))</f>
        <v/>
      </c>
      <c r="BC184" s="642"/>
      <c r="BD184" s="642"/>
      <c r="BE184" s="642"/>
      <c r="BF184" s="642"/>
      <c r="BG184" s="642"/>
      <c r="BH184" s="1033"/>
      <c r="BI184" s="753"/>
      <c r="BJ184" s="754"/>
      <c r="BK184" s="754"/>
      <c r="BL184" s="754"/>
      <c r="BM184" s="754"/>
      <c r="BN184" s="754"/>
      <c r="BO184" s="754"/>
      <c r="BP184" s="754"/>
      <c r="BQ184" s="754"/>
      <c r="BR184" s="754"/>
      <c r="BS184" s="754"/>
      <c r="BT184" s="754"/>
      <c r="BU184" s="754"/>
      <c r="BV184" s="754"/>
      <c r="BW184" s="754"/>
      <c r="BX184" s="754"/>
      <c r="BY184" s="754"/>
      <c r="BZ184" s="755"/>
      <c r="CB184" s="641" t="str">
        <f>IF(CB182="","",VLOOKUP(CB182,KanckRef!$A$1:$G$300,4,FALSE))</f>
        <v/>
      </c>
      <c r="CC184" s="642"/>
      <c r="CD184" s="642"/>
      <c r="CE184" s="642"/>
      <c r="CF184" s="642"/>
      <c r="CG184" s="642"/>
      <c r="CH184" s="1033"/>
      <c r="CI184" s="753"/>
      <c r="CJ184" s="754"/>
      <c r="CK184" s="754"/>
      <c r="CL184" s="754"/>
      <c r="CM184" s="754"/>
      <c r="CN184" s="754"/>
      <c r="CO184" s="754"/>
      <c r="CP184" s="754"/>
      <c r="CQ184" s="754"/>
      <c r="CR184" s="754"/>
      <c r="CS184" s="754"/>
      <c r="CT184" s="754"/>
      <c r="CU184" s="754"/>
      <c r="CV184" s="754"/>
      <c r="CW184" s="754"/>
      <c r="CX184" s="754"/>
      <c r="CY184" s="754"/>
      <c r="CZ184" s="755"/>
    </row>
    <row r="185" spans="1:104" ht="15" customHeight="1" x14ac:dyDescent="0.25">
      <c r="B185" s="1026" t="str">
        <f>IF(B182="","",VLOOKUP(B182,BoonRef!$A$2:$Z$900,23,FALSE))</f>
        <v/>
      </c>
      <c r="C185" s="727"/>
      <c r="D185" s="727"/>
      <c r="E185" s="727"/>
      <c r="F185" s="727"/>
      <c r="G185" s="727"/>
      <c r="H185" s="727"/>
      <c r="I185" s="727"/>
      <c r="J185" s="727"/>
      <c r="K185" s="727"/>
      <c r="L185" s="727"/>
      <c r="M185" s="727"/>
      <c r="N185" s="727"/>
      <c r="O185" s="727"/>
      <c r="P185" s="727"/>
      <c r="Q185" s="727"/>
      <c r="R185" s="727"/>
      <c r="S185" s="727"/>
      <c r="T185" s="727"/>
      <c r="U185" s="727"/>
      <c r="V185" s="727"/>
      <c r="W185" s="727"/>
      <c r="X185" s="727"/>
      <c r="Y185" s="727"/>
      <c r="Z185" s="728"/>
      <c r="AB185" s="1026" t="str">
        <f>IF(AB182="","",VLOOKUP(AB182,BoonRef!$A$2:$Z$900,23,FALSE))</f>
        <v/>
      </c>
      <c r="AC185" s="727"/>
      <c r="AD185" s="727"/>
      <c r="AE185" s="727"/>
      <c r="AF185" s="727"/>
      <c r="AG185" s="727"/>
      <c r="AH185" s="727"/>
      <c r="AI185" s="727"/>
      <c r="AJ185" s="727"/>
      <c r="AK185" s="727"/>
      <c r="AL185" s="727"/>
      <c r="AM185" s="727"/>
      <c r="AN185" s="727"/>
      <c r="AO185" s="727"/>
      <c r="AP185" s="727"/>
      <c r="AQ185" s="727"/>
      <c r="AR185" s="727"/>
      <c r="AS185" s="727"/>
      <c r="AT185" s="727"/>
      <c r="AU185" s="727"/>
      <c r="AV185" s="727"/>
      <c r="AW185" s="727"/>
      <c r="AX185" s="727"/>
      <c r="AY185" s="727"/>
      <c r="AZ185" s="728"/>
      <c r="BB185" s="635"/>
      <c r="BC185" s="636"/>
      <c r="BD185" s="636"/>
      <c r="BE185" s="636"/>
      <c r="BF185" s="636"/>
      <c r="BG185" s="636"/>
      <c r="BH185" s="1036"/>
      <c r="BI185" s="753"/>
      <c r="BJ185" s="754"/>
      <c r="BK185" s="754"/>
      <c r="BL185" s="754"/>
      <c r="BM185" s="754"/>
      <c r="BN185" s="754"/>
      <c r="BO185" s="754"/>
      <c r="BP185" s="754"/>
      <c r="BQ185" s="754"/>
      <c r="BR185" s="754"/>
      <c r="BS185" s="754"/>
      <c r="BT185" s="754"/>
      <c r="BU185" s="754"/>
      <c r="BV185" s="754"/>
      <c r="BW185" s="754"/>
      <c r="BX185" s="754"/>
      <c r="BY185" s="754"/>
      <c r="BZ185" s="755"/>
      <c r="CB185" s="635"/>
      <c r="CC185" s="636"/>
      <c r="CD185" s="636"/>
      <c r="CE185" s="636"/>
      <c r="CF185" s="636"/>
      <c r="CG185" s="636"/>
      <c r="CH185" s="1036"/>
      <c r="CI185" s="753"/>
      <c r="CJ185" s="754"/>
      <c r="CK185" s="754"/>
      <c r="CL185" s="754"/>
      <c r="CM185" s="754"/>
      <c r="CN185" s="754"/>
      <c r="CO185" s="754"/>
      <c r="CP185" s="754"/>
      <c r="CQ185" s="754"/>
      <c r="CR185" s="754"/>
      <c r="CS185" s="754"/>
      <c r="CT185" s="754"/>
      <c r="CU185" s="754"/>
      <c r="CV185" s="754"/>
      <c r="CW185" s="754"/>
      <c r="CX185" s="754"/>
      <c r="CY185" s="754"/>
      <c r="CZ185" s="755"/>
    </row>
    <row r="186" spans="1:104" ht="15" customHeight="1" thickBot="1" x14ac:dyDescent="0.3">
      <c r="B186" s="1027"/>
      <c r="C186" s="865"/>
      <c r="D186" s="865"/>
      <c r="E186" s="865"/>
      <c r="F186" s="865"/>
      <c r="G186" s="865"/>
      <c r="H186" s="865"/>
      <c r="I186" s="865"/>
      <c r="J186" s="865"/>
      <c r="K186" s="865"/>
      <c r="L186" s="865"/>
      <c r="M186" s="865"/>
      <c r="N186" s="865"/>
      <c r="O186" s="865"/>
      <c r="P186" s="865"/>
      <c r="Q186" s="865"/>
      <c r="R186" s="865"/>
      <c r="S186" s="865"/>
      <c r="T186" s="865"/>
      <c r="U186" s="865"/>
      <c r="V186" s="865"/>
      <c r="W186" s="865"/>
      <c r="X186" s="865"/>
      <c r="Y186" s="865"/>
      <c r="Z186" s="921"/>
      <c r="AB186" s="1027"/>
      <c r="AC186" s="865"/>
      <c r="AD186" s="865"/>
      <c r="AE186" s="865"/>
      <c r="AF186" s="865"/>
      <c r="AG186" s="865"/>
      <c r="AH186" s="865"/>
      <c r="AI186" s="865"/>
      <c r="AJ186" s="865"/>
      <c r="AK186" s="865"/>
      <c r="AL186" s="865"/>
      <c r="AM186" s="865"/>
      <c r="AN186" s="865"/>
      <c r="AO186" s="865"/>
      <c r="AP186" s="865"/>
      <c r="AQ186" s="865"/>
      <c r="AR186" s="865"/>
      <c r="AS186" s="865"/>
      <c r="AT186" s="865"/>
      <c r="AU186" s="865"/>
      <c r="AV186" s="865"/>
      <c r="AW186" s="865"/>
      <c r="AX186" s="865"/>
      <c r="AY186" s="865"/>
      <c r="AZ186" s="921"/>
      <c r="BB186" s="644"/>
      <c r="BC186" s="645"/>
      <c r="BD186" s="645"/>
      <c r="BE186" s="645"/>
      <c r="BF186" s="645"/>
      <c r="BG186" s="645"/>
      <c r="BH186" s="1037"/>
      <c r="BI186" s="756"/>
      <c r="BJ186" s="757"/>
      <c r="BK186" s="757"/>
      <c r="BL186" s="757"/>
      <c r="BM186" s="757"/>
      <c r="BN186" s="757"/>
      <c r="BO186" s="757"/>
      <c r="BP186" s="757"/>
      <c r="BQ186" s="757"/>
      <c r="BR186" s="757"/>
      <c r="BS186" s="757"/>
      <c r="BT186" s="757"/>
      <c r="BU186" s="757"/>
      <c r="BV186" s="757"/>
      <c r="BW186" s="757"/>
      <c r="BX186" s="757"/>
      <c r="BY186" s="757"/>
      <c r="BZ186" s="758"/>
      <c r="CB186" s="644"/>
      <c r="CC186" s="645"/>
      <c r="CD186" s="645"/>
      <c r="CE186" s="645"/>
      <c r="CF186" s="645"/>
      <c r="CG186" s="645"/>
      <c r="CH186" s="1037"/>
      <c r="CI186" s="756"/>
      <c r="CJ186" s="757"/>
      <c r="CK186" s="757"/>
      <c r="CL186" s="757"/>
      <c r="CM186" s="757"/>
      <c r="CN186" s="757"/>
      <c r="CO186" s="757"/>
      <c r="CP186" s="757"/>
      <c r="CQ186" s="757"/>
      <c r="CR186" s="757"/>
      <c r="CS186" s="757"/>
      <c r="CT186" s="757"/>
      <c r="CU186" s="757"/>
      <c r="CV186" s="757"/>
      <c r="CW186" s="757"/>
      <c r="CX186" s="757"/>
      <c r="CY186" s="757"/>
      <c r="CZ186" s="758"/>
    </row>
    <row r="187" spans="1:104" x14ac:dyDescent="0.25">
      <c r="B187" s="1028" t="str">
        <f>IF(B188="","",VLOOKUP(B188,BoonRef!$A$2:$Z$900,2,FALSE))</f>
        <v/>
      </c>
      <c r="C187" s="725"/>
      <c r="D187" s="725"/>
      <c r="E187" s="725"/>
      <c r="F187" s="725"/>
      <c r="G187" s="725"/>
      <c r="H187" s="725"/>
      <c r="I187" s="725" t="str">
        <f>IF(B188="","",VLOOKUP(B188,BoonRef!$A$2:$Z$900,3,FALSE))</f>
        <v/>
      </c>
      <c r="J187" s="725"/>
      <c r="K187" s="725" t="str">
        <f>IF(B188="","",VLOOKUP(B188,DescRef!$A$2:$B$900,2,FALSE))</f>
        <v/>
      </c>
      <c r="L187" s="725"/>
      <c r="M187" s="725"/>
      <c r="N187" s="725"/>
      <c r="O187" s="725"/>
      <c r="P187" s="725"/>
      <c r="Q187" s="725"/>
      <c r="R187" s="725"/>
      <c r="S187" s="725"/>
      <c r="T187" s="725"/>
      <c r="U187" s="725"/>
      <c r="V187" s="725"/>
      <c r="W187" s="725"/>
      <c r="X187" s="725"/>
      <c r="Y187" s="725"/>
      <c r="Z187" s="726"/>
      <c r="AB187" s="1028" t="str">
        <f>IF(AB188="","",VLOOKUP(AB188,BoonRef!$A$2:$Z$900,2,FALSE))</f>
        <v/>
      </c>
      <c r="AC187" s="725"/>
      <c r="AD187" s="725"/>
      <c r="AE187" s="725"/>
      <c r="AF187" s="725"/>
      <c r="AG187" s="725"/>
      <c r="AH187" s="725"/>
      <c r="AI187" s="725" t="str">
        <f>IF(AB188="","",VLOOKUP(AB188,BoonRef!$A$2:$Z$900,3,FALSE))</f>
        <v/>
      </c>
      <c r="AJ187" s="725"/>
      <c r="AK187" s="725" t="str">
        <f>IF(AB188="","",VLOOKUP(AB188,DescRef!$A$2:$B$900,2,FALSE))</f>
        <v/>
      </c>
      <c r="AL187" s="725"/>
      <c r="AM187" s="725"/>
      <c r="AN187" s="725"/>
      <c r="AO187" s="725"/>
      <c r="AP187" s="725"/>
      <c r="AQ187" s="725"/>
      <c r="AR187" s="725"/>
      <c r="AS187" s="725"/>
      <c r="AT187" s="725"/>
      <c r="AU187" s="725"/>
      <c r="AV187" s="725"/>
      <c r="AW187" s="725"/>
      <c r="AX187" s="725"/>
      <c r="AY187" s="725"/>
      <c r="AZ187" s="726"/>
      <c r="BB187" s="1029" t="str">
        <f>IF(BB188="","",VLOOKUP(BB188,KanckRef!$A$1:$G$300,2,FALSE))</f>
        <v/>
      </c>
      <c r="BC187" s="1030"/>
      <c r="BD187" s="1030"/>
      <c r="BE187" s="1030"/>
      <c r="BF187" s="1031"/>
      <c r="BG187" s="1048" t="str">
        <f>IF(BB188="","",VLOOKUP(BB188,KanckRef!$A$1:$G$300,6,FALSE))</f>
        <v/>
      </c>
      <c r="BH187" s="1049"/>
      <c r="BI187" s="988" t="str">
        <f>IF(BB188="","",VLOOKUP(BB188,DescRef!$D$2:$E$300,2,FALSE))</f>
        <v/>
      </c>
      <c r="BJ187" s="795"/>
      <c r="BK187" s="795"/>
      <c r="BL187" s="795"/>
      <c r="BM187" s="795"/>
      <c r="BN187" s="795"/>
      <c r="BO187" s="795"/>
      <c r="BP187" s="795"/>
      <c r="BQ187" s="795"/>
      <c r="BR187" s="795"/>
      <c r="BS187" s="795"/>
      <c r="BT187" s="795"/>
      <c r="BU187" s="795"/>
      <c r="BV187" s="795"/>
      <c r="BW187" s="795"/>
      <c r="BX187" s="795"/>
      <c r="BY187" s="795"/>
      <c r="BZ187" s="796"/>
      <c r="CB187" s="1029" t="str">
        <f>IF(CB188="","",VLOOKUP(CB188,KanckRef!$A$1:$G$300,2,FALSE))</f>
        <v/>
      </c>
      <c r="CC187" s="1030"/>
      <c r="CD187" s="1030"/>
      <c r="CE187" s="1030"/>
      <c r="CF187" s="1031"/>
      <c r="CG187" s="1048" t="str">
        <f>IF(CB188="","",VLOOKUP(CB188,KanckRef!$A$1:$G$300,6,FALSE))</f>
        <v/>
      </c>
      <c r="CH187" s="1049"/>
      <c r="CI187" s="988" t="str">
        <f>IF(CB188="","",VLOOKUP(CB188,DescRef!$D$2:$E$300,2,FALSE))</f>
        <v/>
      </c>
      <c r="CJ187" s="795"/>
      <c r="CK187" s="795"/>
      <c r="CL187" s="795"/>
      <c r="CM187" s="795"/>
      <c r="CN187" s="795"/>
      <c r="CO187" s="795"/>
      <c r="CP187" s="795"/>
      <c r="CQ187" s="795"/>
      <c r="CR187" s="795"/>
      <c r="CS187" s="795"/>
      <c r="CT187" s="795"/>
      <c r="CU187" s="795"/>
      <c r="CV187" s="795"/>
      <c r="CW187" s="795"/>
      <c r="CX187" s="795"/>
      <c r="CY187" s="795"/>
      <c r="CZ187" s="796"/>
    </row>
    <row r="188" spans="1:104" ht="15" customHeight="1" x14ac:dyDescent="0.25">
      <c r="A188" s="15">
        <v>31</v>
      </c>
      <c r="B188" s="1026" t="str">
        <f>IF(A188&lt;'Purchased Boons'!$B$496,VLOOKUP(A188,'Purchased Boons'!$BF$2:$BG$900,2,FALSE),"")</f>
        <v/>
      </c>
      <c r="C188" s="727"/>
      <c r="D188" s="727"/>
      <c r="E188" s="727"/>
      <c r="F188" s="727"/>
      <c r="G188" s="727"/>
      <c r="H188" s="727"/>
      <c r="I188" s="727" t="str">
        <f>IF(B188="","",VLOOKUP(B188,BoonRef!$A$2:$Z$900,25,FALSE))</f>
        <v/>
      </c>
      <c r="J188" s="727"/>
      <c r="K188" s="727"/>
      <c r="L188" s="727"/>
      <c r="M188" s="727"/>
      <c r="N188" s="727"/>
      <c r="O188" s="727"/>
      <c r="P188" s="727"/>
      <c r="Q188" s="727"/>
      <c r="R188" s="727"/>
      <c r="S188" s="727"/>
      <c r="T188" s="727"/>
      <c r="U188" s="727"/>
      <c r="V188" s="727"/>
      <c r="W188" s="727"/>
      <c r="X188" s="727"/>
      <c r="Y188" s="727"/>
      <c r="Z188" s="728"/>
      <c r="AA188" s="15">
        <v>138</v>
      </c>
      <c r="AB188" s="1026" t="str">
        <f>IF(AA188&lt;'Purchased Boons'!$B$496,VLOOKUP(AA188,'Purchased Boons'!$BF$2:$BG$900,2,FALSE),"")</f>
        <v/>
      </c>
      <c r="AC188" s="727"/>
      <c r="AD188" s="727"/>
      <c r="AE188" s="727"/>
      <c r="AF188" s="727"/>
      <c r="AG188" s="727"/>
      <c r="AH188" s="727"/>
      <c r="AI188" s="727" t="str">
        <f>IF(AB188="","",VLOOKUP(AB188,BoonRef!$A$2:$Z$900,25,FALSE))</f>
        <v/>
      </c>
      <c r="AJ188" s="727"/>
      <c r="AK188" s="727"/>
      <c r="AL188" s="727"/>
      <c r="AM188" s="727"/>
      <c r="AN188" s="727"/>
      <c r="AO188" s="727"/>
      <c r="AP188" s="727"/>
      <c r="AQ188" s="727"/>
      <c r="AR188" s="727"/>
      <c r="AS188" s="727"/>
      <c r="AT188" s="727"/>
      <c r="AU188" s="727"/>
      <c r="AV188" s="727"/>
      <c r="AW188" s="727"/>
      <c r="AX188" s="727"/>
      <c r="AY188" s="727"/>
      <c r="AZ188" s="728"/>
      <c r="BA188" s="15">
        <v>31</v>
      </c>
      <c r="BB188" s="1038" t="str">
        <f>IF(BA188&lt;'Purchased Knacks'!A$192,VLOOKUP(BA188,'Purchased Knacks'!$A$4:$E$300,3,FALSE),"")</f>
        <v/>
      </c>
      <c r="BC188" s="1039"/>
      <c r="BD188" s="1039"/>
      <c r="BE188" s="1039"/>
      <c r="BF188" s="1040"/>
      <c r="BG188" s="1032" t="str">
        <f>IF(BB188="","",VLOOKUP(BB188,KanckRef!$A$1:$G$300,7,FALSE))</f>
        <v/>
      </c>
      <c r="BH188" s="1033"/>
      <c r="BI188" s="753"/>
      <c r="BJ188" s="754"/>
      <c r="BK188" s="754"/>
      <c r="BL188" s="754"/>
      <c r="BM188" s="754"/>
      <c r="BN188" s="754"/>
      <c r="BO188" s="754"/>
      <c r="BP188" s="754"/>
      <c r="BQ188" s="754"/>
      <c r="BR188" s="754"/>
      <c r="BS188" s="754"/>
      <c r="BT188" s="754"/>
      <c r="BU188" s="754"/>
      <c r="BV188" s="754"/>
      <c r="BW188" s="754"/>
      <c r="BX188" s="754"/>
      <c r="BY188" s="754"/>
      <c r="BZ188" s="755"/>
      <c r="CA188" s="15">
        <v>138</v>
      </c>
      <c r="CB188" s="1038" t="str">
        <f>IF(CA188&lt;'Purchased Knacks'!A$192,VLOOKUP(CA188,'Purchased Knacks'!$A$4:$E$300,3,FALSE),"")</f>
        <v/>
      </c>
      <c r="CC188" s="1039"/>
      <c r="CD188" s="1039"/>
      <c r="CE188" s="1039"/>
      <c r="CF188" s="1040"/>
      <c r="CG188" s="1032" t="str">
        <f>IF(CB188="","",VLOOKUP(CB188,KanckRef!$A$1:$G$300,7,FALSE))</f>
        <v/>
      </c>
      <c r="CH188" s="1033"/>
      <c r="CI188" s="753"/>
      <c r="CJ188" s="754"/>
      <c r="CK188" s="754"/>
      <c r="CL188" s="754"/>
      <c r="CM188" s="754"/>
      <c r="CN188" s="754"/>
      <c r="CO188" s="754"/>
      <c r="CP188" s="754"/>
      <c r="CQ188" s="754"/>
      <c r="CR188" s="754"/>
      <c r="CS188" s="754"/>
      <c r="CT188" s="754"/>
      <c r="CU188" s="754"/>
      <c r="CV188" s="754"/>
      <c r="CW188" s="754"/>
      <c r="CX188" s="754"/>
      <c r="CY188" s="754"/>
      <c r="CZ188" s="755"/>
    </row>
    <row r="189" spans="1:104" x14ac:dyDescent="0.25">
      <c r="B189" s="1026"/>
      <c r="C189" s="727"/>
      <c r="D189" s="727"/>
      <c r="E189" s="727"/>
      <c r="F189" s="727"/>
      <c r="G189" s="727"/>
      <c r="H189" s="727"/>
      <c r="I189" s="727" t="str">
        <f>IF(B188="","",VLOOKUP(B188,BoonRef!$A$2:$Z$900,26,FALSE))</f>
        <v/>
      </c>
      <c r="J189" s="727"/>
      <c r="K189" s="727"/>
      <c r="L189" s="727"/>
      <c r="M189" s="727"/>
      <c r="N189" s="727"/>
      <c r="O189" s="727"/>
      <c r="P189" s="727"/>
      <c r="Q189" s="727"/>
      <c r="R189" s="727"/>
      <c r="S189" s="727"/>
      <c r="T189" s="727"/>
      <c r="U189" s="727"/>
      <c r="V189" s="727"/>
      <c r="W189" s="727"/>
      <c r="X189" s="727"/>
      <c r="Y189" s="727"/>
      <c r="Z189" s="728"/>
      <c r="AB189" s="1026"/>
      <c r="AC189" s="727"/>
      <c r="AD189" s="727"/>
      <c r="AE189" s="727"/>
      <c r="AF189" s="727"/>
      <c r="AG189" s="727"/>
      <c r="AH189" s="727"/>
      <c r="AI189" s="727" t="str">
        <f>IF(AB188="","",VLOOKUP(AB188,BoonRef!$A$2:$Z$900,26,FALSE))</f>
        <v/>
      </c>
      <c r="AJ189" s="727"/>
      <c r="AK189" s="727"/>
      <c r="AL189" s="727"/>
      <c r="AM189" s="727"/>
      <c r="AN189" s="727"/>
      <c r="AO189" s="727"/>
      <c r="AP189" s="727"/>
      <c r="AQ189" s="727"/>
      <c r="AR189" s="727"/>
      <c r="AS189" s="727"/>
      <c r="AT189" s="727"/>
      <c r="AU189" s="727"/>
      <c r="AV189" s="727"/>
      <c r="AW189" s="727"/>
      <c r="AX189" s="727"/>
      <c r="AY189" s="727"/>
      <c r="AZ189" s="728"/>
      <c r="BB189" s="1041"/>
      <c r="BC189" s="1042"/>
      <c r="BD189" s="1042"/>
      <c r="BE189" s="1042"/>
      <c r="BF189" s="1043"/>
      <c r="BG189" s="1034"/>
      <c r="BH189" s="1035"/>
      <c r="BI189" s="753"/>
      <c r="BJ189" s="754"/>
      <c r="BK189" s="754"/>
      <c r="BL189" s="754"/>
      <c r="BM189" s="754"/>
      <c r="BN189" s="754"/>
      <c r="BO189" s="754"/>
      <c r="BP189" s="754"/>
      <c r="BQ189" s="754"/>
      <c r="BR189" s="754"/>
      <c r="BS189" s="754"/>
      <c r="BT189" s="754"/>
      <c r="BU189" s="754"/>
      <c r="BV189" s="754"/>
      <c r="BW189" s="754"/>
      <c r="BX189" s="754"/>
      <c r="BY189" s="754"/>
      <c r="BZ189" s="755"/>
      <c r="CB189" s="1041"/>
      <c r="CC189" s="1042"/>
      <c r="CD189" s="1042"/>
      <c r="CE189" s="1042"/>
      <c r="CF189" s="1043"/>
      <c r="CG189" s="1034"/>
      <c r="CH189" s="1035"/>
      <c r="CI189" s="753"/>
      <c r="CJ189" s="754"/>
      <c r="CK189" s="754"/>
      <c r="CL189" s="754"/>
      <c r="CM189" s="754"/>
      <c r="CN189" s="754"/>
      <c r="CO189" s="754"/>
      <c r="CP189" s="754"/>
      <c r="CQ189" s="754"/>
      <c r="CR189" s="754"/>
      <c r="CS189" s="754"/>
      <c r="CT189" s="754"/>
      <c r="CU189" s="754"/>
      <c r="CV189" s="754"/>
      <c r="CW189" s="754"/>
      <c r="CX189" s="754"/>
      <c r="CY189" s="754"/>
      <c r="CZ189" s="755"/>
    </row>
    <row r="190" spans="1:104" ht="15" customHeight="1" x14ac:dyDescent="0.25">
      <c r="B190" s="1026" t="str">
        <f>IF(B188="","",VLOOKUP(B188,BoonRef!$A$2:$Z$900,24,FALSE))</f>
        <v/>
      </c>
      <c r="C190" s="727"/>
      <c r="D190" s="727"/>
      <c r="E190" s="727"/>
      <c r="F190" s="727"/>
      <c r="G190" s="727"/>
      <c r="H190" s="727"/>
      <c r="I190" s="727"/>
      <c r="J190" s="727"/>
      <c r="K190" s="727"/>
      <c r="L190" s="727"/>
      <c r="M190" s="727"/>
      <c r="N190" s="727"/>
      <c r="O190" s="727"/>
      <c r="P190" s="727"/>
      <c r="Q190" s="727"/>
      <c r="R190" s="727"/>
      <c r="S190" s="727"/>
      <c r="T190" s="727"/>
      <c r="U190" s="727"/>
      <c r="V190" s="727"/>
      <c r="W190" s="727"/>
      <c r="X190" s="727"/>
      <c r="Y190" s="727"/>
      <c r="Z190" s="728"/>
      <c r="AB190" s="1026" t="str">
        <f>IF(AB188="","",VLOOKUP(AB188,BoonRef!$A$2:$Z$900,24,FALSE))</f>
        <v/>
      </c>
      <c r="AC190" s="727"/>
      <c r="AD190" s="727"/>
      <c r="AE190" s="727"/>
      <c r="AF190" s="727"/>
      <c r="AG190" s="727"/>
      <c r="AH190" s="727"/>
      <c r="AI190" s="727"/>
      <c r="AJ190" s="727"/>
      <c r="AK190" s="727"/>
      <c r="AL190" s="727"/>
      <c r="AM190" s="727"/>
      <c r="AN190" s="727"/>
      <c r="AO190" s="727"/>
      <c r="AP190" s="727"/>
      <c r="AQ190" s="727"/>
      <c r="AR190" s="727"/>
      <c r="AS190" s="727"/>
      <c r="AT190" s="727"/>
      <c r="AU190" s="727"/>
      <c r="AV190" s="727"/>
      <c r="AW190" s="727"/>
      <c r="AX190" s="727"/>
      <c r="AY190" s="727"/>
      <c r="AZ190" s="728"/>
      <c r="BB190" s="641" t="str">
        <f>IF(BB188="","",VLOOKUP(BB188,KanckRef!$A$1:$G$300,4,FALSE))</f>
        <v/>
      </c>
      <c r="BC190" s="642"/>
      <c r="BD190" s="642"/>
      <c r="BE190" s="642"/>
      <c r="BF190" s="642"/>
      <c r="BG190" s="642"/>
      <c r="BH190" s="1033"/>
      <c r="BI190" s="753"/>
      <c r="BJ190" s="754"/>
      <c r="BK190" s="754"/>
      <c r="BL190" s="754"/>
      <c r="BM190" s="754"/>
      <c r="BN190" s="754"/>
      <c r="BO190" s="754"/>
      <c r="BP190" s="754"/>
      <c r="BQ190" s="754"/>
      <c r="BR190" s="754"/>
      <c r="BS190" s="754"/>
      <c r="BT190" s="754"/>
      <c r="BU190" s="754"/>
      <c r="BV190" s="754"/>
      <c r="BW190" s="754"/>
      <c r="BX190" s="754"/>
      <c r="BY190" s="754"/>
      <c r="BZ190" s="755"/>
      <c r="CB190" s="641" t="str">
        <f>IF(CB188="","",VLOOKUP(CB188,KanckRef!$A$1:$G$300,4,FALSE))</f>
        <v/>
      </c>
      <c r="CC190" s="642"/>
      <c r="CD190" s="642"/>
      <c r="CE190" s="642"/>
      <c r="CF190" s="642"/>
      <c r="CG190" s="642"/>
      <c r="CH190" s="1033"/>
      <c r="CI190" s="753"/>
      <c r="CJ190" s="754"/>
      <c r="CK190" s="754"/>
      <c r="CL190" s="754"/>
      <c r="CM190" s="754"/>
      <c r="CN190" s="754"/>
      <c r="CO190" s="754"/>
      <c r="CP190" s="754"/>
      <c r="CQ190" s="754"/>
      <c r="CR190" s="754"/>
      <c r="CS190" s="754"/>
      <c r="CT190" s="754"/>
      <c r="CU190" s="754"/>
      <c r="CV190" s="754"/>
      <c r="CW190" s="754"/>
      <c r="CX190" s="754"/>
      <c r="CY190" s="754"/>
      <c r="CZ190" s="755"/>
    </row>
    <row r="191" spans="1:104" ht="15" customHeight="1" x14ac:dyDescent="0.25">
      <c r="B191" s="1026" t="str">
        <f>IF(B188="","",VLOOKUP(B188,BoonRef!$A$2:$Z$900,23,FALSE))</f>
        <v/>
      </c>
      <c r="C191" s="727"/>
      <c r="D191" s="727"/>
      <c r="E191" s="727"/>
      <c r="F191" s="727"/>
      <c r="G191" s="727"/>
      <c r="H191" s="727"/>
      <c r="I191" s="727"/>
      <c r="J191" s="727"/>
      <c r="K191" s="727"/>
      <c r="L191" s="727"/>
      <c r="M191" s="727"/>
      <c r="N191" s="727"/>
      <c r="O191" s="727"/>
      <c r="P191" s="727"/>
      <c r="Q191" s="727"/>
      <c r="R191" s="727"/>
      <c r="S191" s="727"/>
      <c r="T191" s="727"/>
      <c r="U191" s="727"/>
      <c r="V191" s="727"/>
      <c r="W191" s="727"/>
      <c r="X191" s="727"/>
      <c r="Y191" s="727"/>
      <c r="Z191" s="728"/>
      <c r="AB191" s="1026" t="str">
        <f>IF(AB188="","",VLOOKUP(AB188,BoonRef!$A$2:$Z$900,23,FALSE))</f>
        <v/>
      </c>
      <c r="AC191" s="727"/>
      <c r="AD191" s="727"/>
      <c r="AE191" s="727"/>
      <c r="AF191" s="727"/>
      <c r="AG191" s="727"/>
      <c r="AH191" s="727"/>
      <c r="AI191" s="727"/>
      <c r="AJ191" s="727"/>
      <c r="AK191" s="727"/>
      <c r="AL191" s="727"/>
      <c r="AM191" s="727"/>
      <c r="AN191" s="727"/>
      <c r="AO191" s="727"/>
      <c r="AP191" s="727"/>
      <c r="AQ191" s="727"/>
      <c r="AR191" s="727"/>
      <c r="AS191" s="727"/>
      <c r="AT191" s="727"/>
      <c r="AU191" s="727"/>
      <c r="AV191" s="727"/>
      <c r="AW191" s="727"/>
      <c r="AX191" s="727"/>
      <c r="AY191" s="727"/>
      <c r="AZ191" s="728"/>
      <c r="BB191" s="635"/>
      <c r="BC191" s="636"/>
      <c r="BD191" s="636"/>
      <c r="BE191" s="636"/>
      <c r="BF191" s="636"/>
      <c r="BG191" s="636"/>
      <c r="BH191" s="1036"/>
      <c r="BI191" s="753"/>
      <c r="BJ191" s="754"/>
      <c r="BK191" s="754"/>
      <c r="BL191" s="754"/>
      <c r="BM191" s="754"/>
      <c r="BN191" s="754"/>
      <c r="BO191" s="754"/>
      <c r="BP191" s="754"/>
      <c r="BQ191" s="754"/>
      <c r="BR191" s="754"/>
      <c r="BS191" s="754"/>
      <c r="BT191" s="754"/>
      <c r="BU191" s="754"/>
      <c r="BV191" s="754"/>
      <c r="BW191" s="754"/>
      <c r="BX191" s="754"/>
      <c r="BY191" s="754"/>
      <c r="BZ191" s="755"/>
      <c r="CB191" s="635"/>
      <c r="CC191" s="636"/>
      <c r="CD191" s="636"/>
      <c r="CE191" s="636"/>
      <c r="CF191" s="636"/>
      <c r="CG191" s="636"/>
      <c r="CH191" s="1036"/>
      <c r="CI191" s="753"/>
      <c r="CJ191" s="754"/>
      <c r="CK191" s="754"/>
      <c r="CL191" s="754"/>
      <c r="CM191" s="754"/>
      <c r="CN191" s="754"/>
      <c r="CO191" s="754"/>
      <c r="CP191" s="754"/>
      <c r="CQ191" s="754"/>
      <c r="CR191" s="754"/>
      <c r="CS191" s="754"/>
      <c r="CT191" s="754"/>
      <c r="CU191" s="754"/>
      <c r="CV191" s="754"/>
      <c r="CW191" s="754"/>
      <c r="CX191" s="754"/>
      <c r="CY191" s="754"/>
      <c r="CZ191" s="755"/>
    </row>
    <row r="192" spans="1:104" ht="15.75" thickBot="1" x14ac:dyDescent="0.3">
      <c r="B192" s="1027"/>
      <c r="C192" s="865"/>
      <c r="D192" s="865"/>
      <c r="E192" s="865"/>
      <c r="F192" s="865"/>
      <c r="G192" s="865"/>
      <c r="H192" s="865"/>
      <c r="I192" s="865"/>
      <c r="J192" s="865"/>
      <c r="K192" s="865"/>
      <c r="L192" s="865"/>
      <c r="M192" s="865"/>
      <c r="N192" s="865"/>
      <c r="O192" s="865"/>
      <c r="P192" s="865"/>
      <c r="Q192" s="865"/>
      <c r="R192" s="865"/>
      <c r="S192" s="865"/>
      <c r="T192" s="865"/>
      <c r="U192" s="865"/>
      <c r="V192" s="865"/>
      <c r="W192" s="865"/>
      <c r="X192" s="865"/>
      <c r="Y192" s="865"/>
      <c r="Z192" s="921"/>
      <c r="AB192" s="1027"/>
      <c r="AC192" s="865"/>
      <c r="AD192" s="865"/>
      <c r="AE192" s="865"/>
      <c r="AF192" s="865"/>
      <c r="AG192" s="865"/>
      <c r="AH192" s="865"/>
      <c r="AI192" s="865"/>
      <c r="AJ192" s="865"/>
      <c r="AK192" s="865"/>
      <c r="AL192" s="865"/>
      <c r="AM192" s="865"/>
      <c r="AN192" s="865"/>
      <c r="AO192" s="865"/>
      <c r="AP192" s="865"/>
      <c r="AQ192" s="865"/>
      <c r="AR192" s="865"/>
      <c r="AS192" s="865"/>
      <c r="AT192" s="865"/>
      <c r="AU192" s="865"/>
      <c r="AV192" s="865"/>
      <c r="AW192" s="865"/>
      <c r="AX192" s="865"/>
      <c r="AY192" s="865"/>
      <c r="AZ192" s="921"/>
      <c r="BB192" s="644"/>
      <c r="BC192" s="645"/>
      <c r="BD192" s="645"/>
      <c r="BE192" s="645"/>
      <c r="BF192" s="645"/>
      <c r="BG192" s="645"/>
      <c r="BH192" s="1037"/>
      <c r="BI192" s="756"/>
      <c r="BJ192" s="757"/>
      <c r="BK192" s="757"/>
      <c r="BL192" s="757"/>
      <c r="BM192" s="757"/>
      <c r="BN192" s="757"/>
      <c r="BO192" s="757"/>
      <c r="BP192" s="757"/>
      <c r="BQ192" s="757"/>
      <c r="BR192" s="757"/>
      <c r="BS192" s="757"/>
      <c r="BT192" s="757"/>
      <c r="BU192" s="757"/>
      <c r="BV192" s="757"/>
      <c r="BW192" s="757"/>
      <c r="BX192" s="757"/>
      <c r="BY192" s="757"/>
      <c r="BZ192" s="758"/>
      <c r="CB192" s="644"/>
      <c r="CC192" s="645"/>
      <c r="CD192" s="645"/>
      <c r="CE192" s="645"/>
      <c r="CF192" s="645"/>
      <c r="CG192" s="645"/>
      <c r="CH192" s="1037"/>
      <c r="CI192" s="756"/>
      <c r="CJ192" s="757"/>
      <c r="CK192" s="757"/>
      <c r="CL192" s="757"/>
      <c r="CM192" s="757"/>
      <c r="CN192" s="757"/>
      <c r="CO192" s="757"/>
      <c r="CP192" s="757"/>
      <c r="CQ192" s="757"/>
      <c r="CR192" s="757"/>
      <c r="CS192" s="757"/>
      <c r="CT192" s="757"/>
      <c r="CU192" s="757"/>
      <c r="CV192" s="757"/>
      <c r="CW192" s="757"/>
      <c r="CX192" s="757"/>
      <c r="CY192" s="757"/>
      <c r="CZ192" s="758"/>
    </row>
    <row r="193" spans="1:104" x14ac:dyDescent="0.25">
      <c r="B193" s="1028" t="str">
        <f>IF(B194="","",VLOOKUP(B194,BoonRef!$A$2:$Z$900,2,FALSE))</f>
        <v/>
      </c>
      <c r="C193" s="725"/>
      <c r="D193" s="725"/>
      <c r="E193" s="725"/>
      <c r="F193" s="725"/>
      <c r="G193" s="725"/>
      <c r="H193" s="725"/>
      <c r="I193" s="725" t="str">
        <f>IF(B194="","",VLOOKUP(B194,BoonRef!$A$2:$Z$900,3,FALSE))</f>
        <v/>
      </c>
      <c r="J193" s="725"/>
      <c r="K193" s="725" t="str">
        <f>IF(B194="","",VLOOKUP(B194,DescRef!$A$2:$B$900,2,FALSE))</f>
        <v/>
      </c>
      <c r="L193" s="725"/>
      <c r="M193" s="725"/>
      <c r="N193" s="725"/>
      <c r="O193" s="725"/>
      <c r="P193" s="725"/>
      <c r="Q193" s="725"/>
      <c r="R193" s="725"/>
      <c r="S193" s="725"/>
      <c r="T193" s="725"/>
      <c r="U193" s="725"/>
      <c r="V193" s="725"/>
      <c r="W193" s="725"/>
      <c r="X193" s="725"/>
      <c r="Y193" s="725"/>
      <c r="Z193" s="726"/>
      <c r="AB193" s="1028" t="str">
        <f>IF(AB194="","",VLOOKUP(AB194,BoonRef!$A$2:$Z$900,2,FALSE))</f>
        <v/>
      </c>
      <c r="AC193" s="725"/>
      <c r="AD193" s="725"/>
      <c r="AE193" s="725"/>
      <c r="AF193" s="725"/>
      <c r="AG193" s="725"/>
      <c r="AH193" s="725"/>
      <c r="AI193" s="725" t="str">
        <f>IF(AB194="","",VLOOKUP(AB194,BoonRef!$A$2:$Z$900,3,FALSE))</f>
        <v/>
      </c>
      <c r="AJ193" s="725"/>
      <c r="AK193" s="725" t="str">
        <f>IF(AB194="","",VLOOKUP(AB194,DescRef!$A$2:$B$900,2,FALSE))</f>
        <v/>
      </c>
      <c r="AL193" s="725"/>
      <c r="AM193" s="725"/>
      <c r="AN193" s="725"/>
      <c r="AO193" s="725"/>
      <c r="AP193" s="725"/>
      <c r="AQ193" s="725"/>
      <c r="AR193" s="725"/>
      <c r="AS193" s="725"/>
      <c r="AT193" s="725"/>
      <c r="AU193" s="725"/>
      <c r="AV193" s="725"/>
      <c r="AW193" s="725"/>
      <c r="AX193" s="725"/>
      <c r="AY193" s="725"/>
      <c r="AZ193" s="726"/>
      <c r="BB193" s="1029" t="str">
        <f>IF(BB194="","",VLOOKUP(BB194,KanckRef!$A$1:$G$300,2,FALSE))</f>
        <v/>
      </c>
      <c r="BC193" s="1030"/>
      <c r="BD193" s="1030"/>
      <c r="BE193" s="1030"/>
      <c r="BF193" s="1031"/>
      <c r="BG193" s="1048" t="str">
        <f>IF(BB194="","",VLOOKUP(BB194,KanckRef!$A$1:$G$300,6,FALSE))</f>
        <v/>
      </c>
      <c r="BH193" s="1049"/>
      <c r="BI193" s="988" t="str">
        <f>IF(BB194="","",VLOOKUP(BB194,DescRef!$D$2:$E$300,2,FALSE))</f>
        <v/>
      </c>
      <c r="BJ193" s="795"/>
      <c r="BK193" s="795"/>
      <c r="BL193" s="795"/>
      <c r="BM193" s="795"/>
      <c r="BN193" s="795"/>
      <c r="BO193" s="795"/>
      <c r="BP193" s="795"/>
      <c r="BQ193" s="795"/>
      <c r="BR193" s="795"/>
      <c r="BS193" s="795"/>
      <c r="BT193" s="795"/>
      <c r="BU193" s="795"/>
      <c r="BV193" s="795"/>
      <c r="BW193" s="795"/>
      <c r="BX193" s="795"/>
      <c r="BY193" s="795"/>
      <c r="BZ193" s="796"/>
      <c r="CB193" s="1029" t="str">
        <f>IF(CB194="","",VLOOKUP(CB194,KanckRef!$A$1:$G$300,2,FALSE))</f>
        <v/>
      </c>
      <c r="CC193" s="1030"/>
      <c r="CD193" s="1030"/>
      <c r="CE193" s="1030"/>
      <c r="CF193" s="1031"/>
      <c r="CG193" s="1048" t="str">
        <f>IF(CB194="","",VLOOKUP(CB194,KanckRef!$A$1:$G$300,6,FALSE))</f>
        <v/>
      </c>
      <c r="CH193" s="1049"/>
      <c r="CI193" s="988" t="str">
        <f>IF(CB194="","",VLOOKUP(CB194,DescRef!$D$2:$E$300,2,FALSE))</f>
        <v/>
      </c>
      <c r="CJ193" s="795"/>
      <c r="CK193" s="795"/>
      <c r="CL193" s="795"/>
      <c r="CM193" s="795"/>
      <c r="CN193" s="795"/>
      <c r="CO193" s="795"/>
      <c r="CP193" s="795"/>
      <c r="CQ193" s="795"/>
      <c r="CR193" s="795"/>
      <c r="CS193" s="795"/>
      <c r="CT193" s="795"/>
      <c r="CU193" s="795"/>
      <c r="CV193" s="795"/>
      <c r="CW193" s="795"/>
      <c r="CX193" s="795"/>
      <c r="CY193" s="795"/>
      <c r="CZ193" s="796"/>
    </row>
    <row r="194" spans="1:104" ht="15" customHeight="1" x14ac:dyDescent="0.25">
      <c r="A194" s="15">
        <v>32</v>
      </c>
      <c r="B194" s="1026" t="str">
        <f>IF(A194&lt;'Purchased Boons'!$B$496,VLOOKUP(A194,'Purchased Boons'!$BF$2:$BG$900,2,FALSE),"")</f>
        <v/>
      </c>
      <c r="C194" s="727"/>
      <c r="D194" s="727"/>
      <c r="E194" s="727"/>
      <c r="F194" s="727"/>
      <c r="G194" s="727"/>
      <c r="H194" s="727"/>
      <c r="I194" s="727" t="str">
        <f>IF(B194="","",VLOOKUP(B194,BoonRef!$A$2:$Z$900,25,FALSE))</f>
        <v/>
      </c>
      <c r="J194" s="727"/>
      <c r="K194" s="727"/>
      <c r="L194" s="727"/>
      <c r="M194" s="727"/>
      <c r="N194" s="727"/>
      <c r="O194" s="727"/>
      <c r="P194" s="727"/>
      <c r="Q194" s="727"/>
      <c r="R194" s="727"/>
      <c r="S194" s="727"/>
      <c r="T194" s="727"/>
      <c r="U194" s="727"/>
      <c r="V194" s="727"/>
      <c r="W194" s="727"/>
      <c r="X194" s="727"/>
      <c r="Y194" s="727"/>
      <c r="Z194" s="728"/>
      <c r="AA194" s="15">
        <v>139</v>
      </c>
      <c r="AB194" s="1026" t="str">
        <f>IF(AA194&lt;'Purchased Boons'!$B$496,VLOOKUP(AA194,'Purchased Boons'!$BF$2:$BG$900,2,FALSE),"")</f>
        <v/>
      </c>
      <c r="AC194" s="727"/>
      <c r="AD194" s="727"/>
      <c r="AE194" s="727"/>
      <c r="AF194" s="727"/>
      <c r="AG194" s="727"/>
      <c r="AH194" s="727"/>
      <c r="AI194" s="727" t="str">
        <f>IF(AB194="","",VLOOKUP(AB194,BoonRef!$A$2:$Z$900,25,FALSE))</f>
        <v/>
      </c>
      <c r="AJ194" s="727"/>
      <c r="AK194" s="727"/>
      <c r="AL194" s="727"/>
      <c r="AM194" s="727"/>
      <c r="AN194" s="727"/>
      <c r="AO194" s="727"/>
      <c r="AP194" s="727"/>
      <c r="AQ194" s="727"/>
      <c r="AR194" s="727"/>
      <c r="AS194" s="727"/>
      <c r="AT194" s="727"/>
      <c r="AU194" s="727"/>
      <c r="AV194" s="727"/>
      <c r="AW194" s="727"/>
      <c r="AX194" s="727"/>
      <c r="AY194" s="727"/>
      <c r="AZ194" s="728"/>
      <c r="BA194" s="15">
        <v>32</v>
      </c>
      <c r="BB194" s="1038" t="str">
        <f>IF(BA194&lt;'Purchased Knacks'!A$192,VLOOKUP(BA194,'Purchased Knacks'!$A$4:$E$300,3,FALSE),"")</f>
        <v/>
      </c>
      <c r="BC194" s="1039"/>
      <c r="BD194" s="1039"/>
      <c r="BE194" s="1039"/>
      <c r="BF194" s="1040"/>
      <c r="BG194" s="1032" t="str">
        <f>IF(BB194="","",VLOOKUP(BB194,KanckRef!$A$1:$G$300,7,FALSE))</f>
        <v/>
      </c>
      <c r="BH194" s="1033"/>
      <c r="BI194" s="753"/>
      <c r="BJ194" s="754"/>
      <c r="BK194" s="754"/>
      <c r="BL194" s="754"/>
      <c r="BM194" s="754"/>
      <c r="BN194" s="754"/>
      <c r="BO194" s="754"/>
      <c r="BP194" s="754"/>
      <c r="BQ194" s="754"/>
      <c r="BR194" s="754"/>
      <c r="BS194" s="754"/>
      <c r="BT194" s="754"/>
      <c r="BU194" s="754"/>
      <c r="BV194" s="754"/>
      <c r="BW194" s="754"/>
      <c r="BX194" s="754"/>
      <c r="BY194" s="754"/>
      <c r="BZ194" s="755"/>
      <c r="CA194" s="15">
        <v>139</v>
      </c>
      <c r="CB194" s="1038" t="str">
        <f>IF(CA194&lt;'Purchased Knacks'!A$192,VLOOKUP(CA194,'Purchased Knacks'!$A$4:$E$300,3,FALSE),"")</f>
        <v/>
      </c>
      <c r="CC194" s="1039"/>
      <c r="CD194" s="1039"/>
      <c r="CE194" s="1039"/>
      <c r="CF194" s="1040"/>
      <c r="CG194" s="1032" t="str">
        <f>IF(CB194="","",VLOOKUP(CB194,KanckRef!$A$1:$G$300,7,FALSE))</f>
        <v/>
      </c>
      <c r="CH194" s="1033"/>
      <c r="CI194" s="753"/>
      <c r="CJ194" s="754"/>
      <c r="CK194" s="754"/>
      <c r="CL194" s="754"/>
      <c r="CM194" s="754"/>
      <c r="CN194" s="754"/>
      <c r="CO194" s="754"/>
      <c r="CP194" s="754"/>
      <c r="CQ194" s="754"/>
      <c r="CR194" s="754"/>
      <c r="CS194" s="754"/>
      <c r="CT194" s="754"/>
      <c r="CU194" s="754"/>
      <c r="CV194" s="754"/>
      <c r="CW194" s="754"/>
      <c r="CX194" s="754"/>
      <c r="CY194" s="754"/>
      <c r="CZ194" s="755"/>
    </row>
    <row r="195" spans="1:104" ht="15" customHeight="1" x14ac:dyDescent="0.25">
      <c r="B195" s="1026"/>
      <c r="C195" s="727"/>
      <c r="D195" s="727"/>
      <c r="E195" s="727"/>
      <c r="F195" s="727"/>
      <c r="G195" s="727"/>
      <c r="H195" s="727"/>
      <c r="I195" s="727" t="str">
        <f>IF(B194="","",VLOOKUP(B194,BoonRef!$A$2:$Z$900,26,FALSE))</f>
        <v/>
      </c>
      <c r="J195" s="727"/>
      <c r="K195" s="727"/>
      <c r="L195" s="727"/>
      <c r="M195" s="727"/>
      <c r="N195" s="727"/>
      <c r="O195" s="727"/>
      <c r="P195" s="727"/>
      <c r="Q195" s="727"/>
      <c r="R195" s="727"/>
      <c r="S195" s="727"/>
      <c r="T195" s="727"/>
      <c r="U195" s="727"/>
      <c r="V195" s="727"/>
      <c r="W195" s="727"/>
      <c r="X195" s="727"/>
      <c r="Y195" s="727"/>
      <c r="Z195" s="728"/>
      <c r="AB195" s="1026"/>
      <c r="AC195" s="727"/>
      <c r="AD195" s="727"/>
      <c r="AE195" s="727"/>
      <c r="AF195" s="727"/>
      <c r="AG195" s="727"/>
      <c r="AH195" s="727"/>
      <c r="AI195" s="727" t="str">
        <f>IF(AB194="","",VLOOKUP(AB194,BoonRef!$A$2:$Z$900,26,FALSE))</f>
        <v/>
      </c>
      <c r="AJ195" s="727"/>
      <c r="AK195" s="727"/>
      <c r="AL195" s="727"/>
      <c r="AM195" s="727"/>
      <c r="AN195" s="727"/>
      <c r="AO195" s="727"/>
      <c r="AP195" s="727"/>
      <c r="AQ195" s="727"/>
      <c r="AR195" s="727"/>
      <c r="AS195" s="727"/>
      <c r="AT195" s="727"/>
      <c r="AU195" s="727"/>
      <c r="AV195" s="727"/>
      <c r="AW195" s="727"/>
      <c r="AX195" s="727"/>
      <c r="AY195" s="727"/>
      <c r="AZ195" s="728"/>
      <c r="BB195" s="1041"/>
      <c r="BC195" s="1042"/>
      <c r="BD195" s="1042"/>
      <c r="BE195" s="1042"/>
      <c r="BF195" s="1043"/>
      <c r="BG195" s="1034"/>
      <c r="BH195" s="1035"/>
      <c r="BI195" s="753"/>
      <c r="BJ195" s="754"/>
      <c r="BK195" s="754"/>
      <c r="BL195" s="754"/>
      <c r="BM195" s="754"/>
      <c r="BN195" s="754"/>
      <c r="BO195" s="754"/>
      <c r="BP195" s="754"/>
      <c r="BQ195" s="754"/>
      <c r="BR195" s="754"/>
      <c r="BS195" s="754"/>
      <c r="BT195" s="754"/>
      <c r="BU195" s="754"/>
      <c r="BV195" s="754"/>
      <c r="BW195" s="754"/>
      <c r="BX195" s="754"/>
      <c r="BY195" s="754"/>
      <c r="BZ195" s="755"/>
      <c r="CB195" s="1041"/>
      <c r="CC195" s="1042"/>
      <c r="CD195" s="1042"/>
      <c r="CE195" s="1042"/>
      <c r="CF195" s="1043"/>
      <c r="CG195" s="1034"/>
      <c r="CH195" s="1035"/>
      <c r="CI195" s="753"/>
      <c r="CJ195" s="754"/>
      <c r="CK195" s="754"/>
      <c r="CL195" s="754"/>
      <c r="CM195" s="754"/>
      <c r="CN195" s="754"/>
      <c r="CO195" s="754"/>
      <c r="CP195" s="754"/>
      <c r="CQ195" s="754"/>
      <c r="CR195" s="754"/>
      <c r="CS195" s="754"/>
      <c r="CT195" s="754"/>
      <c r="CU195" s="754"/>
      <c r="CV195" s="754"/>
      <c r="CW195" s="754"/>
      <c r="CX195" s="754"/>
      <c r="CY195" s="754"/>
      <c r="CZ195" s="755"/>
    </row>
    <row r="196" spans="1:104" ht="15" customHeight="1" x14ac:dyDescent="0.25">
      <c r="B196" s="1026" t="str">
        <f>IF(B194="","",VLOOKUP(B194,BoonRef!$A$2:$Z$900,24,FALSE))</f>
        <v/>
      </c>
      <c r="C196" s="727"/>
      <c r="D196" s="727"/>
      <c r="E196" s="727"/>
      <c r="F196" s="727"/>
      <c r="G196" s="727"/>
      <c r="H196" s="727"/>
      <c r="I196" s="727"/>
      <c r="J196" s="727"/>
      <c r="K196" s="727"/>
      <c r="L196" s="727"/>
      <c r="M196" s="727"/>
      <c r="N196" s="727"/>
      <c r="O196" s="727"/>
      <c r="P196" s="727"/>
      <c r="Q196" s="727"/>
      <c r="R196" s="727"/>
      <c r="S196" s="727"/>
      <c r="T196" s="727"/>
      <c r="U196" s="727"/>
      <c r="V196" s="727"/>
      <c r="W196" s="727"/>
      <c r="X196" s="727"/>
      <c r="Y196" s="727"/>
      <c r="Z196" s="728"/>
      <c r="AB196" s="1026" t="str">
        <f>IF(AB194="","",VLOOKUP(AB194,BoonRef!$A$2:$Z$900,24,FALSE))</f>
        <v/>
      </c>
      <c r="AC196" s="727"/>
      <c r="AD196" s="727"/>
      <c r="AE196" s="727"/>
      <c r="AF196" s="727"/>
      <c r="AG196" s="727"/>
      <c r="AH196" s="727"/>
      <c r="AI196" s="727"/>
      <c r="AJ196" s="727"/>
      <c r="AK196" s="727"/>
      <c r="AL196" s="727"/>
      <c r="AM196" s="727"/>
      <c r="AN196" s="727"/>
      <c r="AO196" s="727"/>
      <c r="AP196" s="727"/>
      <c r="AQ196" s="727"/>
      <c r="AR196" s="727"/>
      <c r="AS196" s="727"/>
      <c r="AT196" s="727"/>
      <c r="AU196" s="727"/>
      <c r="AV196" s="727"/>
      <c r="AW196" s="727"/>
      <c r="AX196" s="727"/>
      <c r="AY196" s="727"/>
      <c r="AZ196" s="728"/>
      <c r="BB196" s="641" t="str">
        <f>IF(BB194="","",VLOOKUP(BB194,KanckRef!$A$1:$G$300,4,FALSE))</f>
        <v/>
      </c>
      <c r="BC196" s="642"/>
      <c r="BD196" s="642"/>
      <c r="BE196" s="642"/>
      <c r="BF196" s="642"/>
      <c r="BG196" s="642"/>
      <c r="BH196" s="1033"/>
      <c r="BI196" s="753"/>
      <c r="BJ196" s="754"/>
      <c r="BK196" s="754"/>
      <c r="BL196" s="754"/>
      <c r="BM196" s="754"/>
      <c r="BN196" s="754"/>
      <c r="BO196" s="754"/>
      <c r="BP196" s="754"/>
      <c r="BQ196" s="754"/>
      <c r="BR196" s="754"/>
      <c r="BS196" s="754"/>
      <c r="BT196" s="754"/>
      <c r="BU196" s="754"/>
      <c r="BV196" s="754"/>
      <c r="BW196" s="754"/>
      <c r="BX196" s="754"/>
      <c r="BY196" s="754"/>
      <c r="BZ196" s="755"/>
      <c r="CB196" s="641" t="str">
        <f>IF(CB194="","",VLOOKUP(CB194,KanckRef!$A$1:$G$300,4,FALSE))</f>
        <v/>
      </c>
      <c r="CC196" s="642"/>
      <c r="CD196" s="642"/>
      <c r="CE196" s="642"/>
      <c r="CF196" s="642"/>
      <c r="CG196" s="642"/>
      <c r="CH196" s="1033"/>
      <c r="CI196" s="753"/>
      <c r="CJ196" s="754"/>
      <c r="CK196" s="754"/>
      <c r="CL196" s="754"/>
      <c r="CM196" s="754"/>
      <c r="CN196" s="754"/>
      <c r="CO196" s="754"/>
      <c r="CP196" s="754"/>
      <c r="CQ196" s="754"/>
      <c r="CR196" s="754"/>
      <c r="CS196" s="754"/>
      <c r="CT196" s="754"/>
      <c r="CU196" s="754"/>
      <c r="CV196" s="754"/>
      <c r="CW196" s="754"/>
      <c r="CX196" s="754"/>
      <c r="CY196" s="754"/>
      <c r="CZ196" s="755"/>
    </row>
    <row r="197" spans="1:104" x14ac:dyDescent="0.25">
      <c r="B197" s="1026" t="str">
        <f>IF(B194="","",VLOOKUP(B194,BoonRef!$A$2:$Z$900,23,FALSE))</f>
        <v/>
      </c>
      <c r="C197" s="727"/>
      <c r="D197" s="727"/>
      <c r="E197" s="727"/>
      <c r="F197" s="727"/>
      <c r="G197" s="727"/>
      <c r="H197" s="727"/>
      <c r="I197" s="727"/>
      <c r="J197" s="727"/>
      <c r="K197" s="727"/>
      <c r="L197" s="727"/>
      <c r="M197" s="727"/>
      <c r="N197" s="727"/>
      <c r="O197" s="727"/>
      <c r="P197" s="727"/>
      <c r="Q197" s="727"/>
      <c r="R197" s="727"/>
      <c r="S197" s="727"/>
      <c r="T197" s="727"/>
      <c r="U197" s="727"/>
      <c r="V197" s="727"/>
      <c r="W197" s="727"/>
      <c r="X197" s="727"/>
      <c r="Y197" s="727"/>
      <c r="Z197" s="728"/>
      <c r="AB197" s="1026" t="str">
        <f>IF(AB194="","",VLOOKUP(AB194,BoonRef!$A$2:$Z$900,23,FALSE))</f>
        <v/>
      </c>
      <c r="AC197" s="727"/>
      <c r="AD197" s="727"/>
      <c r="AE197" s="727"/>
      <c r="AF197" s="727"/>
      <c r="AG197" s="727"/>
      <c r="AH197" s="727"/>
      <c r="AI197" s="727"/>
      <c r="AJ197" s="727"/>
      <c r="AK197" s="727"/>
      <c r="AL197" s="727"/>
      <c r="AM197" s="727"/>
      <c r="AN197" s="727"/>
      <c r="AO197" s="727"/>
      <c r="AP197" s="727"/>
      <c r="AQ197" s="727"/>
      <c r="AR197" s="727"/>
      <c r="AS197" s="727"/>
      <c r="AT197" s="727"/>
      <c r="AU197" s="727"/>
      <c r="AV197" s="727"/>
      <c r="AW197" s="727"/>
      <c r="AX197" s="727"/>
      <c r="AY197" s="727"/>
      <c r="AZ197" s="728"/>
      <c r="BB197" s="635"/>
      <c r="BC197" s="636"/>
      <c r="BD197" s="636"/>
      <c r="BE197" s="636"/>
      <c r="BF197" s="636"/>
      <c r="BG197" s="636"/>
      <c r="BH197" s="1036"/>
      <c r="BI197" s="753"/>
      <c r="BJ197" s="754"/>
      <c r="BK197" s="754"/>
      <c r="BL197" s="754"/>
      <c r="BM197" s="754"/>
      <c r="BN197" s="754"/>
      <c r="BO197" s="754"/>
      <c r="BP197" s="754"/>
      <c r="BQ197" s="754"/>
      <c r="BR197" s="754"/>
      <c r="BS197" s="754"/>
      <c r="BT197" s="754"/>
      <c r="BU197" s="754"/>
      <c r="BV197" s="754"/>
      <c r="BW197" s="754"/>
      <c r="BX197" s="754"/>
      <c r="BY197" s="754"/>
      <c r="BZ197" s="755"/>
      <c r="CB197" s="635"/>
      <c r="CC197" s="636"/>
      <c r="CD197" s="636"/>
      <c r="CE197" s="636"/>
      <c r="CF197" s="636"/>
      <c r="CG197" s="636"/>
      <c r="CH197" s="1036"/>
      <c r="CI197" s="753"/>
      <c r="CJ197" s="754"/>
      <c r="CK197" s="754"/>
      <c r="CL197" s="754"/>
      <c r="CM197" s="754"/>
      <c r="CN197" s="754"/>
      <c r="CO197" s="754"/>
      <c r="CP197" s="754"/>
      <c r="CQ197" s="754"/>
      <c r="CR197" s="754"/>
      <c r="CS197" s="754"/>
      <c r="CT197" s="754"/>
      <c r="CU197" s="754"/>
      <c r="CV197" s="754"/>
      <c r="CW197" s="754"/>
      <c r="CX197" s="754"/>
      <c r="CY197" s="754"/>
      <c r="CZ197" s="755"/>
    </row>
    <row r="198" spans="1:104" ht="15.75" thickBot="1" x14ac:dyDescent="0.3">
      <c r="B198" s="1027"/>
      <c r="C198" s="865"/>
      <c r="D198" s="865"/>
      <c r="E198" s="865"/>
      <c r="F198" s="865"/>
      <c r="G198" s="865"/>
      <c r="H198" s="865"/>
      <c r="I198" s="865"/>
      <c r="J198" s="865"/>
      <c r="K198" s="865"/>
      <c r="L198" s="865"/>
      <c r="M198" s="865"/>
      <c r="N198" s="865"/>
      <c r="O198" s="865"/>
      <c r="P198" s="865"/>
      <c r="Q198" s="865"/>
      <c r="R198" s="865"/>
      <c r="S198" s="865"/>
      <c r="T198" s="865"/>
      <c r="U198" s="865"/>
      <c r="V198" s="865"/>
      <c r="W198" s="865"/>
      <c r="X198" s="865"/>
      <c r="Y198" s="865"/>
      <c r="Z198" s="921"/>
      <c r="AB198" s="1027"/>
      <c r="AC198" s="865"/>
      <c r="AD198" s="865"/>
      <c r="AE198" s="865"/>
      <c r="AF198" s="865"/>
      <c r="AG198" s="865"/>
      <c r="AH198" s="865"/>
      <c r="AI198" s="865"/>
      <c r="AJ198" s="865"/>
      <c r="AK198" s="865"/>
      <c r="AL198" s="865"/>
      <c r="AM198" s="865"/>
      <c r="AN198" s="865"/>
      <c r="AO198" s="865"/>
      <c r="AP198" s="865"/>
      <c r="AQ198" s="865"/>
      <c r="AR198" s="865"/>
      <c r="AS198" s="865"/>
      <c r="AT198" s="865"/>
      <c r="AU198" s="865"/>
      <c r="AV198" s="865"/>
      <c r="AW198" s="865"/>
      <c r="AX198" s="865"/>
      <c r="AY198" s="865"/>
      <c r="AZ198" s="921"/>
      <c r="BB198" s="644"/>
      <c r="BC198" s="645"/>
      <c r="BD198" s="645"/>
      <c r="BE198" s="645"/>
      <c r="BF198" s="645"/>
      <c r="BG198" s="645"/>
      <c r="BH198" s="1037"/>
      <c r="BI198" s="756"/>
      <c r="BJ198" s="757"/>
      <c r="BK198" s="757"/>
      <c r="BL198" s="757"/>
      <c r="BM198" s="757"/>
      <c r="BN198" s="757"/>
      <c r="BO198" s="757"/>
      <c r="BP198" s="757"/>
      <c r="BQ198" s="757"/>
      <c r="BR198" s="757"/>
      <c r="BS198" s="757"/>
      <c r="BT198" s="757"/>
      <c r="BU198" s="757"/>
      <c r="BV198" s="757"/>
      <c r="BW198" s="757"/>
      <c r="BX198" s="757"/>
      <c r="BY198" s="757"/>
      <c r="BZ198" s="758"/>
      <c r="CB198" s="644"/>
      <c r="CC198" s="645"/>
      <c r="CD198" s="645"/>
      <c r="CE198" s="645"/>
      <c r="CF198" s="645"/>
      <c r="CG198" s="645"/>
      <c r="CH198" s="1037"/>
      <c r="CI198" s="756"/>
      <c r="CJ198" s="757"/>
      <c r="CK198" s="757"/>
      <c r="CL198" s="757"/>
      <c r="CM198" s="757"/>
      <c r="CN198" s="757"/>
      <c r="CO198" s="757"/>
      <c r="CP198" s="757"/>
      <c r="CQ198" s="757"/>
      <c r="CR198" s="757"/>
      <c r="CS198" s="757"/>
      <c r="CT198" s="757"/>
      <c r="CU198" s="757"/>
      <c r="CV198" s="757"/>
      <c r="CW198" s="757"/>
      <c r="CX198" s="757"/>
      <c r="CY198" s="757"/>
      <c r="CZ198" s="758"/>
    </row>
    <row r="199" spans="1:104" x14ac:dyDescent="0.25">
      <c r="B199" s="1028" t="str">
        <f>IF(B200="","",VLOOKUP(B200,BoonRef!$A$2:$Z$900,2,FALSE))</f>
        <v/>
      </c>
      <c r="C199" s="725"/>
      <c r="D199" s="725"/>
      <c r="E199" s="725"/>
      <c r="F199" s="725"/>
      <c r="G199" s="725"/>
      <c r="H199" s="725"/>
      <c r="I199" s="725" t="str">
        <f>IF(B200="","",VLOOKUP(B200,BoonRef!$A$2:$Z$900,3,FALSE))</f>
        <v/>
      </c>
      <c r="J199" s="725"/>
      <c r="K199" s="725" t="str">
        <f>IF(B200="","",VLOOKUP(B200,DescRef!$A$2:$B$900,2,FALSE))</f>
        <v/>
      </c>
      <c r="L199" s="725"/>
      <c r="M199" s="725"/>
      <c r="N199" s="725"/>
      <c r="O199" s="725"/>
      <c r="P199" s="725"/>
      <c r="Q199" s="725"/>
      <c r="R199" s="725"/>
      <c r="S199" s="725"/>
      <c r="T199" s="725"/>
      <c r="U199" s="725"/>
      <c r="V199" s="725"/>
      <c r="W199" s="725"/>
      <c r="X199" s="725"/>
      <c r="Y199" s="725"/>
      <c r="Z199" s="726"/>
      <c r="AB199" s="1028" t="str">
        <f>IF(AB200="","",VLOOKUP(AB200,BoonRef!$A$2:$Z$900,2,FALSE))</f>
        <v/>
      </c>
      <c r="AC199" s="725"/>
      <c r="AD199" s="725"/>
      <c r="AE199" s="725"/>
      <c r="AF199" s="725"/>
      <c r="AG199" s="725"/>
      <c r="AH199" s="725"/>
      <c r="AI199" s="725" t="str">
        <f>IF(AB200="","",VLOOKUP(AB200,BoonRef!$A$2:$Z$900,3,FALSE))</f>
        <v/>
      </c>
      <c r="AJ199" s="725"/>
      <c r="AK199" s="725" t="str">
        <f>IF(AB200="","",VLOOKUP(AB200,DescRef!$A$2:$B$900,2,FALSE))</f>
        <v/>
      </c>
      <c r="AL199" s="725"/>
      <c r="AM199" s="725"/>
      <c r="AN199" s="725"/>
      <c r="AO199" s="725"/>
      <c r="AP199" s="725"/>
      <c r="AQ199" s="725"/>
      <c r="AR199" s="725"/>
      <c r="AS199" s="725"/>
      <c r="AT199" s="725"/>
      <c r="AU199" s="725"/>
      <c r="AV199" s="725"/>
      <c r="AW199" s="725"/>
      <c r="AX199" s="725"/>
      <c r="AY199" s="725"/>
      <c r="AZ199" s="726"/>
      <c r="BB199" s="1029" t="str">
        <f>IF(BB200="","",VLOOKUP(BB200,KanckRef!$A$1:$G$300,2,FALSE))</f>
        <v/>
      </c>
      <c r="BC199" s="1030"/>
      <c r="BD199" s="1030"/>
      <c r="BE199" s="1030"/>
      <c r="BF199" s="1031"/>
      <c r="BG199" s="1048" t="str">
        <f>IF(BB200="","",VLOOKUP(BB200,KanckRef!$A$1:$G$300,6,FALSE))</f>
        <v/>
      </c>
      <c r="BH199" s="1049"/>
      <c r="BI199" s="988" t="str">
        <f>IF(BB200="","",VLOOKUP(BB200,DescRef!$D$2:$E$300,2,FALSE))</f>
        <v/>
      </c>
      <c r="BJ199" s="795"/>
      <c r="BK199" s="795"/>
      <c r="BL199" s="795"/>
      <c r="BM199" s="795"/>
      <c r="BN199" s="795"/>
      <c r="BO199" s="795"/>
      <c r="BP199" s="795"/>
      <c r="BQ199" s="795"/>
      <c r="BR199" s="795"/>
      <c r="BS199" s="795"/>
      <c r="BT199" s="795"/>
      <c r="BU199" s="795"/>
      <c r="BV199" s="795"/>
      <c r="BW199" s="795"/>
      <c r="BX199" s="795"/>
      <c r="BY199" s="795"/>
      <c r="BZ199" s="796"/>
      <c r="CB199" s="1029" t="str">
        <f>IF(CB200="","",VLOOKUP(CB200,KanckRef!$A$1:$G$300,2,FALSE))</f>
        <v/>
      </c>
      <c r="CC199" s="1030"/>
      <c r="CD199" s="1030"/>
      <c r="CE199" s="1030"/>
      <c r="CF199" s="1031"/>
      <c r="CG199" s="1048" t="str">
        <f>IF(CB200="","",VLOOKUP(CB200,KanckRef!$A$1:$G$300,6,FALSE))</f>
        <v/>
      </c>
      <c r="CH199" s="1049"/>
      <c r="CI199" s="988" t="str">
        <f>IF(CB200="","",VLOOKUP(CB200,DescRef!$D$2:$E$300,2,FALSE))</f>
        <v/>
      </c>
      <c r="CJ199" s="795"/>
      <c r="CK199" s="795"/>
      <c r="CL199" s="795"/>
      <c r="CM199" s="795"/>
      <c r="CN199" s="795"/>
      <c r="CO199" s="795"/>
      <c r="CP199" s="795"/>
      <c r="CQ199" s="795"/>
      <c r="CR199" s="795"/>
      <c r="CS199" s="795"/>
      <c r="CT199" s="795"/>
      <c r="CU199" s="795"/>
      <c r="CV199" s="795"/>
      <c r="CW199" s="795"/>
      <c r="CX199" s="795"/>
      <c r="CY199" s="795"/>
      <c r="CZ199" s="796"/>
    </row>
    <row r="200" spans="1:104" ht="15" customHeight="1" x14ac:dyDescent="0.25">
      <c r="A200" s="15">
        <v>33</v>
      </c>
      <c r="B200" s="1026" t="str">
        <f>IF(A200&lt;'Purchased Boons'!$B$496,VLOOKUP(A200,'Purchased Boons'!$BF$2:$BG$900,2,FALSE),"")</f>
        <v/>
      </c>
      <c r="C200" s="727"/>
      <c r="D200" s="727"/>
      <c r="E200" s="727"/>
      <c r="F200" s="727"/>
      <c r="G200" s="727"/>
      <c r="H200" s="727"/>
      <c r="I200" s="727" t="str">
        <f>IF(B200="","",VLOOKUP(B200,BoonRef!$A$2:$Z$900,25,FALSE))</f>
        <v/>
      </c>
      <c r="J200" s="727"/>
      <c r="K200" s="727"/>
      <c r="L200" s="727"/>
      <c r="M200" s="727"/>
      <c r="N200" s="727"/>
      <c r="O200" s="727"/>
      <c r="P200" s="727"/>
      <c r="Q200" s="727"/>
      <c r="R200" s="727"/>
      <c r="S200" s="727"/>
      <c r="T200" s="727"/>
      <c r="U200" s="727"/>
      <c r="V200" s="727"/>
      <c r="W200" s="727"/>
      <c r="X200" s="727"/>
      <c r="Y200" s="727"/>
      <c r="Z200" s="728"/>
      <c r="AA200" s="15">
        <v>140</v>
      </c>
      <c r="AB200" s="1026" t="str">
        <f>IF(AA200&lt;'Purchased Boons'!$B$496,VLOOKUP(AA200,'Purchased Boons'!$BF$2:$BG$900,2,FALSE),"")</f>
        <v/>
      </c>
      <c r="AC200" s="727"/>
      <c r="AD200" s="727"/>
      <c r="AE200" s="727"/>
      <c r="AF200" s="727"/>
      <c r="AG200" s="727"/>
      <c r="AH200" s="727"/>
      <c r="AI200" s="727" t="str">
        <f>IF(AB200="","",VLOOKUP(AB200,BoonRef!$A$2:$Z$900,25,FALSE))</f>
        <v/>
      </c>
      <c r="AJ200" s="727"/>
      <c r="AK200" s="727"/>
      <c r="AL200" s="727"/>
      <c r="AM200" s="727"/>
      <c r="AN200" s="727"/>
      <c r="AO200" s="727"/>
      <c r="AP200" s="727"/>
      <c r="AQ200" s="727"/>
      <c r="AR200" s="727"/>
      <c r="AS200" s="727"/>
      <c r="AT200" s="727"/>
      <c r="AU200" s="727"/>
      <c r="AV200" s="727"/>
      <c r="AW200" s="727"/>
      <c r="AX200" s="727"/>
      <c r="AY200" s="727"/>
      <c r="AZ200" s="728"/>
      <c r="BA200" s="15">
        <v>33</v>
      </c>
      <c r="BB200" s="1038" t="str">
        <f>IF(BA200&lt;'Purchased Knacks'!A$192,VLOOKUP(BA200,'Purchased Knacks'!$A$4:$E$300,3,FALSE),"")</f>
        <v/>
      </c>
      <c r="BC200" s="1039"/>
      <c r="BD200" s="1039"/>
      <c r="BE200" s="1039"/>
      <c r="BF200" s="1040"/>
      <c r="BG200" s="1032" t="str">
        <f>IF(BB200="","",VLOOKUP(BB200,KanckRef!$A$1:$G$300,7,FALSE))</f>
        <v/>
      </c>
      <c r="BH200" s="1033"/>
      <c r="BI200" s="753"/>
      <c r="BJ200" s="754"/>
      <c r="BK200" s="754"/>
      <c r="BL200" s="754"/>
      <c r="BM200" s="754"/>
      <c r="BN200" s="754"/>
      <c r="BO200" s="754"/>
      <c r="BP200" s="754"/>
      <c r="BQ200" s="754"/>
      <c r="BR200" s="754"/>
      <c r="BS200" s="754"/>
      <c r="BT200" s="754"/>
      <c r="BU200" s="754"/>
      <c r="BV200" s="754"/>
      <c r="BW200" s="754"/>
      <c r="BX200" s="754"/>
      <c r="BY200" s="754"/>
      <c r="BZ200" s="755"/>
      <c r="CA200" s="15">
        <v>140</v>
      </c>
      <c r="CB200" s="1038" t="str">
        <f>IF(CA200&lt;'Purchased Knacks'!A$192,VLOOKUP(CA200,'Purchased Knacks'!$A$4:$E$300,3,FALSE),"")</f>
        <v/>
      </c>
      <c r="CC200" s="1039"/>
      <c r="CD200" s="1039"/>
      <c r="CE200" s="1039"/>
      <c r="CF200" s="1040"/>
      <c r="CG200" s="1032" t="str">
        <f>IF(CB200="","",VLOOKUP(CB200,KanckRef!$A$1:$G$300,7,FALSE))</f>
        <v/>
      </c>
      <c r="CH200" s="1033"/>
      <c r="CI200" s="753"/>
      <c r="CJ200" s="754"/>
      <c r="CK200" s="754"/>
      <c r="CL200" s="754"/>
      <c r="CM200" s="754"/>
      <c r="CN200" s="754"/>
      <c r="CO200" s="754"/>
      <c r="CP200" s="754"/>
      <c r="CQ200" s="754"/>
      <c r="CR200" s="754"/>
      <c r="CS200" s="754"/>
      <c r="CT200" s="754"/>
      <c r="CU200" s="754"/>
      <c r="CV200" s="754"/>
      <c r="CW200" s="754"/>
      <c r="CX200" s="754"/>
      <c r="CY200" s="754"/>
      <c r="CZ200" s="755"/>
    </row>
    <row r="201" spans="1:104" ht="15" customHeight="1" x14ac:dyDescent="0.25">
      <c r="B201" s="1026"/>
      <c r="C201" s="727"/>
      <c r="D201" s="727"/>
      <c r="E201" s="727"/>
      <c r="F201" s="727"/>
      <c r="G201" s="727"/>
      <c r="H201" s="727"/>
      <c r="I201" s="727" t="str">
        <f>IF(B200="","",VLOOKUP(B200,BoonRef!$A$2:$Z$900,26,FALSE))</f>
        <v/>
      </c>
      <c r="J201" s="727"/>
      <c r="K201" s="727"/>
      <c r="L201" s="727"/>
      <c r="M201" s="727"/>
      <c r="N201" s="727"/>
      <c r="O201" s="727"/>
      <c r="P201" s="727"/>
      <c r="Q201" s="727"/>
      <c r="R201" s="727"/>
      <c r="S201" s="727"/>
      <c r="T201" s="727"/>
      <c r="U201" s="727"/>
      <c r="V201" s="727"/>
      <c r="W201" s="727"/>
      <c r="X201" s="727"/>
      <c r="Y201" s="727"/>
      <c r="Z201" s="728"/>
      <c r="AB201" s="1026"/>
      <c r="AC201" s="727"/>
      <c r="AD201" s="727"/>
      <c r="AE201" s="727"/>
      <c r="AF201" s="727"/>
      <c r="AG201" s="727"/>
      <c r="AH201" s="727"/>
      <c r="AI201" s="727" t="str">
        <f>IF(AB200="","",VLOOKUP(AB200,BoonRef!$A$2:$Z$900,26,FALSE))</f>
        <v/>
      </c>
      <c r="AJ201" s="727"/>
      <c r="AK201" s="727"/>
      <c r="AL201" s="727"/>
      <c r="AM201" s="727"/>
      <c r="AN201" s="727"/>
      <c r="AO201" s="727"/>
      <c r="AP201" s="727"/>
      <c r="AQ201" s="727"/>
      <c r="AR201" s="727"/>
      <c r="AS201" s="727"/>
      <c r="AT201" s="727"/>
      <c r="AU201" s="727"/>
      <c r="AV201" s="727"/>
      <c r="AW201" s="727"/>
      <c r="AX201" s="727"/>
      <c r="AY201" s="727"/>
      <c r="AZ201" s="728"/>
      <c r="BB201" s="1041"/>
      <c r="BC201" s="1042"/>
      <c r="BD201" s="1042"/>
      <c r="BE201" s="1042"/>
      <c r="BF201" s="1043"/>
      <c r="BG201" s="1034"/>
      <c r="BH201" s="1035"/>
      <c r="BI201" s="753"/>
      <c r="BJ201" s="754"/>
      <c r="BK201" s="754"/>
      <c r="BL201" s="754"/>
      <c r="BM201" s="754"/>
      <c r="BN201" s="754"/>
      <c r="BO201" s="754"/>
      <c r="BP201" s="754"/>
      <c r="BQ201" s="754"/>
      <c r="BR201" s="754"/>
      <c r="BS201" s="754"/>
      <c r="BT201" s="754"/>
      <c r="BU201" s="754"/>
      <c r="BV201" s="754"/>
      <c r="BW201" s="754"/>
      <c r="BX201" s="754"/>
      <c r="BY201" s="754"/>
      <c r="BZ201" s="755"/>
      <c r="CB201" s="1041"/>
      <c r="CC201" s="1042"/>
      <c r="CD201" s="1042"/>
      <c r="CE201" s="1042"/>
      <c r="CF201" s="1043"/>
      <c r="CG201" s="1034"/>
      <c r="CH201" s="1035"/>
      <c r="CI201" s="753"/>
      <c r="CJ201" s="754"/>
      <c r="CK201" s="754"/>
      <c r="CL201" s="754"/>
      <c r="CM201" s="754"/>
      <c r="CN201" s="754"/>
      <c r="CO201" s="754"/>
      <c r="CP201" s="754"/>
      <c r="CQ201" s="754"/>
      <c r="CR201" s="754"/>
      <c r="CS201" s="754"/>
      <c r="CT201" s="754"/>
      <c r="CU201" s="754"/>
      <c r="CV201" s="754"/>
      <c r="CW201" s="754"/>
      <c r="CX201" s="754"/>
      <c r="CY201" s="754"/>
      <c r="CZ201" s="755"/>
    </row>
    <row r="202" spans="1:104" x14ac:dyDescent="0.25">
      <c r="B202" s="1026" t="str">
        <f>IF(B200="","",VLOOKUP(B200,BoonRef!$A$2:$Z$900,24,FALSE))</f>
        <v/>
      </c>
      <c r="C202" s="727"/>
      <c r="D202" s="727"/>
      <c r="E202" s="727"/>
      <c r="F202" s="727"/>
      <c r="G202" s="727"/>
      <c r="H202" s="727"/>
      <c r="I202" s="727"/>
      <c r="J202" s="727"/>
      <c r="K202" s="727"/>
      <c r="L202" s="727"/>
      <c r="M202" s="727"/>
      <c r="N202" s="727"/>
      <c r="O202" s="727"/>
      <c r="P202" s="727"/>
      <c r="Q202" s="727"/>
      <c r="R202" s="727"/>
      <c r="S202" s="727"/>
      <c r="T202" s="727"/>
      <c r="U202" s="727"/>
      <c r="V202" s="727"/>
      <c r="W202" s="727"/>
      <c r="X202" s="727"/>
      <c r="Y202" s="727"/>
      <c r="Z202" s="728"/>
      <c r="AB202" s="1026" t="str">
        <f>IF(AB200="","",VLOOKUP(AB200,BoonRef!$A$2:$Z$900,24,FALSE))</f>
        <v/>
      </c>
      <c r="AC202" s="727"/>
      <c r="AD202" s="727"/>
      <c r="AE202" s="727"/>
      <c r="AF202" s="727"/>
      <c r="AG202" s="727"/>
      <c r="AH202" s="727"/>
      <c r="AI202" s="727"/>
      <c r="AJ202" s="727"/>
      <c r="AK202" s="727"/>
      <c r="AL202" s="727"/>
      <c r="AM202" s="727"/>
      <c r="AN202" s="727"/>
      <c r="AO202" s="727"/>
      <c r="AP202" s="727"/>
      <c r="AQ202" s="727"/>
      <c r="AR202" s="727"/>
      <c r="AS202" s="727"/>
      <c r="AT202" s="727"/>
      <c r="AU202" s="727"/>
      <c r="AV202" s="727"/>
      <c r="AW202" s="727"/>
      <c r="AX202" s="727"/>
      <c r="AY202" s="727"/>
      <c r="AZ202" s="728"/>
      <c r="BB202" s="641" t="str">
        <f>IF(BB200="","",VLOOKUP(BB200,KanckRef!$A$1:$G$300,4,FALSE))</f>
        <v/>
      </c>
      <c r="BC202" s="642"/>
      <c r="BD202" s="642"/>
      <c r="BE202" s="642"/>
      <c r="BF202" s="642"/>
      <c r="BG202" s="642"/>
      <c r="BH202" s="1033"/>
      <c r="BI202" s="753"/>
      <c r="BJ202" s="754"/>
      <c r="BK202" s="754"/>
      <c r="BL202" s="754"/>
      <c r="BM202" s="754"/>
      <c r="BN202" s="754"/>
      <c r="BO202" s="754"/>
      <c r="BP202" s="754"/>
      <c r="BQ202" s="754"/>
      <c r="BR202" s="754"/>
      <c r="BS202" s="754"/>
      <c r="BT202" s="754"/>
      <c r="BU202" s="754"/>
      <c r="BV202" s="754"/>
      <c r="BW202" s="754"/>
      <c r="BX202" s="754"/>
      <c r="BY202" s="754"/>
      <c r="BZ202" s="755"/>
      <c r="CB202" s="641" t="str">
        <f>IF(CB200="","",VLOOKUP(CB200,KanckRef!$A$1:$G$300,4,FALSE))</f>
        <v/>
      </c>
      <c r="CC202" s="642"/>
      <c r="CD202" s="642"/>
      <c r="CE202" s="642"/>
      <c r="CF202" s="642"/>
      <c r="CG202" s="642"/>
      <c r="CH202" s="1033"/>
      <c r="CI202" s="753"/>
      <c r="CJ202" s="754"/>
      <c r="CK202" s="754"/>
      <c r="CL202" s="754"/>
      <c r="CM202" s="754"/>
      <c r="CN202" s="754"/>
      <c r="CO202" s="754"/>
      <c r="CP202" s="754"/>
      <c r="CQ202" s="754"/>
      <c r="CR202" s="754"/>
      <c r="CS202" s="754"/>
      <c r="CT202" s="754"/>
      <c r="CU202" s="754"/>
      <c r="CV202" s="754"/>
      <c r="CW202" s="754"/>
      <c r="CX202" s="754"/>
      <c r="CY202" s="754"/>
      <c r="CZ202" s="755"/>
    </row>
    <row r="203" spans="1:104" x14ac:dyDescent="0.25">
      <c r="B203" s="1026" t="str">
        <f>IF(B200="","",VLOOKUP(B200,BoonRef!$A$2:$Z$900,23,FALSE))</f>
        <v/>
      </c>
      <c r="C203" s="727"/>
      <c r="D203" s="727"/>
      <c r="E203" s="727"/>
      <c r="F203" s="727"/>
      <c r="G203" s="727"/>
      <c r="H203" s="727"/>
      <c r="I203" s="727"/>
      <c r="J203" s="727"/>
      <c r="K203" s="727"/>
      <c r="L203" s="727"/>
      <c r="M203" s="727"/>
      <c r="N203" s="727"/>
      <c r="O203" s="727"/>
      <c r="P203" s="727"/>
      <c r="Q203" s="727"/>
      <c r="R203" s="727"/>
      <c r="S203" s="727"/>
      <c r="T203" s="727"/>
      <c r="U203" s="727"/>
      <c r="V203" s="727"/>
      <c r="W203" s="727"/>
      <c r="X203" s="727"/>
      <c r="Y203" s="727"/>
      <c r="Z203" s="728"/>
      <c r="AB203" s="1026" t="str">
        <f>IF(AB200="","",VLOOKUP(AB200,BoonRef!$A$2:$Z$900,23,FALSE))</f>
        <v/>
      </c>
      <c r="AC203" s="727"/>
      <c r="AD203" s="727"/>
      <c r="AE203" s="727"/>
      <c r="AF203" s="727"/>
      <c r="AG203" s="727"/>
      <c r="AH203" s="727"/>
      <c r="AI203" s="727"/>
      <c r="AJ203" s="727"/>
      <c r="AK203" s="727"/>
      <c r="AL203" s="727"/>
      <c r="AM203" s="727"/>
      <c r="AN203" s="727"/>
      <c r="AO203" s="727"/>
      <c r="AP203" s="727"/>
      <c r="AQ203" s="727"/>
      <c r="AR203" s="727"/>
      <c r="AS203" s="727"/>
      <c r="AT203" s="727"/>
      <c r="AU203" s="727"/>
      <c r="AV203" s="727"/>
      <c r="AW203" s="727"/>
      <c r="AX203" s="727"/>
      <c r="AY203" s="727"/>
      <c r="AZ203" s="728"/>
      <c r="BB203" s="635"/>
      <c r="BC203" s="636"/>
      <c r="BD203" s="636"/>
      <c r="BE203" s="636"/>
      <c r="BF203" s="636"/>
      <c r="BG203" s="636"/>
      <c r="BH203" s="1036"/>
      <c r="BI203" s="753"/>
      <c r="BJ203" s="754"/>
      <c r="BK203" s="754"/>
      <c r="BL203" s="754"/>
      <c r="BM203" s="754"/>
      <c r="BN203" s="754"/>
      <c r="BO203" s="754"/>
      <c r="BP203" s="754"/>
      <c r="BQ203" s="754"/>
      <c r="BR203" s="754"/>
      <c r="BS203" s="754"/>
      <c r="BT203" s="754"/>
      <c r="BU203" s="754"/>
      <c r="BV203" s="754"/>
      <c r="BW203" s="754"/>
      <c r="BX203" s="754"/>
      <c r="BY203" s="754"/>
      <c r="BZ203" s="755"/>
      <c r="CB203" s="635"/>
      <c r="CC203" s="636"/>
      <c r="CD203" s="636"/>
      <c r="CE203" s="636"/>
      <c r="CF203" s="636"/>
      <c r="CG203" s="636"/>
      <c r="CH203" s="1036"/>
      <c r="CI203" s="753"/>
      <c r="CJ203" s="754"/>
      <c r="CK203" s="754"/>
      <c r="CL203" s="754"/>
      <c r="CM203" s="754"/>
      <c r="CN203" s="754"/>
      <c r="CO203" s="754"/>
      <c r="CP203" s="754"/>
      <c r="CQ203" s="754"/>
      <c r="CR203" s="754"/>
      <c r="CS203" s="754"/>
      <c r="CT203" s="754"/>
      <c r="CU203" s="754"/>
      <c r="CV203" s="754"/>
      <c r="CW203" s="754"/>
      <c r="CX203" s="754"/>
      <c r="CY203" s="754"/>
      <c r="CZ203" s="755"/>
    </row>
    <row r="204" spans="1:104" ht="15.75" thickBot="1" x14ac:dyDescent="0.3">
      <c r="B204" s="1027"/>
      <c r="C204" s="865"/>
      <c r="D204" s="865"/>
      <c r="E204" s="865"/>
      <c r="F204" s="865"/>
      <c r="G204" s="865"/>
      <c r="H204" s="865"/>
      <c r="I204" s="865"/>
      <c r="J204" s="865"/>
      <c r="K204" s="865"/>
      <c r="L204" s="865"/>
      <c r="M204" s="865"/>
      <c r="N204" s="865"/>
      <c r="O204" s="865"/>
      <c r="P204" s="865"/>
      <c r="Q204" s="865"/>
      <c r="R204" s="865"/>
      <c r="S204" s="865"/>
      <c r="T204" s="865"/>
      <c r="U204" s="865"/>
      <c r="V204" s="865"/>
      <c r="W204" s="865"/>
      <c r="X204" s="865"/>
      <c r="Y204" s="865"/>
      <c r="Z204" s="921"/>
      <c r="AB204" s="1027"/>
      <c r="AC204" s="865"/>
      <c r="AD204" s="865"/>
      <c r="AE204" s="865"/>
      <c r="AF204" s="865"/>
      <c r="AG204" s="865"/>
      <c r="AH204" s="865"/>
      <c r="AI204" s="865"/>
      <c r="AJ204" s="865"/>
      <c r="AK204" s="865"/>
      <c r="AL204" s="865"/>
      <c r="AM204" s="865"/>
      <c r="AN204" s="865"/>
      <c r="AO204" s="865"/>
      <c r="AP204" s="865"/>
      <c r="AQ204" s="865"/>
      <c r="AR204" s="865"/>
      <c r="AS204" s="865"/>
      <c r="AT204" s="865"/>
      <c r="AU204" s="865"/>
      <c r="AV204" s="865"/>
      <c r="AW204" s="865"/>
      <c r="AX204" s="865"/>
      <c r="AY204" s="865"/>
      <c r="AZ204" s="921"/>
      <c r="BB204" s="644"/>
      <c r="BC204" s="645"/>
      <c r="BD204" s="645"/>
      <c r="BE204" s="645"/>
      <c r="BF204" s="645"/>
      <c r="BG204" s="645"/>
      <c r="BH204" s="1037"/>
      <c r="BI204" s="756"/>
      <c r="BJ204" s="757"/>
      <c r="BK204" s="757"/>
      <c r="BL204" s="757"/>
      <c r="BM204" s="757"/>
      <c r="BN204" s="757"/>
      <c r="BO204" s="757"/>
      <c r="BP204" s="757"/>
      <c r="BQ204" s="757"/>
      <c r="BR204" s="757"/>
      <c r="BS204" s="757"/>
      <c r="BT204" s="757"/>
      <c r="BU204" s="757"/>
      <c r="BV204" s="757"/>
      <c r="BW204" s="757"/>
      <c r="BX204" s="757"/>
      <c r="BY204" s="757"/>
      <c r="BZ204" s="758"/>
      <c r="CB204" s="644"/>
      <c r="CC204" s="645"/>
      <c r="CD204" s="645"/>
      <c r="CE204" s="645"/>
      <c r="CF204" s="645"/>
      <c r="CG204" s="645"/>
      <c r="CH204" s="1037"/>
      <c r="CI204" s="756"/>
      <c r="CJ204" s="757"/>
      <c r="CK204" s="757"/>
      <c r="CL204" s="757"/>
      <c r="CM204" s="757"/>
      <c r="CN204" s="757"/>
      <c r="CO204" s="757"/>
      <c r="CP204" s="757"/>
      <c r="CQ204" s="757"/>
      <c r="CR204" s="757"/>
      <c r="CS204" s="757"/>
      <c r="CT204" s="757"/>
      <c r="CU204" s="757"/>
      <c r="CV204" s="757"/>
      <c r="CW204" s="757"/>
      <c r="CX204" s="757"/>
      <c r="CY204" s="757"/>
      <c r="CZ204" s="758"/>
    </row>
    <row r="205" spans="1:104" ht="15" customHeight="1" x14ac:dyDescent="0.25">
      <c r="B205" s="1028" t="str">
        <f>IF(B206="","",VLOOKUP(B206,BoonRef!$A$2:$Z$900,2,FALSE))</f>
        <v/>
      </c>
      <c r="C205" s="725"/>
      <c r="D205" s="725"/>
      <c r="E205" s="725"/>
      <c r="F205" s="725"/>
      <c r="G205" s="725"/>
      <c r="H205" s="725"/>
      <c r="I205" s="725" t="str">
        <f>IF(B206="","",VLOOKUP(B206,BoonRef!$A$2:$Z$900,3,FALSE))</f>
        <v/>
      </c>
      <c r="J205" s="725"/>
      <c r="K205" s="725" t="str">
        <f>IF(B206="","",VLOOKUP(B206,DescRef!$A$2:$B$900,2,FALSE))</f>
        <v/>
      </c>
      <c r="L205" s="725"/>
      <c r="M205" s="725"/>
      <c r="N205" s="725"/>
      <c r="O205" s="725"/>
      <c r="P205" s="725"/>
      <c r="Q205" s="725"/>
      <c r="R205" s="725"/>
      <c r="S205" s="725"/>
      <c r="T205" s="725"/>
      <c r="U205" s="725"/>
      <c r="V205" s="725"/>
      <c r="W205" s="725"/>
      <c r="X205" s="725"/>
      <c r="Y205" s="725"/>
      <c r="Z205" s="726"/>
      <c r="AB205" s="1028" t="str">
        <f>IF(AB206="","",VLOOKUP(AB206,BoonRef!$A$2:$Z$900,2,FALSE))</f>
        <v/>
      </c>
      <c r="AC205" s="725"/>
      <c r="AD205" s="725"/>
      <c r="AE205" s="725"/>
      <c r="AF205" s="725"/>
      <c r="AG205" s="725"/>
      <c r="AH205" s="725"/>
      <c r="AI205" s="725" t="str">
        <f>IF(AB206="","",VLOOKUP(AB206,BoonRef!$A$2:$Z$900,3,FALSE))</f>
        <v/>
      </c>
      <c r="AJ205" s="725"/>
      <c r="AK205" s="725" t="str">
        <f>IF(AB206="","",VLOOKUP(AB206,DescRef!$A$2:$B$900,2,FALSE))</f>
        <v/>
      </c>
      <c r="AL205" s="725"/>
      <c r="AM205" s="725"/>
      <c r="AN205" s="725"/>
      <c r="AO205" s="725"/>
      <c r="AP205" s="725"/>
      <c r="AQ205" s="725"/>
      <c r="AR205" s="725"/>
      <c r="AS205" s="725"/>
      <c r="AT205" s="725"/>
      <c r="AU205" s="725"/>
      <c r="AV205" s="725"/>
      <c r="AW205" s="725"/>
      <c r="AX205" s="725"/>
      <c r="AY205" s="725"/>
      <c r="AZ205" s="726"/>
      <c r="BB205" s="1029" t="str">
        <f>IF(BB206="","",VLOOKUP(BB206,KanckRef!$A$1:$G$300,2,FALSE))</f>
        <v/>
      </c>
      <c r="BC205" s="1030"/>
      <c r="BD205" s="1030"/>
      <c r="BE205" s="1030"/>
      <c r="BF205" s="1031"/>
      <c r="BG205" s="1048" t="str">
        <f>IF(BB206="","",VLOOKUP(BB206,KanckRef!$A$1:$G$300,6,FALSE))</f>
        <v/>
      </c>
      <c r="BH205" s="1049"/>
      <c r="BI205" s="988" t="str">
        <f>IF(BB206="","",VLOOKUP(BB206,DescRef!$D$2:$E$300,2,FALSE))</f>
        <v/>
      </c>
      <c r="BJ205" s="795"/>
      <c r="BK205" s="795"/>
      <c r="BL205" s="795"/>
      <c r="BM205" s="795"/>
      <c r="BN205" s="795"/>
      <c r="BO205" s="795"/>
      <c r="BP205" s="795"/>
      <c r="BQ205" s="795"/>
      <c r="BR205" s="795"/>
      <c r="BS205" s="795"/>
      <c r="BT205" s="795"/>
      <c r="BU205" s="795"/>
      <c r="BV205" s="795"/>
      <c r="BW205" s="795"/>
      <c r="BX205" s="795"/>
      <c r="BY205" s="795"/>
      <c r="BZ205" s="796"/>
      <c r="CB205" s="1029" t="str">
        <f>IF(CB206="","",VLOOKUP(CB206,KanckRef!$A$1:$G$300,2,FALSE))</f>
        <v/>
      </c>
      <c r="CC205" s="1030"/>
      <c r="CD205" s="1030"/>
      <c r="CE205" s="1030"/>
      <c r="CF205" s="1031"/>
      <c r="CG205" s="1048" t="str">
        <f>IF(CB206="","",VLOOKUP(CB206,KanckRef!$A$1:$G$300,6,FALSE))</f>
        <v/>
      </c>
      <c r="CH205" s="1049"/>
      <c r="CI205" s="988" t="str">
        <f>IF(CB206="","",VLOOKUP(CB206,DescRef!$D$2:$E$300,2,FALSE))</f>
        <v/>
      </c>
      <c r="CJ205" s="795"/>
      <c r="CK205" s="795"/>
      <c r="CL205" s="795"/>
      <c r="CM205" s="795"/>
      <c r="CN205" s="795"/>
      <c r="CO205" s="795"/>
      <c r="CP205" s="795"/>
      <c r="CQ205" s="795"/>
      <c r="CR205" s="795"/>
      <c r="CS205" s="795"/>
      <c r="CT205" s="795"/>
      <c r="CU205" s="795"/>
      <c r="CV205" s="795"/>
      <c r="CW205" s="795"/>
      <c r="CX205" s="795"/>
      <c r="CY205" s="795"/>
      <c r="CZ205" s="796"/>
    </row>
    <row r="206" spans="1:104" ht="15" customHeight="1" x14ac:dyDescent="0.25">
      <c r="A206" s="15">
        <v>34</v>
      </c>
      <c r="B206" s="1026" t="str">
        <f>IF(A206&lt;'Purchased Boons'!$B$496,VLOOKUP(A206,'Purchased Boons'!$BF$2:$BG$900,2,FALSE),"")</f>
        <v/>
      </c>
      <c r="C206" s="727"/>
      <c r="D206" s="727"/>
      <c r="E206" s="727"/>
      <c r="F206" s="727"/>
      <c r="G206" s="727"/>
      <c r="H206" s="727"/>
      <c r="I206" s="727" t="str">
        <f>IF(B206="","",VLOOKUP(B206,BoonRef!$A$2:$Z$900,25,FALSE))</f>
        <v/>
      </c>
      <c r="J206" s="727"/>
      <c r="K206" s="727"/>
      <c r="L206" s="727"/>
      <c r="M206" s="727"/>
      <c r="N206" s="727"/>
      <c r="O206" s="727"/>
      <c r="P206" s="727"/>
      <c r="Q206" s="727"/>
      <c r="R206" s="727"/>
      <c r="S206" s="727"/>
      <c r="T206" s="727"/>
      <c r="U206" s="727"/>
      <c r="V206" s="727"/>
      <c r="W206" s="727"/>
      <c r="X206" s="727"/>
      <c r="Y206" s="727"/>
      <c r="Z206" s="728"/>
      <c r="AA206" s="15">
        <v>141</v>
      </c>
      <c r="AB206" s="1026" t="str">
        <f>IF(AA206&lt;'Purchased Boons'!$B$496,VLOOKUP(AA206,'Purchased Boons'!$BF$2:$BG$900,2,FALSE),"")</f>
        <v/>
      </c>
      <c r="AC206" s="727"/>
      <c r="AD206" s="727"/>
      <c r="AE206" s="727"/>
      <c r="AF206" s="727"/>
      <c r="AG206" s="727"/>
      <c r="AH206" s="727"/>
      <c r="AI206" s="727" t="str">
        <f>IF(AB206="","",VLOOKUP(AB206,BoonRef!$A$2:$Z$900,25,FALSE))</f>
        <v/>
      </c>
      <c r="AJ206" s="727"/>
      <c r="AK206" s="727"/>
      <c r="AL206" s="727"/>
      <c r="AM206" s="727"/>
      <c r="AN206" s="727"/>
      <c r="AO206" s="727"/>
      <c r="AP206" s="727"/>
      <c r="AQ206" s="727"/>
      <c r="AR206" s="727"/>
      <c r="AS206" s="727"/>
      <c r="AT206" s="727"/>
      <c r="AU206" s="727"/>
      <c r="AV206" s="727"/>
      <c r="AW206" s="727"/>
      <c r="AX206" s="727"/>
      <c r="AY206" s="727"/>
      <c r="AZ206" s="728"/>
      <c r="BA206" s="15">
        <v>34</v>
      </c>
      <c r="BB206" s="1038" t="str">
        <f>IF(BA206&lt;'Purchased Knacks'!A$192,VLOOKUP(BA206,'Purchased Knacks'!$A$4:$E$300,3,FALSE),"")</f>
        <v/>
      </c>
      <c r="BC206" s="1039"/>
      <c r="BD206" s="1039"/>
      <c r="BE206" s="1039"/>
      <c r="BF206" s="1040"/>
      <c r="BG206" s="1032" t="str">
        <f>IF(BB206="","",VLOOKUP(BB206,KanckRef!$A$1:$G$300,7,FALSE))</f>
        <v/>
      </c>
      <c r="BH206" s="1033"/>
      <c r="BI206" s="753"/>
      <c r="BJ206" s="754"/>
      <c r="BK206" s="754"/>
      <c r="BL206" s="754"/>
      <c r="BM206" s="754"/>
      <c r="BN206" s="754"/>
      <c r="BO206" s="754"/>
      <c r="BP206" s="754"/>
      <c r="BQ206" s="754"/>
      <c r="BR206" s="754"/>
      <c r="BS206" s="754"/>
      <c r="BT206" s="754"/>
      <c r="BU206" s="754"/>
      <c r="BV206" s="754"/>
      <c r="BW206" s="754"/>
      <c r="BX206" s="754"/>
      <c r="BY206" s="754"/>
      <c r="BZ206" s="755"/>
      <c r="CA206" s="15">
        <v>141</v>
      </c>
      <c r="CB206" s="1038" t="str">
        <f>IF(CA206&lt;'Purchased Knacks'!A$192,VLOOKUP(CA206,'Purchased Knacks'!$A$4:$E$300,3,FALSE),"")</f>
        <v/>
      </c>
      <c r="CC206" s="1039"/>
      <c r="CD206" s="1039"/>
      <c r="CE206" s="1039"/>
      <c r="CF206" s="1040"/>
      <c r="CG206" s="1032" t="str">
        <f>IF(CB206="","",VLOOKUP(CB206,KanckRef!$A$1:$G$300,7,FALSE))</f>
        <v/>
      </c>
      <c r="CH206" s="1033"/>
      <c r="CI206" s="753"/>
      <c r="CJ206" s="754"/>
      <c r="CK206" s="754"/>
      <c r="CL206" s="754"/>
      <c r="CM206" s="754"/>
      <c r="CN206" s="754"/>
      <c r="CO206" s="754"/>
      <c r="CP206" s="754"/>
      <c r="CQ206" s="754"/>
      <c r="CR206" s="754"/>
      <c r="CS206" s="754"/>
      <c r="CT206" s="754"/>
      <c r="CU206" s="754"/>
      <c r="CV206" s="754"/>
      <c r="CW206" s="754"/>
      <c r="CX206" s="754"/>
      <c r="CY206" s="754"/>
      <c r="CZ206" s="755"/>
    </row>
    <row r="207" spans="1:104" x14ac:dyDescent="0.25">
      <c r="B207" s="1026"/>
      <c r="C207" s="727"/>
      <c r="D207" s="727"/>
      <c r="E207" s="727"/>
      <c r="F207" s="727"/>
      <c r="G207" s="727"/>
      <c r="H207" s="727"/>
      <c r="I207" s="727" t="str">
        <f>IF(B206="","",VLOOKUP(B206,BoonRef!$A$2:$Z$900,26,FALSE))</f>
        <v/>
      </c>
      <c r="J207" s="727"/>
      <c r="K207" s="727"/>
      <c r="L207" s="727"/>
      <c r="M207" s="727"/>
      <c r="N207" s="727"/>
      <c r="O207" s="727"/>
      <c r="P207" s="727"/>
      <c r="Q207" s="727"/>
      <c r="R207" s="727"/>
      <c r="S207" s="727"/>
      <c r="T207" s="727"/>
      <c r="U207" s="727"/>
      <c r="V207" s="727"/>
      <c r="W207" s="727"/>
      <c r="X207" s="727"/>
      <c r="Y207" s="727"/>
      <c r="Z207" s="728"/>
      <c r="AB207" s="1026"/>
      <c r="AC207" s="727"/>
      <c r="AD207" s="727"/>
      <c r="AE207" s="727"/>
      <c r="AF207" s="727"/>
      <c r="AG207" s="727"/>
      <c r="AH207" s="727"/>
      <c r="AI207" s="727" t="str">
        <f>IF(AB206="","",VLOOKUP(AB206,BoonRef!$A$2:$Z$900,26,FALSE))</f>
        <v/>
      </c>
      <c r="AJ207" s="727"/>
      <c r="AK207" s="727"/>
      <c r="AL207" s="727"/>
      <c r="AM207" s="727"/>
      <c r="AN207" s="727"/>
      <c r="AO207" s="727"/>
      <c r="AP207" s="727"/>
      <c r="AQ207" s="727"/>
      <c r="AR207" s="727"/>
      <c r="AS207" s="727"/>
      <c r="AT207" s="727"/>
      <c r="AU207" s="727"/>
      <c r="AV207" s="727"/>
      <c r="AW207" s="727"/>
      <c r="AX207" s="727"/>
      <c r="AY207" s="727"/>
      <c r="AZ207" s="728"/>
      <c r="BB207" s="1041"/>
      <c r="BC207" s="1042"/>
      <c r="BD207" s="1042"/>
      <c r="BE207" s="1042"/>
      <c r="BF207" s="1043"/>
      <c r="BG207" s="1034"/>
      <c r="BH207" s="1035"/>
      <c r="BI207" s="753"/>
      <c r="BJ207" s="754"/>
      <c r="BK207" s="754"/>
      <c r="BL207" s="754"/>
      <c r="BM207" s="754"/>
      <c r="BN207" s="754"/>
      <c r="BO207" s="754"/>
      <c r="BP207" s="754"/>
      <c r="BQ207" s="754"/>
      <c r="BR207" s="754"/>
      <c r="BS207" s="754"/>
      <c r="BT207" s="754"/>
      <c r="BU207" s="754"/>
      <c r="BV207" s="754"/>
      <c r="BW207" s="754"/>
      <c r="BX207" s="754"/>
      <c r="BY207" s="754"/>
      <c r="BZ207" s="755"/>
      <c r="CB207" s="1041"/>
      <c r="CC207" s="1042"/>
      <c r="CD207" s="1042"/>
      <c r="CE207" s="1042"/>
      <c r="CF207" s="1043"/>
      <c r="CG207" s="1034"/>
      <c r="CH207" s="1035"/>
      <c r="CI207" s="753"/>
      <c r="CJ207" s="754"/>
      <c r="CK207" s="754"/>
      <c r="CL207" s="754"/>
      <c r="CM207" s="754"/>
      <c r="CN207" s="754"/>
      <c r="CO207" s="754"/>
      <c r="CP207" s="754"/>
      <c r="CQ207" s="754"/>
      <c r="CR207" s="754"/>
      <c r="CS207" s="754"/>
      <c r="CT207" s="754"/>
      <c r="CU207" s="754"/>
      <c r="CV207" s="754"/>
      <c r="CW207" s="754"/>
      <c r="CX207" s="754"/>
      <c r="CY207" s="754"/>
      <c r="CZ207" s="755"/>
    </row>
    <row r="208" spans="1:104" x14ac:dyDescent="0.25">
      <c r="B208" s="1026" t="str">
        <f>IF(B206="","",VLOOKUP(B206,BoonRef!$A$2:$Z$900,24,FALSE))</f>
        <v/>
      </c>
      <c r="C208" s="727"/>
      <c r="D208" s="727"/>
      <c r="E208" s="727"/>
      <c r="F208" s="727"/>
      <c r="G208" s="727"/>
      <c r="H208" s="727"/>
      <c r="I208" s="727"/>
      <c r="J208" s="727"/>
      <c r="K208" s="727"/>
      <c r="L208" s="727"/>
      <c r="M208" s="727"/>
      <c r="N208" s="727"/>
      <c r="O208" s="727"/>
      <c r="P208" s="727"/>
      <c r="Q208" s="727"/>
      <c r="R208" s="727"/>
      <c r="S208" s="727"/>
      <c r="T208" s="727"/>
      <c r="U208" s="727"/>
      <c r="V208" s="727"/>
      <c r="W208" s="727"/>
      <c r="X208" s="727"/>
      <c r="Y208" s="727"/>
      <c r="Z208" s="728"/>
      <c r="AB208" s="1026" t="str">
        <f>IF(AB206="","",VLOOKUP(AB206,BoonRef!$A$2:$Z$900,24,FALSE))</f>
        <v/>
      </c>
      <c r="AC208" s="727"/>
      <c r="AD208" s="727"/>
      <c r="AE208" s="727"/>
      <c r="AF208" s="727"/>
      <c r="AG208" s="727"/>
      <c r="AH208" s="727"/>
      <c r="AI208" s="727"/>
      <c r="AJ208" s="727"/>
      <c r="AK208" s="727"/>
      <c r="AL208" s="727"/>
      <c r="AM208" s="727"/>
      <c r="AN208" s="727"/>
      <c r="AO208" s="727"/>
      <c r="AP208" s="727"/>
      <c r="AQ208" s="727"/>
      <c r="AR208" s="727"/>
      <c r="AS208" s="727"/>
      <c r="AT208" s="727"/>
      <c r="AU208" s="727"/>
      <c r="AV208" s="727"/>
      <c r="AW208" s="727"/>
      <c r="AX208" s="727"/>
      <c r="AY208" s="727"/>
      <c r="AZ208" s="728"/>
      <c r="BB208" s="641" t="str">
        <f>IF(BB206="","",VLOOKUP(BB206,KanckRef!$A$1:$G$300,4,FALSE))</f>
        <v/>
      </c>
      <c r="BC208" s="642"/>
      <c r="BD208" s="642"/>
      <c r="BE208" s="642"/>
      <c r="BF208" s="642"/>
      <c r="BG208" s="642"/>
      <c r="BH208" s="1033"/>
      <c r="BI208" s="753"/>
      <c r="BJ208" s="754"/>
      <c r="BK208" s="754"/>
      <c r="BL208" s="754"/>
      <c r="BM208" s="754"/>
      <c r="BN208" s="754"/>
      <c r="BO208" s="754"/>
      <c r="BP208" s="754"/>
      <c r="BQ208" s="754"/>
      <c r="BR208" s="754"/>
      <c r="BS208" s="754"/>
      <c r="BT208" s="754"/>
      <c r="BU208" s="754"/>
      <c r="BV208" s="754"/>
      <c r="BW208" s="754"/>
      <c r="BX208" s="754"/>
      <c r="BY208" s="754"/>
      <c r="BZ208" s="755"/>
      <c r="CB208" s="641" t="str">
        <f>IF(CB206="","",VLOOKUP(CB206,KanckRef!$A$1:$G$300,4,FALSE))</f>
        <v/>
      </c>
      <c r="CC208" s="642"/>
      <c r="CD208" s="642"/>
      <c r="CE208" s="642"/>
      <c r="CF208" s="642"/>
      <c r="CG208" s="642"/>
      <c r="CH208" s="1033"/>
      <c r="CI208" s="753"/>
      <c r="CJ208" s="754"/>
      <c r="CK208" s="754"/>
      <c r="CL208" s="754"/>
      <c r="CM208" s="754"/>
      <c r="CN208" s="754"/>
      <c r="CO208" s="754"/>
      <c r="CP208" s="754"/>
      <c r="CQ208" s="754"/>
      <c r="CR208" s="754"/>
      <c r="CS208" s="754"/>
      <c r="CT208" s="754"/>
      <c r="CU208" s="754"/>
      <c r="CV208" s="754"/>
      <c r="CW208" s="754"/>
      <c r="CX208" s="754"/>
      <c r="CY208" s="754"/>
      <c r="CZ208" s="755"/>
    </row>
    <row r="209" spans="1:104" x14ac:dyDescent="0.25">
      <c r="B209" s="1026" t="str">
        <f>IF(B206="","",VLOOKUP(B206,BoonRef!$A$2:$Z$900,23,FALSE))</f>
        <v/>
      </c>
      <c r="C209" s="727"/>
      <c r="D209" s="727"/>
      <c r="E209" s="727"/>
      <c r="F209" s="727"/>
      <c r="G209" s="727"/>
      <c r="H209" s="727"/>
      <c r="I209" s="727"/>
      <c r="J209" s="727"/>
      <c r="K209" s="727"/>
      <c r="L209" s="727"/>
      <c r="M209" s="727"/>
      <c r="N209" s="727"/>
      <c r="O209" s="727"/>
      <c r="P209" s="727"/>
      <c r="Q209" s="727"/>
      <c r="R209" s="727"/>
      <c r="S209" s="727"/>
      <c r="T209" s="727"/>
      <c r="U209" s="727"/>
      <c r="V209" s="727"/>
      <c r="W209" s="727"/>
      <c r="X209" s="727"/>
      <c r="Y209" s="727"/>
      <c r="Z209" s="728"/>
      <c r="AB209" s="1026" t="str">
        <f>IF(AB206="","",VLOOKUP(AB206,BoonRef!$A$2:$Z$900,23,FALSE))</f>
        <v/>
      </c>
      <c r="AC209" s="727"/>
      <c r="AD209" s="727"/>
      <c r="AE209" s="727"/>
      <c r="AF209" s="727"/>
      <c r="AG209" s="727"/>
      <c r="AH209" s="727"/>
      <c r="AI209" s="727"/>
      <c r="AJ209" s="727"/>
      <c r="AK209" s="727"/>
      <c r="AL209" s="727"/>
      <c r="AM209" s="727"/>
      <c r="AN209" s="727"/>
      <c r="AO209" s="727"/>
      <c r="AP209" s="727"/>
      <c r="AQ209" s="727"/>
      <c r="AR209" s="727"/>
      <c r="AS209" s="727"/>
      <c r="AT209" s="727"/>
      <c r="AU209" s="727"/>
      <c r="AV209" s="727"/>
      <c r="AW209" s="727"/>
      <c r="AX209" s="727"/>
      <c r="AY209" s="727"/>
      <c r="AZ209" s="728"/>
      <c r="BB209" s="635"/>
      <c r="BC209" s="636"/>
      <c r="BD209" s="636"/>
      <c r="BE209" s="636"/>
      <c r="BF209" s="636"/>
      <c r="BG209" s="636"/>
      <c r="BH209" s="1036"/>
      <c r="BI209" s="753"/>
      <c r="BJ209" s="754"/>
      <c r="BK209" s="754"/>
      <c r="BL209" s="754"/>
      <c r="BM209" s="754"/>
      <c r="BN209" s="754"/>
      <c r="BO209" s="754"/>
      <c r="BP209" s="754"/>
      <c r="BQ209" s="754"/>
      <c r="BR209" s="754"/>
      <c r="BS209" s="754"/>
      <c r="BT209" s="754"/>
      <c r="BU209" s="754"/>
      <c r="BV209" s="754"/>
      <c r="BW209" s="754"/>
      <c r="BX209" s="754"/>
      <c r="BY209" s="754"/>
      <c r="BZ209" s="755"/>
      <c r="CB209" s="635"/>
      <c r="CC209" s="636"/>
      <c r="CD209" s="636"/>
      <c r="CE209" s="636"/>
      <c r="CF209" s="636"/>
      <c r="CG209" s="636"/>
      <c r="CH209" s="1036"/>
      <c r="CI209" s="753"/>
      <c r="CJ209" s="754"/>
      <c r="CK209" s="754"/>
      <c r="CL209" s="754"/>
      <c r="CM209" s="754"/>
      <c r="CN209" s="754"/>
      <c r="CO209" s="754"/>
      <c r="CP209" s="754"/>
      <c r="CQ209" s="754"/>
      <c r="CR209" s="754"/>
      <c r="CS209" s="754"/>
      <c r="CT209" s="754"/>
      <c r="CU209" s="754"/>
      <c r="CV209" s="754"/>
      <c r="CW209" s="754"/>
      <c r="CX209" s="754"/>
      <c r="CY209" s="754"/>
      <c r="CZ209" s="755"/>
    </row>
    <row r="210" spans="1:104" ht="15" customHeight="1" thickBot="1" x14ac:dyDescent="0.3">
      <c r="B210" s="1027"/>
      <c r="C210" s="865"/>
      <c r="D210" s="865"/>
      <c r="E210" s="865"/>
      <c r="F210" s="865"/>
      <c r="G210" s="865"/>
      <c r="H210" s="865"/>
      <c r="I210" s="865"/>
      <c r="J210" s="865"/>
      <c r="K210" s="865"/>
      <c r="L210" s="865"/>
      <c r="M210" s="865"/>
      <c r="N210" s="865"/>
      <c r="O210" s="865"/>
      <c r="P210" s="865"/>
      <c r="Q210" s="865"/>
      <c r="R210" s="865"/>
      <c r="S210" s="865"/>
      <c r="T210" s="865"/>
      <c r="U210" s="865"/>
      <c r="V210" s="865"/>
      <c r="W210" s="865"/>
      <c r="X210" s="865"/>
      <c r="Y210" s="865"/>
      <c r="Z210" s="921"/>
      <c r="AB210" s="1027"/>
      <c r="AC210" s="865"/>
      <c r="AD210" s="865"/>
      <c r="AE210" s="865"/>
      <c r="AF210" s="865"/>
      <c r="AG210" s="865"/>
      <c r="AH210" s="865"/>
      <c r="AI210" s="865"/>
      <c r="AJ210" s="865"/>
      <c r="AK210" s="865"/>
      <c r="AL210" s="865"/>
      <c r="AM210" s="865"/>
      <c r="AN210" s="865"/>
      <c r="AO210" s="865"/>
      <c r="AP210" s="865"/>
      <c r="AQ210" s="865"/>
      <c r="AR210" s="865"/>
      <c r="AS210" s="865"/>
      <c r="AT210" s="865"/>
      <c r="AU210" s="865"/>
      <c r="AV210" s="865"/>
      <c r="AW210" s="865"/>
      <c r="AX210" s="865"/>
      <c r="AY210" s="865"/>
      <c r="AZ210" s="921"/>
      <c r="BB210" s="644"/>
      <c r="BC210" s="645"/>
      <c r="BD210" s="645"/>
      <c r="BE210" s="645"/>
      <c r="BF210" s="645"/>
      <c r="BG210" s="645"/>
      <c r="BH210" s="1037"/>
      <c r="BI210" s="756"/>
      <c r="BJ210" s="757"/>
      <c r="BK210" s="757"/>
      <c r="BL210" s="757"/>
      <c r="BM210" s="757"/>
      <c r="BN210" s="757"/>
      <c r="BO210" s="757"/>
      <c r="BP210" s="757"/>
      <c r="BQ210" s="757"/>
      <c r="BR210" s="757"/>
      <c r="BS210" s="757"/>
      <c r="BT210" s="757"/>
      <c r="BU210" s="757"/>
      <c r="BV210" s="757"/>
      <c r="BW210" s="757"/>
      <c r="BX210" s="757"/>
      <c r="BY210" s="757"/>
      <c r="BZ210" s="758"/>
      <c r="CB210" s="644"/>
      <c r="CC210" s="645"/>
      <c r="CD210" s="645"/>
      <c r="CE210" s="645"/>
      <c r="CF210" s="645"/>
      <c r="CG210" s="645"/>
      <c r="CH210" s="1037"/>
      <c r="CI210" s="756"/>
      <c r="CJ210" s="757"/>
      <c r="CK210" s="757"/>
      <c r="CL210" s="757"/>
      <c r="CM210" s="757"/>
      <c r="CN210" s="757"/>
      <c r="CO210" s="757"/>
      <c r="CP210" s="757"/>
      <c r="CQ210" s="757"/>
      <c r="CR210" s="757"/>
      <c r="CS210" s="757"/>
      <c r="CT210" s="757"/>
      <c r="CU210" s="757"/>
      <c r="CV210" s="757"/>
      <c r="CW210" s="757"/>
      <c r="CX210" s="757"/>
      <c r="CY210" s="757"/>
      <c r="CZ210" s="758"/>
    </row>
    <row r="211" spans="1:104" ht="15" customHeight="1" x14ac:dyDescent="0.25">
      <c r="B211" s="1028" t="str">
        <f>IF(B212="","",VLOOKUP(B212,BoonRef!$A$2:$Z$900,2,FALSE))</f>
        <v/>
      </c>
      <c r="C211" s="725"/>
      <c r="D211" s="725"/>
      <c r="E211" s="725"/>
      <c r="F211" s="725"/>
      <c r="G211" s="725"/>
      <c r="H211" s="725"/>
      <c r="I211" s="725" t="str">
        <f>IF(B212="","",VLOOKUP(B212,BoonRef!$A$2:$Z$900,3,FALSE))</f>
        <v/>
      </c>
      <c r="J211" s="725"/>
      <c r="K211" s="725" t="str">
        <f>IF(B212="","",VLOOKUP(B212,DescRef!$A$2:$B$900,2,FALSE))</f>
        <v/>
      </c>
      <c r="L211" s="725"/>
      <c r="M211" s="725"/>
      <c r="N211" s="725"/>
      <c r="O211" s="725"/>
      <c r="P211" s="725"/>
      <c r="Q211" s="725"/>
      <c r="R211" s="725"/>
      <c r="S211" s="725"/>
      <c r="T211" s="725"/>
      <c r="U211" s="725"/>
      <c r="V211" s="725"/>
      <c r="W211" s="725"/>
      <c r="X211" s="725"/>
      <c r="Y211" s="725"/>
      <c r="Z211" s="726"/>
      <c r="AB211" s="1028" t="str">
        <f>IF(AB212="","",VLOOKUP(AB212,BoonRef!$A$2:$Z$900,2,FALSE))</f>
        <v/>
      </c>
      <c r="AC211" s="725"/>
      <c r="AD211" s="725"/>
      <c r="AE211" s="725"/>
      <c r="AF211" s="725"/>
      <c r="AG211" s="725"/>
      <c r="AH211" s="725"/>
      <c r="AI211" s="725" t="str">
        <f>IF(AB212="","",VLOOKUP(AB212,BoonRef!$A$2:$Z$900,3,FALSE))</f>
        <v/>
      </c>
      <c r="AJ211" s="725"/>
      <c r="AK211" s="725" t="str">
        <f>IF(AB212="","",VLOOKUP(AB212,DescRef!$A$2:$B$900,2,FALSE))</f>
        <v/>
      </c>
      <c r="AL211" s="725"/>
      <c r="AM211" s="725"/>
      <c r="AN211" s="725"/>
      <c r="AO211" s="725"/>
      <c r="AP211" s="725"/>
      <c r="AQ211" s="725"/>
      <c r="AR211" s="725"/>
      <c r="AS211" s="725"/>
      <c r="AT211" s="725"/>
      <c r="AU211" s="725"/>
      <c r="AV211" s="725"/>
      <c r="AW211" s="725"/>
      <c r="AX211" s="725"/>
      <c r="AY211" s="725"/>
      <c r="AZ211" s="726"/>
      <c r="BB211" s="1029" t="str">
        <f>IF(BB212="","",VLOOKUP(BB212,KanckRef!$A$1:$G$300,2,FALSE))</f>
        <v/>
      </c>
      <c r="BC211" s="1030"/>
      <c r="BD211" s="1030"/>
      <c r="BE211" s="1030"/>
      <c r="BF211" s="1031"/>
      <c r="BG211" s="1048" t="str">
        <f>IF(BB212="","",VLOOKUP(BB212,KanckRef!$A$1:$G$300,6,FALSE))</f>
        <v/>
      </c>
      <c r="BH211" s="1049"/>
      <c r="BI211" s="988" t="str">
        <f>IF(BB212="","",VLOOKUP(BB212,DescRef!$D$2:$E$300,2,FALSE))</f>
        <v/>
      </c>
      <c r="BJ211" s="795"/>
      <c r="BK211" s="795"/>
      <c r="BL211" s="795"/>
      <c r="BM211" s="795"/>
      <c r="BN211" s="795"/>
      <c r="BO211" s="795"/>
      <c r="BP211" s="795"/>
      <c r="BQ211" s="795"/>
      <c r="BR211" s="795"/>
      <c r="BS211" s="795"/>
      <c r="BT211" s="795"/>
      <c r="BU211" s="795"/>
      <c r="BV211" s="795"/>
      <c r="BW211" s="795"/>
      <c r="BX211" s="795"/>
      <c r="BY211" s="795"/>
      <c r="BZ211" s="796"/>
      <c r="CB211" s="1029" t="str">
        <f>IF(CB212="","",VLOOKUP(CB212,KanckRef!$A$1:$G$300,2,FALSE))</f>
        <v/>
      </c>
      <c r="CC211" s="1030"/>
      <c r="CD211" s="1030"/>
      <c r="CE211" s="1030"/>
      <c r="CF211" s="1031"/>
      <c r="CG211" s="1048" t="str">
        <f>IF(CB212="","",VLOOKUP(CB212,KanckRef!$A$1:$G$300,6,FALSE))</f>
        <v/>
      </c>
      <c r="CH211" s="1049"/>
      <c r="CI211" s="988" t="str">
        <f>IF(CB212="","",VLOOKUP(CB212,DescRef!$D$2:$E$300,2,FALSE))</f>
        <v/>
      </c>
      <c r="CJ211" s="795"/>
      <c r="CK211" s="795"/>
      <c r="CL211" s="795"/>
      <c r="CM211" s="795"/>
      <c r="CN211" s="795"/>
      <c r="CO211" s="795"/>
      <c r="CP211" s="795"/>
      <c r="CQ211" s="795"/>
      <c r="CR211" s="795"/>
      <c r="CS211" s="795"/>
      <c r="CT211" s="795"/>
      <c r="CU211" s="795"/>
      <c r="CV211" s="795"/>
      <c r="CW211" s="795"/>
      <c r="CX211" s="795"/>
      <c r="CY211" s="795"/>
      <c r="CZ211" s="796"/>
    </row>
    <row r="212" spans="1:104" ht="15" customHeight="1" x14ac:dyDescent="0.25">
      <c r="A212" s="15">
        <v>35</v>
      </c>
      <c r="B212" s="1026" t="str">
        <f>IF(A212&lt;'Purchased Boons'!$B$496,VLOOKUP(A212,'Purchased Boons'!$BF$2:$BG$900,2,FALSE),"")</f>
        <v/>
      </c>
      <c r="C212" s="727"/>
      <c r="D212" s="727"/>
      <c r="E212" s="727"/>
      <c r="F212" s="727"/>
      <c r="G212" s="727"/>
      <c r="H212" s="727"/>
      <c r="I212" s="727" t="str">
        <f>IF(B212="","",VLOOKUP(B212,BoonRef!$A$2:$Z$900,25,FALSE))</f>
        <v/>
      </c>
      <c r="J212" s="727"/>
      <c r="K212" s="727"/>
      <c r="L212" s="727"/>
      <c r="M212" s="727"/>
      <c r="N212" s="727"/>
      <c r="O212" s="727"/>
      <c r="P212" s="727"/>
      <c r="Q212" s="727"/>
      <c r="R212" s="727"/>
      <c r="S212" s="727"/>
      <c r="T212" s="727"/>
      <c r="U212" s="727"/>
      <c r="V212" s="727"/>
      <c r="W212" s="727"/>
      <c r="X212" s="727"/>
      <c r="Y212" s="727"/>
      <c r="Z212" s="728"/>
      <c r="AA212" s="15">
        <v>142</v>
      </c>
      <c r="AB212" s="1026" t="str">
        <f>IF(AA212&lt;'Purchased Boons'!$B$496,VLOOKUP(AA212,'Purchased Boons'!$BF$2:$BG$900,2,FALSE),"")</f>
        <v/>
      </c>
      <c r="AC212" s="727"/>
      <c r="AD212" s="727"/>
      <c r="AE212" s="727"/>
      <c r="AF212" s="727"/>
      <c r="AG212" s="727"/>
      <c r="AH212" s="727"/>
      <c r="AI212" s="727" t="str">
        <f>IF(AB212="","",VLOOKUP(AB212,BoonRef!$A$2:$Z$900,25,FALSE))</f>
        <v/>
      </c>
      <c r="AJ212" s="727"/>
      <c r="AK212" s="727"/>
      <c r="AL212" s="727"/>
      <c r="AM212" s="727"/>
      <c r="AN212" s="727"/>
      <c r="AO212" s="727"/>
      <c r="AP212" s="727"/>
      <c r="AQ212" s="727"/>
      <c r="AR212" s="727"/>
      <c r="AS212" s="727"/>
      <c r="AT212" s="727"/>
      <c r="AU212" s="727"/>
      <c r="AV212" s="727"/>
      <c r="AW212" s="727"/>
      <c r="AX212" s="727"/>
      <c r="AY212" s="727"/>
      <c r="AZ212" s="728"/>
      <c r="BA212" s="15">
        <v>35</v>
      </c>
      <c r="BB212" s="1038" t="str">
        <f>IF(BA212&lt;'Purchased Knacks'!A$192,VLOOKUP(BA212,'Purchased Knacks'!$A$4:$E$300,3,FALSE),"")</f>
        <v/>
      </c>
      <c r="BC212" s="1039"/>
      <c r="BD212" s="1039"/>
      <c r="BE212" s="1039"/>
      <c r="BF212" s="1040"/>
      <c r="BG212" s="1032" t="str">
        <f>IF(BB212="","",VLOOKUP(BB212,KanckRef!$A$1:$G$300,7,FALSE))</f>
        <v/>
      </c>
      <c r="BH212" s="1033"/>
      <c r="BI212" s="753"/>
      <c r="BJ212" s="754"/>
      <c r="BK212" s="754"/>
      <c r="BL212" s="754"/>
      <c r="BM212" s="754"/>
      <c r="BN212" s="754"/>
      <c r="BO212" s="754"/>
      <c r="BP212" s="754"/>
      <c r="BQ212" s="754"/>
      <c r="BR212" s="754"/>
      <c r="BS212" s="754"/>
      <c r="BT212" s="754"/>
      <c r="BU212" s="754"/>
      <c r="BV212" s="754"/>
      <c r="BW212" s="754"/>
      <c r="BX212" s="754"/>
      <c r="BY212" s="754"/>
      <c r="BZ212" s="755"/>
      <c r="CA212" s="15">
        <v>142</v>
      </c>
      <c r="CB212" s="1038" t="str">
        <f>IF(CA212&lt;'Purchased Knacks'!A$192,VLOOKUP(CA212,'Purchased Knacks'!$A$4:$E$300,3,FALSE),"")</f>
        <v/>
      </c>
      <c r="CC212" s="1039"/>
      <c r="CD212" s="1039"/>
      <c r="CE212" s="1039"/>
      <c r="CF212" s="1040"/>
      <c r="CG212" s="1032" t="str">
        <f>IF(CB212="","",VLOOKUP(CB212,KanckRef!$A$1:$G$300,7,FALSE))</f>
        <v/>
      </c>
      <c r="CH212" s="1033"/>
      <c r="CI212" s="753"/>
      <c r="CJ212" s="754"/>
      <c r="CK212" s="754"/>
      <c r="CL212" s="754"/>
      <c r="CM212" s="754"/>
      <c r="CN212" s="754"/>
      <c r="CO212" s="754"/>
      <c r="CP212" s="754"/>
      <c r="CQ212" s="754"/>
      <c r="CR212" s="754"/>
      <c r="CS212" s="754"/>
      <c r="CT212" s="754"/>
      <c r="CU212" s="754"/>
      <c r="CV212" s="754"/>
      <c r="CW212" s="754"/>
      <c r="CX212" s="754"/>
      <c r="CY212" s="754"/>
      <c r="CZ212" s="755"/>
    </row>
    <row r="213" spans="1:104" x14ac:dyDescent="0.25">
      <c r="B213" s="1026"/>
      <c r="C213" s="727"/>
      <c r="D213" s="727"/>
      <c r="E213" s="727"/>
      <c r="F213" s="727"/>
      <c r="G213" s="727"/>
      <c r="H213" s="727"/>
      <c r="I213" s="727" t="str">
        <f>IF(B212="","",VLOOKUP(B212,BoonRef!$A$2:$Z$900,26,FALSE))</f>
        <v/>
      </c>
      <c r="J213" s="727"/>
      <c r="K213" s="727"/>
      <c r="L213" s="727"/>
      <c r="M213" s="727"/>
      <c r="N213" s="727"/>
      <c r="O213" s="727"/>
      <c r="P213" s="727"/>
      <c r="Q213" s="727"/>
      <c r="R213" s="727"/>
      <c r="S213" s="727"/>
      <c r="T213" s="727"/>
      <c r="U213" s="727"/>
      <c r="V213" s="727"/>
      <c r="W213" s="727"/>
      <c r="X213" s="727"/>
      <c r="Y213" s="727"/>
      <c r="Z213" s="728"/>
      <c r="AB213" s="1026"/>
      <c r="AC213" s="727"/>
      <c r="AD213" s="727"/>
      <c r="AE213" s="727"/>
      <c r="AF213" s="727"/>
      <c r="AG213" s="727"/>
      <c r="AH213" s="727"/>
      <c r="AI213" s="727" t="str">
        <f>IF(AB212="","",VLOOKUP(AB212,BoonRef!$A$2:$Z$900,26,FALSE))</f>
        <v/>
      </c>
      <c r="AJ213" s="727"/>
      <c r="AK213" s="727"/>
      <c r="AL213" s="727"/>
      <c r="AM213" s="727"/>
      <c r="AN213" s="727"/>
      <c r="AO213" s="727"/>
      <c r="AP213" s="727"/>
      <c r="AQ213" s="727"/>
      <c r="AR213" s="727"/>
      <c r="AS213" s="727"/>
      <c r="AT213" s="727"/>
      <c r="AU213" s="727"/>
      <c r="AV213" s="727"/>
      <c r="AW213" s="727"/>
      <c r="AX213" s="727"/>
      <c r="AY213" s="727"/>
      <c r="AZ213" s="728"/>
      <c r="BB213" s="1041"/>
      <c r="BC213" s="1042"/>
      <c r="BD213" s="1042"/>
      <c r="BE213" s="1042"/>
      <c r="BF213" s="1043"/>
      <c r="BG213" s="1034"/>
      <c r="BH213" s="1035"/>
      <c r="BI213" s="753"/>
      <c r="BJ213" s="754"/>
      <c r="BK213" s="754"/>
      <c r="BL213" s="754"/>
      <c r="BM213" s="754"/>
      <c r="BN213" s="754"/>
      <c r="BO213" s="754"/>
      <c r="BP213" s="754"/>
      <c r="BQ213" s="754"/>
      <c r="BR213" s="754"/>
      <c r="BS213" s="754"/>
      <c r="BT213" s="754"/>
      <c r="BU213" s="754"/>
      <c r="BV213" s="754"/>
      <c r="BW213" s="754"/>
      <c r="BX213" s="754"/>
      <c r="BY213" s="754"/>
      <c r="BZ213" s="755"/>
      <c r="CB213" s="1041"/>
      <c r="CC213" s="1042"/>
      <c r="CD213" s="1042"/>
      <c r="CE213" s="1042"/>
      <c r="CF213" s="1043"/>
      <c r="CG213" s="1034"/>
      <c r="CH213" s="1035"/>
      <c r="CI213" s="753"/>
      <c r="CJ213" s="754"/>
      <c r="CK213" s="754"/>
      <c r="CL213" s="754"/>
      <c r="CM213" s="754"/>
      <c r="CN213" s="754"/>
      <c r="CO213" s="754"/>
      <c r="CP213" s="754"/>
      <c r="CQ213" s="754"/>
      <c r="CR213" s="754"/>
      <c r="CS213" s="754"/>
      <c r="CT213" s="754"/>
      <c r="CU213" s="754"/>
      <c r="CV213" s="754"/>
      <c r="CW213" s="754"/>
      <c r="CX213" s="754"/>
      <c r="CY213" s="754"/>
      <c r="CZ213" s="755"/>
    </row>
    <row r="214" spans="1:104" x14ac:dyDescent="0.25">
      <c r="B214" s="1026" t="str">
        <f>IF(B212="","",VLOOKUP(B212,BoonRef!$A$2:$Z$900,24,FALSE))</f>
        <v/>
      </c>
      <c r="C214" s="727"/>
      <c r="D214" s="727"/>
      <c r="E214" s="727"/>
      <c r="F214" s="727"/>
      <c r="G214" s="727"/>
      <c r="H214" s="727"/>
      <c r="I214" s="727"/>
      <c r="J214" s="727"/>
      <c r="K214" s="727"/>
      <c r="L214" s="727"/>
      <c r="M214" s="727"/>
      <c r="N214" s="727"/>
      <c r="O214" s="727"/>
      <c r="P214" s="727"/>
      <c r="Q214" s="727"/>
      <c r="R214" s="727"/>
      <c r="S214" s="727"/>
      <c r="T214" s="727"/>
      <c r="U214" s="727"/>
      <c r="V214" s="727"/>
      <c r="W214" s="727"/>
      <c r="X214" s="727"/>
      <c r="Y214" s="727"/>
      <c r="Z214" s="728"/>
      <c r="AB214" s="1026" t="str">
        <f>IF(AB212="","",VLOOKUP(AB212,BoonRef!$A$2:$Z$900,24,FALSE))</f>
        <v/>
      </c>
      <c r="AC214" s="727"/>
      <c r="AD214" s="727"/>
      <c r="AE214" s="727"/>
      <c r="AF214" s="727"/>
      <c r="AG214" s="727"/>
      <c r="AH214" s="727"/>
      <c r="AI214" s="727"/>
      <c r="AJ214" s="727"/>
      <c r="AK214" s="727"/>
      <c r="AL214" s="727"/>
      <c r="AM214" s="727"/>
      <c r="AN214" s="727"/>
      <c r="AO214" s="727"/>
      <c r="AP214" s="727"/>
      <c r="AQ214" s="727"/>
      <c r="AR214" s="727"/>
      <c r="AS214" s="727"/>
      <c r="AT214" s="727"/>
      <c r="AU214" s="727"/>
      <c r="AV214" s="727"/>
      <c r="AW214" s="727"/>
      <c r="AX214" s="727"/>
      <c r="AY214" s="727"/>
      <c r="AZ214" s="728"/>
      <c r="BB214" s="641" t="str">
        <f>IF(BB212="","",VLOOKUP(BB212,KanckRef!$A$1:$G$300,4,FALSE))</f>
        <v/>
      </c>
      <c r="BC214" s="642"/>
      <c r="BD214" s="642"/>
      <c r="BE214" s="642"/>
      <c r="BF214" s="642"/>
      <c r="BG214" s="642"/>
      <c r="BH214" s="1033"/>
      <c r="BI214" s="753"/>
      <c r="BJ214" s="754"/>
      <c r="BK214" s="754"/>
      <c r="BL214" s="754"/>
      <c r="BM214" s="754"/>
      <c r="BN214" s="754"/>
      <c r="BO214" s="754"/>
      <c r="BP214" s="754"/>
      <c r="BQ214" s="754"/>
      <c r="BR214" s="754"/>
      <c r="BS214" s="754"/>
      <c r="BT214" s="754"/>
      <c r="BU214" s="754"/>
      <c r="BV214" s="754"/>
      <c r="BW214" s="754"/>
      <c r="BX214" s="754"/>
      <c r="BY214" s="754"/>
      <c r="BZ214" s="755"/>
      <c r="CB214" s="641" t="str">
        <f>IF(CB212="","",VLOOKUP(CB212,KanckRef!$A$1:$G$300,4,FALSE))</f>
        <v/>
      </c>
      <c r="CC214" s="642"/>
      <c r="CD214" s="642"/>
      <c r="CE214" s="642"/>
      <c r="CF214" s="642"/>
      <c r="CG214" s="642"/>
      <c r="CH214" s="1033"/>
      <c r="CI214" s="753"/>
      <c r="CJ214" s="754"/>
      <c r="CK214" s="754"/>
      <c r="CL214" s="754"/>
      <c r="CM214" s="754"/>
      <c r="CN214" s="754"/>
      <c r="CO214" s="754"/>
      <c r="CP214" s="754"/>
      <c r="CQ214" s="754"/>
      <c r="CR214" s="754"/>
      <c r="CS214" s="754"/>
      <c r="CT214" s="754"/>
      <c r="CU214" s="754"/>
      <c r="CV214" s="754"/>
      <c r="CW214" s="754"/>
      <c r="CX214" s="754"/>
      <c r="CY214" s="754"/>
      <c r="CZ214" s="755"/>
    </row>
    <row r="215" spans="1:104" ht="15" customHeight="1" x14ac:dyDescent="0.25">
      <c r="B215" s="1026" t="str">
        <f>IF(B212="","",VLOOKUP(B212,BoonRef!$A$2:$Z$900,23,FALSE))</f>
        <v/>
      </c>
      <c r="C215" s="727"/>
      <c r="D215" s="727"/>
      <c r="E215" s="727"/>
      <c r="F215" s="727"/>
      <c r="G215" s="727"/>
      <c r="H215" s="727"/>
      <c r="I215" s="727"/>
      <c r="J215" s="727"/>
      <c r="K215" s="727"/>
      <c r="L215" s="727"/>
      <c r="M215" s="727"/>
      <c r="N215" s="727"/>
      <c r="O215" s="727"/>
      <c r="P215" s="727"/>
      <c r="Q215" s="727"/>
      <c r="R215" s="727"/>
      <c r="S215" s="727"/>
      <c r="T215" s="727"/>
      <c r="U215" s="727"/>
      <c r="V215" s="727"/>
      <c r="W215" s="727"/>
      <c r="X215" s="727"/>
      <c r="Y215" s="727"/>
      <c r="Z215" s="728"/>
      <c r="AB215" s="1026" t="str">
        <f>IF(AB212="","",VLOOKUP(AB212,BoonRef!$A$2:$Z$900,23,FALSE))</f>
        <v/>
      </c>
      <c r="AC215" s="727"/>
      <c r="AD215" s="727"/>
      <c r="AE215" s="727"/>
      <c r="AF215" s="727"/>
      <c r="AG215" s="727"/>
      <c r="AH215" s="727"/>
      <c r="AI215" s="727"/>
      <c r="AJ215" s="727"/>
      <c r="AK215" s="727"/>
      <c r="AL215" s="727"/>
      <c r="AM215" s="727"/>
      <c r="AN215" s="727"/>
      <c r="AO215" s="727"/>
      <c r="AP215" s="727"/>
      <c r="AQ215" s="727"/>
      <c r="AR215" s="727"/>
      <c r="AS215" s="727"/>
      <c r="AT215" s="727"/>
      <c r="AU215" s="727"/>
      <c r="AV215" s="727"/>
      <c r="AW215" s="727"/>
      <c r="AX215" s="727"/>
      <c r="AY215" s="727"/>
      <c r="AZ215" s="728"/>
      <c r="BB215" s="635"/>
      <c r="BC215" s="636"/>
      <c r="BD215" s="636"/>
      <c r="BE215" s="636"/>
      <c r="BF215" s="636"/>
      <c r="BG215" s="636"/>
      <c r="BH215" s="1036"/>
      <c r="BI215" s="753"/>
      <c r="BJ215" s="754"/>
      <c r="BK215" s="754"/>
      <c r="BL215" s="754"/>
      <c r="BM215" s="754"/>
      <c r="BN215" s="754"/>
      <c r="BO215" s="754"/>
      <c r="BP215" s="754"/>
      <c r="BQ215" s="754"/>
      <c r="BR215" s="754"/>
      <c r="BS215" s="754"/>
      <c r="BT215" s="754"/>
      <c r="BU215" s="754"/>
      <c r="BV215" s="754"/>
      <c r="BW215" s="754"/>
      <c r="BX215" s="754"/>
      <c r="BY215" s="754"/>
      <c r="BZ215" s="755"/>
      <c r="CB215" s="635"/>
      <c r="CC215" s="636"/>
      <c r="CD215" s="636"/>
      <c r="CE215" s="636"/>
      <c r="CF215" s="636"/>
      <c r="CG215" s="636"/>
      <c r="CH215" s="1036"/>
      <c r="CI215" s="753"/>
      <c r="CJ215" s="754"/>
      <c r="CK215" s="754"/>
      <c r="CL215" s="754"/>
      <c r="CM215" s="754"/>
      <c r="CN215" s="754"/>
      <c r="CO215" s="754"/>
      <c r="CP215" s="754"/>
      <c r="CQ215" s="754"/>
      <c r="CR215" s="754"/>
      <c r="CS215" s="754"/>
      <c r="CT215" s="754"/>
      <c r="CU215" s="754"/>
      <c r="CV215" s="754"/>
      <c r="CW215" s="754"/>
      <c r="CX215" s="754"/>
      <c r="CY215" s="754"/>
      <c r="CZ215" s="755"/>
    </row>
    <row r="216" spans="1:104" ht="15" customHeight="1" thickBot="1" x14ac:dyDescent="0.3">
      <c r="B216" s="1027"/>
      <c r="C216" s="865"/>
      <c r="D216" s="865"/>
      <c r="E216" s="865"/>
      <c r="F216" s="865"/>
      <c r="G216" s="865"/>
      <c r="H216" s="865"/>
      <c r="I216" s="865"/>
      <c r="J216" s="865"/>
      <c r="K216" s="865"/>
      <c r="L216" s="865"/>
      <c r="M216" s="865"/>
      <c r="N216" s="865"/>
      <c r="O216" s="865"/>
      <c r="P216" s="865"/>
      <c r="Q216" s="865"/>
      <c r="R216" s="865"/>
      <c r="S216" s="865"/>
      <c r="T216" s="865"/>
      <c r="U216" s="865"/>
      <c r="V216" s="865"/>
      <c r="W216" s="865"/>
      <c r="X216" s="865"/>
      <c r="Y216" s="865"/>
      <c r="Z216" s="921"/>
      <c r="AB216" s="1027"/>
      <c r="AC216" s="865"/>
      <c r="AD216" s="865"/>
      <c r="AE216" s="865"/>
      <c r="AF216" s="865"/>
      <c r="AG216" s="865"/>
      <c r="AH216" s="865"/>
      <c r="AI216" s="865"/>
      <c r="AJ216" s="865"/>
      <c r="AK216" s="865"/>
      <c r="AL216" s="865"/>
      <c r="AM216" s="865"/>
      <c r="AN216" s="865"/>
      <c r="AO216" s="865"/>
      <c r="AP216" s="865"/>
      <c r="AQ216" s="865"/>
      <c r="AR216" s="865"/>
      <c r="AS216" s="865"/>
      <c r="AT216" s="865"/>
      <c r="AU216" s="865"/>
      <c r="AV216" s="865"/>
      <c r="AW216" s="865"/>
      <c r="AX216" s="865"/>
      <c r="AY216" s="865"/>
      <c r="AZ216" s="921"/>
      <c r="BB216" s="644"/>
      <c r="BC216" s="645"/>
      <c r="BD216" s="645"/>
      <c r="BE216" s="645"/>
      <c r="BF216" s="645"/>
      <c r="BG216" s="645"/>
      <c r="BH216" s="1037"/>
      <c r="BI216" s="756"/>
      <c r="BJ216" s="757"/>
      <c r="BK216" s="757"/>
      <c r="BL216" s="757"/>
      <c r="BM216" s="757"/>
      <c r="BN216" s="757"/>
      <c r="BO216" s="757"/>
      <c r="BP216" s="757"/>
      <c r="BQ216" s="757"/>
      <c r="BR216" s="757"/>
      <c r="BS216" s="757"/>
      <c r="BT216" s="757"/>
      <c r="BU216" s="757"/>
      <c r="BV216" s="757"/>
      <c r="BW216" s="757"/>
      <c r="BX216" s="757"/>
      <c r="BY216" s="757"/>
      <c r="BZ216" s="758"/>
      <c r="CB216" s="644"/>
      <c r="CC216" s="645"/>
      <c r="CD216" s="645"/>
      <c r="CE216" s="645"/>
      <c r="CF216" s="645"/>
      <c r="CG216" s="645"/>
      <c r="CH216" s="1037"/>
      <c r="CI216" s="756"/>
      <c r="CJ216" s="757"/>
      <c r="CK216" s="757"/>
      <c r="CL216" s="757"/>
      <c r="CM216" s="757"/>
      <c r="CN216" s="757"/>
      <c r="CO216" s="757"/>
      <c r="CP216" s="757"/>
      <c r="CQ216" s="757"/>
      <c r="CR216" s="757"/>
      <c r="CS216" s="757"/>
      <c r="CT216" s="757"/>
      <c r="CU216" s="757"/>
      <c r="CV216" s="757"/>
      <c r="CW216" s="757"/>
      <c r="CX216" s="757"/>
      <c r="CY216" s="757"/>
      <c r="CZ216" s="758"/>
    </row>
    <row r="217" spans="1:104" x14ac:dyDescent="0.25">
      <c r="B217" s="1028" t="str">
        <f>IF(B218="","",VLOOKUP(B218,BoonRef!$A$2:$Z$900,2,FALSE))</f>
        <v/>
      </c>
      <c r="C217" s="725"/>
      <c r="D217" s="725"/>
      <c r="E217" s="725"/>
      <c r="F217" s="725"/>
      <c r="G217" s="725"/>
      <c r="H217" s="725"/>
      <c r="I217" s="725" t="str">
        <f>IF(B218="","",VLOOKUP(B218,BoonRef!$A$2:$Z$900,3,FALSE))</f>
        <v/>
      </c>
      <c r="J217" s="725"/>
      <c r="K217" s="725" t="str">
        <f>IF(B218="","",VLOOKUP(B218,DescRef!$A$2:$B$900,2,FALSE))</f>
        <v/>
      </c>
      <c r="L217" s="725"/>
      <c r="M217" s="725"/>
      <c r="N217" s="725"/>
      <c r="O217" s="725"/>
      <c r="P217" s="725"/>
      <c r="Q217" s="725"/>
      <c r="R217" s="725"/>
      <c r="S217" s="725"/>
      <c r="T217" s="725"/>
      <c r="U217" s="725"/>
      <c r="V217" s="725"/>
      <c r="W217" s="725"/>
      <c r="X217" s="725"/>
      <c r="Y217" s="725"/>
      <c r="Z217" s="726"/>
      <c r="AB217" s="1028" t="str">
        <f>IF(AB218="","",VLOOKUP(AB218,BoonRef!$A$2:$Z$900,2,FALSE))</f>
        <v/>
      </c>
      <c r="AC217" s="725"/>
      <c r="AD217" s="725"/>
      <c r="AE217" s="725"/>
      <c r="AF217" s="725"/>
      <c r="AG217" s="725"/>
      <c r="AH217" s="725"/>
      <c r="AI217" s="725" t="str">
        <f>IF(AB218="","",VLOOKUP(AB218,BoonRef!$A$2:$Z$900,3,FALSE))</f>
        <v/>
      </c>
      <c r="AJ217" s="725"/>
      <c r="AK217" s="725" t="str">
        <f>IF(AB218="","",VLOOKUP(AB218,DescRef!$A$2:$B$900,2,FALSE))</f>
        <v/>
      </c>
      <c r="AL217" s="725"/>
      <c r="AM217" s="725"/>
      <c r="AN217" s="725"/>
      <c r="AO217" s="725"/>
      <c r="AP217" s="725"/>
      <c r="AQ217" s="725"/>
      <c r="AR217" s="725"/>
      <c r="AS217" s="725"/>
      <c r="AT217" s="725"/>
      <c r="AU217" s="725"/>
      <c r="AV217" s="725"/>
      <c r="AW217" s="725"/>
      <c r="AX217" s="725"/>
      <c r="AY217" s="725"/>
      <c r="AZ217" s="726"/>
      <c r="BB217" s="1029" t="str">
        <f>IF(BB218="","",VLOOKUP(BB218,KanckRef!$A$1:$G$300,2,FALSE))</f>
        <v/>
      </c>
      <c r="BC217" s="1030"/>
      <c r="BD217" s="1030"/>
      <c r="BE217" s="1030"/>
      <c r="BF217" s="1031"/>
      <c r="BG217" s="1048" t="str">
        <f>IF(BB218="","",VLOOKUP(BB218,KanckRef!$A$1:$G$300,6,FALSE))</f>
        <v/>
      </c>
      <c r="BH217" s="1049"/>
      <c r="BI217" s="988" t="str">
        <f>IF(BB218="","",VLOOKUP(BB218,DescRef!$D$2:$E$300,2,FALSE))</f>
        <v/>
      </c>
      <c r="BJ217" s="795"/>
      <c r="BK217" s="795"/>
      <c r="BL217" s="795"/>
      <c r="BM217" s="795"/>
      <c r="BN217" s="795"/>
      <c r="BO217" s="795"/>
      <c r="BP217" s="795"/>
      <c r="BQ217" s="795"/>
      <c r="BR217" s="795"/>
      <c r="BS217" s="795"/>
      <c r="BT217" s="795"/>
      <c r="BU217" s="795"/>
      <c r="BV217" s="795"/>
      <c r="BW217" s="795"/>
      <c r="BX217" s="795"/>
      <c r="BY217" s="795"/>
      <c r="BZ217" s="796"/>
      <c r="CB217" s="1029" t="str">
        <f>IF(CB218="","",VLOOKUP(CB218,KanckRef!$A$1:$G$300,2,FALSE))</f>
        <v/>
      </c>
      <c r="CC217" s="1030"/>
      <c r="CD217" s="1030"/>
      <c r="CE217" s="1030"/>
      <c r="CF217" s="1031"/>
      <c r="CG217" s="1048" t="str">
        <f>IF(CB218="","",VLOOKUP(CB218,KanckRef!$A$1:$G$300,6,FALSE))</f>
        <v/>
      </c>
      <c r="CH217" s="1049"/>
      <c r="CI217" s="988" t="str">
        <f>IF(CB218="","",VLOOKUP(CB218,DescRef!$D$2:$E$300,2,FALSE))</f>
        <v/>
      </c>
      <c r="CJ217" s="795"/>
      <c r="CK217" s="795"/>
      <c r="CL217" s="795"/>
      <c r="CM217" s="795"/>
      <c r="CN217" s="795"/>
      <c r="CO217" s="795"/>
      <c r="CP217" s="795"/>
      <c r="CQ217" s="795"/>
      <c r="CR217" s="795"/>
      <c r="CS217" s="795"/>
      <c r="CT217" s="795"/>
      <c r="CU217" s="795"/>
      <c r="CV217" s="795"/>
      <c r="CW217" s="795"/>
      <c r="CX217" s="795"/>
      <c r="CY217" s="795"/>
      <c r="CZ217" s="796"/>
    </row>
    <row r="218" spans="1:104" ht="15" customHeight="1" x14ac:dyDescent="0.25">
      <c r="A218" s="15">
        <v>36</v>
      </c>
      <c r="B218" s="1026" t="str">
        <f>IF(A218&lt;'Purchased Boons'!$B$496,VLOOKUP(A218,'Purchased Boons'!$BF$2:$BG$900,2,FALSE),"")</f>
        <v/>
      </c>
      <c r="C218" s="727"/>
      <c r="D218" s="727"/>
      <c r="E218" s="727"/>
      <c r="F218" s="727"/>
      <c r="G218" s="727"/>
      <c r="H218" s="727"/>
      <c r="I218" s="727" t="str">
        <f>IF(B218="","",VLOOKUP(B218,BoonRef!$A$2:$Z$900,25,FALSE))</f>
        <v/>
      </c>
      <c r="J218" s="727"/>
      <c r="K218" s="727"/>
      <c r="L218" s="727"/>
      <c r="M218" s="727"/>
      <c r="N218" s="727"/>
      <c r="O218" s="727"/>
      <c r="P218" s="727"/>
      <c r="Q218" s="727"/>
      <c r="R218" s="727"/>
      <c r="S218" s="727"/>
      <c r="T218" s="727"/>
      <c r="U218" s="727"/>
      <c r="V218" s="727"/>
      <c r="W218" s="727"/>
      <c r="X218" s="727"/>
      <c r="Y218" s="727"/>
      <c r="Z218" s="728"/>
      <c r="AA218" s="15">
        <v>143</v>
      </c>
      <c r="AB218" s="1026" t="str">
        <f>IF(AA218&lt;'Purchased Boons'!$B$496,VLOOKUP(AA218,'Purchased Boons'!$BF$2:$BG$900,2,FALSE),"")</f>
        <v/>
      </c>
      <c r="AC218" s="727"/>
      <c r="AD218" s="727"/>
      <c r="AE218" s="727"/>
      <c r="AF218" s="727"/>
      <c r="AG218" s="727"/>
      <c r="AH218" s="727"/>
      <c r="AI218" s="727" t="str">
        <f>IF(AB218="","",VLOOKUP(AB218,BoonRef!$A$2:$Z$900,25,FALSE))</f>
        <v/>
      </c>
      <c r="AJ218" s="727"/>
      <c r="AK218" s="727"/>
      <c r="AL218" s="727"/>
      <c r="AM218" s="727"/>
      <c r="AN218" s="727"/>
      <c r="AO218" s="727"/>
      <c r="AP218" s="727"/>
      <c r="AQ218" s="727"/>
      <c r="AR218" s="727"/>
      <c r="AS218" s="727"/>
      <c r="AT218" s="727"/>
      <c r="AU218" s="727"/>
      <c r="AV218" s="727"/>
      <c r="AW218" s="727"/>
      <c r="AX218" s="727"/>
      <c r="AY218" s="727"/>
      <c r="AZ218" s="728"/>
      <c r="BA218" s="15">
        <v>36</v>
      </c>
      <c r="BB218" s="1038" t="str">
        <f>IF(BA218&lt;'Purchased Knacks'!A$192,VLOOKUP(BA218,'Purchased Knacks'!$A$4:$E$300,3,FALSE),"")</f>
        <v/>
      </c>
      <c r="BC218" s="1039"/>
      <c r="BD218" s="1039"/>
      <c r="BE218" s="1039"/>
      <c r="BF218" s="1040"/>
      <c r="BG218" s="1032" t="str">
        <f>IF(BB218="","",VLOOKUP(BB218,KanckRef!$A$1:$G$300,7,FALSE))</f>
        <v/>
      </c>
      <c r="BH218" s="1033"/>
      <c r="BI218" s="753"/>
      <c r="BJ218" s="754"/>
      <c r="BK218" s="754"/>
      <c r="BL218" s="754"/>
      <c r="BM218" s="754"/>
      <c r="BN218" s="754"/>
      <c r="BO218" s="754"/>
      <c r="BP218" s="754"/>
      <c r="BQ218" s="754"/>
      <c r="BR218" s="754"/>
      <c r="BS218" s="754"/>
      <c r="BT218" s="754"/>
      <c r="BU218" s="754"/>
      <c r="BV218" s="754"/>
      <c r="BW218" s="754"/>
      <c r="BX218" s="754"/>
      <c r="BY218" s="754"/>
      <c r="BZ218" s="755"/>
      <c r="CA218" s="15">
        <v>143</v>
      </c>
      <c r="CB218" s="1038" t="str">
        <f>IF(CA218&lt;'Purchased Knacks'!A$192,VLOOKUP(CA218,'Purchased Knacks'!$A$4:$E$300,3,FALSE),"")</f>
        <v/>
      </c>
      <c r="CC218" s="1039"/>
      <c r="CD218" s="1039"/>
      <c r="CE218" s="1039"/>
      <c r="CF218" s="1040"/>
      <c r="CG218" s="1032" t="str">
        <f>IF(CB218="","",VLOOKUP(CB218,KanckRef!$A$1:$G$300,7,FALSE))</f>
        <v/>
      </c>
      <c r="CH218" s="1033"/>
      <c r="CI218" s="753"/>
      <c r="CJ218" s="754"/>
      <c r="CK218" s="754"/>
      <c r="CL218" s="754"/>
      <c r="CM218" s="754"/>
      <c r="CN218" s="754"/>
      <c r="CO218" s="754"/>
      <c r="CP218" s="754"/>
      <c r="CQ218" s="754"/>
      <c r="CR218" s="754"/>
      <c r="CS218" s="754"/>
      <c r="CT218" s="754"/>
      <c r="CU218" s="754"/>
      <c r="CV218" s="754"/>
      <c r="CW218" s="754"/>
      <c r="CX218" s="754"/>
      <c r="CY218" s="754"/>
      <c r="CZ218" s="755"/>
    </row>
    <row r="219" spans="1:104" x14ac:dyDescent="0.25">
      <c r="B219" s="1026"/>
      <c r="C219" s="727"/>
      <c r="D219" s="727"/>
      <c r="E219" s="727"/>
      <c r="F219" s="727"/>
      <c r="G219" s="727"/>
      <c r="H219" s="727"/>
      <c r="I219" s="727" t="str">
        <f>IF(B218="","",VLOOKUP(B218,BoonRef!$A$2:$Z$900,26,FALSE))</f>
        <v/>
      </c>
      <c r="J219" s="727"/>
      <c r="K219" s="727"/>
      <c r="L219" s="727"/>
      <c r="M219" s="727"/>
      <c r="N219" s="727"/>
      <c r="O219" s="727"/>
      <c r="P219" s="727"/>
      <c r="Q219" s="727"/>
      <c r="R219" s="727"/>
      <c r="S219" s="727"/>
      <c r="T219" s="727"/>
      <c r="U219" s="727"/>
      <c r="V219" s="727"/>
      <c r="W219" s="727"/>
      <c r="X219" s="727"/>
      <c r="Y219" s="727"/>
      <c r="Z219" s="728"/>
      <c r="AB219" s="1026"/>
      <c r="AC219" s="727"/>
      <c r="AD219" s="727"/>
      <c r="AE219" s="727"/>
      <c r="AF219" s="727"/>
      <c r="AG219" s="727"/>
      <c r="AH219" s="727"/>
      <c r="AI219" s="727" t="str">
        <f>IF(AB218="","",VLOOKUP(AB218,BoonRef!$A$2:$Z$900,26,FALSE))</f>
        <v/>
      </c>
      <c r="AJ219" s="727"/>
      <c r="AK219" s="727"/>
      <c r="AL219" s="727"/>
      <c r="AM219" s="727"/>
      <c r="AN219" s="727"/>
      <c r="AO219" s="727"/>
      <c r="AP219" s="727"/>
      <c r="AQ219" s="727"/>
      <c r="AR219" s="727"/>
      <c r="AS219" s="727"/>
      <c r="AT219" s="727"/>
      <c r="AU219" s="727"/>
      <c r="AV219" s="727"/>
      <c r="AW219" s="727"/>
      <c r="AX219" s="727"/>
      <c r="AY219" s="727"/>
      <c r="AZ219" s="728"/>
      <c r="BB219" s="1041"/>
      <c r="BC219" s="1042"/>
      <c r="BD219" s="1042"/>
      <c r="BE219" s="1042"/>
      <c r="BF219" s="1043"/>
      <c r="BG219" s="1034"/>
      <c r="BH219" s="1035"/>
      <c r="BI219" s="753"/>
      <c r="BJ219" s="754"/>
      <c r="BK219" s="754"/>
      <c r="BL219" s="754"/>
      <c r="BM219" s="754"/>
      <c r="BN219" s="754"/>
      <c r="BO219" s="754"/>
      <c r="BP219" s="754"/>
      <c r="BQ219" s="754"/>
      <c r="BR219" s="754"/>
      <c r="BS219" s="754"/>
      <c r="BT219" s="754"/>
      <c r="BU219" s="754"/>
      <c r="BV219" s="754"/>
      <c r="BW219" s="754"/>
      <c r="BX219" s="754"/>
      <c r="BY219" s="754"/>
      <c r="BZ219" s="755"/>
      <c r="CB219" s="1041"/>
      <c r="CC219" s="1042"/>
      <c r="CD219" s="1042"/>
      <c r="CE219" s="1042"/>
      <c r="CF219" s="1043"/>
      <c r="CG219" s="1034"/>
      <c r="CH219" s="1035"/>
      <c r="CI219" s="753"/>
      <c r="CJ219" s="754"/>
      <c r="CK219" s="754"/>
      <c r="CL219" s="754"/>
      <c r="CM219" s="754"/>
      <c r="CN219" s="754"/>
      <c r="CO219" s="754"/>
      <c r="CP219" s="754"/>
      <c r="CQ219" s="754"/>
      <c r="CR219" s="754"/>
      <c r="CS219" s="754"/>
      <c r="CT219" s="754"/>
      <c r="CU219" s="754"/>
      <c r="CV219" s="754"/>
      <c r="CW219" s="754"/>
      <c r="CX219" s="754"/>
      <c r="CY219" s="754"/>
      <c r="CZ219" s="755"/>
    </row>
    <row r="220" spans="1:104" ht="15" customHeight="1" x14ac:dyDescent="0.25">
      <c r="B220" s="1026" t="str">
        <f>IF(B218="","",VLOOKUP(B218,BoonRef!$A$2:$Z$900,24,FALSE))</f>
        <v/>
      </c>
      <c r="C220" s="727"/>
      <c r="D220" s="727"/>
      <c r="E220" s="727"/>
      <c r="F220" s="727"/>
      <c r="G220" s="727"/>
      <c r="H220" s="727"/>
      <c r="I220" s="727"/>
      <c r="J220" s="727"/>
      <c r="K220" s="727"/>
      <c r="L220" s="727"/>
      <c r="M220" s="727"/>
      <c r="N220" s="727"/>
      <c r="O220" s="727"/>
      <c r="P220" s="727"/>
      <c r="Q220" s="727"/>
      <c r="R220" s="727"/>
      <c r="S220" s="727"/>
      <c r="T220" s="727"/>
      <c r="U220" s="727"/>
      <c r="V220" s="727"/>
      <c r="W220" s="727"/>
      <c r="X220" s="727"/>
      <c r="Y220" s="727"/>
      <c r="Z220" s="728"/>
      <c r="AB220" s="1026" t="str">
        <f>IF(AB218="","",VLOOKUP(AB218,BoonRef!$A$2:$Z$900,24,FALSE))</f>
        <v/>
      </c>
      <c r="AC220" s="727"/>
      <c r="AD220" s="727"/>
      <c r="AE220" s="727"/>
      <c r="AF220" s="727"/>
      <c r="AG220" s="727"/>
      <c r="AH220" s="727"/>
      <c r="AI220" s="727"/>
      <c r="AJ220" s="727"/>
      <c r="AK220" s="727"/>
      <c r="AL220" s="727"/>
      <c r="AM220" s="727"/>
      <c r="AN220" s="727"/>
      <c r="AO220" s="727"/>
      <c r="AP220" s="727"/>
      <c r="AQ220" s="727"/>
      <c r="AR220" s="727"/>
      <c r="AS220" s="727"/>
      <c r="AT220" s="727"/>
      <c r="AU220" s="727"/>
      <c r="AV220" s="727"/>
      <c r="AW220" s="727"/>
      <c r="AX220" s="727"/>
      <c r="AY220" s="727"/>
      <c r="AZ220" s="728"/>
      <c r="BB220" s="641" t="str">
        <f>IF(BB218="","",VLOOKUP(BB218,KanckRef!$A$1:$G$300,4,FALSE))</f>
        <v/>
      </c>
      <c r="BC220" s="642"/>
      <c r="BD220" s="642"/>
      <c r="BE220" s="642"/>
      <c r="BF220" s="642"/>
      <c r="BG220" s="642"/>
      <c r="BH220" s="1033"/>
      <c r="BI220" s="753"/>
      <c r="BJ220" s="754"/>
      <c r="BK220" s="754"/>
      <c r="BL220" s="754"/>
      <c r="BM220" s="754"/>
      <c r="BN220" s="754"/>
      <c r="BO220" s="754"/>
      <c r="BP220" s="754"/>
      <c r="BQ220" s="754"/>
      <c r="BR220" s="754"/>
      <c r="BS220" s="754"/>
      <c r="BT220" s="754"/>
      <c r="BU220" s="754"/>
      <c r="BV220" s="754"/>
      <c r="BW220" s="754"/>
      <c r="BX220" s="754"/>
      <c r="BY220" s="754"/>
      <c r="BZ220" s="755"/>
      <c r="CB220" s="641" t="str">
        <f>IF(CB218="","",VLOOKUP(CB218,KanckRef!$A$1:$G$300,4,FALSE))</f>
        <v/>
      </c>
      <c r="CC220" s="642"/>
      <c r="CD220" s="642"/>
      <c r="CE220" s="642"/>
      <c r="CF220" s="642"/>
      <c r="CG220" s="642"/>
      <c r="CH220" s="1033"/>
      <c r="CI220" s="753"/>
      <c r="CJ220" s="754"/>
      <c r="CK220" s="754"/>
      <c r="CL220" s="754"/>
      <c r="CM220" s="754"/>
      <c r="CN220" s="754"/>
      <c r="CO220" s="754"/>
      <c r="CP220" s="754"/>
      <c r="CQ220" s="754"/>
      <c r="CR220" s="754"/>
      <c r="CS220" s="754"/>
      <c r="CT220" s="754"/>
      <c r="CU220" s="754"/>
      <c r="CV220" s="754"/>
      <c r="CW220" s="754"/>
      <c r="CX220" s="754"/>
      <c r="CY220" s="754"/>
      <c r="CZ220" s="755"/>
    </row>
    <row r="221" spans="1:104" ht="15" customHeight="1" x14ac:dyDescent="0.25">
      <c r="B221" s="1026" t="str">
        <f>IF(B218="","",VLOOKUP(B218,BoonRef!$A$2:$Z$900,23,FALSE))</f>
        <v/>
      </c>
      <c r="C221" s="727"/>
      <c r="D221" s="727"/>
      <c r="E221" s="727"/>
      <c r="F221" s="727"/>
      <c r="G221" s="727"/>
      <c r="H221" s="727"/>
      <c r="I221" s="727"/>
      <c r="J221" s="727"/>
      <c r="K221" s="727"/>
      <c r="L221" s="727"/>
      <c r="M221" s="727"/>
      <c r="N221" s="727"/>
      <c r="O221" s="727"/>
      <c r="P221" s="727"/>
      <c r="Q221" s="727"/>
      <c r="R221" s="727"/>
      <c r="S221" s="727"/>
      <c r="T221" s="727"/>
      <c r="U221" s="727"/>
      <c r="V221" s="727"/>
      <c r="W221" s="727"/>
      <c r="X221" s="727"/>
      <c r="Y221" s="727"/>
      <c r="Z221" s="728"/>
      <c r="AB221" s="1026" t="str">
        <f>IF(AB218="","",VLOOKUP(AB218,BoonRef!$A$2:$Z$900,23,FALSE))</f>
        <v/>
      </c>
      <c r="AC221" s="727"/>
      <c r="AD221" s="727"/>
      <c r="AE221" s="727"/>
      <c r="AF221" s="727"/>
      <c r="AG221" s="727"/>
      <c r="AH221" s="727"/>
      <c r="AI221" s="727"/>
      <c r="AJ221" s="727"/>
      <c r="AK221" s="727"/>
      <c r="AL221" s="727"/>
      <c r="AM221" s="727"/>
      <c r="AN221" s="727"/>
      <c r="AO221" s="727"/>
      <c r="AP221" s="727"/>
      <c r="AQ221" s="727"/>
      <c r="AR221" s="727"/>
      <c r="AS221" s="727"/>
      <c r="AT221" s="727"/>
      <c r="AU221" s="727"/>
      <c r="AV221" s="727"/>
      <c r="AW221" s="727"/>
      <c r="AX221" s="727"/>
      <c r="AY221" s="727"/>
      <c r="AZ221" s="728"/>
      <c r="BB221" s="635"/>
      <c r="BC221" s="636"/>
      <c r="BD221" s="636"/>
      <c r="BE221" s="636"/>
      <c r="BF221" s="636"/>
      <c r="BG221" s="636"/>
      <c r="BH221" s="1036"/>
      <c r="BI221" s="753"/>
      <c r="BJ221" s="754"/>
      <c r="BK221" s="754"/>
      <c r="BL221" s="754"/>
      <c r="BM221" s="754"/>
      <c r="BN221" s="754"/>
      <c r="BO221" s="754"/>
      <c r="BP221" s="754"/>
      <c r="BQ221" s="754"/>
      <c r="BR221" s="754"/>
      <c r="BS221" s="754"/>
      <c r="BT221" s="754"/>
      <c r="BU221" s="754"/>
      <c r="BV221" s="754"/>
      <c r="BW221" s="754"/>
      <c r="BX221" s="754"/>
      <c r="BY221" s="754"/>
      <c r="BZ221" s="755"/>
      <c r="CB221" s="635"/>
      <c r="CC221" s="636"/>
      <c r="CD221" s="636"/>
      <c r="CE221" s="636"/>
      <c r="CF221" s="636"/>
      <c r="CG221" s="636"/>
      <c r="CH221" s="1036"/>
      <c r="CI221" s="753"/>
      <c r="CJ221" s="754"/>
      <c r="CK221" s="754"/>
      <c r="CL221" s="754"/>
      <c r="CM221" s="754"/>
      <c r="CN221" s="754"/>
      <c r="CO221" s="754"/>
      <c r="CP221" s="754"/>
      <c r="CQ221" s="754"/>
      <c r="CR221" s="754"/>
      <c r="CS221" s="754"/>
      <c r="CT221" s="754"/>
      <c r="CU221" s="754"/>
      <c r="CV221" s="754"/>
      <c r="CW221" s="754"/>
      <c r="CX221" s="754"/>
      <c r="CY221" s="754"/>
      <c r="CZ221" s="755"/>
    </row>
    <row r="222" spans="1:104" ht="15.75" thickBot="1" x14ac:dyDescent="0.3">
      <c r="B222" s="1027"/>
      <c r="C222" s="865"/>
      <c r="D222" s="865"/>
      <c r="E222" s="865"/>
      <c r="F222" s="865"/>
      <c r="G222" s="865"/>
      <c r="H222" s="865"/>
      <c r="I222" s="865"/>
      <c r="J222" s="865"/>
      <c r="K222" s="865"/>
      <c r="L222" s="865"/>
      <c r="M222" s="865"/>
      <c r="N222" s="865"/>
      <c r="O222" s="865"/>
      <c r="P222" s="865"/>
      <c r="Q222" s="865"/>
      <c r="R222" s="865"/>
      <c r="S222" s="865"/>
      <c r="T222" s="865"/>
      <c r="U222" s="865"/>
      <c r="V222" s="865"/>
      <c r="W222" s="865"/>
      <c r="X222" s="865"/>
      <c r="Y222" s="865"/>
      <c r="Z222" s="921"/>
      <c r="AB222" s="1027"/>
      <c r="AC222" s="865"/>
      <c r="AD222" s="865"/>
      <c r="AE222" s="865"/>
      <c r="AF222" s="865"/>
      <c r="AG222" s="865"/>
      <c r="AH222" s="865"/>
      <c r="AI222" s="865"/>
      <c r="AJ222" s="865"/>
      <c r="AK222" s="865"/>
      <c r="AL222" s="865"/>
      <c r="AM222" s="865"/>
      <c r="AN222" s="865"/>
      <c r="AO222" s="865"/>
      <c r="AP222" s="865"/>
      <c r="AQ222" s="865"/>
      <c r="AR222" s="865"/>
      <c r="AS222" s="865"/>
      <c r="AT222" s="865"/>
      <c r="AU222" s="865"/>
      <c r="AV222" s="865"/>
      <c r="AW222" s="865"/>
      <c r="AX222" s="865"/>
      <c r="AY222" s="865"/>
      <c r="AZ222" s="921"/>
      <c r="BB222" s="644"/>
      <c r="BC222" s="645"/>
      <c r="BD222" s="645"/>
      <c r="BE222" s="645"/>
      <c r="BF222" s="645"/>
      <c r="BG222" s="645"/>
      <c r="BH222" s="1037"/>
      <c r="BI222" s="756"/>
      <c r="BJ222" s="757"/>
      <c r="BK222" s="757"/>
      <c r="BL222" s="757"/>
      <c r="BM222" s="757"/>
      <c r="BN222" s="757"/>
      <c r="BO222" s="757"/>
      <c r="BP222" s="757"/>
      <c r="BQ222" s="757"/>
      <c r="BR222" s="757"/>
      <c r="BS222" s="757"/>
      <c r="BT222" s="757"/>
      <c r="BU222" s="757"/>
      <c r="BV222" s="757"/>
      <c r="BW222" s="757"/>
      <c r="BX222" s="757"/>
      <c r="BY222" s="757"/>
      <c r="BZ222" s="758"/>
      <c r="CB222" s="644"/>
      <c r="CC222" s="645"/>
      <c r="CD222" s="645"/>
      <c r="CE222" s="645"/>
      <c r="CF222" s="645"/>
      <c r="CG222" s="645"/>
      <c r="CH222" s="1037"/>
      <c r="CI222" s="756"/>
      <c r="CJ222" s="757"/>
      <c r="CK222" s="757"/>
      <c r="CL222" s="757"/>
      <c r="CM222" s="757"/>
      <c r="CN222" s="757"/>
      <c r="CO222" s="757"/>
      <c r="CP222" s="757"/>
      <c r="CQ222" s="757"/>
      <c r="CR222" s="757"/>
      <c r="CS222" s="757"/>
      <c r="CT222" s="757"/>
      <c r="CU222" s="757"/>
      <c r="CV222" s="757"/>
      <c r="CW222" s="757"/>
      <c r="CX222" s="757"/>
      <c r="CY222" s="757"/>
      <c r="CZ222" s="758"/>
    </row>
    <row r="223" spans="1:104" x14ac:dyDescent="0.25">
      <c r="B223" s="1028" t="str">
        <f>IF(B224="","",VLOOKUP(B224,BoonRef!$A$2:$Z$900,2,FALSE))</f>
        <v/>
      </c>
      <c r="C223" s="725"/>
      <c r="D223" s="725"/>
      <c r="E223" s="725"/>
      <c r="F223" s="725"/>
      <c r="G223" s="725"/>
      <c r="H223" s="725"/>
      <c r="I223" s="725" t="str">
        <f>IF(B224="","",VLOOKUP(B224,BoonRef!$A$2:$Z$900,3,FALSE))</f>
        <v/>
      </c>
      <c r="J223" s="725"/>
      <c r="K223" s="725" t="str">
        <f>IF(B224="","",VLOOKUP(B224,DescRef!$A$2:$B$900,2,FALSE))</f>
        <v/>
      </c>
      <c r="L223" s="725"/>
      <c r="M223" s="725"/>
      <c r="N223" s="725"/>
      <c r="O223" s="725"/>
      <c r="P223" s="725"/>
      <c r="Q223" s="725"/>
      <c r="R223" s="725"/>
      <c r="S223" s="725"/>
      <c r="T223" s="725"/>
      <c r="U223" s="725"/>
      <c r="V223" s="725"/>
      <c r="W223" s="725"/>
      <c r="X223" s="725"/>
      <c r="Y223" s="725"/>
      <c r="Z223" s="726"/>
      <c r="AB223" s="1028" t="str">
        <f>IF(AB224="","",VLOOKUP(AB224,BoonRef!$A$2:$Z$900,2,FALSE))</f>
        <v/>
      </c>
      <c r="AC223" s="725"/>
      <c r="AD223" s="725"/>
      <c r="AE223" s="725"/>
      <c r="AF223" s="725"/>
      <c r="AG223" s="725"/>
      <c r="AH223" s="725"/>
      <c r="AI223" s="725" t="str">
        <f>IF(AB224="","",VLOOKUP(AB224,BoonRef!$A$2:$Z$900,3,FALSE))</f>
        <v/>
      </c>
      <c r="AJ223" s="725"/>
      <c r="AK223" s="725" t="str">
        <f>IF(AB224="","",VLOOKUP(AB224,DescRef!$A$2:$B$900,2,FALSE))</f>
        <v/>
      </c>
      <c r="AL223" s="725"/>
      <c r="AM223" s="725"/>
      <c r="AN223" s="725"/>
      <c r="AO223" s="725"/>
      <c r="AP223" s="725"/>
      <c r="AQ223" s="725"/>
      <c r="AR223" s="725"/>
      <c r="AS223" s="725"/>
      <c r="AT223" s="725"/>
      <c r="AU223" s="725"/>
      <c r="AV223" s="725"/>
      <c r="AW223" s="725"/>
      <c r="AX223" s="725"/>
      <c r="AY223" s="725"/>
      <c r="AZ223" s="726"/>
      <c r="BB223" s="1029" t="str">
        <f>IF(BB224="","",VLOOKUP(BB224,KanckRef!$A$1:$G$300,2,FALSE))</f>
        <v/>
      </c>
      <c r="BC223" s="1030"/>
      <c r="BD223" s="1030"/>
      <c r="BE223" s="1030"/>
      <c r="BF223" s="1031"/>
      <c r="BG223" s="1048" t="str">
        <f>IF(BB224="","",VLOOKUP(BB224,KanckRef!$A$1:$G$300,6,FALSE))</f>
        <v/>
      </c>
      <c r="BH223" s="1049"/>
      <c r="BI223" s="988" t="str">
        <f>IF(BB224="","",VLOOKUP(BB224,DescRef!$D$2:$E$300,2,FALSE))</f>
        <v/>
      </c>
      <c r="BJ223" s="795"/>
      <c r="BK223" s="795"/>
      <c r="BL223" s="795"/>
      <c r="BM223" s="795"/>
      <c r="BN223" s="795"/>
      <c r="BO223" s="795"/>
      <c r="BP223" s="795"/>
      <c r="BQ223" s="795"/>
      <c r="BR223" s="795"/>
      <c r="BS223" s="795"/>
      <c r="BT223" s="795"/>
      <c r="BU223" s="795"/>
      <c r="BV223" s="795"/>
      <c r="BW223" s="795"/>
      <c r="BX223" s="795"/>
      <c r="BY223" s="795"/>
      <c r="BZ223" s="796"/>
      <c r="CB223" s="1029" t="str">
        <f>IF(CB224="","",VLOOKUP(CB224,KanckRef!$A$1:$G$300,2,FALSE))</f>
        <v/>
      </c>
      <c r="CC223" s="1030"/>
      <c r="CD223" s="1030"/>
      <c r="CE223" s="1030"/>
      <c r="CF223" s="1031"/>
      <c r="CG223" s="1048" t="str">
        <f>IF(CB224="","",VLOOKUP(CB224,KanckRef!$A$1:$G$300,6,FALSE))</f>
        <v/>
      </c>
      <c r="CH223" s="1049"/>
      <c r="CI223" s="988" t="str">
        <f>IF(CB224="","",VLOOKUP(CB224,DescRef!$D$2:$E$300,2,FALSE))</f>
        <v/>
      </c>
      <c r="CJ223" s="795"/>
      <c r="CK223" s="795"/>
      <c r="CL223" s="795"/>
      <c r="CM223" s="795"/>
      <c r="CN223" s="795"/>
      <c r="CO223" s="795"/>
      <c r="CP223" s="795"/>
      <c r="CQ223" s="795"/>
      <c r="CR223" s="795"/>
      <c r="CS223" s="795"/>
      <c r="CT223" s="795"/>
      <c r="CU223" s="795"/>
      <c r="CV223" s="795"/>
      <c r="CW223" s="795"/>
      <c r="CX223" s="795"/>
      <c r="CY223" s="795"/>
      <c r="CZ223" s="796"/>
    </row>
    <row r="224" spans="1:104" ht="15" customHeight="1" x14ac:dyDescent="0.25">
      <c r="A224" s="15">
        <v>37</v>
      </c>
      <c r="B224" s="1026" t="str">
        <f>IF(A224&lt;'Purchased Boons'!$B$496,VLOOKUP(A224,'Purchased Boons'!$BF$2:$BG$900,2,FALSE),"")</f>
        <v/>
      </c>
      <c r="C224" s="727"/>
      <c r="D224" s="727"/>
      <c r="E224" s="727"/>
      <c r="F224" s="727"/>
      <c r="G224" s="727"/>
      <c r="H224" s="727"/>
      <c r="I224" s="727" t="str">
        <f>IF(B224="","",VLOOKUP(B224,BoonRef!$A$2:$Z$900,25,FALSE))</f>
        <v/>
      </c>
      <c r="J224" s="727"/>
      <c r="K224" s="727"/>
      <c r="L224" s="727"/>
      <c r="M224" s="727"/>
      <c r="N224" s="727"/>
      <c r="O224" s="727"/>
      <c r="P224" s="727"/>
      <c r="Q224" s="727"/>
      <c r="R224" s="727"/>
      <c r="S224" s="727"/>
      <c r="T224" s="727"/>
      <c r="U224" s="727"/>
      <c r="V224" s="727"/>
      <c r="W224" s="727"/>
      <c r="X224" s="727"/>
      <c r="Y224" s="727"/>
      <c r="Z224" s="728"/>
      <c r="AA224" s="15">
        <v>144</v>
      </c>
      <c r="AB224" s="1026" t="str">
        <f>IF(AA224&lt;'Purchased Boons'!$B$496,VLOOKUP(AA224,'Purchased Boons'!$BF$2:$BG$900,2,FALSE),"")</f>
        <v/>
      </c>
      <c r="AC224" s="727"/>
      <c r="AD224" s="727"/>
      <c r="AE224" s="727"/>
      <c r="AF224" s="727"/>
      <c r="AG224" s="727"/>
      <c r="AH224" s="727"/>
      <c r="AI224" s="727" t="str">
        <f>IF(AB224="","",VLOOKUP(AB224,BoonRef!$A$2:$Z$900,25,FALSE))</f>
        <v/>
      </c>
      <c r="AJ224" s="727"/>
      <c r="AK224" s="727"/>
      <c r="AL224" s="727"/>
      <c r="AM224" s="727"/>
      <c r="AN224" s="727"/>
      <c r="AO224" s="727"/>
      <c r="AP224" s="727"/>
      <c r="AQ224" s="727"/>
      <c r="AR224" s="727"/>
      <c r="AS224" s="727"/>
      <c r="AT224" s="727"/>
      <c r="AU224" s="727"/>
      <c r="AV224" s="727"/>
      <c r="AW224" s="727"/>
      <c r="AX224" s="727"/>
      <c r="AY224" s="727"/>
      <c r="AZ224" s="728"/>
      <c r="BA224" s="15">
        <v>37</v>
      </c>
      <c r="BB224" s="1038" t="str">
        <f>IF(BA224&lt;'Purchased Knacks'!A$192,VLOOKUP(BA224,'Purchased Knacks'!$A$4:$E$300,3,FALSE),"")</f>
        <v/>
      </c>
      <c r="BC224" s="1039"/>
      <c r="BD224" s="1039"/>
      <c r="BE224" s="1039"/>
      <c r="BF224" s="1040"/>
      <c r="BG224" s="1032" t="str">
        <f>IF(BB224="","",VLOOKUP(BB224,KanckRef!$A$1:$G$300,7,FALSE))</f>
        <v/>
      </c>
      <c r="BH224" s="1033"/>
      <c r="BI224" s="753"/>
      <c r="BJ224" s="754"/>
      <c r="BK224" s="754"/>
      <c r="BL224" s="754"/>
      <c r="BM224" s="754"/>
      <c r="BN224" s="754"/>
      <c r="BO224" s="754"/>
      <c r="BP224" s="754"/>
      <c r="BQ224" s="754"/>
      <c r="BR224" s="754"/>
      <c r="BS224" s="754"/>
      <c r="BT224" s="754"/>
      <c r="BU224" s="754"/>
      <c r="BV224" s="754"/>
      <c r="BW224" s="754"/>
      <c r="BX224" s="754"/>
      <c r="BY224" s="754"/>
      <c r="BZ224" s="755"/>
      <c r="CA224" s="15">
        <v>144</v>
      </c>
      <c r="CB224" s="1038" t="str">
        <f>IF(CA224&lt;'Purchased Knacks'!A$192,VLOOKUP(CA224,'Purchased Knacks'!$A$4:$E$300,3,FALSE),"")</f>
        <v/>
      </c>
      <c r="CC224" s="1039"/>
      <c r="CD224" s="1039"/>
      <c r="CE224" s="1039"/>
      <c r="CF224" s="1040"/>
      <c r="CG224" s="1032" t="str">
        <f>IF(CB224="","",VLOOKUP(CB224,KanckRef!$A$1:$G$300,7,FALSE))</f>
        <v/>
      </c>
      <c r="CH224" s="1033"/>
      <c r="CI224" s="753"/>
      <c r="CJ224" s="754"/>
      <c r="CK224" s="754"/>
      <c r="CL224" s="754"/>
      <c r="CM224" s="754"/>
      <c r="CN224" s="754"/>
      <c r="CO224" s="754"/>
      <c r="CP224" s="754"/>
      <c r="CQ224" s="754"/>
      <c r="CR224" s="754"/>
      <c r="CS224" s="754"/>
      <c r="CT224" s="754"/>
      <c r="CU224" s="754"/>
      <c r="CV224" s="754"/>
      <c r="CW224" s="754"/>
      <c r="CX224" s="754"/>
      <c r="CY224" s="754"/>
      <c r="CZ224" s="755"/>
    </row>
    <row r="225" spans="1:104" ht="15" customHeight="1" x14ac:dyDescent="0.25">
      <c r="B225" s="1026"/>
      <c r="C225" s="727"/>
      <c r="D225" s="727"/>
      <c r="E225" s="727"/>
      <c r="F225" s="727"/>
      <c r="G225" s="727"/>
      <c r="H225" s="727"/>
      <c r="I225" s="727" t="str">
        <f>IF(B224="","",VLOOKUP(B224,BoonRef!$A$2:$Z$900,26,FALSE))</f>
        <v/>
      </c>
      <c r="J225" s="727"/>
      <c r="K225" s="727"/>
      <c r="L225" s="727"/>
      <c r="M225" s="727"/>
      <c r="N225" s="727"/>
      <c r="O225" s="727"/>
      <c r="P225" s="727"/>
      <c r="Q225" s="727"/>
      <c r="R225" s="727"/>
      <c r="S225" s="727"/>
      <c r="T225" s="727"/>
      <c r="U225" s="727"/>
      <c r="V225" s="727"/>
      <c r="W225" s="727"/>
      <c r="X225" s="727"/>
      <c r="Y225" s="727"/>
      <c r="Z225" s="728"/>
      <c r="AB225" s="1026"/>
      <c r="AC225" s="727"/>
      <c r="AD225" s="727"/>
      <c r="AE225" s="727"/>
      <c r="AF225" s="727"/>
      <c r="AG225" s="727"/>
      <c r="AH225" s="727"/>
      <c r="AI225" s="727" t="str">
        <f>IF(AB224="","",VLOOKUP(AB224,BoonRef!$A$2:$Z$900,26,FALSE))</f>
        <v/>
      </c>
      <c r="AJ225" s="727"/>
      <c r="AK225" s="727"/>
      <c r="AL225" s="727"/>
      <c r="AM225" s="727"/>
      <c r="AN225" s="727"/>
      <c r="AO225" s="727"/>
      <c r="AP225" s="727"/>
      <c r="AQ225" s="727"/>
      <c r="AR225" s="727"/>
      <c r="AS225" s="727"/>
      <c r="AT225" s="727"/>
      <c r="AU225" s="727"/>
      <c r="AV225" s="727"/>
      <c r="AW225" s="727"/>
      <c r="AX225" s="727"/>
      <c r="AY225" s="727"/>
      <c r="AZ225" s="728"/>
      <c r="BB225" s="1041"/>
      <c r="BC225" s="1042"/>
      <c r="BD225" s="1042"/>
      <c r="BE225" s="1042"/>
      <c r="BF225" s="1043"/>
      <c r="BG225" s="1034"/>
      <c r="BH225" s="1035"/>
      <c r="BI225" s="753"/>
      <c r="BJ225" s="754"/>
      <c r="BK225" s="754"/>
      <c r="BL225" s="754"/>
      <c r="BM225" s="754"/>
      <c r="BN225" s="754"/>
      <c r="BO225" s="754"/>
      <c r="BP225" s="754"/>
      <c r="BQ225" s="754"/>
      <c r="BR225" s="754"/>
      <c r="BS225" s="754"/>
      <c r="BT225" s="754"/>
      <c r="BU225" s="754"/>
      <c r="BV225" s="754"/>
      <c r="BW225" s="754"/>
      <c r="BX225" s="754"/>
      <c r="BY225" s="754"/>
      <c r="BZ225" s="755"/>
      <c r="CB225" s="1041"/>
      <c r="CC225" s="1042"/>
      <c r="CD225" s="1042"/>
      <c r="CE225" s="1042"/>
      <c r="CF225" s="1043"/>
      <c r="CG225" s="1034"/>
      <c r="CH225" s="1035"/>
      <c r="CI225" s="753"/>
      <c r="CJ225" s="754"/>
      <c r="CK225" s="754"/>
      <c r="CL225" s="754"/>
      <c r="CM225" s="754"/>
      <c r="CN225" s="754"/>
      <c r="CO225" s="754"/>
      <c r="CP225" s="754"/>
      <c r="CQ225" s="754"/>
      <c r="CR225" s="754"/>
      <c r="CS225" s="754"/>
      <c r="CT225" s="754"/>
      <c r="CU225" s="754"/>
      <c r="CV225" s="754"/>
      <c r="CW225" s="754"/>
      <c r="CX225" s="754"/>
      <c r="CY225" s="754"/>
      <c r="CZ225" s="755"/>
    </row>
    <row r="226" spans="1:104" ht="15" customHeight="1" x14ac:dyDescent="0.25">
      <c r="B226" s="1026" t="str">
        <f>IF(B224="","",VLOOKUP(B224,BoonRef!$A$2:$Z$900,24,FALSE))</f>
        <v/>
      </c>
      <c r="C226" s="727"/>
      <c r="D226" s="727"/>
      <c r="E226" s="727"/>
      <c r="F226" s="727"/>
      <c r="G226" s="727"/>
      <c r="H226" s="727"/>
      <c r="I226" s="727"/>
      <c r="J226" s="727"/>
      <c r="K226" s="727"/>
      <c r="L226" s="727"/>
      <c r="M226" s="727"/>
      <c r="N226" s="727"/>
      <c r="O226" s="727"/>
      <c r="P226" s="727"/>
      <c r="Q226" s="727"/>
      <c r="R226" s="727"/>
      <c r="S226" s="727"/>
      <c r="T226" s="727"/>
      <c r="U226" s="727"/>
      <c r="V226" s="727"/>
      <c r="W226" s="727"/>
      <c r="X226" s="727"/>
      <c r="Y226" s="727"/>
      <c r="Z226" s="728"/>
      <c r="AB226" s="1026" t="str">
        <f>IF(AB224="","",VLOOKUP(AB224,BoonRef!$A$2:$Z$900,24,FALSE))</f>
        <v/>
      </c>
      <c r="AC226" s="727"/>
      <c r="AD226" s="727"/>
      <c r="AE226" s="727"/>
      <c r="AF226" s="727"/>
      <c r="AG226" s="727"/>
      <c r="AH226" s="727"/>
      <c r="AI226" s="727"/>
      <c r="AJ226" s="727"/>
      <c r="AK226" s="727"/>
      <c r="AL226" s="727"/>
      <c r="AM226" s="727"/>
      <c r="AN226" s="727"/>
      <c r="AO226" s="727"/>
      <c r="AP226" s="727"/>
      <c r="AQ226" s="727"/>
      <c r="AR226" s="727"/>
      <c r="AS226" s="727"/>
      <c r="AT226" s="727"/>
      <c r="AU226" s="727"/>
      <c r="AV226" s="727"/>
      <c r="AW226" s="727"/>
      <c r="AX226" s="727"/>
      <c r="AY226" s="727"/>
      <c r="AZ226" s="728"/>
      <c r="BB226" s="641" t="str">
        <f>IF(BB224="","",VLOOKUP(BB224,KanckRef!$A$1:$G$300,4,FALSE))</f>
        <v/>
      </c>
      <c r="BC226" s="642"/>
      <c r="BD226" s="642"/>
      <c r="BE226" s="642"/>
      <c r="BF226" s="642"/>
      <c r="BG226" s="642"/>
      <c r="BH226" s="1033"/>
      <c r="BI226" s="753"/>
      <c r="BJ226" s="754"/>
      <c r="BK226" s="754"/>
      <c r="BL226" s="754"/>
      <c r="BM226" s="754"/>
      <c r="BN226" s="754"/>
      <c r="BO226" s="754"/>
      <c r="BP226" s="754"/>
      <c r="BQ226" s="754"/>
      <c r="BR226" s="754"/>
      <c r="BS226" s="754"/>
      <c r="BT226" s="754"/>
      <c r="BU226" s="754"/>
      <c r="BV226" s="754"/>
      <c r="BW226" s="754"/>
      <c r="BX226" s="754"/>
      <c r="BY226" s="754"/>
      <c r="BZ226" s="755"/>
      <c r="CB226" s="641" t="str">
        <f>IF(CB224="","",VLOOKUP(CB224,KanckRef!$A$1:$G$300,4,FALSE))</f>
        <v/>
      </c>
      <c r="CC226" s="642"/>
      <c r="CD226" s="642"/>
      <c r="CE226" s="642"/>
      <c r="CF226" s="642"/>
      <c r="CG226" s="642"/>
      <c r="CH226" s="1033"/>
      <c r="CI226" s="753"/>
      <c r="CJ226" s="754"/>
      <c r="CK226" s="754"/>
      <c r="CL226" s="754"/>
      <c r="CM226" s="754"/>
      <c r="CN226" s="754"/>
      <c r="CO226" s="754"/>
      <c r="CP226" s="754"/>
      <c r="CQ226" s="754"/>
      <c r="CR226" s="754"/>
      <c r="CS226" s="754"/>
      <c r="CT226" s="754"/>
      <c r="CU226" s="754"/>
      <c r="CV226" s="754"/>
      <c r="CW226" s="754"/>
      <c r="CX226" s="754"/>
      <c r="CY226" s="754"/>
      <c r="CZ226" s="755"/>
    </row>
    <row r="227" spans="1:104" x14ac:dyDescent="0.25">
      <c r="B227" s="1026" t="str">
        <f>IF(B224="","",VLOOKUP(B224,BoonRef!$A$2:$Z$900,23,FALSE))</f>
        <v/>
      </c>
      <c r="C227" s="727"/>
      <c r="D227" s="727"/>
      <c r="E227" s="727"/>
      <c r="F227" s="727"/>
      <c r="G227" s="727"/>
      <c r="H227" s="727"/>
      <c r="I227" s="727"/>
      <c r="J227" s="727"/>
      <c r="K227" s="727"/>
      <c r="L227" s="727"/>
      <c r="M227" s="727"/>
      <c r="N227" s="727"/>
      <c r="O227" s="727"/>
      <c r="P227" s="727"/>
      <c r="Q227" s="727"/>
      <c r="R227" s="727"/>
      <c r="S227" s="727"/>
      <c r="T227" s="727"/>
      <c r="U227" s="727"/>
      <c r="V227" s="727"/>
      <c r="W227" s="727"/>
      <c r="X227" s="727"/>
      <c r="Y227" s="727"/>
      <c r="Z227" s="728"/>
      <c r="AB227" s="1026" t="str">
        <f>IF(AB224="","",VLOOKUP(AB224,BoonRef!$A$2:$Z$900,23,FALSE))</f>
        <v/>
      </c>
      <c r="AC227" s="727"/>
      <c r="AD227" s="727"/>
      <c r="AE227" s="727"/>
      <c r="AF227" s="727"/>
      <c r="AG227" s="727"/>
      <c r="AH227" s="727"/>
      <c r="AI227" s="727"/>
      <c r="AJ227" s="727"/>
      <c r="AK227" s="727"/>
      <c r="AL227" s="727"/>
      <c r="AM227" s="727"/>
      <c r="AN227" s="727"/>
      <c r="AO227" s="727"/>
      <c r="AP227" s="727"/>
      <c r="AQ227" s="727"/>
      <c r="AR227" s="727"/>
      <c r="AS227" s="727"/>
      <c r="AT227" s="727"/>
      <c r="AU227" s="727"/>
      <c r="AV227" s="727"/>
      <c r="AW227" s="727"/>
      <c r="AX227" s="727"/>
      <c r="AY227" s="727"/>
      <c r="AZ227" s="728"/>
      <c r="BB227" s="635"/>
      <c r="BC227" s="636"/>
      <c r="BD227" s="636"/>
      <c r="BE227" s="636"/>
      <c r="BF227" s="636"/>
      <c r="BG227" s="636"/>
      <c r="BH227" s="1036"/>
      <c r="BI227" s="753"/>
      <c r="BJ227" s="754"/>
      <c r="BK227" s="754"/>
      <c r="BL227" s="754"/>
      <c r="BM227" s="754"/>
      <c r="BN227" s="754"/>
      <c r="BO227" s="754"/>
      <c r="BP227" s="754"/>
      <c r="BQ227" s="754"/>
      <c r="BR227" s="754"/>
      <c r="BS227" s="754"/>
      <c r="BT227" s="754"/>
      <c r="BU227" s="754"/>
      <c r="BV227" s="754"/>
      <c r="BW227" s="754"/>
      <c r="BX227" s="754"/>
      <c r="BY227" s="754"/>
      <c r="BZ227" s="755"/>
      <c r="CB227" s="635"/>
      <c r="CC227" s="636"/>
      <c r="CD227" s="636"/>
      <c r="CE227" s="636"/>
      <c r="CF227" s="636"/>
      <c r="CG227" s="636"/>
      <c r="CH227" s="1036"/>
      <c r="CI227" s="753"/>
      <c r="CJ227" s="754"/>
      <c r="CK227" s="754"/>
      <c r="CL227" s="754"/>
      <c r="CM227" s="754"/>
      <c r="CN227" s="754"/>
      <c r="CO227" s="754"/>
      <c r="CP227" s="754"/>
      <c r="CQ227" s="754"/>
      <c r="CR227" s="754"/>
      <c r="CS227" s="754"/>
      <c r="CT227" s="754"/>
      <c r="CU227" s="754"/>
      <c r="CV227" s="754"/>
      <c r="CW227" s="754"/>
      <c r="CX227" s="754"/>
      <c r="CY227" s="754"/>
      <c r="CZ227" s="755"/>
    </row>
    <row r="228" spans="1:104" ht="15.75" thickBot="1" x14ac:dyDescent="0.3">
      <c r="B228" s="1027"/>
      <c r="C228" s="865"/>
      <c r="D228" s="865"/>
      <c r="E228" s="865"/>
      <c r="F228" s="865"/>
      <c r="G228" s="865"/>
      <c r="H228" s="865"/>
      <c r="I228" s="865"/>
      <c r="J228" s="865"/>
      <c r="K228" s="865"/>
      <c r="L228" s="865"/>
      <c r="M228" s="865"/>
      <c r="N228" s="865"/>
      <c r="O228" s="865"/>
      <c r="P228" s="865"/>
      <c r="Q228" s="865"/>
      <c r="R228" s="865"/>
      <c r="S228" s="865"/>
      <c r="T228" s="865"/>
      <c r="U228" s="865"/>
      <c r="V228" s="865"/>
      <c r="W228" s="865"/>
      <c r="X228" s="865"/>
      <c r="Y228" s="865"/>
      <c r="Z228" s="921"/>
      <c r="AB228" s="1027"/>
      <c r="AC228" s="865"/>
      <c r="AD228" s="865"/>
      <c r="AE228" s="865"/>
      <c r="AF228" s="865"/>
      <c r="AG228" s="865"/>
      <c r="AH228" s="865"/>
      <c r="AI228" s="865"/>
      <c r="AJ228" s="865"/>
      <c r="AK228" s="865"/>
      <c r="AL228" s="865"/>
      <c r="AM228" s="865"/>
      <c r="AN228" s="865"/>
      <c r="AO228" s="865"/>
      <c r="AP228" s="865"/>
      <c r="AQ228" s="865"/>
      <c r="AR228" s="865"/>
      <c r="AS228" s="865"/>
      <c r="AT228" s="865"/>
      <c r="AU228" s="865"/>
      <c r="AV228" s="865"/>
      <c r="AW228" s="865"/>
      <c r="AX228" s="865"/>
      <c r="AY228" s="865"/>
      <c r="AZ228" s="921"/>
      <c r="BB228" s="644"/>
      <c r="BC228" s="645"/>
      <c r="BD228" s="645"/>
      <c r="BE228" s="645"/>
      <c r="BF228" s="645"/>
      <c r="BG228" s="645"/>
      <c r="BH228" s="1037"/>
      <c r="BI228" s="756"/>
      <c r="BJ228" s="757"/>
      <c r="BK228" s="757"/>
      <c r="BL228" s="757"/>
      <c r="BM228" s="757"/>
      <c r="BN228" s="757"/>
      <c r="BO228" s="757"/>
      <c r="BP228" s="757"/>
      <c r="BQ228" s="757"/>
      <c r="BR228" s="757"/>
      <c r="BS228" s="757"/>
      <c r="BT228" s="757"/>
      <c r="BU228" s="757"/>
      <c r="BV228" s="757"/>
      <c r="BW228" s="757"/>
      <c r="BX228" s="757"/>
      <c r="BY228" s="757"/>
      <c r="BZ228" s="758"/>
      <c r="CB228" s="644"/>
      <c r="CC228" s="645"/>
      <c r="CD228" s="645"/>
      <c r="CE228" s="645"/>
      <c r="CF228" s="645"/>
      <c r="CG228" s="645"/>
      <c r="CH228" s="1037"/>
      <c r="CI228" s="756"/>
      <c r="CJ228" s="757"/>
      <c r="CK228" s="757"/>
      <c r="CL228" s="757"/>
      <c r="CM228" s="757"/>
      <c r="CN228" s="757"/>
      <c r="CO228" s="757"/>
      <c r="CP228" s="757"/>
      <c r="CQ228" s="757"/>
      <c r="CR228" s="757"/>
      <c r="CS228" s="757"/>
      <c r="CT228" s="757"/>
      <c r="CU228" s="757"/>
      <c r="CV228" s="757"/>
      <c r="CW228" s="757"/>
      <c r="CX228" s="757"/>
      <c r="CY228" s="757"/>
      <c r="CZ228" s="758"/>
    </row>
    <row r="229" spans="1:104" x14ac:dyDescent="0.25">
      <c r="B229" s="1028" t="str">
        <f>IF(B230="","",VLOOKUP(B230,BoonRef!$A$2:$Z$900,2,FALSE))</f>
        <v/>
      </c>
      <c r="C229" s="725"/>
      <c r="D229" s="725"/>
      <c r="E229" s="725"/>
      <c r="F229" s="725"/>
      <c r="G229" s="725"/>
      <c r="H229" s="725"/>
      <c r="I229" s="725" t="str">
        <f>IF(B230="","",VLOOKUP(B230,BoonRef!$A$2:$Z$900,3,FALSE))</f>
        <v/>
      </c>
      <c r="J229" s="725"/>
      <c r="K229" s="725" t="str">
        <f>IF(B230="","",VLOOKUP(B230,DescRef!$A$2:$B$900,2,FALSE))</f>
        <v/>
      </c>
      <c r="L229" s="725"/>
      <c r="M229" s="725"/>
      <c r="N229" s="725"/>
      <c r="O229" s="725"/>
      <c r="P229" s="725"/>
      <c r="Q229" s="725"/>
      <c r="R229" s="725"/>
      <c r="S229" s="725"/>
      <c r="T229" s="725"/>
      <c r="U229" s="725"/>
      <c r="V229" s="725"/>
      <c r="W229" s="725"/>
      <c r="X229" s="725"/>
      <c r="Y229" s="725"/>
      <c r="Z229" s="726"/>
      <c r="AB229" s="1028" t="str">
        <f>IF(AB230="","",VLOOKUP(AB230,BoonRef!$A$2:$Z$900,2,FALSE))</f>
        <v/>
      </c>
      <c r="AC229" s="725"/>
      <c r="AD229" s="725"/>
      <c r="AE229" s="725"/>
      <c r="AF229" s="725"/>
      <c r="AG229" s="725"/>
      <c r="AH229" s="725"/>
      <c r="AI229" s="725" t="str">
        <f>IF(AB230="","",VLOOKUP(AB230,BoonRef!$A$2:$Z$900,3,FALSE))</f>
        <v/>
      </c>
      <c r="AJ229" s="725"/>
      <c r="AK229" s="725" t="str">
        <f>IF(AB230="","",VLOOKUP(AB230,DescRef!$A$2:$B$900,2,FALSE))</f>
        <v/>
      </c>
      <c r="AL229" s="725"/>
      <c r="AM229" s="725"/>
      <c r="AN229" s="725"/>
      <c r="AO229" s="725"/>
      <c r="AP229" s="725"/>
      <c r="AQ229" s="725"/>
      <c r="AR229" s="725"/>
      <c r="AS229" s="725"/>
      <c r="AT229" s="725"/>
      <c r="AU229" s="725"/>
      <c r="AV229" s="725"/>
      <c r="AW229" s="725"/>
      <c r="AX229" s="725"/>
      <c r="AY229" s="725"/>
      <c r="AZ229" s="726"/>
      <c r="BB229" s="1029" t="str">
        <f>IF(BB230="","",VLOOKUP(BB230,KanckRef!$A$1:$G$300,2,FALSE))</f>
        <v/>
      </c>
      <c r="BC229" s="1030"/>
      <c r="BD229" s="1030"/>
      <c r="BE229" s="1030"/>
      <c r="BF229" s="1031"/>
      <c r="BG229" s="1048" t="str">
        <f>IF(BB230="","",VLOOKUP(BB230,KanckRef!$A$1:$G$300,6,FALSE))</f>
        <v/>
      </c>
      <c r="BH229" s="1049"/>
      <c r="BI229" s="988" t="str">
        <f>IF(BB230="","",VLOOKUP(BB230,DescRef!$D$2:$E$300,2,FALSE))</f>
        <v/>
      </c>
      <c r="BJ229" s="795"/>
      <c r="BK229" s="795"/>
      <c r="BL229" s="795"/>
      <c r="BM229" s="795"/>
      <c r="BN229" s="795"/>
      <c r="BO229" s="795"/>
      <c r="BP229" s="795"/>
      <c r="BQ229" s="795"/>
      <c r="BR229" s="795"/>
      <c r="BS229" s="795"/>
      <c r="BT229" s="795"/>
      <c r="BU229" s="795"/>
      <c r="BV229" s="795"/>
      <c r="BW229" s="795"/>
      <c r="BX229" s="795"/>
      <c r="BY229" s="795"/>
      <c r="BZ229" s="796"/>
      <c r="CB229" s="1029" t="str">
        <f>IF(CB230="","",VLOOKUP(CB230,KanckRef!$A$1:$G$300,2,FALSE))</f>
        <v/>
      </c>
      <c r="CC229" s="1030"/>
      <c r="CD229" s="1030"/>
      <c r="CE229" s="1030"/>
      <c r="CF229" s="1031"/>
      <c r="CG229" s="1048" t="str">
        <f>IF(CB230="","",VLOOKUP(CB230,KanckRef!$A$1:$G$300,6,FALSE))</f>
        <v/>
      </c>
      <c r="CH229" s="1049"/>
      <c r="CI229" s="988" t="str">
        <f>IF(CB230="","",VLOOKUP(CB230,DescRef!$D$2:$E$300,2,FALSE))</f>
        <v/>
      </c>
      <c r="CJ229" s="795"/>
      <c r="CK229" s="795"/>
      <c r="CL229" s="795"/>
      <c r="CM229" s="795"/>
      <c r="CN229" s="795"/>
      <c r="CO229" s="795"/>
      <c r="CP229" s="795"/>
      <c r="CQ229" s="795"/>
      <c r="CR229" s="795"/>
      <c r="CS229" s="795"/>
      <c r="CT229" s="795"/>
      <c r="CU229" s="795"/>
      <c r="CV229" s="795"/>
      <c r="CW229" s="795"/>
      <c r="CX229" s="795"/>
      <c r="CY229" s="795"/>
      <c r="CZ229" s="796"/>
    </row>
    <row r="230" spans="1:104" ht="15" customHeight="1" x14ac:dyDescent="0.25">
      <c r="A230" s="15">
        <v>38</v>
      </c>
      <c r="B230" s="1026" t="str">
        <f>IF(A230&lt;'Purchased Boons'!$B$496,VLOOKUP(A230,'Purchased Boons'!$BF$2:$BG$900,2,FALSE),"")</f>
        <v/>
      </c>
      <c r="C230" s="727"/>
      <c r="D230" s="727"/>
      <c r="E230" s="727"/>
      <c r="F230" s="727"/>
      <c r="G230" s="727"/>
      <c r="H230" s="727"/>
      <c r="I230" s="727" t="str">
        <f>IF(B230="","",VLOOKUP(B230,BoonRef!$A$2:$Z$900,25,FALSE))</f>
        <v/>
      </c>
      <c r="J230" s="727"/>
      <c r="K230" s="727"/>
      <c r="L230" s="727"/>
      <c r="M230" s="727"/>
      <c r="N230" s="727"/>
      <c r="O230" s="727"/>
      <c r="P230" s="727"/>
      <c r="Q230" s="727"/>
      <c r="R230" s="727"/>
      <c r="S230" s="727"/>
      <c r="T230" s="727"/>
      <c r="U230" s="727"/>
      <c r="V230" s="727"/>
      <c r="W230" s="727"/>
      <c r="X230" s="727"/>
      <c r="Y230" s="727"/>
      <c r="Z230" s="728"/>
      <c r="AA230" s="15">
        <v>145</v>
      </c>
      <c r="AB230" s="1026" t="str">
        <f>IF(AA230&lt;'Purchased Boons'!$B$496,VLOOKUP(AA230,'Purchased Boons'!$BF$2:$BG$900,2,FALSE),"")</f>
        <v/>
      </c>
      <c r="AC230" s="727"/>
      <c r="AD230" s="727"/>
      <c r="AE230" s="727"/>
      <c r="AF230" s="727"/>
      <c r="AG230" s="727"/>
      <c r="AH230" s="727"/>
      <c r="AI230" s="727" t="str">
        <f>IF(AB230="","",VLOOKUP(AB230,BoonRef!$A$2:$Z$900,25,FALSE))</f>
        <v/>
      </c>
      <c r="AJ230" s="727"/>
      <c r="AK230" s="727"/>
      <c r="AL230" s="727"/>
      <c r="AM230" s="727"/>
      <c r="AN230" s="727"/>
      <c r="AO230" s="727"/>
      <c r="AP230" s="727"/>
      <c r="AQ230" s="727"/>
      <c r="AR230" s="727"/>
      <c r="AS230" s="727"/>
      <c r="AT230" s="727"/>
      <c r="AU230" s="727"/>
      <c r="AV230" s="727"/>
      <c r="AW230" s="727"/>
      <c r="AX230" s="727"/>
      <c r="AY230" s="727"/>
      <c r="AZ230" s="728"/>
      <c r="BA230" s="15">
        <v>38</v>
      </c>
      <c r="BB230" s="1038" t="str">
        <f>IF(BA230&lt;'Purchased Knacks'!A$192,VLOOKUP(BA230,'Purchased Knacks'!$A$4:$E$300,3,FALSE),"")</f>
        <v/>
      </c>
      <c r="BC230" s="1039"/>
      <c r="BD230" s="1039"/>
      <c r="BE230" s="1039"/>
      <c r="BF230" s="1040"/>
      <c r="BG230" s="1032" t="str">
        <f>IF(BB230="","",VLOOKUP(BB230,KanckRef!$A$1:$G$300,7,FALSE))</f>
        <v/>
      </c>
      <c r="BH230" s="1033"/>
      <c r="BI230" s="753"/>
      <c r="BJ230" s="754"/>
      <c r="BK230" s="754"/>
      <c r="BL230" s="754"/>
      <c r="BM230" s="754"/>
      <c r="BN230" s="754"/>
      <c r="BO230" s="754"/>
      <c r="BP230" s="754"/>
      <c r="BQ230" s="754"/>
      <c r="BR230" s="754"/>
      <c r="BS230" s="754"/>
      <c r="BT230" s="754"/>
      <c r="BU230" s="754"/>
      <c r="BV230" s="754"/>
      <c r="BW230" s="754"/>
      <c r="BX230" s="754"/>
      <c r="BY230" s="754"/>
      <c r="BZ230" s="755"/>
      <c r="CA230" s="15">
        <v>145</v>
      </c>
      <c r="CB230" s="1038" t="str">
        <f>IF(CA230&lt;'Purchased Knacks'!A$192,VLOOKUP(CA230,'Purchased Knacks'!$A$4:$E$300,3,FALSE),"")</f>
        <v/>
      </c>
      <c r="CC230" s="1039"/>
      <c r="CD230" s="1039"/>
      <c r="CE230" s="1039"/>
      <c r="CF230" s="1040"/>
      <c r="CG230" s="1032" t="str">
        <f>IF(CB230="","",VLOOKUP(CB230,KanckRef!$A$1:$G$300,7,FALSE))</f>
        <v/>
      </c>
      <c r="CH230" s="1033"/>
      <c r="CI230" s="753"/>
      <c r="CJ230" s="754"/>
      <c r="CK230" s="754"/>
      <c r="CL230" s="754"/>
      <c r="CM230" s="754"/>
      <c r="CN230" s="754"/>
      <c r="CO230" s="754"/>
      <c r="CP230" s="754"/>
      <c r="CQ230" s="754"/>
      <c r="CR230" s="754"/>
      <c r="CS230" s="754"/>
      <c r="CT230" s="754"/>
      <c r="CU230" s="754"/>
      <c r="CV230" s="754"/>
      <c r="CW230" s="754"/>
      <c r="CX230" s="754"/>
      <c r="CY230" s="754"/>
      <c r="CZ230" s="755"/>
    </row>
    <row r="231" spans="1:104" ht="15" customHeight="1" x14ac:dyDescent="0.25">
      <c r="B231" s="1026"/>
      <c r="C231" s="727"/>
      <c r="D231" s="727"/>
      <c r="E231" s="727"/>
      <c r="F231" s="727"/>
      <c r="G231" s="727"/>
      <c r="H231" s="727"/>
      <c r="I231" s="727" t="str">
        <f>IF(B230="","",VLOOKUP(B230,BoonRef!$A$2:$Z$900,26,FALSE))</f>
        <v/>
      </c>
      <c r="J231" s="727"/>
      <c r="K231" s="727"/>
      <c r="L231" s="727"/>
      <c r="M231" s="727"/>
      <c r="N231" s="727"/>
      <c r="O231" s="727"/>
      <c r="P231" s="727"/>
      <c r="Q231" s="727"/>
      <c r="R231" s="727"/>
      <c r="S231" s="727"/>
      <c r="T231" s="727"/>
      <c r="U231" s="727"/>
      <c r="V231" s="727"/>
      <c r="W231" s="727"/>
      <c r="X231" s="727"/>
      <c r="Y231" s="727"/>
      <c r="Z231" s="728"/>
      <c r="AB231" s="1026"/>
      <c r="AC231" s="727"/>
      <c r="AD231" s="727"/>
      <c r="AE231" s="727"/>
      <c r="AF231" s="727"/>
      <c r="AG231" s="727"/>
      <c r="AH231" s="727"/>
      <c r="AI231" s="727" t="str">
        <f>IF(AB230="","",VLOOKUP(AB230,BoonRef!$A$2:$Z$900,26,FALSE))</f>
        <v/>
      </c>
      <c r="AJ231" s="727"/>
      <c r="AK231" s="727"/>
      <c r="AL231" s="727"/>
      <c r="AM231" s="727"/>
      <c r="AN231" s="727"/>
      <c r="AO231" s="727"/>
      <c r="AP231" s="727"/>
      <c r="AQ231" s="727"/>
      <c r="AR231" s="727"/>
      <c r="AS231" s="727"/>
      <c r="AT231" s="727"/>
      <c r="AU231" s="727"/>
      <c r="AV231" s="727"/>
      <c r="AW231" s="727"/>
      <c r="AX231" s="727"/>
      <c r="AY231" s="727"/>
      <c r="AZ231" s="728"/>
      <c r="BB231" s="1041"/>
      <c r="BC231" s="1042"/>
      <c r="BD231" s="1042"/>
      <c r="BE231" s="1042"/>
      <c r="BF231" s="1043"/>
      <c r="BG231" s="1034"/>
      <c r="BH231" s="1035"/>
      <c r="BI231" s="753"/>
      <c r="BJ231" s="754"/>
      <c r="BK231" s="754"/>
      <c r="BL231" s="754"/>
      <c r="BM231" s="754"/>
      <c r="BN231" s="754"/>
      <c r="BO231" s="754"/>
      <c r="BP231" s="754"/>
      <c r="BQ231" s="754"/>
      <c r="BR231" s="754"/>
      <c r="BS231" s="754"/>
      <c r="BT231" s="754"/>
      <c r="BU231" s="754"/>
      <c r="BV231" s="754"/>
      <c r="BW231" s="754"/>
      <c r="BX231" s="754"/>
      <c r="BY231" s="754"/>
      <c r="BZ231" s="755"/>
      <c r="CB231" s="1041"/>
      <c r="CC231" s="1042"/>
      <c r="CD231" s="1042"/>
      <c r="CE231" s="1042"/>
      <c r="CF231" s="1043"/>
      <c r="CG231" s="1034"/>
      <c r="CH231" s="1035"/>
      <c r="CI231" s="753"/>
      <c r="CJ231" s="754"/>
      <c r="CK231" s="754"/>
      <c r="CL231" s="754"/>
      <c r="CM231" s="754"/>
      <c r="CN231" s="754"/>
      <c r="CO231" s="754"/>
      <c r="CP231" s="754"/>
      <c r="CQ231" s="754"/>
      <c r="CR231" s="754"/>
      <c r="CS231" s="754"/>
      <c r="CT231" s="754"/>
      <c r="CU231" s="754"/>
      <c r="CV231" s="754"/>
      <c r="CW231" s="754"/>
      <c r="CX231" s="754"/>
      <c r="CY231" s="754"/>
      <c r="CZ231" s="755"/>
    </row>
    <row r="232" spans="1:104" x14ac:dyDescent="0.25">
      <c r="B232" s="1026" t="str">
        <f>IF(B230="","",VLOOKUP(B230,BoonRef!$A$2:$Z$900,24,FALSE))</f>
        <v/>
      </c>
      <c r="C232" s="727"/>
      <c r="D232" s="727"/>
      <c r="E232" s="727"/>
      <c r="F232" s="727"/>
      <c r="G232" s="727"/>
      <c r="H232" s="727"/>
      <c r="I232" s="727"/>
      <c r="J232" s="727"/>
      <c r="K232" s="727"/>
      <c r="L232" s="727"/>
      <c r="M232" s="727"/>
      <c r="N232" s="727"/>
      <c r="O232" s="727"/>
      <c r="P232" s="727"/>
      <c r="Q232" s="727"/>
      <c r="R232" s="727"/>
      <c r="S232" s="727"/>
      <c r="T232" s="727"/>
      <c r="U232" s="727"/>
      <c r="V232" s="727"/>
      <c r="W232" s="727"/>
      <c r="X232" s="727"/>
      <c r="Y232" s="727"/>
      <c r="Z232" s="728"/>
      <c r="AB232" s="1026" t="str">
        <f>IF(AB230="","",VLOOKUP(AB230,BoonRef!$A$2:$Z$900,24,FALSE))</f>
        <v/>
      </c>
      <c r="AC232" s="727"/>
      <c r="AD232" s="727"/>
      <c r="AE232" s="727"/>
      <c r="AF232" s="727"/>
      <c r="AG232" s="727"/>
      <c r="AH232" s="727"/>
      <c r="AI232" s="727"/>
      <c r="AJ232" s="727"/>
      <c r="AK232" s="727"/>
      <c r="AL232" s="727"/>
      <c r="AM232" s="727"/>
      <c r="AN232" s="727"/>
      <c r="AO232" s="727"/>
      <c r="AP232" s="727"/>
      <c r="AQ232" s="727"/>
      <c r="AR232" s="727"/>
      <c r="AS232" s="727"/>
      <c r="AT232" s="727"/>
      <c r="AU232" s="727"/>
      <c r="AV232" s="727"/>
      <c r="AW232" s="727"/>
      <c r="AX232" s="727"/>
      <c r="AY232" s="727"/>
      <c r="AZ232" s="728"/>
      <c r="BB232" s="641" t="str">
        <f>IF(BB230="","",VLOOKUP(BB230,KanckRef!$A$1:$G$300,4,FALSE))</f>
        <v/>
      </c>
      <c r="BC232" s="642"/>
      <c r="BD232" s="642"/>
      <c r="BE232" s="642"/>
      <c r="BF232" s="642"/>
      <c r="BG232" s="642"/>
      <c r="BH232" s="1033"/>
      <c r="BI232" s="753"/>
      <c r="BJ232" s="754"/>
      <c r="BK232" s="754"/>
      <c r="BL232" s="754"/>
      <c r="BM232" s="754"/>
      <c r="BN232" s="754"/>
      <c r="BO232" s="754"/>
      <c r="BP232" s="754"/>
      <c r="BQ232" s="754"/>
      <c r="BR232" s="754"/>
      <c r="BS232" s="754"/>
      <c r="BT232" s="754"/>
      <c r="BU232" s="754"/>
      <c r="BV232" s="754"/>
      <c r="BW232" s="754"/>
      <c r="BX232" s="754"/>
      <c r="BY232" s="754"/>
      <c r="BZ232" s="755"/>
      <c r="CB232" s="641" t="str">
        <f>IF(CB230="","",VLOOKUP(CB230,KanckRef!$A$1:$G$300,4,FALSE))</f>
        <v/>
      </c>
      <c r="CC232" s="642"/>
      <c r="CD232" s="642"/>
      <c r="CE232" s="642"/>
      <c r="CF232" s="642"/>
      <c r="CG232" s="642"/>
      <c r="CH232" s="1033"/>
      <c r="CI232" s="753"/>
      <c r="CJ232" s="754"/>
      <c r="CK232" s="754"/>
      <c r="CL232" s="754"/>
      <c r="CM232" s="754"/>
      <c r="CN232" s="754"/>
      <c r="CO232" s="754"/>
      <c r="CP232" s="754"/>
      <c r="CQ232" s="754"/>
      <c r="CR232" s="754"/>
      <c r="CS232" s="754"/>
      <c r="CT232" s="754"/>
      <c r="CU232" s="754"/>
      <c r="CV232" s="754"/>
      <c r="CW232" s="754"/>
      <c r="CX232" s="754"/>
      <c r="CY232" s="754"/>
      <c r="CZ232" s="755"/>
    </row>
    <row r="233" spans="1:104" x14ac:dyDescent="0.25">
      <c r="B233" s="1026" t="str">
        <f>IF(B230="","",VLOOKUP(B230,BoonRef!$A$2:$Z$900,23,FALSE))</f>
        <v/>
      </c>
      <c r="C233" s="727"/>
      <c r="D233" s="727"/>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8"/>
      <c r="AB233" s="1026" t="str">
        <f>IF(AB230="","",VLOOKUP(AB230,BoonRef!$A$2:$Z$900,23,FALSE))</f>
        <v/>
      </c>
      <c r="AC233" s="727"/>
      <c r="AD233" s="727"/>
      <c r="AE233" s="727"/>
      <c r="AF233" s="727"/>
      <c r="AG233" s="727"/>
      <c r="AH233" s="727"/>
      <c r="AI233" s="727"/>
      <c r="AJ233" s="727"/>
      <c r="AK233" s="727"/>
      <c r="AL233" s="727"/>
      <c r="AM233" s="727"/>
      <c r="AN233" s="727"/>
      <c r="AO233" s="727"/>
      <c r="AP233" s="727"/>
      <c r="AQ233" s="727"/>
      <c r="AR233" s="727"/>
      <c r="AS233" s="727"/>
      <c r="AT233" s="727"/>
      <c r="AU233" s="727"/>
      <c r="AV233" s="727"/>
      <c r="AW233" s="727"/>
      <c r="AX233" s="727"/>
      <c r="AY233" s="727"/>
      <c r="AZ233" s="728"/>
      <c r="BB233" s="635"/>
      <c r="BC233" s="636"/>
      <c r="BD233" s="636"/>
      <c r="BE233" s="636"/>
      <c r="BF233" s="636"/>
      <c r="BG233" s="636"/>
      <c r="BH233" s="1036"/>
      <c r="BI233" s="753"/>
      <c r="BJ233" s="754"/>
      <c r="BK233" s="754"/>
      <c r="BL233" s="754"/>
      <c r="BM233" s="754"/>
      <c r="BN233" s="754"/>
      <c r="BO233" s="754"/>
      <c r="BP233" s="754"/>
      <c r="BQ233" s="754"/>
      <c r="BR233" s="754"/>
      <c r="BS233" s="754"/>
      <c r="BT233" s="754"/>
      <c r="BU233" s="754"/>
      <c r="BV233" s="754"/>
      <c r="BW233" s="754"/>
      <c r="BX233" s="754"/>
      <c r="BY233" s="754"/>
      <c r="BZ233" s="755"/>
      <c r="CB233" s="635"/>
      <c r="CC233" s="636"/>
      <c r="CD233" s="636"/>
      <c r="CE233" s="636"/>
      <c r="CF233" s="636"/>
      <c r="CG233" s="636"/>
      <c r="CH233" s="1036"/>
      <c r="CI233" s="753"/>
      <c r="CJ233" s="754"/>
      <c r="CK233" s="754"/>
      <c r="CL233" s="754"/>
      <c r="CM233" s="754"/>
      <c r="CN233" s="754"/>
      <c r="CO233" s="754"/>
      <c r="CP233" s="754"/>
      <c r="CQ233" s="754"/>
      <c r="CR233" s="754"/>
      <c r="CS233" s="754"/>
      <c r="CT233" s="754"/>
      <c r="CU233" s="754"/>
      <c r="CV233" s="754"/>
      <c r="CW233" s="754"/>
      <c r="CX233" s="754"/>
      <c r="CY233" s="754"/>
      <c r="CZ233" s="755"/>
    </row>
    <row r="234" spans="1:104" ht="15.75" thickBot="1" x14ac:dyDescent="0.3">
      <c r="B234" s="1027"/>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865"/>
      <c r="Y234" s="865"/>
      <c r="Z234" s="921"/>
      <c r="AB234" s="1027"/>
      <c r="AC234" s="865"/>
      <c r="AD234" s="865"/>
      <c r="AE234" s="865"/>
      <c r="AF234" s="865"/>
      <c r="AG234" s="865"/>
      <c r="AH234" s="865"/>
      <c r="AI234" s="865"/>
      <c r="AJ234" s="865"/>
      <c r="AK234" s="865"/>
      <c r="AL234" s="865"/>
      <c r="AM234" s="865"/>
      <c r="AN234" s="865"/>
      <c r="AO234" s="865"/>
      <c r="AP234" s="865"/>
      <c r="AQ234" s="865"/>
      <c r="AR234" s="865"/>
      <c r="AS234" s="865"/>
      <c r="AT234" s="865"/>
      <c r="AU234" s="865"/>
      <c r="AV234" s="865"/>
      <c r="AW234" s="865"/>
      <c r="AX234" s="865"/>
      <c r="AY234" s="865"/>
      <c r="AZ234" s="921"/>
      <c r="BB234" s="644"/>
      <c r="BC234" s="645"/>
      <c r="BD234" s="645"/>
      <c r="BE234" s="645"/>
      <c r="BF234" s="645"/>
      <c r="BG234" s="645"/>
      <c r="BH234" s="1037"/>
      <c r="BI234" s="756"/>
      <c r="BJ234" s="757"/>
      <c r="BK234" s="757"/>
      <c r="BL234" s="757"/>
      <c r="BM234" s="757"/>
      <c r="BN234" s="757"/>
      <c r="BO234" s="757"/>
      <c r="BP234" s="757"/>
      <c r="BQ234" s="757"/>
      <c r="BR234" s="757"/>
      <c r="BS234" s="757"/>
      <c r="BT234" s="757"/>
      <c r="BU234" s="757"/>
      <c r="BV234" s="757"/>
      <c r="BW234" s="757"/>
      <c r="BX234" s="757"/>
      <c r="BY234" s="757"/>
      <c r="BZ234" s="758"/>
      <c r="CB234" s="644"/>
      <c r="CC234" s="645"/>
      <c r="CD234" s="645"/>
      <c r="CE234" s="645"/>
      <c r="CF234" s="645"/>
      <c r="CG234" s="645"/>
      <c r="CH234" s="1037"/>
      <c r="CI234" s="756"/>
      <c r="CJ234" s="757"/>
      <c r="CK234" s="757"/>
      <c r="CL234" s="757"/>
      <c r="CM234" s="757"/>
      <c r="CN234" s="757"/>
      <c r="CO234" s="757"/>
      <c r="CP234" s="757"/>
      <c r="CQ234" s="757"/>
      <c r="CR234" s="757"/>
      <c r="CS234" s="757"/>
      <c r="CT234" s="757"/>
      <c r="CU234" s="757"/>
      <c r="CV234" s="757"/>
      <c r="CW234" s="757"/>
      <c r="CX234" s="757"/>
      <c r="CY234" s="757"/>
      <c r="CZ234" s="758"/>
    </row>
    <row r="235" spans="1:104" ht="15" customHeight="1" x14ac:dyDescent="0.25">
      <c r="B235" s="1028" t="str">
        <f>IF(B236="","",VLOOKUP(B236,BoonRef!$A$2:$Z$900,2,FALSE))</f>
        <v/>
      </c>
      <c r="C235" s="725"/>
      <c r="D235" s="725"/>
      <c r="E235" s="725"/>
      <c r="F235" s="725"/>
      <c r="G235" s="725"/>
      <c r="H235" s="725"/>
      <c r="I235" s="725" t="str">
        <f>IF(B236="","",VLOOKUP(B236,BoonRef!$A$2:$Z$900,3,FALSE))</f>
        <v/>
      </c>
      <c r="J235" s="725"/>
      <c r="K235" s="725" t="str">
        <f>IF(B236="","",VLOOKUP(B236,DescRef!$A$2:$B$900,2,FALSE))</f>
        <v/>
      </c>
      <c r="L235" s="725"/>
      <c r="M235" s="725"/>
      <c r="N235" s="725"/>
      <c r="O235" s="725"/>
      <c r="P235" s="725"/>
      <c r="Q235" s="725"/>
      <c r="R235" s="725"/>
      <c r="S235" s="725"/>
      <c r="T235" s="725"/>
      <c r="U235" s="725"/>
      <c r="V235" s="725"/>
      <c r="W235" s="725"/>
      <c r="X235" s="725"/>
      <c r="Y235" s="725"/>
      <c r="Z235" s="726"/>
      <c r="AB235" s="1028" t="str">
        <f>IF(AB236="","",VLOOKUP(AB236,BoonRef!$A$2:$Z$900,2,FALSE))</f>
        <v/>
      </c>
      <c r="AC235" s="725"/>
      <c r="AD235" s="725"/>
      <c r="AE235" s="725"/>
      <c r="AF235" s="725"/>
      <c r="AG235" s="725"/>
      <c r="AH235" s="725"/>
      <c r="AI235" s="725" t="str">
        <f>IF(AB236="","",VLOOKUP(AB236,BoonRef!$A$2:$Z$900,3,FALSE))</f>
        <v/>
      </c>
      <c r="AJ235" s="725"/>
      <c r="AK235" s="725" t="str">
        <f>IF(AB236="","",VLOOKUP(AB236,DescRef!$A$2:$B$900,2,FALSE))</f>
        <v/>
      </c>
      <c r="AL235" s="725"/>
      <c r="AM235" s="725"/>
      <c r="AN235" s="725"/>
      <c r="AO235" s="725"/>
      <c r="AP235" s="725"/>
      <c r="AQ235" s="725"/>
      <c r="AR235" s="725"/>
      <c r="AS235" s="725"/>
      <c r="AT235" s="725"/>
      <c r="AU235" s="725"/>
      <c r="AV235" s="725"/>
      <c r="AW235" s="725"/>
      <c r="AX235" s="725"/>
      <c r="AY235" s="725"/>
      <c r="AZ235" s="726"/>
      <c r="BB235" s="1029" t="str">
        <f>IF(BB236="","",VLOOKUP(BB236,KanckRef!$A$1:$G$300,2,FALSE))</f>
        <v/>
      </c>
      <c r="BC235" s="1030"/>
      <c r="BD235" s="1030"/>
      <c r="BE235" s="1030"/>
      <c r="BF235" s="1031"/>
      <c r="BG235" s="1048" t="str">
        <f>IF(BB236="","",VLOOKUP(BB236,KanckRef!$A$1:$G$300,6,FALSE))</f>
        <v/>
      </c>
      <c r="BH235" s="1049"/>
      <c r="BI235" s="988" t="str">
        <f>IF(BB236="","",VLOOKUP(BB236,DescRef!$D$2:$E$300,2,FALSE))</f>
        <v/>
      </c>
      <c r="BJ235" s="795"/>
      <c r="BK235" s="795"/>
      <c r="BL235" s="795"/>
      <c r="BM235" s="795"/>
      <c r="BN235" s="795"/>
      <c r="BO235" s="795"/>
      <c r="BP235" s="795"/>
      <c r="BQ235" s="795"/>
      <c r="BR235" s="795"/>
      <c r="BS235" s="795"/>
      <c r="BT235" s="795"/>
      <c r="BU235" s="795"/>
      <c r="BV235" s="795"/>
      <c r="BW235" s="795"/>
      <c r="BX235" s="795"/>
      <c r="BY235" s="795"/>
      <c r="BZ235" s="796"/>
      <c r="CB235" s="1029" t="str">
        <f>IF(CB236="","",VLOOKUP(CB236,KanckRef!$A$1:$G$300,2,FALSE))</f>
        <v/>
      </c>
      <c r="CC235" s="1030"/>
      <c r="CD235" s="1030"/>
      <c r="CE235" s="1030"/>
      <c r="CF235" s="1031"/>
      <c r="CG235" s="1048" t="str">
        <f>IF(CB236="","",VLOOKUP(CB236,KanckRef!$A$1:$G$300,6,FALSE))</f>
        <v/>
      </c>
      <c r="CH235" s="1049"/>
      <c r="CI235" s="988" t="str">
        <f>IF(CB236="","",VLOOKUP(CB236,DescRef!$D$2:$E$300,2,FALSE))</f>
        <v/>
      </c>
      <c r="CJ235" s="795"/>
      <c r="CK235" s="795"/>
      <c r="CL235" s="795"/>
      <c r="CM235" s="795"/>
      <c r="CN235" s="795"/>
      <c r="CO235" s="795"/>
      <c r="CP235" s="795"/>
      <c r="CQ235" s="795"/>
      <c r="CR235" s="795"/>
      <c r="CS235" s="795"/>
      <c r="CT235" s="795"/>
      <c r="CU235" s="795"/>
      <c r="CV235" s="795"/>
      <c r="CW235" s="795"/>
      <c r="CX235" s="795"/>
      <c r="CY235" s="795"/>
      <c r="CZ235" s="796"/>
    </row>
    <row r="236" spans="1:104" ht="15" customHeight="1" x14ac:dyDescent="0.25">
      <c r="A236" s="15">
        <v>39</v>
      </c>
      <c r="B236" s="1026" t="str">
        <f>IF(A236&lt;'Purchased Boons'!$B$496,VLOOKUP(A236,'Purchased Boons'!$BF$2:$BG$900,2,FALSE),"")</f>
        <v/>
      </c>
      <c r="C236" s="727"/>
      <c r="D236" s="727"/>
      <c r="E236" s="727"/>
      <c r="F236" s="727"/>
      <c r="G236" s="727"/>
      <c r="H236" s="727"/>
      <c r="I236" s="727" t="str">
        <f>IF(B236="","",VLOOKUP(B236,BoonRef!$A$2:$Z$900,25,FALSE))</f>
        <v/>
      </c>
      <c r="J236" s="727"/>
      <c r="K236" s="727"/>
      <c r="L236" s="727"/>
      <c r="M236" s="727"/>
      <c r="N236" s="727"/>
      <c r="O236" s="727"/>
      <c r="P236" s="727"/>
      <c r="Q236" s="727"/>
      <c r="R236" s="727"/>
      <c r="S236" s="727"/>
      <c r="T236" s="727"/>
      <c r="U236" s="727"/>
      <c r="V236" s="727"/>
      <c r="W236" s="727"/>
      <c r="X236" s="727"/>
      <c r="Y236" s="727"/>
      <c r="Z236" s="728"/>
      <c r="AA236" s="15">
        <v>146</v>
      </c>
      <c r="AB236" s="1026" t="str">
        <f>IF(AA236&lt;'Purchased Boons'!$B$496,VLOOKUP(AA236,'Purchased Boons'!$BF$2:$BG$900,2,FALSE),"")</f>
        <v/>
      </c>
      <c r="AC236" s="727"/>
      <c r="AD236" s="727"/>
      <c r="AE236" s="727"/>
      <c r="AF236" s="727"/>
      <c r="AG236" s="727"/>
      <c r="AH236" s="727"/>
      <c r="AI236" s="727" t="str">
        <f>IF(AB236="","",VLOOKUP(AB236,BoonRef!$A$2:$Z$900,25,FALSE))</f>
        <v/>
      </c>
      <c r="AJ236" s="727"/>
      <c r="AK236" s="727"/>
      <c r="AL236" s="727"/>
      <c r="AM236" s="727"/>
      <c r="AN236" s="727"/>
      <c r="AO236" s="727"/>
      <c r="AP236" s="727"/>
      <c r="AQ236" s="727"/>
      <c r="AR236" s="727"/>
      <c r="AS236" s="727"/>
      <c r="AT236" s="727"/>
      <c r="AU236" s="727"/>
      <c r="AV236" s="727"/>
      <c r="AW236" s="727"/>
      <c r="AX236" s="727"/>
      <c r="AY236" s="727"/>
      <c r="AZ236" s="728"/>
      <c r="BA236" s="15">
        <v>39</v>
      </c>
      <c r="BB236" s="1038" t="str">
        <f>IF(BA236&lt;'Purchased Knacks'!A$192,VLOOKUP(BA236,'Purchased Knacks'!$A$4:$E$300,3,FALSE),"")</f>
        <v/>
      </c>
      <c r="BC236" s="1039"/>
      <c r="BD236" s="1039"/>
      <c r="BE236" s="1039"/>
      <c r="BF236" s="1040"/>
      <c r="BG236" s="1032" t="str">
        <f>IF(BB236="","",VLOOKUP(BB236,KanckRef!$A$1:$G$300,7,FALSE))</f>
        <v/>
      </c>
      <c r="BH236" s="1033"/>
      <c r="BI236" s="753"/>
      <c r="BJ236" s="754"/>
      <c r="BK236" s="754"/>
      <c r="BL236" s="754"/>
      <c r="BM236" s="754"/>
      <c r="BN236" s="754"/>
      <c r="BO236" s="754"/>
      <c r="BP236" s="754"/>
      <c r="BQ236" s="754"/>
      <c r="BR236" s="754"/>
      <c r="BS236" s="754"/>
      <c r="BT236" s="754"/>
      <c r="BU236" s="754"/>
      <c r="BV236" s="754"/>
      <c r="BW236" s="754"/>
      <c r="BX236" s="754"/>
      <c r="BY236" s="754"/>
      <c r="BZ236" s="755"/>
      <c r="CA236" s="15">
        <v>146</v>
      </c>
      <c r="CB236" s="1038" t="str">
        <f>IF(CA236&lt;'Purchased Knacks'!A$192,VLOOKUP(CA236,'Purchased Knacks'!$A$4:$E$300,3,FALSE),"")</f>
        <v/>
      </c>
      <c r="CC236" s="1039"/>
      <c r="CD236" s="1039"/>
      <c r="CE236" s="1039"/>
      <c r="CF236" s="1040"/>
      <c r="CG236" s="1032" t="str">
        <f>IF(CB236="","",VLOOKUP(CB236,KanckRef!$A$1:$G$300,7,FALSE))</f>
        <v/>
      </c>
      <c r="CH236" s="1033"/>
      <c r="CI236" s="753"/>
      <c r="CJ236" s="754"/>
      <c r="CK236" s="754"/>
      <c r="CL236" s="754"/>
      <c r="CM236" s="754"/>
      <c r="CN236" s="754"/>
      <c r="CO236" s="754"/>
      <c r="CP236" s="754"/>
      <c r="CQ236" s="754"/>
      <c r="CR236" s="754"/>
      <c r="CS236" s="754"/>
      <c r="CT236" s="754"/>
      <c r="CU236" s="754"/>
      <c r="CV236" s="754"/>
      <c r="CW236" s="754"/>
      <c r="CX236" s="754"/>
      <c r="CY236" s="754"/>
      <c r="CZ236" s="755"/>
    </row>
    <row r="237" spans="1:104" x14ac:dyDescent="0.25">
      <c r="B237" s="1026"/>
      <c r="C237" s="727"/>
      <c r="D237" s="727"/>
      <c r="E237" s="727"/>
      <c r="F237" s="727"/>
      <c r="G237" s="727"/>
      <c r="H237" s="727"/>
      <c r="I237" s="727" t="str">
        <f>IF(B236="","",VLOOKUP(B236,BoonRef!$A$2:$Z$900,26,FALSE))</f>
        <v/>
      </c>
      <c r="J237" s="727"/>
      <c r="K237" s="727"/>
      <c r="L237" s="727"/>
      <c r="M237" s="727"/>
      <c r="N237" s="727"/>
      <c r="O237" s="727"/>
      <c r="P237" s="727"/>
      <c r="Q237" s="727"/>
      <c r="R237" s="727"/>
      <c r="S237" s="727"/>
      <c r="T237" s="727"/>
      <c r="U237" s="727"/>
      <c r="V237" s="727"/>
      <c r="W237" s="727"/>
      <c r="X237" s="727"/>
      <c r="Y237" s="727"/>
      <c r="Z237" s="728"/>
      <c r="AB237" s="1026"/>
      <c r="AC237" s="727"/>
      <c r="AD237" s="727"/>
      <c r="AE237" s="727"/>
      <c r="AF237" s="727"/>
      <c r="AG237" s="727"/>
      <c r="AH237" s="727"/>
      <c r="AI237" s="727" t="str">
        <f>IF(AB236="","",VLOOKUP(AB236,BoonRef!$A$2:$Z$900,26,FALSE))</f>
        <v/>
      </c>
      <c r="AJ237" s="727"/>
      <c r="AK237" s="727"/>
      <c r="AL237" s="727"/>
      <c r="AM237" s="727"/>
      <c r="AN237" s="727"/>
      <c r="AO237" s="727"/>
      <c r="AP237" s="727"/>
      <c r="AQ237" s="727"/>
      <c r="AR237" s="727"/>
      <c r="AS237" s="727"/>
      <c r="AT237" s="727"/>
      <c r="AU237" s="727"/>
      <c r="AV237" s="727"/>
      <c r="AW237" s="727"/>
      <c r="AX237" s="727"/>
      <c r="AY237" s="727"/>
      <c r="AZ237" s="728"/>
      <c r="BB237" s="1041"/>
      <c r="BC237" s="1042"/>
      <c r="BD237" s="1042"/>
      <c r="BE237" s="1042"/>
      <c r="BF237" s="1043"/>
      <c r="BG237" s="1034"/>
      <c r="BH237" s="1035"/>
      <c r="BI237" s="753"/>
      <c r="BJ237" s="754"/>
      <c r="BK237" s="754"/>
      <c r="BL237" s="754"/>
      <c r="BM237" s="754"/>
      <c r="BN237" s="754"/>
      <c r="BO237" s="754"/>
      <c r="BP237" s="754"/>
      <c r="BQ237" s="754"/>
      <c r="BR237" s="754"/>
      <c r="BS237" s="754"/>
      <c r="BT237" s="754"/>
      <c r="BU237" s="754"/>
      <c r="BV237" s="754"/>
      <c r="BW237" s="754"/>
      <c r="BX237" s="754"/>
      <c r="BY237" s="754"/>
      <c r="BZ237" s="755"/>
      <c r="CB237" s="1041"/>
      <c r="CC237" s="1042"/>
      <c r="CD237" s="1042"/>
      <c r="CE237" s="1042"/>
      <c r="CF237" s="1043"/>
      <c r="CG237" s="1034"/>
      <c r="CH237" s="1035"/>
      <c r="CI237" s="753"/>
      <c r="CJ237" s="754"/>
      <c r="CK237" s="754"/>
      <c r="CL237" s="754"/>
      <c r="CM237" s="754"/>
      <c r="CN237" s="754"/>
      <c r="CO237" s="754"/>
      <c r="CP237" s="754"/>
      <c r="CQ237" s="754"/>
      <c r="CR237" s="754"/>
      <c r="CS237" s="754"/>
      <c r="CT237" s="754"/>
      <c r="CU237" s="754"/>
      <c r="CV237" s="754"/>
      <c r="CW237" s="754"/>
      <c r="CX237" s="754"/>
      <c r="CY237" s="754"/>
      <c r="CZ237" s="755"/>
    </row>
    <row r="238" spans="1:104" x14ac:dyDescent="0.25">
      <c r="B238" s="1026" t="str">
        <f>IF(B236="","",VLOOKUP(B236,BoonRef!$A$2:$Z$900,24,FALSE))</f>
        <v/>
      </c>
      <c r="C238" s="727"/>
      <c r="D238" s="727"/>
      <c r="E238" s="727"/>
      <c r="F238" s="727"/>
      <c r="G238" s="727"/>
      <c r="H238" s="727"/>
      <c r="I238" s="727"/>
      <c r="J238" s="727"/>
      <c r="K238" s="727"/>
      <c r="L238" s="727"/>
      <c r="M238" s="727"/>
      <c r="N238" s="727"/>
      <c r="O238" s="727"/>
      <c r="P238" s="727"/>
      <c r="Q238" s="727"/>
      <c r="R238" s="727"/>
      <c r="S238" s="727"/>
      <c r="T238" s="727"/>
      <c r="U238" s="727"/>
      <c r="V238" s="727"/>
      <c r="W238" s="727"/>
      <c r="X238" s="727"/>
      <c r="Y238" s="727"/>
      <c r="Z238" s="728"/>
      <c r="AB238" s="1026" t="str">
        <f>IF(AB236="","",VLOOKUP(AB236,BoonRef!$A$2:$Z$900,24,FALSE))</f>
        <v/>
      </c>
      <c r="AC238" s="727"/>
      <c r="AD238" s="727"/>
      <c r="AE238" s="727"/>
      <c r="AF238" s="727"/>
      <c r="AG238" s="727"/>
      <c r="AH238" s="727"/>
      <c r="AI238" s="727"/>
      <c r="AJ238" s="727"/>
      <c r="AK238" s="727"/>
      <c r="AL238" s="727"/>
      <c r="AM238" s="727"/>
      <c r="AN238" s="727"/>
      <c r="AO238" s="727"/>
      <c r="AP238" s="727"/>
      <c r="AQ238" s="727"/>
      <c r="AR238" s="727"/>
      <c r="AS238" s="727"/>
      <c r="AT238" s="727"/>
      <c r="AU238" s="727"/>
      <c r="AV238" s="727"/>
      <c r="AW238" s="727"/>
      <c r="AX238" s="727"/>
      <c r="AY238" s="727"/>
      <c r="AZ238" s="728"/>
      <c r="BB238" s="641" t="str">
        <f>IF(BB236="","",VLOOKUP(BB236,KanckRef!$A$1:$G$300,4,FALSE))</f>
        <v/>
      </c>
      <c r="BC238" s="642"/>
      <c r="BD238" s="642"/>
      <c r="BE238" s="642"/>
      <c r="BF238" s="642"/>
      <c r="BG238" s="642"/>
      <c r="BH238" s="1033"/>
      <c r="BI238" s="753"/>
      <c r="BJ238" s="754"/>
      <c r="BK238" s="754"/>
      <c r="BL238" s="754"/>
      <c r="BM238" s="754"/>
      <c r="BN238" s="754"/>
      <c r="BO238" s="754"/>
      <c r="BP238" s="754"/>
      <c r="BQ238" s="754"/>
      <c r="BR238" s="754"/>
      <c r="BS238" s="754"/>
      <c r="BT238" s="754"/>
      <c r="BU238" s="754"/>
      <c r="BV238" s="754"/>
      <c r="BW238" s="754"/>
      <c r="BX238" s="754"/>
      <c r="BY238" s="754"/>
      <c r="BZ238" s="755"/>
      <c r="CB238" s="641" t="str">
        <f>IF(CB236="","",VLOOKUP(CB236,KanckRef!$A$1:$G$300,4,FALSE))</f>
        <v/>
      </c>
      <c r="CC238" s="642"/>
      <c r="CD238" s="642"/>
      <c r="CE238" s="642"/>
      <c r="CF238" s="642"/>
      <c r="CG238" s="642"/>
      <c r="CH238" s="1033"/>
      <c r="CI238" s="753"/>
      <c r="CJ238" s="754"/>
      <c r="CK238" s="754"/>
      <c r="CL238" s="754"/>
      <c r="CM238" s="754"/>
      <c r="CN238" s="754"/>
      <c r="CO238" s="754"/>
      <c r="CP238" s="754"/>
      <c r="CQ238" s="754"/>
      <c r="CR238" s="754"/>
      <c r="CS238" s="754"/>
      <c r="CT238" s="754"/>
      <c r="CU238" s="754"/>
      <c r="CV238" s="754"/>
      <c r="CW238" s="754"/>
      <c r="CX238" s="754"/>
      <c r="CY238" s="754"/>
      <c r="CZ238" s="755"/>
    </row>
    <row r="239" spans="1:104" x14ac:dyDescent="0.25">
      <c r="B239" s="1026" t="str">
        <f>IF(B236="","",VLOOKUP(B236,BoonRef!$A$2:$Z$900,23,FALSE))</f>
        <v/>
      </c>
      <c r="C239" s="727"/>
      <c r="D239" s="727"/>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8"/>
      <c r="AB239" s="1026" t="str">
        <f>IF(AB236="","",VLOOKUP(AB236,BoonRef!$A$2:$Z$900,23,FALSE))</f>
        <v/>
      </c>
      <c r="AC239" s="727"/>
      <c r="AD239" s="727"/>
      <c r="AE239" s="727"/>
      <c r="AF239" s="727"/>
      <c r="AG239" s="727"/>
      <c r="AH239" s="727"/>
      <c r="AI239" s="727"/>
      <c r="AJ239" s="727"/>
      <c r="AK239" s="727"/>
      <c r="AL239" s="727"/>
      <c r="AM239" s="727"/>
      <c r="AN239" s="727"/>
      <c r="AO239" s="727"/>
      <c r="AP239" s="727"/>
      <c r="AQ239" s="727"/>
      <c r="AR239" s="727"/>
      <c r="AS239" s="727"/>
      <c r="AT239" s="727"/>
      <c r="AU239" s="727"/>
      <c r="AV239" s="727"/>
      <c r="AW239" s="727"/>
      <c r="AX239" s="727"/>
      <c r="AY239" s="727"/>
      <c r="AZ239" s="728"/>
      <c r="BB239" s="635"/>
      <c r="BC239" s="636"/>
      <c r="BD239" s="636"/>
      <c r="BE239" s="636"/>
      <c r="BF239" s="636"/>
      <c r="BG239" s="636"/>
      <c r="BH239" s="1036"/>
      <c r="BI239" s="753"/>
      <c r="BJ239" s="754"/>
      <c r="BK239" s="754"/>
      <c r="BL239" s="754"/>
      <c r="BM239" s="754"/>
      <c r="BN239" s="754"/>
      <c r="BO239" s="754"/>
      <c r="BP239" s="754"/>
      <c r="BQ239" s="754"/>
      <c r="BR239" s="754"/>
      <c r="BS239" s="754"/>
      <c r="BT239" s="754"/>
      <c r="BU239" s="754"/>
      <c r="BV239" s="754"/>
      <c r="BW239" s="754"/>
      <c r="BX239" s="754"/>
      <c r="BY239" s="754"/>
      <c r="BZ239" s="755"/>
      <c r="CB239" s="635"/>
      <c r="CC239" s="636"/>
      <c r="CD239" s="636"/>
      <c r="CE239" s="636"/>
      <c r="CF239" s="636"/>
      <c r="CG239" s="636"/>
      <c r="CH239" s="1036"/>
      <c r="CI239" s="753"/>
      <c r="CJ239" s="754"/>
      <c r="CK239" s="754"/>
      <c r="CL239" s="754"/>
      <c r="CM239" s="754"/>
      <c r="CN239" s="754"/>
      <c r="CO239" s="754"/>
      <c r="CP239" s="754"/>
      <c r="CQ239" s="754"/>
      <c r="CR239" s="754"/>
      <c r="CS239" s="754"/>
      <c r="CT239" s="754"/>
      <c r="CU239" s="754"/>
      <c r="CV239" s="754"/>
      <c r="CW239" s="754"/>
      <c r="CX239" s="754"/>
      <c r="CY239" s="754"/>
      <c r="CZ239" s="755"/>
    </row>
    <row r="240" spans="1:104" ht="15" customHeight="1" thickBot="1" x14ac:dyDescent="0.3">
      <c r="B240" s="1027"/>
      <c r="C240" s="865"/>
      <c r="D240" s="865"/>
      <c r="E240" s="865"/>
      <c r="F240" s="865"/>
      <c r="G240" s="865"/>
      <c r="H240" s="865"/>
      <c r="I240" s="865"/>
      <c r="J240" s="865"/>
      <c r="K240" s="865"/>
      <c r="L240" s="865"/>
      <c r="M240" s="865"/>
      <c r="N240" s="865"/>
      <c r="O240" s="865"/>
      <c r="P240" s="865"/>
      <c r="Q240" s="865"/>
      <c r="R240" s="865"/>
      <c r="S240" s="865"/>
      <c r="T240" s="865"/>
      <c r="U240" s="865"/>
      <c r="V240" s="865"/>
      <c r="W240" s="865"/>
      <c r="X240" s="865"/>
      <c r="Y240" s="865"/>
      <c r="Z240" s="921"/>
      <c r="AB240" s="1027"/>
      <c r="AC240" s="865"/>
      <c r="AD240" s="865"/>
      <c r="AE240" s="865"/>
      <c r="AF240" s="865"/>
      <c r="AG240" s="865"/>
      <c r="AH240" s="865"/>
      <c r="AI240" s="865"/>
      <c r="AJ240" s="865"/>
      <c r="AK240" s="865"/>
      <c r="AL240" s="865"/>
      <c r="AM240" s="865"/>
      <c r="AN240" s="865"/>
      <c r="AO240" s="865"/>
      <c r="AP240" s="865"/>
      <c r="AQ240" s="865"/>
      <c r="AR240" s="865"/>
      <c r="AS240" s="865"/>
      <c r="AT240" s="865"/>
      <c r="AU240" s="865"/>
      <c r="AV240" s="865"/>
      <c r="AW240" s="865"/>
      <c r="AX240" s="865"/>
      <c r="AY240" s="865"/>
      <c r="AZ240" s="921"/>
      <c r="BB240" s="644"/>
      <c r="BC240" s="645"/>
      <c r="BD240" s="645"/>
      <c r="BE240" s="645"/>
      <c r="BF240" s="645"/>
      <c r="BG240" s="645"/>
      <c r="BH240" s="1037"/>
      <c r="BI240" s="756"/>
      <c r="BJ240" s="757"/>
      <c r="BK240" s="757"/>
      <c r="BL240" s="757"/>
      <c r="BM240" s="757"/>
      <c r="BN240" s="757"/>
      <c r="BO240" s="757"/>
      <c r="BP240" s="757"/>
      <c r="BQ240" s="757"/>
      <c r="BR240" s="757"/>
      <c r="BS240" s="757"/>
      <c r="BT240" s="757"/>
      <c r="BU240" s="757"/>
      <c r="BV240" s="757"/>
      <c r="BW240" s="757"/>
      <c r="BX240" s="757"/>
      <c r="BY240" s="757"/>
      <c r="BZ240" s="758"/>
      <c r="CB240" s="644"/>
      <c r="CC240" s="645"/>
      <c r="CD240" s="645"/>
      <c r="CE240" s="645"/>
      <c r="CF240" s="645"/>
      <c r="CG240" s="645"/>
      <c r="CH240" s="1037"/>
      <c r="CI240" s="756"/>
      <c r="CJ240" s="757"/>
      <c r="CK240" s="757"/>
      <c r="CL240" s="757"/>
      <c r="CM240" s="757"/>
      <c r="CN240" s="757"/>
      <c r="CO240" s="757"/>
      <c r="CP240" s="757"/>
      <c r="CQ240" s="757"/>
      <c r="CR240" s="757"/>
      <c r="CS240" s="757"/>
      <c r="CT240" s="757"/>
      <c r="CU240" s="757"/>
      <c r="CV240" s="757"/>
      <c r="CW240" s="757"/>
      <c r="CX240" s="757"/>
      <c r="CY240" s="757"/>
      <c r="CZ240" s="758"/>
    </row>
    <row r="241" spans="1:104" ht="15" customHeight="1" x14ac:dyDescent="0.25">
      <c r="B241" s="1028" t="str">
        <f>IF(B242="","",VLOOKUP(B242,BoonRef!$A$2:$Z$900,2,FALSE))</f>
        <v/>
      </c>
      <c r="C241" s="725"/>
      <c r="D241" s="725"/>
      <c r="E241" s="725"/>
      <c r="F241" s="725"/>
      <c r="G241" s="725"/>
      <c r="H241" s="725"/>
      <c r="I241" s="725" t="str">
        <f>IF(B242="","",VLOOKUP(B242,BoonRef!$A$2:$Z$900,3,FALSE))</f>
        <v/>
      </c>
      <c r="J241" s="725"/>
      <c r="K241" s="725" t="str">
        <f>IF(B242="","",VLOOKUP(B242,DescRef!$A$2:$B$900,2,FALSE))</f>
        <v/>
      </c>
      <c r="L241" s="725"/>
      <c r="M241" s="725"/>
      <c r="N241" s="725"/>
      <c r="O241" s="725"/>
      <c r="P241" s="725"/>
      <c r="Q241" s="725"/>
      <c r="R241" s="725"/>
      <c r="S241" s="725"/>
      <c r="T241" s="725"/>
      <c r="U241" s="725"/>
      <c r="V241" s="725"/>
      <c r="W241" s="725"/>
      <c r="X241" s="725"/>
      <c r="Y241" s="725"/>
      <c r="Z241" s="726"/>
      <c r="AB241" s="1028" t="str">
        <f>IF(AB242="","",VLOOKUP(AB242,BoonRef!$A$2:$Z$900,2,FALSE))</f>
        <v/>
      </c>
      <c r="AC241" s="725"/>
      <c r="AD241" s="725"/>
      <c r="AE241" s="725"/>
      <c r="AF241" s="725"/>
      <c r="AG241" s="725"/>
      <c r="AH241" s="725"/>
      <c r="AI241" s="725" t="str">
        <f>IF(AB242="","",VLOOKUP(AB242,BoonRef!$A$2:$Z$900,3,FALSE))</f>
        <v/>
      </c>
      <c r="AJ241" s="725"/>
      <c r="AK241" s="725" t="str">
        <f>IF(AB242="","",VLOOKUP(AB242,DescRef!$A$2:$B$900,2,FALSE))</f>
        <v/>
      </c>
      <c r="AL241" s="725"/>
      <c r="AM241" s="725"/>
      <c r="AN241" s="725"/>
      <c r="AO241" s="725"/>
      <c r="AP241" s="725"/>
      <c r="AQ241" s="725"/>
      <c r="AR241" s="725"/>
      <c r="AS241" s="725"/>
      <c r="AT241" s="725"/>
      <c r="AU241" s="725"/>
      <c r="AV241" s="725"/>
      <c r="AW241" s="725"/>
      <c r="AX241" s="725"/>
      <c r="AY241" s="725"/>
      <c r="AZ241" s="726"/>
      <c r="BB241" s="1029" t="str">
        <f>IF(BB242="","",VLOOKUP(BB242,KanckRef!$A$1:$G$300,2,FALSE))</f>
        <v/>
      </c>
      <c r="BC241" s="1030"/>
      <c r="BD241" s="1030"/>
      <c r="BE241" s="1030"/>
      <c r="BF241" s="1031"/>
      <c r="BG241" s="1048" t="str">
        <f>IF(BB242="","",VLOOKUP(BB242,KanckRef!$A$1:$G$300,6,FALSE))</f>
        <v/>
      </c>
      <c r="BH241" s="1049"/>
      <c r="BI241" s="988" t="str">
        <f>IF(BB242="","",VLOOKUP(BB242,DescRef!$D$2:$E$300,2,FALSE))</f>
        <v/>
      </c>
      <c r="BJ241" s="795"/>
      <c r="BK241" s="795"/>
      <c r="BL241" s="795"/>
      <c r="BM241" s="795"/>
      <c r="BN241" s="795"/>
      <c r="BO241" s="795"/>
      <c r="BP241" s="795"/>
      <c r="BQ241" s="795"/>
      <c r="BR241" s="795"/>
      <c r="BS241" s="795"/>
      <c r="BT241" s="795"/>
      <c r="BU241" s="795"/>
      <c r="BV241" s="795"/>
      <c r="BW241" s="795"/>
      <c r="BX241" s="795"/>
      <c r="BY241" s="795"/>
      <c r="BZ241" s="796"/>
      <c r="CB241" s="1029" t="str">
        <f>IF(CB242="","",VLOOKUP(CB242,KanckRef!$A$1:$G$300,2,FALSE))</f>
        <v/>
      </c>
      <c r="CC241" s="1030"/>
      <c r="CD241" s="1030"/>
      <c r="CE241" s="1030"/>
      <c r="CF241" s="1031"/>
      <c r="CG241" s="1048" t="str">
        <f>IF(CB242="","",VLOOKUP(CB242,KanckRef!$A$1:$G$300,6,FALSE))</f>
        <v/>
      </c>
      <c r="CH241" s="1049"/>
      <c r="CI241" s="988" t="str">
        <f>IF(CB242="","",VLOOKUP(CB242,DescRef!$D$2:$E$300,2,FALSE))</f>
        <v/>
      </c>
      <c r="CJ241" s="795"/>
      <c r="CK241" s="795"/>
      <c r="CL241" s="795"/>
      <c r="CM241" s="795"/>
      <c r="CN241" s="795"/>
      <c r="CO241" s="795"/>
      <c r="CP241" s="795"/>
      <c r="CQ241" s="795"/>
      <c r="CR241" s="795"/>
      <c r="CS241" s="795"/>
      <c r="CT241" s="795"/>
      <c r="CU241" s="795"/>
      <c r="CV241" s="795"/>
      <c r="CW241" s="795"/>
      <c r="CX241" s="795"/>
      <c r="CY241" s="795"/>
      <c r="CZ241" s="796"/>
    </row>
    <row r="242" spans="1:104" ht="15" customHeight="1" x14ac:dyDescent="0.25">
      <c r="A242" s="15">
        <v>40</v>
      </c>
      <c r="B242" s="1026" t="str">
        <f>IF(A242&lt;'Purchased Boons'!$B$496,VLOOKUP(A242,'Purchased Boons'!$BF$2:$BG$900,2,FALSE),"")</f>
        <v/>
      </c>
      <c r="C242" s="727"/>
      <c r="D242" s="727"/>
      <c r="E242" s="727"/>
      <c r="F242" s="727"/>
      <c r="G242" s="727"/>
      <c r="H242" s="727"/>
      <c r="I242" s="727" t="str">
        <f>IF(B242="","",VLOOKUP(B242,BoonRef!$A$2:$Z$900,25,FALSE))</f>
        <v/>
      </c>
      <c r="J242" s="727"/>
      <c r="K242" s="727"/>
      <c r="L242" s="727"/>
      <c r="M242" s="727"/>
      <c r="N242" s="727"/>
      <c r="O242" s="727"/>
      <c r="P242" s="727"/>
      <c r="Q242" s="727"/>
      <c r="R242" s="727"/>
      <c r="S242" s="727"/>
      <c r="T242" s="727"/>
      <c r="U242" s="727"/>
      <c r="V242" s="727"/>
      <c r="W242" s="727"/>
      <c r="X242" s="727"/>
      <c r="Y242" s="727"/>
      <c r="Z242" s="728"/>
      <c r="AA242" s="15">
        <v>147</v>
      </c>
      <c r="AB242" s="1026" t="str">
        <f>IF(AA242&lt;'Purchased Boons'!$B$496,VLOOKUP(AA242,'Purchased Boons'!$BF$2:$BG$900,2,FALSE),"")</f>
        <v/>
      </c>
      <c r="AC242" s="727"/>
      <c r="AD242" s="727"/>
      <c r="AE242" s="727"/>
      <c r="AF242" s="727"/>
      <c r="AG242" s="727"/>
      <c r="AH242" s="727"/>
      <c r="AI242" s="727" t="str">
        <f>IF(AB242="","",VLOOKUP(AB242,BoonRef!$A$2:$Z$900,25,FALSE))</f>
        <v/>
      </c>
      <c r="AJ242" s="727"/>
      <c r="AK242" s="727"/>
      <c r="AL242" s="727"/>
      <c r="AM242" s="727"/>
      <c r="AN242" s="727"/>
      <c r="AO242" s="727"/>
      <c r="AP242" s="727"/>
      <c r="AQ242" s="727"/>
      <c r="AR242" s="727"/>
      <c r="AS242" s="727"/>
      <c r="AT242" s="727"/>
      <c r="AU242" s="727"/>
      <c r="AV242" s="727"/>
      <c r="AW242" s="727"/>
      <c r="AX242" s="727"/>
      <c r="AY242" s="727"/>
      <c r="AZ242" s="728"/>
      <c r="BA242" s="15">
        <v>40</v>
      </c>
      <c r="BB242" s="1038" t="str">
        <f>IF(BA242&lt;'Purchased Knacks'!A$192,VLOOKUP(BA242,'Purchased Knacks'!$A$4:$E$300,3,FALSE),"")</f>
        <v/>
      </c>
      <c r="BC242" s="1039"/>
      <c r="BD242" s="1039"/>
      <c r="BE242" s="1039"/>
      <c r="BF242" s="1040"/>
      <c r="BG242" s="1032" t="str">
        <f>IF(BB242="","",VLOOKUP(BB242,KanckRef!$A$1:$G$300,7,FALSE))</f>
        <v/>
      </c>
      <c r="BH242" s="1033"/>
      <c r="BI242" s="753"/>
      <c r="BJ242" s="754"/>
      <c r="BK242" s="754"/>
      <c r="BL242" s="754"/>
      <c r="BM242" s="754"/>
      <c r="BN242" s="754"/>
      <c r="BO242" s="754"/>
      <c r="BP242" s="754"/>
      <c r="BQ242" s="754"/>
      <c r="BR242" s="754"/>
      <c r="BS242" s="754"/>
      <c r="BT242" s="754"/>
      <c r="BU242" s="754"/>
      <c r="BV242" s="754"/>
      <c r="BW242" s="754"/>
      <c r="BX242" s="754"/>
      <c r="BY242" s="754"/>
      <c r="BZ242" s="755"/>
      <c r="CA242" s="15">
        <v>147</v>
      </c>
      <c r="CB242" s="1038" t="str">
        <f>IF(CA242&lt;'Purchased Knacks'!A$192,VLOOKUP(CA242,'Purchased Knacks'!$A$4:$E$300,3,FALSE),"")</f>
        <v/>
      </c>
      <c r="CC242" s="1039"/>
      <c r="CD242" s="1039"/>
      <c r="CE242" s="1039"/>
      <c r="CF242" s="1040"/>
      <c r="CG242" s="1032" t="str">
        <f>IF(CB242="","",VLOOKUP(CB242,KanckRef!$A$1:$G$300,7,FALSE))</f>
        <v/>
      </c>
      <c r="CH242" s="1033"/>
      <c r="CI242" s="753"/>
      <c r="CJ242" s="754"/>
      <c r="CK242" s="754"/>
      <c r="CL242" s="754"/>
      <c r="CM242" s="754"/>
      <c r="CN242" s="754"/>
      <c r="CO242" s="754"/>
      <c r="CP242" s="754"/>
      <c r="CQ242" s="754"/>
      <c r="CR242" s="754"/>
      <c r="CS242" s="754"/>
      <c r="CT242" s="754"/>
      <c r="CU242" s="754"/>
      <c r="CV242" s="754"/>
      <c r="CW242" s="754"/>
      <c r="CX242" s="754"/>
      <c r="CY242" s="754"/>
      <c r="CZ242" s="755"/>
    </row>
    <row r="243" spans="1:104" x14ac:dyDescent="0.25">
      <c r="B243" s="1026"/>
      <c r="C243" s="727"/>
      <c r="D243" s="727"/>
      <c r="E243" s="727"/>
      <c r="F243" s="727"/>
      <c r="G243" s="727"/>
      <c r="H243" s="727"/>
      <c r="I243" s="727" t="str">
        <f>IF(B242="","",VLOOKUP(B242,BoonRef!$A$2:$Z$900,26,FALSE))</f>
        <v/>
      </c>
      <c r="J243" s="727"/>
      <c r="K243" s="727"/>
      <c r="L243" s="727"/>
      <c r="M243" s="727"/>
      <c r="N243" s="727"/>
      <c r="O243" s="727"/>
      <c r="P243" s="727"/>
      <c r="Q243" s="727"/>
      <c r="R243" s="727"/>
      <c r="S243" s="727"/>
      <c r="T243" s="727"/>
      <c r="U243" s="727"/>
      <c r="V243" s="727"/>
      <c r="W243" s="727"/>
      <c r="X243" s="727"/>
      <c r="Y243" s="727"/>
      <c r="Z243" s="728"/>
      <c r="AB243" s="1026"/>
      <c r="AC243" s="727"/>
      <c r="AD243" s="727"/>
      <c r="AE243" s="727"/>
      <c r="AF243" s="727"/>
      <c r="AG243" s="727"/>
      <c r="AH243" s="727"/>
      <c r="AI243" s="727" t="str">
        <f>IF(AB242="","",VLOOKUP(AB242,BoonRef!$A$2:$Z$900,26,FALSE))</f>
        <v/>
      </c>
      <c r="AJ243" s="727"/>
      <c r="AK243" s="727"/>
      <c r="AL243" s="727"/>
      <c r="AM243" s="727"/>
      <c r="AN243" s="727"/>
      <c r="AO243" s="727"/>
      <c r="AP243" s="727"/>
      <c r="AQ243" s="727"/>
      <c r="AR243" s="727"/>
      <c r="AS243" s="727"/>
      <c r="AT243" s="727"/>
      <c r="AU243" s="727"/>
      <c r="AV243" s="727"/>
      <c r="AW243" s="727"/>
      <c r="AX243" s="727"/>
      <c r="AY243" s="727"/>
      <c r="AZ243" s="728"/>
      <c r="BB243" s="1041"/>
      <c r="BC243" s="1042"/>
      <c r="BD243" s="1042"/>
      <c r="BE243" s="1042"/>
      <c r="BF243" s="1043"/>
      <c r="BG243" s="1034"/>
      <c r="BH243" s="1035"/>
      <c r="BI243" s="753"/>
      <c r="BJ243" s="754"/>
      <c r="BK243" s="754"/>
      <c r="BL243" s="754"/>
      <c r="BM243" s="754"/>
      <c r="BN243" s="754"/>
      <c r="BO243" s="754"/>
      <c r="BP243" s="754"/>
      <c r="BQ243" s="754"/>
      <c r="BR243" s="754"/>
      <c r="BS243" s="754"/>
      <c r="BT243" s="754"/>
      <c r="BU243" s="754"/>
      <c r="BV243" s="754"/>
      <c r="BW243" s="754"/>
      <c r="BX243" s="754"/>
      <c r="BY243" s="754"/>
      <c r="BZ243" s="755"/>
      <c r="CB243" s="1041"/>
      <c r="CC243" s="1042"/>
      <c r="CD243" s="1042"/>
      <c r="CE243" s="1042"/>
      <c r="CF243" s="1043"/>
      <c r="CG243" s="1034"/>
      <c r="CH243" s="1035"/>
      <c r="CI243" s="753"/>
      <c r="CJ243" s="754"/>
      <c r="CK243" s="754"/>
      <c r="CL243" s="754"/>
      <c r="CM243" s="754"/>
      <c r="CN243" s="754"/>
      <c r="CO243" s="754"/>
      <c r="CP243" s="754"/>
      <c r="CQ243" s="754"/>
      <c r="CR243" s="754"/>
      <c r="CS243" s="754"/>
      <c r="CT243" s="754"/>
      <c r="CU243" s="754"/>
      <c r="CV243" s="754"/>
      <c r="CW243" s="754"/>
      <c r="CX243" s="754"/>
      <c r="CY243" s="754"/>
      <c r="CZ243" s="755"/>
    </row>
    <row r="244" spans="1:104" x14ac:dyDescent="0.25">
      <c r="B244" s="1026" t="str">
        <f>IF(B242="","",VLOOKUP(B242,BoonRef!$A$2:$Z$900,24,FALSE))</f>
        <v/>
      </c>
      <c r="C244" s="727"/>
      <c r="D244" s="727"/>
      <c r="E244" s="727"/>
      <c r="F244" s="727"/>
      <c r="G244" s="727"/>
      <c r="H244" s="727"/>
      <c r="I244" s="727"/>
      <c r="J244" s="727"/>
      <c r="K244" s="727"/>
      <c r="L244" s="727"/>
      <c r="M244" s="727"/>
      <c r="N244" s="727"/>
      <c r="O244" s="727"/>
      <c r="P244" s="727"/>
      <c r="Q244" s="727"/>
      <c r="R244" s="727"/>
      <c r="S244" s="727"/>
      <c r="T244" s="727"/>
      <c r="U244" s="727"/>
      <c r="V244" s="727"/>
      <c r="W244" s="727"/>
      <c r="X244" s="727"/>
      <c r="Y244" s="727"/>
      <c r="Z244" s="728"/>
      <c r="AB244" s="1026" t="str">
        <f>IF(AB242="","",VLOOKUP(AB242,BoonRef!$A$2:$Z$900,24,FALSE))</f>
        <v/>
      </c>
      <c r="AC244" s="727"/>
      <c r="AD244" s="727"/>
      <c r="AE244" s="727"/>
      <c r="AF244" s="727"/>
      <c r="AG244" s="727"/>
      <c r="AH244" s="727"/>
      <c r="AI244" s="727"/>
      <c r="AJ244" s="727"/>
      <c r="AK244" s="727"/>
      <c r="AL244" s="727"/>
      <c r="AM244" s="727"/>
      <c r="AN244" s="727"/>
      <c r="AO244" s="727"/>
      <c r="AP244" s="727"/>
      <c r="AQ244" s="727"/>
      <c r="AR244" s="727"/>
      <c r="AS244" s="727"/>
      <c r="AT244" s="727"/>
      <c r="AU244" s="727"/>
      <c r="AV244" s="727"/>
      <c r="AW244" s="727"/>
      <c r="AX244" s="727"/>
      <c r="AY244" s="727"/>
      <c r="AZ244" s="728"/>
      <c r="BB244" s="641" t="str">
        <f>IF(BB242="","",VLOOKUP(BB242,KanckRef!$A$1:$G$300,4,FALSE))</f>
        <v/>
      </c>
      <c r="BC244" s="642"/>
      <c r="BD244" s="642"/>
      <c r="BE244" s="642"/>
      <c r="BF244" s="642"/>
      <c r="BG244" s="642"/>
      <c r="BH244" s="1033"/>
      <c r="BI244" s="753"/>
      <c r="BJ244" s="754"/>
      <c r="BK244" s="754"/>
      <c r="BL244" s="754"/>
      <c r="BM244" s="754"/>
      <c r="BN244" s="754"/>
      <c r="BO244" s="754"/>
      <c r="BP244" s="754"/>
      <c r="BQ244" s="754"/>
      <c r="BR244" s="754"/>
      <c r="BS244" s="754"/>
      <c r="BT244" s="754"/>
      <c r="BU244" s="754"/>
      <c r="BV244" s="754"/>
      <c r="BW244" s="754"/>
      <c r="BX244" s="754"/>
      <c r="BY244" s="754"/>
      <c r="BZ244" s="755"/>
      <c r="CB244" s="641" t="str">
        <f>IF(CB242="","",VLOOKUP(CB242,KanckRef!$A$1:$G$300,4,FALSE))</f>
        <v/>
      </c>
      <c r="CC244" s="642"/>
      <c r="CD244" s="642"/>
      <c r="CE244" s="642"/>
      <c r="CF244" s="642"/>
      <c r="CG244" s="642"/>
      <c r="CH244" s="1033"/>
      <c r="CI244" s="753"/>
      <c r="CJ244" s="754"/>
      <c r="CK244" s="754"/>
      <c r="CL244" s="754"/>
      <c r="CM244" s="754"/>
      <c r="CN244" s="754"/>
      <c r="CO244" s="754"/>
      <c r="CP244" s="754"/>
      <c r="CQ244" s="754"/>
      <c r="CR244" s="754"/>
      <c r="CS244" s="754"/>
      <c r="CT244" s="754"/>
      <c r="CU244" s="754"/>
      <c r="CV244" s="754"/>
      <c r="CW244" s="754"/>
      <c r="CX244" s="754"/>
      <c r="CY244" s="754"/>
      <c r="CZ244" s="755"/>
    </row>
    <row r="245" spans="1:104" ht="15" customHeight="1" x14ac:dyDescent="0.25">
      <c r="B245" s="1026" t="str">
        <f>IF(B242="","",VLOOKUP(B242,BoonRef!$A$2:$Z$900,23,FALSE))</f>
        <v/>
      </c>
      <c r="C245" s="727"/>
      <c r="D245" s="727"/>
      <c r="E245" s="727"/>
      <c r="F245" s="727"/>
      <c r="G245" s="727"/>
      <c r="H245" s="727"/>
      <c r="I245" s="727"/>
      <c r="J245" s="727"/>
      <c r="K245" s="727"/>
      <c r="L245" s="727"/>
      <c r="M245" s="727"/>
      <c r="N245" s="727"/>
      <c r="O245" s="727"/>
      <c r="P245" s="727"/>
      <c r="Q245" s="727"/>
      <c r="R245" s="727"/>
      <c r="S245" s="727"/>
      <c r="T245" s="727"/>
      <c r="U245" s="727"/>
      <c r="V245" s="727"/>
      <c r="W245" s="727"/>
      <c r="X245" s="727"/>
      <c r="Y245" s="727"/>
      <c r="Z245" s="728"/>
      <c r="AB245" s="1026" t="str">
        <f>IF(AB242="","",VLOOKUP(AB242,BoonRef!$A$2:$Z$900,23,FALSE))</f>
        <v/>
      </c>
      <c r="AC245" s="727"/>
      <c r="AD245" s="727"/>
      <c r="AE245" s="727"/>
      <c r="AF245" s="727"/>
      <c r="AG245" s="727"/>
      <c r="AH245" s="727"/>
      <c r="AI245" s="727"/>
      <c r="AJ245" s="727"/>
      <c r="AK245" s="727"/>
      <c r="AL245" s="727"/>
      <c r="AM245" s="727"/>
      <c r="AN245" s="727"/>
      <c r="AO245" s="727"/>
      <c r="AP245" s="727"/>
      <c r="AQ245" s="727"/>
      <c r="AR245" s="727"/>
      <c r="AS245" s="727"/>
      <c r="AT245" s="727"/>
      <c r="AU245" s="727"/>
      <c r="AV245" s="727"/>
      <c r="AW245" s="727"/>
      <c r="AX245" s="727"/>
      <c r="AY245" s="727"/>
      <c r="AZ245" s="728"/>
      <c r="BB245" s="635"/>
      <c r="BC245" s="636"/>
      <c r="BD245" s="636"/>
      <c r="BE245" s="636"/>
      <c r="BF245" s="636"/>
      <c r="BG245" s="636"/>
      <c r="BH245" s="1036"/>
      <c r="BI245" s="753"/>
      <c r="BJ245" s="754"/>
      <c r="BK245" s="754"/>
      <c r="BL245" s="754"/>
      <c r="BM245" s="754"/>
      <c r="BN245" s="754"/>
      <c r="BO245" s="754"/>
      <c r="BP245" s="754"/>
      <c r="BQ245" s="754"/>
      <c r="BR245" s="754"/>
      <c r="BS245" s="754"/>
      <c r="BT245" s="754"/>
      <c r="BU245" s="754"/>
      <c r="BV245" s="754"/>
      <c r="BW245" s="754"/>
      <c r="BX245" s="754"/>
      <c r="BY245" s="754"/>
      <c r="BZ245" s="755"/>
      <c r="CB245" s="635"/>
      <c r="CC245" s="636"/>
      <c r="CD245" s="636"/>
      <c r="CE245" s="636"/>
      <c r="CF245" s="636"/>
      <c r="CG245" s="636"/>
      <c r="CH245" s="1036"/>
      <c r="CI245" s="753"/>
      <c r="CJ245" s="754"/>
      <c r="CK245" s="754"/>
      <c r="CL245" s="754"/>
      <c r="CM245" s="754"/>
      <c r="CN245" s="754"/>
      <c r="CO245" s="754"/>
      <c r="CP245" s="754"/>
      <c r="CQ245" s="754"/>
      <c r="CR245" s="754"/>
      <c r="CS245" s="754"/>
      <c r="CT245" s="754"/>
      <c r="CU245" s="754"/>
      <c r="CV245" s="754"/>
      <c r="CW245" s="754"/>
      <c r="CX245" s="754"/>
      <c r="CY245" s="754"/>
      <c r="CZ245" s="755"/>
    </row>
    <row r="246" spans="1:104" ht="15" customHeight="1" thickBot="1" x14ac:dyDescent="0.3">
      <c r="B246" s="1027"/>
      <c r="C246" s="865"/>
      <c r="D246" s="865"/>
      <c r="E246" s="865"/>
      <c r="F246" s="865"/>
      <c r="G246" s="865"/>
      <c r="H246" s="865"/>
      <c r="I246" s="865"/>
      <c r="J246" s="865"/>
      <c r="K246" s="865"/>
      <c r="L246" s="865"/>
      <c r="M246" s="865"/>
      <c r="N246" s="865"/>
      <c r="O246" s="865"/>
      <c r="P246" s="865"/>
      <c r="Q246" s="865"/>
      <c r="R246" s="865"/>
      <c r="S246" s="865"/>
      <c r="T246" s="865"/>
      <c r="U246" s="865"/>
      <c r="V246" s="865"/>
      <c r="W246" s="865"/>
      <c r="X246" s="865"/>
      <c r="Y246" s="865"/>
      <c r="Z246" s="921"/>
      <c r="AB246" s="1027"/>
      <c r="AC246" s="865"/>
      <c r="AD246" s="865"/>
      <c r="AE246" s="865"/>
      <c r="AF246" s="865"/>
      <c r="AG246" s="865"/>
      <c r="AH246" s="865"/>
      <c r="AI246" s="865"/>
      <c r="AJ246" s="865"/>
      <c r="AK246" s="865"/>
      <c r="AL246" s="865"/>
      <c r="AM246" s="865"/>
      <c r="AN246" s="865"/>
      <c r="AO246" s="865"/>
      <c r="AP246" s="865"/>
      <c r="AQ246" s="865"/>
      <c r="AR246" s="865"/>
      <c r="AS246" s="865"/>
      <c r="AT246" s="865"/>
      <c r="AU246" s="865"/>
      <c r="AV246" s="865"/>
      <c r="AW246" s="865"/>
      <c r="AX246" s="865"/>
      <c r="AY246" s="865"/>
      <c r="AZ246" s="921"/>
      <c r="BB246" s="644"/>
      <c r="BC246" s="645"/>
      <c r="BD246" s="645"/>
      <c r="BE246" s="645"/>
      <c r="BF246" s="645"/>
      <c r="BG246" s="645"/>
      <c r="BH246" s="1037"/>
      <c r="BI246" s="756"/>
      <c r="BJ246" s="757"/>
      <c r="BK246" s="757"/>
      <c r="BL246" s="757"/>
      <c r="BM246" s="757"/>
      <c r="BN246" s="757"/>
      <c r="BO246" s="757"/>
      <c r="BP246" s="757"/>
      <c r="BQ246" s="757"/>
      <c r="BR246" s="757"/>
      <c r="BS246" s="757"/>
      <c r="BT246" s="757"/>
      <c r="BU246" s="757"/>
      <c r="BV246" s="757"/>
      <c r="BW246" s="757"/>
      <c r="BX246" s="757"/>
      <c r="BY246" s="757"/>
      <c r="BZ246" s="758"/>
      <c r="CB246" s="644"/>
      <c r="CC246" s="645"/>
      <c r="CD246" s="645"/>
      <c r="CE246" s="645"/>
      <c r="CF246" s="645"/>
      <c r="CG246" s="645"/>
      <c r="CH246" s="1037"/>
      <c r="CI246" s="756"/>
      <c r="CJ246" s="757"/>
      <c r="CK246" s="757"/>
      <c r="CL246" s="757"/>
      <c r="CM246" s="757"/>
      <c r="CN246" s="757"/>
      <c r="CO246" s="757"/>
      <c r="CP246" s="757"/>
      <c r="CQ246" s="757"/>
      <c r="CR246" s="757"/>
      <c r="CS246" s="757"/>
      <c r="CT246" s="757"/>
      <c r="CU246" s="757"/>
      <c r="CV246" s="757"/>
      <c r="CW246" s="757"/>
      <c r="CX246" s="757"/>
      <c r="CY246" s="757"/>
      <c r="CZ246" s="758"/>
    </row>
    <row r="247" spans="1:104" x14ac:dyDescent="0.25">
      <c r="B247" s="1028" t="str">
        <f>IF(B248="","",VLOOKUP(B248,BoonRef!$A$2:$Z$900,2,FALSE))</f>
        <v/>
      </c>
      <c r="C247" s="725"/>
      <c r="D247" s="725"/>
      <c r="E247" s="725"/>
      <c r="F247" s="725"/>
      <c r="G247" s="725"/>
      <c r="H247" s="725"/>
      <c r="I247" s="725" t="str">
        <f>IF(B248="","",VLOOKUP(B248,BoonRef!$A$2:$Z$900,3,FALSE))</f>
        <v/>
      </c>
      <c r="J247" s="725"/>
      <c r="K247" s="725" t="str">
        <f>IF(B248="","",VLOOKUP(B248,DescRef!$A$2:$B$900,2,FALSE))</f>
        <v/>
      </c>
      <c r="L247" s="725"/>
      <c r="M247" s="725"/>
      <c r="N247" s="725"/>
      <c r="O247" s="725"/>
      <c r="P247" s="725"/>
      <c r="Q247" s="725"/>
      <c r="R247" s="725"/>
      <c r="S247" s="725"/>
      <c r="T247" s="725"/>
      <c r="U247" s="725"/>
      <c r="V247" s="725"/>
      <c r="W247" s="725"/>
      <c r="X247" s="725"/>
      <c r="Y247" s="725"/>
      <c r="Z247" s="726"/>
      <c r="AB247" s="1028" t="str">
        <f>IF(AB248="","",VLOOKUP(AB248,BoonRef!$A$2:$Z$900,2,FALSE))</f>
        <v/>
      </c>
      <c r="AC247" s="725"/>
      <c r="AD247" s="725"/>
      <c r="AE247" s="725"/>
      <c r="AF247" s="725"/>
      <c r="AG247" s="725"/>
      <c r="AH247" s="725"/>
      <c r="AI247" s="725" t="str">
        <f>IF(AB248="","",VLOOKUP(AB248,BoonRef!$A$2:$Z$900,3,FALSE))</f>
        <v/>
      </c>
      <c r="AJ247" s="725"/>
      <c r="AK247" s="725" t="str">
        <f>IF(AB248="","",VLOOKUP(AB248,DescRef!$A$2:$B$900,2,FALSE))</f>
        <v/>
      </c>
      <c r="AL247" s="725"/>
      <c r="AM247" s="725"/>
      <c r="AN247" s="725"/>
      <c r="AO247" s="725"/>
      <c r="AP247" s="725"/>
      <c r="AQ247" s="725"/>
      <c r="AR247" s="725"/>
      <c r="AS247" s="725"/>
      <c r="AT247" s="725"/>
      <c r="AU247" s="725"/>
      <c r="AV247" s="725"/>
      <c r="AW247" s="725"/>
      <c r="AX247" s="725"/>
      <c r="AY247" s="725"/>
      <c r="AZ247" s="726"/>
      <c r="BB247" s="1029" t="str">
        <f>IF(BB248="","",VLOOKUP(BB248,KanckRef!$A$1:$G$300,2,FALSE))</f>
        <v/>
      </c>
      <c r="BC247" s="1030"/>
      <c r="BD247" s="1030"/>
      <c r="BE247" s="1030"/>
      <c r="BF247" s="1031"/>
      <c r="BG247" s="1048" t="str">
        <f>IF(BB248="","",VLOOKUP(BB248,KanckRef!$A$1:$G$300,6,FALSE))</f>
        <v/>
      </c>
      <c r="BH247" s="1049"/>
      <c r="BI247" s="988" t="str">
        <f>IF(BB248="","",VLOOKUP(BB248,DescRef!$D$2:$E$300,2,FALSE))</f>
        <v/>
      </c>
      <c r="BJ247" s="795"/>
      <c r="BK247" s="795"/>
      <c r="BL247" s="795"/>
      <c r="BM247" s="795"/>
      <c r="BN247" s="795"/>
      <c r="BO247" s="795"/>
      <c r="BP247" s="795"/>
      <c r="BQ247" s="795"/>
      <c r="BR247" s="795"/>
      <c r="BS247" s="795"/>
      <c r="BT247" s="795"/>
      <c r="BU247" s="795"/>
      <c r="BV247" s="795"/>
      <c r="BW247" s="795"/>
      <c r="BX247" s="795"/>
      <c r="BY247" s="795"/>
      <c r="BZ247" s="796"/>
      <c r="CB247" s="1029" t="str">
        <f>IF(CB248="","",VLOOKUP(CB248,KanckRef!$A$1:$G$300,2,FALSE))</f>
        <v/>
      </c>
      <c r="CC247" s="1030"/>
      <c r="CD247" s="1030"/>
      <c r="CE247" s="1030"/>
      <c r="CF247" s="1031"/>
      <c r="CG247" s="1048" t="str">
        <f>IF(CB248="","",VLOOKUP(CB248,KanckRef!$A$1:$G$300,6,FALSE))</f>
        <v/>
      </c>
      <c r="CH247" s="1049"/>
      <c r="CI247" s="988" t="str">
        <f>IF(CB248="","",VLOOKUP(CB248,DescRef!$D$2:$E$300,2,FALSE))</f>
        <v/>
      </c>
      <c r="CJ247" s="795"/>
      <c r="CK247" s="795"/>
      <c r="CL247" s="795"/>
      <c r="CM247" s="795"/>
      <c r="CN247" s="795"/>
      <c r="CO247" s="795"/>
      <c r="CP247" s="795"/>
      <c r="CQ247" s="795"/>
      <c r="CR247" s="795"/>
      <c r="CS247" s="795"/>
      <c r="CT247" s="795"/>
      <c r="CU247" s="795"/>
      <c r="CV247" s="795"/>
      <c r="CW247" s="795"/>
      <c r="CX247" s="795"/>
      <c r="CY247" s="795"/>
      <c r="CZ247" s="796"/>
    </row>
    <row r="248" spans="1:104" ht="15" customHeight="1" x14ac:dyDescent="0.25">
      <c r="A248" s="15">
        <v>41</v>
      </c>
      <c r="B248" s="1026" t="str">
        <f>IF(A248&lt;'Purchased Boons'!$B$496,VLOOKUP(A248,'Purchased Boons'!$BF$2:$BG$900,2,FALSE),"")</f>
        <v/>
      </c>
      <c r="C248" s="727"/>
      <c r="D248" s="727"/>
      <c r="E248" s="727"/>
      <c r="F248" s="727"/>
      <c r="G248" s="727"/>
      <c r="H248" s="727"/>
      <c r="I248" s="727" t="str">
        <f>IF(B248="","",VLOOKUP(B248,BoonRef!$A$2:$Z$900,25,FALSE))</f>
        <v/>
      </c>
      <c r="J248" s="727"/>
      <c r="K248" s="727"/>
      <c r="L248" s="727"/>
      <c r="M248" s="727"/>
      <c r="N248" s="727"/>
      <c r="O248" s="727"/>
      <c r="P248" s="727"/>
      <c r="Q248" s="727"/>
      <c r="R248" s="727"/>
      <c r="S248" s="727"/>
      <c r="T248" s="727"/>
      <c r="U248" s="727"/>
      <c r="V248" s="727"/>
      <c r="W248" s="727"/>
      <c r="X248" s="727"/>
      <c r="Y248" s="727"/>
      <c r="Z248" s="728"/>
      <c r="AA248" s="15">
        <v>148</v>
      </c>
      <c r="AB248" s="1026" t="str">
        <f>IF(AA248&lt;'Purchased Boons'!$B$496,VLOOKUP(AA248,'Purchased Boons'!$BF$2:$BG$900,2,FALSE),"")</f>
        <v/>
      </c>
      <c r="AC248" s="727"/>
      <c r="AD248" s="727"/>
      <c r="AE248" s="727"/>
      <c r="AF248" s="727"/>
      <c r="AG248" s="727"/>
      <c r="AH248" s="727"/>
      <c r="AI248" s="727" t="str">
        <f>IF(AB248="","",VLOOKUP(AB248,BoonRef!$A$2:$Z$900,25,FALSE))</f>
        <v/>
      </c>
      <c r="AJ248" s="727"/>
      <c r="AK248" s="727"/>
      <c r="AL248" s="727"/>
      <c r="AM248" s="727"/>
      <c r="AN248" s="727"/>
      <c r="AO248" s="727"/>
      <c r="AP248" s="727"/>
      <c r="AQ248" s="727"/>
      <c r="AR248" s="727"/>
      <c r="AS248" s="727"/>
      <c r="AT248" s="727"/>
      <c r="AU248" s="727"/>
      <c r="AV248" s="727"/>
      <c r="AW248" s="727"/>
      <c r="AX248" s="727"/>
      <c r="AY248" s="727"/>
      <c r="AZ248" s="728"/>
      <c r="BA248" s="15">
        <v>41</v>
      </c>
      <c r="BB248" s="1038" t="str">
        <f>IF(BA248&lt;'Purchased Knacks'!A$192,VLOOKUP(BA248,'Purchased Knacks'!$A$4:$E$300,3,FALSE),"")</f>
        <v/>
      </c>
      <c r="BC248" s="1039"/>
      <c r="BD248" s="1039"/>
      <c r="BE248" s="1039"/>
      <c r="BF248" s="1040"/>
      <c r="BG248" s="1032" t="str">
        <f>IF(BB248="","",VLOOKUP(BB248,KanckRef!$A$1:$G$300,7,FALSE))</f>
        <v/>
      </c>
      <c r="BH248" s="1033"/>
      <c r="BI248" s="753"/>
      <c r="BJ248" s="754"/>
      <c r="BK248" s="754"/>
      <c r="BL248" s="754"/>
      <c r="BM248" s="754"/>
      <c r="BN248" s="754"/>
      <c r="BO248" s="754"/>
      <c r="BP248" s="754"/>
      <c r="BQ248" s="754"/>
      <c r="BR248" s="754"/>
      <c r="BS248" s="754"/>
      <c r="BT248" s="754"/>
      <c r="BU248" s="754"/>
      <c r="BV248" s="754"/>
      <c r="BW248" s="754"/>
      <c r="BX248" s="754"/>
      <c r="BY248" s="754"/>
      <c r="BZ248" s="755"/>
      <c r="CA248" s="15">
        <v>148</v>
      </c>
      <c r="CB248" s="1038" t="str">
        <f>IF(CA248&lt;'Purchased Knacks'!A$192,VLOOKUP(CA248,'Purchased Knacks'!$A$4:$E$300,3,FALSE),"")</f>
        <v/>
      </c>
      <c r="CC248" s="1039"/>
      <c r="CD248" s="1039"/>
      <c r="CE248" s="1039"/>
      <c r="CF248" s="1040"/>
      <c r="CG248" s="1032" t="str">
        <f>IF(CB248="","",VLOOKUP(CB248,KanckRef!$A$1:$G$300,7,FALSE))</f>
        <v/>
      </c>
      <c r="CH248" s="1033"/>
      <c r="CI248" s="753"/>
      <c r="CJ248" s="754"/>
      <c r="CK248" s="754"/>
      <c r="CL248" s="754"/>
      <c r="CM248" s="754"/>
      <c r="CN248" s="754"/>
      <c r="CO248" s="754"/>
      <c r="CP248" s="754"/>
      <c r="CQ248" s="754"/>
      <c r="CR248" s="754"/>
      <c r="CS248" s="754"/>
      <c r="CT248" s="754"/>
      <c r="CU248" s="754"/>
      <c r="CV248" s="754"/>
      <c r="CW248" s="754"/>
      <c r="CX248" s="754"/>
      <c r="CY248" s="754"/>
      <c r="CZ248" s="755"/>
    </row>
    <row r="249" spans="1:104" x14ac:dyDescent="0.25">
      <c r="B249" s="1026"/>
      <c r="C249" s="727"/>
      <c r="D249" s="727"/>
      <c r="E249" s="727"/>
      <c r="F249" s="727"/>
      <c r="G249" s="727"/>
      <c r="H249" s="727"/>
      <c r="I249" s="727" t="str">
        <f>IF(B248="","",VLOOKUP(B248,BoonRef!$A$2:$Z$900,26,FALSE))</f>
        <v/>
      </c>
      <c r="J249" s="727"/>
      <c r="K249" s="727"/>
      <c r="L249" s="727"/>
      <c r="M249" s="727"/>
      <c r="N249" s="727"/>
      <c r="O249" s="727"/>
      <c r="P249" s="727"/>
      <c r="Q249" s="727"/>
      <c r="R249" s="727"/>
      <c r="S249" s="727"/>
      <c r="T249" s="727"/>
      <c r="U249" s="727"/>
      <c r="V249" s="727"/>
      <c r="W249" s="727"/>
      <c r="X249" s="727"/>
      <c r="Y249" s="727"/>
      <c r="Z249" s="728"/>
      <c r="AB249" s="1026"/>
      <c r="AC249" s="727"/>
      <c r="AD249" s="727"/>
      <c r="AE249" s="727"/>
      <c r="AF249" s="727"/>
      <c r="AG249" s="727"/>
      <c r="AH249" s="727"/>
      <c r="AI249" s="727" t="str">
        <f>IF(AB248="","",VLOOKUP(AB248,BoonRef!$A$2:$Z$900,26,FALSE))</f>
        <v/>
      </c>
      <c r="AJ249" s="727"/>
      <c r="AK249" s="727"/>
      <c r="AL249" s="727"/>
      <c r="AM249" s="727"/>
      <c r="AN249" s="727"/>
      <c r="AO249" s="727"/>
      <c r="AP249" s="727"/>
      <c r="AQ249" s="727"/>
      <c r="AR249" s="727"/>
      <c r="AS249" s="727"/>
      <c r="AT249" s="727"/>
      <c r="AU249" s="727"/>
      <c r="AV249" s="727"/>
      <c r="AW249" s="727"/>
      <c r="AX249" s="727"/>
      <c r="AY249" s="727"/>
      <c r="AZ249" s="728"/>
      <c r="BB249" s="1041"/>
      <c r="BC249" s="1042"/>
      <c r="BD249" s="1042"/>
      <c r="BE249" s="1042"/>
      <c r="BF249" s="1043"/>
      <c r="BG249" s="1034"/>
      <c r="BH249" s="1035"/>
      <c r="BI249" s="753"/>
      <c r="BJ249" s="754"/>
      <c r="BK249" s="754"/>
      <c r="BL249" s="754"/>
      <c r="BM249" s="754"/>
      <c r="BN249" s="754"/>
      <c r="BO249" s="754"/>
      <c r="BP249" s="754"/>
      <c r="BQ249" s="754"/>
      <c r="BR249" s="754"/>
      <c r="BS249" s="754"/>
      <c r="BT249" s="754"/>
      <c r="BU249" s="754"/>
      <c r="BV249" s="754"/>
      <c r="BW249" s="754"/>
      <c r="BX249" s="754"/>
      <c r="BY249" s="754"/>
      <c r="BZ249" s="755"/>
      <c r="CB249" s="1041"/>
      <c r="CC249" s="1042"/>
      <c r="CD249" s="1042"/>
      <c r="CE249" s="1042"/>
      <c r="CF249" s="1043"/>
      <c r="CG249" s="1034"/>
      <c r="CH249" s="1035"/>
      <c r="CI249" s="753"/>
      <c r="CJ249" s="754"/>
      <c r="CK249" s="754"/>
      <c r="CL249" s="754"/>
      <c r="CM249" s="754"/>
      <c r="CN249" s="754"/>
      <c r="CO249" s="754"/>
      <c r="CP249" s="754"/>
      <c r="CQ249" s="754"/>
      <c r="CR249" s="754"/>
      <c r="CS249" s="754"/>
      <c r="CT249" s="754"/>
      <c r="CU249" s="754"/>
      <c r="CV249" s="754"/>
      <c r="CW249" s="754"/>
      <c r="CX249" s="754"/>
      <c r="CY249" s="754"/>
      <c r="CZ249" s="755"/>
    </row>
    <row r="250" spans="1:104" ht="15" customHeight="1" x14ac:dyDescent="0.25">
      <c r="B250" s="1026" t="str">
        <f>IF(B248="","",VLOOKUP(B248,BoonRef!$A$2:$Z$900,24,FALSE))</f>
        <v/>
      </c>
      <c r="C250" s="727"/>
      <c r="D250" s="727"/>
      <c r="E250" s="727"/>
      <c r="F250" s="727"/>
      <c r="G250" s="727"/>
      <c r="H250" s="727"/>
      <c r="I250" s="727"/>
      <c r="J250" s="727"/>
      <c r="K250" s="727"/>
      <c r="L250" s="727"/>
      <c r="M250" s="727"/>
      <c r="N250" s="727"/>
      <c r="O250" s="727"/>
      <c r="P250" s="727"/>
      <c r="Q250" s="727"/>
      <c r="R250" s="727"/>
      <c r="S250" s="727"/>
      <c r="T250" s="727"/>
      <c r="U250" s="727"/>
      <c r="V250" s="727"/>
      <c r="W250" s="727"/>
      <c r="X250" s="727"/>
      <c r="Y250" s="727"/>
      <c r="Z250" s="728"/>
      <c r="AB250" s="1026" t="str">
        <f>IF(AB248="","",VLOOKUP(AB248,BoonRef!$A$2:$Z$900,24,FALSE))</f>
        <v/>
      </c>
      <c r="AC250" s="727"/>
      <c r="AD250" s="727"/>
      <c r="AE250" s="727"/>
      <c r="AF250" s="727"/>
      <c r="AG250" s="727"/>
      <c r="AH250" s="727"/>
      <c r="AI250" s="727"/>
      <c r="AJ250" s="727"/>
      <c r="AK250" s="727"/>
      <c r="AL250" s="727"/>
      <c r="AM250" s="727"/>
      <c r="AN250" s="727"/>
      <c r="AO250" s="727"/>
      <c r="AP250" s="727"/>
      <c r="AQ250" s="727"/>
      <c r="AR250" s="727"/>
      <c r="AS250" s="727"/>
      <c r="AT250" s="727"/>
      <c r="AU250" s="727"/>
      <c r="AV250" s="727"/>
      <c r="AW250" s="727"/>
      <c r="AX250" s="727"/>
      <c r="AY250" s="727"/>
      <c r="AZ250" s="728"/>
      <c r="BB250" s="641" t="str">
        <f>IF(BB248="","",VLOOKUP(BB248,KanckRef!$A$1:$G$300,4,FALSE))</f>
        <v/>
      </c>
      <c r="BC250" s="642"/>
      <c r="BD250" s="642"/>
      <c r="BE250" s="642"/>
      <c r="BF250" s="642"/>
      <c r="BG250" s="642"/>
      <c r="BH250" s="1033"/>
      <c r="BI250" s="753"/>
      <c r="BJ250" s="754"/>
      <c r="BK250" s="754"/>
      <c r="BL250" s="754"/>
      <c r="BM250" s="754"/>
      <c r="BN250" s="754"/>
      <c r="BO250" s="754"/>
      <c r="BP250" s="754"/>
      <c r="BQ250" s="754"/>
      <c r="BR250" s="754"/>
      <c r="BS250" s="754"/>
      <c r="BT250" s="754"/>
      <c r="BU250" s="754"/>
      <c r="BV250" s="754"/>
      <c r="BW250" s="754"/>
      <c r="BX250" s="754"/>
      <c r="BY250" s="754"/>
      <c r="BZ250" s="755"/>
      <c r="CB250" s="641" t="str">
        <f>IF(CB248="","",VLOOKUP(CB248,KanckRef!$A$1:$G$300,4,FALSE))</f>
        <v/>
      </c>
      <c r="CC250" s="642"/>
      <c r="CD250" s="642"/>
      <c r="CE250" s="642"/>
      <c r="CF250" s="642"/>
      <c r="CG250" s="642"/>
      <c r="CH250" s="1033"/>
      <c r="CI250" s="753"/>
      <c r="CJ250" s="754"/>
      <c r="CK250" s="754"/>
      <c r="CL250" s="754"/>
      <c r="CM250" s="754"/>
      <c r="CN250" s="754"/>
      <c r="CO250" s="754"/>
      <c r="CP250" s="754"/>
      <c r="CQ250" s="754"/>
      <c r="CR250" s="754"/>
      <c r="CS250" s="754"/>
      <c r="CT250" s="754"/>
      <c r="CU250" s="754"/>
      <c r="CV250" s="754"/>
      <c r="CW250" s="754"/>
      <c r="CX250" s="754"/>
      <c r="CY250" s="754"/>
      <c r="CZ250" s="755"/>
    </row>
    <row r="251" spans="1:104" ht="15" customHeight="1" x14ac:dyDescent="0.25">
      <c r="B251" s="1026" t="str">
        <f>IF(B248="","",VLOOKUP(B248,BoonRef!$A$2:$Z$900,23,FALSE))</f>
        <v/>
      </c>
      <c r="C251" s="727"/>
      <c r="D251" s="727"/>
      <c r="E251" s="727"/>
      <c r="F251" s="727"/>
      <c r="G251" s="727"/>
      <c r="H251" s="727"/>
      <c r="I251" s="727"/>
      <c r="J251" s="727"/>
      <c r="K251" s="727"/>
      <c r="L251" s="727"/>
      <c r="M251" s="727"/>
      <c r="N251" s="727"/>
      <c r="O251" s="727"/>
      <c r="P251" s="727"/>
      <c r="Q251" s="727"/>
      <c r="R251" s="727"/>
      <c r="S251" s="727"/>
      <c r="T251" s="727"/>
      <c r="U251" s="727"/>
      <c r="V251" s="727"/>
      <c r="W251" s="727"/>
      <c r="X251" s="727"/>
      <c r="Y251" s="727"/>
      <c r="Z251" s="728"/>
      <c r="AB251" s="1026" t="str">
        <f>IF(AB248="","",VLOOKUP(AB248,BoonRef!$A$2:$Z$900,23,FALSE))</f>
        <v/>
      </c>
      <c r="AC251" s="727"/>
      <c r="AD251" s="727"/>
      <c r="AE251" s="727"/>
      <c r="AF251" s="727"/>
      <c r="AG251" s="727"/>
      <c r="AH251" s="727"/>
      <c r="AI251" s="727"/>
      <c r="AJ251" s="727"/>
      <c r="AK251" s="727"/>
      <c r="AL251" s="727"/>
      <c r="AM251" s="727"/>
      <c r="AN251" s="727"/>
      <c r="AO251" s="727"/>
      <c r="AP251" s="727"/>
      <c r="AQ251" s="727"/>
      <c r="AR251" s="727"/>
      <c r="AS251" s="727"/>
      <c r="AT251" s="727"/>
      <c r="AU251" s="727"/>
      <c r="AV251" s="727"/>
      <c r="AW251" s="727"/>
      <c r="AX251" s="727"/>
      <c r="AY251" s="727"/>
      <c r="AZ251" s="728"/>
      <c r="BB251" s="635"/>
      <c r="BC251" s="636"/>
      <c r="BD251" s="636"/>
      <c r="BE251" s="636"/>
      <c r="BF251" s="636"/>
      <c r="BG251" s="636"/>
      <c r="BH251" s="1036"/>
      <c r="BI251" s="753"/>
      <c r="BJ251" s="754"/>
      <c r="BK251" s="754"/>
      <c r="BL251" s="754"/>
      <c r="BM251" s="754"/>
      <c r="BN251" s="754"/>
      <c r="BO251" s="754"/>
      <c r="BP251" s="754"/>
      <c r="BQ251" s="754"/>
      <c r="BR251" s="754"/>
      <c r="BS251" s="754"/>
      <c r="BT251" s="754"/>
      <c r="BU251" s="754"/>
      <c r="BV251" s="754"/>
      <c r="BW251" s="754"/>
      <c r="BX251" s="754"/>
      <c r="BY251" s="754"/>
      <c r="BZ251" s="755"/>
      <c r="CB251" s="635"/>
      <c r="CC251" s="636"/>
      <c r="CD251" s="636"/>
      <c r="CE251" s="636"/>
      <c r="CF251" s="636"/>
      <c r="CG251" s="636"/>
      <c r="CH251" s="1036"/>
      <c r="CI251" s="753"/>
      <c r="CJ251" s="754"/>
      <c r="CK251" s="754"/>
      <c r="CL251" s="754"/>
      <c r="CM251" s="754"/>
      <c r="CN251" s="754"/>
      <c r="CO251" s="754"/>
      <c r="CP251" s="754"/>
      <c r="CQ251" s="754"/>
      <c r="CR251" s="754"/>
      <c r="CS251" s="754"/>
      <c r="CT251" s="754"/>
      <c r="CU251" s="754"/>
      <c r="CV251" s="754"/>
      <c r="CW251" s="754"/>
      <c r="CX251" s="754"/>
      <c r="CY251" s="754"/>
      <c r="CZ251" s="755"/>
    </row>
    <row r="252" spans="1:104" ht="15.75" thickBot="1" x14ac:dyDescent="0.3">
      <c r="B252" s="1027"/>
      <c r="C252" s="865"/>
      <c r="D252" s="865"/>
      <c r="E252" s="865"/>
      <c r="F252" s="865"/>
      <c r="G252" s="865"/>
      <c r="H252" s="865"/>
      <c r="I252" s="865"/>
      <c r="J252" s="865"/>
      <c r="K252" s="865"/>
      <c r="L252" s="865"/>
      <c r="M252" s="865"/>
      <c r="N252" s="865"/>
      <c r="O252" s="865"/>
      <c r="P252" s="865"/>
      <c r="Q252" s="865"/>
      <c r="R252" s="865"/>
      <c r="S252" s="865"/>
      <c r="T252" s="865"/>
      <c r="U252" s="865"/>
      <c r="V252" s="865"/>
      <c r="W252" s="865"/>
      <c r="X252" s="865"/>
      <c r="Y252" s="865"/>
      <c r="Z252" s="921"/>
      <c r="AB252" s="1027"/>
      <c r="AC252" s="865"/>
      <c r="AD252" s="865"/>
      <c r="AE252" s="865"/>
      <c r="AF252" s="865"/>
      <c r="AG252" s="865"/>
      <c r="AH252" s="865"/>
      <c r="AI252" s="865"/>
      <c r="AJ252" s="865"/>
      <c r="AK252" s="865"/>
      <c r="AL252" s="865"/>
      <c r="AM252" s="865"/>
      <c r="AN252" s="865"/>
      <c r="AO252" s="865"/>
      <c r="AP252" s="865"/>
      <c r="AQ252" s="865"/>
      <c r="AR252" s="865"/>
      <c r="AS252" s="865"/>
      <c r="AT252" s="865"/>
      <c r="AU252" s="865"/>
      <c r="AV252" s="865"/>
      <c r="AW252" s="865"/>
      <c r="AX252" s="865"/>
      <c r="AY252" s="865"/>
      <c r="AZ252" s="921"/>
      <c r="BB252" s="644"/>
      <c r="BC252" s="645"/>
      <c r="BD252" s="645"/>
      <c r="BE252" s="645"/>
      <c r="BF252" s="645"/>
      <c r="BG252" s="645"/>
      <c r="BH252" s="1037"/>
      <c r="BI252" s="756"/>
      <c r="BJ252" s="757"/>
      <c r="BK252" s="757"/>
      <c r="BL252" s="757"/>
      <c r="BM252" s="757"/>
      <c r="BN252" s="757"/>
      <c r="BO252" s="757"/>
      <c r="BP252" s="757"/>
      <c r="BQ252" s="757"/>
      <c r="BR252" s="757"/>
      <c r="BS252" s="757"/>
      <c r="BT252" s="757"/>
      <c r="BU252" s="757"/>
      <c r="BV252" s="757"/>
      <c r="BW252" s="757"/>
      <c r="BX252" s="757"/>
      <c r="BY252" s="757"/>
      <c r="BZ252" s="758"/>
      <c r="CB252" s="644"/>
      <c r="CC252" s="645"/>
      <c r="CD252" s="645"/>
      <c r="CE252" s="645"/>
      <c r="CF252" s="645"/>
      <c r="CG252" s="645"/>
      <c r="CH252" s="1037"/>
      <c r="CI252" s="756"/>
      <c r="CJ252" s="757"/>
      <c r="CK252" s="757"/>
      <c r="CL252" s="757"/>
      <c r="CM252" s="757"/>
      <c r="CN252" s="757"/>
      <c r="CO252" s="757"/>
      <c r="CP252" s="757"/>
      <c r="CQ252" s="757"/>
      <c r="CR252" s="757"/>
      <c r="CS252" s="757"/>
      <c r="CT252" s="757"/>
      <c r="CU252" s="757"/>
      <c r="CV252" s="757"/>
      <c r="CW252" s="757"/>
      <c r="CX252" s="757"/>
      <c r="CY252" s="757"/>
      <c r="CZ252" s="758"/>
    </row>
    <row r="253" spans="1:104" x14ac:dyDescent="0.25">
      <c r="B253" s="1028" t="str">
        <f>IF(B254="","",VLOOKUP(B254,BoonRef!$A$2:$Z$900,2,FALSE))</f>
        <v/>
      </c>
      <c r="C253" s="725"/>
      <c r="D253" s="725"/>
      <c r="E253" s="725"/>
      <c r="F253" s="725"/>
      <c r="G253" s="725"/>
      <c r="H253" s="725"/>
      <c r="I253" s="725" t="str">
        <f>IF(B254="","",VLOOKUP(B254,BoonRef!$A$2:$Z$900,3,FALSE))</f>
        <v/>
      </c>
      <c r="J253" s="725"/>
      <c r="K253" s="725" t="str">
        <f>IF(B254="","",VLOOKUP(B254,DescRef!$A$2:$B$900,2,FALSE))</f>
        <v/>
      </c>
      <c r="L253" s="725"/>
      <c r="M253" s="725"/>
      <c r="N253" s="725"/>
      <c r="O253" s="725"/>
      <c r="P253" s="725"/>
      <c r="Q253" s="725"/>
      <c r="R253" s="725"/>
      <c r="S253" s="725"/>
      <c r="T253" s="725"/>
      <c r="U253" s="725"/>
      <c r="V253" s="725"/>
      <c r="W253" s="725"/>
      <c r="X253" s="725"/>
      <c r="Y253" s="725"/>
      <c r="Z253" s="726"/>
      <c r="AB253" s="1028" t="str">
        <f>IF(AB254="","",VLOOKUP(AB254,BoonRef!$A$2:$Z$900,2,FALSE))</f>
        <v/>
      </c>
      <c r="AC253" s="725"/>
      <c r="AD253" s="725"/>
      <c r="AE253" s="725"/>
      <c r="AF253" s="725"/>
      <c r="AG253" s="725"/>
      <c r="AH253" s="725"/>
      <c r="AI253" s="725" t="str">
        <f>IF(AB254="","",VLOOKUP(AB254,BoonRef!$A$2:$Z$900,3,FALSE))</f>
        <v/>
      </c>
      <c r="AJ253" s="725"/>
      <c r="AK253" s="725" t="str">
        <f>IF(AB254="","",VLOOKUP(AB254,DescRef!$A$2:$B$900,2,FALSE))</f>
        <v/>
      </c>
      <c r="AL253" s="725"/>
      <c r="AM253" s="725"/>
      <c r="AN253" s="725"/>
      <c r="AO253" s="725"/>
      <c r="AP253" s="725"/>
      <c r="AQ253" s="725"/>
      <c r="AR253" s="725"/>
      <c r="AS253" s="725"/>
      <c r="AT253" s="725"/>
      <c r="AU253" s="725"/>
      <c r="AV253" s="725"/>
      <c r="AW253" s="725"/>
      <c r="AX253" s="725"/>
      <c r="AY253" s="725"/>
      <c r="AZ253" s="726"/>
      <c r="BB253" s="1029" t="str">
        <f>IF(BB254="","",VLOOKUP(BB254,KanckRef!$A$1:$G$300,2,FALSE))</f>
        <v/>
      </c>
      <c r="BC253" s="1030"/>
      <c r="BD253" s="1030"/>
      <c r="BE253" s="1030"/>
      <c r="BF253" s="1031"/>
      <c r="BG253" s="1048" t="str">
        <f>IF(BB254="","",VLOOKUP(BB254,KanckRef!$A$1:$G$300,6,FALSE))</f>
        <v/>
      </c>
      <c r="BH253" s="1049"/>
      <c r="BI253" s="988" t="str">
        <f>IF(BB254="","",VLOOKUP(BB254,DescRef!$D$2:$E$300,2,FALSE))</f>
        <v/>
      </c>
      <c r="BJ253" s="795"/>
      <c r="BK253" s="795"/>
      <c r="BL253" s="795"/>
      <c r="BM253" s="795"/>
      <c r="BN253" s="795"/>
      <c r="BO253" s="795"/>
      <c r="BP253" s="795"/>
      <c r="BQ253" s="795"/>
      <c r="BR253" s="795"/>
      <c r="BS253" s="795"/>
      <c r="BT253" s="795"/>
      <c r="BU253" s="795"/>
      <c r="BV253" s="795"/>
      <c r="BW253" s="795"/>
      <c r="BX253" s="795"/>
      <c r="BY253" s="795"/>
      <c r="BZ253" s="796"/>
      <c r="CB253" s="1029" t="str">
        <f>IF(CB254="","",VLOOKUP(CB254,KanckRef!$A$1:$G$300,2,FALSE))</f>
        <v/>
      </c>
      <c r="CC253" s="1030"/>
      <c r="CD253" s="1030"/>
      <c r="CE253" s="1030"/>
      <c r="CF253" s="1031"/>
      <c r="CG253" s="1048" t="str">
        <f>IF(CB254="","",VLOOKUP(CB254,KanckRef!$A$1:$G$300,6,FALSE))</f>
        <v/>
      </c>
      <c r="CH253" s="1049"/>
      <c r="CI253" s="988" t="str">
        <f>IF(CB254="","",VLOOKUP(CB254,DescRef!$D$2:$E$300,2,FALSE))</f>
        <v/>
      </c>
      <c r="CJ253" s="795"/>
      <c r="CK253" s="795"/>
      <c r="CL253" s="795"/>
      <c r="CM253" s="795"/>
      <c r="CN253" s="795"/>
      <c r="CO253" s="795"/>
      <c r="CP253" s="795"/>
      <c r="CQ253" s="795"/>
      <c r="CR253" s="795"/>
      <c r="CS253" s="795"/>
      <c r="CT253" s="795"/>
      <c r="CU253" s="795"/>
      <c r="CV253" s="795"/>
      <c r="CW253" s="795"/>
      <c r="CX253" s="795"/>
      <c r="CY253" s="795"/>
      <c r="CZ253" s="796"/>
    </row>
    <row r="254" spans="1:104" ht="15" customHeight="1" x14ac:dyDescent="0.25">
      <c r="A254" s="15">
        <v>42</v>
      </c>
      <c r="B254" s="1026" t="str">
        <f>IF(A254&lt;'Purchased Boons'!$B$496,VLOOKUP(A254,'Purchased Boons'!$BF$2:$BG$900,2,FALSE),"")</f>
        <v/>
      </c>
      <c r="C254" s="727"/>
      <c r="D254" s="727"/>
      <c r="E254" s="727"/>
      <c r="F254" s="727"/>
      <c r="G254" s="727"/>
      <c r="H254" s="727"/>
      <c r="I254" s="727" t="str">
        <f>IF(B254="","",VLOOKUP(B254,BoonRef!$A$2:$Z$900,25,FALSE))</f>
        <v/>
      </c>
      <c r="J254" s="727"/>
      <c r="K254" s="727"/>
      <c r="L254" s="727"/>
      <c r="M254" s="727"/>
      <c r="N254" s="727"/>
      <c r="O254" s="727"/>
      <c r="P254" s="727"/>
      <c r="Q254" s="727"/>
      <c r="R254" s="727"/>
      <c r="S254" s="727"/>
      <c r="T254" s="727"/>
      <c r="U254" s="727"/>
      <c r="V254" s="727"/>
      <c r="W254" s="727"/>
      <c r="X254" s="727"/>
      <c r="Y254" s="727"/>
      <c r="Z254" s="728"/>
      <c r="AA254" s="15">
        <v>149</v>
      </c>
      <c r="AB254" s="1026" t="str">
        <f>IF(AA254&lt;'Purchased Boons'!$B$496,VLOOKUP(AA254,'Purchased Boons'!$BF$2:$BG$900,2,FALSE),"")</f>
        <v/>
      </c>
      <c r="AC254" s="727"/>
      <c r="AD254" s="727"/>
      <c r="AE254" s="727"/>
      <c r="AF254" s="727"/>
      <c r="AG254" s="727"/>
      <c r="AH254" s="727"/>
      <c r="AI254" s="727" t="str">
        <f>IF(AB254="","",VLOOKUP(AB254,BoonRef!$A$2:$Z$900,25,FALSE))</f>
        <v/>
      </c>
      <c r="AJ254" s="727"/>
      <c r="AK254" s="727"/>
      <c r="AL254" s="727"/>
      <c r="AM254" s="727"/>
      <c r="AN254" s="727"/>
      <c r="AO254" s="727"/>
      <c r="AP254" s="727"/>
      <c r="AQ254" s="727"/>
      <c r="AR254" s="727"/>
      <c r="AS254" s="727"/>
      <c r="AT254" s="727"/>
      <c r="AU254" s="727"/>
      <c r="AV254" s="727"/>
      <c r="AW254" s="727"/>
      <c r="AX254" s="727"/>
      <c r="AY254" s="727"/>
      <c r="AZ254" s="728"/>
      <c r="BA254" s="15">
        <v>42</v>
      </c>
      <c r="BB254" s="1038" t="str">
        <f>IF(BA254&lt;'Purchased Knacks'!A$192,VLOOKUP(BA254,'Purchased Knacks'!$A$4:$E$300,3,FALSE),"")</f>
        <v/>
      </c>
      <c r="BC254" s="1039"/>
      <c r="BD254" s="1039"/>
      <c r="BE254" s="1039"/>
      <c r="BF254" s="1040"/>
      <c r="BG254" s="1032" t="str">
        <f>IF(BB254="","",VLOOKUP(BB254,KanckRef!$A$1:$G$300,7,FALSE))</f>
        <v/>
      </c>
      <c r="BH254" s="1033"/>
      <c r="BI254" s="753"/>
      <c r="BJ254" s="754"/>
      <c r="BK254" s="754"/>
      <c r="BL254" s="754"/>
      <c r="BM254" s="754"/>
      <c r="BN254" s="754"/>
      <c r="BO254" s="754"/>
      <c r="BP254" s="754"/>
      <c r="BQ254" s="754"/>
      <c r="BR254" s="754"/>
      <c r="BS254" s="754"/>
      <c r="BT254" s="754"/>
      <c r="BU254" s="754"/>
      <c r="BV254" s="754"/>
      <c r="BW254" s="754"/>
      <c r="BX254" s="754"/>
      <c r="BY254" s="754"/>
      <c r="BZ254" s="755"/>
      <c r="CA254" s="15">
        <v>149</v>
      </c>
      <c r="CB254" s="1038" t="str">
        <f>IF(CA254&lt;'Purchased Knacks'!A$192,VLOOKUP(CA254,'Purchased Knacks'!$A$4:$E$300,3,FALSE),"")</f>
        <v/>
      </c>
      <c r="CC254" s="1039"/>
      <c r="CD254" s="1039"/>
      <c r="CE254" s="1039"/>
      <c r="CF254" s="1040"/>
      <c r="CG254" s="1032" t="str">
        <f>IF(CB254="","",VLOOKUP(CB254,KanckRef!$A$1:$G$300,7,FALSE))</f>
        <v/>
      </c>
      <c r="CH254" s="1033"/>
      <c r="CI254" s="753"/>
      <c r="CJ254" s="754"/>
      <c r="CK254" s="754"/>
      <c r="CL254" s="754"/>
      <c r="CM254" s="754"/>
      <c r="CN254" s="754"/>
      <c r="CO254" s="754"/>
      <c r="CP254" s="754"/>
      <c r="CQ254" s="754"/>
      <c r="CR254" s="754"/>
      <c r="CS254" s="754"/>
      <c r="CT254" s="754"/>
      <c r="CU254" s="754"/>
      <c r="CV254" s="754"/>
      <c r="CW254" s="754"/>
      <c r="CX254" s="754"/>
      <c r="CY254" s="754"/>
      <c r="CZ254" s="755"/>
    </row>
    <row r="255" spans="1:104" ht="15" customHeight="1" x14ac:dyDescent="0.25">
      <c r="B255" s="1026"/>
      <c r="C255" s="727"/>
      <c r="D255" s="727"/>
      <c r="E255" s="727"/>
      <c r="F255" s="727"/>
      <c r="G255" s="727"/>
      <c r="H255" s="727"/>
      <c r="I255" s="727" t="str">
        <f>IF(B254="","",VLOOKUP(B254,BoonRef!$A$2:$Z$900,26,FALSE))</f>
        <v/>
      </c>
      <c r="J255" s="727"/>
      <c r="K255" s="727"/>
      <c r="L255" s="727"/>
      <c r="M255" s="727"/>
      <c r="N255" s="727"/>
      <c r="O255" s="727"/>
      <c r="P255" s="727"/>
      <c r="Q255" s="727"/>
      <c r="R255" s="727"/>
      <c r="S255" s="727"/>
      <c r="T255" s="727"/>
      <c r="U255" s="727"/>
      <c r="V255" s="727"/>
      <c r="W255" s="727"/>
      <c r="X255" s="727"/>
      <c r="Y255" s="727"/>
      <c r="Z255" s="728"/>
      <c r="AB255" s="1026"/>
      <c r="AC255" s="727"/>
      <c r="AD255" s="727"/>
      <c r="AE255" s="727"/>
      <c r="AF255" s="727"/>
      <c r="AG255" s="727"/>
      <c r="AH255" s="727"/>
      <c r="AI255" s="727" t="str">
        <f>IF(AB254="","",VLOOKUP(AB254,BoonRef!$A$2:$Z$900,26,FALSE))</f>
        <v/>
      </c>
      <c r="AJ255" s="727"/>
      <c r="AK255" s="727"/>
      <c r="AL255" s="727"/>
      <c r="AM255" s="727"/>
      <c r="AN255" s="727"/>
      <c r="AO255" s="727"/>
      <c r="AP255" s="727"/>
      <c r="AQ255" s="727"/>
      <c r="AR255" s="727"/>
      <c r="AS255" s="727"/>
      <c r="AT255" s="727"/>
      <c r="AU255" s="727"/>
      <c r="AV255" s="727"/>
      <c r="AW255" s="727"/>
      <c r="AX255" s="727"/>
      <c r="AY255" s="727"/>
      <c r="AZ255" s="728"/>
      <c r="BB255" s="1041"/>
      <c r="BC255" s="1042"/>
      <c r="BD255" s="1042"/>
      <c r="BE255" s="1042"/>
      <c r="BF255" s="1043"/>
      <c r="BG255" s="1034"/>
      <c r="BH255" s="1035"/>
      <c r="BI255" s="753"/>
      <c r="BJ255" s="754"/>
      <c r="BK255" s="754"/>
      <c r="BL255" s="754"/>
      <c r="BM255" s="754"/>
      <c r="BN255" s="754"/>
      <c r="BO255" s="754"/>
      <c r="BP255" s="754"/>
      <c r="BQ255" s="754"/>
      <c r="BR255" s="754"/>
      <c r="BS255" s="754"/>
      <c r="BT255" s="754"/>
      <c r="BU255" s="754"/>
      <c r="BV255" s="754"/>
      <c r="BW255" s="754"/>
      <c r="BX255" s="754"/>
      <c r="BY255" s="754"/>
      <c r="BZ255" s="755"/>
      <c r="CB255" s="1041"/>
      <c r="CC255" s="1042"/>
      <c r="CD255" s="1042"/>
      <c r="CE255" s="1042"/>
      <c r="CF255" s="1043"/>
      <c r="CG255" s="1034"/>
      <c r="CH255" s="1035"/>
      <c r="CI255" s="753"/>
      <c r="CJ255" s="754"/>
      <c r="CK255" s="754"/>
      <c r="CL255" s="754"/>
      <c r="CM255" s="754"/>
      <c r="CN255" s="754"/>
      <c r="CO255" s="754"/>
      <c r="CP255" s="754"/>
      <c r="CQ255" s="754"/>
      <c r="CR255" s="754"/>
      <c r="CS255" s="754"/>
      <c r="CT255" s="754"/>
      <c r="CU255" s="754"/>
      <c r="CV255" s="754"/>
      <c r="CW255" s="754"/>
      <c r="CX255" s="754"/>
      <c r="CY255" s="754"/>
      <c r="CZ255" s="755"/>
    </row>
    <row r="256" spans="1:104" ht="15" customHeight="1" x14ac:dyDescent="0.25">
      <c r="B256" s="1026" t="str">
        <f>IF(B254="","",VLOOKUP(B254,BoonRef!$A$2:$Z$900,24,FALSE))</f>
        <v/>
      </c>
      <c r="C256" s="727"/>
      <c r="D256" s="727"/>
      <c r="E256" s="727"/>
      <c r="F256" s="727"/>
      <c r="G256" s="727"/>
      <c r="H256" s="727"/>
      <c r="I256" s="727"/>
      <c r="J256" s="727"/>
      <c r="K256" s="727"/>
      <c r="L256" s="727"/>
      <c r="M256" s="727"/>
      <c r="N256" s="727"/>
      <c r="O256" s="727"/>
      <c r="P256" s="727"/>
      <c r="Q256" s="727"/>
      <c r="R256" s="727"/>
      <c r="S256" s="727"/>
      <c r="T256" s="727"/>
      <c r="U256" s="727"/>
      <c r="V256" s="727"/>
      <c r="W256" s="727"/>
      <c r="X256" s="727"/>
      <c r="Y256" s="727"/>
      <c r="Z256" s="728"/>
      <c r="AB256" s="1026" t="str">
        <f>IF(AB254="","",VLOOKUP(AB254,BoonRef!$A$2:$Z$900,24,FALSE))</f>
        <v/>
      </c>
      <c r="AC256" s="727"/>
      <c r="AD256" s="727"/>
      <c r="AE256" s="727"/>
      <c r="AF256" s="727"/>
      <c r="AG256" s="727"/>
      <c r="AH256" s="727"/>
      <c r="AI256" s="727"/>
      <c r="AJ256" s="727"/>
      <c r="AK256" s="727"/>
      <c r="AL256" s="727"/>
      <c r="AM256" s="727"/>
      <c r="AN256" s="727"/>
      <c r="AO256" s="727"/>
      <c r="AP256" s="727"/>
      <c r="AQ256" s="727"/>
      <c r="AR256" s="727"/>
      <c r="AS256" s="727"/>
      <c r="AT256" s="727"/>
      <c r="AU256" s="727"/>
      <c r="AV256" s="727"/>
      <c r="AW256" s="727"/>
      <c r="AX256" s="727"/>
      <c r="AY256" s="727"/>
      <c r="AZ256" s="728"/>
      <c r="BB256" s="641" t="str">
        <f>IF(BB254="","",VLOOKUP(BB254,KanckRef!$A$1:$G$300,4,FALSE))</f>
        <v/>
      </c>
      <c r="BC256" s="642"/>
      <c r="BD256" s="642"/>
      <c r="BE256" s="642"/>
      <c r="BF256" s="642"/>
      <c r="BG256" s="642"/>
      <c r="BH256" s="1033"/>
      <c r="BI256" s="753"/>
      <c r="BJ256" s="754"/>
      <c r="BK256" s="754"/>
      <c r="BL256" s="754"/>
      <c r="BM256" s="754"/>
      <c r="BN256" s="754"/>
      <c r="BO256" s="754"/>
      <c r="BP256" s="754"/>
      <c r="BQ256" s="754"/>
      <c r="BR256" s="754"/>
      <c r="BS256" s="754"/>
      <c r="BT256" s="754"/>
      <c r="BU256" s="754"/>
      <c r="BV256" s="754"/>
      <c r="BW256" s="754"/>
      <c r="BX256" s="754"/>
      <c r="BY256" s="754"/>
      <c r="BZ256" s="755"/>
      <c r="CB256" s="641" t="str">
        <f>IF(CB254="","",VLOOKUP(CB254,KanckRef!$A$1:$G$300,4,FALSE))</f>
        <v/>
      </c>
      <c r="CC256" s="642"/>
      <c r="CD256" s="642"/>
      <c r="CE256" s="642"/>
      <c r="CF256" s="642"/>
      <c r="CG256" s="642"/>
      <c r="CH256" s="1033"/>
      <c r="CI256" s="753"/>
      <c r="CJ256" s="754"/>
      <c r="CK256" s="754"/>
      <c r="CL256" s="754"/>
      <c r="CM256" s="754"/>
      <c r="CN256" s="754"/>
      <c r="CO256" s="754"/>
      <c r="CP256" s="754"/>
      <c r="CQ256" s="754"/>
      <c r="CR256" s="754"/>
      <c r="CS256" s="754"/>
      <c r="CT256" s="754"/>
      <c r="CU256" s="754"/>
      <c r="CV256" s="754"/>
      <c r="CW256" s="754"/>
      <c r="CX256" s="754"/>
      <c r="CY256" s="754"/>
      <c r="CZ256" s="755"/>
    </row>
    <row r="257" spans="1:104" x14ac:dyDescent="0.25">
      <c r="B257" s="1026" t="str">
        <f>IF(B254="","",VLOOKUP(B254,BoonRef!$A$2:$Z$900,23,FALSE))</f>
        <v/>
      </c>
      <c r="C257" s="727"/>
      <c r="D257" s="727"/>
      <c r="E257" s="727"/>
      <c r="F257" s="727"/>
      <c r="G257" s="727"/>
      <c r="H257" s="727"/>
      <c r="I257" s="727"/>
      <c r="J257" s="727"/>
      <c r="K257" s="727"/>
      <c r="L257" s="727"/>
      <c r="M257" s="727"/>
      <c r="N257" s="727"/>
      <c r="O257" s="727"/>
      <c r="P257" s="727"/>
      <c r="Q257" s="727"/>
      <c r="R257" s="727"/>
      <c r="S257" s="727"/>
      <c r="T257" s="727"/>
      <c r="U257" s="727"/>
      <c r="V257" s="727"/>
      <c r="W257" s="727"/>
      <c r="X257" s="727"/>
      <c r="Y257" s="727"/>
      <c r="Z257" s="728"/>
      <c r="AB257" s="1026" t="str">
        <f>IF(AB254="","",VLOOKUP(AB254,BoonRef!$A$2:$Z$900,23,FALSE))</f>
        <v/>
      </c>
      <c r="AC257" s="727"/>
      <c r="AD257" s="727"/>
      <c r="AE257" s="727"/>
      <c r="AF257" s="727"/>
      <c r="AG257" s="727"/>
      <c r="AH257" s="727"/>
      <c r="AI257" s="727"/>
      <c r="AJ257" s="727"/>
      <c r="AK257" s="727"/>
      <c r="AL257" s="727"/>
      <c r="AM257" s="727"/>
      <c r="AN257" s="727"/>
      <c r="AO257" s="727"/>
      <c r="AP257" s="727"/>
      <c r="AQ257" s="727"/>
      <c r="AR257" s="727"/>
      <c r="AS257" s="727"/>
      <c r="AT257" s="727"/>
      <c r="AU257" s="727"/>
      <c r="AV257" s="727"/>
      <c r="AW257" s="727"/>
      <c r="AX257" s="727"/>
      <c r="AY257" s="727"/>
      <c r="AZ257" s="728"/>
      <c r="BB257" s="635"/>
      <c r="BC257" s="636"/>
      <c r="BD257" s="636"/>
      <c r="BE257" s="636"/>
      <c r="BF257" s="636"/>
      <c r="BG257" s="636"/>
      <c r="BH257" s="1036"/>
      <c r="BI257" s="753"/>
      <c r="BJ257" s="754"/>
      <c r="BK257" s="754"/>
      <c r="BL257" s="754"/>
      <c r="BM257" s="754"/>
      <c r="BN257" s="754"/>
      <c r="BO257" s="754"/>
      <c r="BP257" s="754"/>
      <c r="BQ257" s="754"/>
      <c r="BR257" s="754"/>
      <c r="BS257" s="754"/>
      <c r="BT257" s="754"/>
      <c r="BU257" s="754"/>
      <c r="BV257" s="754"/>
      <c r="BW257" s="754"/>
      <c r="BX257" s="754"/>
      <c r="BY257" s="754"/>
      <c r="BZ257" s="755"/>
      <c r="CB257" s="635"/>
      <c r="CC257" s="636"/>
      <c r="CD257" s="636"/>
      <c r="CE257" s="636"/>
      <c r="CF257" s="636"/>
      <c r="CG257" s="636"/>
      <c r="CH257" s="1036"/>
      <c r="CI257" s="753"/>
      <c r="CJ257" s="754"/>
      <c r="CK257" s="754"/>
      <c r="CL257" s="754"/>
      <c r="CM257" s="754"/>
      <c r="CN257" s="754"/>
      <c r="CO257" s="754"/>
      <c r="CP257" s="754"/>
      <c r="CQ257" s="754"/>
      <c r="CR257" s="754"/>
      <c r="CS257" s="754"/>
      <c r="CT257" s="754"/>
      <c r="CU257" s="754"/>
      <c r="CV257" s="754"/>
      <c r="CW257" s="754"/>
      <c r="CX257" s="754"/>
      <c r="CY257" s="754"/>
      <c r="CZ257" s="755"/>
    </row>
    <row r="258" spans="1:104" ht="15.75" thickBot="1" x14ac:dyDescent="0.3">
      <c r="B258" s="1027"/>
      <c r="C258" s="865"/>
      <c r="D258" s="865"/>
      <c r="E258" s="865"/>
      <c r="F258" s="865"/>
      <c r="G258" s="865"/>
      <c r="H258" s="865"/>
      <c r="I258" s="865"/>
      <c r="J258" s="865"/>
      <c r="K258" s="865"/>
      <c r="L258" s="865"/>
      <c r="M258" s="865"/>
      <c r="N258" s="865"/>
      <c r="O258" s="865"/>
      <c r="P258" s="865"/>
      <c r="Q258" s="865"/>
      <c r="R258" s="865"/>
      <c r="S258" s="865"/>
      <c r="T258" s="865"/>
      <c r="U258" s="865"/>
      <c r="V258" s="865"/>
      <c r="W258" s="865"/>
      <c r="X258" s="865"/>
      <c r="Y258" s="865"/>
      <c r="Z258" s="921"/>
      <c r="AB258" s="1027"/>
      <c r="AC258" s="865"/>
      <c r="AD258" s="865"/>
      <c r="AE258" s="865"/>
      <c r="AF258" s="865"/>
      <c r="AG258" s="865"/>
      <c r="AH258" s="865"/>
      <c r="AI258" s="865"/>
      <c r="AJ258" s="865"/>
      <c r="AK258" s="865"/>
      <c r="AL258" s="865"/>
      <c r="AM258" s="865"/>
      <c r="AN258" s="865"/>
      <c r="AO258" s="865"/>
      <c r="AP258" s="865"/>
      <c r="AQ258" s="865"/>
      <c r="AR258" s="865"/>
      <c r="AS258" s="865"/>
      <c r="AT258" s="865"/>
      <c r="AU258" s="865"/>
      <c r="AV258" s="865"/>
      <c r="AW258" s="865"/>
      <c r="AX258" s="865"/>
      <c r="AY258" s="865"/>
      <c r="AZ258" s="921"/>
      <c r="BB258" s="644"/>
      <c r="BC258" s="645"/>
      <c r="BD258" s="645"/>
      <c r="BE258" s="645"/>
      <c r="BF258" s="645"/>
      <c r="BG258" s="645"/>
      <c r="BH258" s="1037"/>
      <c r="BI258" s="756"/>
      <c r="BJ258" s="757"/>
      <c r="BK258" s="757"/>
      <c r="BL258" s="757"/>
      <c r="BM258" s="757"/>
      <c r="BN258" s="757"/>
      <c r="BO258" s="757"/>
      <c r="BP258" s="757"/>
      <c r="BQ258" s="757"/>
      <c r="BR258" s="757"/>
      <c r="BS258" s="757"/>
      <c r="BT258" s="757"/>
      <c r="BU258" s="757"/>
      <c r="BV258" s="757"/>
      <c r="BW258" s="757"/>
      <c r="BX258" s="757"/>
      <c r="BY258" s="757"/>
      <c r="BZ258" s="758"/>
      <c r="CB258" s="644"/>
      <c r="CC258" s="645"/>
      <c r="CD258" s="645"/>
      <c r="CE258" s="645"/>
      <c r="CF258" s="645"/>
      <c r="CG258" s="645"/>
      <c r="CH258" s="1037"/>
      <c r="CI258" s="756"/>
      <c r="CJ258" s="757"/>
      <c r="CK258" s="757"/>
      <c r="CL258" s="757"/>
      <c r="CM258" s="757"/>
      <c r="CN258" s="757"/>
      <c r="CO258" s="757"/>
      <c r="CP258" s="757"/>
      <c r="CQ258" s="757"/>
      <c r="CR258" s="757"/>
      <c r="CS258" s="757"/>
      <c r="CT258" s="757"/>
      <c r="CU258" s="757"/>
      <c r="CV258" s="757"/>
      <c r="CW258" s="757"/>
      <c r="CX258" s="757"/>
      <c r="CY258" s="757"/>
      <c r="CZ258" s="758"/>
    </row>
    <row r="259" spans="1:104" x14ac:dyDescent="0.25">
      <c r="B259" s="1028" t="str">
        <f>IF(B260="","",VLOOKUP(B260,BoonRef!$A$2:$Z$900,2,FALSE))</f>
        <v/>
      </c>
      <c r="C259" s="725"/>
      <c r="D259" s="725"/>
      <c r="E259" s="725"/>
      <c r="F259" s="725"/>
      <c r="G259" s="725"/>
      <c r="H259" s="725"/>
      <c r="I259" s="725" t="str">
        <f>IF(B260="","",VLOOKUP(B260,BoonRef!$A$2:$Z$900,3,FALSE))</f>
        <v/>
      </c>
      <c r="J259" s="725"/>
      <c r="K259" s="725" t="str">
        <f>IF(B260="","",VLOOKUP(B260,DescRef!$A$2:$B$900,2,FALSE))</f>
        <v/>
      </c>
      <c r="L259" s="725"/>
      <c r="M259" s="725"/>
      <c r="N259" s="725"/>
      <c r="O259" s="725"/>
      <c r="P259" s="725"/>
      <c r="Q259" s="725"/>
      <c r="R259" s="725"/>
      <c r="S259" s="725"/>
      <c r="T259" s="725"/>
      <c r="U259" s="725"/>
      <c r="V259" s="725"/>
      <c r="W259" s="725"/>
      <c r="X259" s="725"/>
      <c r="Y259" s="725"/>
      <c r="Z259" s="726"/>
      <c r="AB259" s="1028" t="str">
        <f>IF(AB260="","",VLOOKUP(AB260,BoonRef!$A$2:$Z$900,2,FALSE))</f>
        <v/>
      </c>
      <c r="AC259" s="725"/>
      <c r="AD259" s="725"/>
      <c r="AE259" s="725"/>
      <c r="AF259" s="725"/>
      <c r="AG259" s="725"/>
      <c r="AH259" s="725"/>
      <c r="AI259" s="725" t="str">
        <f>IF(AB260="","",VLOOKUP(AB260,BoonRef!$A$2:$Z$900,3,FALSE))</f>
        <v/>
      </c>
      <c r="AJ259" s="725"/>
      <c r="AK259" s="725" t="str">
        <f>IF(AB260="","",VLOOKUP(AB260,DescRef!$A$2:$B$900,2,FALSE))</f>
        <v/>
      </c>
      <c r="AL259" s="725"/>
      <c r="AM259" s="725"/>
      <c r="AN259" s="725"/>
      <c r="AO259" s="725"/>
      <c r="AP259" s="725"/>
      <c r="AQ259" s="725"/>
      <c r="AR259" s="725"/>
      <c r="AS259" s="725"/>
      <c r="AT259" s="725"/>
      <c r="AU259" s="725"/>
      <c r="AV259" s="725"/>
      <c r="AW259" s="725"/>
      <c r="AX259" s="725"/>
      <c r="AY259" s="725"/>
      <c r="AZ259" s="726"/>
      <c r="BB259" s="1029" t="str">
        <f>IF(BB260="","",VLOOKUP(BB260,KanckRef!$A$1:$G$300,2,FALSE))</f>
        <v/>
      </c>
      <c r="BC259" s="1030"/>
      <c r="BD259" s="1030"/>
      <c r="BE259" s="1030"/>
      <c r="BF259" s="1031"/>
      <c r="BG259" s="1048" t="str">
        <f>IF(BB260="","",VLOOKUP(BB260,KanckRef!$A$1:$G$300,6,FALSE))</f>
        <v/>
      </c>
      <c r="BH259" s="1049"/>
      <c r="BI259" s="988" t="str">
        <f>IF(BB260="","",VLOOKUP(BB260,DescRef!$D$2:$E$300,2,FALSE))</f>
        <v/>
      </c>
      <c r="BJ259" s="795"/>
      <c r="BK259" s="795"/>
      <c r="BL259" s="795"/>
      <c r="BM259" s="795"/>
      <c r="BN259" s="795"/>
      <c r="BO259" s="795"/>
      <c r="BP259" s="795"/>
      <c r="BQ259" s="795"/>
      <c r="BR259" s="795"/>
      <c r="BS259" s="795"/>
      <c r="BT259" s="795"/>
      <c r="BU259" s="795"/>
      <c r="BV259" s="795"/>
      <c r="BW259" s="795"/>
      <c r="BX259" s="795"/>
      <c r="BY259" s="795"/>
      <c r="BZ259" s="796"/>
      <c r="CB259" s="1029" t="str">
        <f>IF(CB260="","",VLOOKUP(CB260,KanckRef!$A$1:$G$300,2,FALSE))</f>
        <v/>
      </c>
      <c r="CC259" s="1030"/>
      <c r="CD259" s="1030"/>
      <c r="CE259" s="1030"/>
      <c r="CF259" s="1031"/>
      <c r="CG259" s="1048" t="str">
        <f>IF(CB260="","",VLOOKUP(CB260,KanckRef!$A$1:$G$300,6,FALSE))</f>
        <v/>
      </c>
      <c r="CH259" s="1049"/>
      <c r="CI259" s="988" t="str">
        <f>IF(CB260="","",VLOOKUP(CB260,DescRef!$D$2:$E$300,2,FALSE))</f>
        <v/>
      </c>
      <c r="CJ259" s="795"/>
      <c r="CK259" s="795"/>
      <c r="CL259" s="795"/>
      <c r="CM259" s="795"/>
      <c r="CN259" s="795"/>
      <c r="CO259" s="795"/>
      <c r="CP259" s="795"/>
      <c r="CQ259" s="795"/>
      <c r="CR259" s="795"/>
      <c r="CS259" s="795"/>
      <c r="CT259" s="795"/>
      <c r="CU259" s="795"/>
      <c r="CV259" s="795"/>
      <c r="CW259" s="795"/>
      <c r="CX259" s="795"/>
      <c r="CY259" s="795"/>
      <c r="CZ259" s="796"/>
    </row>
    <row r="260" spans="1:104" ht="15" customHeight="1" x14ac:dyDescent="0.25">
      <c r="A260" s="15">
        <v>43</v>
      </c>
      <c r="B260" s="1026" t="str">
        <f>IF(A260&lt;'Purchased Boons'!$B$496,VLOOKUP(A260,'Purchased Boons'!$BF$2:$BG$900,2,FALSE),"")</f>
        <v/>
      </c>
      <c r="C260" s="727"/>
      <c r="D260" s="727"/>
      <c r="E260" s="727"/>
      <c r="F260" s="727"/>
      <c r="G260" s="727"/>
      <c r="H260" s="727"/>
      <c r="I260" s="727" t="str">
        <f>IF(B260="","",VLOOKUP(B260,BoonRef!$A$2:$Z$900,25,FALSE))</f>
        <v/>
      </c>
      <c r="J260" s="727"/>
      <c r="K260" s="727"/>
      <c r="L260" s="727"/>
      <c r="M260" s="727"/>
      <c r="N260" s="727"/>
      <c r="O260" s="727"/>
      <c r="P260" s="727"/>
      <c r="Q260" s="727"/>
      <c r="R260" s="727"/>
      <c r="S260" s="727"/>
      <c r="T260" s="727"/>
      <c r="U260" s="727"/>
      <c r="V260" s="727"/>
      <c r="W260" s="727"/>
      <c r="X260" s="727"/>
      <c r="Y260" s="727"/>
      <c r="Z260" s="728"/>
      <c r="AA260" s="15">
        <v>150</v>
      </c>
      <c r="AB260" s="1026" t="str">
        <f>IF(AA260&lt;'Purchased Boons'!$B$496,VLOOKUP(AA260,'Purchased Boons'!$BF$2:$BG$900,2,FALSE),"")</f>
        <v/>
      </c>
      <c r="AC260" s="727"/>
      <c r="AD260" s="727"/>
      <c r="AE260" s="727"/>
      <c r="AF260" s="727"/>
      <c r="AG260" s="727"/>
      <c r="AH260" s="727"/>
      <c r="AI260" s="727" t="str">
        <f>IF(AB260="","",VLOOKUP(AB260,BoonRef!$A$2:$Z$900,25,FALSE))</f>
        <v/>
      </c>
      <c r="AJ260" s="727"/>
      <c r="AK260" s="727"/>
      <c r="AL260" s="727"/>
      <c r="AM260" s="727"/>
      <c r="AN260" s="727"/>
      <c r="AO260" s="727"/>
      <c r="AP260" s="727"/>
      <c r="AQ260" s="727"/>
      <c r="AR260" s="727"/>
      <c r="AS260" s="727"/>
      <c r="AT260" s="727"/>
      <c r="AU260" s="727"/>
      <c r="AV260" s="727"/>
      <c r="AW260" s="727"/>
      <c r="AX260" s="727"/>
      <c r="AY260" s="727"/>
      <c r="AZ260" s="728"/>
      <c r="BA260" s="15">
        <v>43</v>
      </c>
      <c r="BB260" s="1038" t="str">
        <f>IF(BA260&lt;'Purchased Knacks'!A$192,VLOOKUP(BA260,'Purchased Knacks'!$A$4:$E$300,3,FALSE),"")</f>
        <v/>
      </c>
      <c r="BC260" s="1039"/>
      <c r="BD260" s="1039"/>
      <c r="BE260" s="1039"/>
      <c r="BF260" s="1040"/>
      <c r="BG260" s="1032" t="str">
        <f>IF(BB260="","",VLOOKUP(BB260,KanckRef!$A$1:$G$300,7,FALSE))</f>
        <v/>
      </c>
      <c r="BH260" s="1033"/>
      <c r="BI260" s="753"/>
      <c r="BJ260" s="754"/>
      <c r="BK260" s="754"/>
      <c r="BL260" s="754"/>
      <c r="BM260" s="754"/>
      <c r="BN260" s="754"/>
      <c r="BO260" s="754"/>
      <c r="BP260" s="754"/>
      <c r="BQ260" s="754"/>
      <c r="BR260" s="754"/>
      <c r="BS260" s="754"/>
      <c r="BT260" s="754"/>
      <c r="BU260" s="754"/>
      <c r="BV260" s="754"/>
      <c r="BW260" s="754"/>
      <c r="BX260" s="754"/>
      <c r="BY260" s="754"/>
      <c r="BZ260" s="755"/>
      <c r="CA260" s="15">
        <v>150</v>
      </c>
      <c r="CB260" s="1038" t="str">
        <f>IF(CA260&lt;'Purchased Knacks'!A$192,VLOOKUP(CA260,'Purchased Knacks'!$A$4:$E$300,3,FALSE),"")</f>
        <v/>
      </c>
      <c r="CC260" s="1039"/>
      <c r="CD260" s="1039"/>
      <c r="CE260" s="1039"/>
      <c r="CF260" s="1040"/>
      <c r="CG260" s="1032" t="str">
        <f>IF(CB260="","",VLOOKUP(CB260,KanckRef!$A$1:$G$300,7,FALSE))</f>
        <v/>
      </c>
      <c r="CH260" s="1033"/>
      <c r="CI260" s="753"/>
      <c r="CJ260" s="754"/>
      <c r="CK260" s="754"/>
      <c r="CL260" s="754"/>
      <c r="CM260" s="754"/>
      <c r="CN260" s="754"/>
      <c r="CO260" s="754"/>
      <c r="CP260" s="754"/>
      <c r="CQ260" s="754"/>
      <c r="CR260" s="754"/>
      <c r="CS260" s="754"/>
      <c r="CT260" s="754"/>
      <c r="CU260" s="754"/>
      <c r="CV260" s="754"/>
      <c r="CW260" s="754"/>
      <c r="CX260" s="754"/>
      <c r="CY260" s="754"/>
      <c r="CZ260" s="755"/>
    </row>
    <row r="261" spans="1:104" ht="15" customHeight="1" x14ac:dyDescent="0.25">
      <c r="B261" s="1026"/>
      <c r="C261" s="727"/>
      <c r="D261" s="727"/>
      <c r="E261" s="727"/>
      <c r="F261" s="727"/>
      <c r="G261" s="727"/>
      <c r="H261" s="727"/>
      <c r="I261" s="727" t="str">
        <f>IF(B260="","",VLOOKUP(B260,BoonRef!$A$2:$Z$900,26,FALSE))</f>
        <v/>
      </c>
      <c r="J261" s="727"/>
      <c r="K261" s="727"/>
      <c r="L261" s="727"/>
      <c r="M261" s="727"/>
      <c r="N261" s="727"/>
      <c r="O261" s="727"/>
      <c r="P261" s="727"/>
      <c r="Q261" s="727"/>
      <c r="R261" s="727"/>
      <c r="S261" s="727"/>
      <c r="T261" s="727"/>
      <c r="U261" s="727"/>
      <c r="V261" s="727"/>
      <c r="W261" s="727"/>
      <c r="X261" s="727"/>
      <c r="Y261" s="727"/>
      <c r="Z261" s="728"/>
      <c r="AB261" s="1026"/>
      <c r="AC261" s="727"/>
      <c r="AD261" s="727"/>
      <c r="AE261" s="727"/>
      <c r="AF261" s="727"/>
      <c r="AG261" s="727"/>
      <c r="AH261" s="727"/>
      <c r="AI261" s="727" t="str">
        <f>IF(AB260="","",VLOOKUP(AB260,BoonRef!$A$2:$Z$900,26,FALSE))</f>
        <v/>
      </c>
      <c r="AJ261" s="727"/>
      <c r="AK261" s="727"/>
      <c r="AL261" s="727"/>
      <c r="AM261" s="727"/>
      <c r="AN261" s="727"/>
      <c r="AO261" s="727"/>
      <c r="AP261" s="727"/>
      <c r="AQ261" s="727"/>
      <c r="AR261" s="727"/>
      <c r="AS261" s="727"/>
      <c r="AT261" s="727"/>
      <c r="AU261" s="727"/>
      <c r="AV261" s="727"/>
      <c r="AW261" s="727"/>
      <c r="AX261" s="727"/>
      <c r="AY261" s="727"/>
      <c r="AZ261" s="728"/>
      <c r="BB261" s="1041"/>
      <c r="BC261" s="1042"/>
      <c r="BD261" s="1042"/>
      <c r="BE261" s="1042"/>
      <c r="BF261" s="1043"/>
      <c r="BG261" s="1034"/>
      <c r="BH261" s="1035"/>
      <c r="BI261" s="753"/>
      <c r="BJ261" s="754"/>
      <c r="BK261" s="754"/>
      <c r="BL261" s="754"/>
      <c r="BM261" s="754"/>
      <c r="BN261" s="754"/>
      <c r="BO261" s="754"/>
      <c r="BP261" s="754"/>
      <c r="BQ261" s="754"/>
      <c r="BR261" s="754"/>
      <c r="BS261" s="754"/>
      <c r="BT261" s="754"/>
      <c r="BU261" s="754"/>
      <c r="BV261" s="754"/>
      <c r="BW261" s="754"/>
      <c r="BX261" s="754"/>
      <c r="BY261" s="754"/>
      <c r="BZ261" s="755"/>
      <c r="CB261" s="1041"/>
      <c r="CC261" s="1042"/>
      <c r="CD261" s="1042"/>
      <c r="CE261" s="1042"/>
      <c r="CF261" s="1043"/>
      <c r="CG261" s="1034"/>
      <c r="CH261" s="1035"/>
      <c r="CI261" s="753"/>
      <c r="CJ261" s="754"/>
      <c r="CK261" s="754"/>
      <c r="CL261" s="754"/>
      <c r="CM261" s="754"/>
      <c r="CN261" s="754"/>
      <c r="CO261" s="754"/>
      <c r="CP261" s="754"/>
      <c r="CQ261" s="754"/>
      <c r="CR261" s="754"/>
      <c r="CS261" s="754"/>
      <c r="CT261" s="754"/>
      <c r="CU261" s="754"/>
      <c r="CV261" s="754"/>
      <c r="CW261" s="754"/>
      <c r="CX261" s="754"/>
      <c r="CY261" s="754"/>
      <c r="CZ261" s="755"/>
    </row>
    <row r="262" spans="1:104" x14ac:dyDescent="0.25">
      <c r="B262" s="1026" t="str">
        <f>IF(B260="","",VLOOKUP(B260,BoonRef!$A$2:$Z$900,24,FALSE))</f>
        <v/>
      </c>
      <c r="C262" s="727"/>
      <c r="D262" s="727"/>
      <c r="E262" s="727"/>
      <c r="F262" s="727"/>
      <c r="G262" s="727"/>
      <c r="H262" s="727"/>
      <c r="I262" s="727"/>
      <c r="J262" s="727"/>
      <c r="K262" s="727"/>
      <c r="L262" s="727"/>
      <c r="M262" s="727"/>
      <c r="N262" s="727"/>
      <c r="O262" s="727"/>
      <c r="P262" s="727"/>
      <c r="Q262" s="727"/>
      <c r="R262" s="727"/>
      <c r="S262" s="727"/>
      <c r="T262" s="727"/>
      <c r="U262" s="727"/>
      <c r="V262" s="727"/>
      <c r="W262" s="727"/>
      <c r="X262" s="727"/>
      <c r="Y262" s="727"/>
      <c r="Z262" s="728"/>
      <c r="AB262" s="1026" t="str">
        <f>IF(AB260="","",VLOOKUP(AB260,BoonRef!$A$2:$Z$900,24,FALSE))</f>
        <v/>
      </c>
      <c r="AC262" s="727"/>
      <c r="AD262" s="727"/>
      <c r="AE262" s="727"/>
      <c r="AF262" s="727"/>
      <c r="AG262" s="727"/>
      <c r="AH262" s="727"/>
      <c r="AI262" s="727"/>
      <c r="AJ262" s="727"/>
      <c r="AK262" s="727"/>
      <c r="AL262" s="727"/>
      <c r="AM262" s="727"/>
      <c r="AN262" s="727"/>
      <c r="AO262" s="727"/>
      <c r="AP262" s="727"/>
      <c r="AQ262" s="727"/>
      <c r="AR262" s="727"/>
      <c r="AS262" s="727"/>
      <c r="AT262" s="727"/>
      <c r="AU262" s="727"/>
      <c r="AV262" s="727"/>
      <c r="AW262" s="727"/>
      <c r="AX262" s="727"/>
      <c r="AY262" s="727"/>
      <c r="AZ262" s="728"/>
      <c r="BB262" s="641" t="str">
        <f>IF(BB260="","",VLOOKUP(BB260,KanckRef!$A$1:$G$300,4,FALSE))</f>
        <v/>
      </c>
      <c r="BC262" s="642"/>
      <c r="BD262" s="642"/>
      <c r="BE262" s="642"/>
      <c r="BF262" s="642"/>
      <c r="BG262" s="642"/>
      <c r="BH262" s="1033"/>
      <c r="BI262" s="753"/>
      <c r="BJ262" s="754"/>
      <c r="BK262" s="754"/>
      <c r="BL262" s="754"/>
      <c r="BM262" s="754"/>
      <c r="BN262" s="754"/>
      <c r="BO262" s="754"/>
      <c r="BP262" s="754"/>
      <c r="BQ262" s="754"/>
      <c r="BR262" s="754"/>
      <c r="BS262" s="754"/>
      <c r="BT262" s="754"/>
      <c r="BU262" s="754"/>
      <c r="BV262" s="754"/>
      <c r="BW262" s="754"/>
      <c r="BX262" s="754"/>
      <c r="BY262" s="754"/>
      <c r="BZ262" s="755"/>
      <c r="CB262" s="641" t="str">
        <f>IF(CB260="","",VLOOKUP(CB260,KanckRef!$A$1:$G$300,4,FALSE))</f>
        <v/>
      </c>
      <c r="CC262" s="642"/>
      <c r="CD262" s="642"/>
      <c r="CE262" s="642"/>
      <c r="CF262" s="642"/>
      <c r="CG262" s="642"/>
      <c r="CH262" s="1033"/>
      <c r="CI262" s="753"/>
      <c r="CJ262" s="754"/>
      <c r="CK262" s="754"/>
      <c r="CL262" s="754"/>
      <c r="CM262" s="754"/>
      <c r="CN262" s="754"/>
      <c r="CO262" s="754"/>
      <c r="CP262" s="754"/>
      <c r="CQ262" s="754"/>
      <c r="CR262" s="754"/>
      <c r="CS262" s="754"/>
      <c r="CT262" s="754"/>
      <c r="CU262" s="754"/>
      <c r="CV262" s="754"/>
      <c r="CW262" s="754"/>
      <c r="CX262" s="754"/>
      <c r="CY262" s="754"/>
      <c r="CZ262" s="755"/>
    </row>
    <row r="263" spans="1:104" x14ac:dyDescent="0.25">
      <c r="B263" s="1026" t="str">
        <f>IF(B260="","",VLOOKUP(B260,BoonRef!$A$2:$Z$900,23,FALSE))</f>
        <v/>
      </c>
      <c r="C263" s="727"/>
      <c r="D263" s="727"/>
      <c r="E263" s="727"/>
      <c r="F263" s="727"/>
      <c r="G263" s="727"/>
      <c r="H263" s="727"/>
      <c r="I263" s="727"/>
      <c r="J263" s="727"/>
      <c r="K263" s="727"/>
      <c r="L263" s="727"/>
      <c r="M263" s="727"/>
      <c r="N263" s="727"/>
      <c r="O263" s="727"/>
      <c r="P263" s="727"/>
      <c r="Q263" s="727"/>
      <c r="R263" s="727"/>
      <c r="S263" s="727"/>
      <c r="T263" s="727"/>
      <c r="U263" s="727"/>
      <c r="V263" s="727"/>
      <c r="W263" s="727"/>
      <c r="X263" s="727"/>
      <c r="Y263" s="727"/>
      <c r="Z263" s="728"/>
      <c r="AB263" s="1026" t="str">
        <f>IF(AB260="","",VLOOKUP(AB260,BoonRef!$A$2:$Z$900,23,FALSE))</f>
        <v/>
      </c>
      <c r="AC263" s="727"/>
      <c r="AD263" s="727"/>
      <c r="AE263" s="727"/>
      <c r="AF263" s="727"/>
      <c r="AG263" s="727"/>
      <c r="AH263" s="727"/>
      <c r="AI263" s="727"/>
      <c r="AJ263" s="727"/>
      <c r="AK263" s="727"/>
      <c r="AL263" s="727"/>
      <c r="AM263" s="727"/>
      <c r="AN263" s="727"/>
      <c r="AO263" s="727"/>
      <c r="AP263" s="727"/>
      <c r="AQ263" s="727"/>
      <c r="AR263" s="727"/>
      <c r="AS263" s="727"/>
      <c r="AT263" s="727"/>
      <c r="AU263" s="727"/>
      <c r="AV263" s="727"/>
      <c r="AW263" s="727"/>
      <c r="AX263" s="727"/>
      <c r="AY263" s="727"/>
      <c r="AZ263" s="728"/>
      <c r="BB263" s="635"/>
      <c r="BC263" s="636"/>
      <c r="BD263" s="636"/>
      <c r="BE263" s="636"/>
      <c r="BF263" s="636"/>
      <c r="BG263" s="636"/>
      <c r="BH263" s="1036"/>
      <c r="BI263" s="753"/>
      <c r="BJ263" s="754"/>
      <c r="BK263" s="754"/>
      <c r="BL263" s="754"/>
      <c r="BM263" s="754"/>
      <c r="BN263" s="754"/>
      <c r="BO263" s="754"/>
      <c r="BP263" s="754"/>
      <c r="BQ263" s="754"/>
      <c r="BR263" s="754"/>
      <c r="BS263" s="754"/>
      <c r="BT263" s="754"/>
      <c r="BU263" s="754"/>
      <c r="BV263" s="754"/>
      <c r="BW263" s="754"/>
      <c r="BX263" s="754"/>
      <c r="BY263" s="754"/>
      <c r="BZ263" s="755"/>
      <c r="CB263" s="635"/>
      <c r="CC263" s="636"/>
      <c r="CD263" s="636"/>
      <c r="CE263" s="636"/>
      <c r="CF263" s="636"/>
      <c r="CG263" s="636"/>
      <c r="CH263" s="1036"/>
      <c r="CI263" s="753"/>
      <c r="CJ263" s="754"/>
      <c r="CK263" s="754"/>
      <c r="CL263" s="754"/>
      <c r="CM263" s="754"/>
      <c r="CN263" s="754"/>
      <c r="CO263" s="754"/>
      <c r="CP263" s="754"/>
      <c r="CQ263" s="754"/>
      <c r="CR263" s="754"/>
      <c r="CS263" s="754"/>
      <c r="CT263" s="754"/>
      <c r="CU263" s="754"/>
      <c r="CV263" s="754"/>
      <c r="CW263" s="754"/>
      <c r="CX263" s="754"/>
      <c r="CY263" s="754"/>
      <c r="CZ263" s="755"/>
    </row>
    <row r="264" spans="1:104" ht="15.75" thickBot="1" x14ac:dyDescent="0.3">
      <c r="B264" s="1027"/>
      <c r="C264" s="865"/>
      <c r="D264" s="865"/>
      <c r="E264" s="865"/>
      <c r="F264" s="865"/>
      <c r="G264" s="865"/>
      <c r="H264" s="865"/>
      <c r="I264" s="865"/>
      <c r="J264" s="865"/>
      <c r="K264" s="865"/>
      <c r="L264" s="865"/>
      <c r="M264" s="865"/>
      <c r="N264" s="865"/>
      <c r="O264" s="865"/>
      <c r="P264" s="865"/>
      <c r="Q264" s="865"/>
      <c r="R264" s="865"/>
      <c r="S264" s="865"/>
      <c r="T264" s="865"/>
      <c r="U264" s="865"/>
      <c r="V264" s="865"/>
      <c r="W264" s="865"/>
      <c r="X264" s="865"/>
      <c r="Y264" s="865"/>
      <c r="Z264" s="921"/>
      <c r="AB264" s="1027"/>
      <c r="AC264" s="865"/>
      <c r="AD264" s="865"/>
      <c r="AE264" s="865"/>
      <c r="AF264" s="865"/>
      <c r="AG264" s="865"/>
      <c r="AH264" s="865"/>
      <c r="AI264" s="865"/>
      <c r="AJ264" s="865"/>
      <c r="AK264" s="865"/>
      <c r="AL264" s="865"/>
      <c r="AM264" s="865"/>
      <c r="AN264" s="865"/>
      <c r="AO264" s="865"/>
      <c r="AP264" s="865"/>
      <c r="AQ264" s="865"/>
      <c r="AR264" s="865"/>
      <c r="AS264" s="865"/>
      <c r="AT264" s="865"/>
      <c r="AU264" s="865"/>
      <c r="AV264" s="865"/>
      <c r="AW264" s="865"/>
      <c r="AX264" s="865"/>
      <c r="AY264" s="865"/>
      <c r="AZ264" s="921"/>
      <c r="BB264" s="644"/>
      <c r="BC264" s="645"/>
      <c r="BD264" s="645"/>
      <c r="BE264" s="645"/>
      <c r="BF264" s="645"/>
      <c r="BG264" s="645"/>
      <c r="BH264" s="1037"/>
      <c r="BI264" s="756"/>
      <c r="BJ264" s="757"/>
      <c r="BK264" s="757"/>
      <c r="BL264" s="757"/>
      <c r="BM264" s="757"/>
      <c r="BN264" s="757"/>
      <c r="BO264" s="757"/>
      <c r="BP264" s="757"/>
      <c r="BQ264" s="757"/>
      <c r="BR264" s="757"/>
      <c r="BS264" s="757"/>
      <c r="BT264" s="757"/>
      <c r="BU264" s="757"/>
      <c r="BV264" s="757"/>
      <c r="BW264" s="757"/>
      <c r="BX264" s="757"/>
      <c r="BY264" s="757"/>
      <c r="BZ264" s="758"/>
      <c r="CB264" s="644"/>
      <c r="CC264" s="645"/>
      <c r="CD264" s="645"/>
      <c r="CE264" s="645"/>
      <c r="CF264" s="645"/>
      <c r="CG264" s="645"/>
      <c r="CH264" s="1037"/>
      <c r="CI264" s="756"/>
      <c r="CJ264" s="757"/>
      <c r="CK264" s="757"/>
      <c r="CL264" s="757"/>
      <c r="CM264" s="757"/>
      <c r="CN264" s="757"/>
      <c r="CO264" s="757"/>
      <c r="CP264" s="757"/>
      <c r="CQ264" s="757"/>
      <c r="CR264" s="757"/>
      <c r="CS264" s="757"/>
      <c r="CT264" s="757"/>
      <c r="CU264" s="757"/>
      <c r="CV264" s="757"/>
      <c r="CW264" s="757"/>
      <c r="CX264" s="757"/>
      <c r="CY264" s="757"/>
      <c r="CZ264" s="758"/>
    </row>
    <row r="265" spans="1:104" ht="15" customHeight="1" x14ac:dyDescent="0.25">
      <c r="B265" s="1028" t="str">
        <f>IF(B266="","",VLOOKUP(B266,BoonRef!$A$2:$Z$900,2,FALSE))</f>
        <v/>
      </c>
      <c r="C265" s="725"/>
      <c r="D265" s="725"/>
      <c r="E265" s="725"/>
      <c r="F265" s="725"/>
      <c r="G265" s="725"/>
      <c r="H265" s="725"/>
      <c r="I265" s="725" t="str">
        <f>IF(B266="","",VLOOKUP(B266,BoonRef!$A$2:$Z$900,3,FALSE))</f>
        <v/>
      </c>
      <c r="J265" s="725"/>
      <c r="K265" s="725" t="str">
        <f>IF(B266="","",VLOOKUP(B266,DescRef!$A$2:$B$900,2,FALSE))</f>
        <v/>
      </c>
      <c r="L265" s="725"/>
      <c r="M265" s="725"/>
      <c r="N265" s="725"/>
      <c r="O265" s="725"/>
      <c r="P265" s="725"/>
      <c r="Q265" s="725"/>
      <c r="R265" s="725"/>
      <c r="S265" s="725"/>
      <c r="T265" s="725"/>
      <c r="U265" s="725"/>
      <c r="V265" s="725"/>
      <c r="W265" s="725"/>
      <c r="X265" s="725"/>
      <c r="Y265" s="725"/>
      <c r="Z265" s="726"/>
      <c r="AB265" s="1028" t="str">
        <f>IF(AB266="","",VLOOKUP(AB266,BoonRef!$A$2:$Z$900,2,FALSE))</f>
        <v/>
      </c>
      <c r="AC265" s="725"/>
      <c r="AD265" s="725"/>
      <c r="AE265" s="725"/>
      <c r="AF265" s="725"/>
      <c r="AG265" s="725"/>
      <c r="AH265" s="725"/>
      <c r="AI265" s="725" t="str">
        <f>IF(AB266="","",VLOOKUP(AB266,BoonRef!$A$2:$Z$900,3,FALSE))</f>
        <v/>
      </c>
      <c r="AJ265" s="725"/>
      <c r="AK265" s="725" t="str">
        <f>IF(AB266="","",VLOOKUP(AB266,DescRef!$A$2:$B$900,2,FALSE))</f>
        <v/>
      </c>
      <c r="AL265" s="725"/>
      <c r="AM265" s="725"/>
      <c r="AN265" s="725"/>
      <c r="AO265" s="725"/>
      <c r="AP265" s="725"/>
      <c r="AQ265" s="725"/>
      <c r="AR265" s="725"/>
      <c r="AS265" s="725"/>
      <c r="AT265" s="725"/>
      <c r="AU265" s="725"/>
      <c r="AV265" s="725"/>
      <c r="AW265" s="725"/>
      <c r="AX265" s="725"/>
      <c r="AY265" s="725"/>
      <c r="AZ265" s="726"/>
      <c r="BB265" s="1029" t="str">
        <f>IF(BB266="","",VLOOKUP(BB266,KanckRef!$A$1:$G$300,2,FALSE))</f>
        <v/>
      </c>
      <c r="BC265" s="1030"/>
      <c r="BD265" s="1030"/>
      <c r="BE265" s="1030"/>
      <c r="BF265" s="1031"/>
      <c r="BG265" s="1048" t="str">
        <f>IF(BB266="","",VLOOKUP(BB266,KanckRef!$A$1:$G$300,6,FALSE))</f>
        <v/>
      </c>
      <c r="BH265" s="1049"/>
      <c r="BI265" s="988" t="str">
        <f>IF(BB266="","",VLOOKUP(BB266,DescRef!$D$2:$E$300,2,FALSE))</f>
        <v/>
      </c>
      <c r="BJ265" s="795"/>
      <c r="BK265" s="795"/>
      <c r="BL265" s="795"/>
      <c r="BM265" s="795"/>
      <c r="BN265" s="795"/>
      <c r="BO265" s="795"/>
      <c r="BP265" s="795"/>
      <c r="BQ265" s="795"/>
      <c r="BR265" s="795"/>
      <c r="BS265" s="795"/>
      <c r="BT265" s="795"/>
      <c r="BU265" s="795"/>
      <c r="BV265" s="795"/>
      <c r="BW265" s="795"/>
      <c r="BX265" s="795"/>
      <c r="BY265" s="795"/>
      <c r="BZ265" s="796"/>
      <c r="CB265" s="1029" t="str">
        <f>IF(CB266="","",VLOOKUP(CB266,KanckRef!$A$1:$G$300,2,FALSE))</f>
        <v/>
      </c>
      <c r="CC265" s="1030"/>
      <c r="CD265" s="1030"/>
      <c r="CE265" s="1030"/>
      <c r="CF265" s="1031"/>
      <c r="CG265" s="1048" t="str">
        <f>IF(CB266="","",VLOOKUP(CB266,KanckRef!$A$1:$G$300,6,FALSE))</f>
        <v/>
      </c>
      <c r="CH265" s="1049"/>
      <c r="CI265" s="988" t="str">
        <f>IF(CB266="","",VLOOKUP(CB266,DescRef!$D$2:$E$300,2,FALSE))</f>
        <v/>
      </c>
      <c r="CJ265" s="795"/>
      <c r="CK265" s="795"/>
      <c r="CL265" s="795"/>
      <c r="CM265" s="795"/>
      <c r="CN265" s="795"/>
      <c r="CO265" s="795"/>
      <c r="CP265" s="795"/>
      <c r="CQ265" s="795"/>
      <c r="CR265" s="795"/>
      <c r="CS265" s="795"/>
      <c r="CT265" s="795"/>
      <c r="CU265" s="795"/>
      <c r="CV265" s="795"/>
      <c r="CW265" s="795"/>
      <c r="CX265" s="795"/>
      <c r="CY265" s="795"/>
      <c r="CZ265" s="796"/>
    </row>
    <row r="266" spans="1:104" ht="15" customHeight="1" x14ac:dyDescent="0.25">
      <c r="A266" s="15">
        <v>44</v>
      </c>
      <c r="B266" s="1026" t="str">
        <f>IF(A266&lt;'Purchased Boons'!$B$496,VLOOKUP(A266,'Purchased Boons'!$BF$2:$BG$900,2,FALSE),"")</f>
        <v/>
      </c>
      <c r="C266" s="727"/>
      <c r="D266" s="727"/>
      <c r="E266" s="727"/>
      <c r="F266" s="727"/>
      <c r="G266" s="727"/>
      <c r="H266" s="727"/>
      <c r="I266" s="727" t="str">
        <f>IF(B266="","",VLOOKUP(B266,BoonRef!$A$2:$Z$900,25,FALSE))</f>
        <v/>
      </c>
      <c r="J266" s="727"/>
      <c r="K266" s="727"/>
      <c r="L266" s="727"/>
      <c r="M266" s="727"/>
      <c r="N266" s="727"/>
      <c r="O266" s="727"/>
      <c r="P266" s="727"/>
      <c r="Q266" s="727"/>
      <c r="R266" s="727"/>
      <c r="S266" s="727"/>
      <c r="T266" s="727"/>
      <c r="U266" s="727"/>
      <c r="V266" s="727"/>
      <c r="W266" s="727"/>
      <c r="X266" s="727"/>
      <c r="Y266" s="727"/>
      <c r="Z266" s="728"/>
      <c r="AA266" s="15">
        <v>151</v>
      </c>
      <c r="AB266" s="1026" t="str">
        <f>IF(AA266&lt;'Purchased Boons'!$B$496,VLOOKUP(AA266,'Purchased Boons'!$BF$2:$BG$900,2,FALSE),"")</f>
        <v/>
      </c>
      <c r="AC266" s="727"/>
      <c r="AD266" s="727"/>
      <c r="AE266" s="727"/>
      <c r="AF266" s="727"/>
      <c r="AG266" s="727"/>
      <c r="AH266" s="727"/>
      <c r="AI266" s="727" t="str">
        <f>IF(AB266="","",VLOOKUP(AB266,BoonRef!$A$2:$Z$900,25,FALSE))</f>
        <v/>
      </c>
      <c r="AJ266" s="727"/>
      <c r="AK266" s="727"/>
      <c r="AL266" s="727"/>
      <c r="AM266" s="727"/>
      <c r="AN266" s="727"/>
      <c r="AO266" s="727"/>
      <c r="AP266" s="727"/>
      <c r="AQ266" s="727"/>
      <c r="AR266" s="727"/>
      <c r="AS266" s="727"/>
      <c r="AT266" s="727"/>
      <c r="AU266" s="727"/>
      <c r="AV266" s="727"/>
      <c r="AW266" s="727"/>
      <c r="AX266" s="727"/>
      <c r="AY266" s="727"/>
      <c r="AZ266" s="728"/>
      <c r="BA266" s="15">
        <v>44</v>
      </c>
      <c r="BB266" s="1038" t="str">
        <f>IF(BA266&lt;'Purchased Knacks'!A$192,VLOOKUP(BA266,'Purchased Knacks'!$A$4:$E$300,3,FALSE),"")</f>
        <v/>
      </c>
      <c r="BC266" s="1039"/>
      <c r="BD266" s="1039"/>
      <c r="BE266" s="1039"/>
      <c r="BF266" s="1040"/>
      <c r="BG266" s="1032" t="str">
        <f>IF(BB266="","",VLOOKUP(BB266,KanckRef!$A$1:$G$300,7,FALSE))</f>
        <v/>
      </c>
      <c r="BH266" s="1033"/>
      <c r="BI266" s="753"/>
      <c r="BJ266" s="754"/>
      <c r="BK266" s="754"/>
      <c r="BL266" s="754"/>
      <c r="BM266" s="754"/>
      <c r="BN266" s="754"/>
      <c r="BO266" s="754"/>
      <c r="BP266" s="754"/>
      <c r="BQ266" s="754"/>
      <c r="BR266" s="754"/>
      <c r="BS266" s="754"/>
      <c r="BT266" s="754"/>
      <c r="BU266" s="754"/>
      <c r="BV266" s="754"/>
      <c r="BW266" s="754"/>
      <c r="BX266" s="754"/>
      <c r="BY266" s="754"/>
      <c r="BZ266" s="755"/>
      <c r="CA266" s="15">
        <v>151</v>
      </c>
      <c r="CB266" s="1038" t="str">
        <f>IF(CA266&lt;'Purchased Knacks'!A$192,VLOOKUP(CA266,'Purchased Knacks'!$A$4:$E$300,3,FALSE),"")</f>
        <v/>
      </c>
      <c r="CC266" s="1039"/>
      <c r="CD266" s="1039"/>
      <c r="CE266" s="1039"/>
      <c r="CF266" s="1040"/>
      <c r="CG266" s="1032" t="str">
        <f>IF(CB266="","",VLOOKUP(CB266,KanckRef!$A$1:$G$300,7,FALSE))</f>
        <v/>
      </c>
      <c r="CH266" s="1033"/>
      <c r="CI266" s="753"/>
      <c r="CJ266" s="754"/>
      <c r="CK266" s="754"/>
      <c r="CL266" s="754"/>
      <c r="CM266" s="754"/>
      <c r="CN266" s="754"/>
      <c r="CO266" s="754"/>
      <c r="CP266" s="754"/>
      <c r="CQ266" s="754"/>
      <c r="CR266" s="754"/>
      <c r="CS266" s="754"/>
      <c r="CT266" s="754"/>
      <c r="CU266" s="754"/>
      <c r="CV266" s="754"/>
      <c r="CW266" s="754"/>
      <c r="CX266" s="754"/>
      <c r="CY266" s="754"/>
      <c r="CZ266" s="755"/>
    </row>
    <row r="267" spans="1:104" x14ac:dyDescent="0.25">
      <c r="B267" s="1026"/>
      <c r="C267" s="727"/>
      <c r="D267" s="727"/>
      <c r="E267" s="727"/>
      <c r="F267" s="727"/>
      <c r="G267" s="727"/>
      <c r="H267" s="727"/>
      <c r="I267" s="727" t="str">
        <f>IF(B266="","",VLOOKUP(B266,BoonRef!$A$2:$Z$900,26,FALSE))</f>
        <v/>
      </c>
      <c r="J267" s="727"/>
      <c r="K267" s="727"/>
      <c r="L267" s="727"/>
      <c r="M267" s="727"/>
      <c r="N267" s="727"/>
      <c r="O267" s="727"/>
      <c r="P267" s="727"/>
      <c r="Q267" s="727"/>
      <c r="R267" s="727"/>
      <c r="S267" s="727"/>
      <c r="T267" s="727"/>
      <c r="U267" s="727"/>
      <c r="V267" s="727"/>
      <c r="W267" s="727"/>
      <c r="X267" s="727"/>
      <c r="Y267" s="727"/>
      <c r="Z267" s="728"/>
      <c r="AB267" s="1026"/>
      <c r="AC267" s="727"/>
      <c r="AD267" s="727"/>
      <c r="AE267" s="727"/>
      <c r="AF267" s="727"/>
      <c r="AG267" s="727"/>
      <c r="AH267" s="727"/>
      <c r="AI267" s="727" t="str">
        <f>IF(AB266="","",VLOOKUP(AB266,BoonRef!$A$2:$Z$900,26,FALSE))</f>
        <v/>
      </c>
      <c r="AJ267" s="727"/>
      <c r="AK267" s="727"/>
      <c r="AL267" s="727"/>
      <c r="AM267" s="727"/>
      <c r="AN267" s="727"/>
      <c r="AO267" s="727"/>
      <c r="AP267" s="727"/>
      <c r="AQ267" s="727"/>
      <c r="AR267" s="727"/>
      <c r="AS267" s="727"/>
      <c r="AT267" s="727"/>
      <c r="AU267" s="727"/>
      <c r="AV267" s="727"/>
      <c r="AW267" s="727"/>
      <c r="AX267" s="727"/>
      <c r="AY267" s="727"/>
      <c r="AZ267" s="728"/>
      <c r="BB267" s="1041"/>
      <c r="BC267" s="1042"/>
      <c r="BD267" s="1042"/>
      <c r="BE267" s="1042"/>
      <c r="BF267" s="1043"/>
      <c r="BG267" s="1034"/>
      <c r="BH267" s="1035"/>
      <c r="BI267" s="753"/>
      <c r="BJ267" s="754"/>
      <c r="BK267" s="754"/>
      <c r="BL267" s="754"/>
      <c r="BM267" s="754"/>
      <c r="BN267" s="754"/>
      <c r="BO267" s="754"/>
      <c r="BP267" s="754"/>
      <c r="BQ267" s="754"/>
      <c r="BR267" s="754"/>
      <c r="BS267" s="754"/>
      <c r="BT267" s="754"/>
      <c r="BU267" s="754"/>
      <c r="BV267" s="754"/>
      <c r="BW267" s="754"/>
      <c r="BX267" s="754"/>
      <c r="BY267" s="754"/>
      <c r="BZ267" s="755"/>
      <c r="CB267" s="1041"/>
      <c r="CC267" s="1042"/>
      <c r="CD267" s="1042"/>
      <c r="CE267" s="1042"/>
      <c r="CF267" s="1043"/>
      <c r="CG267" s="1034"/>
      <c r="CH267" s="1035"/>
      <c r="CI267" s="753"/>
      <c r="CJ267" s="754"/>
      <c r="CK267" s="754"/>
      <c r="CL267" s="754"/>
      <c r="CM267" s="754"/>
      <c r="CN267" s="754"/>
      <c r="CO267" s="754"/>
      <c r="CP267" s="754"/>
      <c r="CQ267" s="754"/>
      <c r="CR267" s="754"/>
      <c r="CS267" s="754"/>
      <c r="CT267" s="754"/>
      <c r="CU267" s="754"/>
      <c r="CV267" s="754"/>
      <c r="CW267" s="754"/>
      <c r="CX267" s="754"/>
      <c r="CY267" s="754"/>
      <c r="CZ267" s="755"/>
    </row>
    <row r="268" spans="1:104" x14ac:dyDescent="0.25">
      <c r="B268" s="1026" t="str">
        <f>IF(B266="","",VLOOKUP(B266,BoonRef!$A$2:$Z$900,24,FALSE))</f>
        <v/>
      </c>
      <c r="C268" s="727"/>
      <c r="D268" s="727"/>
      <c r="E268" s="727"/>
      <c r="F268" s="727"/>
      <c r="G268" s="727"/>
      <c r="H268" s="727"/>
      <c r="I268" s="727"/>
      <c r="J268" s="727"/>
      <c r="K268" s="727"/>
      <c r="L268" s="727"/>
      <c r="M268" s="727"/>
      <c r="N268" s="727"/>
      <c r="O268" s="727"/>
      <c r="P268" s="727"/>
      <c r="Q268" s="727"/>
      <c r="R268" s="727"/>
      <c r="S268" s="727"/>
      <c r="T268" s="727"/>
      <c r="U268" s="727"/>
      <c r="V268" s="727"/>
      <c r="W268" s="727"/>
      <c r="X268" s="727"/>
      <c r="Y268" s="727"/>
      <c r="Z268" s="728"/>
      <c r="AB268" s="1026" t="str">
        <f>IF(AB266="","",VLOOKUP(AB266,BoonRef!$A$2:$Z$900,24,FALSE))</f>
        <v/>
      </c>
      <c r="AC268" s="727"/>
      <c r="AD268" s="727"/>
      <c r="AE268" s="727"/>
      <c r="AF268" s="727"/>
      <c r="AG268" s="727"/>
      <c r="AH268" s="727"/>
      <c r="AI268" s="727"/>
      <c r="AJ268" s="727"/>
      <c r="AK268" s="727"/>
      <c r="AL268" s="727"/>
      <c r="AM268" s="727"/>
      <c r="AN268" s="727"/>
      <c r="AO268" s="727"/>
      <c r="AP268" s="727"/>
      <c r="AQ268" s="727"/>
      <c r="AR268" s="727"/>
      <c r="AS268" s="727"/>
      <c r="AT268" s="727"/>
      <c r="AU268" s="727"/>
      <c r="AV268" s="727"/>
      <c r="AW268" s="727"/>
      <c r="AX268" s="727"/>
      <c r="AY268" s="727"/>
      <c r="AZ268" s="728"/>
      <c r="BB268" s="641" t="str">
        <f>IF(BB266="","",VLOOKUP(BB266,KanckRef!$A$1:$G$300,4,FALSE))</f>
        <v/>
      </c>
      <c r="BC268" s="642"/>
      <c r="BD268" s="642"/>
      <c r="BE268" s="642"/>
      <c r="BF268" s="642"/>
      <c r="BG268" s="642"/>
      <c r="BH268" s="1033"/>
      <c r="BI268" s="753"/>
      <c r="BJ268" s="754"/>
      <c r="BK268" s="754"/>
      <c r="BL268" s="754"/>
      <c r="BM268" s="754"/>
      <c r="BN268" s="754"/>
      <c r="BO268" s="754"/>
      <c r="BP268" s="754"/>
      <c r="BQ268" s="754"/>
      <c r="BR268" s="754"/>
      <c r="BS268" s="754"/>
      <c r="BT268" s="754"/>
      <c r="BU268" s="754"/>
      <c r="BV268" s="754"/>
      <c r="BW268" s="754"/>
      <c r="BX268" s="754"/>
      <c r="BY268" s="754"/>
      <c r="BZ268" s="755"/>
      <c r="CB268" s="641" t="str">
        <f>IF(CB266="","",VLOOKUP(CB266,KanckRef!$A$1:$G$300,4,FALSE))</f>
        <v/>
      </c>
      <c r="CC268" s="642"/>
      <c r="CD268" s="642"/>
      <c r="CE268" s="642"/>
      <c r="CF268" s="642"/>
      <c r="CG268" s="642"/>
      <c r="CH268" s="1033"/>
      <c r="CI268" s="753"/>
      <c r="CJ268" s="754"/>
      <c r="CK268" s="754"/>
      <c r="CL268" s="754"/>
      <c r="CM268" s="754"/>
      <c r="CN268" s="754"/>
      <c r="CO268" s="754"/>
      <c r="CP268" s="754"/>
      <c r="CQ268" s="754"/>
      <c r="CR268" s="754"/>
      <c r="CS268" s="754"/>
      <c r="CT268" s="754"/>
      <c r="CU268" s="754"/>
      <c r="CV268" s="754"/>
      <c r="CW268" s="754"/>
      <c r="CX268" s="754"/>
      <c r="CY268" s="754"/>
      <c r="CZ268" s="755"/>
    </row>
    <row r="269" spans="1:104" x14ac:dyDescent="0.25">
      <c r="B269" s="1026" t="str">
        <f>IF(B266="","",VLOOKUP(B266,BoonRef!$A$2:$Z$900,23,FALSE))</f>
        <v/>
      </c>
      <c r="C269" s="727"/>
      <c r="D269" s="727"/>
      <c r="E269" s="727"/>
      <c r="F269" s="727"/>
      <c r="G269" s="727"/>
      <c r="H269" s="727"/>
      <c r="I269" s="727"/>
      <c r="J269" s="727"/>
      <c r="K269" s="727"/>
      <c r="L269" s="727"/>
      <c r="M269" s="727"/>
      <c r="N269" s="727"/>
      <c r="O269" s="727"/>
      <c r="P269" s="727"/>
      <c r="Q269" s="727"/>
      <c r="R269" s="727"/>
      <c r="S269" s="727"/>
      <c r="T269" s="727"/>
      <c r="U269" s="727"/>
      <c r="V269" s="727"/>
      <c r="W269" s="727"/>
      <c r="X269" s="727"/>
      <c r="Y269" s="727"/>
      <c r="Z269" s="728"/>
      <c r="AB269" s="1026" t="str">
        <f>IF(AB266="","",VLOOKUP(AB266,BoonRef!$A$2:$Z$900,23,FALSE))</f>
        <v/>
      </c>
      <c r="AC269" s="727"/>
      <c r="AD269" s="727"/>
      <c r="AE269" s="727"/>
      <c r="AF269" s="727"/>
      <c r="AG269" s="727"/>
      <c r="AH269" s="727"/>
      <c r="AI269" s="727"/>
      <c r="AJ269" s="727"/>
      <c r="AK269" s="727"/>
      <c r="AL269" s="727"/>
      <c r="AM269" s="727"/>
      <c r="AN269" s="727"/>
      <c r="AO269" s="727"/>
      <c r="AP269" s="727"/>
      <c r="AQ269" s="727"/>
      <c r="AR269" s="727"/>
      <c r="AS269" s="727"/>
      <c r="AT269" s="727"/>
      <c r="AU269" s="727"/>
      <c r="AV269" s="727"/>
      <c r="AW269" s="727"/>
      <c r="AX269" s="727"/>
      <c r="AY269" s="727"/>
      <c r="AZ269" s="728"/>
      <c r="BB269" s="635"/>
      <c r="BC269" s="636"/>
      <c r="BD269" s="636"/>
      <c r="BE269" s="636"/>
      <c r="BF269" s="636"/>
      <c r="BG269" s="636"/>
      <c r="BH269" s="1036"/>
      <c r="BI269" s="753"/>
      <c r="BJ269" s="754"/>
      <c r="BK269" s="754"/>
      <c r="BL269" s="754"/>
      <c r="BM269" s="754"/>
      <c r="BN269" s="754"/>
      <c r="BO269" s="754"/>
      <c r="BP269" s="754"/>
      <c r="BQ269" s="754"/>
      <c r="BR269" s="754"/>
      <c r="BS269" s="754"/>
      <c r="BT269" s="754"/>
      <c r="BU269" s="754"/>
      <c r="BV269" s="754"/>
      <c r="BW269" s="754"/>
      <c r="BX269" s="754"/>
      <c r="BY269" s="754"/>
      <c r="BZ269" s="755"/>
      <c r="CB269" s="635"/>
      <c r="CC269" s="636"/>
      <c r="CD269" s="636"/>
      <c r="CE269" s="636"/>
      <c r="CF269" s="636"/>
      <c r="CG269" s="636"/>
      <c r="CH269" s="1036"/>
      <c r="CI269" s="753"/>
      <c r="CJ269" s="754"/>
      <c r="CK269" s="754"/>
      <c r="CL269" s="754"/>
      <c r="CM269" s="754"/>
      <c r="CN269" s="754"/>
      <c r="CO269" s="754"/>
      <c r="CP269" s="754"/>
      <c r="CQ269" s="754"/>
      <c r="CR269" s="754"/>
      <c r="CS269" s="754"/>
      <c r="CT269" s="754"/>
      <c r="CU269" s="754"/>
      <c r="CV269" s="754"/>
      <c r="CW269" s="754"/>
      <c r="CX269" s="754"/>
      <c r="CY269" s="754"/>
      <c r="CZ269" s="755"/>
    </row>
    <row r="270" spans="1:104" ht="15" customHeight="1" thickBot="1" x14ac:dyDescent="0.3">
      <c r="B270" s="1027"/>
      <c r="C270" s="865"/>
      <c r="D270" s="865"/>
      <c r="E270" s="865"/>
      <c r="F270" s="865"/>
      <c r="G270" s="865"/>
      <c r="H270" s="865"/>
      <c r="I270" s="865"/>
      <c r="J270" s="865"/>
      <c r="K270" s="865"/>
      <c r="L270" s="865"/>
      <c r="M270" s="865"/>
      <c r="N270" s="865"/>
      <c r="O270" s="865"/>
      <c r="P270" s="865"/>
      <c r="Q270" s="865"/>
      <c r="R270" s="865"/>
      <c r="S270" s="865"/>
      <c r="T270" s="865"/>
      <c r="U270" s="865"/>
      <c r="V270" s="865"/>
      <c r="W270" s="865"/>
      <c r="X270" s="865"/>
      <c r="Y270" s="865"/>
      <c r="Z270" s="921"/>
      <c r="AB270" s="1027"/>
      <c r="AC270" s="865"/>
      <c r="AD270" s="865"/>
      <c r="AE270" s="865"/>
      <c r="AF270" s="865"/>
      <c r="AG270" s="865"/>
      <c r="AH270" s="865"/>
      <c r="AI270" s="865"/>
      <c r="AJ270" s="865"/>
      <c r="AK270" s="865"/>
      <c r="AL270" s="865"/>
      <c r="AM270" s="865"/>
      <c r="AN270" s="865"/>
      <c r="AO270" s="865"/>
      <c r="AP270" s="865"/>
      <c r="AQ270" s="865"/>
      <c r="AR270" s="865"/>
      <c r="AS270" s="865"/>
      <c r="AT270" s="865"/>
      <c r="AU270" s="865"/>
      <c r="AV270" s="865"/>
      <c r="AW270" s="865"/>
      <c r="AX270" s="865"/>
      <c r="AY270" s="865"/>
      <c r="AZ270" s="921"/>
      <c r="BB270" s="644"/>
      <c r="BC270" s="645"/>
      <c r="BD270" s="645"/>
      <c r="BE270" s="645"/>
      <c r="BF270" s="645"/>
      <c r="BG270" s="645"/>
      <c r="BH270" s="1037"/>
      <c r="BI270" s="756"/>
      <c r="BJ270" s="757"/>
      <c r="BK270" s="757"/>
      <c r="BL270" s="757"/>
      <c r="BM270" s="757"/>
      <c r="BN270" s="757"/>
      <c r="BO270" s="757"/>
      <c r="BP270" s="757"/>
      <c r="BQ270" s="757"/>
      <c r="BR270" s="757"/>
      <c r="BS270" s="757"/>
      <c r="BT270" s="757"/>
      <c r="BU270" s="757"/>
      <c r="BV270" s="757"/>
      <c r="BW270" s="757"/>
      <c r="BX270" s="757"/>
      <c r="BY270" s="757"/>
      <c r="BZ270" s="758"/>
      <c r="CB270" s="644"/>
      <c r="CC270" s="645"/>
      <c r="CD270" s="645"/>
      <c r="CE270" s="645"/>
      <c r="CF270" s="645"/>
      <c r="CG270" s="645"/>
      <c r="CH270" s="1037"/>
      <c r="CI270" s="756"/>
      <c r="CJ270" s="757"/>
      <c r="CK270" s="757"/>
      <c r="CL270" s="757"/>
      <c r="CM270" s="757"/>
      <c r="CN270" s="757"/>
      <c r="CO270" s="757"/>
      <c r="CP270" s="757"/>
      <c r="CQ270" s="757"/>
      <c r="CR270" s="757"/>
      <c r="CS270" s="757"/>
      <c r="CT270" s="757"/>
      <c r="CU270" s="757"/>
      <c r="CV270" s="757"/>
      <c r="CW270" s="757"/>
      <c r="CX270" s="757"/>
      <c r="CY270" s="757"/>
      <c r="CZ270" s="758"/>
    </row>
    <row r="271" spans="1:104" ht="15" customHeight="1" x14ac:dyDescent="0.25">
      <c r="B271" s="1028" t="str">
        <f>IF(B272="","",VLOOKUP(B272,BoonRef!$A$2:$Z$900,2,FALSE))</f>
        <v/>
      </c>
      <c r="C271" s="725"/>
      <c r="D271" s="725"/>
      <c r="E271" s="725"/>
      <c r="F271" s="725"/>
      <c r="G271" s="725"/>
      <c r="H271" s="725"/>
      <c r="I271" s="725" t="str">
        <f>IF(B272="","",VLOOKUP(B272,BoonRef!$A$2:$Z$900,3,FALSE))</f>
        <v/>
      </c>
      <c r="J271" s="725"/>
      <c r="K271" s="725" t="str">
        <f>IF(B272="","",VLOOKUP(B272,DescRef!$A$2:$B$900,2,FALSE))</f>
        <v/>
      </c>
      <c r="L271" s="725"/>
      <c r="M271" s="725"/>
      <c r="N271" s="725"/>
      <c r="O271" s="725"/>
      <c r="P271" s="725"/>
      <c r="Q271" s="725"/>
      <c r="R271" s="725"/>
      <c r="S271" s="725"/>
      <c r="T271" s="725"/>
      <c r="U271" s="725"/>
      <c r="V271" s="725"/>
      <c r="W271" s="725"/>
      <c r="X271" s="725"/>
      <c r="Y271" s="725"/>
      <c r="Z271" s="726"/>
      <c r="AB271" s="1028" t="str">
        <f>IF(AB272="","",VLOOKUP(AB272,BoonRef!$A$2:$Z$900,2,FALSE))</f>
        <v/>
      </c>
      <c r="AC271" s="725"/>
      <c r="AD271" s="725"/>
      <c r="AE271" s="725"/>
      <c r="AF271" s="725"/>
      <c r="AG271" s="725"/>
      <c r="AH271" s="725"/>
      <c r="AI271" s="725" t="str">
        <f>IF(AB272="","",VLOOKUP(AB272,BoonRef!$A$2:$Z$900,3,FALSE))</f>
        <v/>
      </c>
      <c r="AJ271" s="725"/>
      <c r="AK271" s="725" t="str">
        <f>IF(AB272="","",VLOOKUP(AB272,DescRef!$A$2:$B$900,2,FALSE))</f>
        <v/>
      </c>
      <c r="AL271" s="725"/>
      <c r="AM271" s="725"/>
      <c r="AN271" s="725"/>
      <c r="AO271" s="725"/>
      <c r="AP271" s="725"/>
      <c r="AQ271" s="725"/>
      <c r="AR271" s="725"/>
      <c r="AS271" s="725"/>
      <c r="AT271" s="725"/>
      <c r="AU271" s="725"/>
      <c r="AV271" s="725"/>
      <c r="AW271" s="725"/>
      <c r="AX271" s="725"/>
      <c r="AY271" s="725"/>
      <c r="AZ271" s="726"/>
      <c r="BB271" s="1029" t="str">
        <f>IF(BB272="","",VLOOKUP(BB272,KanckRef!$A$1:$G$300,2,FALSE))</f>
        <v/>
      </c>
      <c r="BC271" s="1030"/>
      <c r="BD271" s="1030"/>
      <c r="BE271" s="1030"/>
      <c r="BF271" s="1031"/>
      <c r="BG271" s="1048" t="str">
        <f>IF(BB272="","",VLOOKUP(BB272,KanckRef!$A$1:$G$300,6,FALSE))</f>
        <v/>
      </c>
      <c r="BH271" s="1049"/>
      <c r="BI271" s="988" t="str">
        <f>IF(BB272="","",VLOOKUP(BB272,DescRef!$D$2:$E$300,2,FALSE))</f>
        <v/>
      </c>
      <c r="BJ271" s="795"/>
      <c r="BK271" s="795"/>
      <c r="BL271" s="795"/>
      <c r="BM271" s="795"/>
      <c r="BN271" s="795"/>
      <c r="BO271" s="795"/>
      <c r="BP271" s="795"/>
      <c r="BQ271" s="795"/>
      <c r="BR271" s="795"/>
      <c r="BS271" s="795"/>
      <c r="BT271" s="795"/>
      <c r="BU271" s="795"/>
      <c r="BV271" s="795"/>
      <c r="BW271" s="795"/>
      <c r="BX271" s="795"/>
      <c r="BY271" s="795"/>
      <c r="BZ271" s="796"/>
      <c r="CB271" s="1029" t="str">
        <f>IF(CB272="","",VLOOKUP(CB272,KanckRef!$A$1:$G$300,2,FALSE))</f>
        <v/>
      </c>
      <c r="CC271" s="1030"/>
      <c r="CD271" s="1030"/>
      <c r="CE271" s="1030"/>
      <c r="CF271" s="1031"/>
      <c r="CG271" s="1048" t="str">
        <f>IF(CB272="","",VLOOKUP(CB272,KanckRef!$A$1:$G$300,6,FALSE))</f>
        <v/>
      </c>
      <c r="CH271" s="1049"/>
      <c r="CI271" s="988" t="str">
        <f>IF(CB272="","",VLOOKUP(CB272,DescRef!$D$2:$E$300,2,FALSE))</f>
        <v/>
      </c>
      <c r="CJ271" s="795"/>
      <c r="CK271" s="795"/>
      <c r="CL271" s="795"/>
      <c r="CM271" s="795"/>
      <c r="CN271" s="795"/>
      <c r="CO271" s="795"/>
      <c r="CP271" s="795"/>
      <c r="CQ271" s="795"/>
      <c r="CR271" s="795"/>
      <c r="CS271" s="795"/>
      <c r="CT271" s="795"/>
      <c r="CU271" s="795"/>
      <c r="CV271" s="795"/>
      <c r="CW271" s="795"/>
      <c r="CX271" s="795"/>
      <c r="CY271" s="795"/>
      <c r="CZ271" s="796"/>
    </row>
    <row r="272" spans="1:104" ht="15" customHeight="1" x14ac:dyDescent="0.25">
      <c r="A272" s="15">
        <v>45</v>
      </c>
      <c r="B272" s="1026" t="str">
        <f>IF(A272&lt;'Purchased Boons'!$B$496,VLOOKUP(A272,'Purchased Boons'!$BF$2:$BG$900,2,FALSE),"")</f>
        <v/>
      </c>
      <c r="C272" s="727"/>
      <c r="D272" s="727"/>
      <c r="E272" s="727"/>
      <c r="F272" s="727"/>
      <c r="G272" s="727"/>
      <c r="H272" s="727"/>
      <c r="I272" s="727" t="str">
        <f>IF(B272="","",VLOOKUP(B272,BoonRef!$A$2:$Z$900,25,FALSE))</f>
        <v/>
      </c>
      <c r="J272" s="727"/>
      <c r="K272" s="727"/>
      <c r="L272" s="727"/>
      <c r="M272" s="727"/>
      <c r="N272" s="727"/>
      <c r="O272" s="727"/>
      <c r="P272" s="727"/>
      <c r="Q272" s="727"/>
      <c r="R272" s="727"/>
      <c r="S272" s="727"/>
      <c r="T272" s="727"/>
      <c r="U272" s="727"/>
      <c r="V272" s="727"/>
      <c r="W272" s="727"/>
      <c r="X272" s="727"/>
      <c r="Y272" s="727"/>
      <c r="Z272" s="728"/>
      <c r="AA272" s="15">
        <v>152</v>
      </c>
      <c r="AB272" s="1026" t="str">
        <f>IF(AA272&lt;'Purchased Boons'!$B$496,VLOOKUP(AA272,'Purchased Boons'!$BF$2:$BG$900,2,FALSE),"")</f>
        <v/>
      </c>
      <c r="AC272" s="727"/>
      <c r="AD272" s="727"/>
      <c r="AE272" s="727"/>
      <c r="AF272" s="727"/>
      <c r="AG272" s="727"/>
      <c r="AH272" s="727"/>
      <c r="AI272" s="727" t="str">
        <f>IF(AB272="","",VLOOKUP(AB272,BoonRef!$A$2:$Z$900,25,FALSE))</f>
        <v/>
      </c>
      <c r="AJ272" s="727"/>
      <c r="AK272" s="727"/>
      <c r="AL272" s="727"/>
      <c r="AM272" s="727"/>
      <c r="AN272" s="727"/>
      <c r="AO272" s="727"/>
      <c r="AP272" s="727"/>
      <c r="AQ272" s="727"/>
      <c r="AR272" s="727"/>
      <c r="AS272" s="727"/>
      <c r="AT272" s="727"/>
      <c r="AU272" s="727"/>
      <c r="AV272" s="727"/>
      <c r="AW272" s="727"/>
      <c r="AX272" s="727"/>
      <c r="AY272" s="727"/>
      <c r="AZ272" s="728"/>
      <c r="BA272" s="15">
        <v>45</v>
      </c>
      <c r="BB272" s="1038" t="str">
        <f>IF(BA272&lt;'Purchased Knacks'!A$192,VLOOKUP(BA272,'Purchased Knacks'!$A$4:$E$300,3,FALSE),"")</f>
        <v/>
      </c>
      <c r="BC272" s="1039"/>
      <c r="BD272" s="1039"/>
      <c r="BE272" s="1039"/>
      <c r="BF272" s="1040"/>
      <c r="BG272" s="1032" t="str">
        <f>IF(BB272="","",VLOOKUP(BB272,KanckRef!$A$1:$G$300,7,FALSE))</f>
        <v/>
      </c>
      <c r="BH272" s="1033"/>
      <c r="BI272" s="753"/>
      <c r="BJ272" s="754"/>
      <c r="BK272" s="754"/>
      <c r="BL272" s="754"/>
      <c r="BM272" s="754"/>
      <c r="BN272" s="754"/>
      <c r="BO272" s="754"/>
      <c r="BP272" s="754"/>
      <c r="BQ272" s="754"/>
      <c r="BR272" s="754"/>
      <c r="BS272" s="754"/>
      <c r="BT272" s="754"/>
      <c r="BU272" s="754"/>
      <c r="BV272" s="754"/>
      <c r="BW272" s="754"/>
      <c r="BX272" s="754"/>
      <c r="BY272" s="754"/>
      <c r="BZ272" s="755"/>
      <c r="CA272" s="15">
        <v>152</v>
      </c>
      <c r="CB272" s="1038" t="str">
        <f>IF(CA272&lt;'Purchased Knacks'!A$192,VLOOKUP(CA272,'Purchased Knacks'!$A$4:$E$300,3,FALSE),"")</f>
        <v/>
      </c>
      <c r="CC272" s="1039"/>
      <c r="CD272" s="1039"/>
      <c r="CE272" s="1039"/>
      <c r="CF272" s="1040"/>
      <c r="CG272" s="1032" t="str">
        <f>IF(CB272="","",VLOOKUP(CB272,KanckRef!$A$1:$G$300,7,FALSE))</f>
        <v/>
      </c>
      <c r="CH272" s="1033"/>
      <c r="CI272" s="753"/>
      <c r="CJ272" s="754"/>
      <c r="CK272" s="754"/>
      <c r="CL272" s="754"/>
      <c r="CM272" s="754"/>
      <c r="CN272" s="754"/>
      <c r="CO272" s="754"/>
      <c r="CP272" s="754"/>
      <c r="CQ272" s="754"/>
      <c r="CR272" s="754"/>
      <c r="CS272" s="754"/>
      <c r="CT272" s="754"/>
      <c r="CU272" s="754"/>
      <c r="CV272" s="754"/>
      <c r="CW272" s="754"/>
      <c r="CX272" s="754"/>
      <c r="CY272" s="754"/>
      <c r="CZ272" s="755"/>
    </row>
    <row r="273" spans="1:104" x14ac:dyDescent="0.25">
      <c r="B273" s="1026"/>
      <c r="C273" s="727"/>
      <c r="D273" s="727"/>
      <c r="E273" s="727"/>
      <c r="F273" s="727"/>
      <c r="G273" s="727"/>
      <c r="H273" s="727"/>
      <c r="I273" s="727" t="str">
        <f>IF(B272="","",VLOOKUP(B272,BoonRef!$A$2:$Z$900,26,FALSE))</f>
        <v/>
      </c>
      <c r="J273" s="727"/>
      <c r="K273" s="727"/>
      <c r="L273" s="727"/>
      <c r="M273" s="727"/>
      <c r="N273" s="727"/>
      <c r="O273" s="727"/>
      <c r="P273" s="727"/>
      <c r="Q273" s="727"/>
      <c r="R273" s="727"/>
      <c r="S273" s="727"/>
      <c r="T273" s="727"/>
      <c r="U273" s="727"/>
      <c r="V273" s="727"/>
      <c r="W273" s="727"/>
      <c r="X273" s="727"/>
      <c r="Y273" s="727"/>
      <c r="Z273" s="728"/>
      <c r="AB273" s="1026"/>
      <c r="AC273" s="727"/>
      <c r="AD273" s="727"/>
      <c r="AE273" s="727"/>
      <c r="AF273" s="727"/>
      <c r="AG273" s="727"/>
      <c r="AH273" s="727"/>
      <c r="AI273" s="727" t="str">
        <f>IF(AB272="","",VLOOKUP(AB272,BoonRef!$A$2:$Z$900,26,FALSE))</f>
        <v/>
      </c>
      <c r="AJ273" s="727"/>
      <c r="AK273" s="727"/>
      <c r="AL273" s="727"/>
      <c r="AM273" s="727"/>
      <c r="AN273" s="727"/>
      <c r="AO273" s="727"/>
      <c r="AP273" s="727"/>
      <c r="AQ273" s="727"/>
      <c r="AR273" s="727"/>
      <c r="AS273" s="727"/>
      <c r="AT273" s="727"/>
      <c r="AU273" s="727"/>
      <c r="AV273" s="727"/>
      <c r="AW273" s="727"/>
      <c r="AX273" s="727"/>
      <c r="AY273" s="727"/>
      <c r="AZ273" s="728"/>
      <c r="BB273" s="1041"/>
      <c r="BC273" s="1042"/>
      <c r="BD273" s="1042"/>
      <c r="BE273" s="1042"/>
      <c r="BF273" s="1043"/>
      <c r="BG273" s="1034"/>
      <c r="BH273" s="1035"/>
      <c r="BI273" s="753"/>
      <c r="BJ273" s="754"/>
      <c r="BK273" s="754"/>
      <c r="BL273" s="754"/>
      <c r="BM273" s="754"/>
      <c r="BN273" s="754"/>
      <c r="BO273" s="754"/>
      <c r="BP273" s="754"/>
      <c r="BQ273" s="754"/>
      <c r="BR273" s="754"/>
      <c r="BS273" s="754"/>
      <c r="BT273" s="754"/>
      <c r="BU273" s="754"/>
      <c r="BV273" s="754"/>
      <c r="BW273" s="754"/>
      <c r="BX273" s="754"/>
      <c r="BY273" s="754"/>
      <c r="BZ273" s="755"/>
      <c r="CB273" s="1041"/>
      <c r="CC273" s="1042"/>
      <c r="CD273" s="1042"/>
      <c r="CE273" s="1042"/>
      <c r="CF273" s="1043"/>
      <c r="CG273" s="1034"/>
      <c r="CH273" s="1035"/>
      <c r="CI273" s="753"/>
      <c r="CJ273" s="754"/>
      <c r="CK273" s="754"/>
      <c r="CL273" s="754"/>
      <c r="CM273" s="754"/>
      <c r="CN273" s="754"/>
      <c r="CO273" s="754"/>
      <c r="CP273" s="754"/>
      <c r="CQ273" s="754"/>
      <c r="CR273" s="754"/>
      <c r="CS273" s="754"/>
      <c r="CT273" s="754"/>
      <c r="CU273" s="754"/>
      <c r="CV273" s="754"/>
      <c r="CW273" s="754"/>
      <c r="CX273" s="754"/>
      <c r="CY273" s="754"/>
      <c r="CZ273" s="755"/>
    </row>
    <row r="274" spans="1:104" x14ac:dyDescent="0.25">
      <c r="B274" s="1026" t="str">
        <f>IF(B272="","",VLOOKUP(B272,BoonRef!$A$2:$Z$900,24,FALSE))</f>
        <v/>
      </c>
      <c r="C274" s="727"/>
      <c r="D274" s="727"/>
      <c r="E274" s="727"/>
      <c r="F274" s="727"/>
      <c r="G274" s="727"/>
      <c r="H274" s="727"/>
      <c r="I274" s="727"/>
      <c r="J274" s="727"/>
      <c r="K274" s="727"/>
      <c r="L274" s="727"/>
      <c r="M274" s="727"/>
      <c r="N274" s="727"/>
      <c r="O274" s="727"/>
      <c r="P274" s="727"/>
      <c r="Q274" s="727"/>
      <c r="R274" s="727"/>
      <c r="S274" s="727"/>
      <c r="T274" s="727"/>
      <c r="U274" s="727"/>
      <c r="V274" s="727"/>
      <c r="W274" s="727"/>
      <c r="X274" s="727"/>
      <c r="Y274" s="727"/>
      <c r="Z274" s="728"/>
      <c r="AB274" s="1026" t="str">
        <f>IF(AB272="","",VLOOKUP(AB272,BoonRef!$A$2:$Z$900,24,FALSE))</f>
        <v/>
      </c>
      <c r="AC274" s="727"/>
      <c r="AD274" s="727"/>
      <c r="AE274" s="727"/>
      <c r="AF274" s="727"/>
      <c r="AG274" s="727"/>
      <c r="AH274" s="727"/>
      <c r="AI274" s="727"/>
      <c r="AJ274" s="727"/>
      <c r="AK274" s="727"/>
      <c r="AL274" s="727"/>
      <c r="AM274" s="727"/>
      <c r="AN274" s="727"/>
      <c r="AO274" s="727"/>
      <c r="AP274" s="727"/>
      <c r="AQ274" s="727"/>
      <c r="AR274" s="727"/>
      <c r="AS274" s="727"/>
      <c r="AT274" s="727"/>
      <c r="AU274" s="727"/>
      <c r="AV274" s="727"/>
      <c r="AW274" s="727"/>
      <c r="AX274" s="727"/>
      <c r="AY274" s="727"/>
      <c r="AZ274" s="728"/>
      <c r="BB274" s="641" t="str">
        <f>IF(BB272="","",VLOOKUP(BB272,KanckRef!$A$1:$G$300,4,FALSE))</f>
        <v/>
      </c>
      <c r="BC274" s="642"/>
      <c r="BD274" s="642"/>
      <c r="BE274" s="642"/>
      <c r="BF274" s="642"/>
      <c r="BG274" s="642"/>
      <c r="BH274" s="1033"/>
      <c r="BI274" s="753"/>
      <c r="BJ274" s="754"/>
      <c r="BK274" s="754"/>
      <c r="BL274" s="754"/>
      <c r="BM274" s="754"/>
      <c r="BN274" s="754"/>
      <c r="BO274" s="754"/>
      <c r="BP274" s="754"/>
      <c r="BQ274" s="754"/>
      <c r="BR274" s="754"/>
      <c r="BS274" s="754"/>
      <c r="BT274" s="754"/>
      <c r="BU274" s="754"/>
      <c r="BV274" s="754"/>
      <c r="BW274" s="754"/>
      <c r="BX274" s="754"/>
      <c r="BY274" s="754"/>
      <c r="BZ274" s="755"/>
      <c r="CB274" s="641" t="str">
        <f>IF(CB272="","",VLOOKUP(CB272,KanckRef!$A$1:$G$300,4,FALSE))</f>
        <v/>
      </c>
      <c r="CC274" s="642"/>
      <c r="CD274" s="642"/>
      <c r="CE274" s="642"/>
      <c r="CF274" s="642"/>
      <c r="CG274" s="642"/>
      <c r="CH274" s="1033"/>
      <c r="CI274" s="753"/>
      <c r="CJ274" s="754"/>
      <c r="CK274" s="754"/>
      <c r="CL274" s="754"/>
      <c r="CM274" s="754"/>
      <c r="CN274" s="754"/>
      <c r="CO274" s="754"/>
      <c r="CP274" s="754"/>
      <c r="CQ274" s="754"/>
      <c r="CR274" s="754"/>
      <c r="CS274" s="754"/>
      <c r="CT274" s="754"/>
      <c r="CU274" s="754"/>
      <c r="CV274" s="754"/>
      <c r="CW274" s="754"/>
      <c r="CX274" s="754"/>
      <c r="CY274" s="754"/>
      <c r="CZ274" s="755"/>
    </row>
    <row r="275" spans="1:104" ht="15" customHeight="1" x14ac:dyDescent="0.25">
      <c r="B275" s="1026" t="str">
        <f>IF(B272="","",VLOOKUP(B272,BoonRef!$A$2:$Z$900,23,FALSE))</f>
        <v/>
      </c>
      <c r="C275" s="727"/>
      <c r="D275" s="727"/>
      <c r="E275" s="727"/>
      <c r="F275" s="727"/>
      <c r="G275" s="727"/>
      <c r="H275" s="727"/>
      <c r="I275" s="727"/>
      <c r="J275" s="727"/>
      <c r="K275" s="727"/>
      <c r="L275" s="727"/>
      <c r="M275" s="727"/>
      <c r="N275" s="727"/>
      <c r="O275" s="727"/>
      <c r="P275" s="727"/>
      <c r="Q275" s="727"/>
      <c r="R275" s="727"/>
      <c r="S275" s="727"/>
      <c r="T275" s="727"/>
      <c r="U275" s="727"/>
      <c r="V275" s="727"/>
      <c r="W275" s="727"/>
      <c r="X275" s="727"/>
      <c r="Y275" s="727"/>
      <c r="Z275" s="728"/>
      <c r="AB275" s="1026" t="str">
        <f>IF(AB272="","",VLOOKUP(AB272,BoonRef!$A$2:$Z$900,23,FALSE))</f>
        <v/>
      </c>
      <c r="AC275" s="727"/>
      <c r="AD275" s="727"/>
      <c r="AE275" s="727"/>
      <c r="AF275" s="727"/>
      <c r="AG275" s="727"/>
      <c r="AH275" s="727"/>
      <c r="AI275" s="727"/>
      <c r="AJ275" s="727"/>
      <c r="AK275" s="727"/>
      <c r="AL275" s="727"/>
      <c r="AM275" s="727"/>
      <c r="AN275" s="727"/>
      <c r="AO275" s="727"/>
      <c r="AP275" s="727"/>
      <c r="AQ275" s="727"/>
      <c r="AR275" s="727"/>
      <c r="AS275" s="727"/>
      <c r="AT275" s="727"/>
      <c r="AU275" s="727"/>
      <c r="AV275" s="727"/>
      <c r="AW275" s="727"/>
      <c r="AX275" s="727"/>
      <c r="AY275" s="727"/>
      <c r="AZ275" s="728"/>
      <c r="BB275" s="635"/>
      <c r="BC275" s="636"/>
      <c r="BD275" s="636"/>
      <c r="BE275" s="636"/>
      <c r="BF275" s="636"/>
      <c r="BG275" s="636"/>
      <c r="BH275" s="1036"/>
      <c r="BI275" s="753"/>
      <c r="BJ275" s="754"/>
      <c r="BK275" s="754"/>
      <c r="BL275" s="754"/>
      <c r="BM275" s="754"/>
      <c r="BN275" s="754"/>
      <c r="BO275" s="754"/>
      <c r="BP275" s="754"/>
      <c r="BQ275" s="754"/>
      <c r="BR275" s="754"/>
      <c r="BS275" s="754"/>
      <c r="BT275" s="754"/>
      <c r="BU275" s="754"/>
      <c r="BV275" s="754"/>
      <c r="BW275" s="754"/>
      <c r="BX275" s="754"/>
      <c r="BY275" s="754"/>
      <c r="BZ275" s="755"/>
      <c r="CB275" s="635"/>
      <c r="CC275" s="636"/>
      <c r="CD275" s="636"/>
      <c r="CE275" s="636"/>
      <c r="CF275" s="636"/>
      <c r="CG275" s="636"/>
      <c r="CH275" s="1036"/>
      <c r="CI275" s="753"/>
      <c r="CJ275" s="754"/>
      <c r="CK275" s="754"/>
      <c r="CL275" s="754"/>
      <c r="CM275" s="754"/>
      <c r="CN275" s="754"/>
      <c r="CO275" s="754"/>
      <c r="CP275" s="754"/>
      <c r="CQ275" s="754"/>
      <c r="CR275" s="754"/>
      <c r="CS275" s="754"/>
      <c r="CT275" s="754"/>
      <c r="CU275" s="754"/>
      <c r="CV275" s="754"/>
      <c r="CW275" s="754"/>
      <c r="CX275" s="754"/>
      <c r="CY275" s="754"/>
      <c r="CZ275" s="755"/>
    </row>
    <row r="276" spans="1:104" ht="15" customHeight="1" thickBot="1" x14ac:dyDescent="0.3">
      <c r="B276" s="1027"/>
      <c r="C276" s="865"/>
      <c r="D276" s="865"/>
      <c r="E276" s="865"/>
      <c r="F276" s="865"/>
      <c r="G276" s="865"/>
      <c r="H276" s="865"/>
      <c r="I276" s="865"/>
      <c r="J276" s="865"/>
      <c r="K276" s="865"/>
      <c r="L276" s="865"/>
      <c r="M276" s="865"/>
      <c r="N276" s="865"/>
      <c r="O276" s="865"/>
      <c r="P276" s="865"/>
      <c r="Q276" s="865"/>
      <c r="R276" s="865"/>
      <c r="S276" s="865"/>
      <c r="T276" s="865"/>
      <c r="U276" s="865"/>
      <c r="V276" s="865"/>
      <c r="W276" s="865"/>
      <c r="X276" s="865"/>
      <c r="Y276" s="865"/>
      <c r="Z276" s="921"/>
      <c r="AB276" s="1027"/>
      <c r="AC276" s="865"/>
      <c r="AD276" s="865"/>
      <c r="AE276" s="865"/>
      <c r="AF276" s="865"/>
      <c r="AG276" s="865"/>
      <c r="AH276" s="865"/>
      <c r="AI276" s="865"/>
      <c r="AJ276" s="865"/>
      <c r="AK276" s="865"/>
      <c r="AL276" s="865"/>
      <c r="AM276" s="865"/>
      <c r="AN276" s="865"/>
      <c r="AO276" s="865"/>
      <c r="AP276" s="865"/>
      <c r="AQ276" s="865"/>
      <c r="AR276" s="865"/>
      <c r="AS276" s="865"/>
      <c r="AT276" s="865"/>
      <c r="AU276" s="865"/>
      <c r="AV276" s="865"/>
      <c r="AW276" s="865"/>
      <c r="AX276" s="865"/>
      <c r="AY276" s="865"/>
      <c r="AZ276" s="921"/>
      <c r="BB276" s="644"/>
      <c r="BC276" s="645"/>
      <c r="BD276" s="645"/>
      <c r="BE276" s="645"/>
      <c r="BF276" s="645"/>
      <c r="BG276" s="645"/>
      <c r="BH276" s="1037"/>
      <c r="BI276" s="756"/>
      <c r="BJ276" s="757"/>
      <c r="BK276" s="757"/>
      <c r="BL276" s="757"/>
      <c r="BM276" s="757"/>
      <c r="BN276" s="757"/>
      <c r="BO276" s="757"/>
      <c r="BP276" s="757"/>
      <c r="BQ276" s="757"/>
      <c r="BR276" s="757"/>
      <c r="BS276" s="757"/>
      <c r="BT276" s="757"/>
      <c r="BU276" s="757"/>
      <c r="BV276" s="757"/>
      <c r="BW276" s="757"/>
      <c r="BX276" s="757"/>
      <c r="BY276" s="757"/>
      <c r="BZ276" s="758"/>
      <c r="CB276" s="644"/>
      <c r="CC276" s="645"/>
      <c r="CD276" s="645"/>
      <c r="CE276" s="645"/>
      <c r="CF276" s="645"/>
      <c r="CG276" s="645"/>
      <c r="CH276" s="1037"/>
      <c r="CI276" s="756"/>
      <c r="CJ276" s="757"/>
      <c r="CK276" s="757"/>
      <c r="CL276" s="757"/>
      <c r="CM276" s="757"/>
      <c r="CN276" s="757"/>
      <c r="CO276" s="757"/>
      <c r="CP276" s="757"/>
      <c r="CQ276" s="757"/>
      <c r="CR276" s="757"/>
      <c r="CS276" s="757"/>
      <c r="CT276" s="757"/>
      <c r="CU276" s="757"/>
      <c r="CV276" s="757"/>
      <c r="CW276" s="757"/>
      <c r="CX276" s="757"/>
      <c r="CY276" s="757"/>
      <c r="CZ276" s="758"/>
    </row>
    <row r="277" spans="1:104" x14ac:dyDescent="0.25">
      <c r="B277" s="1028" t="str">
        <f>IF(B278="","",VLOOKUP(B278,BoonRef!$A$2:$Z$900,2,FALSE))</f>
        <v/>
      </c>
      <c r="C277" s="725"/>
      <c r="D277" s="725"/>
      <c r="E277" s="725"/>
      <c r="F277" s="725"/>
      <c r="G277" s="725"/>
      <c r="H277" s="725"/>
      <c r="I277" s="725" t="str">
        <f>IF(B278="","",VLOOKUP(B278,BoonRef!$A$2:$Z$900,3,FALSE))</f>
        <v/>
      </c>
      <c r="J277" s="725"/>
      <c r="K277" s="725" t="str">
        <f>IF(B278="","",VLOOKUP(B278,DescRef!$A$2:$B$900,2,FALSE))</f>
        <v/>
      </c>
      <c r="L277" s="725"/>
      <c r="M277" s="725"/>
      <c r="N277" s="725"/>
      <c r="O277" s="725"/>
      <c r="P277" s="725"/>
      <c r="Q277" s="725"/>
      <c r="R277" s="725"/>
      <c r="S277" s="725"/>
      <c r="T277" s="725"/>
      <c r="U277" s="725"/>
      <c r="V277" s="725"/>
      <c r="W277" s="725"/>
      <c r="X277" s="725"/>
      <c r="Y277" s="725"/>
      <c r="Z277" s="726"/>
      <c r="AB277" s="1028" t="str">
        <f>IF(AB278="","",VLOOKUP(AB278,BoonRef!$A$2:$Z$900,2,FALSE))</f>
        <v/>
      </c>
      <c r="AC277" s="725"/>
      <c r="AD277" s="725"/>
      <c r="AE277" s="725"/>
      <c r="AF277" s="725"/>
      <c r="AG277" s="725"/>
      <c r="AH277" s="725"/>
      <c r="AI277" s="725" t="str">
        <f>IF(AB278="","",VLOOKUP(AB278,BoonRef!$A$2:$Z$900,3,FALSE))</f>
        <v/>
      </c>
      <c r="AJ277" s="725"/>
      <c r="AK277" s="725" t="str">
        <f>IF(AB278="","",VLOOKUP(AB278,DescRef!$A$2:$B$900,2,FALSE))</f>
        <v/>
      </c>
      <c r="AL277" s="725"/>
      <c r="AM277" s="725"/>
      <c r="AN277" s="725"/>
      <c r="AO277" s="725"/>
      <c r="AP277" s="725"/>
      <c r="AQ277" s="725"/>
      <c r="AR277" s="725"/>
      <c r="AS277" s="725"/>
      <c r="AT277" s="725"/>
      <c r="AU277" s="725"/>
      <c r="AV277" s="725"/>
      <c r="AW277" s="725"/>
      <c r="AX277" s="725"/>
      <c r="AY277" s="725"/>
      <c r="AZ277" s="726"/>
      <c r="BB277" s="1029" t="str">
        <f>IF(BB278="","",VLOOKUP(BB278,KanckRef!$A$1:$G$300,2,FALSE))</f>
        <v/>
      </c>
      <c r="BC277" s="1030"/>
      <c r="BD277" s="1030"/>
      <c r="BE277" s="1030"/>
      <c r="BF277" s="1031"/>
      <c r="BG277" s="1048" t="str">
        <f>IF(BB278="","",VLOOKUP(BB278,KanckRef!$A$1:$G$300,6,FALSE))</f>
        <v/>
      </c>
      <c r="BH277" s="1049"/>
      <c r="BI277" s="988" t="str">
        <f>IF(BB278="","",VLOOKUP(BB278,DescRef!$D$2:$E$300,2,FALSE))</f>
        <v/>
      </c>
      <c r="BJ277" s="795"/>
      <c r="BK277" s="795"/>
      <c r="BL277" s="795"/>
      <c r="BM277" s="795"/>
      <c r="BN277" s="795"/>
      <c r="BO277" s="795"/>
      <c r="BP277" s="795"/>
      <c r="BQ277" s="795"/>
      <c r="BR277" s="795"/>
      <c r="BS277" s="795"/>
      <c r="BT277" s="795"/>
      <c r="BU277" s="795"/>
      <c r="BV277" s="795"/>
      <c r="BW277" s="795"/>
      <c r="BX277" s="795"/>
      <c r="BY277" s="795"/>
      <c r="BZ277" s="796"/>
      <c r="CB277" s="1029" t="str">
        <f>IF(CB278="","",VLOOKUP(CB278,KanckRef!$A$1:$G$300,2,FALSE))</f>
        <v/>
      </c>
      <c r="CC277" s="1030"/>
      <c r="CD277" s="1030"/>
      <c r="CE277" s="1030"/>
      <c r="CF277" s="1031"/>
      <c r="CG277" s="1048" t="str">
        <f>IF(CB278="","",VLOOKUP(CB278,KanckRef!$A$1:$G$300,6,FALSE))</f>
        <v/>
      </c>
      <c r="CH277" s="1049"/>
      <c r="CI277" s="988" t="str">
        <f>IF(CB278="","",VLOOKUP(CB278,DescRef!$D$2:$E$300,2,FALSE))</f>
        <v/>
      </c>
      <c r="CJ277" s="795"/>
      <c r="CK277" s="795"/>
      <c r="CL277" s="795"/>
      <c r="CM277" s="795"/>
      <c r="CN277" s="795"/>
      <c r="CO277" s="795"/>
      <c r="CP277" s="795"/>
      <c r="CQ277" s="795"/>
      <c r="CR277" s="795"/>
      <c r="CS277" s="795"/>
      <c r="CT277" s="795"/>
      <c r="CU277" s="795"/>
      <c r="CV277" s="795"/>
      <c r="CW277" s="795"/>
      <c r="CX277" s="795"/>
      <c r="CY277" s="795"/>
      <c r="CZ277" s="796"/>
    </row>
    <row r="278" spans="1:104" ht="15" customHeight="1" x14ac:dyDescent="0.25">
      <c r="A278" s="15">
        <v>46</v>
      </c>
      <c r="B278" s="1026" t="str">
        <f>IF(A278&lt;'Purchased Boons'!$B$496,VLOOKUP(A278,'Purchased Boons'!$BF$2:$BG$900,2,FALSE),"")</f>
        <v/>
      </c>
      <c r="C278" s="727"/>
      <c r="D278" s="727"/>
      <c r="E278" s="727"/>
      <c r="F278" s="727"/>
      <c r="G278" s="727"/>
      <c r="H278" s="727"/>
      <c r="I278" s="727" t="str">
        <f>IF(B278="","",VLOOKUP(B278,BoonRef!$A$2:$Z$900,25,FALSE))</f>
        <v/>
      </c>
      <c r="J278" s="727"/>
      <c r="K278" s="727"/>
      <c r="L278" s="727"/>
      <c r="M278" s="727"/>
      <c r="N278" s="727"/>
      <c r="O278" s="727"/>
      <c r="P278" s="727"/>
      <c r="Q278" s="727"/>
      <c r="R278" s="727"/>
      <c r="S278" s="727"/>
      <c r="T278" s="727"/>
      <c r="U278" s="727"/>
      <c r="V278" s="727"/>
      <c r="W278" s="727"/>
      <c r="X278" s="727"/>
      <c r="Y278" s="727"/>
      <c r="Z278" s="728"/>
      <c r="AA278" s="15">
        <v>153</v>
      </c>
      <c r="AB278" s="1026" t="str">
        <f>IF(AA278&lt;'Purchased Boons'!$B$496,VLOOKUP(AA278,'Purchased Boons'!$BF$2:$BG$900,2,FALSE),"")</f>
        <v/>
      </c>
      <c r="AC278" s="727"/>
      <c r="AD278" s="727"/>
      <c r="AE278" s="727"/>
      <c r="AF278" s="727"/>
      <c r="AG278" s="727"/>
      <c r="AH278" s="727"/>
      <c r="AI278" s="727" t="str">
        <f>IF(AB278="","",VLOOKUP(AB278,BoonRef!$A$2:$Z$900,25,FALSE))</f>
        <v/>
      </c>
      <c r="AJ278" s="727"/>
      <c r="AK278" s="727"/>
      <c r="AL278" s="727"/>
      <c r="AM278" s="727"/>
      <c r="AN278" s="727"/>
      <c r="AO278" s="727"/>
      <c r="AP278" s="727"/>
      <c r="AQ278" s="727"/>
      <c r="AR278" s="727"/>
      <c r="AS278" s="727"/>
      <c r="AT278" s="727"/>
      <c r="AU278" s="727"/>
      <c r="AV278" s="727"/>
      <c r="AW278" s="727"/>
      <c r="AX278" s="727"/>
      <c r="AY278" s="727"/>
      <c r="AZ278" s="728"/>
      <c r="BA278" s="15">
        <v>46</v>
      </c>
      <c r="BB278" s="1038" t="str">
        <f>IF(BA278&lt;'Purchased Knacks'!A$192,VLOOKUP(BA278,'Purchased Knacks'!$A$4:$E$300,3,FALSE),"")</f>
        <v/>
      </c>
      <c r="BC278" s="1039"/>
      <c r="BD278" s="1039"/>
      <c r="BE278" s="1039"/>
      <c r="BF278" s="1040"/>
      <c r="BG278" s="1032" t="str">
        <f>IF(BB278="","",VLOOKUP(BB278,KanckRef!$A$1:$G$300,7,FALSE))</f>
        <v/>
      </c>
      <c r="BH278" s="1033"/>
      <c r="BI278" s="753"/>
      <c r="BJ278" s="754"/>
      <c r="BK278" s="754"/>
      <c r="BL278" s="754"/>
      <c r="BM278" s="754"/>
      <c r="BN278" s="754"/>
      <c r="BO278" s="754"/>
      <c r="BP278" s="754"/>
      <c r="BQ278" s="754"/>
      <c r="BR278" s="754"/>
      <c r="BS278" s="754"/>
      <c r="BT278" s="754"/>
      <c r="BU278" s="754"/>
      <c r="BV278" s="754"/>
      <c r="BW278" s="754"/>
      <c r="BX278" s="754"/>
      <c r="BY278" s="754"/>
      <c r="BZ278" s="755"/>
      <c r="CA278" s="15">
        <v>153</v>
      </c>
      <c r="CB278" s="1038" t="str">
        <f>IF(CA278&lt;'Purchased Knacks'!A$192,VLOOKUP(CA278,'Purchased Knacks'!$A$4:$E$300,3,FALSE),"")</f>
        <v/>
      </c>
      <c r="CC278" s="1039"/>
      <c r="CD278" s="1039"/>
      <c r="CE278" s="1039"/>
      <c r="CF278" s="1040"/>
      <c r="CG278" s="1032" t="str">
        <f>IF(CB278="","",VLOOKUP(CB278,KanckRef!$A$1:$G$300,7,FALSE))</f>
        <v/>
      </c>
      <c r="CH278" s="1033"/>
      <c r="CI278" s="753"/>
      <c r="CJ278" s="754"/>
      <c r="CK278" s="754"/>
      <c r="CL278" s="754"/>
      <c r="CM278" s="754"/>
      <c r="CN278" s="754"/>
      <c r="CO278" s="754"/>
      <c r="CP278" s="754"/>
      <c r="CQ278" s="754"/>
      <c r="CR278" s="754"/>
      <c r="CS278" s="754"/>
      <c r="CT278" s="754"/>
      <c r="CU278" s="754"/>
      <c r="CV278" s="754"/>
      <c r="CW278" s="754"/>
      <c r="CX278" s="754"/>
      <c r="CY278" s="754"/>
      <c r="CZ278" s="755"/>
    </row>
    <row r="279" spans="1:104" x14ac:dyDescent="0.25">
      <c r="B279" s="1026"/>
      <c r="C279" s="727"/>
      <c r="D279" s="727"/>
      <c r="E279" s="727"/>
      <c r="F279" s="727"/>
      <c r="G279" s="727"/>
      <c r="H279" s="727"/>
      <c r="I279" s="727" t="str">
        <f>IF(B278="","",VLOOKUP(B278,BoonRef!$A$2:$Z$900,26,FALSE))</f>
        <v/>
      </c>
      <c r="J279" s="727"/>
      <c r="K279" s="727"/>
      <c r="L279" s="727"/>
      <c r="M279" s="727"/>
      <c r="N279" s="727"/>
      <c r="O279" s="727"/>
      <c r="P279" s="727"/>
      <c r="Q279" s="727"/>
      <c r="R279" s="727"/>
      <c r="S279" s="727"/>
      <c r="T279" s="727"/>
      <c r="U279" s="727"/>
      <c r="V279" s="727"/>
      <c r="W279" s="727"/>
      <c r="X279" s="727"/>
      <c r="Y279" s="727"/>
      <c r="Z279" s="728"/>
      <c r="AB279" s="1026"/>
      <c r="AC279" s="727"/>
      <c r="AD279" s="727"/>
      <c r="AE279" s="727"/>
      <c r="AF279" s="727"/>
      <c r="AG279" s="727"/>
      <c r="AH279" s="727"/>
      <c r="AI279" s="727" t="str">
        <f>IF(AB278="","",VLOOKUP(AB278,BoonRef!$A$2:$Z$900,26,FALSE))</f>
        <v/>
      </c>
      <c r="AJ279" s="727"/>
      <c r="AK279" s="727"/>
      <c r="AL279" s="727"/>
      <c r="AM279" s="727"/>
      <c r="AN279" s="727"/>
      <c r="AO279" s="727"/>
      <c r="AP279" s="727"/>
      <c r="AQ279" s="727"/>
      <c r="AR279" s="727"/>
      <c r="AS279" s="727"/>
      <c r="AT279" s="727"/>
      <c r="AU279" s="727"/>
      <c r="AV279" s="727"/>
      <c r="AW279" s="727"/>
      <c r="AX279" s="727"/>
      <c r="AY279" s="727"/>
      <c r="AZ279" s="728"/>
      <c r="BB279" s="1041"/>
      <c r="BC279" s="1042"/>
      <c r="BD279" s="1042"/>
      <c r="BE279" s="1042"/>
      <c r="BF279" s="1043"/>
      <c r="BG279" s="1034"/>
      <c r="BH279" s="1035"/>
      <c r="BI279" s="753"/>
      <c r="BJ279" s="754"/>
      <c r="BK279" s="754"/>
      <c r="BL279" s="754"/>
      <c r="BM279" s="754"/>
      <c r="BN279" s="754"/>
      <c r="BO279" s="754"/>
      <c r="BP279" s="754"/>
      <c r="BQ279" s="754"/>
      <c r="BR279" s="754"/>
      <c r="BS279" s="754"/>
      <c r="BT279" s="754"/>
      <c r="BU279" s="754"/>
      <c r="BV279" s="754"/>
      <c r="BW279" s="754"/>
      <c r="BX279" s="754"/>
      <c r="BY279" s="754"/>
      <c r="BZ279" s="755"/>
      <c r="CB279" s="1041"/>
      <c r="CC279" s="1042"/>
      <c r="CD279" s="1042"/>
      <c r="CE279" s="1042"/>
      <c r="CF279" s="1043"/>
      <c r="CG279" s="1034"/>
      <c r="CH279" s="1035"/>
      <c r="CI279" s="753"/>
      <c r="CJ279" s="754"/>
      <c r="CK279" s="754"/>
      <c r="CL279" s="754"/>
      <c r="CM279" s="754"/>
      <c r="CN279" s="754"/>
      <c r="CO279" s="754"/>
      <c r="CP279" s="754"/>
      <c r="CQ279" s="754"/>
      <c r="CR279" s="754"/>
      <c r="CS279" s="754"/>
      <c r="CT279" s="754"/>
      <c r="CU279" s="754"/>
      <c r="CV279" s="754"/>
      <c r="CW279" s="754"/>
      <c r="CX279" s="754"/>
      <c r="CY279" s="754"/>
      <c r="CZ279" s="755"/>
    </row>
    <row r="280" spans="1:104" ht="15" customHeight="1" x14ac:dyDescent="0.25">
      <c r="B280" s="1026" t="str">
        <f>IF(B278="","",VLOOKUP(B278,BoonRef!$A$2:$Z$900,24,FALSE))</f>
        <v/>
      </c>
      <c r="C280" s="727"/>
      <c r="D280" s="727"/>
      <c r="E280" s="727"/>
      <c r="F280" s="727"/>
      <c r="G280" s="727"/>
      <c r="H280" s="727"/>
      <c r="I280" s="727"/>
      <c r="J280" s="727"/>
      <c r="K280" s="727"/>
      <c r="L280" s="727"/>
      <c r="M280" s="727"/>
      <c r="N280" s="727"/>
      <c r="O280" s="727"/>
      <c r="P280" s="727"/>
      <c r="Q280" s="727"/>
      <c r="R280" s="727"/>
      <c r="S280" s="727"/>
      <c r="T280" s="727"/>
      <c r="U280" s="727"/>
      <c r="V280" s="727"/>
      <c r="W280" s="727"/>
      <c r="X280" s="727"/>
      <c r="Y280" s="727"/>
      <c r="Z280" s="728"/>
      <c r="AB280" s="1026" t="str">
        <f>IF(AB278="","",VLOOKUP(AB278,BoonRef!$A$2:$Z$900,24,FALSE))</f>
        <v/>
      </c>
      <c r="AC280" s="727"/>
      <c r="AD280" s="727"/>
      <c r="AE280" s="727"/>
      <c r="AF280" s="727"/>
      <c r="AG280" s="727"/>
      <c r="AH280" s="727"/>
      <c r="AI280" s="727"/>
      <c r="AJ280" s="727"/>
      <c r="AK280" s="727"/>
      <c r="AL280" s="727"/>
      <c r="AM280" s="727"/>
      <c r="AN280" s="727"/>
      <c r="AO280" s="727"/>
      <c r="AP280" s="727"/>
      <c r="AQ280" s="727"/>
      <c r="AR280" s="727"/>
      <c r="AS280" s="727"/>
      <c r="AT280" s="727"/>
      <c r="AU280" s="727"/>
      <c r="AV280" s="727"/>
      <c r="AW280" s="727"/>
      <c r="AX280" s="727"/>
      <c r="AY280" s="727"/>
      <c r="AZ280" s="728"/>
      <c r="BB280" s="641" t="str">
        <f>IF(BB278="","",VLOOKUP(BB278,KanckRef!$A$1:$G$300,4,FALSE))</f>
        <v/>
      </c>
      <c r="BC280" s="642"/>
      <c r="BD280" s="642"/>
      <c r="BE280" s="642"/>
      <c r="BF280" s="642"/>
      <c r="BG280" s="642"/>
      <c r="BH280" s="1033"/>
      <c r="BI280" s="753"/>
      <c r="BJ280" s="754"/>
      <c r="BK280" s="754"/>
      <c r="BL280" s="754"/>
      <c r="BM280" s="754"/>
      <c r="BN280" s="754"/>
      <c r="BO280" s="754"/>
      <c r="BP280" s="754"/>
      <c r="BQ280" s="754"/>
      <c r="BR280" s="754"/>
      <c r="BS280" s="754"/>
      <c r="BT280" s="754"/>
      <c r="BU280" s="754"/>
      <c r="BV280" s="754"/>
      <c r="BW280" s="754"/>
      <c r="BX280" s="754"/>
      <c r="BY280" s="754"/>
      <c r="BZ280" s="755"/>
      <c r="CB280" s="641" t="str">
        <f>IF(CB278="","",VLOOKUP(CB278,KanckRef!$A$1:$G$300,4,FALSE))</f>
        <v/>
      </c>
      <c r="CC280" s="642"/>
      <c r="CD280" s="642"/>
      <c r="CE280" s="642"/>
      <c r="CF280" s="642"/>
      <c r="CG280" s="642"/>
      <c r="CH280" s="1033"/>
      <c r="CI280" s="753"/>
      <c r="CJ280" s="754"/>
      <c r="CK280" s="754"/>
      <c r="CL280" s="754"/>
      <c r="CM280" s="754"/>
      <c r="CN280" s="754"/>
      <c r="CO280" s="754"/>
      <c r="CP280" s="754"/>
      <c r="CQ280" s="754"/>
      <c r="CR280" s="754"/>
      <c r="CS280" s="754"/>
      <c r="CT280" s="754"/>
      <c r="CU280" s="754"/>
      <c r="CV280" s="754"/>
      <c r="CW280" s="754"/>
      <c r="CX280" s="754"/>
      <c r="CY280" s="754"/>
      <c r="CZ280" s="755"/>
    </row>
    <row r="281" spans="1:104" ht="15" customHeight="1" x14ac:dyDescent="0.25">
      <c r="B281" s="1026" t="str">
        <f>IF(B278="","",VLOOKUP(B278,BoonRef!$A$2:$Z$900,23,FALSE))</f>
        <v/>
      </c>
      <c r="C281" s="727"/>
      <c r="D281" s="727"/>
      <c r="E281" s="727"/>
      <c r="F281" s="727"/>
      <c r="G281" s="727"/>
      <c r="H281" s="727"/>
      <c r="I281" s="727"/>
      <c r="J281" s="727"/>
      <c r="K281" s="727"/>
      <c r="L281" s="727"/>
      <c r="M281" s="727"/>
      <c r="N281" s="727"/>
      <c r="O281" s="727"/>
      <c r="P281" s="727"/>
      <c r="Q281" s="727"/>
      <c r="R281" s="727"/>
      <c r="S281" s="727"/>
      <c r="T281" s="727"/>
      <c r="U281" s="727"/>
      <c r="V281" s="727"/>
      <c r="W281" s="727"/>
      <c r="X281" s="727"/>
      <c r="Y281" s="727"/>
      <c r="Z281" s="728"/>
      <c r="AB281" s="1026" t="str">
        <f>IF(AB278="","",VLOOKUP(AB278,BoonRef!$A$2:$Z$900,23,FALSE))</f>
        <v/>
      </c>
      <c r="AC281" s="727"/>
      <c r="AD281" s="727"/>
      <c r="AE281" s="727"/>
      <c r="AF281" s="727"/>
      <c r="AG281" s="727"/>
      <c r="AH281" s="727"/>
      <c r="AI281" s="727"/>
      <c r="AJ281" s="727"/>
      <c r="AK281" s="727"/>
      <c r="AL281" s="727"/>
      <c r="AM281" s="727"/>
      <c r="AN281" s="727"/>
      <c r="AO281" s="727"/>
      <c r="AP281" s="727"/>
      <c r="AQ281" s="727"/>
      <c r="AR281" s="727"/>
      <c r="AS281" s="727"/>
      <c r="AT281" s="727"/>
      <c r="AU281" s="727"/>
      <c r="AV281" s="727"/>
      <c r="AW281" s="727"/>
      <c r="AX281" s="727"/>
      <c r="AY281" s="727"/>
      <c r="AZ281" s="728"/>
      <c r="BB281" s="635"/>
      <c r="BC281" s="636"/>
      <c r="BD281" s="636"/>
      <c r="BE281" s="636"/>
      <c r="BF281" s="636"/>
      <c r="BG281" s="636"/>
      <c r="BH281" s="1036"/>
      <c r="BI281" s="753"/>
      <c r="BJ281" s="754"/>
      <c r="BK281" s="754"/>
      <c r="BL281" s="754"/>
      <c r="BM281" s="754"/>
      <c r="BN281" s="754"/>
      <c r="BO281" s="754"/>
      <c r="BP281" s="754"/>
      <c r="BQ281" s="754"/>
      <c r="BR281" s="754"/>
      <c r="BS281" s="754"/>
      <c r="BT281" s="754"/>
      <c r="BU281" s="754"/>
      <c r="BV281" s="754"/>
      <c r="BW281" s="754"/>
      <c r="BX281" s="754"/>
      <c r="BY281" s="754"/>
      <c r="BZ281" s="755"/>
      <c r="CB281" s="635"/>
      <c r="CC281" s="636"/>
      <c r="CD281" s="636"/>
      <c r="CE281" s="636"/>
      <c r="CF281" s="636"/>
      <c r="CG281" s="636"/>
      <c r="CH281" s="1036"/>
      <c r="CI281" s="753"/>
      <c r="CJ281" s="754"/>
      <c r="CK281" s="754"/>
      <c r="CL281" s="754"/>
      <c r="CM281" s="754"/>
      <c r="CN281" s="754"/>
      <c r="CO281" s="754"/>
      <c r="CP281" s="754"/>
      <c r="CQ281" s="754"/>
      <c r="CR281" s="754"/>
      <c r="CS281" s="754"/>
      <c r="CT281" s="754"/>
      <c r="CU281" s="754"/>
      <c r="CV281" s="754"/>
      <c r="CW281" s="754"/>
      <c r="CX281" s="754"/>
      <c r="CY281" s="754"/>
      <c r="CZ281" s="755"/>
    </row>
    <row r="282" spans="1:104" ht="15.75" thickBot="1" x14ac:dyDescent="0.3">
      <c r="B282" s="1027"/>
      <c r="C282" s="865"/>
      <c r="D282" s="865"/>
      <c r="E282" s="865"/>
      <c r="F282" s="865"/>
      <c r="G282" s="865"/>
      <c r="H282" s="865"/>
      <c r="I282" s="865"/>
      <c r="J282" s="865"/>
      <c r="K282" s="865"/>
      <c r="L282" s="865"/>
      <c r="M282" s="865"/>
      <c r="N282" s="865"/>
      <c r="O282" s="865"/>
      <c r="P282" s="865"/>
      <c r="Q282" s="865"/>
      <c r="R282" s="865"/>
      <c r="S282" s="865"/>
      <c r="T282" s="865"/>
      <c r="U282" s="865"/>
      <c r="V282" s="865"/>
      <c r="W282" s="865"/>
      <c r="X282" s="865"/>
      <c r="Y282" s="865"/>
      <c r="Z282" s="921"/>
      <c r="AB282" s="1027"/>
      <c r="AC282" s="865"/>
      <c r="AD282" s="865"/>
      <c r="AE282" s="865"/>
      <c r="AF282" s="865"/>
      <c r="AG282" s="865"/>
      <c r="AH282" s="865"/>
      <c r="AI282" s="865"/>
      <c r="AJ282" s="865"/>
      <c r="AK282" s="865"/>
      <c r="AL282" s="865"/>
      <c r="AM282" s="865"/>
      <c r="AN282" s="865"/>
      <c r="AO282" s="865"/>
      <c r="AP282" s="865"/>
      <c r="AQ282" s="865"/>
      <c r="AR282" s="865"/>
      <c r="AS282" s="865"/>
      <c r="AT282" s="865"/>
      <c r="AU282" s="865"/>
      <c r="AV282" s="865"/>
      <c r="AW282" s="865"/>
      <c r="AX282" s="865"/>
      <c r="AY282" s="865"/>
      <c r="AZ282" s="921"/>
      <c r="BB282" s="644"/>
      <c r="BC282" s="645"/>
      <c r="BD282" s="645"/>
      <c r="BE282" s="645"/>
      <c r="BF282" s="645"/>
      <c r="BG282" s="645"/>
      <c r="BH282" s="1037"/>
      <c r="BI282" s="756"/>
      <c r="BJ282" s="757"/>
      <c r="BK282" s="757"/>
      <c r="BL282" s="757"/>
      <c r="BM282" s="757"/>
      <c r="BN282" s="757"/>
      <c r="BO282" s="757"/>
      <c r="BP282" s="757"/>
      <c r="BQ282" s="757"/>
      <c r="BR282" s="757"/>
      <c r="BS282" s="757"/>
      <c r="BT282" s="757"/>
      <c r="BU282" s="757"/>
      <c r="BV282" s="757"/>
      <c r="BW282" s="757"/>
      <c r="BX282" s="757"/>
      <c r="BY282" s="757"/>
      <c r="BZ282" s="758"/>
      <c r="CB282" s="644"/>
      <c r="CC282" s="645"/>
      <c r="CD282" s="645"/>
      <c r="CE282" s="645"/>
      <c r="CF282" s="645"/>
      <c r="CG282" s="645"/>
      <c r="CH282" s="1037"/>
      <c r="CI282" s="756"/>
      <c r="CJ282" s="757"/>
      <c r="CK282" s="757"/>
      <c r="CL282" s="757"/>
      <c r="CM282" s="757"/>
      <c r="CN282" s="757"/>
      <c r="CO282" s="757"/>
      <c r="CP282" s="757"/>
      <c r="CQ282" s="757"/>
      <c r="CR282" s="757"/>
      <c r="CS282" s="757"/>
      <c r="CT282" s="757"/>
      <c r="CU282" s="757"/>
      <c r="CV282" s="757"/>
      <c r="CW282" s="757"/>
      <c r="CX282" s="757"/>
      <c r="CY282" s="757"/>
      <c r="CZ282" s="758"/>
    </row>
    <row r="283" spans="1:104" x14ac:dyDescent="0.25">
      <c r="B283" s="1028" t="str">
        <f>IF(B284="","",VLOOKUP(B284,BoonRef!$A$2:$Z$900,2,FALSE))</f>
        <v/>
      </c>
      <c r="C283" s="725"/>
      <c r="D283" s="725"/>
      <c r="E283" s="725"/>
      <c r="F283" s="725"/>
      <c r="G283" s="725"/>
      <c r="H283" s="725"/>
      <c r="I283" s="725" t="str">
        <f>IF(B284="","",VLOOKUP(B284,BoonRef!$A$2:$Z$900,3,FALSE))</f>
        <v/>
      </c>
      <c r="J283" s="725"/>
      <c r="K283" s="725" t="str">
        <f>IF(B284="","",VLOOKUP(B284,DescRef!$A$2:$B$900,2,FALSE))</f>
        <v/>
      </c>
      <c r="L283" s="725"/>
      <c r="M283" s="725"/>
      <c r="N283" s="725"/>
      <c r="O283" s="725"/>
      <c r="P283" s="725"/>
      <c r="Q283" s="725"/>
      <c r="R283" s="725"/>
      <c r="S283" s="725"/>
      <c r="T283" s="725"/>
      <c r="U283" s="725"/>
      <c r="V283" s="725"/>
      <c r="W283" s="725"/>
      <c r="X283" s="725"/>
      <c r="Y283" s="725"/>
      <c r="Z283" s="726"/>
      <c r="AB283" s="1028" t="str">
        <f>IF(AB284="","",VLOOKUP(AB284,BoonRef!$A$2:$Z$900,2,FALSE))</f>
        <v/>
      </c>
      <c r="AC283" s="725"/>
      <c r="AD283" s="725"/>
      <c r="AE283" s="725"/>
      <c r="AF283" s="725"/>
      <c r="AG283" s="725"/>
      <c r="AH283" s="725"/>
      <c r="AI283" s="725" t="str">
        <f>IF(AB284="","",VLOOKUP(AB284,BoonRef!$A$2:$Z$900,3,FALSE))</f>
        <v/>
      </c>
      <c r="AJ283" s="725"/>
      <c r="AK283" s="725" t="str">
        <f>IF(AB284="","",VLOOKUP(AB284,DescRef!$A$2:$B$900,2,FALSE))</f>
        <v/>
      </c>
      <c r="AL283" s="725"/>
      <c r="AM283" s="725"/>
      <c r="AN283" s="725"/>
      <c r="AO283" s="725"/>
      <c r="AP283" s="725"/>
      <c r="AQ283" s="725"/>
      <c r="AR283" s="725"/>
      <c r="AS283" s="725"/>
      <c r="AT283" s="725"/>
      <c r="AU283" s="725"/>
      <c r="AV283" s="725"/>
      <c r="AW283" s="725"/>
      <c r="AX283" s="725"/>
      <c r="AY283" s="725"/>
      <c r="AZ283" s="726"/>
      <c r="BB283" s="1029" t="str">
        <f>IF(BB284="","",VLOOKUP(BB284,KanckRef!$A$1:$G$300,2,FALSE))</f>
        <v/>
      </c>
      <c r="BC283" s="1030"/>
      <c r="BD283" s="1030"/>
      <c r="BE283" s="1030"/>
      <c r="BF283" s="1031"/>
      <c r="BG283" s="1048" t="str">
        <f>IF(BB284="","",VLOOKUP(BB284,KanckRef!$A$1:$G$300,6,FALSE))</f>
        <v/>
      </c>
      <c r="BH283" s="1049"/>
      <c r="BI283" s="988" t="str">
        <f>IF(BB284="","",VLOOKUP(BB284,DescRef!$D$2:$E$300,2,FALSE))</f>
        <v/>
      </c>
      <c r="BJ283" s="795"/>
      <c r="BK283" s="795"/>
      <c r="BL283" s="795"/>
      <c r="BM283" s="795"/>
      <c r="BN283" s="795"/>
      <c r="BO283" s="795"/>
      <c r="BP283" s="795"/>
      <c r="BQ283" s="795"/>
      <c r="BR283" s="795"/>
      <c r="BS283" s="795"/>
      <c r="BT283" s="795"/>
      <c r="BU283" s="795"/>
      <c r="BV283" s="795"/>
      <c r="BW283" s="795"/>
      <c r="BX283" s="795"/>
      <c r="BY283" s="795"/>
      <c r="BZ283" s="796"/>
      <c r="CB283" s="1029" t="str">
        <f>IF(CB284="","",VLOOKUP(CB284,KanckRef!$A$1:$G$300,2,FALSE))</f>
        <v/>
      </c>
      <c r="CC283" s="1030"/>
      <c r="CD283" s="1030"/>
      <c r="CE283" s="1030"/>
      <c r="CF283" s="1031"/>
      <c r="CG283" s="1048" t="str">
        <f>IF(CB284="","",VLOOKUP(CB284,KanckRef!$A$1:$G$300,6,FALSE))</f>
        <v/>
      </c>
      <c r="CH283" s="1049"/>
      <c r="CI283" s="988" t="str">
        <f>IF(CB284="","",VLOOKUP(CB284,DescRef!$D$2:$E$300,2,FALSE))</f>
        <v/>
      </c>
      <c r="CJ283" s="795"/>
      <c r="CK283" s="795"/>
      <c r="CL283" s="795"/>
      <c r="CM283" s="795"/>
      <c r="CN283" s="795"/>
      <c r="CO283" s="795"/>
      <c r="CP283" s="795"/>
      <c r="CQ283" s="795"/>
      <c r="CR283" s="795"/>
      <c r="CS283" s="795"/>
      <c r="CT283" s="795"/>
      <c r="CU283" s="795"/>
      <c r="CV283" s="795"/>
      <c r="CW283" s="795"/>
      <c r="CX283" s="795"/>
      <c r="CY283" s="795"/>
      <c r="CZ283" s="796"/>
    </row>
    <row r="284" spans="1:104" ht="15" customHeight="1" x14ac:dyDescent="0.25">
      <c r="A284" s="15">
        <v>47</v>
      </c>
      <c r="B284" s="1026" t="str">
        <f>IF(A284&lt;'Purchased Boons'!$B$496,VLOOKUP(A284,'Purchased Boons'!$BF$2:$BG$900,2,FALSE),"")</f>
        <v/>
      </c>
      <c r="C284" s="727"/>
      <c r="D284" s="727"/>
      <c r="E284" s="727"/>
      <c r="F284" s="727"/>
      <c r="G284" s="727"/>
      <c r="H284" s="727"/>
      <c r="I284" s="727" t="str">
        <f>IF(B284="","",VLOOKUP(B284,BoonRef!$A$2:$Z$900,25,FALSE))</f>
        <v/>
      </c>
      <c r="J284" s="727"/>
      <c r="K284" s="727"/>
      <c r="L284" s="727"/>
      <c r="M284" s="727"/>
      <c r="N284" s="727"/>
      <c r="O284" s="727"/>
      <c r="P284" s="727"/>
      <c r="Q284" s="727"/>
      <c r="R284" s="727"/>
      <c r="S284" s="727"/>
      <c r="T284" s="727"/>
      <c r="U284" s="727"/>
      <c r="V284" s="727"/>
      <c r="W284" s="727"/>
      <c r="X284" s="727"/>
      <c r="Y284" s="727"/>
      <c r="Z284" s="728"/>
      <c r="AA284" s="15">
        <v>154</v>
      </c>
      <c r="AB284" s="1026" t="str">
        <f>IF(AA284&lt;'Purchased Boons'!$B$496,VLOOKUP(AA284,'Purchased Boons'!$BF$2:$BG$900,2,FALSE),"")</f>
        <v/>
      </c>
      <c r="AC284" s="727"/>
      <c r="AD284" s="727"/>
      <c r="AE284" s="727"/>
      <c r="AF284" s="727"/>
      <c r="AG284" s="727"/>
      <c r="AH284" s="727"/>
      <c r="AI284" s="727" t="str">
        <f>IF(AB284="","",VLOOKUP(AB284,BoonRef!$A$2:$Z$900,25,FALSE))</f>
        <v/>
      </c>
      <c r="AJ284" s="727"/>
      <c r="AK284" s="727"/>
      <c r="AL284" s="727"/>
      <c r="AM284" s="727"/>
      <c r="AN284" s="727"/>
      <c r="AO284" s="727"/>
      <c r="AP284" s="727"/>
      <c r="AQ284" s="727"/>
      <c r="AR284" s="727"/>
      <c r="AS284" s="727"/>
      <c r="AT284" s="727"/>
      <c r="AU284" s="727"/>
      <c r="AV284" s="727"/>
      <c r="AW284" s="727"/>
      <c r="AX284" s="727"/>
      <c r="AY284" s="727"/>
      <c r="AZ284" s="728"/>
      <c r="BA284" s="15">
        <v>47</v>
      </c>
      <c r="BB284" s="1038" t="str">
        <f>IF(BA284&lt;'Purchased Knacks'!A$192,VLOOKUP(BA284,'Purchased Knacks'!$A$4:$E$300,3,FALSE),"")</f>
        <v/>
      </c>
      <c r="BC284" s="1039"/>
      <c r="BD284" s="1039"/>
      <c r="BE284" s="1039"/>
      <c r="BF284" s="1040"/>
      <c r="BG284" s="1032" t="str">
        <f>IF(BB284="","",VLOOKUP(BB284,KanckRef!$A$1:$G$300,7,FALSE))</f>
        <v/>
      </c>
      <c r="BH284" s="1033"/>
      <c r="BI284" s="753"/>
      <c r="BJ284" s="754"/>
      <c r="BK284" s="754"/>
      <c r="BL284" s="754"/>
      <c r="BM284" s="754"/>
      <c r="BN284" s="754"/>
      <c r="BO284" s="754"/>
      <c r="BP284" s="754"/>
      <c r="BQ284" s="754"/>
      <c r="BR284" s="754"/>
      <c r="BS284" s="754"/>
      <c r="BT284" s="754"/>
      <c r="BU284" s="754"/>
      <c r="BV284" s="754"/>
      <c r="BW284" s="754"/>
      <c r="BX284" s="754"/>
      <c r="BY284" s="754"/>
      <c r="BZ284" s="755"/>
      <c r="CA284" s="15">
        <v>154</v>
      </c>
      <c r="CB284" s="1038" t="str">
        <f>IF(CA284&lt;'Purchased Knacks'!A$192,VLOOKUP(CA284,'Purchased Knacks'!$A$4:$E$300,3,FALSE),"")</f>
        <v/>
      </c>
      <c r="CC284" s="1039"/>
      <c r="CD284" s="1039"/>
      <c r="CE284" s="1039"/>
      <c r="CF284" s="1040"/>
      <c r="CG284" s="1032" t="str">
        <f>IF(CB284="","",VLOOKUP(CB284,KanckRef!$A$1:$G$300,7,FALSE))</f>
        <v/>
      </c>
      <c r="CH284" s="1033"/>
      <c r="CI284" s="753"/>
      <c r="CJ284" s="754"/>
      <c r="CK284" s="754"/>
      <c r="CL284" s="754"/>
      <c r="CM284" s="754"/>
      <c r="CN284" s="754"/>
      <c r="CO284" s="754"/>
      <c r="CP284" s="754"/>
      <c r="CQ284" s="754"/>
      <c r="CR284" s="754"/>
      <c r="CS284" s="754"/>
      <c r="CT284" s="754"/>
      <c r="CU284" s="754"/>
      <c r="CV284" s="754"/>
      <c r="CW284" s="754"/>
      <c r="CX284" s="754"/>
      <c r="CY284" s="754"/>
      <c r="CZ284" s="755"/>
    </row>
    <row r="285" spans="1:104" ht="15" customHeight="1" x14ac:dyDescent="0.25">
      <c r="B285" s="1026"/>
      <c r="C285" s="727"/>
      <c r="D285" s="727"/>
      <c r="E285" s="727"/>
      <c r="F285" s="727"/>
      <c r="G285" s="727"/>
      <c r="H285" s="727"/>
      <c r="I285" s="727" t="str">
        <f>IF(B284="","",VLOOKUP(B284,BoonRef!$A$2:$Z$900,26,FALSE))</f>
        <v/>
      </c>
      <c r="J285" s="727"/>
      <c r="K285" s="727"/>
      <c r="L285" s="727"/>
      <c r="M285" s="727"/>
      <c r="N285" s="727"/>
      <c r="O285" s="727"/>
      <c r="P285" s="727"/>
      <c r="Q285" s="727"/>
      <c r="R285" s="727"/>
      <c r="S285" s="727"/>
      <c r="T285" s="727"/>
      <c r="U285" s="727"/>
      <c r="V285" s="727"/>
      <c r="W285" s="727"/>
      <c r="X285" s="727"/>
      <c r="Y285" s="727"/>
      <c r="Z285" s="728"/>
      <c r="AB285" s="1026"/>
      <c r="AC285" s="727"/>
      <c r="AD285" s="727"/>
      <c r="AE285" s="727"/>
      <c r="AF285" s="727"/>
      <c r="AG285" s="727"/>
      <c r="AH285" s="727"/>
      <c r="AI285" s="727" t="str">
        <f>IF(AB284="","",VLOOKUP(AB284,BoonRef!$A$2:$Z$900,26,FALSE))</f>
        <v/>
      </c>
      <c r="AJ285" s="727"/>
      <c r="AK285" s="727"/>
      <c r="AL285" s="727"/>
      <c r="AM285" s="727"/>
      <c r="AN285" s="727"/>
      <c r="AO285" s="727"/>
      <c r="AP285" s="727"/>
      <c r="AQ285" s="727"/>
      <c r="AR285" s="727"/>
      <c r="AS285" s="727"/>
      <c r="AT285" s="727"/>
      <c r="AU285" s="727"/>
      <c r="AV285" s="727"/>
      <c r="AW285" s="727"/>
      <c r="AX285" s="727"/>
      <c r="AY285" s="727"/>
      <c r="AZ285" s="728"/>
      <c r="BB285" s="1041"/>
      <c r="BC285" s="1042"/>
      <c r="BD285" s="1042"/>
      <c r="BE285" s="1042"/>
      <c r="BF285" s="1043"/>
      <c r="BG285" s="1034"/>
      <c r="BH285" s="1035"/>
      <c r="BI285" s="753"/>
      <c r="BJ285" s="754"/>
      <c r="BK285" s="754"/>
      <c r="BL285" s="754"/>
      <c r="BM285" s="754"/>
      <c r="BN285" s="754"/>
      <c r="BO285" s="754"/>
      <c r="BP285" s="754"/>
      <c r="BQ285" s="754"/>
      <c r="BR285" s="754"/>
      <c r="BS285" s="754"/>
      <c r="BT285" s="754"/>
      <c r="BU285" s="754"/>
      <c r="BV285" s="754"/>
      <c r="BW285" s="754"/>
      <c r="BX285" s="754"/>
      <c r="BY285" s="754"/>
      <c r="BZ285" s="755"/>
      <c r="CB285" s="1041"/>
      <c r="CC285" s="1042"/>
      <c r="CD285" s="1042"/>
      <c r="CE285" s="1042"/>
      <c r="CF285" s="1043"/>
      <c r="CG285" s="1034"/>
      <c r="CH285" s="1035"/>
      <c r="CI285" s="753"/>
      <c r="CJ285" s="754"/>
      <c r="CK285" s="754"/>
      <c r="CL285" s="754"/>
      <c r="CM285" s="754"/>
      <c r="CN285" s="754"/>
      <c r="CO285" s="754"/>
      <c r="CP285" s="754"/>
      <c r="CQ285" s="754"/>
      <c r="CR285" s="754"/>
      <c r="CS285" s="754"/>
      <c r="CT285" s="754"/>
      <c r="CU285" s="754"/>
      <c r="CV285" s="754"/>
      <c r="CW285" s="754"/>
      <c r="CX285" s="754"/>
      <c r="CY285" s="754"/>
      <c r="CZ285" s="755"/>
    </row>
    <row r="286" spans="1:104" ht="15" customHeight="1" x14ac:dyDescent="0.25">
      <c r="B286" s="1026" t="str">
        <f>IF(B284="","",VLOOKUP(B284,BoonRef!$A$2:$Z$900,24,FALSE))</f>
        <v/>
      </c>
      <c r="C286" s="727"/>
      <c r="D286" s="727"/>
      <c r="E286" s="727"/>
      <c r="F286" s="727"/>
      <c r="G286" s="727"/>
      <c r="H286" s="727"/>
      <c r="I286" s="727"/>
      <c r="J286" s="727"/>
      <c r="K286" s="727"/>
      <c r="L286" s="727"/>
      <c r="M286" s="727"/>
      <c r="N286" s="727"/>
      <c r="O286" s="727"/>
      <c r="P286" s="727"/>
      <c r="Q286" s="727"/>
      <c r="R286" s="727"/>
      <c r="S286" s="727"/>
      <c r="T286" s="727"/>
      <c r="U286" s="727"/>
      <c r="V286" s="727"/>
      <c r="W286" s="727"/>
      <c r="X286" s="727"/>
      <c r="Y286" s="727"/>
      <c r="Z286" s="728"/>
      <c r="AB286" s="1026" t="str">
        <f>IF(AB284="","",VLOOKUP(AB284,BoonRef!$A$2:$Z$900,24,FALSE))</f>
        <v/>
      </c>
      <c r="AC286" s="727"/>
      <c r="AD286" s="727"/>
      <c r="AE286" s="727"/>
      <c r="AF286" s="727"/>
      <c r="AG286" s="727"/>
      <c r="AH286" s="727"/>
      <c r="AI286" s="727"/>
      <c r="AJ286" s="727"/>
      <c r="AK286" s="727"/>
      <c r="AL286" s="727"/>
      <c r="AM286" s="727"/>
      <c r="AN286" s="727"/>
      <c r="AO286" s="727"/>
      <c r="AP286" s="727"/>
      <c r="AQ286" s="727"/>
      <c r="AR286" s="727"/>
      <c r="AS286" s="727"/>
      <c r="AT286" s="727"/>
      <c r="AU286" s="727"/>
      <c r="AV286" s="727"/>
      <c r="AW286" s="727"/>
      <c r="AX286" s="727"/>
      <c r="AY286" s="727"/>
      <c r="AZ286" s="728"/>
      <c r="BB286" s="641" t="str">
        <f>IF(BB284="","",VLOOKUP(BB284,KanckRef!$A$1:$G$300,4,FALSE))</f>
        <v/>
      </c>
      <c r="BC286" s="642"/>
      <c r="BD286" s="642"/>
      <c r="BE286" s="642"/>
      <c r="BF286" s="642"/>
      <c r="BG286" s="642"/>
      <c r="BH286" s="1033"/>
      <c r="BI286" s="753"/>
      <c r="BJ286" s="754"/>
      <c r="BK286" s="754"/>
      <c r="BL286" s="754"/>
      <c r="BM286" s="754"/>
      <c r="BN286" s="754"/>
      <c r="BO286" s="754"/>
      <c r="BP286" s="754"/>
      <c r="BQ286" s="754"/>
      <c r="BR286" s="754"/>
      <c r="BS286" s="754"/>
      <c r="BT286" s="754"/>
      <c r="BU286" s="754"/>
      <c r="BV286" s="754"/>
      <c r="BW286" s="754"/>
      <c r="BX286" s="754"/>
      <c r="BY286" s="754"/>
      <c r="BZ286" s="755"/>
      <c r="CB286" s="641" t="str">
        <f>IF(CB284="","",VLOOKUP(CB284,KanckRef!$A$1:$G$300,4,FALSE))</f>
        <v/>
      </c>
      <c r="CC286" s="642"/>
      <c r="CD286" s="642"/>
      <c r="CE286" s="642"/>
      <c r="CF286" s="642"/>
      <c r="CG286" s="642"/>
      <c r="CH286" s="1033"/>
      <c r="CI286" s="753"/>
      <c r="CJ286" s="754"/>
      <c r="CK286" s="754"/>
      <c r="CL286" s="754"/>
      <c r="CM286" s="754"/>
      <c r="CN286" s="754"/>
      <c r="CO286" s="754"/>
      <c r="CP286" s="754"/>
      <c r="CQ286" s="754"/>
      <c r="CR286" s="754"/>
      <c r="CS286" s="754"/>
      <c r="CT286" s="754"/>
      <c r="CU286" s="754"/>
      <c r="CV286" s="754"/>
      <c r="CW286" s="754"/>
      <c r="CX286" s="754"/>
      <c r="CY286" s="754"/>
      <c r="CZ286" s="755"/>
    </row>
    <row r="287" spans="1:104" x14ac:dyDescent="0.25">
      <c r="B287" s="1026" t="str">
        <f>IF(B284="","",VLOOKUP(B284,BoonRef!$A$2:$Z$900,23,FALSE))</f>
        <v/>
      </c>
      <c r="C287" s="727"/>
      <c r="D287" s="727"/>
      <c r="E287" s="727"/>
      <c r="F287" s="727"/>
      <c r="G287" s="727"/>
      <c r="H287" s="727"/>
      <c r="I287" s="727"/>
      <c r="J287" s="727"/>
      <c r="K287" s="727"/>
      <c r="L287" s="727"/>
      <c r="M287" s="727"/>
      <c r="N287" s="727"/>
      <c r="O287" s="727"/>
      <c r="P287" s="727"/>
      <c r="Q287" s="727"/>
      <c r="R287" s="727"/>
      <c r="S287" s="727"/>
      <c r="T287" s="727"/>
      <c r="U287" s="727"/>
      <c r="V287" s="727"/>
      <c r="W287" s="727"/>
      <c r="X287" s="727"/>
      <c r="Y287" s="727"/>
      <c r="Z287" s="728"/>
      <c r="AB287" s="1026" t="str">
        <f>IF(AB284="","",VLOOKUP(AB284,BoonRef!$A$2:$Z$900,23,FALSE))</f>
        <v/>
      </c>
      <c r="AC287" s="727"/>
      <c r="AD287" s="727"/>
      <c r="AE287" s="727"/>
      <c r="AF287" s="727"/>
      <c r="AG287" s="727"/>
      <c r="AH287" s="727"/>
      <c r="AI287" s="727"/>
      <c r="AJ287" s="727"/>
      <c r="AK287" s="727"/>
      <c r="AL287" s="727"/>
      <c r="AM287" s="727"/>
      <c r="AN287" s="727"/>
      <c r="AO287" s="727"/>
      <c r="AP287" s="727"/>
      <c r="AQ287" s="727"/>
      <c r="AR287" s="727"/>
      <c r="AS287" s="727"/>
      <c r="AT287" s="727"/>
      <c r="AU287" s="727"/>
      <c r="AV287" s="727"/>
      <c r="AW287" s="727"/>
      <c r="AX287" s="727"/>
      <c r="AY287" s="727"/>
      <c r="AZ287" s="728"/>
      <c r="BB287" s="635"/>
      <c r="BC287" s="636"/>
      <c r="BD287" s="636"/>
      <c r="BE287" s="636"/>
      <c r="BF287" s="636"/>
      <c r="BG287" s="636"/>
      <c r="BH287" s="1036"/>
      <c r="BI287" s="753"/>
      <c r="BJ287" s="754"/>
      <c r="BK287" s="754"/>
      <c r="BL287" s="754"/>
      <c r="BM287" s="754"/>
      <c r="BN287" s="754"/>
      <c r="BO287" s="754"/>
      <c r="BP287" s="754"/>
      <c r="BQ287" s="754"/>
      <c r="BR287" s="754"/>
      <c r="BS287" s="754"/>
      <c r="BT287" s="754"/>
      <c r="BU287" s="754"/>
      <c r="BV287" s="754"/>
      <c r="BW287" s="754"/>
      <c r="BX287" s="754"/>
      <c r="BY287" s="754"/>
      <c r="BZ287" s="755"/>
      <c r="CB287" s="635"/>
      <c r="CC287" s="636"/>
      <c r="CD287" s="636"/>
      <c r="CE287" s="636"/>
      <c r="CF287" s="636"/>
      <c r="CG287" s="636"/>
      <c r="CH287" s="1036"/>
      <c r="CI287" s="753"/>
      <c r="CJ287" s="754"/>
      <c r="CK287" s="754"/>
      <c r="CL287" s="754"/>
      <c r="CM287" s="754"/>
      <c r="CN287" s="754"/>
      <c r="CO287" s="754"/>
      <c r="CP287" s="754"/>
      <c r="CQ287" s="754"/>
      <c r="CR287" s="754"/>
      <c r="CS287" s="754"/>
      <c r="CT287" s="754"/>
      <c r="CU287" s="754"/>
      <c r="CV287" s="754"/>
      <c r="CW287" s="754"/>
      <c r="CX287" s="754"/>
      <c r="CY287" s="754"/>
      <c r="CZ287" s="755"/>
    </row>
    <row r="288" spans="1:104" ht="15.75" thickBot="1" x14ac:dyDescent="0.3">
      <c r="B288" s="1027"/>
      <c r="C288" s="865"/>
      <c r="D288" s="865"/>
      <c r="E288" s="865"/>
      <c r="F288" s="865"/>
      <c r="G288" s="865"/>
      <c r="H288" s="865"/>
      <c r="I288" s="865"/>
      <c r="J288" s="865"/>
      <c r="K288" s="865"/>
      <c r="L288" s="865"/>
      <c r="M288" s="865"/>
      <c r="N288" s="865"/>
      <c r="O288" s="865"/>
      <c r="P288" s="865"/>
      <c r="Q288" s="865"/>
      <c r="R288" s="865"/>
      <c r="S288" s="865"/>
      <c r="T288" s="865"/>
      <c r="U288" s="865"/>
      <c r="V288" s="865"/>
      <c r="W288" s="865"/>
      <c r="X288" s="865"/>
      <c r="Y288" s="865"/>
      <c r="Z288" s="921"/>
      <c r="AB288" s="1027"/>
      <c r="AC288" s="865"/>
      <c r="AD288" s="865"/>
      <c r="AE288" s="865"/>
      <c r="AF288" s="865"/>
      <c r="AG288" s="865"/>
      <c r="AH288" s="865"/>
      <c r="AI288" s="865"/>
      <c r="AJ288" s="865"/>
      <c r="AK288" s="865"/>
      <c r="AL288" s="865"/>
      <c r="AM288" s="865"/>
      <c r="AN288" s="865"/>
      <c r="AO288" s="865"/>
      <c r="AP288" s="865"/>
      <c r="AQ288" s="865"/>
      <c r="AR288" s="865"/>
      <c r="AS288" s="865"/>
      <c r="AT288" s="865"/>
      <c r="AU288" s="865"/>
      <c r="AV288" s="865"/>
      <c r="AW288" s="865"/>
      <c r="AX288" s="865"/>
      <c r="AY288" s="865"/>
      <c r="AZ288" s="921"/>
      <c r="BB288" s="644"/>
      <c r="BC288" s="645"/>
      <c r="BD288" s="645"/>
      <c r="BE288" s="645"/>
      <c r="BF288" s="645"/>
      <c r="BG288" s="645"/>
      <c r="BH288" s="1037"/>
      <c r="BI288" s="756"/>
      <c r="BJ288" s="757"/>
      <c r="BK288" s="757"/>
      <c r="BL288" s="757"/>
      <c r="BM288" s="757"/>
      <c r="BN288" s="757"/>
      <c r="BO288" s="757"/>
      <c r="BP288" s="757"/>
      <c r="BQ288" s="757"/>
      <c r="BR288" s="757"/>
      <c r="BS288" s="757"/>
      <c r="BT288" s="757"/>
      <c r="BU288" s="757"/>
      <c r="BV288" s="757"/>
      <c r="BW288" s="757"/>
      <c r="BX288" s="757"/>
      <c r="BY288" s="757"/>
      <c r="BZ288" s="758"/>
      <c r="CB288" s="644"/>
      <c r="CC288" s="645"/>
      <c r="CD288" s="645"/>
      <c r="CE288" s="645"/>
      <c r="CF288" s="645"/>
      <c r="CG288" s="645"/>
      <c r="CH288" s="1037"/>
      <c r="CI288" s="756"/>
      <c r="CJ288" s="757"/>
      <c r="CK288" s="757"/>
      <c r="CL288" s="757"/>
      <c r="CM288" s="757"/>
      <c r="CN288" s="757"/>
      <c r="CO288" s="757"/>
      <c r="CP288" s="757"/>
      <c r="CQ288" s="757"/>
      <c r="CR288" s="757"/>
      <c r="CS288" s="757"/>
      <c r="CT288" s="757"/>
      <c r="CU288" s="757"/>
      <c r="CV288" s="757"/>
      <c r="CW288" s="757"/>
      <c r="CX288" s="757"/>
      <c r="CY288" s="757"/>
      <c r="CZ288" s="758"/>
    </row>
    <row r="289" spans="1:104" x14ac:dyDescent="0.25">
      <c r="B289" s="1028" t="str">
        <f>IF(B290="","",VLOOKUP(B290,BoonRef!$A$2:$Z$900,2,FALSE))</f>
        <v/>
      </c>
      <c r="C289" s="725"/>
      <c r="D289" s="725"/>
      <c r="E289" s="725"/>
      <c r="F289" s="725"/>
      <c r="G289" s="725"/>
      <c r="H289" s="725"/>
      <c r="I289" s="725" t="str">
        <f>IF(B290="","",VLOOKUP(B290,BoonRef!$A$2:$Z$900,3,FALSE))</f>
        <v/>
      </c>
      <c r="J289" s="725"/>
      <c r="K289" s="725" t="str">
        <f>IF(B290="","",VLOOKUP(B290,DescRef!$A$2:$B$900,2,FALSE))</f>
        <v/>
      </c>
      <c r="L289" s="725"/>
      <c r="M289" s="725"/>
      <c r="N289" s="725"/>
      <c r="O289" s="725"/>
      <c r="P289" s="725"/>
      <c r="Q289" s="725"/>
      <c r="R289" s="725"/>
      <c r="S289" s="725"/>
      <c r="T289" s="725"/>
      <c r="U289" s="725"/>
      <c r="V289" s="725"/>
      <c r="W289" s="725"/>
      <c r="X289" s="725"/>
      <c r="Y289" s="725"/>
      <c r="Z289" s="726"/>
      <c r="AB289" s="1028" t="str">
        <f>IF(AB290="","",VLOOKUP(AB290,BoonRef!$A$2:$Z$900,2,FALSE))</f>
        <v/>
      </c>
      <c r="AC289" s="725"/>
      <c r="AD289" s="725"/>
      <c r="AE289" s="725"/>
      <c r="AF289" s="725"/>
      <c r="AG289" s="725"/>
      <c r="AH289" s="725"/>
      <c r="AI289" s="725" t="str">
        <f>IF(AB290="","",VLOOKUP(AB290,BoonRef!$A$2:$Z$900,3,FALSE))</f>
        <v/>
      </c>
      <c r="AJ289" s="725"/>
      <c r="AK289" s="725" t="str">
        <f>IF(AB290="","",VLOOKUP(AB290,DescRef!$A$2:$B$900,2,FALSE))</f>
        <v/>
      </c>
      <c r="AL289" s="725"/>
      <c r="AM289" s="725"/>
      <c r="AN289" s="725"/>
      <c r="AO289" s="725"/>
      <c r="AP289" s="725"/>
      <c r="AQ289" s="725"/>
      <c r="AR289" s="725"/>
      <c r="AS289" s="725"/>
      <c r="AT289" s="725"/>
      <c r="AU289" s="725"/>
      <c r="AV289" s="725"/>
      <c r="AW289" s="725"/>
      <c r="AX289" s="725"/>
      <c r="AY289" s="725"/>
      <c r="AZ289" s="726"/>
      <c r="BB289" s="1029" t="str">
        <f>IF(BB290="","",VLOOKUP(BB290,KanckRef!$A$1:$G$300,2,FALSE))</f>
        <v/>
      </c>
      <c r="BC289" s="1030"/>
      <c r="BD289" s="1030"/>
      <c r="BE289" s="1030"/>
      <c r="BF289" s="1031"/>
      <c r="BG289" s="1048" t="str">
        <f>IF(BB290="","",VLOOKUP(BB290,KanckRef!$A$1:$G$300,6,FALSE))</f>
        <v/>
      </c>
      <c r="BH289" s="1049"/>
      <c r="BI289" s="988" t="str">
        <f>IF(BB290="","",VLOOKUP(BB290,DescRef!$D$2:$E$300,2,FALSE))</f>
        <v/>
      </c>
      <c r="BJ289" s="795"/>
      <c r="BK289" s="795"/>
      <c r="BL289" s="795"/>
      <c r="BM289" s="795"/>
      <c r="BN289" s="795"/>
      <c r="BO289" s="795"/>
      <c r="BP289" s="795"/>
      <c r="BQ289" s="795"/>
      <c r="BR289" s="795"/>
      <c r="BS289" s="795"/>
      <c r="BT289" s="795"/>
      <c r="BU289" s="795"/>
      <c r="BV289" s="795"/>
      <c r="BW289" s="795"/>
      <c r="BX289" s="795"/>
      <c r="BY289" s="795"/>
      <c r="BZ289" s="796"/>
      <c r="CB289" s="1029" t="str">
        <f>IF(CB290="","",VLOOKUP(CB290,KanckRef!$A$1:$G$300,2,FALSE))</f>
        <v/>
      </c>
      <c r="CC289" s="1030"/>
      <c r="CD289" s="1030"/>
      <c r="CE289" s="1030"/>
      <c r="CF289" s="1031"/>
      <c r="CG289" s="1048" t="str">
        <f>IF(CB290="","",VLOOKUP(CB290,KanckRef!$A$1:$G$300,6,FALSE))</f>
        <v/>
      </c>
      <c r="CH289" s="1049"/>
      <c r="CI289" s="988" t="str">
        <f>IF(CB290="","",VLOOKUP(CB290,DescRef!$D$2:$E$300,2,FALSE))</f>
        <v/>
      </c>
      <c r="CJ289" s="795"/>
      <c r="CK289" s="795"/>
      <c r="CL289" s="795"/>
      <c r="CM289" s="795"/>
      <c r="CN289" s="795"/>
      <c r="CO289" s="795"/>
      <c r="CP289" s="795"/>
      <c r="CQ289" s="795"/>
      <c r="CR289" s="795"/>
      <c r="CS289" s="795"/>
      <c r="CT289" s="795"/>
      <c r="CU289" s="795"/>
      <c r="CV289" s="795"/>
      <c r="CW289" s="795"/>
      <c r="CX289" s="795"/>
      <c r="CY289" s="795"/>
      <c r="CZ289" s="796"/>
    </row>
    <row r="290" spans="1:104" ht="15" customHeight="1" x14ac:dyDescent="0.25">
      <c r="A290" s="15">
        <v>48</v>
      </c>
      <c r="B290" s="1026" t="str">
        <f>IF(A290&lt;'Purchased Boons'!$B$496,VLOOKUP(A290,'Purchased Boons'!$BF$2:$BG$900,2,FALSE),"")</f>
        <v/>
      </c>
      <c r="C290" s="727"/>
      <c r="D290" s="727"/>
      <c r="E290" s="727"/>
      <c r="F290" s="727"/>
      <c r="G290" s="727"/>
      <c r="H290" s="727"/>
      <c r="I290" s="727" t="str">
        <f>IF(B290="","",VLOOKUP(B290,BoonRef!$A$2:$Z$900,25,FALSE))</f>
        <v/>
      </c>
      <c r="J290" s="727"/>
      <c r="K290" s="727"/>
      <c r="L290" s="727"/>
      <c r="M290" s="727"/>
      <c r="N290" s="727"/>
      <c r="O290" s="727"/>
      <c r="P290" s="727"/>
      <c r="Q290" s="727"/>
      <c r="R290" s="727"/>
      <c r="S290" s="727"/>
      <c r="T290" s="727"/>
      <c r="U290" s="727"/>
      <c r="V290" s="727"/>
      <c r="W290" s="727"/>
      <c r="X290" s="727"/>
      <c r="Y290" s="727"/>
      <c r="Z290" s="728"/>
      <c r="AA290" s="15">
        <v>155</v>
      </c>
      <c r="AB290" s="1026" t="str">
        <f>IF(AA290&lt;'Purchased Boons'!$B$496,VLOOKUP(AA290,'Purchased Boons'!$BF$2:$BG$900,2,FALSE),"")</f>
        <v/>
      </c>
      <c r="AC290" s="727"/>
      <c r="AD290" s="727"/>
      <c r="AE290" s="727"/>
      <c r="AF290" s="727"/>
      <c r="AG290" s="727"/>
      <c r="AH290" s="727"/>
      <c r="AI290" s="727" t="str">
        <f>IF(AB290="","",VLOOKUP(AB290,BoonRef!$A$2:$Z$900,25,FALSE))</f>
        <v/>
      </c>
      <c r="AJ290" s="727"/>
      <c r="AK290" s="727"/>
      <c r="AL290" s="727"/>
      <c r="AM290" s="727"/>
      <c r="AN290" s="727"/>
      <c r="AO290" s="727"/>
      <c r="AP290" s="727"/>
      <c r="AQ290" s="727"/>
      <c r="AR290" s="727"/>
      <c r="AS290" s="727"/>
      <c r="AT290" s="727"/>
      <c r="AU290" s="727"/>
      <c r="AV290" s="727"/>
      <c r="AW290" s="727"/>
      <c r="AX290" s="727"/>
      <c r="AY290" s="727"/>
      <c r="AZ290" s="728"/>
      <c r="BA290" s="15">
        <v>48</v>
      </c>
      <c r="BB290" s="1038" t="str">
        <f>IF(BA290&lt;'Purchased Knacks'!A$192,VLOOKUP(BA290,'Purchased Knacks'!$A$4:$E$300,3,FALSE),"")</f>
        <v/>
      </c>
      <c r="BC290" s="1039"/>
      <c r="BD290" s="1039"/>
      <c r="BE290" s="1039"/>
      <c r="BF290" s="1040"/>
      <c r="BG290" s="1032" t="str">
        <f>IF(BB290="","",VLOOKUP(BB290,KanckRef!$A$1:$G$300,7,FALSE))</f>
        <v/>
      </c>
      <c r="BH290" s="1033"/>
      <c r="BI290" s="753"/>
      <c r="BJ290" s="754"/>
      <c r="BK290" s="754"/>
      <c r="BL290" s="754"/>
      <c r="BM290" s="754"/>
      <c r="BN290" s="754"/>
      <c r="BO290" s="754"/>
      <c r="BP290" s="754"/>
      <c r="BQ290" s="754"/>
      <c r="BR290" s="754"/>
      <c r="BS290" s="754"/>
      <c r="BT290" s="754"/>
      <c r="BU290" s="754"/>
      <c r="BV290" s="754"/>
      <c r="BW290" s="754"/>
      <c r="BX290" s="754"/>
      <c r="BY290" s="754"/>
      <c r="BZ290" s="755"/>
      <c r="CA290" s="15">
        <v>155</v>
      </c>
      <c r="CB290" s="1038" t="str">
        <f>IF(CA290&lt;'Purchased Knacks'!A$192,VLOOKUP(CA290,'Purchased Knacks'!$A$4:$E$300,3,FALSE),"")</f>
        <v/>
      </c>
      <c r="CC290" s="1039"/>
      <c r="CD290" s="1039"/>
      <c r="CE290" s="1039"/>
      <c r="CF290" s="1040"/>
      <c r="CG290" s="1032" t="str">
        <f>IF(CB290="","",VLOOKUP(CB290,KanckRef!$A$1:$G$300,7,FALSE))</f>
        <v/>
      </c>
      <c r="CH290" s="1033"/>
      <c r="CI290" s="753"/>
      <c r="CJ290" s="754"/>
      <c r="CK290" s="754"/>
      <c r="CL290" s="754"/>
      <c r="CM290" s="754"/>
      <c r="CN290" s="754"/>
      <c r="CO290" s="754"/>
      <c r="CP290" s="754"/>
      <c r="CQ290" s="754"/>
      <c r="CR290" s="754"/>
      <c r="CS290" s="754"/>
      <c r="CT290" s="754"/>
      <c r="CU290" s="754"/>
      <c r="CV290" s="754"/>
      <c r="CW290" s="754"/>
      <c r="CX290" s="754"/>
      <c r="CY290" s="754"/>
      <c r="CZ290" s="755"/>
    </row>
    <row r="291" spans="1:104" ht="15" customHeight="1" x14ac:dyDescent="0.25">
      <c r="B291" s="1026"/>
      <c r="C291" s="727"/>
      <c r="D291" s="727"/>
      <c r="E291" s="727"/>
      <c r="F291" s="727"/>
      <c r="G291" s="727"/>
      <c r="H291" s="727"/>
      <c r="I291" s="727" t="str">
        <f>IF(B290="","",VLOOKUP(B290,BoonRef!$A$2:$Z$900,26,FALSE))</f>
        <v/>
      </c>
      <c r="J291" s="727"/>
      <c r="K291" s="727"/>
      <c r="L291" s="727"/>
      <c r="M291" s="727"/>
      <c r="N291" s="727"/>
      <c r="O291" s="727"/>
      <c r="P291" s="727"/>
      <c r="Q291" s="727"/>
      <c r="R291" s="727"/>
      <c r="S291" s="727"/>
      <c r="T291" s="727"/>
      <c r="U291" s="727"/>
      <c r="V291" s="727"/>
      <c r="W291" s="727"/>
      <c r="X291" s="727"/>
      <c r="Y291" s="727"/>
      <c r="Z291" s="728"/>
      <c r="AB291" s="1026"/>
      <c r="AC291" s="727"/>
      <c r="AD291" s="727"/>
      <c r="AE291" s="727"/>
      <c r="AF291" s="727"/>
      <c r="AG291" s="727"/>
      <c r="AH291" s="727"/>
      <c r="AI291" s="727" t="str">
        <f>IF(AB290="","",VLOOKUP(AB290,BoonRef!$A$2:$Z$900,26,FALSE))</f>
        <v/>
      </c>
      <c r="AJ291" s="727"/>
      <c r="AK291" s="727"/>
      <c r="AL291" s="727"/>
      <c r="AM291" s="727"/>
      <c r="AN291" s="727"/>
      <c r="AO291" s="727"/>
      <c r="AP291" s="727"/>
      <c r="AQ291" s="727"/>
      <c r="AR291" s="727"/>
      <c r="AS291" s="727"/>
      <c r="AT291" s="727"/>
      <c r="AU291" s="727"/>
      <c r="AV291" s="727"/>
      <c r="AW291" s="727"/>
      <c r="AX291" s="727"/>
      <c r="AY291" s="727"/>
      <c r="AZ291" s="728"/>
      <c r="BB291" s="1041"/>
      <c r="BC291" s="1042"/>
      <c r="BD291" s="1042"/>
      <c r="BE291" s="1042"/>
      <c r="BF291" s="1043"/>
      <c r="BG291" s="1034"/>
      <c r="BH291" s="1035"/>
      <c r="BI291" s="753"/>
      <c r="BJ291" s="754"/>
      <c r="BK291" s="754"/>
      <c r="BL291" s="754"/>
      <c r="BM291" s="754"/>
      <c r="BN291" s="754"/>
      <c r="BO291" s="754"/>
      <c r="BP291" s="754"/>
      <c r="BQ291" s="754"/>
      <c r="BR291" s="754"/>
      <c r="BS291" s="754"/>
      <c r="BT291" s="754"/>
      <c r="BU291" s="754"/>
      <c r="BV291" s="754"/>
      <c r="BW291" s="754"/>
      <c r="BX291" s="754"/>
      <c r="BY291" s="754"/>
      <c r="BZ291" s="755"/>
      <c r="CB291" s="1041"/>
      <c r="CC291" s="1042"/>
      <c r="CD291" s="1042"/>
      <c r="CE291" s="1042"/>
      <c r="CF291" s="1043"/>
      <c r="CG291" s="1034"/>
      <c r="CH291" s="1035"/>
      <c r="CI291" s="753"/>
      <c r="CJ291" s="754"/>
      <c r="CK291" s="754"/>
      <c r="CL291" s="754"/>
      <c r="CM291" s="754"/>
      <c r="CN291" s="754"/>
      <c r="CO291" s="754"/>
      <c r="CP291" s="754"/>
      <c r="CQ291" s="754"/>
      <c r="CR291" s="754"/>
      <c r="CS291" s="754"/>
      <c r="CT291" s="754"/>
      <c r="CU291" s="754"/>
      <c r="CV291" s="754"/>
      <c r="CW291" s="754"/>
      <c r="CX291" s="754"/>
      <c r="CY291" s="754"/>
      <c r="CZ291" s="755"/>
    </row>
    <row r="292" spans="1:104" x14ac:dyDescent="0.25">
      <c r="B292" s="1026" t="str">
        <f>IF(B290="","",VLOOKUP(B290,BoonRef!$A$2:$Z$900,24,FALSE))</f>
        <v/>
      </c>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8"/>
      <c r="AB292" s="1026" t="str">
        <f>IF(AB290="","",VLOOKUP(AB290,BoonRef!$A$2:$Z$900,24,FALSE))</f>
        <v/>
      </c>
      <c r="AC292" s="727"/>
      <c r="AD292" s="727"/>
      <c r="AE292" s="727"/>
      <c r="AF292" s="727"/>
      <c r="AG292" s="727"/>
      <c r="AH292" s="727"/>
      <c r="AI292" s="727"/>
      <c r="AJ292" s="727"/>
      <c r="AK292" s="727"/>
      <c r="AL292" s="727"/>
      <c r="AM292" s="727"/>
      <c r="AN292" s="727"/>
      <c r="AO292" s="727"/>
      <c r="AP292" s="727"/>
      <c r="AQ292" s="727"/>
      <c r="AR292" s="727"/>
      <c r="AS292" s="727"/>
      <c r="AT292" s="727"/>
      <c r="AU292" s="727"/>
      <c r="AV292" s="727"/>
      <c r="AW292" s="727"/>
      <c r="AX292" s="727"/>
      <c r="AY292" s="727"/>
      <c r="AZ292" s="728"/>
      <c r="BB292" s="641" t="str">
        <f>IF(BB290="","",VLOOKUP(BB290,KanckRef!$A$1:$G$300,4,FALSE))</f>
        <v/>
      </c>
      <c r="BC292" s="642"/>
      <c r="BD292" s="642"/>
      <c r="BE292" s="642"/>
      <c r="BF292" s="642"/>
      <c r="BG292" s="642"/>
      <c r="BH292" s="1033"/>
      <c r="BI292" s="753"/>
      <c r="BJ292" s="754"/>
      <c r="BK292" s="754"/>
      <c r="BL292" s="754"/>
      <c r="BM292" s="754"/>
      <c r="BN292" s="754"/>
      <c r="BO292" s="754"/>
      <c r="BP292" s="754"/>
      <c r="BQ292" s="754"/>
      <c r="BR292" s="754"/>
      <c r="BS292" s="754"/>
      <c r="BT292" s="754"/>
      <c r="BU292" s="754"/>
      <c r="BV292" s="754"/>
      <c r="BW292" s="754"/>
      <c r="BX292" s="754"/>
      <c r="BY292" s="754"/>
      <c r="BZ292" s="755"/>
      <c r="CB292" s="641" t="str">
        <f>IF(CB290="","",VLOOKUP(CB290,KanckRef!$A$1:$G$300,4,FALSE))</f>
        <v/>
      </c>
      <c r="CC292" s="642"/>
      <c r="CD292" s="642"/>
      <c r="CE292" s="642"/>
      <c r="CF292" s="642"/>
      <c r="CG292" s="642"/>
      <c r="CH292" s="1033"/>
      <c r="CI292" s="753"/>
      <c r="CJ292" s="754"/>
      <c r="CK292" s="754"/>
      <c r="CL292" s="754"/>
      <c r="CM292" s="754"/>
      <c r="CN292" s="754"/>
      <c r="CO292" s="754"/>
      <c r="CP292" s="754"/>
      <c r="CQ292" s="754"/>
      <c r="CR292" s="754"/>
      <c r="CS292" s="754"/>
      <c r="CT292" s="754"/>
      <c r="CU292" s="754"/>
      <c r="CV292" s="754"/>
      <c r="CW292" s="754"/>
      <c r="CX292" s="754"/>
      <c r="CY292" s="754"/>
      <c r="CZ292" s="755"/>
    </row>
    <row r="293" spans="1:104" x14ac:dyDescent="0.25">
      <c r="B293" s="1026" t="str">
        <f>IF(B290="","",VLOOKUP(B290,BoonRef!$A$2:$Z$900,23,FALSE))</f>
        <v/>
      </c>
      <c r="C293" s="727"/>
      <c r="D293" s="727"/>
      <c r="E293" s="727"/>
      <c r="F293" s="727"/>
      <c r="G293" s="727"/>
      <c r="H293" s="727"/>
      <c r="I293" s="727"/>
      <c r="J293" s="727"/>
      <c r="K293" s="727"/>
      <c r="L293" s="727"/>
      <c r="M293" s="727"/>
      <c r="N293" s="727"/>
      <c r="O293" s="727"/>
      <c r="P293" s="727"/>
      <c r="Q293" s="727"/>
      <c r="R293" s="727"/>
      <c r="S293" s="727"/>
      <c r="T293" s="727"/>
      <c r="U293" s="727"/>
      <c r="V293" s="727"/>
      <c r="W293" s="727"/>
      <c r="X293" s="727"/>
      <c r="Y293" s="727"/>
      <c r="Z293" s="728"/>
      <c r="AB293" s="1026" t="str">
        <f>IF(AB290="","",VLOOKUP(AB290,BoonRef!$A$2:$Z$900,23,FALSE))</f>
        <v/>
      </c>
      <c r="AC293" s="727"/>
      <c r="AD293" s="727"/>
      <c r="AE293" s="727"/>
      <c r="AF293" s="727"/>
      <c r="AG293" s="727"/>
      <c r="AH293" s="727"/>
      <c r="AI293" s="727"/>
      <c r="AJ293" s="727"/>
      <c r="AK293" s="727"/>
      <c r="AL293" s="727"/>
      <c r="AM293" s="727"/>
      <c r="AN293" s="727"/>
      <c r="AO293" s="727"/>
      <c r="AP293" s="727"/>
      <c r="AQ293" s="727"/>
      <c r="AR293" s="727"/>
      <c r="AS293" s="727"/>
      <c r="AT293" s="727"/>
      <c r="AU293" s="727"/>
      <c r="AV293" s="727"/>
      <c r="AW293" s="727"/>
      <c r="AX293" s="727"/>
      <c r="AY293" s="727"/>
      <c r="AZ293" s="728"/>
      <c r="BB293" s="635"/>
      <c r="BC293" s="636"/>
      <c r="BD293" s="636"/>
      <c r="BE293" s="636"/>
      <c r="BF293" s="636"/>
      <c r="BG293" s="636"/>
      <c r="BH293" s="1036"/>
      <c r="BI293" s="753"/>
      <c r="BJ293" s="754"/>
      <c r="BK293" s="754"/>
      <c r="BL293" s="754"/>
      <c r="BM293" s="754"/>
      <c r="BN293" s="754"/>
      <c r="BO293" s="754"/>
      <c r="BP293" s="754"/>
      <c r="BQ293" s="754"/>
      <c r="BR293" s="754"/>
      <c r="BS293" s="754"/>
      <c r="BT293" s="754"/>
      <c r="BU293" s="754"/>
      <c r="BV293" s="754"/>
      <c r="BW293" s="754"/>
      <c r="BX293" s="754"/>
      <c r="BY293" s="754"/>
      <c r="BZ293" s="755"/>
      <c r="CB293" s="635"/>
      <c r="CC293" s="636"/>
      <c r="CD293" s="636"/>
      <c r="CE293" s="636"/>
      <c r="CF293" s="636"/>
      <c r="CG293" s="636"/>
      <c r="CH293" s="1036"/>
      <c r="CI293" s="753"/>
      <c r="CJ293" s="754"/>
      <c r="CK293" s="754"/>
      <c r="CL293" s="754"/>
      <c r="CM293" s="754"/>
      <c r="CN293" s="754"/>
      <c r="CO293" s="754"/>
      <c r="CP293" s="754"/>
      <c r="CQ293" s="754"/>
      <c r="CR293" s="754"/>
      <c r="CS293" s="754"/>
      <c r="CT293" s="754"/>
      <c r="CU293" s="754"/>
      <c r="CV293" s="754"/>
      <c r="CW293" s="754"/>
      <c r="CX293" s="754"/>
      <c r="CY293" s="754"/>
      <c r="CZ293" s="755"/>
    </row>
    <row r="294" spans="1:104" ht="15.75" thickBot="1" x14ac:dyDescent="0.3">
      <c r="B294" s="1027"/>
      <c r="C294" s="865"/>
      <c r="D294" s="865"/>
      <c r="E294" s="865"/>
      <c r="F294" s="865"/>
      <c r="G294" s="865"/>
      <c r="H294" s="865"/>
      <c r="I294" s="865"/>
      <c r="J294" s="865"/>
      <c r="K294" s="865"/>
      <c r="L294" s="865"/>
      <c r="M294" s="865"/>
      <c r="N294" s="865"/>
      <c r="O294" s="865"/>
      <c r="P294" s="865"/>
      <c r="Q294" s="865"/>
      <c r="R294" s="865"/>
      <c r="S294" s="865"/>
      <c r="T294" s="865"/>
      <c r="U294" s="865"/>
      <c r="V294" s="865"/>
      <c r="W294" s="865"/>
      <c r="X294" s="865"/>
      <c r="Y294" s="865"/>
      <c r="Z294" s="921"/>
      <c r="AB294" s="1027"/>
      <c r="AC294" s="865"/>
      <c r="AD294" s="865"/>
      <c r="AE294" s="865"/>
      <c r="AF294" s="865"/>
      <c r="AG294" s="865"/>
      <c r="AH294" s="865"/>
      <c r="AI294" s="865"/>
      <c r="AJ294" s="865"/>
      <c r="AK294" s="865"/>
      <c r="AL294" s="865"/>
      <c r="AM294" s="865"/>
      <c r="AN294" s="865"/>
      <c r="AO294" s="865"/>
      <c r="AP294" s="865"/>
      <c r="AQ294" s="865"/>
      <c r="AR294" s="865"/>
      <c r="AS294" s="865"/>
      <c r="AT294" s="865"/>
      <c r="AU294" s="865"/>
      <c r="AV294" s="865"/>
      <c r="AW294" s="865"/>
      <c r="AX294" s="865"/>
      <c r="AY294" s="865"/>
      <c r="AZ294" s="921"/>
      <c r="BB294" s="644"/>
      <c r="BC294" s="645"/>
      <c r="BD294" s="645"/>
      <c r="BE294" s="645"/>
      <c r="BF294" s="645"/>
      <c r="BG294" s="645"/>
      <c r="BH294" s="1037"/>
      <c r="BI294" s="756"/>
      <c r="BJ294" s="757"/>
      <c r="BK294" s="757"/>
      <c r="BL294" s="757"/>
      <c r="BM294" s="757"/>
      <c r="BN294" s="757"/>
      <c r="BO294" s="757"/>
      <c r="BP294" s="757"/>
      <c r="BQ294" s="757"/>
      <c r="BR294" s="757"/>
      <c r="BS294" s="757"/>
      <c r="BT294" s="757"/>
      <c r="BU294" s="757"/>
      <c r="BV294" s="757"/>
      <c r="BW294" s="757"/>
      <c r="BX294" s="757"/>
      <c r="BY294" s="757"/>
      <c r="BZ294" s="758"/>
      <c r="CB294" s="644"/>
      <c r="CC294" s="645"/>
      <c r="CD294" s="645"/>
      <c r="CE294" s="645"/>
      <c r="CF294" s="645"/>
      <c r="CG294" s="645"/>
      <c r="CH294" s="1037"/>
      <c r="CI294" s="756"/>
      <c r="CJ294" s="757"/>
      <c r="CK294" s="757"/>
      <c r="CL294" s="757"/>
      <c r="CM294" s="757"/>
      <c r="CN294" s="757"/>
      <c r="CO294" s="757"/>
      <c r="CP294" s="757"/>
      <c r="CQ294" s="757"/>
      <c r="CR294" s="757"/>
      <c r="CS294" s="757"/>
      <c r="CT294" s="757"/>
      <c r="CU294" s="757"/>
      <c r="CV294" s="757"/>
      <c r="CW294" s="757"/>
      <c r="CX294" s="757"/>
      <c r="CY294" s="757"/>
      <c r="CZ294" s="758"/>
    </row>
    <row r="295" spans="1:104" ht="15" customHeight="1" x14ac:dyDescent="0.25">
      <c r="B295" s="1028" t="str">
        <f>IF(B296="","",VLOOKUP(B296,BoonRef!$A$2:$Z$900,2,FALSE))</f>
        <v/>
      </c>
      <c r="C295" s="725"/>
      <c r="D295" s="725"/>
      <c r="E295" s="725"/>
      <c r="F295" s="725"/>
      <c r="G295" s="725"/>
      <c r="H295" s="725"/>
      <c r="I295" s="725" t="str">
        <f>IF(B296="","",VLOOKUP(B296,BoonRef!$A$2:$Z$900,3,FALSE))</f>
        <v/>
      </c>
      <c r="J295" s="725"/>
      <c r="K295" s="725" t="str">
        <f>IF(B296="","",VLOOKUP(B296,DescRef!$A$2:$B$900,2,FALSE))</f>
        <v/>
      </c>
      <c r="L295" s="725"/>
      <c r="M295" s="725"/>
      <c r="N295" s="725"/>
      <c r="O295" s="725"/>
      <c r="P295" s="725"/>
      <c r="Q295" s="725"/>
      <c r="R295" s="725"/>
      <c r="S295" s="725"/>
      <c r="T295" s="725"/>
      <c r="U295" s="725"/>
      <c r="V295" s="725"/>
      <c r="W295" s="725"/>
      <c r="X295" s="725"/>
      <c r="Y295" s="725"/>
      <c r="Z295" s="726"/>
      <c r="AB295" s="1028" t="str">
        <f>IF(AB296="","",VLOOKUP(AB296,BoonRef!$A$2:$Z$900,2,FALSE))</f>
        <v/>
      </c>
      <c r="AC295" s="725"/>
      <c r="AD295" s="725"/>
      <c r="AE295" s="725"/>
      <c r="AF295" s="725"/>
      <c r="AG295" s="725"/>
      <c r="AH295" s="725"/>
      <c r="AI295" s="725" t="str">
        <f>IF(AB296="","",VLOOKUP(AB296,BoonRef!$A$2:$Z$900,3,FALSE))</f>
        <v/>
      </c>
      <c r="AJ295" s="725"/>
      <c r="AK295" s="725" t="str">
        <f>IF(AB296="","",VLOOKUP(AB296,DescRef!$A$2:$B$900,2,FALSE))</f>
        <v/>
      </c>
      <c r="AL295" s="725"/>
      <c r="AM295" s="725"/>
      <c r="AN295" s="725"/>
      <c r="AO295" s="725"/>
      <c r="AP295" s="725"/>
      <c r="AQ295" s="725"/>
      <c r="AR295" s="725"/>
      <c r="AS295" s="725"/>
      <c r="AT295" s="725"/>
      <c r="AU295" s="725"/>
      <c r="AV295" s="725"/>
      <c r="AW295" s="725"/>
      <c r="AX295" s="725"/>
      <c r="AY295" s="725"/>
      <c r="AZ295" s="726"/>
      <c r="BB295" s="1029" t="str">
        <f>IF(BB296="","",VLOOKUP(BB296,KanckRef!$A$1:$G$300,2,FALSE))</f>
        <v/>
      </c>
      <c r="BC295" s="1030"/>
      <c r="BD295" s="1030"/>
      <c r="BE295" s="1030"/>
      <c r="BF295" s="1031"/>
      <c r="BG295" s="1048" t="str">
        <f>IF(BB296="","",VLOOKUP(BB296,KanckRef!$A$1:$G$300,6,FALSE))</f>
        <v/>
      </c>
      <c r="BH295" s="1049"/>
      <c r="BI295" s="988" t="str">
        <f>IF(BB296="","",VLOOKUP(BB296,DescRef!$D$2:$E$300,2,FALSE))</f>
        <v/>
      </c>
      <c r="BJ295" s="795"/>
      <c r="BK295" s="795"/>
      <c r="BL295" s="795"/>
      <c r="BM295" s="795"/>
      <c r="BN295" s="795"/>
      <c r="BO295" s="795"/>
      <c r="BP295" s="795"/>
      <c r="BQ295" s="795"/>
      <c r="BR295" s="795"/>
      <c r="BS295" s="795"/>
      <c r="BT295" s="795"/>
      <c r="BU295" s="795"/>
      <c r="BV295" s="795"/>
      <c r="BW295" s="795"/>
      <c r="BX295" s="795"/>
      <c r="BY295" s="795"/>
      <c r="BZ295" s="796"/>
      <c r="CB295" s="1029" t="str">
        <f>IF(CB296="","",VLOOKUP(CB296,KanckRef!$A$1:$G$300,2,FALSE))</f>
        <v/>
      </c>
      <c r="CC295" s="1030"/>
      <c r="CD295" s="1030"/>
      <c r="CE295" s="1030"/>
      <c r="CF295" s="1031"/>
      <c r="CG295" s="1048" t="str">
        <f>IF(CB296="","",VLOOKUP(CB296,KanckRef!$A$1:$G$300,6,FALSE))</f>
        <v/>
      </c>
      <c r="CH295" s="1049"/>
      <c r="CI295" s="988" t="str">
        <f>IF(CB296="","",VLOOKUP(CB296,DescRef!$D$2:$E$300,2,FALSE))</f>
        <v/>
      </c>
      <c r="CJ295" s="795"/>
      <c r="CK295" s="795"/>
      <c r="CL295" s="795"/>
      <c r="CM295" s="795"/>
      <c r="CN295" s="795"/>
      <c r="CO295" s="795"/>
      <c r="CP295" s="795"/>
      <c r="CQ295" s="795"/>
      <c r="CR295" s="795"/>
      <c r="CS295" s="795"/>
      <c r="CT295" s="795"/>
      <c r="CU295" s="795"/>
      <c r="CV295" s="795"/>
      <c r="CW295" s="795"/>
      <c r="CX295" s="795"/>
      <c r="CY295" s="795"/>
      <c r="CZ295" s="796"/>
    </row>
    <row r="296" spans="1:104" ht="15" customHeight="1" x14ac:dyDescent="0.25">
      <c r="A296" s="15">
        <v>49</v>
      </c>
      <c r="B296" s="1026" t="str">
        <f>IF(A296&lt;'Purchased Boons'!$B$496,VLOOKUP(A296,'Purchased Boons'!$BF$2:$BG$900,2,FALSE),"")</f>
        <v/>
      </c>
      <c r="C296" s="727"/>
      <c r="D296" s="727"/>
      <c r="E296" s="727"/>
      <c r="F296" s="727"/>
      <c r="G296" s="727"/>
      <c r="H296" s="727"/>
      <c r="I296" s="727" t="str">
        <f>IF(B296="","",VLOOKUP(B296,BoonRef!$A$2:$Z$900,25,FALSE))</f>
        <v/>
      </c>
      <c r="J296" s="727"/>
      <c r="K296" s="727"/>
      <c r="L296" s="727"/>
      <c r="M296" s="727"/>
      <c r="N296" s="727"/>
      <c r="O296" s="727"/>
      <c r="P296" s="727"/>
      <c r="Q296" s="727"/>
      <c r="R296" s="727"/>
      <c r="S296" s="727"/>
      <c r="T296" s="727"/>
      <c r="U296" s="727"/>
      <c r="V296" s="727"/>
      <c r="W296" s="727"/>
      <c r="X296" s="727"/>
      <c r="Y296" s="727"/>
      <c r="Z296" s="728"/>
      <c r="AA296" s="15">
        <v>156</v>
      </c>
      <c r="AB296" s="1026" t="str">
        <f>IF(AA296&lt;'Purchased Boons'!$B$496,VLOOKUP(AA296,'Purchased Boons'!$BF$2:$BG$900,2,FALSE),"")</f>
        <v/>
      </c>
      <c r="AC296" s="727"/>
      <c r="AD296" s="727"/>
      <c r="AE296" s="727"/>
      <c r="AF296" s="727"/>
      <c r="AG296" s="727"/>
      <c r="AH296" s="727"/>
      <c r="AI296" s="727" t="str">
        <f>IF(AB296="","",VLOOKUP(AB296,BoonRef!$A$2:$Z$900,25,FALSE))</f>
        <v/>
      </c>
      <c r="AJ296" s="727"/>
      <c r="AK296" s="727"/>
      <c r="AL296" s="727"/>
      <c r="AM296" s="727"/>
      <c r="AN296" s="727"/>
      <c r="AO296" s="727"/>
      <c r="AP296" s="727"/>
      <c r="AQ296" s="727"/>
      <c r="AR296" s="727"/>
      <c r="AS296" s="727"/>
      <c r="AT296" s="727"/>
      <c r="AU296" s="727"/>
      <c r="AV296" s="727"/>
      <c r="AW296" s="727"/>
      <c r="AX296" s="727"/>
      <c r="AY296" s="727"/>
      <c r="AZ296" s="728"/>
      <c r="BA296" s="15">
        <v>49</v>
      </c>
      <c r="BB296" s="1038" t="str">
        <f>IF(BA296&lt;'Purchased Knacks'!A$192,VLOOKUP(BA296,'Purchased Knacks'!$A$4:$E$300,3,FALSE),"")</f>
        <v/>
      </c>
      <c r="BC296" s="1039"/>
      <c r="BD296" s="1039"/>
      <c r="BE296" s="1039"/>
      <c r="BF296" s="1040"/>
      <c r="BG296" s="1032" t="str">
        <f>IF(BB296="","",VLOOKUP(BB296,KanckRef!$A$1:$G$300,7,FALSE))</f>
        <v/>
      </c>
      <c r="BH296" s="1033"/>
      <c r="BI296" s="753"/>
      <c r="BJ296" s="754"/>
      <c r="BK296" s="754"/>
      <c r="BL296" s="754"/>
      <c r="BM296" s="754"/>
      <c r="BN296" s="754"/>
      <c r="BO296" s="754"/>
      <c r="BP296" s="754"/>
      <c r="BQ296" s="754"/>
      <c r="BR296" s="754"/>
      <c r="BS296" s="754"/>
      <c r="BT296" s="754"/>
      <c r="BU296" s="754"/>
      <c r="BV296" s="754"/>
      <c r="BW296" s="754"/>
      <c r="BX296" s="754"/>
      <c r="BY296" s="754"/>
      <c r="BZ296" s="755"/>
      <c r="CA296" s="15">
        <v>156</v>
      </c>
      <c r="CB296" s="1038" t="str">
        <f>IF(CA296&lt;'Purchased Knacks'!A$192,VLOOKUP(CA296,'Purchased Knacks'!$A$4:$E$300,3,FALSE),"")</f>
        <v/>
      </c>
      <c r="CC296" s="1039"/>
      <c r="CD296" s="1039"/>
      <c r="CE296" s="1039"/>
      <c r="CF296" s="1040"/>
      <c r="CG296" s="1032" t="str">
        <f>IF(CB296="","",VLOOKUP(CB296,KanckRef!$A$1:$G$300,7,FALSE))</f>
        <v/>
      </c>
      <c r="CH296" s="1033"/>
      <c r="CI296" s="753"/>
      <c r="CJ296" s="754"/>
      <c r="CK296" s="754"/>
      <c r="CL296" s="754"/>
      <c r="CM296" s="754"/>
      <c r="CN296" s="754"/>
      <c r="CO296" s="754"/>
      <c r="CP296" s="754"/>
      <c r="CQ296" s="754"/>
      <c r="CR296" s="754"/>
      <c r="CS296" s="754"/>
      <c r="CT296" s="754"/>
      <c r="CU296" s="754"/>
      <c r="CV296" s="754"/>
      <c r="CW296" s="754"/>
      <c r="CX296" s="754"/>
      <c r="CY296" s="754"/>
      <c r="CZ296" s="755"/>
    </row>
    <row r="297" spans="1:104" x14ac:dyDescent="0.25">
      <c r="B297" s="1026"/>
      <c r="C297" s="727"/>
      <c r="D297" s="727"/>
      <c r="E297" s="727"/>
      <c r="F297" s="727"/>
      <c r="G297" s="727"/>
      <c r="H297" s="727"/>
      <c r="I297" s="727" t="str">
        <f>IF(B296="","",VLOOKUP(B296,BoonRef!$A$2:$Z$900,26,FALSE))</f>
        <v/>
      </c>
      <c r="J297" s="727"/>
      <c r="K297" s="727"/>
      <c r="L297" s="727"/>
      <c r="M297" s="727"/>
      <c r="N297" s="727"/>
      <c r="O297" s="727"/>
      <c r="P297" s="727"/>
      <c r="Q297" s="727"/>
      <c r="R297" s="727"/>
      <c r="S297" s="727"/>
      <c r="T297" s="727"/>
      <c r="U297" s="727"/>
      <c r="V297" s="727"/>
      <c r="W297" s="727"/>
      <c r="X297" s="727"/>
      <c r="Y297" s="727"/>
      <c r="Z297" s="728"/>
      <c r="AB297" s="1026"/>
      <c r="AC297" s="727"/>
      <c r="AD297" s="727"/>
      <c r="AE297" s="727"/>
      <c r="AF297" s="727"/>
      <c r="AG297" s="727"/>
      <c r="AH297" s="727"/>
      <c r="AI297" s="727" t="str">
        <f>IF(AB296="","",VLOOKUP(AB296,BoonRef!$A$2:$Z$900,26,FALSE))</f>
        <v/>
      </c>
      <c r="AJ297" s="727"/>
      <c r="AK297" s="727"/>
      <c r="AL297" s="727"/>
      <c r="AM297" s="727"/>
      <c r="AN297" s="727"/>
      <c r="AO297" s="727"/>
      <c r="AP297" s="727"/>
      <c r="AQ297" s="727"/>
      <c r="AR297" s="727"/>
      <c r="AS297" s="727"/>
      <c r="AT297" s="727"/>
      <c r="AU297" s="727"/>
      <c r="AV297" s="727"/>
      <c r="AW297" s="727"/>
      <c r="AX297" s="727"/>
      <c r="AY297" s="727"/>
      <c r="AZ297" s="728"/>
      <c r="BB297" s="1041"/>
      <c r="BC297" s="1042"/>
      <c r="BD297" s="1042"/>
      <c r="BE297" s="1042"/>
      <c r="BF297" s="1043"/>
      <c r="BG297" s="1034"/>
      <c r="BH297" s="1035"/>
      <c r="BI297" s="753"/>
      <c r="BJ297" s="754"/>
      <c r="BK297" s="754"/>
      <c r="BL297" s="754"/>
      <c r="BM297" s="754"/>
      <c r="BN297" s="754"/>
      <c r="BO297" s="754"/>
      <c r="BP297" s="754"/>
      <c r="BQ297" s="754"/>
      <c r="BR297" s="754"/>
      <c r="BS297" s="754"/>
      <c r="BT297" s="754"/>
      <c r="BU297" s="754"/>
      <c r="BV297" s="754"/>
      <c r="BW297" s="754"/>
      <c r="BX297" s="754"/>
      <c r="BY297" s="754"/>
      <c r="BZ297" s="755"/>
      <c r="CB297" s="1041"/>
      <c r="CC297" s="1042"/>
      <c r="CD297" s="1042"/>
      <c r="CE297" s="1042"/>
      <c r="CF297" s="1043"/>
      <c r="CG297" s="1034"/>
      <c r="CH297" s="1035"/>
      <c r="CI297" s="753"/>
      <c r="CJ297" s="754"/>
      <c r="CK297" s="754"/>
      <c r="CL297" s="754"/>
      <c r="CM297" s="754"/>
      <c r="CN297" s="754"/>
      <c r="CO297" s="754"/>
      <c r="CP297" s="754"/>
      <c r="CQ297" s="754"/>
      <c r="CR297" s="754"/>
      <c r="CS297" s="754"/>
      <c r="CT297" s="754"/>
      <c r="CU297" s="754"/>
      <c r="CV297" s="754"/>
      <c r="CW297" s="754"/>
      <c r="CX297" s="754"/>
      <c r="CY297" s="754"/>
      <c r="CZ297" s="755"/>
    </row>
    <row r="298" spans="1:104" x14ac:dyDescent="0.25">
      <c r="B298" s="1026" t="str">
        <f>IF(B296="","",VLOOKUP(B296,BoonRef!$A$2:$Z$900,24,FALSE))</f>
        <v/>
      </c>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8"/>
      <c r="AB298" s="1026" t="str">
        <f>IF(AB296="","",VLOOKUP(AB296,BoonRef!$A$2:$Z$900,24,FALSE))</f>
        <v/>
      </c>
      <c r="AC298" s="727"/>
      <c r="AD298" s="727"/>
      <c r="AE298" s="727"/>
      <c r="AF298" s="727"/>
      <c r="AG298" s="727"/>
      <c r="AH298" s="727"/>
      <c r="AI298" s="727"/>
      <c r="AJ298" s="727"/>
      <c r="AK298" s="727"/>
      <c r="AL298" s="727"/>
      <c r="AM298" s="727"/>
      <c r="AN298" s="727"/>
      <c r="AO298" s="727"/>
      <c r="AP298" s="727"/>
      <c r="AQ298" s="727"/>
      <c r="AR298" s="727"/>
      <c r="AS298" s="727"/>
      <c r="AT298" s="727"/>
      <c r="AU298" s="727"/>
      <c r="AV298" s="727"/>
      <c r="AW298" s="727"/>
      <c r="AX298" s="727"/>
      <c r="AY298" s="727"/>
      <c r="AZ298" s="728"/>
      <c r="BB298" s="641" t="str">
        <f>IF(BB296="","",VLOOKUP(BB296,KanckRef!$A$1:$G$300,4,FALSE))</f>
        <v/>
      </c>
      <c r="BC298" s="642"/>
      <c r="BD298" s="642"/>
      <c r="BE298" s="642"/>
      <c r="BF298" s="642"/>
      <c r="BG298" s="642"/>
      <c r="BH298" s="1033"/>
      <c r="BI298" s="753"/>
      <c r="BJ298" s="754"/>
      <c r="BK298" s="754"/>
      <c r="BL298" s="754"/>
      <c r="BM298" s="754"/>
      <c r="BN298" s="754"/>
      <c r="BO298" s="754"/>
      <c r="BP298" s="754"/>
      <c r="BQ298" s="754"/>
      <c r="BR298" s="754"/>
      <c r="BS298" s="754"/>
      <c r="BT298" s="754"/>
      <c r="BU298" s="754"/>
      <c r="BV298" s="754"/>
      <c r="BW298" s="754"/>
      <c r="BX298" s="754"/>
      <c r="BY298" s="754"/>
      <c r="BZ298" s="755"/>
      <c r="CB298" s="641" t="str">
        <f>IF(CB296="","",VLOOKUP(CB296,KanckRef!$A$1:$G$300,4,FALSE))</f>
        <v/>
      </c>
      <c r="CC298" s="642"/>
      <c r="CD298" s="642"/>
      <c r="CE298" s="642"/>
      <c r="CF298" s="642"/>
      <c r="CG298" s="642"/>
      <c r="CH298" s="1033"/>
      <c r="CI298" s="753"/>
      <c r="CJ298" s="754"/>
      <c r="CK298" s="754"/>
      <c r="CL298" s="754"/>
      <c r="CM298" s="754"/>
      <c r="CN298" s="754"/>
      <c r="CO298" s="754"/>
      <c r="CP298" s="754"/>
      <c r="CQ298" s="754"/>
      <c r="CR298" s="754"/>
      <c r="CS298" s="754"/>
      <c r="CT298" s="754"/>
      <c r="CU298" s="754"/>
      <c r="CV298" s="754"/>
      <c r="CW298" s="754"/>
      <c r="CX298" s="754"/>
      <c r="CY298" s="754"/>
      <c r="CZ298" s="755"/>
    </row>
    <row r="299" spans="1:104" x14ac:dyDescent="0.25">
      <c r="B299" s="1026" t="str">
        <f>IF(B296="","",VLOOKUP(B296,BoonRef!$A$2:$Z$900,23,FALSE))</f>
        <v/>
      </c>
      <c r="C299" s="727"/>
      <c r="D299" s="727"/>
      <c r="E299" s="727"/>
      <c r="F299" s="727"/>
      <c r="G299" s="727"/>
      <c r="H299" s="727"/>
      <c r="I299" s="727"/>
      <c r="J299" s="727"/>
      <c r="K299" s="727"/>
      <c r="L299" s="727"/>
      <c r="M299" s="727"/>
      <c r="N299" s="727"/>
      <c r="O299" s="727"/>
      <c r="P299" s="727"/>
      <c r="Q299" s="727"/>
      <c r="R299" s="727"/>
      <c r="S299" s="727"/>
      <c r="T299" s="727"/>
      <c r="U299" s="727"/>
      <c r="V299" s="727"/>
      <c r="W299" s="727"/>
      <c r="X299" s="727"/>
      <c r="Y299" s="727"/>
      <c r="Z299" s="728"/>
      <c r="AB299" s="1026" t="str">
        <f>IF(AB296="","",VLOOKUP(AB296,BoonRef!$A$2:$Z$900,23,FALSE))</f>
        <v/>
      </c>
      <c r="AC299" s="727"/>
      <c r="AD299" s="727"/>
      <c r="AE299" s="727"/>
      <c r="AF299" s="727"/>
      <c r="AG299" s="727"/>
      <c r="AH299" s="727"/>
      <c r="AI299" s="727"/>
      <c r="AJ299" s="727"/>
      <c r="AK299" s="727"/>
      <c r="AL299" s="727"/>
      <c r="AM299" s="727"/>
      <c r="AN299" s="727"/>
      <c r="AO299" s="727"/>
      <c r="AP299" s="727"/>
      <c r="AQ299" s="727"/>
      <c r="AR299" s="727"/>
      <c r="AS299" s="727"/>
      <c r="AT299" s="727"/>
      <c r="AU299" s="727"/>
      <c r="AV299" s="727"/>
      <c r="AW299" s="727"/>
      <c r="AX299" s="727"/>
      <c r="AY299" s="727"/>
      <c r="AZ299" s="728"/>
      <c r="BB299" s="635"/>
      <c r="BC299" s="636"/>
      <c r="BD299" s="636"/>
      <c r="BE299" s="636"/>
      <c r="BF299" s="636"/>
      <c r="BG299" s="636"/>
      <c r="BH299" s="1036"/>
      <c r="BI299" s="753"/>
      <c r="BJ299" s="754"/>
      <c r="BK299" s="754"/>
      <c r="BL299" s="754"/>
      <c r="BM299" s="754"/>
      <c r="BN299" s="754"/>
      <c r="BO299" s="754"/>
      <c r="BP299" s="754"/>
      <c r="BQ299" s="754"/>
      <c r="BR299" s="754"/>
      <c r="BS299" s="754"/>
      <c r="BT299" s="754"/>
      <c r="BU299" s="754"/>
      <c r="BV299" s="754"/>
      <c r="BW299" s="754"/>
      <c r="BX299" s="754"/>
      <c r="BY299" s="754"/>
      <c r="BZ299" s="755"/>
      <c r="CB299" s="635"/>
      <c r="CC299" s="636"/>
      <c r="CD299" s="636"/>
      <c r="CE299" s="636"/>
      <c r="CF299" s="636"/>
      <c r="CG299" s="636"/>
      <c r="CH299" s="1036"/>
      <c r="CI299" s="753"/>
      <c r="CJ299" s="754"/>
      <c r="CK299" s="754"/>
      <c r="CL299" s="754"/>
      <c r="CM299" s="754"/>
      <c r="CN299" s="754"/>
      <c r="CO299" s="754"/>
      <c r="CP299" s="754"/>
      <c r="CQ299" s="754"/>
      <c r="CR299" s="754"/>
      <c r="CS299" s="754"/>
      <c r="CT299" s="754"/>
      <c r="CU299" s="754"/>
      <c r="CV299" s="754"/>
      <c r="CW299" s="754"/>
      <c r="CX299" s="754"/>
      <c r="CY299" s="754"/>
      <c r="CZ299" s="755"/>
    </row>
    <row r="300" spans="1:104" ht="15" customHeight="1" thickBot="1" x14ac:dyDescent="0.3">
      <c r="B300" s="1027"/>
      <c r="C300" s="865"/>
      <c r="D300" s="865"/>
      <c r="E300" s="865"/>
      <c r="F300" s="865"/>
      <c r="G300" s="865"/>
      <c r="H300" s="865"/>
      <c r="I300" s="865"/>
      <c r="J300" s="865"/>
      <c r="K300" s="865"/>
      <c r="L300" s="865"/>
      <c r="M300" s="865"/>
      <c r="N300" s="865"/>
      <c r="O300" s="865"/>
      <c r="P300" s="865"/>
      <c r="Q300" s="865"/>
      <c r="R300" s="865"/>
      <c r="S300" s="865"/>
      <c r="T300" s="865"/>
      <c r="U300" s="865"/>
      <c r="V300" s="865"/>
      <c r="W300" s="865"/>
      <c r="X300" s="865"/>
      <c r="Y300" s="865"/>
      <c r="Z300" s="921"/>
      <c r="AB300" s="1027"/>
      <c r="AC300" s="865"/>
      <c r="AD300" s="865"/>
      <c r="AE300" s="865"/>
      <c r="AF300" s="865"/>
      <c r="AG300" s="865"/>
      <c r="AH300" s="865"/>
      <c r="AI300" s="865"/>
      <c r="AJ300" s="865"/>
      <c r="AK300" s="865"/>
      <c r="AL300" s="865"/>
      <c r="AM300" s="865"/>
      <c r="AN300" s="865"/>
      <c r="AO300" s="865"/>
      <c r="AP300" s="865"/>
      <c r="AQ300" s="865"/>
      <c r="AR300" s="865"/>
      <c r="AS300" s="865"/>
      <c r="AT300" s="865"/>
      <c r="AU300" s="865"/>
      <c r="AV300" s="865"/>
      <c r="AW300" s="865"/>
      <c r="AX300" s="865"/>
      <c r="AY300" s="865"/>
      <c r="AZ300" s="921"/>
      <c r="BB300" s="644"/>
      <c r="BC300" s="645"/>
      <c r="BD300" s="645"/>
      <c r="BE300" s="645"/>
      <c r="BF300" s="645"/>
      <c r="BG300" s="645"/>
      <c r="BH300" s="1037"/>
      <c r="BI300" s="756"/>
      <c r="BJ300" s="757"/>
      <c r="BK300" s="757"/>
      <c r="BL300" s="757"/>
      <c r="BM300" s="757"/>
      <c r="BN300" s="757"/>
      <c r="BO300" s="757"/>
      <c r="BP300" s="757"/>
      <c r="BQ300" s="757"/>
      <c r="BR300" s="757"/>
      <c r="BS300" s="757"/>
      <c r="BT300" s="757"/>
      <c r="BU300" s="757"/>
      <c r="BV300" s="757"/>
      <c r="BW300" s="757"/>
      <c r="BX300" s="757"/>
      <c r="BY300" s="757"/>
      <c r="BZ300" s="758"/>
      <c r="CB300" s="644"/>
      <c r="CC300" s="645"/>
      <c r="CD300" s="645"/>
      <c r="CE300" s="645"/>
      <c r="CF300" s="645"/>
      <c r="CG300" s="645"/>
      <c r="CH300" s="1037"/>
      <c r="CI300" s="756"/>
      <c r="CJ300" s="757"/>
      <c r="CK300" s="757"/>
      <c r="CL300" s="757"/>
      <c r="CM300" s="757"/>
      <c r="CN300" s="757"/>
      <c r="CO300" s="757"/>
      <c r="CP300" s="757"/>
      <c r="CQ300" s="757"/>
      <c r="CR300" s="757"/>
      <c r="CS300" s="757"/>
      <c r="CT300" s="757"/>
      <c r="CU300" s="757"/>
      <c r="CV300" s="757"/>
      <c r="CW300" s="757"/>
      <c r="CX300" s="757"/>
      <c r="CY300" s="757"/>
      <c r="CZ300" s="758"/>
    </row>
    <row r="301" spans="1:104" ht="15" customHeight="1" x14ac:dyDescent="0.25">
      <c r="B301" s="1028" t="str">
        <f>IF(B302="","",VLOOKUP(B302,BoonRef!$A$2:$Z$900,2,FALSE))</f>
        <v/>
      </c>
      <c r="C301" s="725"/>
      <c r="D301" s="725"/>
      <c r="E301" s="725"/>
      <c r="F301" s="725"/>
      <c r="G301" s="725"/>
      <c r="H301" s="725"/>
      <c r="I301" s="725" t="str">
        <f>IF(B302="","",VLOOKUP(B302,BoonRef!$A$2:$Z$900,3,FALSE))</f>
        <v/>
      </c>
      <c r="J301" s="725"/>
      <c r="K301" s="725" t="str">
        <f>IF(B302="","",VLOOKUP(B302,DescRef!$A$2:$B$900,2,FALSE))</f>
        <v/>
      </c>
      <c r="L301" s="725"/>
      <c r="M301" s="725"/>
      <c r="N301" s="725"/>
      <c r="O301" s="725"/>
      <c r="P301" s="725"/>
      <c r="Q301" s="725"/>
      <c r="R301" s="725"/>
      <c r="S301" s="725"/>
      <c r="T301" s="725"/>
      <c r="U301" s="725"/>
      <c r="V301" s="725"/>
      <c r="W301" s="725"/>
      <c r="X301" s="725"/>
      <c r="Y301" s="725"/>
      <c r="Z301" s="726"/>
      <c r="AB301" s="1028" t="str">
        <f>IF(AB302="","",VLOOKUP(AB302,BoonRef!$A$2:$Z$900,2,FALSE))</f>
        <v/>
      </c>
      <c r="AC301" s="725"/>
      <c r="AD301" s="725"/>
      <c r="AE301" s="725"/>
      <c r="AF301" s="725"/>
      <c r="AG301" s="725"/>
      <c r="AH301" s="725"/>
      <c r="AI301" s="725" t="str">
        <f>IF(AB302="","",VLOOKUP(AB302,BoonRef!$A$2:$Z$900,3,FALSE))</f>
        <v/>
      </c>
      <c r="AJ301" s="725"/>
      <c r="AK301" s="725" t="str">
        <f>IF(AB302="","",VLOOKUP(AB302,DescRef!$A$2:$B$900,2,FALSE))</f>
        <v/>
      </c>
      <c r="AL301" s="725"/>
      <c r="AM301" s="725"/>
      <c r="AN301" s="725"/>
      <c r="AO301" s="725"/>
      <c r="AP301" s="725"/>
      <c r="AQ301" s="725"/>
      <c r="AR301" s="725"/>
      <c r="AS301" s="725"/>
      <c r="AT301" s="725"/>
      <c r="AU301" s="725"/>
      <c r="AV301" s="725"/>
      <c r="AW301" s="725"/>
      <c r="AX301" s="725"/>
      <c r="AY301" s="725"/>
      <c r="AZ301" s="726"/>
      <c r="BB301" s="1029" t="str">
        <f>IF(BB302="","",VLOOKUP(BB302,KanckRef!$A$1:$G$300,2,FALSE))</f>
        <v/>
      </c>
      <c r="BC301" s="1030"/>
      <c r="BD301" s="1030"/>
      <c r="BE301" s="1030"/>
      <c r="BF301" s="1031"/>
      <c r="BG301" s="1048" t="str">
        <f>IF(BB302="","",VLOOKUP(BB302,KanckRef!$A$1:$G$300,6,FALSE))</f>
        <v/>
      </c>
      <c r="BH301" s="1049"/>
      <c r="BI301" s="988" t="str">
        <f>IF(BB302="","",VLOOKUP(BB302,DescRef!$D$2:$E$300,2,FALSE))</f>
        <v/>
      </c>
      <c r="BJ301" s="795"/>
      <c r="BK301" s="795"/>
      <c r="BL301" s="795"/>
      <c r="BM301" s="795"/>
      <c r="BN301" s="795"/>
      <c r="BO301" s="795"/>
      <c r="BP301" s="795"/>
      <c r="BQ301" s="795"/>
      <c r="BR301" s="795"/>
      <c r="BS301" s="795"/>
      <c r="BT301" s="795"/>
      <c r="BU301" s="795"/>
      <c r="BV301" s="795"/>
      <c r="BW301" s="795"/>
      <c r="BX301" s="795"/>
      <c r="BY301" s="795"/>
      <c r="BZ301" s="796"/>
      <c r="CB301" s="1029" t="str">
        <f>IF(CB302="","",VLOOKUP(CB302,KanckRef!$A$1:$G$300,2,FALSE))</f>
        <v/>
      </c>
      <c r="CC301" s="1030"/>
      <c r="CD301" s="1030"/>
      <c r="CE301" s="1030"/>
      <c r="CF301" s="1031"/>
      <c r="CG301" s="1048" t="str">
        <f>IF(CB302="","",VLOOKUP(CB302,KanckRef!$A$1:$G$300,6,FALSE))</f>
        <v/>
      </c>
      <c r="CH301" s="1049"/>
      <c r="CI301" s="988" t="str">
        <f>IF(CB302="","",VLOOKUP(CB302,DescRef!$D$2:$E$300,2,FALSE))</f>
        <v/>
      </c>
      <c r="CJ301" s="795"/>
      <c r="CK301" s="795"/>
      <c r="CL301" s="795"/>
      <c r="CM301" s="795"/>
      <c r="CN301" s="795"/>
      <c r="CO301" s="795"/>
      <c r="CP301" s="795"/>
      <c r="CQ301" s="795"/>
      <c r="CR301" s="795"/>
      <c r="CS301" s="795"/>
      <c r="CT301" s="795"/>
      <c r="CU301" s="795"/>
      <c r="CV301" s="795"/>
      <c r="CW301" s="795"/>
      <c r="CX301" s="795"/>
      <c r="CY301" s="795"/>
      <c r="CZ301" s="796"/>
    </row>
    <row r="302" spans="1:104" ht="15" customHeight="1" x14ac:dyDescent="0.25">
      <c r="A302" s="15">
        <v>50</v>
      </c>
      <c r="B302" s="1026" t="str">
        <f>IF(A302&lt;'Purchased Boons'!$B$496,VLOOKUP(A302,'Purchased Boons'!$BF$2:$BG$900,2,FALSE),"")</f>
        <v/>
      </c>
      <c r="C302" s="727"/>
      <c r="D302" s="727"/>
      <c r="E302" s="727"/>
      <c r="F302" s="727"/>
      <c r="G302" s="727"/>
      <c r="H302" s="727"/>
      <c r="I302" s="727" t="str">
        <f>IF(B302="","",VLOOKUP(B302,BoonRef!$A$2:$Z$900,25,FALSE))</f>
        <v/>
      </c>
      <c r="J302" s="727"/>
      <c r="K302" s="727"/>
      <c r="L302" s="727"/>
      <c r="M302" s="727"/>
      <c r="N302" s="727"/>
      <c r="O302" s="727"/>
      <c r="P302" s="727"/>
      <c r="Q302" s="727"/>
      <c r="R302" s="727"/>
      <c r="S302" s="727"/>
      <c r="T302" s="727"/>
      <c r="U302" s="727"/>
      <c r="V302" s="727"/>
      <c r="W302" s="727"/>
      <c r="X302" s="727"/>
      <c r="Y302" s="727"/>
      <c r="Z302" s="728"/>
      <c r="AA302" s="15">
        <v>157</v>
      </c>
      <c r="AB302" s="1026" t="str">
        <f>IF(AA302&lt;'Purchased Boons'!$B$496,VLOOKUP(AA302,'Purchased Boons'!$BF$2:$BG$900,2,FALSE),"")</f>
        <v/>
      </c>
      <c r="AC302" s="727"/>
      <c r="AD302" s="727"/>
      <c r="AE302" s="727"/>
      <c r="AF302" s="727"/>
      <c r="AG302" s="727"/>
      <c r="AH302" s="727"/>
      <c r="AI302" s="727" t="str">
        <f>IF(AB302="","",VLOOKUP(AB302,BoonRef!$A$2:$Z$900,25,FALSE))</f>
        <v/>
      </c>
      <c r="AJ302" s="727"/>
      <c r="AK302" s="727"/>
      <c r="AL302" s="727"/>
      <c r="AM302" s="727"/>
      <c r="AN302" s="727"/>
      <c r="AO302" s="727"/>
      <c r="AP302" s="727"/>
      <c r="AQ302" s="727"/>
      <c r="AR302" s="727"/>
      <c r="AS302" s="727"/>
      <c r="AT302" s="727"/>
      <c r="AU302" s="727"/>
      <c r="AV302" s="727"/>
      <c r="AW302" s="727"/>
      <c r="AX302" s="727"/>
      <c r="AY302" s="727"/>
      <c r="AZ302" s="728"/>
      <c r="BA302" s="15">
        <v>50</v>
      </c>
      <c r="BB302" s="1038" t="str">
        <f>IF(BA302&lt;'Purchased Knacks'!A$192,VLOOKUP(BA302,'Purchased Knacks'!$A$4:$E$300,3,FALSE),"")</f>
        <v/>
      </c>
      <c r="BC302" s="1039"/>
      <c r="BD302" s="1039"/>
      <c r="BE302" s="1039"/>
      <c r="BF302" s="1040"/>
      <c r="BG302" s="1032" t="str">
        <f>IF(BB302="","",VLOOKUP(BB302,KanckRef!$A$1:$G$300,7,FALSE))</f>
        <v/>
      </c>
      <c r="BH302" s="1033"/>
      <c r="BI302" s="753"/>
      <c r="BJ302" s="754"/>
      <c r="BK302" s="754"/>
      <c r="BL302" s="754"/>
      <c r="BM302" s="754"/>
      <c r="BN302" s="754"/>
      <c r="BO302" s="754"/>
      <c r="BP302" s="754"/>
      <c r="BQ302" s="754"/>
      <c r="BR302" s="754"/>
      <c r="BS302" s="754"/>
      <c r="BT302" s="754"/>
      <c r="BU302" s="754"/>
      <c r="BV302" s="754"/>
      <c r="BW302" s="754"/>
      <c r="BX302" s="754"/>
      <c r="BY302" s="754"/>
      <c r="BZ302" s="755"/>
      <c r="CA302" s="15">
        <v>157</v>
      </c>
      <c r="CB302" s="1038" t="str">
        <f>IF(CA302&lt;'Purchased Knacks'!A$192,VLOOKUP(CA302,'Purchased Knacks'!$A$4:$E$300,3,FALSE),"")</f>
        <v/>
      </c>
      <c r="CC302" s="1039"/>
      <c r="CD302" s="1039"/>
      <c r="CE302" s="1039"/>
      <c r="CF302" s="1040"/>
      <c r="CG302" s="1032" t="str">
        <f>IF(CB302="","",VLOOKUP(CB302,KanckRef!$A$1:$G$300,7,FALSE))</f>
        <v/>
      </c>
      <c r="CH302" s="1033"/>
      <c r="CI302" s="753"/>
      <c r="CJ302" s="754"/>
      <c r="CK302" s="754"/>
      <c r="CL302" s="754"/>
      <c r="CM302" s="754"/>
      <c r="CN302" s="754"/>
      <c r="CO302" s="754"/>
      <c r="CP302" s="754"/>
      <c r="CQ302" s="754"/>
      <c r="CR302" s="754"/>
      <c r="CS302" s="754"/>
      <c r="CT302" s="754"/>
      <c r="CU302" s="754"/>
      <c r="CV302" s="754"/>
      <c r="CW302" s="754"/>
      <c r="CX302" s="754"/>
      <c r="CY302" s="754"/>
      <c r="CZ302" s="755"/>
    </row>
    <row r="303" spans="1:104" x14ac:dyDescent="0.25">
      <c r="B303" s="1026"/>
      <c r="C303" s="727"/>
      <c r="D303" s="727"/>
      <c r="E303" s="727"/>
      <c r="F303" s="727"/>
      <c r="G303" s="727"/>
      <c r="H303" s="727"/>
      <c r="I303" s="727" t="str">
        <f>IF(B302="","",VLOOKUP(B302,BoonRef!$A$2:$Z$900,26,FALSE))</f>
        <v/>
      </c>
      <c r="J303" s="727"/>
      <c r="K303" s="727"/>
      <c r="L303" s="727"/>
      <c r="M303" s="727"/>
      <c r="N303" s="727"/>
      <c r="O303" s="727"/>
      <c r="P303" s="727"/>
      <c r="Q303" s="727"/>
      <c r="R303" s="727"/>
      <c r="S303" s="727"/>
      <c r="T303" s="727"/>
      <c r="U303" s="727"/>
      <c r="V303" s="727"/>
      <c r="W303" s="727"/>
      <c r="X303" s="727"/>
      <c r="Y303" s="727"/>
      <c r="Z303" s="728"/>
      <c r="AB303" s="1026"/>
      <c r="AC303" s="727"/>
      <c r="AD303" s="727"/>
      <c r="AE303" s="727"/>
      <c r="AF303" s="727"/>
      <c r="AG303" s="727"/>
      <c r="AH303" s="727"/>
      <c r="AI303" s="727" t="str">
        <f>IF(AB302="","",VLOOKUP(AB302,BoonRef!$A$2:$Z$900,26,FALSE))</f>
        <v/>
      </c>
      <c r="AJ303" s="727"/>
      <c r="AK303" s="727"/>
      <c r="AL303" s="727"/>
      <c r="AM303" s="727"/>
      <c r="AN303" s="727"/>
      <c r="AO303" s="727"/>
      <c r="AP303" s="727"/>
      <c r="AQ303" s="727"/>
      <c r="AR303" s="727"/>
      <c r="AS303" s="727"/>
      <c r="AT303" s="727"/>
      <c r="AU303" s="727"/>
      <c r="AV303" s="727"/>
      <c r="AW303" s="727"/>
      <c r="AX303" s="727"/>
      <c r="AY303" s="727"/>
      <c r="AZ303" s="728"/>
      <c r="BB303" s="1041"/>
      <c r="BC303" s="1042"/>
      <c r="BD303" s="1042"/>
      <c r="BE303" s="1042"/>
      <c r="BF303" s="1043"/>
      <c r="BG303" s="1034"/>
      <c r="BH303" s="1035"/>
      <c r="BI303" s="753"/>
      <c r="BJ303" s="754"/>
      <c r="BK303" s="754"/>
      <c r="BL303" s="754"/>
      <c r="BM303" s="754"/>
      <c r="BN303" s="754"/>
      <c r="BO303" s="754"/>
      <c r="BP303" s="754"/>
      <c r="BQ303" s="754"/>
      <c r="BR303" s="754"/>
      <c r="BS303" s="754"/>
      <c r="BT303" s="754"/>
      <c r="BU303" s="754"/>
      <c r="BV303" s="754"/>
      <c r="BW303" s="754"/>
      <c r="BX303" s="754"/>
      <c r="BY303" s="754"/>
      <c r="BZ303" s="755"/>
      <c r="CB303" s="1041"/>
      <c r="CC303" s="1042"/>
      <c r="CD303" s="1042"/>
      <c r="CE303" s="1042"/>
      <c r="CF303" s="1043"/>
      <c r="CG303" s="1034"/>
      <c r="CH303" s="1035"/>
      <c r="CI303" s="753"/>
      <c r="CJ303" s="754"/>
      <c r="CK303" s="754"/>
      <c r="CL303" s="754"/>
      <c r="CM303" s="754"/>
      <c r="CN303" s="754"/>
      <c r="CO303" s="754"/>
      <c r="CP303" s="754"/>
      <c r="CQ303" s="754"/>
      <c r="CR303" s="754"/>
      <c r="CS303" s="754"/>
      <c r="CT303" s="754"/>
      <c r="CU303" s="754"/>
      <c r="CV303" s="754"/>
      <c r="CW303" s="754"/>
      <c r="CX303" s="754"/>
      <c r="CY303" s="754"/>
      <c r="CZ303" s="755"/>
    </row>
    <row r="304" spans="1:104" x14ac:dyDescent="0.25">
      <c r="B304" s="1026" t="str">
        <f>IF(B302="","",VLOOKUP(B302,BoonRef!$A$2:$Z$900,24,FALSE))</f>
        <v/>
      </c>
      <c r="C304" s="727"/>
      <c r="D304" s="727"/>
      <c r="E304" s="727"/>
      <c r="F304" s="727"/>
      <c r="G304" s="727"/>
      <c r="H304" s="727"/>
      <c r="I304" s="727"/>
      <c r="J304" s="727"/>
      <c r="K304" s="727"/>
      <c r="L304" s="727"/>
      <c r="M304" s="727"/>
      <c r="N304" s="727"/>
      <c r="O304" s="727"/>
      <c r="P304" s="727"/>
      <c r="Q304" s="727"/>
      <c r="R304" s="727"/>
      <c r="S304" s="727"/>
      <c r="T304" s="727"/>
      <c r="U304" s="727"/>
      <c r="V304" s="727"/>
      <c r="W304" s="727"/>
      <c r="X304" s="727"/>
      <c r="Y304" s="727"/>
      <c r="Z304" s="728"/>
      <c r="AB304" s="1026" t="str">
        <f>IF(AB302="","",VLOOKUP(AB302,BoonRef!$A$2:$Z$900,24,FALSE))</f>
        <v/>
      </c>
      <c r="AC304" s="727"/>
      <c r="AD304" s="727"/>
      <c r="AE304" s="727"/>
      <c r="AF304" s="727"/>
      <c r="AG304" s="727"/>
      <c r="AH304" s="727"/>
      <c r="AI304" s="727"/>
      <c r="AJ304" s="727"/>
      <c r="AK304" s="727"/>
      <c r="AL304" s="727"/>
      <c r="AM304" s="727"/>
      <c r="AN304" s="727"/>
      <c r="AO304" s="727"/>
      <c r="AP304" s="727"/>
      <c r="AQ304" s="727"/>
      <c r="AR304" s="727"/>
      <c r="AS304" s="727"/>
      <c r="AT304" s="727"/>
      <c r="AU304" s="727"/>
      <c r="AV304" s="727"/>
      <c r="AW304" s="727"/>
      <c r="AX304" s="727"/>
      <c r="AY304" s="727"/>
      <c r="AZ304" s="728"/>
      <c r="BB304" s="641" t="str">
        <f>IF(BB302="","",VLOOKUP(BB302,KanckRef!$A$1:$G$300,4,FALSE))</f>
        <v/>
      </c>
      <c r="BC304" s="642"/>
      <c r="BD304" s="642"/>
      <c r="BE304" s="642"/>
      <c r="BF304" s="642"/>
      <c r="BG304" s="642"/>
      <c r="BH304" s="1033"/>
      <c r="BI304" s="753"/>
      <c r="BJ304" s="754"/>
      <c r="BK304" s="754"/>
      <c r="BL304" s="754"/>
      <c r="BM304" s="754"/>
      <c r="BN304" s="754"/>
      <c r="BO304" s="754"/>
      <c r="BP304" s="754"/>
      <c r="BQ304" s="754"/>
      <c r="BR304" s="754"/>
      <c r="BS304" s="754"/>
      <c r="BT304" s="754"/>
      <c r="BU304" s="754"/>
      <c r="BV304" s="754"/>
      <c r="BW304" s="754"/>
      <c r="BX304" s="754"/>
      <c r="BY304" s="754"/>
      <c r="BZ304" s="755"/>
      <c r="CB304" s="641" t="str">
        <f>IF(CB302="","",VLOOKUP(CB302,KanckRef!$A$1:$G$300,4,FALSE))</f>
        <v/>
      </c>
      <c r="CC304" s="642"/>
      <c r="CD304" s="642"/>
      <c r="CE304" s="642"/>
      <c r="CF304" s="642"/>
      <c r="CG304" s="642"/>
      <c r="CH304" s="1033"/>
      <c r="CI304" s="753"/>
      <c r="CJ304" s="754"/>
      <c r="CK304" s="754"/>
      <c r="CL304" s="754"/>
      <c r="CM304" s="754"/>
      <c r="CN304" s="754"/>
      <c r="CO304" s="754"/>
      <c r="CP304" s="754"/>
      <c r="CQ304" s="754"/>
      <c r="CR304" s="754"/>
      <c r="CS304" s="754"/>
      <c r="CT304" s="754"/>
      <c r="CU304" s="754"/>
      <c r="CV304" s="754"/>
      <c r="CW304" s="754"/>
      <c r="CX304" s="754"/>
      <c r="CY304" s="754"/>
      <c r="CZ304" s="755"/>
    </row>
    <row r="305" spans="1:104" ht="15" customHeight="1" x14ac:dyDescent="0.25">
      <c r="B305" s="1026" t="str">
        <f>IF(B302="","",VLOOKUP(B302,BoonRef!$A$2:$Z$900,23,FALSE))</f>
        <v/>
      </c>
      <c r="C305" s="727"/>
      <c r="D305" s="727"/>
      <c r="E305" s="727"/>
      <c r="F305" s="727"/>
      <c r="G305" s="727"/>
      <c r="H305" s="727"/>
      <c r="I305" s="727"/>
      <c r="J305" s="727"/>
      <c r="K305" s="727"/>
      <c r="L305" s="727"/>
      <c r="M305" s="727"/>
      <c r="N305" s="727"/>
      <c r="O305" s="727"/>
      <c r="P305" s="727"/>
      <c r="Q305" s="727"/>
      <c r="R305" s="727"/>
      <c r="S305" s="727"/>
      <c r="T305" s="727"/>
      <c r="U305" s="727"/>
      <c r="V305" s="727"/>
      <c r="W305" s="727"/>
      <c r="X305" s="727"/>
      <c r="Y305" s="727"/>
      <c r="Z305" s="728"/>
      <c r="AB305" s="1026" t="str">
        <f>IF(AB302="","",VLOOKUP(AB302,BoonRef!$A$2:$Z$900,23,FALSE))</f>
        <v/>
      </c>
      <c r="AC305" s="727"/>
      <c r="AD305" s="727"/>
      <c r="AE305" s="727"/>
      <c r="AF305" s="727"/>
      <c r="AG305" s="727"/>
      <c r="AH305" s="727"/>
      <c r="AI305" s="727"/>
      <c r="AJ305" s="727"/>
      <c r="AK305" s="727"/>
      <c r="AL305" s="727"/>
      <c r="AM305" s="727"/>
      <c r="AN305" s="727"/>
      <c r="AO305" s="727"/>
      <c r="AP305" s="727"/>
      <c r="AQ305" s="727"/>
      <c r="AR305" s="727"/>
      <c r="AS305" s="727"/>
      <c r="AT305" s="727"/>
      <c r="AU305" s="727"/>
      <c r="AV305" s="727"/>
      <c r="AW305" s="727"/>
      <c r="AX305" s="727"/>
      <c r="AY305" s="727"/>
      <c r="AZ305" s="728"/>
      <c r="BB305" s="635"/>
      <c r="BC305" s="636"/>
      <c r="BD305" s="636"/>
      <c r="BE305" s="636"/>
      <c r="BF305" s="636"/>
      <c r="BG305" s="636"/>
      <c r="BH305" s="1036"/>
      <c r="BI305" s="753"/>
      <c r="BJ305" s="754"/>
      <c r="BK305" s="754"/>
      <c r="BL305" s="754"/>
      <c r="BM305" s="754"/>
      <c r="BN305" s="754"/>
      <c r="BO305" s="754"/>
      <c r="BP305" s="754"/>
      <c r="BQ305" s="754"/>
      <c r="BR305" s="754"/>
      <c r="BS305" s="754"/>
      <c r="BT305" s="754"/>
      <c r="BU305" s="754"/>
      <c r="BV305" s="754"/>
      <c r="BW305" s="754"/>
      <c r="BX305" s="754"/>
      <c r="BY305" s="754"/>
      <c r="BZ305" s="755"/>
      <c r="CB305" s="635"/>
      <c r="CC305" s="636"/>
      <c r="CD305" s="636"/>
      <c r="CE305" s="636"/>
      <c r="CF305" s="636"/>
      <c r="CG305" s="636"/>
      <c r="CH305" s="1036"/>
      <c r="CI305" s="753"/>
      <c r="CJ305" s="754"/>
      <c r="CK305" s="754"/>
      <c r="CL305" s="754"/>
      <c r="CM305" s="754"/>
      <c r="CN305" s="754"/>
      <c r="CO305" s="754"/>
      <c r="CP305" s="754"/>
      <c r="CQ305" s="754"/>
      <c r="CR305" s="754"/>
      <c r="CS305" s="754"/>
      <c r="CT305" s="754"/>
      <c r="CU305" s="754"/>
      <c r="CV305" s="754"/>
      <c r="CW305" s="754"/>
      <c r="CX305" s="754"/>
      <c r="CY305" s="754"/>
      <c r="CZ305" s="755"/>
    </row>
    <row r="306" spans="1:104" ht="15" customHeight="1" thickBot="1" x14ac:dyDescent="0.3">
      <c r="B306" s="1027"/>
      <c r="C306" s="865"/>
      <c r="D306" s="865"/>
      <c r="E306" s="865"/>
      <c r="F306" s="865"/>
      <c r="G306" s="865"/>
      <c r="H306" s="865"/>
      <c r="I306" s="865"/>
      <c r="J306" s="865"/>
      <c r="K306" s="865"/>
      <c r="L306" s="865"/>
      <c r="M306" s="865"/>
      <c r="N306" s="865"/>
      <c r="O306" s="865"/>
      <c r="P306" s="865"/>
      <c r="Q306" s="865"/>
      <c r="R306" s="865"/>
      <c r="S306" s="865"/>
      <c r="T306" s="865"/>
      <c r="U306" s="865"/>
      <c r="V306" s="865"/>
      <c r="W306" s="865"/>
      <c r="X306" s="865"/>
      <c r="Y306" s="865"/>
      <c r="Z306" s="921"/>
      <c r="AB306" s="1027"/>
      <c r="AC306" s="865"/>
      <c r="AD306" s="865"/>
      <c r="AE306" s="865"/>
      <c r="AF306" s="865"/>
      <c r="AG306" s="865"/>
      <c r="AH306" s="865"/>
      <c r="AI306" s="865"/>
      <c r="AJ306" s="865"/>
      <c r="AK306" s="865"/>
      <c r="AL306" s="865"/>
      <c r="AM306" s="865"/>
      <c r="AN306" s="865"/>
      <c r="AO306" s="865"/>
      <c r="AP306" s="865"/>
      <c r="AQ306" s="865"/>
      <c r="AR306" s="865"/>
      <c r="AS306" s="865"/>
      <c r="AT306" s="865"/>
      <c r="AU306" s="865"/>
      <c r="AV306" s="865"/>
      <c r="AW306" s="865"/>
      <c r="AX306" s="865"/>
      <c r="AY306" s="865"/>
      <c r="AZ306" s="921"/>
      <c r="BB306" s="644"/>
      <c r="BC306" s="645"/>
      <c r="BD306" s="645"/>
      <c r="BE306" s="645"/>
      <c r="BF306" s="645"/>
      <c r="BG306" s="645"/>
      <c r="BH306" s="1037"/>
      <c r="BI306" s="756"/>
      <c r="BJ306" s="757"/>
      <c r="BK306" s="757"/>
      <c r="BL306" s="757"/>
      <c r="BM306" s="757"/>
      <c r="BN306" s="757"/>
      <c r="BO306" s="757"/>
      <c r="BP306" s="757"/>
      <c r="BQ306" s="757"/>
      <c r="BR306" s="757"/>
      <c r="BS306" s="757"/>
      <c r="BT306" s="757"/>
      <c r="BU306" s="757"/>
      <c r="BV306" s="757"/>
      <c r="BW306" s="757"/>
      <c r="BX306" s="757"/>
      <c r="BY306" s="757"/>
      <c r="BZ306" s="758"/>
      <c r="CB306" s="644"/>
      <c r="CC306" s="645"/>
      <c r="CD306" s="645"/>
      <c r="CE306" s="645"/>
      <c r="CF306" s="645"/>
      <c r="CG306" s="645"/>
      <c r="CH306" s="1037"/>
      <c r="CI306" s="756"/>
      <c r="CJ306" s="757"/>
      <c r="CK306" s="757"/>
      <c r="CL306" s="757"/>
      <c r="CM306" s="757"/>
      <c r="CN306" s="757"/>
      <c r="CO306" s="757"/>
      <c r="CP306" s="757"/>
      <c r="CQ306" s="757"/>
      <c r="CR306" s="757"/>
      <c r="CS306" s="757"/>
      <c r="CT306" s="757"/>
      <c r="CU306" s="757"/>
      <c r="CV306" s="757"/>
      <c r="CW306" s="757"/>
      <c r="CX306" s="757"/>
      <c r="CY306" s="757"/>
      <c r="CZ306" s="758"/>
    </row>
    <row r="307" spans="1:104" x14ac:dyDescent="0.25">
      <c r="B307" s="1028" t="str">
        <f>IF(B308="","",VLOOKUP(B308,BoonRef!$A$2:$Z$900,2,FALSE))</f>
        <v/>
      </c>
      <c r="C307" s="725"/>
      <c r="D307" s="725"/>
      <c r="E307" s="725"/>
      <c r="F307" s="725"/>
      <c r="G307" s="725"/>
      <c r="H307" s="725"/>
      <c r="I307" s="725" t="str">
        <f>IF(B308="","",VLOOKUP(B308,BoonRef!$A$2:$Z$900,3,FALSE))</f>
        <v/>
      </c>
      <c r="J307" s="725"/>
      <c r="K307" s="725" t="str">
        <f>IF(B308="","",VLOOKUP(B308,DescRef!$A$2:$B$900,2,FALSE))</f>
        <v/>
      </c>
      <c r="L307" s="725"/>
      <c r="M307" s="725"/>
      <c r="N307" s="725"/>
      <c r="O307" s="725"/>
      <c r="P307" s="725"/>
      <c r="Q307" s="725"/>
      <c r="R307" s="725"/>
      <c r="S307" s="725"/>
      <c r="T307" s="725"/>
      <c r="U307" s="725"/>
      <c r="V307" s="725"/>
      <c r="W307" s="725"/>
      <c r="X307" s="725"/>
      <c r="Y307" s="725"/>
      <c r="Z307" s="726"/>
      <c r="AB307" s="1028" t="str">
        <f>IF(AB308="","",VLOOKUP(AB308,BoonRef!$A$2:$Z$900,2,FALSE))</f>
        <v/>
      </c>
      <c r="AC307" s="725"/>
      <c r="AD307" s="725"/>
      <c r="AE307" s="725"/>
      <c r="AF307" s="725"/>
      <c r="AG307" s="725"/>
      <c r="AH307" s="725"/>
      <c r="AI307" s="725" t="str">
        <f>IF(AB308="","",VLOOKUP(AB308,BoonRef!$A$2:$Z$900,3,FALSE))</f>
        <v/>
      </c>
      <c r="AJ307" s="725"/>
      <c r="AK307" s="725" t="str">
        <f>IF(AB308="","",VLOOKUP(AB308,DescRef!$A$2:$B$900,2,FALSE))</f>
        <v/>
      </c>
      <c r="AL307" s="725"/>
      <c r="AM307" s="725"/>
      <c r="AN307" s="725"/>
      <c r="AO307" s="725"/>
      <c r="AP307" s="725"/>
      <c r="AQ307" s="725"/>
      <c r="AR307" s="725"/>
      <c r="AS307" s="725"/>
      <c r="AT307" s="725"/>
      <c r="AU307" s="725"/>
      <c r="AV307" s="725"/>
      <c r="AW307" s="725"/>
      <c r="AX307" s="725"/>
      <c r="AY307" s="725"/>
      <c r="AZ307" s="726"/>
      <c r="BB307" s="1029" t="str">
        <f>IF(BB308="","",VLOOKUP(BB308,KanckRef!$A$1:$G$300,2,FALSE))</f>
        <v/>
      </c>
      <c r="BC307" s="1030"/>
      <c r="BD307" s="1030"/>
      <c r="BE307" s="1030"/>
      <c r="BF307" s="1031"/>
      <c r="BG307" s="1048" t="str">
        <f>IF(BB308="","",VLOOKUP(BB308,KanckRef!$A$1:$G$300,6,FALSE))</f>
        <v/>
      </c>
      <c r="BH307" s="1049"/>
      <c r="BI307" s="988" t="str">
        <f>IF(BB308="","",VLOOKUP(BB308,DescRef!$D$2:$E$300,2,FALSE))</f>
        <v/>
      </c>
      <c r="BJ307" s="795"/>
      <c r="BK307" s="795"/>
      <c r="BL307" s="795"/>
      <c r="BM307" s="795"/>
      <c r="BN307" s="795"/>
      <c r="BO307" s="795"/>
      <c r="BP307" s="795"/>
      <c r="BQ307" s="795"/>
      <c r="BR307" s="795"/>
      <c r="BS307" s="795"/>
      <c r="BT307" s="795"/>
      <c r="BU307" s="795"/>
      <c r="BV307" s="795"/>
      <c r="BW307" s="795"/>
      <c r="BX307" s="795"/>
      <c r="BY307" s="795"/>
      <c r="BZ307" s="796"/>
      <c r="CB307" s="1029" t="str">
        <f>IF(CB308="","",VLOOKUP(CB308,KanckRef!$A$1:$G$300,2,FALSE))</f>
        <v/>
      </c>
      <c r="CC307" s="1030"/>
      <c r="CD307" s="1030"/>
      <c r="CE307" s="1030"/>
      <c r="CF307" s="1031"/>
      <c r="CG307" s="1048" t="str">
        <f>IF(CB308="","",VLOOKUP(CB308,KanckRef!$A$1:$G$300,6,FALSE))</f>
        <v/>
      </c>
      <c r="CH307" s="1049"/>
      <c r="CI307" s="988" t="str">
        <f>IF(CB308="","",VLOOKUP(CB308,DescRef!$D$2:$E$300,2,FALSE))</f>
        <v/>
      </c>
      <c r="CJ307" s="795"/>
      <c r="CK307" s="795"/>
      <c r="CL307" s="795"/>
      <c r="CM307" s="795"/>
      <c r="CN307" s="795"/>
      <c r="CO307" s="795"/>
      <c r="CP307" s="795"/>
      <c r="CQ307" s="795"/>
      <c r="CR307" s="795"/>
      <c r="CS307" s="795"/>
      <c r="CT307" s="795"/>
      <c r="CU307" s="795"/>
      <c r="CV307" s="795"/>
      <c r="CW307" s="795"/>
      <c r="CX307" s="795"/>
      <c r="CY307" s="795"/>
      <c r="CZ307" s="796"/>
    </row>
    <row r="308" spans="1:104" ht="15" customHeight="1" x14ac:dyDescent="0.25">
      <c r="A308" s="15">
        <v>51</v>
      </c>
      <c r="B308" s="1026" t="str">
        <f>IF(A308&lt;'Purchased Boons'!$B$496,VLOOKUP(A308,'Purchased Boons'!$BF$2:$BG$900,2,FALSE),"")</f>
        <v/>
      </c>
      <c r="C308" s="727"/>
      <c r="D308" s="727"/>
      <c r="E308" s="727"/>
      <c r="F308" s="727"/>
      <c r="G308" s="727"/>
      <c r="H308" s="727"/>
      <c r="I308" s="727" t="str">
        <f>IF(B308="","",VLOOKUP(B308,BoonRef!$A$2:$Z$900,25,FALSE))</f>
        <v/>
      </c>
      <c r="J308" s="727"/>
      <c r="K308" s="727"/>
      <c r="L308" s="727"/>
      <c r="M308" s="727"/>
      <c r="N308" s="727"/>
      <c r="O308" s="727"/>
      <c r="P308" s="727"/>
      <c r="Q308" s="727"/>
      <c r="R308" s="727"/>
      <c r="S308" s="727"/>
      <c r="T308" s="727"/>
      <c r="U308" s="727"/>
      <c r="V308" s="727"/>
      <c r="W308" s="727"/>
      <c r="X308" s="727"/>
      <c r="Y308" s="727"/>
      <c r="Z308" s="728"/>
      <c r="AA308" s="15">
        <v>158</v>
      </c>
      <c r="AB308" s="1026" t="str">
        <f>IF(AA308&lt;'Purchased Boons'!$B$496,VLOOKUP(AA308,'Purchased Boons'!$BF$2:$BG$900,2,FALSE),"")</f>
        <v/>
      </c>
      <c r="AC308" s="727"/>
      <c r="AD308" s="727"/>
      <c r="AE308" s="727"/>
      <c r="AF308" s="727"/>
      <c r="AG308" s="727"/>
      <c r="AH308" s="727"/>
      <c r="AI308" s="727" t="str">
        <f>IF(AB308="","",VLOOKUP(AB308,BoonRef!$A$2:$Z$900,25,FALSE))</f>
        <v/>
      </c>
      <c r="AJ308" s="727"/>
      <c r="AK308" s="727"/>
      <c r="AL308" s="727"/>
      <c r="AM308" s="727"/>
      <c r="AN308" s="727"/>
      <c r="AO308" s="727"/>
      <c r="AP308" s="727"/>
      <c r="AQ308" s="727"/>
      <c r="AR308" s="727"/>
      <c r="AS308" s="727"/>
      <c r="AT308" s="727"/>
      <c r="AU308" s="727"/>
      <c r="AV308" s="727"/>
      <c r="AW308" s="727"/>
      <c r="AX308" s="727"/>
      <c r="AY308" s="727"/>
      <c r="AZ308" s="728"/>
      <c r="BA308" s="15">
        <v>51</v>
      </c>
      <c r="BB308" s="1038" t="str">
        <f>IF(BA308&lt;'Purchased Knacks'!A$192,VLOOKUP(BA308,'Purchased Knacks'!$A$4:$E$300,3,FALSE),"")</f>
        <v/>
      </c>
      <c r="BC308" s="1039"/>
      <c r="BD308" s="1039"/>
      <c r="BE308" s="1039"/>
      <c r="BF308" s="1040"/>
      <c r="BG308" s="1032" t="str">
        <f>IF(BB308="","",VLOOKUP(BB308,KanckRef!$A$1:$G$300,7,FALSE))</f>
        <v/>
      </c>
      <c r="BH308" s="1033"/>
      <c r="BI308" s="753"/>
      <c r="BJ308" s="754"/>
      <c r="BK308" s="754"/>
      <c r="BL308" s="754"/>
      <c r="BM308" s="754"/>
      <c r="BN308" s="754"/>
      <c r="BO308" s="754"/>
      <c r="BP308" s="754"/>
      <c r="BQ308" s="754"/>
      <c r="BR308" s="754"/>
      <c r="BS308" s="754"/>
      <c r="BT308" s="754"/>
      <c r="BU308" s="754"/>
      <c r="BV308" s="754"/>
      <c r="BW308" s="754"/>
      <c r="BX308" s="754"/>
      <c r="BY308" s="754"/>
      <c r="BZ308" s="755"/>
      <c r="CA308" s="15">
        <v>158</v>
      </c>
      <c r="CB308" s="1038" t="str">
        <f>IF(CA308&lt;'Purchased Knacks'!A$192,VLOOKUP(CA308,'Purchased Knacks'!$A$4:$E$300,3,FALSE),"")</f>
        <v/>
      </c>
      <c r="CC308" s="1039"/>
      <c r="CD308" s="1039"/>
      <c r="CE308" s="1039"/>
      <c r="CF308" s="1040"/>
      <c r="CG308" s="1032" t="str">
        <f>IF(CB308="","",VLOOKUP(CB308,KanckRef!$A$1:$G$300,7,FALSE))</f>
        <v/>
      </c>
      <c r="CH308" s="1033"/>
      <c r="CI308" s="753"/>
      <c r="CJ308" s="754"/>
      <c r="CK308" s="754"/>
      <c r="CL308" s="754"/>
      <c r="CM308" s="754"/>
      <c r="CN308" s="754"/>
      <c r="CO308" s="754"/>
      <c r="CP308" s="754"/>
      <c r="CQ308" s="754"/>
      <c r="CR308" s="754"/>
      <c r="CS308" s="754"/>
      <c r="CT308" s="754"/>
      <c r="CU308" s="754"/>
      <c r="CV308" s="754"/>
      <c r="CW308" s="754"/>
      <c r="CX308" s="754"/>
      <c r="CY308" s="754"/>
      <c r="CZ308" s="755"/>
    </row>
    <row r="309" spans="1:104" x14ac:dyDescent="0.25">
      <c r="B309" s="1026"/>
      <c r="C309" s="727"/>
      <c r="D309" s="727"/>
      <c r="E309" s="727"/>
      <c r="F309" s="727"/>
      <c r="G309" s="727"/>
      <c r="H309" s="727"/>
      <c r="I309" s="727" t="str">
        <f>IF(B308="","",VLOOKUP(B308,BoonRef!$A$2:$Z$900,26,FALSE))</f>
        <v/>
      </c>
      <c r="J309" s="727"/>
      <c r="K309" s="727"/>
      <c r="L309" s="727"/>
      <c r="M309" s="727"/>
      <c r="N309" s="727"/>
      <c r="O309" s="727"/>
      <c r="P309" s="727"/>
      <c r="Q309" s="727"/>
      <c r="R309" s="727"/>
      <c r="S309" s="727"/>
      <c r="T309" s="727"/>
      <c r="U309" s="727"/>
      <c r="V309" s="727"/>
      <c r="W309" s="727"/>
      <c r="X309" s="727"/>
      <c r="Y309" s="727"/>
      <c r="Z309" s="728"/>
      <c r="AB309" s="1026"/>
      <c r="AC309" s="727"/>
      <c r="AD309" s="727"/>
      <c r="AE309" s="727"/>
      <c r="AF309" s="727"/>
      <c r="AG309" s="727"/>
      <c r="AH309" s="727"/>
      <c r="AI309" s="727" t="str">
        <f>IF(AB308="","",VLOOKUP(AB308,BoonRef!$A$2:$Z$900,26,FALSE))</f>
        <v/>
      </c>
      <c r="AJ309" s="727"/>
      <c r="AK309" s="727"/>
      <c r="AL309" s="727"/>
      <c r="AM309" s="727"/>
      <c r="AN309" s="727"/>
      <c r="AO309" s="727"/>
      <c r="AP309" s="727"/>
      <c r="AQ309" s="727"/>
      <c r="AR309" s="727"/>
      <c r="AS309" s="727"/>
      <c r="AT309" s="727"/>
      <c r="AU309" s="727"/>
      <c r="AV309" s="727"/>
      <c r="AW309" s="727"/>
      <c r="AX309" s="727"/>
      <c r="AY309" s="727"/>
      <c r="AZ309" s="728"/>
      <c r="BB309" s="1041"/>
      <c r="BC309" s="1042"/>
      <c r="BD309" s="1042"/>
      <c r="BE309" s="1042"/>
      <c r="BF309" s="1043"/>
      <c r="BG309" s="1034"/>
      <c r="BH309" s="1035"/>
      <c r="BI309" s="753"/>
      <c r="BJ309" s="754"/>
      <c r="BK309" s="754"/>
      <c r="BL309" s="754"/>
      <c r="BM309" s="754"/>
      <c r="BN309" s="754"/>
      <c r="BO309" s="754"/>
      <c r="BP309" s="754"/>
      <c r="BQ309" s="754"/>
      <c r="BR309" s="754"/>
      <c r="BS309" s="754"/>
      <c r="BT309" s="754"/>
      <c r="BU309" s="754"/>
      <c r="BV309" s="754"/>
      <c r="BW309" s="754"/>
      <c r="BX309" s="754"/>
      <c r="BY309" s="754"/>
      <c r="BZ309" s="755"/>
      <c r="CB309" s="1041"/>
      <c r="CC309" s="1042"/>
      <c r="CD309" s="1042"/>
      <c r="CE309" s="1042"/>
      <c r="CF309" s="1043"/>
      <c r="CG309" s="1034"/>
      <c r="CH309" s="1035"/>
      <c r="CI309" s="753"/>
      <c r="CJ309" s="754"/>
      <c r="CK309" s="754"/>
      <c r="CL309" s="754"/>
      <c r="CM309" s="754"/>
      <c r="CN309" s="754"/>
      <c r="CO309" s="754"/>
      <c r="CP309" s="754"/>
      <c r="CQ309" s="754"/>
      <c r="CR309" s="754"/>
      <c r="CS309" s="754"/>
      <c r="CT309" s="754"/>
      <c r="CU309" s="754"/>
      <c r="CV309" s="754"/>
      <c r="CW309" s="754"/>
      <c r="CX309" s="754"/>
      <c r="CY309" s="754"/>
      <c r="CZ309" s="755"/>
    </row>
    <row r="310" spans="1:104" ht="15" customHeight="1" x14ac:dyDescent="0.25">
      <c r="B310" s="1026" t="str">
        <f>IF(B308="","",VLOOKUP(B308,BoonRef!$A$2:$Z$900,24,FALSE))</f>
        <v/>
      </c>
      <c r="C310" s="727"/>
      <c r="D310" s="727"/>
      <c r="E310" s="727"/>
      <c r="F310" s="727"/>
      <c r="G310" s="727"/>
      <c r="H310" s="727"/>
      <c r="I310" s="727"/>
      <c r="J310" s="727"/>
      <c r="K310" s="727"/>
      <c r="L310" s="727"/>
      <c r="M310" s="727"/>
      <c r="N310" s="727"/>
      <c r="O310" s="727"/>
      <c r="P310" s="727"/>
      <c r="Q310" s="727"/>
      <c r="R310" s="727"/>
      <c r="S310" s="727"/>
      <c r="T310" s="727"/>
      <c r="U310" s="727"/>
      <c r="V310" s="727"/>
      <c r="W310" s="727"/>
      <c r="X310" s="727"/>
      <c r="Y310" s="727"/>
      <c r="Z310" s="728"/>
      <c r="AB310" s="1026" t="str">
        <f>IF(AB308="","",VLOOKUP(AB308,BoonRef!$A$2:$Z$900,24,FALSE))</f>
        <v/>
      </c>
      <c r="AC310" s="727"/>
      <c r="AD310" s="727"/>
      <c r="AE310" s="727"/>
      <c r="AF310" s="727"/>
      <c r="AG310" s="727"/>
      <c r="AH310" s="727"/>
      <c r="AI310" s="727"/>
      <c r="AJ310" s="727"/>
      <c r="AK310" s="727"/>
      <c r="AL310" s="727"/>
      <c r="AM310" s="727"/>
      <c r="AN310" s="727"/>
      <c r="AO310" s="727"/>
      <c r="AP310" s="727"/>
      <c r="AQ310" s="727"/>
      <c r="AR310" s="727"/>
      <c r="AS310" s="727"/>
      <c r="AT310" s="727"/>
      <c r="AU310" s="727"/>
      <c r="AV310" s="727"/>
      <c r="AW310" s="727"/>
      <c r="AX310" s="727"/>
      <c r="AY310" s="727"/>
      <c r="AZ310" s="728"/>
      <c r="BB310" s="641" t="str">
        <f>IF(BB308="","",VLOOKUP(BB308,KanckRef!$A$1:$G$300,4,FALSE))</f>
        <v/>
      </c>
      <c r="BC310" s="642"/>
      <c r="BD310" s="642"/>
      <c r="BE310" s="642"/>
      <c r="BF310" s="642"/>
      <c r="BG310" s="642"/>
      <c r="BH310" s="1033"/>
      <c r="BI310" s="753"/>
      <c r="BJ310" s="754"/>
      <c r="BK310" s="754"/>
      <c r="BL310" s="754"/>
      <c r="BM310" s="754"/>
      <c r="BN310" s="754"/>
      <c r="BO310" s="754"/>
      <c r="BP310" s="754"/>
      <c r="BQ310" s="754"/>
      <c r="BR310" s="754"/>
      <c r="BS310" s="754"/>
      <c r="BT310" s="754"/>
      <c r="BU310" s="754"/>
      <c r="BV310" s="754"/>
      <c r="BW310" s="754"/>
      <c r="BX310" s="754"/>
      <c r="BY310" s="754"/>
      <c r="BZ310" s="755"/>
      <c r="CB310" s="641" t="str">
        <f>IF(CB308="","",VLOOKUP(CB308,KanckRef!$A$1:$G$300,4,FALSE))</f>
        <v/>
      </c>
      <c r="CC310" s="642"/>
      <c r="CD310" s="642"/>
      <c r="CE310" s="642"/>
      <c r="CF310" s="642"/>
      <c r="CG310" s="642"/>
      <c r="CH310" s="1033"/>
      <c r="CI310" s="753"/>
      <c r="CJ310" s="754"/>
      <c r="CK310" s="754"/>
      <c r="CL310" s="754"/>
      <c r="CM310" s="754"/>
      <c r="CN310" s="754"/>
      <c r="CO310" s="754"/>
      <c r="CP310" s="754"/>
      <c r="CQ310" s="754"/>
      <c r="CR310" s="754"/>
      <c r="CS310" s="754"/>
      <c r="CT310" s="754"/>
      <c r="CU310" s="754"/>
      <c r="CV310" s="754"/>
      <c r="CW310" s="754"/>
      <c r="CX310" s="754"/>
      <c r="CY310" s="754"/>
      <c r="CZ310" s="755"/>
    </row>
    <row r="311" spans="1:104" ht="15" customHeight="1" x14ac:dyDescent="0.25">
      <c r="B311" s="1026" t="str">
        <f>IF(B308="","",VLOOKUP(B308,BoonRef!$A$2:$Z$900,23,FALSE))</f>
        <v/>
      </c>
      <c r="C311" s="727"/>
      <c r="D311" s="727"/>
      <c r="E311" s="727"/>
      <c r="F311" s="727"/>
      <c r="G311" s="727"/>
      <c r="H311" s="727"/>
      <c r="I311" s="727"/>
      <c r="J311" s="727"/>
      <c r="K311" s="727"/>
      <c r="L311" s="727"/>
      <c r="M311" s="727"/>
      <c r="N311" s="727"/>
      <c r="O311" s="727"/>
      <c r="P311" s="727"/>
      <c r="Q311" s="727"/>
      <c r="R311" s="727"/>
      <c r="S311" s="727"/>
      <c r="T311" s="727"/>
      <c r="U311" s="727"/>
      <c r="V311" s="727"/>
      <c r="W311" s="727"/>
      <c r="X311" s="727"/>
      <c r="Y311" s="727"/>
      <c r="Z311" s="728"/>
      <c r="AB311" s="1026" t="str">
        <f>IF(AB308="","",VLOOKUP(AB308,BoonRef!$A$2:$Z$900,23,FALSE))</f>
        <v/>
      </c>
      <c r="AC311" s="727"/>
      <c r="AD311" s="727"/>
      <c r="AE311" s="727"/>
      <c r="AF311" s="727"/>
      <c r="AG311" s="727"/>
      <c r="AH311" s="727"/>
      <c r="AI311" s="727"/>
      <c r="AJ311" s="727"/>
      <c r="AK311" s="727"/>
      <c r="AL311" s="727"/>
      <c r="AM311" s="727"/>
      <c r="AN311" s="727"/>
      <c r="AO311" s="727"/>
      <c r="AP311" s="727"/>
      <c r="AQ311" s="727"/>
      <c r="AR311" s="727"/>
      <c r="AS311" s="727"/>
      <c r="AT311" s="727"/>
      <c r="AU311" s="727"/>
      <c r="AV311" s="727"/>
      <c r="AW311" s="727"/>
      <c r="AX311" s="727"/>
      <c r="AY311" s="727"/>
      <c r="AZ311" s="728"/>
      <c r="BB311" s="635"/>
      <c r="BC311" s="636"/>
      <c r="BD311" s="636"/>
      <c r="BE311" s="636"/>
      <c r="BF311" s="636"/>
      <c r="BG311" s="636"/>
      <c r="BH311" s="1036"/>
      <c r="BI311" s="753"/>
      <c r="BJ311" s="754"/>
      <c r="BK311" s="754"/>
      <c r="BL311" s="754"/>
      <c r="BM311" s="754"/>
      <c r="BN311" s="754"/>
      <c r="BO311" s="754"/>
      <c r="BP311" s="754"/>
      <c r="BQ311" s="754"/>
      <c r="BR311" s="754"/>
      <c r="BS311" s="754"/>
      <c r="BT311" s="754"/>
      <c r="BU311" s="754"/>
      <c r="BV311" s="754"/>
      <c r="BW311" s="754"/>
      <c r="BX311" s="754"/>
      <c r="BY311" s="754"/>
      <c r="BZ311" s="755"/>
      <c r="CB311" s="635"/>
      <c r="CC311" s="636"/>
      <c r="CD311" s="636"/>
      <c r="CE311" s="636"/>
      <c r="CF311" s="636"/>
      <c r="CG311" s="636"/>
      <c r="CH311" s="1036"/>
      <c r="CI311" s="753"/>
      <c r="CJ311" s="754"/>
      <c r="CK311" s="754"/>
      <c r="CL311" s="754"/>
      <c r="CM311" s="754"/>
      <c r="CN311" s="754"/>
      <c r="CO311" s="754"/>
      <c r="CP311" s="754"/>
      <c r="CQ311" s="754"/>
      <c r="CR311" s="754"/>
      <c r="CS311" s="754"/>
      <c r="CT311" s="754"/>
      <c r="CU311" s="754"/>
      <c r="CV311" s="754"/>
      <c r="CW311" s="754"/>
      <c r="CX311" s="754"/>
      <c r="CY311" s="754"/>
      <c r="CZ311" s="755"/>
    </row>
    <row r="312" spans="1:104" ht="15.75" thickBot="1" x14ac:dyDescent="0.3">
      <c r="B312" s="1027"/>
      <c r="C312" s="865"/>
      <c r="D312" s="865"/>
      <c r="E312" s="865"/>
      <c r="F312" s="865"/>
      <c r="G312" s="865"/>
      <c r="H312" s="865"/>
      <c r="I312" s="865"/>
      <c r="J312" s="865"/>
      <c r="K312" s="865"/>
      <c r="L312" s="865"/>
      <c r="M312" s="865"/>
      <c r="N312" s="865"/>
      <c r="O312" s="865"/>
      <c r="P312" s="865"/>
      <c r="Q312" s="865"/>
      <c r="R312" s="865"/>
      <c r="S312" s="865"/>
      <c r="T312" s="865"/>
      <c r="U312" s="865"/>
      <c r="V312" s="865"/>
      <c r="W312" s="865"/>
      <c r="X312" s="865"/>
      <c r="Y312" s="865"/>
      <c r="Z312" s="921"/>
      <c r="AB312" s="1027"/>
      <c r="AC312" s="865"/>
      <c r="AD312" s="865"/>
      <c r="AE312" s="865"/>
      <c r="AF312" s="865"/>
      <c r="AG312" s="865"/>
      <c r="AH312" s="865"/>
      <c r="AI312" s="865"/>
      <c r="AJ312" s="865"/>
      <c r="AK312" s="865"/>
      <c r="AL312" s="865"/>
      <c r="AM312" s="865"/>
      <c r="AN312" s="865"/>
      <c r="AO312" s="865"/>
      <c r="AP312" s="865"/>
      <c r="AQ312" s="865"/>
      <c r="AR312" s="865"/>
      <c r="AS312" s="865"/>
      <c r="AT312" s="865"/>
      <c r="AU312" s="865"/>
      <c r="AV312" s="865"/>
      <c r="AW312" s="865"/>
      <c r="AX312" s="865"/>
      <c r="AY312" s="865"/>
      <c r="AZ312" s="921"/>
      <c r="BB312" s="644"/>
      <c r="BC312" s="645"/>
      <c r="BD312" s="645"/>
      <c r="BE312" s="645"/>
      <c r="BF312" s="645"/>
      <c r="BG312" s="645"/>
      <c r="BH312" s="1037"/>
      <c r="BI312" s="756"/>
      <c r="BJ312" s="757"/>
      <c r="BK312" s="757"/>
      <c r="BL312" s="757"/>
      <c r="BM312" s="757"/>
      <c r="BN312" s="757"/>
      <c r="BO312" s="757"/>
      <c r="BP312" s="757"/>
      <c r="BQ312" s="757"/>
      <c r="BR312" s="757"/>
      <c r="BS312" s="757"/>
      <c r="BT312" s="757"/>
      <c r="BU312" s="757"/>
      <c r="BV312" s="757"/>
      <c r="BW312" s="757"/>
      <c r="BX312" s="757"/>
      <c r="BY312" s="757"/>
      <c r="BZ312" s="758"/>
      <c r="CB312" s="644"/>
      <c r="CC312" s="645"/>
      <c r="CD312" s="645"/>
      <c r="CE312" s="645"/>
      <c r="CF312" s="645"/>
      <c r="CG312" s="645"/>
      <c r="CH312" s="1037"/>
      <c r="CI312" s="756"/>
      <c r="CJ312" s="757"/>
      <c r="CK312" s="757"/>
      <c r="CL312" s="757"/>
      <c r="CM312" s="757"/>
      <c r="CN312" s="757"/>
      <c r="CO312" s="757"/>
      <c r="CP312" s="757"/>
      <c r="CQ312" s="757"/>
      <c r="CR312" s="757"/>
      <c r="CS312" s="757"/>
      <c r="CT312" s="757"/>
      <c r="CU312" s="757"/>
      <c r="CV312" s="757"/>
      <c r="CW312" s="757"/>
      <c r="CX312" s="757"/>
      <c r="CY312" s="757"/>
      <c r="CZ312" s="758"/>
    </row>
    <row r="313" spans="1:104" x14ac:dyDescent="0.25">
      <c r="B313" s="1028" t="str">
        <f>IF(B314="","",VLOOKUP(B314,BoonRef!$A$2:$Z$900,2,FALSE))</f>
        <v/>
      </c>
      <c r="C313" s="725"/>
      <c r="D313" s="725"/>
      <c r="E313" s="725"/>
      <c r="F313" s="725"/>
      <c r="G313" s="725"/>
      <c r="H313" s="725"/>
      <c r="I313" s="725" t="str">
        <f>IF(B314="","",VLOOKUP(B314,BoonRef!$A$2:$Z$900,3,FALSE))</f>
        <v/>
      </c>
      <c r="J313" s="725"/>
      <c r="K313" s="725" t="str">
        <f>IF(B314="","",VLOOKUP(B314,DescRef!$A$2:$B$900,2,FALSE))</f>
        <v/>
      </c>
      <c r="L313" s="725"/>
      <c r="M313" s="725"/>
      <c r="N313" s="725"/>
      <c r="O313" s="725"/>
      <c r="P313" s="725"/>
      <c r="Q313" s="725"/>
      <c r="R313" s="725"/>
      <c r="S313" s="725"/>
      <c r="T313" s="725"/>
      <c r="U313" s="725"/>
      <c r="V313" s="725"/>
      <c r="W313" s="725"/>
      <c r="X313" s="725"/>
      <c r="Y313" s="725"/>
      <c r="Z313" s="726"/>
      <c r="AB313" s="1028" t="str">
        <f>IF(AB314="","",VLOOKUP(AB314,BoonRef!$A$2:$Z$900,2,FALSE))</f>
        <v/>
      </c>
      <c r="AC313" s="725"/>
      <c r="AD313" s="725"/>
      <c r="AE313" s="725"/>
      <c r="AF313" s="725"/>
      <c r="AG313" s="725"/>
      <c r="AH313" s="725"/>
      <c r="AI313" s="725" t="str">
        <f>IF(AB314="","",VLOOKUP(AB314,BoonRef!$A$2:$Z$900,3,FALSE))</f>
        <v/>
      </c>
      <c r="AJ313" s="725"/>
      <c r="AK313" s="725" t="str">
        <f>IF(AB314="","",VLOOKUP(AB314,DescRef!$A$2:$B$900,2,FALSE))</f>
        <v/>
      </c>
      <c r="AL313" s="725"/>
      <c r="AM313" s="725"/>
      <c r="AN313" s="725"/>
      <c r="AO313" s="725"/>
      <c r="AP313" s="725"/>
      <c r="AQ313" s="725"/>
      <c r="AR313" s="725"/>
      <c r="AS313" s="725"/>
      <c r="AT313" s="725"/>
      <c r="AU313" s="725"/>
      <c r="AV313" s="725"/>
      <c r="AW313" s="725"/>
      <c r="AX313" s="725"/>
      <c r="AY313" s="725"/>
      <c r="AZ313" s="726"/>
      <c r="BB313" s="1029" t="str">
        <f>IF(BB314="","",VLOOKUP(BB314,KanckRef!$A$1:$G$300,2,FALSE))</f>
        <v/>
      </c>
      <c r="BC313" s="1030"/>
      <c r="BD313" s="1030"/>
      <c r="BE313" s="1030"/>
      <c r="BF313" s="1031"/>
      <c r="BG313" s="1048" t="str">
        <f>IF(BB314="","",VLOOKUP(BB314,KanckRef!$A$1:$G$300,6,FALSE))</f>
        <v/>
      </c>
      <c r="BH313" s="1049"/>
      <c r="BI313" s="988" t="str">
        <f>IF(BB314="","",VLOOKUP(BB314,DescRef!$D$2:$E$300,2,FALSE))</f>
        <v/>
      </c>
      <c r="BJ313" s="795"/>
      <c r="BK313" s="795"/>
      <c r="BL313" s="795"/>
      <c r="BM313" s="795"/>
      <c r="BN313" s="795"/>
      <c r="BO313" s="795"/>
      <c r="BP313" s="795"/>
      <c r="BQ313" s="795"/>
      <c r="BR313" s="795"/>
      <c r="BS313" s="795"/>
      <c r="BT313" s="795"/>
      <c r="BU313" s="795"/>
      <c r="BV313" s="795"/>
      <c r="BW313" s="795"/>
      <c r="BX313" s="795"/>
      <c r="BY313" s="795"/>
      <c r="BZ313" s="796"/>
      <c r="CB313" s="1029" t="str">
        <f>IF(CB314="","",VLOOKUP(CB314,KanckRef!$A$1:$G$300,2,FALSE))</f>
        <v/>
      </c>
      <c r="CC313" s="1030"/>
      <c r="CD313" s="1030"/>
      <c r="CE313" s="1030"/>
      <c r="CF313" s="1031"/>
      <c r="CG313" s="1048" t="str">
        <f>IF(CB314="","",VLOOKUP(CB314,KanckRef!$A$1:$G$300,6,FALSE))</f>
        <v/>
      </c>
      <c r="CH313" s="1049"/>
      <c r="CI313" s="988" t="str">
        <f>IF(CB314="","",VLOOKUP(CB314,DescRef!$D$2:$E$300,2,FALSE))</f>
        <v/>
      </c>
      <c r="CJ313" s="795"/>
      <c r="CK313" s="795"/>
      <c r="CL313" s="795"/>
      <c r="CM313" s="795"/>
      <c r="CN313" s="795"/>
      <c r="CO313" s="795"/>
      <c r="CP313" s="795"/>
      <c r="CQ313" s="795"/>
      <c r="CR313" s="795"/>
      <c r="CS313" s="795"/>
      <c r="CT313" s="795"/>
      <c r="CU313" s="795"/>
      <c r="CV313" s="795"/>
      <c r="CW313" s="795"/>
      <c r="CX313" s="795"/>
      <c r="CY313" s="795"/>
      <c r="CZ313" s="796"/>
    </row>
    <row r="314" spans="1:104" ht="15" customHeight="1" x14ac:dyDescent="0.25">
      <c r="A314" s="15">
        <v>52</v>
      </c>
      <c r="B314" s="1026" t="str">
        <f>IF(A314&lt;'Purchased Boons'!$B$496,VLOOKUP(A314,'Purchased Boons'!$BF$2:$BG$900,2,FALSE),"")</f>
        <v/>
      </c>
      <c r="C314" s="727"/>
      <c r="D314" s="727"/>
      <c r="E314" s="727"/>
      <c r="F314" s="727"/>
      <c r="G314" s="727"/>
      <c r="H314" s="727"/>
      <c r="I314" s="727" t="str">
        <f>IF(B314="","",VLOOKUP(B314,BoonRef!$A$2:$Z$900,25,FALSE))</f>
        <v/>
      </c>
      <c r="J314" s="727"/>
      <c r="K314" s="727"/>
      <c r="L314" s="727"/>
      <c r="M314" s="727"/>
      <c r="N314" s="727"/>
      <c r="O314" s="727"/>
      <c r="P314" s="727"/>
      <c r="Q314" s="727"/>
      <c r="R314" s="727"/>
      <c r="S314" s="727"/>
      <c r="T314" s="727"/>
      <c r="U314" s="727"/>
      <c r="V314" s="727"/>
      <c r="W314" s="727"/>
      <c r="X314" s="727"/>
      <c r="Y314" s="727"/>
      <c r="Z314" s="728"/>
      <c r="AA314" s="15">
        <v>159</v>
      </c>
      <c r="AB314" s="1026" t="str">
        <f>IF(AA314&lt;'Purchased Boons'!$B$496,VLOOKUP(AA314,'Purchased Boons'!$BF$2:$BG$900,2,FALSE),"")</f>
        <v/>
      </c>
      <c r="AC314" s="727"/>
      <c r="AD314" s="727"/>
      <c r="AE314" s="727"/>
      <c r="AF314" s="727"/>
      <c r="AG314" s="727"/>
      <c r="AH314" s="727"/>
      <c r="AI314" s="727" t="str">
        <f>IF(AB314="","",VLOOKUP(AB314,BoonRef!$A$2:$Z$900,25,FALSE))</f>
        <v/>
      </c>
      <c r="AJ314" s="727"/>
      <c r="AK314" s="727"/>
      <c r="AL314" s="727"/>
      <c r="AM314" s="727"/>
      <c r="AN314" s="727"/>
      <c r="AO314" s="727"/>
      <c r="AP314" s="727"/>
      <c r="AQ314" s="727"/>
      <c r="AR314" s="727"/>
      <c r="AS314" s="727"/>
      <c r="AT314" s="727"/>
      <c r="AU314" s="727"/>
      <c r="AV314" s="727"/>
      <c r="AW314" s="727"/>
      <c r="AX314" s="727"/>
      <c r="AY314" s="727"/>
      <c r="AZ314" s="728"/>
      <c r="BA314" s="15">
        <v>52</v>
      </c>
      <c r="BB314" s="1038" t="str">
        <f>IF(BA314&lt;'Purchased Knacks'!A$192,VLOOKUP(BA314,'Purchased Knacks'!$A$4:$E$300,3,FALSE),"")</f>
        <v/>
      </c>
      <c r="BC314" s="1039"/>
      <c r="BD314" s="1039"/>
      <c r="BE314" s="1039"/>
      <c r="BF314" s="1040"/>
      <c r="BG314" s="1032" t="str">
        <f>IF(BB314="","",VLOOKUP(BB314,KanckRef!$A$1:$G$300,7,FALSE))</f>
        <v/>
      </c>
      <c r="BH314" s="1033"/>
      <c r="BI314" s="753"/>
      <c r="BJ314" s="754"/>
      <c r="BK314" s="754"/>
      <c r="BL314" s="754"/>
      <c r="BM314" s="754"/>
      <c r="BN314" s="754"/>
      <c r="BO314" s="754"/>
      <c r="BP314" s="754"/>
      <c r="BQ314" s="754"/>
      <c r="BR314" s="754"/>
      <c r="BS314" s="754"/>
      <c r="BT314" s="754"/>
      <c r="BU314" s="754"/>
      <c r="BV314" s="754"/>
      <c r="BW314" s="754"/>
      <c r="BX314" s="754"/>
      <c r="BY314" s="754"/>
      <c r="BZ314" s="755"/>
      <c r="CA314" s="15">
        <v>159</v>
      </c>
      <c r="CB314" s="1038" t="str">
        <f>IF(CA314&lt;'Purchased Knacks'!A$192,VLOOKUP(CA314,'Purchased Knacks'!$A$4:$E$300,3,FALSE),"")</f>
        <v/>
      </c>
      <c r="CC314" s="1039"/>
      <c r="CD314" s="1039"/>
      <c r="CE314" s="1039"/>
      <c r="CF314" s="1040"/>
      <c r="CG314" s="1032" t="str">
        <f>IF(CB314="","",VLOOKUP(CB314,KanckRef!$A$1:$G$300,7,FALSE))</f>
        <v/>
      </c>
      <c r="CH314" s="1033"/>
      <c r="CI314" s="753"/>
      <c r="CJ314" s="754"/>
      <c r="CK314" s="754"/>
      <c r="CL314" s="754"/>
      <c r="CM314" s="754"/>
      <c r="CN314" s="754"/>
      <c r="CO314" s="754"/>
      <c r="CP314" s="754"/>
      <c r="CQ314" s="754"/>
      <c r="CR314" s="754"/>
      <c r="CS314" s="754"/>
      <c r="CT314" s="754"/>
      <c r="CU314" s="754"/>
      <c r="CV314" s="754"/>
      <c r="CW314" s="754"/>
      <c r="CX314" s="754"/>
      <c r="CY314" s="754"/>
      <c r="CZ314" s="755"/>
    </row>
    <row r="315" spans="1:104" ht="15" customHeight="1" x14ac:dyDescent="0.25">
      <c r="B315" s="1026"/>
      <c r="C315" s="727"/>
      <c r="D315" s="727"/>
      <c r="E315" s="727"/>
      <c r="F315" s="727"/>
      <c r="G315" s="727"/>
      <c r="H315" s="727"/>
      <c r="I315" s="727" t="str">
        <f>IF(B314="","",VLOOKUP(B314,BoonRef!$A$2:$Z$900,26,FALSE))</f>
        <v/>
      </c>
      <c r="J315" s="727"/>
      <c r="K315" s="727"/>
      <c r="L315" s="727"/>
      <c r="M315" s="727"/>
      <c r="N315" s="727"/>
      <c r="O315" s="727"/>
      <c r="P315" s="727"/>
      <c r="Q315" s="727"/>
      <c r="R315" s="727"/>
      <c r="S315" s="727"/>
      <c r="T315" s="727"/>
      <c r="U315" s="727"/>
      <c r="V315" s="727"/>
      <c r="W315" s="727"/>
      <c r="X315" s="727"/>
      <c r="Y315" s="727"/>
      <c r="Z315" s="728"/>
      <c r="AB315" s="1026"/>
      <c r="AC315" s="727"/>
      <c r="AD315" s="727"/>
      <c r="AE315" s="727"/>
      <c r="AF315" s="727"/>
      <c r="AG315" s="727"/>
      <c r="AH315" s="727"/>
      <c r="AI315" s="727" t="str">
        <f>IF(AB314="","",VLOOKUP(AB314,BoonRef!$A$2:$Z$900,26,FALSE))</f>
        <v/>
      </c>
      <c r="AJ315" s="727"/>
      <c r="AK315" s="727"/>
      <c r="AL315" s="727"/>
      <c r="AM315" s="727"/>
      <c r="AN315" s="727"/>
      <c r="AO315" s="727"/>
      <c r="AP315" s="727"/>
      <c r="AQ315" s="727"/>
      <c r="AR315" s="727"/>
      <c r="AS315" s="727"/>
      <c r="AT315" s="727"/>
      <c r="AU315" s="727"/>
      <c r="AV315" s="727"/>
      <c r="AW315" s="727"/>
      <c r="AX315" s="727"/>
      <c r="AY315" s="727"/>
      <c r="AZ315" s="728"/>
      <c r="BB315" s="1041"/>
      <c r="BC315" s="1042"/>
      <c r="BD315" s="1042"/>
      <c r="BE315" s="1042"/>
      <c r="BF315" s="1043"/>
      <c r="BG315" s="1034"/>
      <c r="BH315" s="1035"/>
      <c r="BI315" s="753"/>
      <c r="BJ315" s="754"/>
      <c r="BK315" s="754"/>
      <c r="BL315" s="754"/>
      <c r="BM315" s="754"/>
      <c r="BN315" s="754"/>
      <c r="BO315" s="754"/>
      <c r="BP315" s="754"/>
      <c r="BQ315" s="754"/>
      <c r="BR315" s="754"/>
      <c r="BS315" s="754"/>
      <c r="BT315" s="754"/>
      <c r="BU315" s="754"/>
      <c r="BV315" s="754"/>
      <c r="BW315" s="754"/>
      <c r="BX315" s="754"/>
      <c r="BY315" s="754"/>
      <c r="BZ315" s="755"/>
      <c r="CB315" s="1041"/>
      <c r="CC315" s="1042"/>
      <c r="CD315" s="1042"/>
      <c r="CE315" s="1042"/>
      <c r="CF315" s="1043"/>
      <c r="CG315" s="1034"/>
      <c r="CH315" s="1035"/>
      <c r="CI315" s="753"/>
      <c r="CJ315" s="754"/>
      <c r="CK315" s="754"/>
      <c r="CL315" s="754"/>
      <c r="CM315" s="754"/>
      <c r="CN315" s="754"/>
      <c r="CO315" s="754"/>
      <c r="CP315" s="754"/>
      <c r="CQ315" s="754"/>
      <c r="CR315" s="754"/>
      <c r="CS315" s="754"/>
      <c r="CT315" s="754"/>
      <c r="CU315" s="754"/>
      <c r="CV315" s="754"/>
      <c r="CW315" s="754"/>
      <c r="CX315" s="754"/>
      <c r="CY315" s="754"/>
      <c r="CZ315" s="755"/>
    </row>
    <row r="316" spans="1:104" ht="15" customHeight="1" x14ac:dyDescent="0.25">
      <c r="B316" s="1026" t="str">
        <f>IF(B314="","",VLOOKUP(B314,BoonRef!$A$2:$Z$900,24,FALSE))</f>
        <v/>
      </c>
      <c r="C316" s="727"/>
      <c r="D316" s="727"/>
      <c r="E316" s="727"/>
      <c r="F316" s="727"/>
      <c r="G316" s="727"/>
      <c r="H316" s="727"/>
      <c r="I316" s="727"/>
      <c r="J316" s="727"/>
      <c r="K316" s="727"/>
      <c r="L316" s="727"/>
      <c r="M316" s="727"/>
      <c r="N316" s="727"/>
      <c r="O316" s="727"/>
      <c r="P316" s="727"/>
      <c r="Q316" s="727"/>
      <c r="R316" s="727"/>
      <c r="S316" s="727"/>
      <c r="T316" s="727"/>
      <c r="U316" s="727"/>
      <c r="V316" s="727"/>
      <c r="W316" s="727"/>
      <c r="X316" s="727"/>
      <c r="Y316" s="727"/>
      <c r="Z316" s="728"/>
      <c r="AB316" s="1026" t="str">
        <f>IF(AB314="","",VLOOKUP(AB314,BoonRef!$A$2:$Z$900,24,FALSE))</f>
        <v/>
      </c>
      <c r="AC316" s="727"/>
      <c r="AD316" s="727"/>
      <c r="AE316" s="727"/>
      <c r="AF316" s="727"/>
      <c r="AG316" s="727"/>
      <c r="AH316" s="727"/>
      <c r="AI316" s="727"/>
      <c r="AJ316" s="727"/>
      <c r="AK316" s="727"/>
      <c r="AL316" s="727"/>
      <c r="AM316" s="727"/>
      <c r="AN316" s="727"/>
      <c r="AO316" s="727"/>
      <c r="AP316" s="727"/>
      <c r="AQ316" s="727"/>
      <c r="AR316" s="727"/>
      <c r="AS316" s="727"/>
      <c r="AT316" s="727"/>
      <c r="AU316" s="727"/>
      <c r="AV316" s="727"/>
      <c r="AW316" s="727"/>
      <c r="AX316" s="727"/>
      <c r="AY316" s="727"/>
      <c r="AZ316" s="728"/>
      <c r="BB316" s="641" t="str">
        <f>IF(BB314="","",VLOOKUP(BB314,KanckRef!$A$1:$G$300,4,FALSE))</f>
        <v/>
      </c>
      <c r="BC316" s="642"/>
      <c r="BD316" s="642"/>
      <c r="BE316" s="642"/>
      <c r="BF316" s="642"/>
      <c r="BG316" s="642"/>
      <c r="BH316" s="1033"/>
      <c r="BI316" s="753"/>
      <c r="BJ316" s="754"/>
      <c r="BK316" s="754"/>
      <c r="BL316" s="754"/>
      <c r="BM316" s="754"/>
      <c r="BN316" s="754"/>
      <c r="BO316" s="754"/>
      <c r="BP316" s="754"/>
      <c r="BQ316" s="754"/>
      <c r="BR316" s="754"/>
      <c r="BS316" s="754"/>
      <c r="BT316" s="754"/>
      <c r="BU316" s="754"/>
      <c r="BV316" s="754"/>
      <c r="BW316" s="754"/>
      <c r="BX316" s="754"/>
      <c r="BY316" s="754"/>
      <c r="BZ316" s="755"/>
      <c r="CB316" s="641" t="str">
        <f>IF(CB314="","",VLOOKUP(CB314,KanckRef!$A$1:$G$300,4,FALSE))</f>
        <v/>
      </c>
      <c r="CC316" s="642"/>
      <c r="CD316" s="642"/>
      <c r="CE316" s="642"/>
      <c r="CF316" s="642"/>
      <c r="CG316" s="642"/>
      <c r="CH316" s="1033"/>
      <c r="CI316" s="753"/>
      <c r="CJ316" s="754"/>
      <c r="CK316" s="754"/>
      <c r="CL316" s="754"/>
      <c r="CM316" s="754"/>
      <c r="CN316" s="754"/>
      <c r="CO316" s="754"/>
      <c r="CP316" s="754"/>
      <c r="CQ316" s="754"/>
      <c r="CR316" s="754"/>
      <c r="CS316" s="754"/>
      <c r="CT316" s="754"/>
      <c r="CU316" s="754"/>
      <c r="CV316" s="754"/>
      <c r="CW316" s="754"/>
      <c r="CX316" s="754"/>
      <c r="CY316" s="754"/>
      <c r="CZ316" s="755"/>
    </row>
    <row r="317" spans="1:104" x14ac:dyDescent="0.25">
      <c r="B317" s="1026" t="str">
        <f>IF(B314="","",VLOOKUP(B314,BoonRef!$A$2:$Z$900,23,FALSE))</f>
        <v/>
      </c>
      <c r="C317" s="727"/>
      <c r="D317" s="727"/>
      <c r="E317" s="727"/>
      <c r="F317" s="727"/>
      <c r="G317" s="727"/>
      <c r="H317" s="727"/>
      <c r="I317" s="727"/>
      <c r="J317" s="727"/>
      <c r="K317" s="727"/>
      <c r="L317" s="727"/>
      <c r="M317" s="727"/>
      <c r="N317" s="727"/>
      <c r="O317" s="727"/>
      <c r="P317" s="727"/>
      <c r="Q317" s="727"/>
      <c r="R317" s="727"/>
      <c r="S317" s="727"/>
      <c r="T317" s="727"/>
      <c r="U317" s="727"/>
      <c r="V317" s="727"/>
      <c r="W317" s="727"/>
      <c r="X317" s="727"/>
      <c r="Y317" s="727"/>
      <c r="Z317" s="728"/>
      <c r="AB317" s="1026" t="str">
        <f>IF(AB314="","",VLOOKUP(AB314,BoonRef!$A$2:$Z$900,23,FALSE))</f>
        <v/>
      </c>
      <c r="AC317" s="727"/>
      <c r="AD317" s="727"/>
      <c r="AE317" s="727"/>
      <c r="AF317" s="727"/>
      <c r="AG317" s="727"/>
      <c r="AH317" s="727"/>
      <c r="AI317" s="727"/>
      <c r="AJ317" s="727"/>
      <c r="AK317" s="727"/>
      <c r="AL317" s="727"/>
      <c r="AM317" s="727"/>
      <c r="AN317" s="727"/>
      <c r="AO317" s="727"/>
      <c r="AP317" s="727"/>
      <c r="AQ317" s="727"/>
      <c r="AR317" s="727"/>
      <c r="AS317" s="727"/>
      <c r="AT317" s="727"/>
      <c r="AU317" s="727"/>
      <c r="AV317" s="727"/>
      <c r="AW317" s="727"/>
      <c r="AX317" s="727"/>
      <c r="AY317" s="727"/>
      <c r="AZ317" s="728"/>
      <c r="BB317" s="635"/>
      <c r="BC317" s="636"/>
      <c r="BD317" s="636"/>
      <c r="BE317" s="636"/>
      <c r="BF317" s="636"/>
      <c r="BG317" s="636"/>
      <c r="BH317" s="1036"/>
      <c r="BI317" s="753"/>
      <c r="BJ317" s="754"/>
      <c r="BK317" s="754"/>
      <c r="BL317" s="754"/>
      <c r="BM317" s="754"/>
      <c r="BN317" s="754"/>
      <c r="BO317" s="754"/>
      <c r="BP317" s="754"/>
      <c r="BQ317" s="754"/>
      <c r="BR317" s="754"/>
      <c r="BS317" s="754"/>
      <c r="BT317" s="754"/>
      <c r="BU317" s="754"/>
      <c r="BV317" s="754"/>
      <c r="BW317" s="754"/>
      <c r="BX317" s="754"/>
      <c r="BY317" s="754"/>
      <c r="BZ317" s="755"/>
      <c r="CB317" s="635"/>
      <c r="CC317" s="636"/>
      <c r="CD317" s="636"/>
      <c r="CE317" s="636"/>
      <c r="CF317" s="636"/>
      <c r="CG317" s="636"/>
      <c r="CH317" s="1036"/>
      <c r="CI317" s="753"/>
      <c r="CJ317" s="754"/>
      <c r="CK317" s="754"/>
      <c r="CL317" s="754"/>
      <c r="CM317" s="754"/>
      <c r="CN317" s="754"/>
      <c r="CO317" s="754"/>
      <c r="CP317" s="754"/>
      <c r="CQ317" s="754"/>
      <c r="CR317" s="754"/>
      <c r="CS317" s="754"/>
      <c r="CT317" s="754"/>
      <c r="CU317" s="754"/>
      <c r="CV317" s="754"/>
      <c r="CW317" s="754"/>
      <c r="CX317" s="754"/>
      <c r="CY317" s="754"/>
      <c r="CZ317" s="755"/>
    </row>
    <row r="318" spans="1:104" ht="15.75" thickBot="1" x14ac:dyDescent="0.3">
      <c r="B318" s="1027"/>
      <c r="C318" s="865"/>
      <c r="D318" s="865"/>
      <c r="E318" s="865"/>
      <c r="F318" s="865"/>
      <c r="G318" s="865"/>
      <c r="H318" s="865"/>
      <c r="I318" s="865"/>
      <c r="J318" s="865"/>
      <c r="K318" s="865"/>
      <c r="L318" s="865"/>
      <c r="M318" s="865"/>
      <c r="N318" s="865"/>
      <c r="O318" s="865"/>
      <c r="P318" s="865"/>
      <c r="Q318" s="865"/>
      <c r="R318" s="865"/>
      <c r="S318" s="865"/>
      <c r="T318" s="865"/>
      <c r="U318" s="865"/>
      <c r="V318" s="865"/>
      <c r="W318" s="865"/>
      <c r="X318" s="865"/>
      <c r="Y318" s="865"/>
      <c r="Z318" s="921"/>
      <c r="AB318" s="1027"/>
      <c r="AC318" s="865"/>
      <c r="AD318" s="865"/>
      <c r="AE318" s="865"/>
      <c r="AF318" s="865"/>
      <c r="AG318" s="865"/>
      <c r="AH318" s="865"/>
      <c r="AI318" s="865"/>
      <c r="AJ318" s="865"/>
      <c r="AK318" s="865"/>
      <c r="AL318" s="865"/>
      <c r="AM318" s="865"/>
      <c r="AN318" s="865"/>
      <c r="AO318" s="865"/>
      <c r="AP318" s="865"/>
      <c r="AQ318" s="865"/>
      <c r="AR318" s="865"/>
      <c r="AS318" s="865"/>
      <c r="AT318" s="865"/>
      <c r="AU318" s="865"/>
      <c r="AV318" s="865"/>
      <c r="AW318" s="865"/>
      <c r="AX318" s="865"/>
      <c r="AY318" s="865"/>
      <c r="AZ318" s="921"/>
      <c r="BB318" s="644"/>
      <c r="BC318" s="645"/>
      <c r="BD318" s="645"/>
      <c r="BE318" s="645"/>
      <c r="BF318" s="645"/>
      <c r="BG318" s="645"/>
      <c r="BH318" s="1037"/>
      <c r="BI318" s="756"/>
      <c r="BJ318" s="757"/>
      <c r="BK318" s="757"/>
      <c r="BL318" s="757"/>
      <c r="BM318" s="757"/>
      <c r="BN318" s="757"/>
      <c r="BO318" s="757"/>
      <c r="BP318" s="757"/>
      <c r="BQ318" s="757"/>
      <c r="BR318" s="757"/>
      <c r="BS318" s="757"/>
      <c r="BT318" s="757"/>
      <c r="BU318" s="757"/>
      <c r="BV318" s="757"/>
      <c r="BW318" s="757"/>
      <c r="BX318" s="757"/>
      <c r="BY318" s="757"/>
      <c r="BZ318" s="758"/>
      <c r="CB318" s="644"/>
      <c r="CC318" s="645"/>
      <c r="CD318" s="645"/>
      <c r="CE318" s="645"/>
      <c r="CF318" s="645"/>
      <c r="CG318" s="645"/>
      <c r="CH318" s="1037"/>
      <c r="CI318" s="756"/>
      <c r="CJ318" s="757"/>
      <c r="CK318" s="757"/>
      <c r="CL318" s="757"/>
      <c r="CM318" s="757"/>
      <c r="CN318" s="757"/>
      <c r="CO318" s="757"/>
      <c r="CP318" s="757"/>
      <c r="CQ318" s="757"/>
      <c r="CR318" s="757"/>
      <c r="CS318" s="757"/>
      <c r="CT318" s="757"/>
      <c r="CU318" s="757"/>
      <c r="CV318" s="757"/>
      <c r="CW318" s="757"/>
      <c r="CX318" s="757"/>
      <c r="CY318" s="757"/>
      <c r="CZ318" s="758"/>
    </row>
    <row r="319" spans="1:104" x14ac:dyDescent="0.25">
      <c r="B319" s="1028" t="str">
        <f>IF(B320="","",VLOOKUP(B320,BoonRef!$A$2:$Z$900,2,FALSE))</f>
        <v/>
      </c>
      <c r="C319" s="725"/>
      <c r="D319" s="725"/>
      <c r="E319" s="725"/>
      <c r="F319" s="725"/>
      <c r="G319" s="725"/>
      <c r="H319" s="725"/>
      <c r="I319" s="725" t="str">
        <f>IF(B320="","",VLOOKUP(B320,BoonRef!$A$2:$Z$900,3,FALSE))</f>
        <v/>
      </c>
      <c r="J319" s="725"/>
      <c r="K319" s="725" t="str">
        <f>IF(B320="","",VLOOKUP(B320,DescRef!$A$2:$B$900,2,FALSE))</f>
        <v/>
      </c>
      <c r="L319" s="725"/>
      <c r="M319" s="725"/>
      <c r="N319" s="725"/>
      <c r="O319" s="725"/>
      <c r="P319" s="725"/>
      <c r="Q319" s="725"/>
      <c r="R319" s="725"/>
      <c r="S319" s="725"/>
      <c r="T319" s="725"/>
      <c r="U319" s="725"/>
      <c r="V319" s="725"/>
      <c r="W319" s="725"/>
      <c r="X319" s="725"/>
      <c r="Y319" s="725"/>
      <c r="Z319" s="726"/>
      <c r="AB319" s="1028" t="str">
        <f>IF(AB320="","",VLOOKUP(AB320,BoonRef!$A$2:$Z$900,2,FALSE))</f>
        <v/>
      </c>
      <c r="AC319" s="725"/>
      <c r="AD319" s="725"/>
      <c r="AE319" s="725"/>
      <c r="AF319" s="725"/>
      <c r="AG319" s="725"/>
      <c r="AH319" s="725"/>
      <c r="AI319" s="725" t="str">
        <f>IF(AB320="","",VLOOKUP(AB320,BoonRef!$A$2:$Z$900,3,FALSE))</f>
        <v/>
      </c>
      <c r="AJ319" s="725"/>
      <c r="AK319" s="725" t="str">
        <f>IF(AB320="","",VLOOKUP(AB320,DescRef!$A$2:$B$900,2,FALSE))</f>
        <v/>
      </c>
      <c r="AL319" s="725"/>
      <c r="AM319" s="725"/>
      <c r="AN319" s="725"/>
      <c r="AO319" s="725"/>
      <c r="AP319" s="725"/>
      <c r="AQ319" s="725"/>
      <c r="AR319" s="725"/>
      <c r="AS319" s="725"/>
      <c r="AT319" s="725"/>
      <c r="AU319" s="725"/>
      <c r="AV319" s="725"/>
      <c r="AW319" s="725"/>
      <c r="AX319" s="725"/>
      <c r="AY319" s="725"/>
      <c r="AZ319" s="726"/>
      <c r="BB319" s="1029" t="str">
        <f>IF(BB320="","",VLOOKUP(BB320,KanckRef!$A$1:$G$300,2,FALSE))</f>
        <v/>
      </c>
      <c r="BC319" s="1030"/>
      <c r="BD319" s="1030"/>
      <c r="BE319" s="1030"/>
      <c r="BF319" s="1031"/>
      <c r="BG319" s="1048" t="str">
        <f>IF(BB320="","",VLOOKUP(BB320,KanckRef!$A$1:$G$300,6,FALSE))</f>
        <v/>
      </c>
      <c r="BH319" s="1049"/>
      <c r="BI319" s="988" t="str">
        <f>IF(BB320="","",VLOOKUP(BB320,DescRef!$D$2:$E$300,2,FALSE))</f>
        <v/>
      </c>
      <c r="BJ319" s="795"/>
      <c r="BK319" s="795"/>
      <c r="BL319" s="795"/>
      <c r="BM319" s="795"/>
      <c r="BN319" s="795"/>
      <c r="BO319" s="795"/>
      <c r="BP319" s="795"/>
      <c r="BQ319" s="795"/>
      <c r="BR319" s="795"/>
      <c r="BS319" s="795"/>
      <c r="BT319" s="795"/>
      <c r="BU319" s="795"/>
      <c r="BV319" s="795"/>
      <c r="BW319" s="795"/>
      <c r="BX319" s="795"/>
      <c r="BY319" s="795"/>
      <c r="BZ319" s="796"/>
      <c r="CB319" s="1029" t="str">
        <f>IF(CB320="","",VLOOKUP(CB320,KanckRef!$A$1:$G$300,2,FALSE))</f>
        <v/>
      </c>
      <c r="CC319" s="1030"/>
      <c r="CD319" s="1030"/>
      <c r="CE319" s="1030"/>
      <c r="CF319" s="1031"/>
      <c r="CG319" s="1048" t="str">
        <f>IF(CB320="","",VLOOKUP(CB320,KanckRef!$A$1:$G$300,6,FALSE))</f>
        <v/>
      </c>
      <c r="CH319" s="1049"/>
      <c r="CI319" s="988" t="str">
        <f>IF(CB320="","",VLOOKUP(CB320,DescRef!$D$2:$E$300,2,FALSE))</f>
        <v/>
      </c>
      <c r="CJ319" s="795"/>
      <c r="CK319" s="795"/>
      <c r="CL319" s="795"/>
      <c r="CM319" s="795"/>
      <c r="CN319" s="795"/>
      <c r="CO319" s="795"/>
      <c r="CP319" s="795"/>
      <c r="CQ319" s="795"/>
      <c r="CR319" s="795"/>
      <c r="CS319" s="795"/>
      <c r="CT319" s="795"/>
      <c r="CU319" s="795"/>
      <c r="CV319" s="795"/>
      <c r="CW319" s="795"/>
      <c r="CX319" s="795"/>
      <c r="CY319" s="795"/>
      <c r="CZ319" s="796"/>
    </row>
    <row r="320" spans="1:104" ht="15" customHeight="1" x14ac:dyDescent="0.25">
      <c r="A320" s="15">
        <v>53</v>
      </c>
      <c r="B320" s="1026" t="str">
        <f>IF(A320&lt;'Purchased Boons'!$B$496,VLOOKUP(A320,'Purchased Boons'!$BF$2:$BG$900,2,FALSE),"")</f>
        <v/>
      </c>
      <c r="C320" s="727"/>
      <c r="D320" s="727"/>
      <c r="E320" s="727"/>
      <c r="F320" s="727"/>
      <c r="G320" s="727"/>
      <c r="H320" s="727"/>
      <c r="I320" s="727" t="str">
        <f>IF(B320="","",VLOOKUP(B320,BoonRef!$A$2:$Z$900,25,FALSE))</f>
        <v/>
      </c>
      <c r="J320" s="727"/>
      <c r="K320" s="727"/>
      <c r="L320" s="727"/>
      <c r="M320" s="727"/>
      <c r="N320" s="727"/>
      <c r="O320" s="727"/>
      <c r="P320" s="727"/>
      <c r="Q320" s="727"/>
      <c r="R320" s="727"/>
      <c r="S320" s="727"/>
      <c r="T320" s="727"/>
      <c r="U320" s="727"/>
      <c r="V320" s="727"/>
      <c r="W320" s="727"/>
      <c r="X320" s="727"/>
      <c r="Y320" s="727"/>
      <c r="Z320" s="728"/>
      <c r="AA320" s="15">
        <v>160</v>
      </c>
      <c r="AB320" s="1026" t="str">
        <f>IF(AA320&lt;'Purchased Boons'!$B$496,VLOOKUP(AA320,'Purchased Boons'!$BF$2:$BG$900,2,FALSE),"")</f>
        <v/>
      </c>
      <c r="AC320" s="727"/>
      <c r="AD320" s="727"/>
      <c r="AE320" s="727"/>
      <c r="AF320" s="727"/>
      <c r="AG320" s="727"/>
      <c r="AH320" s="727"/>
      <c r="AI320" s="727" t="str">
        <f>IF(AB320="","",VLOOKUP(AB320,BoonRef!$A$2:$Z$900,25,FALSE))</f>
        <v/>
      </c>
      <c r="AJ320" s="727"/>
      <c r="AK320" s="727"/>
      <c r="AL320" s="727"/>
      <c r="AM320" s="727"/>
      <c r="AN320" s="727"/>
      <c r="AO320" s="727"/>
      <c r="AP320" s="727"/>
      <c r="AQ320" s="727"/>
      <c r="AR320" s="727"/>
      <c r="AS320" s="727"/>
      <c r="AT320" s="727"/>
      <c r="AU320" s="727"/>
      <c r="AV320" s="727"/>
      <c r="AW320" s="727"/>
      <c r="AX320" s="727"/>
      <c r="AY320" s="727"/>
      <c r="AZ320" s="728"/>
      <c r="BA320" s="15">
        <v>53</v>
      </c>
      <c r="BB320" s="1038" t="str">
        <f>IF(BA320&lt;'Purchased Knacks'!A$192,VLOOKUP(BA320,'Purchased Knacks'!$A$4:$E$300,3,FALSE),"")</f>
        <v/>
      </c>
      <c r="BC320" s="1039"/>
      <c r="BD320" s="1039"/>
      <c r="BE320" s="1039"/>
      <c r="BF320" s="1040"/>
      <c r="BG320" s="1032" t="str">
        <f>IF(BB320="","",VLOOKUP(BB320,KanckRef!$A$1:$G$300,7,FALSE))</f>
        <v/>
      </c>
      <c r="BH320" s="1033"/>
      <c r="BI320" s="753"/>
      <c r="BJ320" s="754"/>
      <c r="BK320" s="754"/>
      <c r="BL320" s="754"/>
      <c r="BM320" s="754"/>
      <c r="BN320" s="754"/>
      <c r="BO320" s="754"/>
      <c r="BP320" s="754"/>
      <c r="BQ320" s="754"/>
      <c r="BR320" s="754"/>
      <c r="BS320" s="754"/>
      <c r="BT320" s="754"/>
      <c r="BU320" s="754"/>
      <c r="BV320" s="754"/>
      <c r="BW320" s="754"/>
      <c r="BX320" s="754"/>
      <c r="BY320" s="754"/>
      <c r="BZ320" s="755"/>
      <c r="CA320" s="15">
        <v>160</v>
      </c>
      <c r="CB320" s="1038" t="str">
        <f>IF(CA320&lt;'Purchased Knacks'!A$192,VLOOKUP(CA320,'Purchased Knacks'!$A$4:$E$300,3,FALSE),"")</f>
        <v/>
      </c>
      <c r="CC320" s="1039"/>
      <c r="CD320" s="1039"/>
      <c r="CE320" s="1039"/>
      <c r="CF320" s="1040"/>
      <c r="CG320" s="1032" t="str">
        <f>IF(CB320="","",VLOOKUP(CB320,KanckRef!$A$1:$G$300,7,FALSE))</f>
        <v/>
      </c>
      <c r="CH320" s="1033"/>
      <c r="CI320" s="753"/>
      <c r="CJ320" s="754"/>
      <c r="CK320" s="754"/>
      <c r="CL320" s="754"/>
      <c r="CM320" s="754"/>
      <c r="CN320" s="754"/>
      <c r="CO320" s="754"/>
      <c r="CP320" s="754"/>
      <c r="CQ320" s="754"/>
      <c r="CR320" s="754"/>
      <c r="CS320" s="754"/>
      <c r="CT320" s="754"/>
      <c r="CU320" s="754"/>
      <c r="CV320" s="754"/>
      <c r="CW320" s="754"/>
      <c r="CX320" s="754"/>
      <c r="CY320" s="754"/>
      <c r="CZ320" s="755"/>
    </row>
    <row r="321" spans="1:104" ht="15" customHeight="1" x14ac:dyDescent="0.25">
      <c r="B321" s="1026"/>
      <c r="C321" s="727"/>
      <c r="D321" s="727"/>
      <c r="E321" s="727"/>
      <c r="F321" s="727"/>
      <c r="G321" s="727"/>
      <c r="H321" s="727"/>
      <c r="I321" s="727" t="str">
        <f>IF(B320="","",VLOOKUP(B320,BoonRef!$A$2:$Z$900,26,FALSE))</f>
        <v/>
      </c>
      <c r="J321" s="727"/>
      <c r="K321" s="727"/>
      <c r="L321" s="727"/>
      <c r="M321" s="727"/>
      <c r="N321" s="727"/>
      <c r="O321" s="727"/>
      <c r="P321" s="727"/>
      <c r="Q321" s="727"/>
      <c r="R321" s="727"/>
      <c r="S321" s="727"/>
      <c r="T321" s="727"/>
      <c r="U321" s="727"/>
      <c r="V321" s="727"/>
      <c r="W321" s="727"/>
      <c r="X321" s="727"/>
      <c r="Y321" s="727"/>
      <c r="Z321" s="728"/>
      <c r="AB321" s="1026"/>
      <c r="AC321" s="727"/>
      <c r="AD321" s="727"/>
      <c r="AE321" s="727"/>
      <c r="AF321" s="727"/>
      <c r="AG321" s="727"/>
      <c r="AH321" s="727"/>
      <c r="AI321" s="727" t="str">
        <f>IF(AB320="","",VLOOKUP(AB320,BoonRef!$A$2:$Z$900,26,FALSE))</f>
        <v/>
      </c>
      <c r="AJ321" s="727"/>
      <c r="AK321" s="727"/>
      <c r="AL321" s="727"/>
      <c r="AM321" s="727"/>
      <c r="AN321" s="727"/>
      <c r="AO321" s="727"/>
      <c r="AP321" s="727"/>
      <c r="AQ321" s="727"/>
      <c r="AR321" s="727"/>
      <c r="AS321" s="727"/>
      <c r="AT321" s="727"/>
      <c r="AU321" s="727"/>
      <c r="AV321" s="727"/>
      <c r="AW321" s="727"/>
      <c r="AX321" s="727"/>
      <c r="AY321" s="727"/>
      <c r="AZ321" s="728"/>
      <c r="BB321" s="1041"/>
      <c r="BC321" s="1042"/>
      <c r="BD321" s="1042"/>
      <c r="BE321" s="1042"/>
      <c r="BF321" s="1043"/>
      <c r="BG321" s="1034"/>
      <c r="BH321" s="1035"/>
      <c r="BI321" s="753"/>
      <c r="BJ321" s="754"/>
      <c r="BK321" s="754"/>
      <c r="BL321" s="754"/>
      <c r="BM321" s="754"/>
      <c r="BN321" s="754"/>
      <c r="BO321" s="754"/>
      <c r="BP321" s="754"/>
      <c r="BQ321" s="754"/>
      <c r="BR321" s="754"/>
      <c r="BS321" s="754"/>
      <c r="BT321" s="754"/>
      <c r="BU321" s="754"/>
      <c r="BV321" s="754"/>
      <c r="BW321" s="754"/>
      <c r="BX321" s="754"/>
      <c r="BY321" s="754"/>
      <c r="BZ321" s="755"/>
      <c r="CB321" s="1041"/>
      <c r="CC321" s="1042"/>
      <c r="CD321" s="1042"/>
      <c r="CE321" s="1042"/>
      <c r="CF321" s="1043"/>
      <c r="CG321" s="1034"/>
      <c r="CH321" s="1035"/>
      <c r="CI321" s="753"/>
      <c r="CJ321" s="754"/>
      <c r="CK321" s="754"/>
      <c r="CL321" s="754"/>
      <c r="CM321" s="754"/>
      <c r="CN321" s="754"/>
      <c r="CO321" s="754"/>
      <c r="CP321" s="754"/>
      <c r="CQ321" s="754"/>
      <c r="CR321" s="754"/>
      <c r="CS321" s="754"/>
      <c r="CT321" s="754"/>
      <c r="CU321" s="754"/>
      <c r="CV321" s="754"/>
      <c r="CW321" s="754"/>
      <c r="CX321" s="754"/>
      <c r="CY321" s="754"/>
      <c r="CZ321" s="755"/>
    </row>
    <row r="322" spans="1:104" x14ac:dyDescent="0.25">
      <c r="B322" s="1026" t="str">
        <f>IF(B320="","",VLOOKUP(B320,BoonRef!$A$2:$Z$900,24,FALSE))</f>
        <v/>
      </c>
      <c r="C322" s="727"/>
      <c r="D322" s="727"/>
      <c r="E322" s="727"/>
      <c r="F322" s="727"/>
      <c r="G322" s="727"/>
      <c r="H322" s="727"/>
      <c r="I322" s="727"/>
      <c r="J322" s="727"/>
      <c r="K322" s="727"/>
      <c r="L322" s="727"/>
      <c r="M322" s="727"/>
      <c r="N322" s="727"/>
      <c r="O322" s="727"/>
      <c r="P322" s="727"/>
      <c r="Q322" s="727"/>
      <c r="R322" s="727"/>
      <c r="S322" s="727"/>
      <c r="T322" s="727"/>
      <c r="U322" s="727"/>
      <c r="V322" s="727"/>
      <c r="W322" s="727"/>
      <c r="X322" s="727"/>
      <c r="Y322" s="727"/>
      <c r="Z322" s="728"/>
      <c r="AB322" s="1026" t="str">
        <f>IF(AB320="","",VLOOKUP(AB320,BoonRef!$A$2:$Z$900,24,FALSE))</f>
        <v/>
      </c>
      <c r="AC322" s="727"/>
      <c r="AD322" s="727"/>
      <c r="AE322" s="727"/>
      <c r="AF322" s="727"/>
      <c r="AG322" s="727"/>
      <c r="AH322" s="727"/>
      <c r="AI322" s="727"/>
      <c r="AJ322" s="727"/>
      <c r="AK322" s="727"/>
      <c r="AL322" s="727"/>
      <c r="AM322" s="727"/>
      <c r="AN322" s="727"/>
      <c r="AO322" s="727"/>
      <c r="AP322" s="727"/>
      <c r="AQ322" s="727"/>
      <c r="AR322" s="727"/>
      <c r="AS322" s="727"/>
      <c r="AT322" s="727"/>
      <c r="AU322" s="727"/>
      <c r="AV322" s="727"/>
      <c r="AW322" s="727"/>
      <c r="AX322" s="727"/>
      <c r="AY322" s="727"/>
      <c r="AZ322" s="728"/>
      <c r="BB322" s="641" t="str">
        <f>IF(BB320="","",VLOOKUP(BB320,KanckRef!$A$1:$G$300,4,FALSE))</f>
        <v/>
      </c>
      <c r="BC322" s="642"/>
      <c r="BD322" s="642"/>
      <c r="BE322" s="642"/>
      <c r="BF322" s="642"/>
      <c r="BG322" s="642"/>
      <c r="BH322" s="1033"/>
      <c r="BI322" s="753"/>
      <c r="BJ322" s="754"/>
      <c r="BK322" s="754"/>
      <c r="BL322" s="754"/>
      <c r="BM322" s="754"/>
      <c r="BN322" s="754"/>
      <c r="BO322" s="754"/>
      <c r="BP322" s="754"/>
      <c r="BQ322" s="754"/>
      <c r="BR322" s="754"/>
      <c r="BS322" s="754"/>
      <c r="BT322" s="754"/>
      <c r="BU322" s="754"/>
      <c r="BV322" s="754"/>
      <c r="BW322" s="754"/>
      <c r="BX322" s="754"/>
      <c r="BY322" s="754"/>
      <c r="BZ322" s="755"/>
      <c r="CB322" s="641" t="str">
        <f>IF(CB320="","",VLOOKUP(CB320,KanckRef!$A$1:$G$300,4,FALSE))</f>
        <v/>
      </c>
      <c r="CC322" s="642"/>
      <c r="CD322" s="642"/>
      <c r="CE322" s="642"/>
      <c r="CF322" s="642"/>
      <c r="CG322" s="642"/>
      <c r="CH322" s="1033"/>
      <c r="CI322" s="753"/>
      <c r="CJ322" s="754"/>
      <c r="CK322" s="754"/>
      <c r="CL322" s="754"/>
      <c r="CM322" s="754"/>
      <c r="CN322" s="754"/>
      <c r="CO322" s="754"/>
      <c r="CP322" s="754"/>
      <c r="CQ322" s="754"/>
      <c r="CR322" s="754"/>
      <c r="CS322" s="754"/>
      <c r="CT322" s="754"/>
      <c r="CU322" s="754"/>
      <c r="CV322" s="754"/>
      <c r="CW322" s="754"/>
      <c r="CX322" s="754"/>
      <c r="CY322" s="754"/>
      <c r="CZ322" s="755"/>
    </row>
    <row r="323" spans="1:104" x14ac:dyDescent="0.25">
      <c r="B323" s="1026" t="str">
        <f>IF(B320="","",VLOOKUP(B320,BoonRef!$A$2:$Z$900,23,FALSE))</f>
        <v/>
      </c>
      <c r="C323" s="727"/>
      <c r="D323" s="727"/>
      <c r="E323" s="727"/>
      <c r="F323" s="727"/>
      <c r="G323" s="727"/>
      <c r="H323" s="727"/>
      <c r="I323" s="727"/>
      <c r="J323" s="727"/>
      <c r="K323" s="727"/>
      <c r="L323" s="727"/>
      <c r="M323" s="727"/>
      <c r="N323" s="727"/>
      <c r="O323" s="727"/>
      <c r="P323" s="727"/>
      <c r="Q323" s="727"/>
      <c r="R323" s="727"/>
      <c r="S323" s="727"/>
      <c r="T323" s="727"/>
      <c r="U323" s="727"/>
      <c r="V323" s="727"/>
      <c r="W323" s="727"/>
      <c r="X323" s="727"/>
      <c r="Y323" s="727"/>
      <c r="Z323" s="728"/>
      <c r="AB323" s="1026" t="str">
        <f>IF(AB320="","",VLOOKUP(AB320,BoonRef!$A$2:$Z$900,23,FALSE))</f>
        <v/>
      </c>
      <c r="AC323" s="727"/>
      <c r="AD323" s="727"/>
      <c r="AE323" s="727"/>
      <c r="AF323" s="727"/>
      <c r="AG323" s="727"/>
      <c r="AH323" s="727"/>
      <c r="AI323" s="727"/>
      <c r="AJ323" s="727"/>
      <c r="AK323" s="727"/>
      <c r="AL323" s="727"/>
      <c r="AM323" s="727"/>
      <c r="AN323" s="727"/>
      <c r="AO323" s="727"/>
      <c r="AP323" s="727"/>
      <c r="AQ323" s="727"/>
      <c r="AR323" s="727"/>
      <c r="AS323" s="727"/>
      <c r="AT323" s="727"/>
      <c r="AU323" s="727"/>
      <c r="AV323" s="727"/>
      <c r="AW323" s="727"/>
      <c r="AX323" s="727"/>
      <c r="AY323" s="727"/>
      <c r="AZ323" s="728"/>
      <c r="BB323" s="635"/>
      <c r="BC323" s="636"/>
      <c r="BD323" s="636"/>
      <c r="BE323" s="636"/>
      <c r="BF323" s="636"/>
      <c r="BG323" s="636"/>
      <c r="BH323" s="1036"/>
      <c r="BI323" s="753"/>
      <c r="BJ323" s="754"/>
      <c r="BK323" s="754"/>
      <c r="BL323" s="754"/>
      <c r="BM323" s="754"/>
      <c r="BN323" s="754"/>
      <c r="BO323" s="754"/>
      <c r="BP323" s="754"/>
      <c r="BQ323" s="754"/>
      <c r="BR323" s="754"/>
      <c r="BS323" s="754"/>
      <c r="BT323" s="754"/>
      <c r="BU323" s="754"/>
      <c r="BV323" s="754"/>
      <c r="BW323" s="754"/>
      <c r="BX323" s="754"/>
      <c r="BY323" s="754"/>
      <c r="BZ323" s="755"/>
      <c r="CB323" s="635"/>
      <c r="CC323" s="636"/>
      <c r="CD323" s="636"/>
      <c r="CE323" s="636"/>
      <c r="CF323" s="636"/>
      <c r="CG323" s="636"/>
      <c r="CH323" s="1036"/>
      <c r="CI323" s="753"/>
      <c r="CJ323" s="754"/>
      <c r="CK323" s="754"/>
      <c r="CL323" s="754"/>
      <c r="CM323" s="754"/>
      <c r="CN323" s="754"/>
      <c r="CO323" s="754"/>
      <c r="CP323" s="754"/>
      <c r="CQ323" s="754"/>
      <c r="CR323" s="754"/>
      <c r="CS323" s="754"/>
      <c r="CT323" s="754"/>
      <c r="CU323" s="754"/>
      <c r="CV323" s="754"/>
      <c r="CW323" s="754"/>
      <c r="CX323" s="754"/>
      <c r="CY323" s="754"/>
      <c r="CZ323" s="755"/>
    </row>
    <row r="324" spans="1:104" ht="15.75" thickBot="1" x14ac:dyDescent="0.3">
      <c r="B324" s="1027"/>
      <c r="C324" s="865"/>
      <c r="D324" s="865"/>
      <c r="E324" s="865"/>
      <c r="F324" s="865"/>
      <c r="G324" s="865"/>
      <c r="H324" s="865"/>
      <c r="I324" s="865"/>
      <c r="J324" s="865"/>
      <c r="K324" s="865"/>
      <c r="L324" s="865"/>
      <c r="M324" s="865"/>
      <c r="N324" s="865"/>
      <c r="O324" s="865"/>
      <c r="P324" s="865"/>
      <c r="Q324" s="865"/>
      <c r="R324" s="865"/>
      <c r="S324" s="865"/>
      <c r="T324" s="865"/>
      <c r="U324" s="865"/>
      <c r="V324" s="865"/>
      <c r="W324" s="865"/>
      <c r="X324" s="865"/>
      <c r="Y324" s="865"/>
      <c r="Z324" s="921"/>
      <c r="AB324" s="1027"/>
      <c r="AC324" s="865"/>
      <c r="AD324" s="865"/>
      <c r="AE324" s="865"/>
      <c r="AF324" s="865"/>
      <c r="AG324" s="865"/>
      <c r="AH324" s="865"/>
      <c r="AI324" s="865"/>
      <c r="AJ324" s="865"/>
      <c r="AK324" s="865"/>
      <c r="AL324" s="865"/>
      <c r="AM324" s="865"/>
      <c r="AN324" s="865"/>
      <c r="AO324" s="865"/>
      <c r="AP324" s="865"/>
      <c r="AQ324" s="865"/>
      <c r="AR324" s="865"/>
      <c r="AS324" s="865"/>
      <c r="AT324" s="865"/>
      <c r="AU324" s="865"/>
      <c r="AV324" s="865"/>
      <c r="AW324" s="865"/>
      <c r="AX324" s="865"/>
      <c r="AY324" s="865"/>
      <c r="AZ324" s="921"/>
      <c r="BB324" s="644"/>
      <c r="BC324" s="645"/>
      <c r="BD324" s="645"/>
      <c r="BE324" s="645"/>
      <c r="BF324" s="645"/>
      <c r="BG324" s="645"/>
      <c r="BH324" s="1037"/>
      <c r="BI324" s="756"/>
      <c r="BJ324" s="757"/>
      <c r="BK324" s="757"/>
      <c r="BL324" s="757"/>
      <c r="BM324" s="757"/>
      <c r="BN324" s="757"/>
      <c r="BO324" s="757"/>
      <c r="BP324" s="757"/>
      <c r="BQ324" s="757"/>
      <c r="BR324" s="757"/>
      <c r="BS324" s="757"/>
      <c r="BT324" s="757"/>
      <c r="BU324" s="757"/>
      <c r="BV324" s="757"/>
      <c r="BW324" s="757"/>
      <c r="BX324" s="757"/>
      <c r="BY324" s="757"/>
      <c r="BZ324" s="758"/>
      <c r="CB324" s="644"/>
      <c r="CC324" s="645"/>
      <c r="CD324" s="645"/>
      <c r="CE324" s="645"/>
      <c r="CF324" s="645"/>
      <c r="CG324" s="645"/>
      <c r="CH324" s="1037"/>
      <c r="CI324" s="756"/>
      <c r="CJ324" s="757"/>
      <c r="CK324" s="757"/>
      <c r="CL324" s="757"/>
      <c r="CM324" s="757"/>
      <c r="CN324" s="757"/>
      <c r="CO324" s="757"/>
      <c r="CP324" s="757"/>
      <c r="CQ324" s="757"/>
      <c r="CR324" s="757"/>
      <c r="CS324" s="757"/>
      <c r="CT324" s="757"/>
      <c r="CU324" s="757"/>
      <c r="CV324" s="757"/>
      <c r="CW324" s="757"/>
      <c r="CX324" s="757"/>
      <c r="CY324" s="757"/>
      <c r="CZ324" s="758"/>
    </row>
    <row r="325" spans="1:104" ht="15" customHeight="1" x14ac:dyDescent="0.25">
      <c r="B325" s="1028" t="str">
        <f>IF(B326="","",VLOOKUP(B326,BoonRef!$A$2:$Z$900,2,FALSE))</f>
        <v/>
      </c>
      <c r="C325" s="725"/>
      <c r="D325" s="725"/>
      <c r="E325" s="725"/>
      <c r="F325" s="725"/>
      <c r="G325" s="725"/>
      <c r="H325" s="725"/>
      <c r="I325" s="725" t="str">
        <f>IF(B326="","",VLOOKUP(B326,BoonRef!$A$2:$Z$900,3,FALSE))</f>
        <v/>
      </c>
      <c r="J325" s="725"/>
      <c r="K325" s="725" t="str">
        <f>IF(B326="","",VLOOKUP(B326,DescRef!$A$2:$B$900,2,FALSE))</f>
        <v/>
      </c>
      <c r="L325" s="725"/>
      <c r="M325" s="725"/>
      <c r="N325" s="725"/>
      <c r="O325" s="725"/>
      <c r="P325" s="725"/>
      <c r="Q325" s="725"/>
      <c r="R325" s="725"/>
      <c r="S325" s="725"/>
      <c r="T325" s="725"/>
      <c r="U325" s="725"/>
      <c r="V325" s="725"/>
      <c r="W325" s="725"/>
      <c r="X325" s="725"/>
      <c r="Y325" s="725"/>
      <c r="Z325" s="726"/>
      <c r="AB325" s="1028" t="str">
        <f>IF(AB326="","",VLOOKUP(AB326,BoonRef!$A$2:$Z$900,2,FALSE))</f>
        <v/>
      </c>
      <c r="AC325" s="725"/>
      <c r="AD325" s="725"/>
      <c r="AE325" s="725"/>
      <c r="AF325" s="725"/>
      <c r="AG325" s="725"/>
      <c r="AH325" s="725"/>
      <c r="AI325" s="725" t="str">
        <f>IF(AB326="","",VLOOKUP(AB326,BoonRef!$A$2:$Z$900,3,FALSE))</f>
        <v/>
      </c>
      <c r="AJ325" s="725"/>
      <c r="AK325" s="725" t="str">
        <f>IF(AB326="","",VLOOKUP(AB326,DescRef!$A$2:$B$900,2,FALSE))</f>
        <v/>
      </c>
      <c r="AL325" s="725"/>
      <c r="AM325" s="725"/>
      <c r="AN325" s="725"/>
      <c r="AO325" s="725"/>
      <c r="AP325" s="725"/>
      <c r="AQ325" s="725"/>
      <c r="AR325" s="725"/>
      <c r="AS325" s="725"/>
      <c r="AT325" s="725"/>
      <c r="AU325" s="725"/>
      <c r="AV325" s="725"/>
      <c r="AW325" s="725"/>
      <c r="AX325" s="725"/>
      <c r="AY325" s="725"/>
      <c r="AZ325" s="726"/>
      <c r="BB325" s="1029" t="str">
        <f>IF(BB326="","",VLOOKUP(BB326,KanckRef!$A$1:$G$300,2,FALSE))</f>
        <v/>
      </c>
      <c r="BC325" s="1030"/>
      <c r="BD325" s="1030"/>
      <c r="BE325" s="1030"/>
      <c r="BF325" s="1031"/>
      <c r="BG325" s="1048" t="str">
        <f>IF(BB326="","",VLOOKUP(BB326,KanckRef!$A$1:$G$300,6,FALSE))</f>
        <v/>
      </c>
      <c r="BH325" s="1049"/>
      <c r="BI325" s="988" t="str">
        <f>IF(BB326="","",VLOOKUP(BB326,DescRef!$D$2:$E$300,2,FALSE))</f>
        <v/>
      </c>
      <c r="BJ325" s="795"/>
      <c r="BK325" s="795"/>
      <c r="BL325" s="795"/>
      <c r="BM325" s="795"/>
      <c r="BN325" s="795"/>
      <c r="BO325" s="795"/>
      <c r="BP325" s="795"/>
      <c r="BQ325" s="795"/>
      <c r="BR325" s="795"/>
      <c r="BS325" s="795"/>
      <c r="BT325" s="795"/>
      <c r="BU325" s="795"/>
      <c r="BV325" s="795"/>
      <c r="BW325" s="795"/>
      <c r="BX325" s="795"/>
      <c r="BY325" s="795"/>
      <c r="BZ325" s="796"/>
      <c r="CB325" s="1029" t="str">
        <f>IF(CB326="","",VLOOKUP(CB326,KanckRef!$A$1:$G$300,2,FALSE))</f>
        <v/>
      </c>
      <c r="CC325" s="1030"/>
      <c r="CD325" s="1030"/>
      <c r="CE325" s="1030"/>
      <c r="CF325" s="1031"/>
      <c r="CG325" s="1048" t="str">
        <f>IF(CB326="","",VLOOKUP(CB326,KanckRef!$A$1:$G$300,6,FALSE))</f>
        <v/>
      </c>
      <c r="CH325" s="1049"/>
      <c r="CI325" s="988" t="str">
        <f>IF(CB326="","",VLOOKUP(CB326,DescRef!$D$2:$E$300,2,FALSE))</f>
        <v/>
      </c>
      <c r="CJ325" s="795"/>
      <c r="CK325" s="795"/>
      <c r="CL325" s="795"/>
      <c r="CM325" s="795"/>
      <c r="CN325" s="795"/>
      <c r="CO325" s="795"/>
      <c r="CP325" s="795"/>
      <c r="CQ325" s="795"/>
      <c r="CR325" s="795"/>
      <c r="CS325" s="795"/>
      <c r="CT325" s="795"/>
      <c r="CU325" s="795"/>
      <c r="CV325" s="795"/>
      <c r="CW325" s="795"/>
      <c r="CX325" s="795"/>
      <c r="CY325" s="795"/>
      <c r="CZ325" s="796"/>
    </row>
    <row r="326" spans="1:104" ht="15" customHeight="1" x14ac:dyDescent="0.25">
      <c r="A326" s="15">
        <v>54</v>
      </c>
      <c r="B326" s="1026" t="str">
        <f>IF(A326&lt;'Purchased Boons'!$B$496,VLOOKUP(A326,'Purchased Boons'!$BF$2:$BG$900,2,FALSE),"")</f>
        <v/>
      </c>
      <c r="C326" s="727"/>
      <c r="D326" s="727"/>
      <c r="E326" s="727"/>
      <c r="F326" s="727"/>
      <c r="G326" s="727"/>
      <c r="H326" s="727"/>
      <c r="I326" s="727" t="str">
        <f>IF(B326="","",VLOOKUP(B326,BoonRef!$A$2:$Z$900,25,FALSE))</f>
        <v/>
      </c>
      <c r="J326" s="727"/>
      <c r="K326" s="727"/>
      <c r="L326" s="727"/>
      <c r="M326" s="727"/>
      <c r="N326" s="727"/>
      <c r="O326" s="727"/>
      <c r="P326" s="727"/>
      <c r="Q326" s="727"/>
      <c r="R326" s="727"/>
      <c r="S326" s="727"/>
      <c r="T326" s="727"/>
      <c r="U326" s="727"/>
      <c r="V326" s="727"/>
      <c r="W326" s="727"/>
      <c r="X326" s="727"/>
      <c r="Y326" s="727"/>
      <c r="Z326" s="728"/>
      <c r="AA326" s="15">
        <v>161</v>
      </c>
      <c r="AB326" s="1026" t="str">
        <f>IF(AA326&lt;'Purchased Boons'!$B$496,VLOOKUP(AA326,'Purchased Boons'!$BF$2:$BG$900,2,FALSE),"")</f>
        <v/>
      </c>
      <c r="AC326" s="727"/>
      <c r="AD326" s="727"/>
      <c r="AE326" s="727"/>
      <c r="AF326" s="727"/>
      <c r="AG326" s="727"/>
      <c r="AH326" s="727"/>
      <c r="AI326" s="727" t="str">
        <f>IF(AB326="","",VLOOKUP(AB326,BoonRef!$A$2:$Z$900,25,FALSE))</f>
        <v/>
      </c>
      <c r="AJ326" s="727"/>
      <c r="AK326" s="727"/>
      <c r="AL326" s="727"/>
      <c r="AM326" s="727"/>
      <c r="AN326" s="727"/>
      <c r="AO326" s="727"/>
      <c r="AP326" s="727"/>
      <c r="AQ326" s="727"/>
      <c r="AR326" s="727"/>
      <c r="AS326" s="727"/>
      <c r="AT326" s="727"/>
      <c r="AU326" s="727"/>
      <c r="AV326" s="727"/>
      <c r="AW326" s="727"/>
      <c r="AX326" s="727"/>
      <c r="AY326" s="727"/>
      <c r="AZ326" s="728"/>
      <c r="BA326" s="15">
        <v>54</v>
      </c>
      <c r="BB326" s="1038" t="str">
        <f>IF(BA326&lt;'Purchased Knacks'!A$192,VLOOKUP(BA326,'Purchased Knacks'!$A$4:$E$300,3,FALSE),"")</f>
        <v/>
      </c>
      <c r="BC326" s="1039"/>
      <c r="BD326" s="1039"/>
      <c r="BE326" s="1039"/>
      <c r="BF326" s="1040"/>
      <c r="BG326" s="1032" t="str">
        <f>IF(BB326="","",VLOOKUP(BB326,KanckRef!$A$1:$G$300,7,FALSE))</f>
        <v/>
      </c>
      <c r="BH326" s="1033"/>
      <c r="BI326" s="753"/>
      <c r="BJ326" s="754"/>
      <c r="BK326" s="754"/>
      <c r="BL326" s="754"/>
      <c r="BM326" s="754"/>
      <c r="BN326" s="754"/>
      <c r="BO326" s="754"/>
      <c r="BP326" s="754"/>
      <c r="BQ326" s="754"/>
      <c r="BR326" s="754"/>
      <c r="BS326" s="754"/>
      <c r="BT326" s="754"/>
      <c r="BU326" s="754"/>
      <c r="BV326" s="754"/>
      <c r="BW326" s="754"/>
      <c r="BX326" s="754"/>
      <c r="BY326" s="754"/>
      <c r="BZ326" s="755"/>
      <c r="CA326" s="15">
        <v>161</v>
      </c>
      <c r="CB326" s="1038" t="str">
        <f>IF(CA326&lt;'Purchased Knacks'!A$192,VLOOKUP(CA326,'Purchased Knacks'!$A$4:$E$300,3,FALSE),"")</f>
        <v/>
      </c>
      <c r="CC326" s="1039"/>
      <c r="CD326" s="1039"/>
      <c r="CE326" s="1039"/>
      <c r="CF326" s="1040"/>
      <c r="CG326" s="1032" t="str">
        <f>IF(CB326="","",VLOOKUP(CB326,KanckRef!$A$1:$G$300,7,FALSE))</f>
        <v/>
      </c>
      <c r="CH326" s="1033"/>
      <c r="CI326" s="753"/>
      <c r="CJ326" s="754"/>
      <c r="CK326" s="754"/>
      <c r="CL326" s="754"/>
      <c r="CM326" s="754"/>
      <c r="CN326" s="754"/>
      <c r="CO326" s="754"/>
      <c r="CP326" s="754"/>
      <c r="CQ326" s="754"/>
      <c r="CR326" s="754"/>
      <c r="CS326" s="754"/>
      <c r="CT326" s="754"/>
      <c r="CU326" s="754"/>
      <c r="CV326" s="754"/>
      <c r="CW326" s="754"/>
      <c r="CX326" s="754"/>
      <c r="CY326" s="754"/>
      <c r="CZ326" s="755"/>
    </row>
    <row r="327" spans="1:104" x14ac:dyDescent="0.25">
      <c r="B327" s="1026"/>
      <c r="C327" s="727"/>
      <c r="D327" s="727"/>
      <c r="E327" s="727"/>
      <c r="F327" s="727"/>
      <c r="G327" s="727"/>
      <c r="H327" s="727"/>
      <c r="I327" s="727" t="str">
        <f>IF(B326="","",VLOOKUP(B326,BoonRef!$A$2:$Z$900,26,FALSE))</f>
        <v/>
      </c>
      <c r="J327" s="727"/>
      <c r="K327" s="727"/>
      <c r="L327" s="727"/>
      <c r="M327" s="727"/>
      <c r="N327" s="727"/>
      <c r="O327" s="727"/>
      <c r="P327" s="727"/>
      <c r="Q327" s="727"/>
      <c r="R327" s="727"/>
      <c r="S327" s="727"/>
      <c r="T327" s="727"/>
      <c r="U327" s="727"/>
      <c r="V327" s="727"/>
      <c r="W327" s="727"/>
      <c r="X327" s="727"/>
      <c r="Y327" s="727"/>
      <c r="Z327" s="728"/>
      <c r="AB327" s="1026"/>
      <c r="AC327" s="727"/>
      <c r="AD327" s="727"/>
      <c r="AE327" s="727"/>
      <c r="AF327" s="727"/>
      <c r="AG327" s="727"/>
      <c r="AH327" s="727"/>
      <c r="AI327" s="727" t="str">
        <f>IF(AB326="","",VLOOKUP(AB326,BoonRef!$A$2:$Z$900,26,FALSE))</f>
        <v/>
      </c>
      <c r="AJ327" s="727"/>
      <c r="AK327" s="727"/>
      <c r="AL327" s="727"/>
      <c r="AM327" s="727"/>
      <c r="AN327" s="727"/>
      <c r="AO327" s="727"/>
      <c r="AP327" s="727"/>
      <c r="AQ327" s="727"/>
      <c r="AR327" s="727"/>
      <c r="AS327" s="727"/>
      <c r="AT327" s="727"/>
      <c r="AU327" s="727"/>
      <c r="AV327" s="727"/>
      <c r="AW327" s="727"/>
      <c r="AX327" s="727"/>
      <c r="AY327" s="727"/>
      <c r="AZ327" s="728"/>
      <c r="BB327" s="1041"/>
      <c r="BC327" s="1042"/>
      <c r="BD327" s="1042"/>
      <c r="BE327" s="1042"/>
      <c r="BF327" s="1043"/>
      <c r="BG327" s="1034"/>
      <c r="BH327" s="1035"/>
      <c r="BI327" s="753"/>
      <c r="BJ327" s="754"/>
      <c r="BK327" s="754"/>
      <c r="BL327" s="754"/>
      <c r="BM327" s="754"/>
      <c r="BN327" s="754"/>
      <c r="BO327" s="754"/>
      <c r="BP327" s="754"/>
      <c r="BQ327" s="754"/>
      <c r="BR327" s="754"/>
      <c r="BS327" s="754"/>
      <c r="BT327" s="754"/>
      <c r="BU327" s="754"/>
      <c r="BV327" s="754"/>
      <c r="BW327" s="754"/>
      <c r="BX327" s="754"/>
      <c r="BY327" s="754"/>
      <c r="BZ327" s="755"/>
      <c r="CB327" s="1041"/>
      <c r="CC327" s="1042"/>
      <c r="CD327" s="1042"/>
      <c r="CE327" s="1042"/>
      <c r="CF327" s="1043"/>
      <c r="CG327" s="1034"/>
      <c r="CH327" s="1035"/>
      <c r="CI327" s="753"/>
      <c r="CJ327" s="754"/>
      <c r="CK327" s="754"/>
      <c r="CL327" s="754"/>
      <c r="CM327" s="754"/>
      <c r="CN327" s="754"/>
      <c r="CO327" s="754"/>
      <c r="CP327" s="754"/>
      <c r="CQ327" s="754"/>
      <c r="CR327" s="754"/>
      <c r="CS327" s="754"/>
      <c r="CT327" s="754"/>
      <c r="CU327" s="754"/>
      <c r="CV327" s="754"/>
      <c r="CW327" s="754"/>
      <c r="CX327" s="754"/>
      <c r="CY327" s="754"/>
      <c r="CZ327" s="755"/>
    </row>
    <row r="328" spans="1:104" x14ac:dyDescent="0.25">
      <c r="B328" s="1026" t="str">
        <f>IF(B326="","",VLOOKUP(B326,BoonRef!$A$2:$Z$900,24,FALSE))</f>
        <v/>
      </c>
      <c r="C328" s="727"/>
      <c r="D328" s="727"/>
      <c r="E328" s="727"/>
      <c r="F328" s="727"/>
      <c r="G328" s="727"/>
      <c r="H328" s="727"/>
      <c r="I328" s="727"/>
      <c r="J328" s="727"/>
      <c r="K328" s="727"/>
      <c r="L328" s="727"/>
      <c r="M328" s="727"/>
      <c r="N328" s="727"/>
      <c r="O328" s="727"/>
      <c r="P328" s="727"/>
      <c r="Q328" s="727"/>
      <c r="R328" s="727"/>
      <c r="S328" s="727"/>
      <c r="T328" s="727"/>
      <c r="U328" s="727"/>
      <c r="V328" s="727"/>
      <c r="W328" s="727"/>
      <c r="X328" s="727"/>
      <c r="Y328" s="727"/>
      <c r="Z328" s="728"/>
      <c r="AB328" s="1026" t="str">
        <f>IF(AB326="","",VLOOKUP(AB326,BoonRef!$A$2:$Z$900,24,FALSE))</f>
        <v/>
      </c>
      <c r="AC328" s="727"/>
      <c r="AD328" s="727"/>
      <c r="AE328" s="727"/>
      <c r="AF328" s="727"/>
      <c r="AG328" s="727"/>
      <c r="AH328" s="727"/>
      <c r="AI328" s="727"/>
      <c r="AJ328" s="727"/>
      <c r="AK328" s="727"/>
      <c r="AL328" s="727"/>
      <c r="AM328" s="727"/>
      <c r="AN328" s="727"/>
      <c r="AO328" s="727"/>
      <c r="AP328" s="727"/>
      <c r="AQ328" s="727"/>
      <c r="AR328" s="727"/>
      <c r="AS328" s="727"/>
      <c r="AT328" s="727"/>
      <c r="AU328" s="727"/>
      <c r="AV328" s="727"/>
      <c r="AW328" s="727"/>
      <c r="AX328" s="727"/>
      <c r="AY328" s="727"/>
      <c r="AZ328" s="728"/>
      <c r="BB328" s="641" t="str">
        <f>IF(BB326="","",VLOOKUP(BB326,KanckRef!$A$1:$G$300,4,FALSE))</f>
        <v/>
      </c>
      <c r="BC328" s="642"/>
      <c r="BD328" s="642"/>
      <c r="BE328" s="642"/>
      <c r="BF328" s="642"/>
      <c r="BG328" s="642"/>
      <c r="BH328" s="1033"/>
      <c r="BI328" s="753"/>
      <c r="BJ328" s="754"/>
      <c r="BK328" s="754"/>
      <c r="BL328" s="754"/>
      <c r="BM328" s="754"/>
      <c r="BN328" s="754"/>
      <c r="BO328" s="754"/>
      <c r="BP328" s="754"/>
      <c r="BQ328" s="754"/>
      <c r="BR328" s="754"/>
      <c r="BS328" s="754"/>
      <c r="BT328" s="754"/>
      <c r="BU328" s="754"/>
      <c r="BV328" s="754"/>
      <c r="BW328" s="754"/>
      <c r="BX328" s="754"/>
      <c r="BY328" s="754"/>
      <c r="BZ328" s="755"/>
      <c r="CB328" s="641" t="str">
        <f>IF(CB326="","",VLOOKUP(CB326,KanckRef!$A$1:$G$300,4,FALSE))</f>
        <v/>
      </c>
      <c r="CC328" s="642"/>
      <c r="CD328" s="642"/>
      <c r="CE328" s="642"/>
      <c r="CF328" s="642"/>
      <c r="CG328" s="642"/>
      <c r="CH328" s="1033"/>
      <c r="CI328" s="753"/>
      <c r="CJ328" s="754"/>
      <c r="CK328" s="754"/>
      <c r="CL328" s="754"/>
      <c r="CM328" s="754"/>
      <c r="CN328" s="754"/>
      <c r="CO328" s="754"/>
      <c r="CP328" s="754"/>
      <c r="CQ328" s="754"/>
      <c r="CR328" s="754"/>
      <c r="CS328" s="754"/>
      <c r="CT328" s="754"/>
      <c r="CU328" s="754"/>
      <c r="CV328" s="754"/>
      <c r="CW328" s="754"/>
      <c r="CX328" s="754"/>
      <c r="CY328" s="754"/>
      <c r="CZ328" s="755"/>
    </row>
    <row r="329" spans="1:104" x14ac:dyDescent="0.25">
      <c r="B329" s="1026" t="str">
        <f>IF(B326="","",VLOOKUP(B326,BoonRef!$A$2:$Z$900,23,FALSE))</f>
        <v/>
      </c>
      <c r="C329" s="727"/>
      <c r="D329" s="727"/>
      <c r="E329" s="727"/>
      <c r="F329" s="727"/>
      <c r="G329" s="727"/>
      <c r="H329" s="727"/>
      <c r="I329" s="727"/>
      <c r="J329" s="727"/>
      <c r="K329" s="727"/>
      <c r="L329" s="727"/>
      <c r="M329" s="727"/>
      <c r="N329" s="727"/>
      <c r="O329" s="727"/>
      <c r="P329" s="727"/>
      <c r="Q329" s="727"/>
      <c r="R329" s="727"/>
      <c r="S329" s="727"/>
      <c r="T329" s="727"/>
      <c r="U329" s="727"/>
      <c r="V329" s="727"/>
      <c r="W329" s="727"/>
      <c r="X329" s="727"/>
      <c r="Y329" s="727"/>
      <c r="Z329" s="728"/>
      <c r="AB329" s="1026" t="str">
        <f>IF(AB326="","",VLOOKUP(AB326,BoonRef!$A$2:$Z$900,23,FALSE))</f>
        <v/>
      </c>
      <c r="AC329" s="727"/>
      <c r="AD329" s="727"/>
      <c r="AE329" s="727"/>
      <c r="AF329" s="727"/>
      <c r="AG329" s="727"/>
      <c r="AH329" s="727"/>
      <c r="AI329" s="727"/>
      <c r="AJ329" s="727"/>
      <c r="AK329" s="727"/>
      <c r="AL329" s="727"/>
      <c r="AM329" s="727"/>
      <c r="AN329" s="727"/>
      <c r="AO329" s="727"/>
      <c r="AP329" s="727"/>
      <c r="AQ329" s="727"/>
      <c r="AR329" s="727"/>
      <c r="AS329" s="727"/>
      <c r="AT329" s="727"/>
      <c r="AU329" s="727"/>
      <c r="AV329" s="727"/>
      <c r="AW329" s="727"/>
      <c r="AX329" s="727"/>
      <c r="AY329" s="727"/>
      <c r="AZ329" s="728"/>
      <c r="BB329" s="635"/>
      <c r="BC329" s="636"/>
      <c r="BD329" s="636"/>
      <c r="BE329" s="636"/>
      <c r="BF329" s="636"/>
      <c r="BG329" s="636"/>
      <c r="BH329" s="1036"/>
      <c r="BI329" s="753"/>
      <c r="BJ329" s="754"/>
      <c r="BK329" s="754"/>
      <c r="BL329" s="754"/>
      <c r="BM329" s="754"/>
      <c r="BN329" s="754"/>
      <c r="BO329" s="754"/>
      <c r="BP329" s="754"/>
      <c r="BQ329" s="754"/>
      <c r="BR329" s="754"/>
      <c r="BS329" s="754"/>
      <c r="BT329" s="754"/>
      <c r="BU329" s="754"/>
      <c r="BV329" s="754"/>
      <c r="BW329" s="754"/>
      <c r="BX329" s="754"/>
      <c r="BY329" s="754"/>
      <c r="BZ329" s="755"/>
      <c r="CB329" s="635"/>
      <c r="CC329" s="636"/>
      <c r="CD329" s="636"/>
      <c r="CE329" s="636"/>
      <c r="CF329" s="636"/>
      <c r="CG329" s="636"/>
      <c r="CH329" s="1036"/>
      <c r="CI329" s="753"/>
      <c r="CJ329" s="754"/>
      <c r="CK329" s="754"/>
      <c r="CL329" s="754"/>
      <c r="CM329" s="754"/>
      <c r="CN329" s="754"/>
      <c r="CO329" s="754"/>
      <c r="CP329" s="754"/>
      <c r="CQ329" s="754"/>
      <c r="CR329" s="754"/>
      <c r="CS329" s="754"/>
      <c r="CT329" s="754"/>
      <c r="CU329" s="754"/>
      <c r="CV329" s="754"/>
      <c r="CW329" s="754"/>
      <c r="CX329" s="754"/>
      <c r="CY329" s="754"/>
      <c r="CZ329" s="755"/>
    </row>
    <row r="330" spans="1:104" ht="15" customHeight="1" thickBot="1" x14ac:dyDescent="0.3">
      <c r="B330" s="1027"/>
      <c r="C330" s="865"/>
      <c r="D330" s="865"/>
      <c r="E330" s="865"/>
      <c r="F330" s="865"/>
      <c r="G330" s="865"/>
      <c r="H330" s="865"/>
      <c r="I330" s="865"/>
      <c r="J330" s="865"/>
      <c r="K330" s="865"/>
      <c r="L330" s="865"/>
      <c r="M330" s="865"/>
      <c r="N330" s="865"/>
      <c r="O330" s="865"/>
      <c r="P330" s="865"/>
      <c r="Q330" s="865"/>
      <c r="R330" s="865"/>
      <c r="S330" s="865"/>
      <c r="T330" s="865"/>
      <c r="U330" s="865"/>
      <c r="V330" s="865"/>
      <c r="W330" s="865"/>
      <c r="X330" s="865"/>
      <c r="Y330" s="865"/>
      <c r="Z330" s="921"/>
      <c r="AB330" s="1027"/>
      <c r="AC330" s="865"/>
      <c r="AD330" s="865"/>
      <c r="AE330" s="865"/>
      <c r="AF330" s="865"/>
      <c r="AG330" s="865"/>
      <c r="AH330" s="865"/>
      <c r="AI330" s="865"/>
      <c r="AJ330" s="865"/>
      <c r="AK330" s="865"/>
      <c r="AL330" s="865"/>
      <c r="AM330" s="865"/>
      <c r="AN330" s="865"/>
      <c r="AO330" s="865"/>
      <c r="AP330" s="865"/>
      <c r="AQ330" s="865"/>
      <c r="AR330" s="865"/>
      <c r="AS330" s="865"/>
      <c r="AT330" s="865"/>
      <c r="AU330" s="865"/>
      <c r="AV330" s="865"/>
      <c r="AW330" s="865"/>
      <c r="AX330" s="865"/>
      <c r="AY330" s="865"/>
      <c r="AZ330" s="921"/>
      <c r="BB330" s="644"/>
      <c r="BC330" s="645"/>
      <c r="BD330" s="645"/>
      <c r="BE330" s="645"/>
      <c r="BF330" s="645"/>
      <c r="BG330" s="645"/>
      <c r="BH330" s="1037"/>
      <c r="BI330" s="756"/>
      <c r="BJ330" s="757"/>
      <c r="BK330" s="757"/>
      <c r="BL330" s="757"/>
      <c r="BM330" s="757"/>
      <c r="BN330" s="757"/>
      <c r="BO330" s="757"/>
      <c r="BP330" s="757"/>
      <c r="BQ330" s="757"/>
      <c r="BR330" s="757"/>
      <c r="BS330" s="757"/>
      <c r="BT330" s="757"/>
      <c r="BU330" s="757"/>
      <c r="BV330" s="757"/>
      <c r="BW330" s="757"/>
      <c r="BX330" s="757"/>
      <c r="BY330" s="757"/>
      <c r="BZ330" s="758"/>
      <c r="CB330" s="644"/>
      <c r="CC330" s="645"/>
      <c r="CD330" s="645"/>
      <c r="CE330" s="645"/>
      <c r="CF330" s="645"/>
      <c r="CG330" s="645"/>
      <c r="CH330" s="1037"/>
      <c r="CI330" s="756"/>
      <c r="CJ330" s="757"/>
      <c r="CK330" s="757"/>
      <c r="CL330" s="757"/>
      <c r="CM330" s="757"/>
      <c r="CN330" s="757"/>
      <c r="CO330" s="757"/>
      <c r="CP330" s="757"/>
      <c r="CQ330" s="757"/>
      <c r="CR330" s="757"/>
      <c r="CS330" s="757"/>
      <c r="CT330" s="757"/>
      <c r="CU330" s="757"/>
      <c r="CV330" s="757"/>
      <c r="CW330" s="757"/>
      <c r="CX330" s="757"/>
      <c r="CY330" s="757"/>
      <c r="CZ330" s="758"/>
    </row>
    <row r="331" spans="1:104" ht="15" customHeight="1" x14ac:dyDescent="0.25">
      <c r="B331" s="1028" t="str">
        <f>IF(B332="","",VLOOKUP(B332,BoonRef!$A$2:$Z$900,2,FALSE))</f>
        <v/>
      </c>
      <c r="C331" s="725"/>
      <c r="D331" s="725"/>
      <c r="E331" s="725"/>
      <c r="F331" s="725"/>
      <c r="G331" s="725"/>
      <c r="H331" s="725"/>
      <c r="I331" s="725" t="str">
        <f>IF(B332="","",VLOOKUP(B332,BoonRef!$A$2:$Z$900,3,FALSE))</f>
        <v/>
      </c>
      <c r="J331" s="725"/>
      <c r="K331" s="725" t="str">
        <f>IF(B332="","",VLOOKUP(B332,DescRef!$A$2:$B$900,2,FALSE))</f>
        <v/>
      </c>
      <c r="L331" s="725"/>
      <c r="M331" s="725"/>
      <c r="N331" s="725"/>
      <c r="O331" s="725"/>
      <c r="P331" s="725"/>
      <c r="Q331" s="725"/>
      <c r="R331" s="725"/>
      <c r="S331" s="725"/>
      <c r="T331" s="725"/>
      <c r="U331" s="725"/>
      <c r="V331" s="725"/>
      <c r="W331" s="725"/>
      <c r="X331" s="725"/>
      <c r="Y331" s="725"/>
      <c r="Z331" s="726"/>
      <c r="AB331" s="1028" t="str">
        <f>IF(AB332="","",VLOOKUP(AB332,BoonRef!$A$2:$Z$900,2,FALSE))</f>
        <v/>
      </c>
      <c r="AC331" s="725"/>
      <c r="AD331" s="725"/>
      <c r="AE331" s="725"/>
      <c r="AF331" s="725"/>
      <c r="AG331" s="725"/>
      <c r="AH331" s="725"/>
      <c r="AI331" s="725" t="str">
        <f>IF(AB332="","",VLOOKUP(AB332,BoonRef!$A$2:$Z$900,3,FALSE))</f>
        <v/>
      </c>
      <c r="AJ331" s="725"/>
      <c r="AK331" s="725" t="str">
        <f>IF(AB332="","",VLOOKUP(AB332,DescRef!$A$2:$B$900,2,FALSE))</f>
        <v/>
      </c>
      <c r="AL331" s="725"/>
      <c r="AM331" s="725"/>
      <c r="AN331" s="725"/>
      <c r="AO331" s="725"/>
      <c r="AP331" s="725"/>
      <c r="AQ331" s="725"/>
      <c r="AR331" s="725"/>
      <c r="AS331" s="725"/>
      <c r="AT331" s="725"/>
      <c r="AU331" s="725"/>
      <c r="AV331" s="725"/>
      <c r="AW331" s="725"/>
      <c r="AX331" s="725"/>
      <c r="AY331" s="725"/>
      <c r="AZ331" s="726"/>
      <c r="BB331" s="1029" t="str">
        <f>IF(BB332="","",VLOOKUP(BB332,KanckRef!$A$1:$G$300,2,FALSE))</f>
        <v/>
      </c>
      <c r="BC331" s="1030"/>
      <c r="BD331" s="1030"/>
      <c r="BE331" s="1030"/>
      <c r="BF331" s="1031"/>
      <c r="BG331" s="1048" t="str">
        <f>IF(BB332="","",VLOOKUP(BB332,KanckRef!$A$1:$G$300,6,FALSE))</f>
        <v/>
      </c>
      <c r="BH331" s="1049"/>
      <c r="BI331" s="988" t="str">
        <f>IF(BB332="","",VLOOKUP(BB332,DescRef!$D$2:$E$300,2,FALSE))</f>
        <v/>
      </c>
      <c r="BJ331" s="795"/>
      <c r="BK331" s="795"/>
      <c r="BL331" s="795"/>
      <c r="BM331" s="795"/>
      <c r="BN331" s="795"/>
      <c r="BO331" s="795"/>
      <c r="BP331" s="795"/>
      <c r="BQ331" s="795"/>
      <c r="BR331" s="795"/>
      <c r="BS331" s="795"/>
      <c r="BT331" s="795"/>
      <c r="BU331" s="795"/>
      <c r="BV331" s="795"/>
      <c r="BW331" s="795"/>
      <c r="BX331" s="795"/>
      <c r="BY331" s="795"/>
      <c r="BZ331" s="796"/>
      <c r="CB331" s="1029" t="str">
        <f>IF(CB332="","",VLOOKUP(CB332,KanckRef!$A$1:$G$300,2,FALSE))</f>
        <v/>
      </c>
      <c r="CC331" s="1030"/>
      <c r="CD331" s="1030"/>
      <c r="CE331" s="1030"/>
      <c r="CF331" s="1031"/>
      <c r="CG331" s="1048" t="str">
        <f>IF(CB332="","",VLOOKUP(CB332,KanckRef!$A$1:$G$300,6,FALSE))</f>
        <v/>
      </c>
      <c r="CH331" s="1049"/>
      <c r="CI331" s="988" t="str">
        <f>IF(CB332="","",VLOOKUP(CB332,DescRef!$D$2:$E$300,2,FALSE))</f>
        <v/>
      </c>
      <c r="CJ331" s="795"/>
      <c r="CK331" s="795"/>
      <c r="CL331" s="795"/>
      <c r="CM331" s="795"/>
      <c r="CN331" s="795"/>
      <c r="CO331" s="795"/>
      <c r="CP331" s="795"/>
      <c r="CQ331" s="795"/>
      <c r="CR331" s="795"/>
      <c r="CS331" s="795"/>
      <c r="CT331" s="795"/>
      <c r="CU331" s="795"/>
      <c r="CV331" s="795"/>
      <c r="CW331" s="795"/>
      <c r="CX331" s="795"/>
      <c r="CY331" s="795"/>
      <c r="CZ331" s="796"/>
    </row>
    <row r="332" spans="1:104" ht="15" customHeight="1" x14ac:dyDescent="0.25">
      <c r="A332" s="15">
        <v>55</v>
      </c>
      <c r="B332" s="1026" t="str">
        <f>IF(A332&lt;'Purchased Boons'!$B$496,VLOOKUP(A332,'Purchased Boons'!$BF$2:$BG$900,2,FALSE),"")</f>
        <v/>
      </c>
      <c r="C332" s="727"/>
      <c r="D332" s="727"/>
      <c r="E332" s="727"/>
      <c r="F332" s="727"/>
      <c r="G332" s="727"/>
      <c r="H332" s="727"/>
      <c r="I332" s="727" t="str">
        <f>IF(B332="","",VLOOKUP(B332,BoonRef!$A$2:$Z$900,25,FALSE))</f>
        <v/>
      </c>
      <c r="J332" s="727"/>
      <c r="K332" s="727"/>
      <c r="L332" s="727"/>
      <c r="M332" s="727"/>
      <c r="N332" s="727"/>
      <c r="O332" s="727"/>
      <c r="P332" s="727"/>
      <c r="Q332" s="727"/>
      <c r="R332" s="727"/>
      <c r="S332" s="727"/>
      <c r="T332" s="727"/>
      <c r="U332" s="727"/>
      <c r="V332" s="727"/>
      <c r="W332" s="727"/>
      <c r="X332" s="727"/>
      <c r="Y332" s="727"/>
      <c r="Z332" s="728"/>
      <c r="AA332" s="15">
        <v>162</v>
      </c>
      <c r="AB332" s="1026" t="str">
        <f>IF(AA332&lt;'Purchased Boons'!$B$496,VLOOKUP(AA332,'Purchased Boons'!$BF$2:$BG$900,2,FALSE),"")</f>
        <v/>
      </c>
      <c r="AC332" s="727"/>
      <c r="AD332" s="727"/>
      <c r="AE332" s="727"/>
      <c r="AF332" s="727"/>
      <c r="AG332" s="727"/>
      <c r="AH332" s="727"/>
      <c r="AI332" s="727" t="str">
        <f>IF(AB332="","",VLOOKUP(AB332,BoonRef!$A$2:$Z$900,25,FALSE))</f>
        <v/>
      </c>
      <c r="AJ332" s="727"/>
      <c r="AK332" s="727"/>
      <c r="AL332" s="727"/>
      <c r="AM332" s="727"/>
      <c r="AN332" s="727"/>
      <c r="AO332" s="727"/>
      <c r="AP332" s="727"/>
      <c r="AQ332" s="727"/>
      <c r="AR332" s="727"/>
      <c r="AS332" s="727"/>
      <c r="AT332" s="727"/>
      <c r="AU332" s="727"/>
      <c r="AV332" s="727"/>
      <c r="AW332" s="727"/>
      <c r="AX332" s="727"/>
      <c r="AY332" s="727"/>
      <c r="AZ332" s="728"/>
      <c r="BA332" s="15">
        <v>55</v>
      </c>
      <c r="BB332" s="1038" t="str">
        <f>IF(BA332&lt;'Purchased Knacks'!A$192,VLOOKUP(BA332,'Purchased Knacks'!$A$4:$E$300,3,FALSE),"")</f>
        <v/>
      </c>
      <c r="BC332" s="1039"/>
      <c r="BD332" s="1039"/>
      <c r="BE332" s="1039"/>
      <c r="BF332" s="1040"/>
      <c r="BG332" s="1032" t="str">
        <f>IF(BB332="","",VLOOKUP(BB332,KanckRef!$A$1:$G$300,7,FALSE))</f>
        <v/>
      </c>
      <c r="BH332" s="1033"/>
      <c r="BI332" s="753"/>
      <c r="BJ332" s="754"/>
      <c r="BK332" s="754"/>
      <c r="BL332" s="754"/>
      <c r="BM332" s="754"/>
      <c r="BN332" s="754"/>
      <c r="BO332" s="754"/>
      <c r="BP332" s="754"/>
      <c r="BQ332" s="754"/>
      <c r="BR332" s="754"/>
      <c r="BS332" s="754"/>
      <c r="BT332" s="754"/>
      <c r="BU332" s="754"/>
      <c r="BV332" s="754"/>
      <c r="BW332" s="754"/>
      <c r="BX332" s="754"/>
      <c r="BY332" s="754"/>
      <c r="BZ332" s="755"/>
      <c r="CA332" s="15">
        <v>162</v>
      </c>
      <c r="CB332" s="1038" t="str">
        <f>IF(CA332&lt;'Purchased Knacks'!A$192,VLOOKUP(CA332,'Purchased Knacks'!$A$4:$E$300,3,FALSE),"")</f>
        <v/>
      </c>
      <c r="CC332" s="1039"/>
      <c r="CD332" s="1039"/>
      <c r="CE332" s="1039"/>
      <c r="CF332" s="1040"/>
      <c r="CG332" s="1032" t="str">
        <f>IF(CB332="","",VLOOKUP(CB332,KanckRef!$A$1:$G$300,7,FALSE))</f>
        <v/>
      </c>
      <c r="CH332" s="1033"/>
      <c r="CI332" s="753"/>
      <c r="CJ332" s="754"/>
      <c r="CK332" s="754"/>
      <c r="CL332" s="754"/>
      <c r="CM332" s="754"/>
      <c r="CN332" s="754"/>
      <c r="CO332" s="754"/>
      <c r="CP332" s="754"/>
      <c r="CQ332" s="754"/>
      <c r="CR332" s="754"/>
      <c r="CS332" s="754"/>
      <c r="CT332" s="754"/>
      <c r="CU332" s="754"/>
      <c r="CV332" s="754"/>
      <c r="CW332" s="754"/>
      <c r="CX332" s="754"/>
      <c r="CY332" s="754"/>
      <c r="CZ332" s="755"/>
    </row>
    <row r="333" spans="1:104" x14ac:dyDescent="0.25">
      <c r="B333" s="1026"/>
      <c r="C333" s="727"/>
      <c r="D333" s="727"/>
      <c r="E333" s="727"/>
      <c r="F333" s="727"/>
      <c r="G333" s="727"/>
      <c r="H333" s="727"/>
      <c r="I333" s="727" t="str">
        <f>IF(B332="","",VLOOKUP(B332,BoonRef!$A$2:$Z$900,26,FALSE))</f>
        <v/>
      </c>
      <c r="J333" s="727"/>
      <c r="K333" s="727"/>
      <c r="L333" s="727"/>
      <c r="M333" s="727"/>
      <c r="N333" s="727"/>
      <c r="O333" s="727"/>
      <c r="P333" s="727"/>
      <c r="Q333" s="727"/>
      <c r="R333" s="727"/>
      <c r="S333" s="727"/>
      <c r="T333" s="727"/>
      <c r="U333" s="727"/>
      <c r="V333" s="727"/>
      <c r="W333" s="727"/>
      <c r="X333" s="727"/>
      <c r="Y333" s="727"/>
      <c r="Z333" s="728"/>
      <c r="AB333" s="1026"/>
      <c r="AC333" s="727"/>
      <c r="AD333" s="727"/>
      <c r="AE333" s="727"/>
      <c r="AF333" s="727"/>
      <c r="AG333" s="727"/>
      <c r="AH333" s="727"/>
      <c r="AI333" s="727" t="str">
        <f>IF(AB332="","",VLOOKUP(AB332,BoonRef!$A$2:$Z$900,26,FALSE))</f>
        <v/>
      </c>
      <c r="AJ333" s="727"/>
      <c r="AK333" s="727"/>
      <c r="AL333" s="727"/>
      <c r="AM333" s="727"/>
      <c r="AN333" s="727"/>
      <c r="AO333" s="727"/>
      <c r="AP333" s="727"/>
      <c r="AQ333" s="727"/>
      <c r="AR333" s="727"/>
      <c r="AS333" s="727"/>
      <c r="AT333" s="727"/>
      <c r="AU333" s="727"/>
      <c r="AV333" s="727"/>
      <c r="AW333" s="727"/>
      <c r="AX333" s="727"/>
      <c r="AY333" s="727"/>
      <c r="AZ333" s="728"/>
      <c r="BB333" s="1041"/>
      <c r="BC333" s="1042"/>
      <c r="BD333" s="1042"/>
      <c r="BE333" s="1042"/>
      <c r="BF333" s="1043"/>
      <c r="BG333" s="1034"/>
      <c r="BH333" s="1035"/>
      <c r="BI333" s="753"/>
      <c r="BJ333" s="754"/>
      <c r="BK333" s="754"/>
      <c r="BL333" s="754"/>
      <c r="BM333" s="754"/>
      <c r="BN333" s="754"/>
      <c r="BO333" s="754"/>
      <c r="BP333" s="754"/>
      <c r="BQ333" s="754"/>
      <c r="BR333" s="754"/>
      <c r="BS333" s="754"/>
      <c r="BT333" s="754"/>
      <c r="BU333" s="754"/>
      <c r="BV333" s="754"/>
      <c r="BW333" s="754"/>
      <c r="BX333" s="754"/>
      <c r="BY333" s="754"/>
      <c r="BZ333" s="755"/>
      <c r="CB333" s="1041"/>
      <c r="CC333" s="1042"/>
      <c r="CD333" s="1042"/>
      <c r="CE333" s="1042"/>
      <c r="CF333" s="1043"/>
      <c r="CG333" s="1034"/>
      <c r="CH333" s="1035"/>
      <c r="CI333" s="753"/>
      <c r="CJ333" s="754"/>
      <c r="CK333" s="754"/>
      <c r="CL333" s="754"/>
      <c r="CM333" s="754"/>
      <c r="CN333" s="754"/>
      <c r="CO333" s="754"/>
      <c r="CP333" s="754"/>
      <c r="CQ333" s="754"/>
      <c r="CR333" s="754"/>
      <c r="CS333" s="754"/>
      <c r="CT333" s="754"/>
      <c r="CU333" s="754"/>
      <c r="CV333" s="754"/>
      <c r="CW333" s="754"/>
      <c r="CX333" s="754"/>
      <c r="CY333" s="754"/>
      <c r="CZ333" s="755"/>
    </row>
    <row r="334" spans="1:104" x14ac:dyDescent="0.25">
      <c r="B334" s="1026" t="str">
        <f>IF(B332="","",VLOOKUP(B332,BoonRef!$A$2:$Z$900,24,FALSE))</f>
        <v/>
      </c>
      <c r="C334" s="727"/>
      <c r="D334" s="727"/>
      <c r="E334" s="727"/>
      <c r="F334" s="727"/>
      <c r="G334" s="727"/>
      <c r="H334" s="727"/>
      <c r="I334" s="727"/>
      <c r="J334" s="727"/>
      <c r="K334" s="727"/>
      <c r="L334" s="727"/>
      <c r="M334" s="727"/>
      <c r="N334" s="727"/>
      <c r="O334" s="727"/>
      <c r="P334" s="727"/>
      <c r="Q334" s="727"/>
      <c r="R334" s="727"/>
      <c r="S334" s="727"/>
      <c r="T334" s="727"/>
      <c r="U334" s="727"/>
      <c r="V334" s="727"/>
      <c r="W334" s="727"/>
      <c r="X334" s="727"/>
      <c r="Y334" s="727"/>
      <c r="Z334" s="728"/>
      <c r="AB334" s="1026" t="str">
        <f>IF(AB332="","",VLOOKUP(AB332,BoonRef!$A$2:$Z$900,24,FALSE))</f>
        <v/>
      </c>
      <c r="AC334" s="727"/>
      <c r="AD334" s="727"/>
      <c r="AE334" s="727"/>
      <c r="AF334" s="727"/>
      <c r="AG334" s="727"/>
      <c r="AH334" s="727"/>
      <c r="AI334" s="727"/>
      <c r="AJ334" s="727"/>
      <c r="AK334" s="727"/>
      <c r="AL334" s="727"/>
      <c r="AM334" s="727"/>
      <c r="AN334" s="727"/>
      <c r="AO334" s="727"/>
      <c r="AP334" s="727"/>
      <c r="AQ334" s="727"/>
      <c r="AR334" s="727"/>
      <c r="AS334" s="727"/>
      <c r="AT334" s="727"/>
      <c r="AU334" s="727"/>
      <c r="AV334" s="727"/>
      <c r="AW334" s="727"/>
      <c r="AX334" s="727"/>
      <c r="AY334" s="727"/>
      <c r="AZ334" s="728"/>
      <c r="BB334" s="641" t="str">
        <f>IF(BB332="","",VLOOKUP(BB332,KanckRef!$A$1:$G$300,4,FALSE))</f>
        <v/>
      </c>
      <c r="BC334" s="642"/>
      <c r="BD334" s="642"/>
      <c r="BE334" s="642"/>
      <c r="BF334" s="642"/>
      <c r="BG334" s="642"/>
      <c r="BH334" s="1033"/>
      <c r="BI334" s="753"/>
      <c r="BJ334" s="754"/>
      <c r="BK334" s="754"/>
      <c r="BL334" s="754"/>
      <c r="BM334" s="754"/>
      <c r="BN334" s="754"/>
      <c r="BO334" s="754"/>
      <c r="BP334" s="754"/>
      <c r="BQ334" s="754"/>
      <c r="BR334" s="754"/>
      <c r="BS334" s="754"/>
      <c r="BT334" s="754"/>
      <c r="BU334" s="754"/>
      <c r="BV334" s="754"/>
      <c r="BW334" s="754"/>
      <c r="BX334" s="754"/>
      <c r="BY334" s="754"/>
      <c r="BZ334" s="755"/>
      <c r="CB334" s="641" t="str">
        <f>IF(CB332="","",VLOOKUP(CB332,KanckRef!$A$1:$G$300,4,FALSE))</f>
        <v/>
      </c>
      <c r="CC334" s="642"/>
      <c r="CD334" s="642"/>
      <c r="CE334" s="642"/>
      <c r="CF334" s="642"/>
      <c r="CG334" s="642"/>
      <c r="CH334" s="1033"/>
      <c r="CI334" s="753"/>
      <c r="CJ334" s="754"/>
      <c r="CK334" s="754"/>
      <c r="CL334" s="754"/>
      <c r="CM334" s="754"/>
      <c r="CN334" s="754"/>
      <c r="CO334" s="754"/>
      <c r="CP334" s="754"/>
      <c r="CQ334" s="754"/>
      <c r="CR334" s="754"/>
      <c r="CS334" s="754"/>
      <c r="CT334" s="754"/>
      <c r="CU334" s="754"/>
      <c r="CV334" s="754"/>
      <c r="CW334" s="754"/>
      <c r="CX334" s="754"/>
      <c r="CY334" s="754"/>
      <c r="CZ334" s="755"/>
    </row>
    <row r="335" spans="1:104" ht="15" customHeight="1" x14ac:dyDescent="0.25">
      <c r="B335" s="1026" t="str">
        <f>IF(B332="","",VLOOKUP(B332,BoonRef!$A$2:$Z$900,23,FALSE))</f>
        <v/>
      </c>
      <c r="C335" s="727"/>
      <c r="D335" s="727"/>
      <c r="E335" s="727"/>
      <c r="F335" s="727"/>
      <c r="G335" s="727"/>
      <c r="H335" s="727"/>
      <c r="I335" s="727"/>
      <c r="J335" s="727"/>
      <c r="K335" s="727"/>
      <c r="L335" s="727"/>
      <c r="M335" s="727"/>
      <c r="N335" s="727"/>
      <c r="O335" s="727"/>
      <c r="P335" s="727"/>
      <c r="Q335" s="727"/>
      <c r="R335" s="727"/>
      <c r="S335" s="727"/>
      <c r="T335" s="727"/>
      <c r="U335" s="727"/>
      <c r="V335" s="727"/>
      <c r="W335" s="727"/>
      <c r="X335" s="727"/>
      <c r="Y335" s="727"/>
      <c r="Z335" s="728"/>
      <c r="AB335" s="1026" t="str">
        <f>IF(AB332="","",VLOOKUP(AB332,BoonRef!$A$2:$Z$900,23,FALSE))</f>
        <v/>
      </c>
      <c r="AC335" s="727"/>
      <c r="AD335" s="727"/>
      <c r="AE335" s="727"/>
      <c r="AF335" s="727"/>
      <c r="AG335" s="727"/>
      <c r="AH335" s="727"/>
      <c r="AI335" s="727"/>
      <c r="AJ335" s="727"/>
      <c r="AK335" s="727"/>
      <c r="AL335" s="727"/>
      <c r="AM335" s="727"/>
      <c r="AN335" s="727"/>
      <c r="AO335" s="727"/>
      <c r="AP335" s="727"/>
      <c r="AQ335" s="727"/>
      <c r="AR335" s="727"/>
      <c r="AS335" s="727"/>
      <c r="AT335" s="727"/>
      <c r="AU335" s="727"/>
      <c r="AV335" s="727"/>
      <c r="AW335" s="727"/>
      <c r="AX335" s="727"/>
      <c r="AY335" s="727"/>
      <c r="AZ335" s="728"/>
      <c r="BB335" s="635"/>
      <c r="BC335" s="636"/>
      <c r="BD335" s="636"/>
      <c r="BE335" s="636"/>
      <c r="BF335" s="636"/>
      <c r="BG335" s="636"/>
      <c r="BH335" s="1036"/>
      <c r="BI335" s="753"/>
      <c r="BJ335" s="754"/>
      <c r="BK335" s="754"/>
      <c r="BL335" s="754"/>
      <c r="BM335" s="754"/>
      <c r="BN335" s="754"/>
      <c r="BO335" s="754"/>
      <c r="BP335" s="754"/>
      <c r="BQ335" s="754"/>
      <c r="BR335" s="754"/>
      <c r="BS335" s="754"/>
      <c r="BT335" s="754"/>
      <c r="BU335" s="754"/>
      <c r="BV335" s="754"/>
      <c r="BW335" s="754"/>
      <c r="BX335" s="754"/>
      <c r="BY335" s="754"/>
      <c r="BZ335" s="755"/>
      <c r="CB335" s="635"/>
      <c r="CC335" s="636"/>
      <c r="CD335" s="636"/>
      <c r="CE335" s="636"/>
      <c r="CF335" s="636"/>
      <c r="CG335" s="636"/>
      <c r="CH335" s="1036"/>
      <c r="CI335" s="753"/>
      <c r="CJ335" s="754"/>
      <c r="CK335" s="754"/>
      <c r="CL335" s="754"/>
      <c r="CM335" s="754"/>
      <c r="CN335" s="754"/>
      <c r="CO335" s="754"/>
      <c r="CP335" s="754"/>
      <c r="CQ335" s="754"/>
      <c r="CR335" s="754"/>
      <c r="CS335" s="754"/>
      <c r="CT335" s="754"/>
      <c r="CU335" s="754"/>
      <c r="CV335" s="754"/>
      <c r="CW335" s="754"/>
      <c r="CX335" s="754"/>
      <c r="CY335" s="754"/>
      <c r="CZ335" s="755"/>
    </row>
    <row r="336" spans="1:104" ht="15" customHeight="1" thickBot="1" x14ac:dyDescent="0.3">
      <c r="B336" s="1027"/>
      <c r="C336" s="865"/>
      <c r="D336" s="865"/>
      <c r="E336" s="865"/>
      <c r="F336" s="865"/>
      <c r="G336" s="865"/>
      <c r="H336" s="865"/>
      <c r="I336" s="865"/>
      <c r="J336" s="865"/>
      <c r="K336" s="865"/>
      <c r="L336" s="865"/>
      <c r="M336" s="865"/>
      <c r="N336" s="865"/>
      <c r="O336" s="865"/>
      <c r="P336" s="865"/>
      <c r="Q336" s="865"/>
      <c r="R336" s="865"/>
      <c r="S336" s="865"/>
      <c r="T336" s="865"/>
      <c r="U336" s="865"/>
      <c r="V336" s="865"/>
      <c r="W336" s="865"/>
      <c r="X336" s="865"/>
      <c r="Y336" s="865"/>
      <c r="Z336" s="921"/>
      <c r="AB336" s="1027"/>
      <c r="AC336" s="865"/>
      <c r="AD336" s="865"/>
      <c r="AE336" s="865"/>
      <c r="AF336" s="865"/>
      <c r="AG336" s="865"/>
      <c r="AH336" s="865"/>
      <c r="AI336" s="865"/>
      <c r="AJ336" s="865"/>
      <c r="AK336" s="865"/>
      <c r="AL336" s="865"/>
      <c r="AM336" s="865"/>
      <c r="AN336" s="865"/>
      <c r="AO336" s="865"/>
      <c r="AP336" s="865"/>
      <c r="AQ336" s="865"/>
      <c r="AR336" s="865"/>
      <c r="AS336" s="865"/>
      <c r="AT336" s="865"/>
      <c r="AU336" s="865"/>
      <c r="AV336" s="865"/>
      <c r="AW336" s="865"/>
      <c r="AX336" s="865"/>
      <c r="AY336" s="865"/>
      <c r="AZ336" s="921"/>
      <c r="BB336" s="644"/>
      <c r="BC336" s="645"/>
      <c r="BD336" s="645"/>
      <c r="BE336" s="645"/>
      <c r="BF336" s="645"/>
      <c r="BG336" s="645"/>
      <c r="BH336" s="1037"/>
      <c r="BI336" s="756"/>
      <c r="BJ336" s="757"/>
      <c r="BK336" s="757"/>
      <c r="BL336" s="757"/>
      <c r="BM336" s="757"/>
      <c r="BN336" s="757"/>
      <c r="BO336" s="757"/>
      <c r="BP336" s="757"/>
      <c r="BQ336" s="757"/>
      <c r="BR336" s="757"/>
      <c r="BS336" s="757"/>
      <c r="BT336" s="757"/>
      <c r="BU336" s="757"/>
      <c r="BV336" s="757"/>
      <c r="BW336" s="757"/>
      <c r="BX336" s="757"/>
      <c r="BY336" s="757"/>
      <c r="BZ336" s="758"/>
      <c r="CB336" s="644"/>
      <c r="CC336" s="645"/>
      <c r="CD336" s="645"/>
      <c r="CE336" s="645"/>
      <c r="CF336" s="645"/>
      <c r="CG336" s="645"/>
      <c r="CH336" s="1037"/>
      <c r="CI336" s="756"/>
      <c r="CJ336" s="757"/>
      <c r="CK336" s="757"/>
      <c r="CL336" s="757"/>
      <c r="CM336" s="757"/>
      <c r="CN336" s="757"/>
      <c r="CO336" s="757"/>
      <c r="CP336" s="757"/>
      <c r="CQ336" s="757"/>
      <c r="CR336" s="757"/>
      <c r="CS336" s="757"/>
      <c r="CT336" s="757"/>
      <c r="CU336" s="757"/>
      <c r="CV336" s="757"/>
      <c r="CW336" s="757"/>
      <c r="CX336" s="757"/>
      <c r="CY336" s="757"/>
      <c r="CZ336" s="758"/>
    </row>
    <row r="337" spans="1:104" x14ac:dyDescent="0.25">
      <c r="B337" s="1028" t="str">
        <f>IF(B338="","",VLOOKUP(B338,BoonRef!$A$2:$Z$900,2,FALSE))</f>
        <v/>
      </c>
      <c r="C337" s="725"/>
      <c r="D337" s="725"/>
      <c r="E337" s="725"/>
      <c r="F337" s="725"/>
      <c r="G337" s="725"/>
      <c r="H337" s="725"/>
      <c r="I337" s="725" t="str">
        <f>IF(B338="","",VLOOKUP(B338,BoonRef!$A$2:$Z$900,3,FALSE))</f>
        <v/>
      </c>
      <c r="J337" s="725"/>
      <c r="K337" s="725" t="str">
        <f>IF(B338="","",VLOOKUP(B338,DescRef!$A$2:$B$900,2,FALSE))</f>
        <v/>
      </c>
      <c r="L337" s="725"/>
      <c r="M337" s="725"/>
      <c r="N337" s="725"/>
      <c r="O337" s="725"/>
      <c r="P337" s="725"/>
      <c r="Q337" s="725"/>
      <c r="R337" s="725"/>
      <c r="S337" s="725"/>
      <c r="T337" s="725"/>
      <c r="U337" s="725"/>
      <c r="V337" s="725"/>
      <c r="W337" s="725"/>
      <c r="X337" s="725"/>
      <c r="Y337" s="725"/>
      <c r="Z337" s="726"/>
      <c r="AB337" s="1028" t="str">
        <f>IF(AB338="","",VLOOKUP(AB338,BoonRef!$A$2:$Z$900,2,FALSE))</f>
        <v/>
      </c>
      <c r="AC337" s="725"/>
      <c r="AD337" s="725"/>
      <c r="AE337" s="725"/>
      <c r="AF337" s="725"/>
      <c r="AG337" s="725"/>
      <c r="AH337" s="725"/>
      <c r="AI337" s="725" t="str">
        <f>IF(AB338="","",VLOOKUP(AB338,BoonRef!$A$2:$Z$900,3,FALSE))</f>
        <v/>
      </c>
      <c r="AJ337" s="725"/>
      <c r="AK337" s="725" t="str">
        <f>IF(AB338="","",VLOOKUP(AB338,DescRef!$A$2:$B$900,2,FALSE))</f>
        <v/>
      </c>
      <c r="AL337" s="725"/>
      <c r="AM337" s="725"/>
      <c r="AN337" s="725"/>
      <c r="AO337" s="725"/>
      <c r="AP337" s="725"/>
      <c r="AQ337" s="725"/>
      <c r="AR337" s="725"/>
      <c r="AS337" s="725"/>
      <c r="AT337" s="725"/>
      <c r="AU337" s="725"/>
      <c r="AV337" s="725"/>
      <c r="AW337" s="725"/>
      <c r="AX337" s="725"/>
      <c r="AY337" s="725"/>
      <c r="AZ337" s="726"/>
      <c r="BB337" s="1029" t="str">
        <f>IF(BB338="","",VLOOKUP(BB338,KanckRef!$A$1:$G$300,2,FALSE))</f>
        <v/>
      </c>
      <c r="BC337" s="1030"/>
      <c r="BD337" s="1030"/>
      <c r="BE337" s="1030"/>
      <c r="BF337" s="1031"/>
      <c r="BG337" s="1048" t="str">
        <f>IF(BB338="","",VLOOKUP(BB338,KanckRef!$A$1:$G$300,6,FALSE))</f>
        <v/>
      </c>
      <c r="BH337" s="1049"/>
      <c r="BI337" s="988" t="str">
        <f>IF(BB338="","",VLOOKUP(BB338,DescRef!$D$2:$E$300,2,FALSE))</f>
        <v/>
      </c>
      <c r="BJ337" s="795"/>
      <c r="BK337" s="795"/>
      <c r="BL337" s="795"/>
      <c r="BM337" s="795"/>
      <c r="BN337" s="795"/>
      <c r="BO337" s="795"/>
      <c r="BP337" s="795"/>
      <c r="BQ337" s="795"/>
      <c r="BR337" s="795"/>
      <c r="BS337" s="795"/>
      <c r="BT337" s="795"/>
      <c r="BU337" s="795"/>
      <c r="BV337" s="795"/>
      <c r="BW337" s="795"/>
      <c r="BX337" s="795"/>
      <c r="BY337" s="795"/>
      <c r="BZ337" s="796"/>
      <c r="CB337" s="1029" t="str">
        <f>IF(CB338="","",VLOOKUP(CB338,KanckRef!$A$1:$G$300,2,FALSE))</f>
        <v/>
      </c>
      <c r="CC337" s="1030"/>
      <c r="CD337" s="1030"/>
      <c r="CE337" s="1030"/>
      <c r="CF337" s="1031"/>
      <c r="CG337" s="1048" t="str">
        <f>IF(CB338="","",VLOOKUP(CB338,KanckRef!$A$1:$G$300,6,FALSE))</f>
        <v/>
      </c>
      <c r="CH337" s="1049"/>
      <c r="CI337" s="988" t="str">
        <f>IF(CB338="","",VLOOKUP(CB338,DescRef!$D$2:$E$300,2,FALSE))</f>
        <v/>
      </c>
      <c r="CJ337" s="795"/>
      <c r="CK337" s="795"/>
      <c r="CL337" s="795"/>
      <c r="CM337" s="795"/>
      <c r="CN337" s="795"/>
      <c r="CO337" s="795"/>
      <c r="CP337" s="795"/>
      <c r="CQ337" s="795"/>
      <c r="CR337" s="795"/>
      <c r="CS337" s="795"/>
      <c r="CT337" s="795"/>
      <c r="CU337" s="795"/>
      <c r="CV337" s="795"/>
      <c r="CW337" s="795"/>
      <c r="CX337" s="795"/>
      <c r="CY337" s="795"/>
      <c r="CZ337" s="796"/>
    </row>
    <row r="338" spans="1:104" ht="15" customHeight="1" x14ac:dyDescent="0.25">
      <c r="A338" s="15">
        <v>56</v>
      </c>
      <c r="B338" s="1026" t="str">
        <f>IF(A338&lt;'Purchased Boons'!$B$496,VLOOKUP(A338,'Purchased Boons'!$BF$2:$BG$900,2,FALSE),"")</f>
        <v/>
      </c>
      <c r="C338" s="727"/>
      <c r="D338" s="727"/>
      <c r="E338" s="727"/>
      <c r="F338" s="727"/>
      <c r="G338" s="727"/>
      <c r="H338" s="727"/>
      <c r="I338" s="727" t="str">
        <f>IF(B338="","",VLOOKUP(B338,BoonRef!$A$2:$Z$900,25,FALSE))</f>
        <v/>
      </c>
      <c r="J338" s="727"/>
      <c r="K338" s="727"/>
      <c r="L338" s="727"/>
      <c r="M338" s="727"/>
      <c r="N338" s="727"/>
      <c r="O338" s="727"/>
      <c r="P338" s="727"/>
      <c r="Q338" s="727"/>
      <c r="R338" s="727"/>
      <c r="S338" s="727"/>
      <c r="T338" s="727"/>
      <c r="U338" s="727"/>
      <c r="V338" s="727"/>
      <c r="W338" s="727"/>
      <c r="X338" s="727"/>
      <c r="Y338" s="727"/>
      <c r="Z338" s="728"/>
      <c r="AA338" s="15">
        <v>163</v>
      </c>
      <c r="AB338" s="1026" t="str">
        <f>IF(AA338&lt;'Purchased Boons'!$B$496,VLOOKUP(AA338,'Purchased Boons'!$BF$2:$BG$900,2,FALSE),"")</f>
        <v/>
      </c>
      <c r="AC338" s="727"/>
      <c r="AD338" s="727"/>
      <c r="AE338" s="727"/>
      <c r="AF338" s="727"/>
      <c r="AG338" s="727"/>
      <c r="AH338" s="727"/>
      <c r="AI338" s="727" t="str">
        <f>IF(AB338="","",VLOOKUP(AB338,BoonRef!$A$2:$Z$900,25,FALSE))</f>
        <v/>
      </c>
      <c r="AJ338" s="727"/>
      <c r="AK338" s="727"/>
      <c r="AL338" s="727"/>
      <c r="AM338" s="727"/>
      <c r="AN338" s="727"/>
      <c r="AO338" s="727"/>
      <c r="AP338" s="727"/>
      <c r="AQ338" s="727"/>
      <c r="AR338" s="727"/>
      <c r="AS338" s="727"/>
      <c r="AT338" s="727"/>
      <c r="AU338" s="727"/>
      <c r="AV338" s="727"/>
      <c r="AW338" s="727"/>
      <c r="AX338" s="727"/>
      <c r="AY338" s="727"/>
      <c r="AZ338" s="728"/>
      <c r="BA338" s="15">
        <v>56</v>
      </c>
      <c r="BB338" s="1038" t="str">
        <f>IF(BA338&lt;'Purchased Knacks'!A$192,VLOOKUP(BA338,'Purchased Knacks'!$A$4:$E$300,3,FALSE),"")</f>
        <v/>
      </c>
      <c r="BC338" s="1039"/>
      <c r="BD338" s="1039"/>
      <c r="BE338" s="1039"/>
      <c r="BF338" s="1040"/>
      <c r="BG338" s="1032" t="str">
        <f>IF(BB338="","",VLOOKUP(BB338,KanckRef!$A$1:$G$300,7,FALSE))</f>
        <v/>
      </c>
      <c r="BH338" s="1033"/>
      <c r="BI338" s="753"/>
      <c r="BJ338" s="754"/>
      <c r="BK338" s="754"/>
      <c r="BL338" s="754"/>
      <c r="BM338" s="754"/>
      <c r="BN338" s="754"/>
      <c r="BO338" s="754"/>
      <c r="BP338" s="754"/>
      <c r="BQ338" s="754"/>
      <c r="BR338" s="754"/>
      <c r="BS338" s="754"/>
      <c r="BT338" s="754"/>
      <c r="BU338" s="754"/>
      <c r="BV338" s="754"/>
      <c r="BW338" s="754"/>
      <c r="BX338" s="754"/>
      <c r="BY338" s="754"/>
      <c r="BZ338" s="755"/>
      <c r="CA338" s="15">
        <v>163</v>
      </c>
      <c r="CB338" s="1038" t="str">
        <f>IF(CA338&lt;'Purchased Knacks'!A$192,VLOOKUP(CA338,'Purchased Knacks'!$A$4:$E$300,3,FALSE),"")</f>
        <v/>
      </c>
      <c r="CC338" s="1039"/>
      <c r="CD338" s="1039"/>
      <c r="CE338" s="1039"/>
      <c r="CF338" s="1040"/>
      <c r="CG338" s="1032" t="str">
        <f>IF(CB338="","",VLOOKUP(CB338,KanckRef!$A$1:$G$300,7,FALSE))</f>
        <v/>
      </c>
      <c r="CH338" s="1033"/>
      <c r="CI338" s="753"/>
      <c r="CJ338" s="754"/>
      <c r="CK338" s="754"/>
      <c r="CL338" s="754"/>
      <c r="CM338" s="754"/>
      <c r="CN338" s="754"/>
      <c r="CO338" s="754"/>
      <c r="CP338" s="754"/>
      <c r="CQ338" s="754"/>
      <c r="CR338" s="754"/>
      <c r="CS338" s="754"/>
      <c r="CT338" s="754"/>
      <c r="CU338" s="754"/>
      <c r="CV338" s="754"/>
      <c r="CW338" s="754"/>
      <c r="CX338" s="754"/>
      <c r="CY338" s="754"/>
      <c r="CZ338" s="755"/>
    </row>
    <row r="339" spans="1:104" x14ac:dyDescent="0.25">
      <c r="B339" s="1026"/>
      <c r="C339" s="727"/>
      <c r="D339" s="727"/>
      <c r="E339" s="727"/>
      <c r="F339" s="727"/>
      <c r="G339" s="727"/>
      <c r="H339" s="727"/>
      <c r="I339" s="727" t="str">
        <f>IF(B338="","",VLOOKUP(B338,BoonRef!$A$2:$Z$900,26,FALSE))</f>
        <v/>
      </c>
      <c r="J339" s="727"/>
      <c r="K339" s="727"/>
      <c r="L339" s="727"/>
      <c r="M339" s="727"/>
      <c r="N339" s="727"/>
      <c r="O339" s="727"/>
      <c r="P339" s="727"/>
      <c r="Q339" s="727"/>
      <c r="R339" s="727"/>
      <c r="S339" s="727"/>
      <c r="T339" s="727"/>
      <c r="U339" s="727"/>
      <c r="V339" s="727"/>
      <c r="W339" s="727"/>
      <c r="X339" s="727"/>
      <c r="Y339" s="727"/>
      <c r="Z339" s="728"/>
      <c r="AB339" s="1026"/>
      <c r="AC339" s="727"/>
      <c r="AD339" s="727"/>
      <c r="AE339" s="727"/>
      <c r="AF339" s="727"/>
      <c r="AG339" s="727"/>
      <c r="AH339" s="727"/>
      <c r="AI339" s="727" t="str">
        <f>IF(AB338="","",VLOOKUP(AB338,BoonRef!$A$2:$Z$900,26,FALSE))</f>
        <v/>
      </c>
      <c r="AJ339" s="727"/>
      <c r="AK339" s="727"/>
      <c r="AL339" s="727"/>
      <c r="AM339" s="727"/>
      <c r="AN339" s="727"/>
      <c r="AO339" s="727"/>
      <c r="AP339" s="727"/>
      <c r="AQ339" s="727"/>
      <c r="AR339" s="727"/>
      <c r="AS339" s="727"/>
      <c r="AT339" s="727"/>
      <c r="AU339" s="727"/>
      <c r="AV339" s="727"/>
      <c r="AW339" s="727"/>
      <c r="AX339" s="727"/>
      <c r="AY339" s="727"/>
      <c r="AZ339" s="728"/>
      <c r="BB339" s="1041"/>
      <c r="BC339" s="1042"/>
      <c r="BD339" s="1042"/>
      <c r="BE339" s="1042"/>
      <c r="BF339" s="1043"/>
      <c r="BG339" s="1034"/>
      <c r="BH339" s="1035"/>
      <c r="BI339" s="753"/>
      <c r="BJ339" s="754"/>
      <c r="BK339" s="754"/>
      <c r="BL339" s="754"/>
      <c r="BM339" s="754"/>
      <c r="BN339" s="754"/>
      <c r="BO339" s="754"/>
      <c r="BP339" s="754"/>
      <c r="BQ339" s="754"/>
      <c r="BR339" s="754"/>
      <c r="BS339" s="754"/>
      <c r="BT339" s="754"/>
      <c r="BU339" s="754"/>
      <c r="BV339" s="754"/>
      <c r="BW339" s="754"/>
      <c r="BX339" s="754"/>
      <c r="BY339" s="754"/>
      <c r="BZ339" s="755"/>
      <c r="CB339" s="1041"/>
      <c r="CC339" s="1042"/>
      <c r="CD339" s="1042"/>
      <c r="CE339" s="1042"/>
      <c r="CF339" s="1043"/>
      <c r="CG339" s="1034"/>
      <c r="CH339" s="1035"/>
      <c r="CI339" s="753"/>
      <c r="CJ339" s="754"/>
      <c r="CK339" s="754"/>
      <c r="CL339" s="754"/>
      <c r="CM339" s="754"/>
      <c r="CN339" s="754"/>
      <c r="CO339" s="754"/>
      <c r="CP339" s="754"/>
      <c r="CQ339" s="754"/>
      <c r="CR339" s="754"/>
      <c r="CS339" s="754"/>
      <c r="CT339" s="754"/>
      <c r="CU339" s="754"/>
      <c r="CV339" s="754"/>
      <c r="CW339" s="754"/>
      <c r="CX339" s="754"/>
      <c r="CY339" s="754"/>
      <c r="CZ339" s="755"/>
    </row>
    <row r="340" spans="1:104" ht="15" customHeight="1" x14ac:dyDescent="0.25">
      <c r="B340" s="1026" t="str">
        <f>IF(B338="","",VLOOKUP(B338,BoonRef!$A$2:$Z$900,24,FALSE))</f>
        <v/>
      </c>
      <c r="C340" s="727"/>
      <c r="D340" s="727"/>
      <c r="E340" s="727"/>
      <c r="F340" s="727"/>
      <c r="G340" s="727"/>
      <c r="H340" s="727"/>
      <c r="I340" s="727"/>
      <c r="J340" s="727"/>
      <c r="K340" s="727"/>
      <c r="L340" s="727"/>
      <c r="M340" s="727"/>
      <c r="N340" s="727"/>
      <c r="O340" s="727"/>
      <c r="P340" s="727"/>
      <c r="Q340" s="727"/>
      <c r="R340" s="727"/>
      <c r="S340" s="727"/>
      <c r="T340" s="727"/>
      <c r="U340" s="727"/>
      <c r="V340" s="727"/>
      <c r="W340" s="727"/>
      <c r="X340" s="727"/>
      <c r="Y340" s="727"/>
      <c r="Z340" s="728"/>
      <c r="AB340" s="1026" t="str">
        <f>IF(AB338="","",VLOOKUP(AB338,BoonRef!$A$2:$Z$900,24,FALSE))</f>
        <v/>
      </c>
      <c r="AC340" s="727"/>
      <c r="AD340" s="727"/>
      <c r="AE340" s="727"/>
      <c r="AF340" s="727"/>
      <c r="AG340" s="727"/>
      <c r="AH340" s="727"/>
      <c r="AI340" s="727"/>
      <c r="AJ340" s="727"/>
      <c r="AK340" s="727"/>
      <c r="AL340" s="727"/>
      <c r="AM340" s="727"/>
      <c r="AN340" s="727"/>
      <c r="AO340" s="727"/>
      <c r="AP340" s="727"/>
      <c r="AQ340" s="727"/>
      <c r="AR340" s="727"/>
      <c r="AS340" s="727"/>
      <c r="AT340" s="727"/>
      <c r="AU340" s="727"/>
      <c r="AV340" s="727"/>
      <c r="AW340" s="727"/>
      <c r="AX340" s="727"/>
      <c r="AY340" s="727"/>
      <c r="AZ340" s="728"/>
      <c r="BB340" s="641" t="str">
        <f>IF(BB338="","",VLOOKUP(BB338,KanckRef!$A$1:$G$300,4,FALSE))</f>
        <v/>
      </c>
      <c r="BC340" s="642"/>
      <c r="BD340" s="642"/>
      <c r="BE340" s="642"/>
      <c r="BF340" s="642"/>
      <c r="BG340" s="642"/>
      <c r="BH340" s="1033"/>
      <c r="BI340" s="753"/>
      <c r="BJ340" s="754"/>
      <c r="BK340" s="754"/>
      <c r="BL340" s="754"/>
      <c r="BM340" s="754"/>
      <c r="BN340" s="754"/>
      <c r="BO340" s="754"/>
      <c r="BP340" s="754"/>
      <c r="BQ340" s="754"/>
      <c r="BR340" s="754"/>
      <c r="BS340" s="754"/>
      <c r="BT340" s="754"/>
      <c r="BU340" s="754"/>
      <c r="BV340" s="754"/>
      <c r="BW340" s="754"/>
      <c r="BX340" s="754"/>
      <c r="BY340" s="754"/>
      <c r="BZ340" s="755"/>
      <c r="CB340" s="641" t="str">
        <f>IF(CB338="","",VLOOKUP(CB338,KanckRef!$A$1:$G$300,4,FALSE))</f>
        <v/>
      </c>
      <c r="CC340" s="642"/>
      <c r="CD340" s="642"/>
      <c r="CE340" s="642"/>
      <c r="CF340" s="642"/>
      <c r="CG340" s="642"/>
      <c r="CH340" s="1033"/>
      <c r="CI340" s="753"/>
      <c r="CJ340" s="754"/>
      <c r="CK340" s="754"/>
      <c r="CL340" s="754"/>
      <c r="CM340" s="754"/>
      <c r="CN340" s="754"/>
      <c r="CO340" s="754"/>
      <c r="CP340" s="754"/>
      <c r="CQ340" s="754"/>
      <c r="CR340" s="754"/>
      <c r="CS340" s="754"/>
      <c r="CT340" s="754"/>
      <c r="CU340" s="754"/>
      <c r="CV340" s="754"/>
      <c r="CW340" s="754"/>
      <c r="CX340" s="754"/>
      <c r="CY340" s="754"/>
      <c r="CZ340" s="755"/>
    </row>
    <row r="341" spans="1:104" ht="15" customHeight="1" x14ac:dyDescent="0.25">
      <c r="B341" s="1026" t="str">
        <f>IF(B338="","",VLOOKUP(B338,BoonRef!$A$2:$Z$900,23,FALSE))</f>
        <v/>
      </c>
      <c r="C341" s="727"/>
      <c r="D341" s="727"/>
      <c r="E341" s="727"/>
      <c r="F341" s="727"/>
      <c r="G341" s="727"/>
      <c r="H341" s="727"/>
      <c r="I341" s="727"/>
      <c r="J341" s="727"/>
      <c r="K341" s="727"/>
      <c r="L341" s="727"/>
      <c r="M341" s="727"/>
      <c r="N341" s="727"/>
      <c r="O341" s="727"/>
      <c r="P341" s="727"/>
      <c r="Q341" s="727"/>
      <c r="R341" s="727"/>
      <c r="S341" s="727"/>
      <c r="T341" s="727"/>
      <c r="U341" s="727"/>
      <c r="V341" s="727"/>
      <c r="W341" s="727"/>
      <c r="X341" s="727"/>
      <c r="Y341" s="727"/>
      <c r="Z341" s="728"/>
      <c r="AB341" s="1026" t="str">
        <f>IF(AB338="","",VLOOKUP(AB338,BoonRef!$A$2:$Z$900,23,FALSE))</f>
        <v/>
      </c>
      <c r="AC341" s="727"/>
      <c r="AD341" s="727"/>
      <c r="AE341" s="727"/>
      <c r="AF341" s="727"/>
      <c r="AG341" s="727"/>
      <c r="AH341" s="727"/>
      <c r="AI341" s="727"/>
      <c r="AJ341" s="727"/>
      <c r="AK341" s="727"/>
      <c r="AL341" s="727"/>
      <c r="AM341" s="727"/>
      <c r="AN341" s="727"/>
      <c r="AO341" s="727"/>
      <c r="AP341" s="727"/>
      <c r="AQ341" s="727"/>
      <c r="AR341" s="727"/>
      <c r="AS341" s="727"/>
      <c r="AT341" s="727"/>
      <c r="AU341" s="727"/>
      <c r="AV341" s="727"/>
      <c r="AW341" s="727"/>
      <c r="AX341" s="727"/>
      <c r="AY341" s="727"/>
      <c r="AZ341" s="728"/>
      <c r="BB341" s="635"/>
      <c r="BC341" s="636"/>
      <c r="BD341" s="636"/>
      <c r="BE341" s="636"/>
      <c r="BF341" s="636"/>
      <c r="BG341" s="636"/>
      <c r="BH341" s="1036"/>
      <c r="BI341" s="753"/>
      <c r="BJ341" s="754"/>
      <c r="BK341" s="754"/>
      <c r="BL341" s="754"/>
      <c r="BM341" s="754"/>
      <c r="BN341" s="754"/>
      <c r="BO341" s="754"/>
      <c r="BP341" s="754"/>
      <c r="BQ341" s="754"/>
      <c r="BR341" s="754"/>
      <c r="BS341" s="754"/>
      <c r="BT341" s="754"/>
      <c r="BU341" s="754"/>
      <c r="BV341" s="754"/>
      <c r="BW341" s="754"/>
      <c r="BX341" s="754"/>
      <c r="BY341" s="754"/>
      <c r="BZ341" s="755"/>
      <c r="CB341" s="635"/>
      <c r="CC341" s="636"/>
      <c r="CD341" s="636"/>
      <c r="CE341" s="636"/>
      <c r="CF341" s="636"/>
      <c r="CG341" s="636"/>
      <c r="CH341" s="1036"/>
      <c r="CI341" s="753"/>
      <c r="CJ341" s="754"/>
      <c r="CK341" s="754"/>
      <c r="CL341" s="754"/>
      <c r="CM341" s="754"/>
      <c r="CN341" s="754"/>
      <c r="CO341" s="754"/>
      <c r="CP341" s="754"/>
      <c r="CQ341" s="754"/>
      <c r="CR341" s="754"/>
      <c r="CS341" s="754"/>
      <c r="CT341" s="754"/>
      <c r="CU341" s="754"/>
      <c r="CV341" s="754"/>
      <c r="CW341" s="754"/>
      <c r="CX341" s="754"/>
      <c r="CY341" s="754"/>
      <c r="CZ341" s="755"/>
    </row>
    <row r="342" spans="1:104" ht="15.75" thickBot="1" x14ac:dyDescent="0.3">
      <c r="B342" s="1027"/>
      <c r="C342" s="865"/>
      <c r="D342" s="865"/>
      <c r="E342" s="865"/>
      <c r="F342" s="865"/>
      <c r="G342" s="865"/>
      <c r="H342" s="865"/>
      <c r="I342" s="865"/>
      <c r="J342" s="865"/>
      <c r="K342" s="865"/>
      <c r="L342" s="865"/>
      <c r="M342" s="865"/>
      <c r="N342" s="865"/>
      <c r="O342" s="865"/>
      <c r="P342" s="865"/>
      <c r="Q342" s="865"/>
      <c r="R342" s="865"/>
      <c r="S342" s="865"/>
      <c r="T342" s="865"/>
      <c r="U342" s="865"/>
      <c r="V342" s="865"/>
      <c r="W342" s="865"/>
      <c r="X342" s="865"/>
      <c r="Y342" s="865"/>
      <c r="Z342" s="921"/>
      <c r="AB342" s="1027"/>
      <c r="AC342" s="865"/>
      <c r="AD342" s="865"/>
      <c r="AE342" s="865"/>
      <c r="AF342" s="865"/>
      <c r="AG342" s="865"/>
      <c r="AH342" s="865"/>
      <c r="AI342" s="865"/>
      <c r="AJ342" s="865"/>
      <c r="AK342" s="865"/>
      <c r="AL342" s="865"/>
      <c r="AM342" s="865"/>
      <c r="AN342" s="865"/>
      <c r="AO342" s="865"/>
      <c r="AP342" s="865"/>
      <c r="AQ342" s="865"/>
      <c r="AR342" s="865"/>
      <c r="AS342" s="865"/>
      <c r="AT342" s="865"/>
      <c r="AU342" s="865"/>
      <c r="AV342" s="865"/>
      <c r="AW342" s="865"/>
      <c r="AX342" s="865"/>
      <c r="AY342" s="865"/>
      <c r="AZ342" s="921"/>
      <c r="BB342" s="644"/>
      <c r="BC342" s="645"/>
      <c r="BD342" s="645"/>
      <c r="BE342" s="645"/>
      <c r="BF342" s="645"/>
      <c r="BG342" s="645"/>
      <c r="BH342" s="1037"/>
      <c r="BI342" s="756"/>
      <c r="BJ342" s="757"/>
      <c r="BK342" s="757"/>
      <c r="BL342" s="757"/>
      <c r="BM342" s="757"/>
      <c r="BN342" s="757"/>
      <c r="BO342" s="757"/>
      <c r="BP342" s="757"/>
      <c r="BQ342" s="757"/>
      <c r="BR342" s="757"/>
      <c r="BS342" s="757"/>
      <c r="BT342" s="757"/>
      <c r="BU342" s="757"/>
      <c r="BV342" s="757"/>
      <c r="BW342" s="757"/>
      <c r="BX342" s="757"/>
      <c r="BY342" s="757"/>
      <c r="BZ342" s="758"/>
      <c r="CB342" s="644"/>
      <c r="CC342" s="645"/>
      <c r="CD342" s="645"/>
      <c r="CE342" s="645"/>
      <c r="CF342" s="645"/>
      <c r="CG342" s="645"/>
      <c r="CH342" s="1037"/>
      <c r="CI342" s="756"/>
      <c r="CJ342" s="757"/>
      <c r="CK342" s="757"/>
      <c r="CL342" s="757"/>
      <c r="CM342" s="757"/>
      <c r="CN342" s="757"/>
      <c r="CO342" s="757"/>
      <c r="CP342" s="757"/>
      <c r="CQ342" s="757"/>
      <c r="CR342" s="757"/>
      <c r="CS342" s="757"/>
      <c r="CT342" s="757"/>
      <c r="CU342" s="757"/>
      <c r="CV342" s="757"/>
      <c r="CW342" s="757"/>
      <c r="CX342" s="757"/>
      <c r="CY342" s="757"/>
      <c r="CZ342" s="758"/>
    </row>
    <row r="343" spans="1:104" x14ac:dyDescent="0.25">
      <c r="B343" s="1028" t="str">
        <f>IF(B344="","",VLOOKUP(B344,BoonRef!$A$2:$Z$900,2,FALSE))</f>
        <v/>
      </c>
      <c r="C343" s="725"/>
      <c r="D343" s="725"/>
      <c r="E343" s="725"/>
      <c r="F343" s="725"/>
      <c r="G343" s="725"/>
      <c r="H343" s="725"/>
      <c r="I343" s="725" t="str">
        <f>IF(B344="","",VLOOKUP(B344,BoonRef!$A$2:$Z$900,3,FALSE))</f>
        <v/>
      </c>
      <c r="J343" s="725"/>
      <c r="K343" s="725" t="str">
        <f>IF(B344="","",VLOOKUP(B344,DescRef!$A$2:$B$900,2,FALSE))</f>
        <v/>
      </c>
      <c r="L343" s="725"/>
      <c r="M343" s="725"/>
      <c r="N343" s="725"/>
      <c r="O343" s="725"/>
      <c r="P343" s="725"/>
      <c r="Q343" s="725"/>
      <c r="R343" s="725"/>
      <c r="S343" s="725"/>
      <c r="T343" s="725"/>
      <c r="U343" s="725"/>
      <c r="V343" s="725"/>
      <c r="W343" s="725"/>
      <c r="X343" s="725"/>
      <c r="Y343" s="725"/>
      <c r="Z343" s="726"/>
      <c r="AB343" s="1028" t="str">
        <f>IF(AB344="","",VLOOKUP(AB344,BoonRef!$A$2:$Z$900,2,FALSE))</f>
        <v/>
      </c>
      <c r="AC343" s="725"/>
      <c r="AD343" s="725"/>
      <c r="AE343" s="725"/>
      <c r="AF343" s="725"/>
      <c r="AG343" s="725"/>
      <c r="AH343" s="725"/>
      <c r="AI343" s="725" t="str">
        <f>IF(AB344="","",VLOOKUP(AB344,BoonRef!$A$2:$Z$900,3,FALSE))</f>
        <v/>
      </c>
      <c r="AJ343" s="725"/>
      <c r="AK343" s="725" t="str">
        <f>IF(AB344="","",VLOOKUP(AB344,DescRef!$A$2:$B$900,2,FALSE))</f>
        <v/>
      </c>
      <c r="AL343" s="725"/>
      <c r="AM343" s="725"/>
      <c r="AN343" s="725"/>
      <c r="AO343" s="725"/>
      <c r="AP343" s="725"/>
      <c r="AQ343" s="725"/>
      <c r="AR343" s="725"/>
      <c r="AS343" s="725"/>
      <c r="AT343" s="725"/>
      <c r="AU343" s="725"/>
      <c r="AV343" s="725"/>
      <c r="AW343" s="725"/>
      <c r="AX343" s="725"/>
      <c r="AY343" s="725"/>
      <c r="AZ343" s="726"/>
      <c r="BB343" s="1029" t="str">
        <f>IF(BB344="","",VLOOKUP(BB344,KanckRef!$A$1:$G$300,2,FALSE))</f>
        <v/>
      </c>
      <c r="BC343" s="1030"/>
      <c r="BD343" s="1030"/>
      <c r="BE343" s="1030"/>
      <c r="BF343" s="1031"/>
      <c r="BG343" s="1048" t="str">
        <f>IF(BB344="","",VLOOKUP(BB344,KanckRef!$A$1:$G$300,6,FALSE))</f>
        <v/>
      </c>
      <c r="BH343" s="1049"/>
      <c r="BI343" s="988" t="str">
        <f>IF(BB344="","",VLOOKUP(BB344,DescRef!$D$2:$E$300,2,FALSE))</f>
        <v/>
      </c>
      <c r="BJ343" s="795"/>
      <c r="BK343" s="795"/>
      <c r="BL343" s="795"/>
      <c r="BM343" s="795"/>
      <c r="BN343" s="795"/>
      <c r="BO343" s="795"/>
      <c r="BP343" s="795"/>
      <c r="BQ343" s="795"/>
      <c r="BR343" s="795"/>
      <c r="BS343" s="795"/>
      <c r="BT343" s="795"/>
      <c r="BU343" s="795"/>
      <c r="BV343" s="795"/>
      <c r="BW343" s="795"/>
      <c r="BX343" s="795"/>
      <c r="BY343" s="795"/>
      <c r="BZ343" s="796"/>
      <c r="CB343" s="1029" t="str">
        <f>IF(CB344="","",VLOOKUP(CB344,KanckRef!$A$1:$G$300,2,FALSE))</f>
        <v/>
      </c>
      <c r="CC343" s="1030"/>
      <c r="CD343" s="1030"/>
      <c r="CE343" s="1030"/>
      <c r="CF343" s="1031"/>
      <c r="CG343" s="1048" t="str">
        <f>IF(CB344="","",VLOOKUP(CB344,KanckRef!$A$1:$G$300,6,FALSE))</f>
        <v/>
      </c>
      <c r="CH343" s="1049"/>
      <c r="CI343" s="988" t="str">
        <f>IF(CB344="","",VLOOKUP(CB344,DescRef!$D$2:$E$300,2,FALSE))</f>
        <v/>
      </c>
      <c r="CJ343" s="795"/>
      <c r="CK343" s="795"/>
      <c r="CL343" s="795"/>
      <c r="CM343" s="795"/>
      <c r="CN343" s="795"/>
      <c r="CO343" s="795"/>
      <c r="CP343" s="795"/>
      <c r="CQ343" s="795"/>
      <c r="CR343" s="795"/>
      <c r="CS343" s="795"/>
      <c r="CT343" s="795"/>
      <c r="CU343" s="795"/>
      <c r="CV343" s="795"/>
      <c r="CW343" s="795"/>
      <c r="CX343" s="795"/>
      <c r="CY343" s="795"/>
      <c r="CZ343" s="796"/>
    </row>
    <row r="344" spans="1:104" ht="15" customHeight="1" x14ac:dyDescent="0.25">
      <c r="A344" s="15">
        <v>57</v>
      </c>
      <c r="B344" s="1026" t="str">
        <f>IF(A344&lt;'Purchased Boons'!$B$496,VLOOKUP(A344,'Purchased Boons'!$BF$2:$BG$900,2,FALSE),"")</f>
        <v/>
      </c>
      <c r="C344" s="727"/>
      <c r="D344" s="727"/>
      <c r="E344" s="727"/>
      <c r="F344" s="727"/>
      <c r="G344" s="727"/>
      <c r="H344" s="727"/>
      <c r="I344" s="727" t="str">
        <f>IF(B344="","",VLOOKUP(B344,BoonRef!$A$2:$Z$900,25,FALSE))</f>
        <v/>
      </c>
      <c r="J344" s="727"/>
      <c r="K344" s="727"/>
      <c r="L344" s="727"/>
      <c r="M344" s="727"/>
      <c r="N344" s="727"/>
      <c r="O344" s="727"/>
      <c r="P344" s="727"/>
      <c r="Q344" s="727"/>
      <c r="R344" s="727"/>
      <c r="S344" s="727"/>
      <c r="T344" s="727"/>
      <c r="U344" s="727"/>
      <c r="V344" s="727"/>
      <c r="W344" s="727"/>
      <c r="X344" s="727"/>
      <c r="Y344" s="727"/>
      <c r="Z344" s="728"/>
      <c r="AA344" s="15">
        <v>164</v>
      </c>
      <c r="AB344" s="1026" t="str">
        <f>IF(AA344&lt;'Purchased Boons'!$B$496,VLOOKUP(AA344,'Purchased Boons'!$BF$2:$BG$900,2,FALSE),"")</f>
        <v/>
      </c>
      <c r="AC344" s="727"/>
      <c r="AD344" s="727"/>
      <c r="AE344" s="727"/>
      <c r="AF344" s="727"/>
      <c r="AG344" s="727"/>
      <c r="AH344" s="727"/>
      <c r="AI344" s="727" t="str">
        <f>IF(AB344="","",VLOOKUP(AB344,BoonRef!$A$2:$Z$900,25,FALSE))</f>
        <v/>
      </c>
      <c r="AJ344" s="727"/>
      <c r="AK344" s="727"/>
      <c r="AL344" s="727"/>
      <c r="AM344" s="727"/>
      <c r="AN344" s="727"/>
      <c r="AO344" s="727"/>
      <c r="AP344" s="727"/>
      <c r="AQ344" s="727"/>
      <c r="AR344" s="727"/>
      <c r="AS344" s="727"/>
      <c r="AT344" s="727"/>
      <c r="AU344" s="727"/>
      <c r="AV344" s="727"/>
      <c r="AW344" s="727"/>
      <c r="AX344" s="727"/>
      <c r="AY344" s="727"/>
      <c r="AZ344" s="728"/>
      <c r="BA344" s="15">
        <v>57</v>
      </c>
      <c r="BB344" s="1038" t="str">
        <f>IF(BA344&lt;'Purchased Knacks'!A$192,VLOOKUP(BA344,'Purchased Knacks'!$A$4:$E$300,3,FALSE),"")</f>
        <v/>
      </c>
      <c r="BC344" s="1039"/>
      <c r="BD344" s="1039"/>
      <c r="BE344" s="1039"/>
      <c r="BF344" s="1040"/>
      <c r="BG344" s="1032" t="str">
        <f>IF(BB344="","",VLOOKUP(BB344,KanckRef!$A$1:$G$300,7,FALSE))</f>
        <v/>
      </c>
      <c r="BH344" s="1033"/>
      <c r="BI344" s="753"/>
      <c r="BJ344" s="754"/>
      <c r="BK344" s="754"/>
      <c r="BL344" s="754"/>
      <c r="BM344" s="754"/>
      <c r="BN344" s="754"/>
      <c r="BO344" s="754"/>
      <c r="BP344" s="754"/>
      <c r="BQ344" s="754"/>
      <c r="BR344" s="754"/>
      <c r="BS344" s="754"/>
      <c r="BT344" s="754"/>
      <c r="BU344" s="754"/>
      <c r="BV344" s="754"/>
      <c r="BW344" s="754"/>
      <c r="BX344" s="754"/>
      <c r="BY344" s="754"/>
      <c r="BZ344" s="755"/>
      <c r="CA344" s="15">
        <v>164</v>
      </c>
      <c r="CB344" s="1038" t="str">
        <f>IF(CA344&lt;'Purchased Knacks'!A$192,VLOOKUP(CA344,'Purchased Knacks'!$A$4:$E$300,3,FALSE),"")</f>
        <v/>
      </c>
      <c r="CC344" s="1039"/>
      <c r="CD344" s="1039"/>
      <c r="CE344" s="1039"/>
      <c r="CF344" s="1040"/>
      <c r="CG344" s="1032" t="str">
        <f>IF(CB344="","",VLOOKUP(CB344,KanckRef!$A$1:$G$300,7,FALSE))</f>
        <v/>
      </c>
      <c r="CH344" s="1033"/>
      <c r="CI344" s="753"/>
      <c r="CJ344" s="754"/>
      <c r="CK344" s="754"/>
      <c r="CL344" s="754"/>
      <c r="CM344" s="754"/>
      <c r="CN344" s="754"/>
      <c r="CO344" s="754"/>
      <c r="CP344" s="754"/>
      <c r="CQ344" s="754"/>
      <c r="CR344" s="754"/>
      <c r="CS344" s="754"/>
      <c r="CT344" s="754"/>
      <c r="CU344" s="754"/>
      <c r="CV344" s="754"/>
      <c r="CW344" s="754"/>
      <c r="CX344" s="754"/>
      <c r="CY344" s="754"/>
      <c r="CZ344" s="755"/>
    </row>
    <row r="345" spans="1:104" ht="15" customHeight="1" x14ac:dyDescent="0.25">
      <c r="B345" s="1026"/>
      <c r="C345" s="727"/>
      <c r="D345" s="727"/>
      <c r="E345" s="727"/>
      <c r="F345" s="727"/>
      <c r="G345" s="727"/>
      <c r="H345" s="727"/>
      <c r="I345" s="727" t="str">
        <f>IF(B344="","",VLOOKUP(B344,BoonRef!$A$2:$Z$900,26,FALSE))</f>
        <v/>
      </c>
      <c r="J345" s="727"/>
      <c r="K345" s="727"/>
      <c r="L345" s="727"/>
      <c r="M345" s="727"/>
      <c r="N345" s="727"/>
      <c r="O345" s="727"/>
      <c r="P345" s="727"/>
      <c r="Q345" s="727"/>
      <c r="R345" s="727"/>
      <c r="S345" s="727"/>
      <c r="T345" s="727"/>
      <c r="U345" s="727"/>
      <c r="V345" s="727"/>
      <c r="W345" s="727"/>
      <c r="X345" s="727"/>
      <c r="Y345" s="727"/>
      <c r="Z345" s="728"/>
      <c r="AB345" s="1026"/>
      <c r="AC345" s="727"/>
      <c r="AD345" s="727"/>
      <c r="AE345" s="727"/>
      <c r="AF345" s="727"/>
      <c r="AG345" s="727"/>
      <c r="AH345" s="727"/>
      <c r="AI345" s="727" t="str">
        <f>IF(AB344="","",VLOOKUP(AB344,BoonRef!$A$2:$Z$900,26,FALSE))</f>
        <v/>
      </c>
      <c r="AJ345" s="727"/>
      <c r="AK345" s="727"/>
      <c r="AL345" s="727"/>
      <c r="AM345" s="727"/>
      <c r="AN345" s="727"/>
      <c r="AO345" s="727"/>
      <c r="AP345" s="727"/>
      <c r="AQ345" s="727"/>
      <c r="AR345" s="727"/>
      <c r="AS345" s="727"/>
      <c r="AT345" s="727"/>
      <c r="AU345" s="727"/>
      <c r="AV345" s="727"/>
      <c r="AW345" s="727"/>
      <c r="AX345" s="727"/>
      <c r="AY345" s="727"/>
      <c r="AZ345" s="728"/>
      <c r="BB345" s="1041"/>
      <c r="BC345" s="1042"/>
      <c r="BD345" s="1042"/>
      <c r="BE345" s="1042"/>
      <c r="BF345" s="1043"/>
      <c r="BG345" s="1034"/>
      <c r="BH345" s="1035"/>
      <c r="BI345" s="753"/>
      <c r="BJ345" s="754"/>
      <c r="BK345" s="754"/>
      <c r="BL345" s="754"/>
      <c r="BM345" s="754"/>
      <c r="BN345" s="754"/>
      <c r="BO345" s="754"/>
      <c r="BP345" s="754"/>
      <c r="BQ345" s="754"/>
      <c r="BR345" s="754"/>
      <c r="BS345" s="754"/>
      <c r="BT345" s="754"/>
      <c r="BU345" s="754"/>
      <c r="BV345" s="754"/>
      <c r="BW345" s="754"/>
      <c r="BX345" s="754"/>
      <c r="BY345" s="754"/>
      <c r="BZ345" s="755"/>
      <c r="CB345" s="1041"/>
      <c r="CC345" s="1042"/>
      <c r="CD345" s="1042"/>
      <c r="CE345" s="1042"/>
      <c r="CF345" s="1043"/>
      <c r="CG345" s="1034"/>
      <c r="CH345" s="1035"/>
      <c r="CI345" s="753"/>
      <c r="CJ345" s="754"/>
      <c r="CK345" s="754"/>
      <c r="CL345" s="754"/>
      <c r="CM345" s="754"/>
      <c r="CN345" s="754"/>
      <c r="CO345" s="754"/>
      <c r="CP345" s="754"/>
      <c r="CQ345" s="754"/>
      <c r="CR345" s="754"/>
      <c r="CS345" s="754"/>
      <c r="CT345" s="754"/>
      <c r="CU345" s="754"/>
      <c r="CV345" s="754"/>
      <c r="CW345" s="754"/>
      <c r="CX345" s="754"/>
      <c r="CY345" s="754"/>
      <c r="CZ345" s="755"/>
    </row>
    <row r="346" spans="1:104" ht="15" customHeight="1" x14ac:dyDescent="0.25">
      <c r="B346" s="1026" t="str">
        <f>IF(B344="","",VLOOKUP(B344,BoonRef!$A$2:$Z$900,24,FALSE))</f>
        <v/>
      </c>
      <c r="C346" s="727"/>
      <c r="D346" s="727"/>
      <c r="E346" s="727"/>
      <c r="F346" s="727"/>
      <c r="G346" s="727"/>
      <c r="H346" s="727"/>
      <c r="I346" s="727"/>
      <c r="J346" s="727"/>
      <c r="K346" s="727"/>
      <c r="L346" s="727"/>
      <c r="M346" s="727"/>
      <c r="N346" s="727"/>
      <c r="O346" s="727"/>
      <c r="P346" s="727"/>
      <c r="Q346" s="727"/>
      <c r="R346" s="727"/>
      <c r="S346" s="727"/>
      <c r="T346" s="727"/>
      <c r="U346" s="727"/>
      <c r="V346" s="727"/>
      <c r="W346" s="727"/>
      <c r="X346" s="727"/>
      <c r="Y346" s="727"/>
      <c r="Z346" s="728"/>
      <c r="AB346" s="1026" t="str">
        <f>IF(AB344="","",VLOOKUP(AB344,BoonRef!$A$2:$Z$900,24,FALSE))</f>
        <v/>
      </c>
      <c r="AC346" s="727"/>
      <c r="AD346" s="727"/>
      <c r="AE346" s="727"/>
      <c r="AF346" s="727"/>
      <c r="AG346" s="727"/>
      <c r="AH346" s="727"/>
      <c r="AI346" s="727"/>
      <c r="AJ346" s="727"/>
      <c r="AK346" s="727"/>
      <c r="AL346" s="727"/>
      <c r="AM346" s="727"/>
      <c r="AN346" s="727"/>
      <c r="AO346" s="727"/>
      <c r="AP346" s="727"/>
      <c r="AQ346" s="727"/>
      <c r="AR346" s="727"/>
      <c r="AS346" s="727"/>
      <c r="AT346" s="727"/>
      <c r="AU346" s="727"/>
      <c r="AV346" s="727"/>
      <c r="AW346" s="727"/>
      <c r="AX346" s="727"/>
      <c r="AY346" s="727"/>
      <c r="AZ346" s="728"/>
      <c r="BB346" s="641" t="str">
        <f>IF(BB344="","",VLOOKUP(BB344,KanckRef!$A$1:$G$300,4,FALSE))</f>
        <v/>
      </c>
      <c r="BC346" s="642"/>
      <c r="BD346" s="642"/>
      <c r="BE346" s="642"/>
      <c r="BF346" s="642"/>
      <c r="BG346" s="642"/>
      <c r="BH346" s="1033"/>
      <c r="BI346" s="753"/>
      <c r="BJ346" s="754"/>
      <c r="BK346" s="754"/>
      <c r="BL346" s="754"/>
      <c r="BM346" s="754"/>
      <c r="BN346" s="754"/>
      <c r="BO346" s="754"/>
      <c r="BP346" s="754"/>
      <c r="BQ346" s="754"/>
      <c r="BR346" s="754"/>
      <c r="BS346" s="754"/>
      <c r="BT346" s="754"/>
      <c r="BU346" s="754"/>
      <c r="BV346" s="754"/>
      <c r="BW346" s="754"/>
      <c r="BX346" s="754"/>
      <c r="BY346" s="754"/>
      <c r="BZ346" s="755"/>
      <c r="CB346" s="641" t="str">
        <f>IF(CB344="","",VLOOKUP(CB344,KanckRef!$A$1:$G$300,4,FALSE))</f>
        <v/>
      </c>
      <c r="CC346" s="642"/>
      <c r="CD346" s="642"/>
      <c r="CE346" s="642"/>
      <c r="CF346" s="642"/>
      <c r="CG346" s="642"/>
      <c r="CH346" s="1033"/>
      <c r="CI346" s="753"/>
      <c r="CJ346" s="754"/>
      <c r="CK346" s="754"/>
      <c r="CL346" s="754"/>
      <c r="CM346" s="754"/>
      <c r="CN346" s="754"/>
      <c r="CO346" s="754"/>
      <c r="CP346" s="754"/>
      <c r="CQ346" s="754"/>
      <c r="CR346" s="754"/>
      <c r="CS346" s="754"/>
      <c r="CT346" s="754"/>
      <c r="CU346" s="754"/>
      <c r="CV346" s="754"/>
      <c r="CW346" s="754"/>
      <c r="CX346" s="754"/>
      <c r="CY346" s="754"/>
      <c r="CZ346" s="755"/>
    </row>
    <row r="347" spans="1:104" x14ac:dyDescent="0.25">
      <c r="B347" s="1026" t="str">
        <f>IF(B344="","",VLOOKUP(B344,BoonRef!$A$2:$Z$900,23,FALSE))</f>
        <v/>
      </c>
      <c r="C347" s="727"/>
      <c r="D347" s="727"/>
      <c r="E347" s="727"/>
      <c r="F347" s="727"/>
      <c r="G347" s="727"/>
      <c r="H347" s="727"/>
      <c r="I347" s="727"/>
      <c r="J347" s="727"/>
      <c r="K347" s="727"/>
      <c r="L347" s="727"/>
      <c r="M347" s="727"/>
      <c r="N347" s="727"/>
      <c r="O347" s="727"/>
      <c r="P347" s="727"/>
      <c r="Q347" s="727"/>
      <c r="R347" s="727"/>
      <c r="S347" s="727"/>
      <c r="T347" s="727"/>
      <c r="U347" s="727"/>
      <c r="V347" s="727"/>
      <c r="W347" s="727"/>
      <c r="X347" s="727"/>
      <c r="Y347" s="727"/>
      <c r="Z347" s="728"/>
      <c r="AB347" s="1026" t="str">
        <f>IF(AB344="","",VLOOKUP(AB344,BoonRef!$A$2:$Z$900,23,FALSE))</f>
        <v/>
      </c>
      <c r="AC347" s="727"/>
      <c r="AD347" s="727"/>
      <c r="AE347" s="727"/>
      <c r="AF347" s="727"/>
      <c r="AG347" s="727"/>
      <c r="AH347" s="727"/>
      <c r="AI347" s="727"/>
      <c r="AJ347" s="727"/>
      <c r="AK347" s="727"/>
      <c r="AL347" s="727"/>
      <c r="AM347" s="727"/>
      <c r="AN347" s="727"/>
      <c r="AO347" s="727"/>
      <c r="AP347" s="727"/>
      <c r="AQ347" s="727"/>
      <c r="AR347" s="727"/>
      <c r="AS347" s="727"/>
      <c r="AT347" s="727"/>
      <c r="AU347" s="727"/>
      <c r="AV347" s="727"/>
      <c r="AW347" s="727"/>
      <c r="AX347" s="727"/>
      <c r="AY347" s="727"/>
      <c r="AZ347" s="728"/>
      <c r="BB347" s="635"/>
      <c r="BC347" s="636"/>
      <c r="BD347" s="636"/>
      <c r="BE347" s="636"/>
      <c r="BF347" s="636"/>
      <c r="BG347" s="636"/>
      <c r="BH347" s="1036"/>
      <c r="BI347" s="753"/>
      <c r="BJ347" s="754"/>
      <c r="BK347" s="754"/>
      <c r="BL347" s="754"/>
      <c r="BM347" s="754"/>
      <c r="BN347" s="754"/>
      <c r="BO347" s="754"/>
      <c r="BP347" s="754"/>
      <c r="BQ347" s="754"/>
      <c r="BR347" s="754"/>
      <c r="BS347" s="754"/>
      <c r="BT347" s="754"/>
      <c r="BU347" s="754"/>
      <c r="BV347" s="754"/>
      <c r="BW347" s="754"/>
      <c r="BX347" s="754"/>
      <c r="BY347" s="754"/>
      <c r="BZ347" s="755"/>
      <c r="CB347" s="635"/>
      <c r="CC347" s="636"/>
      <c r="CD347" s="636"/>
      <c r="CE347" s="636"/>
      <c r="CF347" s="636"/>
      <c r="CG347" s="636"/>
      <c r="CH347" s="1036"/>
      <c r="CI347" s="753"/>
      <c r="CJ347" s="754"/>
      <c r="CK347" s="754"/>
      <c r="CL347" s="754"/>
      <c r="CM347" s="754"/>
      <c r="CN347" s="754"/>
      <c r="CO347" s="754"/>
      <c r="CP347" s="754"/>
      <c r="CQ347" s="754"/>
      <c r="CR347" s="754"/>
      <c r="CS347" s="754"/>
      <c r="CT347" s="754"/>
      <c r="CU347" s="754"/>
      <c r="CV347" s="754"/>
      <c r="CW347" s="754"/>
      <c r="CX347" s="754"/>
      <c r="CY347" s="754"/>
      <c r="CZ347" s="755"/>
    </row>
    <row r="348" spans="1:104" ht="15.75" thickBot="1" x14ac:dyDescent="0.3">
      <c r="B348" s="1027"/>
      <c r="C348" s="865"/>
      <c r="D348" s="865"/>
      <c r="E348" s="865"/>
      <c r="F348" s="865"/>
      <c r="G348" s="865"/>
      <c r="H348" s="865"/>
      <c r="I348" s="865"/>
      <c r="J348" s="865"/>
      <c r="K348" s="865"/>
      <c r="L348" s="865"/>
      <c r="M348" s="865"/>
      <c r="N348" s="865"/>
      <c r="O348" s="865"/>
      <c r="P348" s="865"/>
      <c r="Q348" s="865"/>
      <c r="R348" s="865"/>
      <c r="S348" s="865"/>
      <c r="T348" s="865"/>
      <c r="U348" s="865"/>
      <c r="V348" s="865"/>
      <c r="W348" s="865"/>
      <c r="X348" s="865"/>
      <c r="Y348" s="865"/>
      <c r="Z348" s="921"/>
      <c r="AB348" s="1027"/>
      <c r="AC348" s="865"/>
      <c r="AD348" s="865"/>
      <c r="AE348" s="865"/>
      <c r="AF348" s="865"/>
      <c r="AG348" s="865"/>
      <c r="AH348" s="865"/>
      <c r="AI348" s="865"/>
      <c r="AJ348" s="865"/>
      <c r="AK348" s="865"/>
      <c r="AL348" s="865"/>
      <c r="AM348" s="865"/>
      <c r="AN348" s="865"/>
      <c r="AO348" s="865"/>
      <c r="AP348" s="865"/>
      <c r="AQ348" s="865"/>
      <c r="AR348" s="865"/>
      <c r="AS348" s="865"/>
      <c r="AT348" s="865"/>
      <c r="AU348" s="865"/>
      <c r="AV348" s="865"/>
      <c r="AW348" s="865"/>
      <c r="AX348" s="865"/>
      <c r="AY348" s="865"/>
      <c r="AZ348" s="921"/>
      <c r="BB348" s="644"/>
      <c r="BC348" s="645"/>
      <c r="BD348" s="645"/>
      <c r="BE348" s="645"/>
      <c r="BF348" s="645"/>
      <c r="BG348" s="645"/>
      <c r="BH348" s="1037"/>
      <c r="BI348" s="756"/>
      <c r="BJ348" s="757"/>
      <c r="BK348" s="757"/>
      <c r="BL348" s="757"/>
      <c r="BM348" s="757"/>
      <c r="BN348" s="757"/>
      <c r="BO348" s="757"/>
      <c r="BP348" s="757"/>
      <c r="BQ348" s="757"/>
      <c r="BR348" s="757"/>
      <c r="BS348" s="757"/>
      <c r="BT348" s="757"/>
      <c r="BU348" s="757"/>
      <c r="BV348" s="757"/>
      <c r="BW348" s="757"/>
      <c r="BX348" s="757"/>
      <c r="BY348" s="757"/>
      <c r="BZ348" s="758"/>
      <c r="CB348" s="644"/>
      <c r="CC348" s="645"/>
      <c r="CD348" s="645"/>
      <c r="CE348" s="645"/>
      <c r="CF348" s="645"/>
      <c r="CG348" s="645"/>
      <c r="CH348" s="1037"/>
      <c r="CI348" s="756"/>
      <c r="CJ348" s="757"/>
      <c r="CK348" s="757"/>
      <c r="CL348" s="757"/>
      <c r="CM348" s="757"/>
      <c r="CN348" s="757"/>
      <c r="CO348" s="757"/>
      <c r="CP348" s="757"/>
      <c r="CQ348" s="757"/>
      <c r="CR348" s="757"/>
      <c r="CS348" s="757"/>
      <c r="CT348" s="757"/>
      <c r="CU348" s="757"/>
      <c r="CV348" s="757"/>
      <c r="CW348" s="757"/>
      <c r="CX348" s="757"/>
      <c r="CY348" s="757"/>
      <c r="CZ348" s="758"/>
    </row>
    <row r="349" spans="1:104" x14ac:dyDescent="0.25">
      <c r="B349" s="1028" t="str">
        <f>IF(B350="","",VLOOKUP(B350,BoonRef!$A$2:$Z$900,2,FALSE))</f>
        <v/>
      </c>
      <c r="C349" s="725"/>
      <c r="D349" s="725"/>
      <c r="E349" s="725"/>
      <c r="F349" s="725"/>
      <c r="G349" s="725"/>
      <c r="H349" s="725"/>
      <c r="I349" s="725" t="str">
        <f>IF(B350="","",VLOOKUP(B350,BoonRef!$A$2:$Z$900,3,FALSE))</f>
        <v/>
      </c>
      <c r="J349" s="725"/>
      <c r="K349" s="725" t="str">
        <f>IF(B350="","",VLOOKUP(B350,DescRef!$A$2:$B$900,2,FALSE))</f>
        <v/>
      </c>
      <c r="L349" s="725"/>
      <c r="M349" s="725"/>
      <c r="N349" s="725"/>
      <c r="O349" s="725"/>
      <c r="P349" s="725"/>
      <c r="Q349" s="725"/>
      <c r="R349" s="725"/>
      <c r="S349" s="725"/>
      <c r="T349" s="725"/>
      <c r="U349" s="725"/>
      <c r="V349" s="725"/>
      <c r="W349" s="725"/>
      <c r="X349" s="725"/>
      <c r="Y349" s="725"/>
      <c r="Z349" s="726"/>
      <c r="AB349" s="1028" t="str">
        <f>IF(AB350="","",VLOOKUP(AB350,BoonRef!$A$2:$Z$900,2,FALSE))</f>
        <v/>
      </c>
      <c r="AC349" s="725"/>
      <c r="AD349" s="725"/>
      <c r="AE349" s="725"/>
      <c r="AF349" s="725"/>
      <c r="AG349" s="725"/>
      <c r="AH349" s="725"/>
      <c r="AI349" s="725" t="str">
        <f>IF(AB350="","",VLOOKUP(AB350,BoonRef!$A$2:$Z$900,3,FALSE))</f>
        <v/>
      </c>
      <c r="AJ349" s="725"/>
      <c r="AK349" s="725" t="str">
        <f>IF(AB350="","",VLOOKUP(AB350,DescRef!$A$2:$B$900,2,FALSE))</f>
        <v/>
      </c>
      <c r="AL349" s="725"/>
      <c r="AM349" s="725"/>
      <c r="AN349" s="725"/>
      <c r="AO349" s="725"/>
      <c r="AP349" s="725"/>
      <c r="AQ349" s="725"/>
      <c r="AR349" s="725"/>
      <c r="AS349" s="725"/>
      <c r="AT349" s="725"/>
      <c r="AU349" s="725"/>
      <c r="AV349" s="725"/>
      <c r="AW349" s="725"/>
      <c r="AX349" s="725"/>
      <c r="AY349" s="725"/>
      <c r="AZ349" s="726"/>
      <c r="BB349" s="1029" t="str">
        <f>IF(BB350="","",VLOOKUP(BB350,KanckRef!$A$1:$G$300,2,FALSE))</f>
        <v/>
      </c>
      <c r="BC349" s="1030"/>
      <c r="BD349" s="1030"/>
      <c r="BE349" s="1030"/>
      <c r="BF349" s="1031"/>
      <c r="BG349" s="1048" t="str">
        <f>IF(BB350="","",VLOOKUP(BB350,KanckRef!$A$1:$G$300,6,FALSE))</f>
        <v/>
      </c>
      <c r="BH349" s="1049"/>
      <c r="BI349" s="988" t="str">
        <f>IF(BB350="","",VLOOKUP(BB350,DescRef!$D$2:$E$300,2,FALSE))</f>
        <v/>
      </c>
      <c r="BJ349" s="795"/>
      <c r="BK349" s="795"/>
      <c r="BL349" s="795"/>
      <c r="BM349" s="795"/>
      <c r="BN349" s="795"/>
      <c r="BO349" s="795"/>
      <c r="BP349" s="795"/>
      <c r="BQ349" s="795"/>
      <c r="BR349" s="795"/>
      <c r="BS349" s="795"/>
      <c r="BT349" s="795"/>
      <c r="BU349" s="795"/>
      <c r="BV349" s="795"/>
      <c r="BW349" s="795"/>
      <c r="BX349" s="795"/>
      <c r="BY349" s="795"/>
      <c r="BZ349" s="796"/>
      <c r="CB349" s="1029" t="str">
        <f>IF(CB350="","",VLOOKUP(CB350,KanckRef!$A$1:$G$300,2,FALSE))</f>
        <v/>
      </c>
      <c r="CC349" s="1030"/>
      <c r="CD349" s="1030"/>
      <c r="CE349" s="1030"/>
      <c r="CF349" s="1031"/>
      <c r="CG349" s="1048" t="str">
        <f>IF(CB350="","",VLOOKUP(CB350,KanckRef!$A$1:$G$300,6,FALSE))</f>
        <v/>
      </c>
      <c r="CH349" s="1049"/>
      <c r="CI349" s="988" t="str">
        <f>IF(CB350="","",VLOOKUP(CB350,DescRef!$D$2:$E$300,2,FALSE))</f>
        <v/>
      </c>
      <c r="CJ349" s="795"/>
      <c r="CK349" s="795"/>
      <c r="CL349" s="795"/>
      <c r="CM349" s="795"/>
      <c r="CN349" s="795"/>
      <c r="CO349" s="795"/>
      <c r="CP349" s="795"/>
      <c r="CQ349" s="795"/>
      <c r="CR349" s="795"/>
      <c r="CS349" s="795"/>
      <c r="CT349" s="795"/>
      <c r="CU349" s="795"/>
      <c r="CV349" s="795"/>
      <c r="CW349" s="795"/>
      <c r="CX349" s="795"/>
      <c r="CY349" s="795"/>
      <c r="CZ349" s="796"/>
    </row>
    <row r="350" spans="1:104" ht="15" customHeight="1" x14ac:dyDescent="0.25">
      <c r="A350" s="15">
        <v>58</v>
      </c>
      <c r="B350" s="1026" t="str">
        <f>IF(A350&lt;'Purchased Boons'!$B$496,VLOOKUP(A350,'Purchased Boons'!$BF$2:$BG$900,2,FALSE),"")</f>
        <v/>
      </c>
      <c r="C350" s="727"/>
      <c r="D350" s="727"/>
      <c r="E350" s="727"/>
      <c r="F350" s="727"/>
      <c r="G350" s="727"/>
      <c r="H350" s="727"/>
      <c r="I350" s="727" t="str">
        <f>IF(B350="","",VLOOKUP(B350,BoonRef!$A$2:$Z$900,25,FALSE))</f>
        <v/>
      </c>
      <c r="J350" s="727"/>
      <c r="K350" s="727"/>
      <c r="L350" s="727"/>
      <c r="M350" s="727"/>
      <c r="N350" s="727"/>
      <c r="O350" s="727"/>
      <c r="P350" s="727"/>
      <c r="Q350" s="727"/>
      <c r="R350" s="727"/>
      <c r="S350" s="727"/>
      <c r="T350" s="727"/>
      <c r="U350" s="727"/>
      <c r="V350" s="727"/>
      <c r="W350" s="727"/>
      <c r="X350" s="727"/>
      <c r="Y350" s="727"/>
      <c r="Z350" s="728"/>
      <c r="AA350" s="15">
        <v>165</v>
      </c>
      <c r="AB350" s="1026" t="str">
        <f>IF(AA350&lt;'Purchased Boons'!$B$496,VLOOKUP(AA350,'Purchased Boons'!$BF$2:$BG$900,2,FALSE),"")</f>
        <v/>
      </c>
      <c r="AC350" s="727"/>
      <c r="AD350" s="727"/>
      <c r="AE350" s="727"/>
      <c r="AF350" s="727"/>
      <c r="AG350" s="727"/>
      <c r="AH350" s="727"/>
      <c r="AI350" s="727" t="str">
        <f>IF(AB350="","",VLOOKUP(AB350,BoonRef!$A$2:$Z$900,25,FALSE))</f>
        <v/>
      </c>
      <c r="AJ350" s="727"/>
      <c r="AK350" s="727"/>
      <c r="AL350" s="727"/>
      <c r="AM350" s="727"/>
      <c r="AN350" s="727"/>
      <c r="AO350" s="727"/>
      <c r="AP350" s="727"/>
      <c r="AQ350" s="727"/>
      <c r="AR350" s="727"/>
      <c r="AS350" s="727"/>
      <c r="AT350" s="727"/>
      <c r="AU350" s="727"/>
      <c r="AV350" s="727"/>
      <c r="AW350" s="727"/>
      <c r="AX350" s="727"/>
      <c r="AY350" s="727"/>
      <c r="AZ350" s="728"/>
      <c r="BA350" s="15">
        <v>58</v>
      </c>
      <c r="BB350" s="1038" t="str">
        <f>IF(BA350&lt;'Purchased Knacks'!A$192,VLOOKUP(BA350,'Purchased Knacks'!$A$4:$E$300,3,FALSE),"")</f>
        <v/>
      </c>
      <c r="BC350" s="1039"/>
      <c r="BD350" s="1039"/>
      <c r="BE350" s="1039"/>
      <c r="BF350" s="1040"/>
      <c r="BG350" s="1032" t="str">
        <f>IF(BB350="","",VLOOKUP(BB350,KanckRef!$A$1:$G$300,7,FALSE))</f>
        <v/>
      </c>
      <c r="BH350" s="1033"/>
      <c r="BI350" s="753"/>
      <c r="BJ350" s="754"/>
      <c r="BK350" s="754"/>
      <c r="BL350" s="754"/>
      <c r="BM350" s="754"/>
      <c r="BN350" s="754"/>
      <c r="BO350" s="754"/>
      <c r="BP350" s="754"/>
      <c r="BQ350" s="754"/>
      <c r="BR350" s="754"/>
      <c r="BS350" s="754"/>
      <c r="BT350" s="754"/>
      <c r="BU350" s="754"/>
      <c r="BV350" s="754"/>
      <c r="BW350" s="754"/>
      <c r="BX350" s="754"/>
      <c r="BY350" s="754"/>
      <c r="BZ350" s="755"/>
      <c r="CA350" s="15">
        <v>165</v>
      </c>
      <c r="CB350" s="1038" t="str">
        <f>IF(CA350&lt;'Purchased Knacks'!A$192,VLOOKUP(CA350,'Purchased Knacks'!$A$4:$E$300,3,FALSE),"")</f>
        <v/>
      </c>
      <c r="CC350" s="1039"/>
      <c r="CD350" s="1039"/>
      <c r="CE350" s="1039"/>
      <c r="CF350" s="1040"/>
      <c r="CG350" s="1032" t="str">
        <f>IF(CB350="","",VLOOKUP(CB350,KanckRef!$A$1:$G$300,7,FALSE))</f>
        <v/>
      </c>
      <c r="CH350" s="1033"/>
      <c r="CI350" s="753"/>
      <c r="CJ350" s="754"/>
      <c r="CK350" s="754"/>
      <c r="CL350" s="754"/>
      <c r="CM350" s="754"/>
      <c r="CN350" s="754"/>
      <c r="CO350" s="754"/>
      <c r="CP350" s="754"/>
      <c r="CQ350" s="754"/>
      <c r="CR350" s="754"/>
      <c r="CS350" s="754"/>
      <c r="CT350" s="754"/>
      <c r="CU350" s="754"/>
      <c r="CV350" s="754"/>
      <c r="CW350" s="754"/>
      <c r="CX350" s="754"/>
      <c r="CY350" s="754"/>
      <c r="CZ350" s="755"/>
    </row>
    <row r="351" spans="1:104" ht="15" customHeight="1" x14ac:dyDescent="0.25">
      <c r="B351" s="1026"/>
      <c r="C351" s="727"/>
      <c r="D351" s="727"/>
      <c r="E351" s="727"/>
      <c r="F351" s="727"/>
      <c r="G351" s="727"/>
      <c r="H351" s="727"/>
      <c r="I351" s="727" t="str">
        <f>IF(B350="","",VLOOKUP(B350,BoonRef!$A$2:$Z$900,26,FALSE))</f>
        <v/>
      </c>
      <c r="J351" s="727"/>
      <c r="K351" s="727"/>
      <c r="L351" s="727"/>
      <c r="M351" s="727"/>
      <c r="N351" s="727"/>
      <c r="O351" s="727"/>
      <c r="P351" s="727"/>
      <c r="Q351" s="727"/>
      <c r="R351" s="727"/>
      <c r="S351" s="727"/>
      <c r="T351" s="727"/>
      <c r="U351" s="727"/>
      <c r="V351" s="727"/>
      <c r="W351" s="727"/>
      <c r="X351" s="727"/>
      <c r="Y351" s="727"/>
      <c r="Z351" s="728"/>
      <c r="AB351" s="1026"/>
      <c r="AC351" s="727"/>
      <c r="AD351" s="727"/>
      <c r="AE351" s="727"/>
      <c r="AF351" s="727"/>
      <c r="AG351" s="727"/>
      <c r="AH351" s="727"/>
      <c r="AI351" s="727" t="str">
        <f>IF(AB350="","",VLOOKUP(AB350,BoonRef!$A$2:$Z$900,26,FALSE))</f>
        <v/>
      </c>
      <c r="AJ351" s="727"/>
      <c r="AK351" s="727"/>
      <c r="AL351" s="727"/>
      <c r="AM351" s="727"/>
      <c r="AN351" s="727"/>
      <c r="AO351" s="727"/>
      <c r="AP351" s="727"/>
      <c r="AQ351" s="727"/>
      <c r="AR351" s="727"/>
      <c r="AS351" s="727"/>
      <c r="AT351" s="727"/>
      <c r="AU351" s="727"/>
      <c r="AV351" s="727"/>
      <c r="AW351" s="727"/>
      <c r="AX351" s="727"/>
      <c r="AY351" s="727"/>
      <c r="AZ351" s="728"/>
      <c r="BB351" s="1041"/>
      <c r="BC351" s="1042"/>
      <c r="BD351" s="1042"/>
      <c r="BE351" s="1042"/>
      <c r="BF351" s="1043"/>
      <c r="BG351" s="1034"/>
      <c r="BH351" s="1035"/>
      <c r="BI351" s="753"/>
      <c r="BJ351" s="754"/>
      <c r="BK351" s="754"/>
      <c r="BL351" s="754"/>
      <c r="BM351" s="754"/>
      <c r="BN351" s="754"/>
      <c r="BO351" s="754"/>
      <c r="BP351" s="754"/>
      <c r="BQ351" s="754"/>
      <c r="BR351" s="754"/>
      <c r="BS351" s="754"/>
      <c r="BT351" s="754"/>
      <c r="BU351" s="754"/>
      <c r="BV351" s="754"/>
      <c r="BW351" s="754"/>
      <c r="BX351" s="754"/>
      <c r="BY351" s="754"/>
      <c r="BZ351" s="755"/>
      <c r="CB351" s="1041"/>
      <c r="CC351" s="1042"/>
      <c r="CD351" s="1042"/>
      <c r="CE351" s="1042"/>
      <c r="CF351" s="1043"/>
      <c r="CG351" s="1034"/>
      <c r="CH351" s="1035"/>
      <c r="CI351" s="753"/>
      <c r="CJ351" s="754"/>
      <c r="CK351" s="754"/>
      <c r="CL351" s="754"/>
      <c r="CM351" s="754"/>
      <c r="CN351" s="754"/>
      <c r="CO351" s="754"/>
      <c r="CP351" s="754"/>
      <c r="CQ351" s="754"/>
      <c r="CR351" s="754"/>
      <c r="CS351" s="754"/>
      <c r="CT351" s="754"/>
      <c r="CU351" s="754"/>
      <c r="CV351" s="754"/>
      <c r="CW351" s="754"/>
      <c r="CX351" s="754"/>
      <c r="CY351" s="754"/>
      <c r="CZ351" s="755"/>
    </row>
    <row r="352" spans="1:104" x14ac:dyDescent="0.25">
      <c r="B352" s="1026" t="str">
        <f>IF(B350="","",VLOOKUP(B350,BoonRef!$A$2:$Z$900,24,FALSE))</f>
        <v/>
      </c>
      <c r="C352" s="727"/>
      <c r="D352" s="727"/>
      <c r="E352" s="727"/>
      <c r="F352" s="727"/>
      <c r="G352" s="727"/>
      <c r="H352" s="727"/>
      <c r="I352" s="727"/>
      <c r="J352" s="727"/>
      <c r="K352" s="727"/>
      <c r="L352" s="727"/>
      <c r="M352" s="727"/>
      <c r="N352" s="727"/>
      <c r="O352" s="727"/>
      <c r="P352" s="727"/>
      <c r="Q352" s="727"/>
      <c r="R352" s="727"/>
      <c r="S352" s="727"/>
      <c r="T352" s="727"/>
      <c r="U352" s="727"/>
      <c r="V352" s="727"/>
      <c r="W352" s="727"/>
      <c r="X352" s="727"/>
      <c r="Y352" s="727"/>
      <c r="Z352" s="728"/>
      <c r="AB352" s="1026" t="str">
        <f>IF(AB350="","",VLOOKUP(AB350,BoonRef!$A$2:$Z$900,24,FALSE))</f>
        <v/>
      </c>
      <c r="AC352" s="727"/>
      <c r="AD352" s="727"/>
      <c r="AE352" s="727"/>
      <c r="AF352" s="727"/>
      <c r="AG352" s="727"/>
      <c r="AH352" s="727"/>
      <c r="AI352" s="727"/>
      <c r="AJ352" s="727"/>
      <c r="AK352" s="727"/>
      <c r="AL352" s="727"/>
      <c r="AM352" s="727"/>
      <c r="AN352" s="727"/>
      <c r="AO352" s="727"/>
      <c r="AP352" s="727"/>
      <c r="AQ352" s="727"/>
      <c r="AR352" s="727"/>
      <c r="AS352" s="727"/>
      <c r="AT352" s="727"/>
      <c r="AU352" s="727"/>
      <c r="AV352" s="727"/>
      <c r="AW352" s="727"/>
      <c r="AX352" s="727"/>
      <c r="AY352" s="727"/>
      <c r="AZ352" s="728"/>
      <c r="BB352" s="641" t="str">
        <f>IF(BB350="","",VLOOKUP(BB350,KanckRef!$A$1:$G$300,4,FALSE))</f>
        <v/>
      </c>
      <c r="BC352" s="642"/>
      <c r="BD352" s="642"/>
      <c r="BE352" s="642"/>
      <c r="BF352" s="642"/>
      <c r="BG352" s="642"/>
      <c r="BH352" s="1033"/>
      <c r="BI352" s="753"/>
      <c r="BJ352" s="754"/>
      <c r="BK352" s="754"/>
      <c r="BL352" s="754"/>
      <c r="BM352" s="754"/>
      <c r="BN352" s="754"/>
      <c r="BO352" s="754"/>
      <c r="BP352" s="754"/>
      <c r="BQ352" s="754"/>
      <c r="BR352" s="754"/>
      <c r="BS352" s="754"/>
      <c r="BT352" s="754"/>
      <c r="BU352" s="754"/>
      <c r="BV352" s="754"/>
      <c r="BW352" s="754"/>
      <c r="BX352" s="754"/>
      <c r="BY352" s="754"/>
      <c r="BZ352" s="755"/>
      <c r="CB352" s="641" t="str">
        <f>IF(CB350="","",VLOOKUP(CB350,KanckRef!$A$1:$G$300,4,FALSE))</f>
        <v/>
      </c>
      <c r="CC352" s="642"/>
      <c r="CD352" s="642"/>
      <c r="CE352" s="642"/>
      <c r="CF352" s="642"/>
      <c r="CG352" s="642"/>
      <c r="CH352" s="1033"/>
      <c r="CI352" s="753"/>
      <c r="CJ352" s="754"/>
      <c r="CK352" s="754"/>
      <c r="CL352" s="754"/>
      <c r="CM352" s="754"/>
      <c r="CN352" s="754"/>
      <c r="CO352" s="754"/>
      <c r="CP352" s="754"/>
      <c r="CQ352" s="754"/>
      <c r="CR352" s="754"/>
      <c r="CS352" s="754"/>
      <c r="CT352" s="754"/>
      <c r="CU352" s="754"/>
      <c r="CV352" s="754"/>
      <c r="CW352" s="754"/>
      <c r="CX352" s="754"/>
      <c r="CY352" s="754"/>
      <c r="CZ352" s="755"/>
    </row>
    <row r="353" spans="1:104" x14ac:dyDescent="0.25">
      <c r="B353" s="1026" t="str">
        <f>IF(B350="","",VLOOKUP(B350,BoonRef!$A$2:$Z$900,23,FALSE))</f>
        <v/>
      </c>
      <c r="C353" s="727"/>
      <c r="D353" s="727"/>
      <c r="E353" s="727"/>
      <c r="F353" s="727"/>
      <c r="G353" s="727"/>
      <c r="H353" s="727"/>
      <c r="I353" s="727"/>
      <c r="J353" s="727"/>
      <c r="K353" s="727"/>
      <c r="L353" s="727"/>
      <c r="M353" s="727"/>
      <c r="N353" s="727"/>
      <c r="O353" s="727"/>
      <c r="P353" s="727"/>
      <c r="Q353" s="727"/>
      <c r="R353" s="727"/>
      <c r="S353" s="727"/>
      <c r="T353" s="727"/>
      <c r="U353" s="727"/>
      <c r="V353" s="727"/>
      <c r="W353" s="727"/>
      <c r="X353" s="727"/>
      <c r="Y353" s="727"/>
      <c r="Z353" s="728"/>
      <c r="AB353" s="1026" t="str">
        <f>IF(AB350="","",VLOOKUP(AB350,BoonRef!$A$2:$Z$900,23,FALSE))</f>
        <v/>
      </c>
      <c r="AC353" s="727"/>
      <c r="AD353" s="727"/>
      <c r="AE353" s="727"/>
      <c r="AF353" s="727"/>
      <c r="AG353" s="727"/>
      <c r="AH353" s="727"/>
      <c r="AI353" s="727"/>
      <c r="AJ353" s="727"/>
      <c r="AK353" s="727"/>
      <c r="AL353" s="727"/>
      <c r="AM353" s="727"/>
      <c r="AN353" s="727"/>
      <c r="AO353" s="727"/>
      <c r="AP353" s="727"/>
      <c r="AQ353" s="727"/>
      <c r="AR353" s="727"/>
      <c r="AS353" s="727"/>
      <c r="AT353" s="727"/>
      <c r="AU353" s="727"/>
      <c r="AV353" s="727"/>
      <c r="AW353" s="727"/>
      <c r="AX353" s="727"/>
      <c r="AY353" s="727"/>
      <c r="AZ353" s="728"/>
      <c r="BB353" s="635"/>
      <c r="BC353" s="636"/>
      <c r="BD353" s="636"/>
      <c r="BE353" s="636"/>
      <c r="BF353" s="636"/>
      <c r="BG353" s="636"/>
      <c r="BH353" s="1036"/>
      <c r="BI353" s="753"/>
      <c r="BJ353" s="754"/>
      <c r="BK353" s="754"/>
      <c r="BL353" s="754"/>
      <c r="BM353" s="754"/>
      <c r="BN353" s="754"/>
      <c r="BO353" s="754"/>
      <c r="BP353" s="754"/>
      <c r="BQ353" s="754"/>
      <c r="BR353" s="754"/>
      <c r="BS353" s="754"/>
      <c r="BT353" s="754"/>
      <c r="BU353" s="754"/>
      <c r="BV353" s="754"/>
      <c r="BW353" s="754"/>
      <c r="BX353" s="754"/>
      <c r="BY353" s="754"/>
      <c r="BZ353" s="755"/>
      <c r="CB353" s="635"/>
      <c r="CC353" s="636"/>
      <c r="CD353" s="636"/>
      <c r="CE353" s="636"/>
      <c r="CF353" s="636"/>
      <c r="CG353" s="636"/>
      <c r="CH353" s="1036"/>
      <c r="CI353" s="753"/>
      <c r="CJ353" s="754"/>
      <c r="CK353" s="754"/>
      <c r="CL353" s="754"/>
      <c r="CM353" s="754"/>
      <c r="CN353" s="754"/>
      <c r="CO353" s="754"/>
      <c r="CP353" s="754"/>
      <c r="CQ353" s="754"/>
      <c r="CR353" s="754"/>
      <c r="CS353" s="754"/>
      <c r="CT353" s="754"/>
      <c r="CU353" s="754"/>
      <c r="CV353" s="754"/>
      <c r="CW353" s="754"/>
      <c r="CX353" s="754"/>
      <c r="CY353" s="754"/>
      <c r="CZ353" s="755"/>
    </row>
    <row r="354" spans="1:104" ht="15.75" thickBot="1" x14ac:dyDescent="0.3">
      <c r="B354" s="1027"/>
      <c r="C354" s="865"/>
      <c r="D354" s="865"/>
      <c r="E354" s="865"/>
      <c r="F354" s="865"/>
      <c r="G354" s="865"/>
      <c r="H354" s="865"/>
      <c r="I354" s="865"/>
      <c r="J354" s="865"/>
      <c r="K354" s="865"/>
      <c r="L354" s="865"/>
      <c r="M354" s="865"/>
      <c r="N354" s="865"/>
      <c r="O354" s="865"/>
      <c r="P354" s="865"/>
      <c r="Q354" s="865"/>
      <c r="R354" s="865"/>
      <c r="S354" s="865"/>
      <c r="T354" s="865"/>
      <c r="U354" s="865"/>
      <c r="V354" s="865"/>
      <c r="W354" s="865"/>
      <c r="X354" s="865"/>
      <c r="Y354" s="865"/>
      <c r="Z354" s="921"/>
      <c r="AB354" s="1027"/>
      <c r="AC354" s="865"/>
      <c r="AD354" s="865"/>
      <c r="AE354" s="865"/>
      <c r="AF354" s="865"/>
      <c r="AG354" s="865"/>
      <c r="AH354" s="865"/>
      <c r="AI354" s="865"/>
      <c r="AJ354" s="865"/>
      <c r="AK354" s="865"/>
      <c r="AL354" s="865"/>
      <c r="AM354" s="865"/>
      <c r="AN354" s="865"/>
      <c r="AO354" s="865"/>
      <c r="AP354" s="865"/>
      <c r="AQ354" s="865"/>
      <c r="AR354" s="865"/>
      <c r="AS354" s="865"/>
      <c r="AT354" s="865"/>
      <c r="AU354" s="865"/>
      <c r="AV354" s="865"/>
      <c r="AW354" s="865"/>
      <c r="AX354" s="865"/>
      <c r="AY354" s="865"/>
      <c r="AZ354" s="921"/>
      <c r="BB354" s="644"/>
      <c r="BC354" s="645"/>
      <c r="BD354" s="645"/>
      <c r="BE354" s="645"/>
      <c r="BF354" s="645"/>
      <c r="BG354" s="645"/>
      <c r="BH354" s="1037"/>
      <c r="BI354" s="756"/>
      <c r="BJ354" s="757"/>
      <c r="BK354" s="757"/>
      <c r="BL354" s="757"/>
      <c r="BM354" s="757"/>
      <c r="BN354" s="757"/>
      <c r="BO354" s="757"/>
      <c r="BP354" s="757"/>
      <c r="BQ354" s="757"/>
      <c r="BR354" s="757"/>
      <c r="BS354" s="757"/>
      <c r="BT354" s="757"/>
      <c r="BU354" s="757"/>
      <c r="BV354" s="757"/>
      <c r="BW354" s="757"/>
      <c r="BX354" s="757"/>
      <c r="BY354" s="757"/>
      <c r="BZ354" s="758"/>
      <c r="CB354" s="644"/>
      <c r="CC354" s="645"/>
      <c r="CD354" s="645"/>
      <c r="CE354" s="645"/>
      <c r="CF354" s="645"/>
      <c r="CG354" s="645"/>
      <c r="CH354" s="1037"/>
      <c r="CI354" s="756"/>
      <c r="CJ354" s="757"/>
      <c r="CK354" s="757"/>
      <c r="CL354" s="757"/>
      <c r="CM354" s="757"/>
      <c r="CN354" s="757"/>
      <c r="CO354" s="757"/>
      <c r="CP354" s="757"/>
      <c r="CQ354" s="757"/>
      <c r="CR354" s="757"/>
      <c r="CS354" s="757"/>
      <c r="CT354" s="757"/>
      <c r="CU354" s="757"/>
      <c r="CV354" s="757"/>
      <c r="CW354" s="757"/>
      <c r="CX354" s="757"/>
      <c r="CY354" s="757"/>
      <c r="CZ354" s="758"/>
    </row>
    <row r="355" spans="1:104" ht="15" customHeight="1" x14ac:dyDescent="0.25">
      <c r="B355" s="1028" t="str">
        <f>IF(B356="","",VLOOKUP(B356,BoonRef!$A$2:$Z$900,2,FALSE))</f>
        <v/>
      </c>
      <c r="C355" s="725"/>
      <c r="D355" s="725"/>
      <c r="E355" s="725"/>
      <c r="F355" s="725"/>
      <c r="G355" s="725"/>
      <c r="H355" s="725"/>
      <c r="I355" s="725" t="str">
        <f>IF(B356="","",VLOOKUP(B356,BoonRef!$A$2:$Z$900,3,FALSE))</f>
        <v/>
      </c>
      <c r="J355" s="725"/>
      <c r="K355" s="725" t="str">
        <f>IF(B356="","",VLOOKUP(B356,DescRef!$A$2:$B$900,2,FALSE))</f>
        <v/>
      </c>
      <c r="L355" s="725"/>
      <c r="M355" s="725"/>
      <c r="N355" s="725"/>
      <c r="O355" s="725"/>
      <c r="P355" s="725"/>
      <c r="Q355" s="725"/>
      <c r="R355" s="725"/>
      <c r="S355" s="725"/>
      <c r="T355" s="725"/>
      <c r="U355" s="725"/>
      <c r="V355" s="725"/>
      <c r="W355" s="725"/>
      <c r="X355" s="725"/>
      <c r="Y355" s="725"/>
      <c r="Z355" s="726"/>
      <c r="AB355" s="1028" t="str">
        <f>IF(AB356="","",VLOOKUP(AB356,BoonRef!$A$2:$Z$900,2,FALSE))</f>
        <v/>
      </c>
      <c r="AC355" s="725"/>
      <c r="AD355" s="725"/>
      <c r="AE355" s="725"/>
      <c r="AF355" s="725"/>
      <c r="AG355" s="725"/>
      <c r="AH355" s="725"/>
      <c r="AI355" s="725" t="str">
        <f>IF(AB356="","",VLOOKUP(AB356,BoonRef!$A$2:$Z$900,3,FALSE))</f>
        <v/>
      </c>
      <c r="AJ355" s="725"/>
      <c r="AK355" s="725" t="str">
        <f>IF(AB356="","",VLOOKUP(AB356,DescRef!$A$2:$B$900,2,FALSE))</f>
        <v/>
      </c>
      <c r="AL355" s="725"/>
      <c r="AM355" s="725"/>
      <c r="AN355" s="725"/>
      <c r="AO355" s="725"/>
      <c r="AP355" s="725"/>
      <c r="AQ355" s="725"/>
      <c r="AR355" s="725"/>
      <c r="AS355" s="725"/>
      <c r="AT355" s="725"/>
      <c r="AU355" s="725"/>
      <c r="AV355" s="725"/>
      <c r="AW355" s="725"/>
      <c r="AX355" s="725"/>
      <c r="AY355" s="725"/>
      <c r="AZ355" s="726"/>
      <c r="BB355" s="1029" t="str">
        <f>IF(BB356="","",VLOOKUP(BB356,KanckRef!$A$1:$G$300,2,FALSE))</f>
        <v/>
      </c>
      <c r="BC355" s="1030"/>
      <c r="BD355" s="1030"/>
      <c r="BE355" s="1030"/>
      <c r="BF355" s="1031"/>
      <c r="BG355" s="1048" t="str">
        <f>IF(BB356="","",VLOOKUP(BB356,KanckRef!$A$1:$G$300,6,FALSE))</f>
        <v/>
      </c>
      <c r="BH355" s="1049"/>
      <c r="BI355" s="988" t="str">
        <f>IF(BB356="","",VLOOKUP(BB356,DescRef!$D$2:$E$300,2,FALSE))</f>
        <v/>
      </c>
      <c r="BJ355" s="795"/>
      <c r="BK355" s="795"/>
      <c r="BL355" s="795"/>
      <c r="BM355" s="795"/>
      <c r="BN355" s="795"/>
      <c r="BO355" s="795"/>
      <c r="BP355" s="795"/>
      <c r="BQ355" s="795"/>
      <c r="BR355" s="795"/>
      <c r="BS355" s="795"/>
      <c r="BT355" s="795"/>
      <c r="BU355" s="795"/>
      <c r="BV355" s="795"/>
      <c r="BW355" s="795"/>
      <c r="BX355" s="795"/>
      <c r="BY355" s="795"/>
      <c r="BZ355" s="796"/>
      <c r="CB355" s="1029" t="str">
        <f>IF(CB356="","",VLOOKUP(CB356,KanckRef!$A$1:$G$300,2,FALSE))</f>
        <v/>
      </c>
      <c r="CC355" s="1030"/>
      <c r="CD355" s="1030"/>
      <c r="CE355" s="1030"/>
      <c r="CF355" s="1031"/>
      <c r="CG355" s="1048" t="str">
        <f>IF(CB356="","",VLOOKUP(CB356,KanckRef!$A$1:$G$300,6,FALSE))</f>
        <v/>
      </c>
      <c r="CH355" s="1049"/>
      <c r="CI355" s="988" t="str">
        <f>IF(CB356="","",VLOOKUP(CB356,DescRef!$D$2:$E$300,2,FALSE))</f>
        <v/>
      </c>
      <c r="CJ355" s="795"/>
      <c r="CK355" s="795"/>
      <c r="CL355" s="795"/>
      <c r="CM355" s="795"/>
      <c r="CN355" s="795"/>
      <c r="CO355" s="795"/>
      <c r="CP355" s="795"/>
      <c r="CQ355" s="795"/>
      <c r="CR355" s="795"/>
      <c r="CS355" s="795"/>
      <c r="CT355" s="795"/>
      <c r="CU355" s="795"/>
      <c r="CV355" s="795"/>
      <c r="CW355" s="795"/>
      <c r="CX355" s="795"/>
      <c r="CY355" s="795"/>
      <c r="CZ355" s="796"/>
    </row>
    <row r="356" spans="1:104" ht="15" customHeight="1" x14ac:dyDescent="0.25">
      <c r="A356" s="15">
        <v>59</v>
      </c>
      <c r="B356" s="1026" t="str">
        <f>IF(A356&lt;'Purchased Boons'!$B$496,VLOOKUP(A356,'Purchased Boons'!$BF$2:$BG$900,2,FALSE),"")</f>
        <v/>
      </c>
      <c r="C356" s="727"/>
      <c r="D356" s="727"/>
      <c r="E356" s="727"/>
      <c r="F356" s="727"/>
      <c r="G356" s="727"/>
      <c r="H356" s="727"/>
      <c r="I356" s="727" t="str">
        <f>IF(B356="","",VLOOKUP(B356,BoonRef!$A$2:$Z$900,25,FALSE))</f>
        <v/>
      </c>
      <c r="J356" s="727"/>
      <c r="K356" s="727"/>
      <c r="L356" s="727"/>
      <c r="M356" s="727"/>
      <c r="N356" s="727"/>
      <c r="O356" s="727"/>
      <c r="P356" s="727"/>
      <c r="Q356" s="727"/>
      <c r="R356" s="727"/>
      <c r="S356" s="727"/>
      <c r="T356" s="727"/>
      <c r="U356" s="727"/>
      <c r="V356" s="727"/>
      <c r="W356" s="727"/>
      <c r="X356" s="727"/>
      <c r="Y356" s="727"/>
      <c r="Z356" s="728"/>
      <c r="AA356" s="15">
        <v>166</v>
      </c>
      <c r="AB356" s="1026" t="str">
        <f>IF(AA356&lt;'Purchased Boons'!$B$496,VLOOKUP(AA356,'Purchased Boons'!$BF$2:$BG$900,2,FALSE),"")</f>
        <v/>
      </c>
      <c r="AC356" s="727"/>
      <c r="AD356" s="727"/>
      <c r="AE356" s="727"/>
      <c r="AF356" s="727"/>
      <c r="AG356" s="727"/>
      <c r="AH356" s="727"/>
      <c r="AI356" s="727" t="str">
        <f>IF(AB356="","",VLOOKUP(AB356,BoonRef!$A$2:$Z$900,25,FALSE))</f>
        <v/>
      </c>
      <c r="AJ356" s="727"/>
      <c r="AK356" s="727"/>
      <c r="AL356" s="727"/>
      <c r="AM356" s="727"/>
      <c r="AN356" s="727"/>
      <c r="AO356" s="727"/>
      <c r="AP356" s="727"/>
      <c r="AQ356" s="727"/>
      <c r="AR356" s="727"/>
      <c r="AS356" s="727"/>
      <c r="AT356" s="727"/>
      <c r="AU356" s="727"/>
      <c r="AV356" s="727"/>
      <c r="AW356" s="727"/>
      <c r="AX356" s="727"/>
      <c r="AY356" s="727"/>
      <c r="AZ356" s="728"/>
      <c r="BA356" s="15">
        <v>59</v>
      </c>
      <c r="BB356" s="1038" t="str">
        <f>IF(BA356&lt;'Purchased Knacks'!A$192,VLOOKUP(BA356,'Purchased Knacks'!$A$4:$E$300,3,FALSE),"")</f>
        <v/>
      </c>
      <c r="BC356" s="1039"/>
      <c r="BD356" s="1039"/>
      <c r="BE356" s="1039"/>
      <c r="BF356" s="1040"/>
      <c r="BG356" s="1032" t="str">
        <f>IF(BB356="","",VLOOKUP(BB356,KanckRef!$A$1:$G$300,7,FALSE))</f>
        <v/>
      </c>
      <c r="BH356" s="1033"/>
      <c r="BI356" s="753"/>
      <c r="BJ356" s="754"/>
      <c r="BK356" s="754"/>
      <c r="BL356" s="754"/>
      <c r="BM356" s="754"/>
      <c r="BN356" s="754"/>
      <c r="BO356" s="754"/>
      <c r="BP356" s="754"/>
      <c r="BQ356" s="754"/>
      <c r="BR356" s="754"/>
      <c r="BS356" s="754"/>
      <c r="BT356" s="754"/>
      <c r="BU356" s="754"/>
      <c r="BV356" s="754"/>
      <c r="BW356" s="754"/>
      <c r="BX356" s="754"/>
      <c r="BY356" s="754"/>
      <c r="BZ356" s="755"/>
      <c r="CA356" s="15">
        <v>166</v>
      </c>
      <c r="CB356" s="1038" t="str">
        <f>IF(CA356&lt;'Purchased Knacks'!A$192,VLOOKUP(CA356,'Purchased Knacks'!$A$4:$E$300,3,FALSE),"")</f>
        <v/>
      </c>
      <c r="CC356" s="1039"/>
      <c r="CD356" s="1039"/>
      <c r="CE356" s="1039"/>
      <c r="CF356" s="1040"/>
      <c r="CG356" s="1032" t="str">
        <f>IF(CB356="","",VLOOKUP(CB356,KanckRef!$A$1:$G$300,7,FALSE))</f>
        <v/>
      </c>
      <c r="CH356" s="1033"/>
      <c r="CI356" s="753"/>
      <c r="CJ356" s="754"/>
      <c r="CK356" s="754"/>
      <c r="CL356" s="754"/>
      <c r="CM356" s="754"/>
      <c r="CN356" s="754"/>
      <c r="CO356" s="754"/>
      <c r="CP356" s="754"/>
      <c r="CQ356" s="754"/>
      <c r="CR356" s="754"/>
      <c r="CS356" s="754"/>
      <c r="CT356" s="754"/>
      <c r="CU356" s="754"/>
      <c r="CV356" s="754"/>
      <c r="CW356" s="754"/>
      <c r="CX356" s="754"/>
      <c r="CY356" s="754"/>
      <c r="CZ356" s="755"/>
    </row>
    <row r="357" spans="1:104" x14ac:dyDescent="0.25">
      <c r="B357" s="1026"/>
      <c r="C357" s="727"/>
      <c r="D357" s="727"/>
      <c r="E357" s="727"/>
      <c r="F357" s="727"/>
      <c r="G357" s="727"/>
      <c r="H357" s="727"/>
      <c r="I357" s="727" t="str">
        <f>IF(B356="","",VLOOKUP(B356,BoonRef!$A$2:$Z$900,26,FALSE))</f>
        <v/>
      </c>
      <c r="J357" s="727"/>
      <c r="K357" s="727"/>
      <c r="L357" s="727"/>
      <c r="M357" s="727"/>
      <c r="N357" s="727"/>
      <c r="O357" s="727"/>
      <c r="P357" s="727"/>
      <c r="Q357" s="727"/>
      <c r="R357" s="727"/>
      <c r="S357" s="727"/>
      <c r="T357" s="727"/>
      <c r="U357" s="727"/>
      <c r="V357" s="727"/>
      <c r="W357" s="727"/>
      <c r="X357" s="727"/>
      <c r="Y357" s="727"/>
      <c r="Z357" s="728"/>
      <c r="AB357" s="1026"/>
      <c r="AC357" s="727"/>
      <c r="AD357" s="727"/>
      <c r="AE357" s="727"/>
      <c r="AF357" s="727"/>
      <c r="AG357" s="727"/>
      <c r="AH357" s="727"/>
      <c r="AI357" s="727" t="str">
        <f>IF(AB356="","",VLOOKUP(AB356,BoonRef!$A$2:$Z$900,26,FALSE))</f>
        <v/>
      </c>
      <c r="AJ357" s="727"/>
      <c r="AK357" s="727"/>
      <c r="AL357" s="727"/>
      <c r="AM357" s="727"/>
      <c r="AN357" s="727"/>
      <c r="AO357" s="727"/>
      <c r="AP357" s="727"/>
      <c r="AQ357" s="727"/>
      <c r="AR357" s="727"/>
      <c r="AS357" s="727"/>
      <c r="AT357" s="727"/>
      <c r="AU357" s="727"/>
      <c r="AV357" s="727"/>
      <c r="AW357" s="727"/>
      <c r="AX357" s="727"/>
      <c r="AY357" s="727"/>
      <c r="AZ357" s="728"/>
      <c r="BB357" s="1041"/>
      <c r="BC357" s="1042"/>
      <c r="BD357" s="1042"/>
      <c r="BE357" s="1042"/>
      <c r="BF357" s="1043"/>
      <c r="BG357" s="1034"/>
      <c r="BH357" s="1035"/>
      <c r="BI357" s="753"/>
      <c r="BJ357" s="754"/>
      <c r="BK357" s="754"/>
      <c r="BL357" s="754"/>
      <c r="BM357" s="754"/>
      <c r="BN357" s="754"/>
      <c r="BO357" s="754"/>
      <c r="BP357" s="754"/>
      <c r="BQ357" s="754"/>
      <c r="BR357" s="754"/>
      <c r="BS357" s="754"/>
      <c r="BT357" s="754"/>
      <c r="BU357" s="754"/>
      <c r="BV357" s="754"/>
      <c r="BW357" s="754"/>
      <c r="BX357" s="754"/>
      <c r="BY357" s="754"/>
      <c r="BZ357" s="755"/>
      <c r="CB357" s="1041"/>
      <c r="CC357" s="1042"/>
      <c r="CD357" s="1042"/>
      <c r="CE357" s="1042"/>
      <c r="CF357" s="1043"/>
      <c r="CG357" s="1034"/>
      <c r="CH357" s="1035"/>
      <c r="CI357" s="753"/>
      <c r="CJ357" s="754"/>
      <c r="CK357" s="754"/>
      <c r="CL357" s="754"/>
      <c r="CM357" s="754"/>
      <c r="CN357" s="754"/>
      <c r="CO357" s="754"/>
      <c r="CP357" s="754"/>
      <c r="CQ357" s="754"/>
      <c r="CR357" s="754"/>
      <c r="CS357" s="754"/>
      <c r="CT357" s="754"/>
      <c r="CU357" s="754"/>
      <c r="CV357" s="754"/>
      <c r="CW357" s="754"/>
      <c r="CX357" s="754"/>
      <c r="CY357" s="754"/>
      <c r="CZ357" s="755"/>
    </row>
    <row r="358" spans="1:104" x14ac:dyDescent="0.25">
      <c r="B358" s="1026" t="str">
        <f>IF(B356="","",VLOOKUP(B356,BoonRef!$A$2:$Z$900,24,FALSE))</f>
        <v/>
      </c>
      <c r="C358" s="727"/>
      <c r="D358" s="727"/>
      <c r="E358" s="727"/>
      <c r="F358" s="727"/>
      <c r="G358" s="727"/>
      <c r="H358" s="727"/>
      <c r="I358" s="727"/>
      <c r="J358" s="727"/>
      <c r="K358" s="727"/>
      <c r="L358" s="727"/>
      <c r="M358" s="727"/>
      <c r="N358" s="727"/>
      <c r="O358" s="727"/>
      <c r="P358" s="727"/>
      <c r="Q358" s="727"/>
      <c r="R358" s="727"/>
      <c r="S358" s="727"/>
      <c r="T358" s="727"/>
      <c r="U358" s="727"/>
      <c r="V358" s="727"/>
      <c r="W358" s="727"/>
      <c r="X358" s="727"/>
      <c r="Y358" s="727"/>
      <c r="Z358" s="728"/>
      <c r="AB358" s="1026" t="str">
        <f>IF(AB356="","",VLOOKUP(AB356,BoonRef!$A$2:$Z$900,24,FALSE))</f>
        <v/>
      </c>
      <c r="AC358" s="727"/>
      <c r="AD358" s="727"/>
      <c r="AE358" s="727"/>
      <c r="AF358" s="727"/>
      <c r="AG358" s="727"/>
      <c r="AH358" s="727"/>
      <c r="AI358" s="727"/>
      <c r="AJ358" s="727"/>
      <c r="AK358" s="727"/>
      <c r="AL358" s="727"/>
      <c r="AM358" s="727"/>
      <c r="AN358" s="727"/>
      <c r="AO358" s="727"/>
      <c r="AP358" s="727"/>
      <c r="AQ358" s="727"/>
      <c r="AR358" s="727"/>
      <c r="AS358" s="727"/>
      <c r="AT358" s="727"/>
      <c r="AU358" s="727"/>
      <c r="AV358" s="727"/>
      <c r="AW358" s="727"/>
      <c r="AX358" s="727"/>
      <c r="AY358" s="727"/>
      <c r="AZ358" s="728"/>
      <c r="BB358" s="641" t="str">
        <f>IF(BB356="","",VLOOKUP(BB356,KanckRef!$A$1:$G$300,4,FALSE))</f>
        <v/>
      </c>
      <c r="BC358" s="642"/>
      <c r="BD358" s="642"/>
      <c r="BE358" s="642"/>
      <c r="BF358" s="642"/>
      <c r="BG358" s="642"/>
      <c r="BH358" s="1033"/>
      <c r="BI358" s="753"/>
      <c r="BJ358" s="754"/>
      <c r="BK358" s="754"/>
      <c r="BL358" s="754"/>
      <c r="BM358" s="754"/>
      <c r="BN358" s="754"/>
      <c r="BO358" s="754"/>
      <c r="BP358" s="754"/>
      <c r="BQ358" s="754"/>
      <c r="BR358" s="754"/>
      <c r="BS358" s="754"/>
      <c r="BT358" s="754"/>
      <c r="BU358" s="754"/>
      <c r="BV358" s="754"/>
      <c r="BW358" s="754"/>
      <c r="BX358" s="754"/>
      <c r="BY358" s="754"/>
      <c r="BZ358" s="755"/>
      <c r="CB358" s="641" t="str">
        <f>IF(CB356="","",VLOOKUP(CB356,KanckRef!$A$1:$G$300,4,FALSE))</f>
        <v/>
      </c>
      <c r="CC358" s="642"/>
      <c r="CD358" s="642"/>
      <c r="CE358" s="642"/>
      <c r="CF358" s="642"/>
      <c r="CG358" s="642"/>
      <c r="CH358" s="1033"/>
      <c r="CI358" s="753"/>
      <c r="CJ358" s="754"/>
      <c r="CK358" s="754"/>
      <c r="CL358" s="754"/>
      <c r="CM358" s="754"/>
      <c r="CN358" s="754"/>
      <c r="CO358" s="754"/>
      <c r="CP358" s="754"/>
      <c r="CQ358" s="754"/>
      <c r="CR358" s="754"/>
      <c r="CS358" s="754"/>
      <c r="CT358" s="754"/>
      <c r="CU358" s="754"/>
      <c r="CV358" s="754"/>
      <c r="CW358" s="754"/>
      <c r="CX358" s="754"/>
      <c r="CY358" s="754"/>
      <c r="CZ358" s="755"/>
    </row>
    <row r="359" spans="1:104" x14ac:dyDescent="0.25">
      <c r="B359" s="1026" t="str">
        <f>IF(B356="","",VLOOKUP(B356,BoonRef!$A$2:$Z$900,23,FALSE))</f>
        <v/>
      </c>
      <c r="C359" s="727"/>
      <c r="D359" s="727"/>
      <c r="E359" s="727"/>
      <c r="F359" s="727"/>
      <c r="G359" s="727"/>
      <c r="H359" s="727"/>
      <c r="I359" s="727"/>
      <c r="J359" s="727"/>
      <c r="K359" s="727"/>
      <c r="L359" s="727"/>
      <c r="M359" s="727"/>
      <c r="N359" s="727"/>
      <c r="O359" s="727"/>
      <c r="P359" s="727"/>
      <c r="Q359" s="727"/>
      <c r="R359" s="727"/>
      <c r="S359" s="727"/>
      <c r="T359" s="727"/>
      <c r="U359" s="727"/>
      <c r="V359" s="727"/>
      <c r="W359" s="727"/>
      <c r="X359" s="727"/>
      <c r="Y359" s="727"/>
      <c r="Z359" s="728"/>
      <c r="AB359" s="1026" t="str">
        <f>IF(AB356="","",VLOOKUP(AB356,BoonRef!$A$2:$Z$900,23,FALSE))</f>
        <v/>
      </c>
      <c r="AC359" s="727"/>
      <c r="AD359" s="727"/>
      <c r="AE359" s="727"/>
      <c r="AF359" s="727"/>
      <c r="AG359" s="727"/>
      <c r="AH359" s="727"/>
      <c r="AI359" s="727"/>
      <c r="AJ359" s="727"/>
      <c r="AK359" s="727"/>
      <c r="AL359" s="727"/>
      <c r="AM359" s="727"/>
      <c r="AN359" s="727"/>
      <c r="AO359" s="727"/>
      <c r="AP359" s="727"/>
      <c r="AQ359" s="727"/>
      <c r="AR359" s="727"/>
      <c r="AS359" s="727"/>
      <c r="AT359" s="727"/>
      <c r="AU359" s="727"/>
      <c r="AV359" s="727"/>
      <c r="AW359" s="727"/>
      <c r="AX359" s="727"/>
      <c r="AY359" s="727"/>
      <c r="AZ359" s="728"/>
      <c r="BB359" s="635"/>
      <c r="BC359" s="636"/>
      <c r="BD359" s="636"/>
      <c r="BE359" s="636"/>
      <c r="BF359" s="636"/>
      <c r="BG359" s="636"/>
      <c r="BH359" s="1036"/>
      <c r="BI359" s="753"/>
      <c r="BJ359" s="754"/>
      <c r="BK359" s="754"/>
      <c r="BL359" s="754"/>
      <c r="BM359" s="754"/>
      <c r="BN359" s="754"/>
      <c r="BO359" s="754"/>
      <c r="BP359" s="754"/>
      <c r="BQ359" s="754"/>
      <c r="BR359" s="754"/>
      <c r="BS359" s="754"/>
      <c r="BT359" s="754"/>
      <c r="BU359" s="754"/>
      <c r="BV359" s="754"/>
      <c r="BW359" s="754"/>
      <c r="BX359" s="754"/>
      <c r="BY359" s="754"/>
      <c r="BZ359" s="755"/>
      <c r="CB359" s="635"/>
      <c r="CC359" s="636"/>
      <c r="CD359" s="636"/>
      <c r="CE359" s="636"/>
      <c r="CF359" s="636"/>
      <c r="CG359" s="636"/>
      <c r="CH359" s="1036"/>
      <c r="CI359" s="753"/>
      <c r="CJ359" s="754"/>
      <c r="CK359" s="754"/>
      <c r="CL359" s="754"/>
      <c r="CM359" s="754"/>
      <c r="CN359" s="754"/>
      <c r="CO359" s="754"/>
      <c r="CP359" s="754"/>
      <c r="CQ359" s="754"/>
      <c r="CR359" s="754"/>
      <c r="CS359" s="754"/>
      <c r="CT359" s="754"/>
      <c r="CU359" s="754"/>
      <c r="CV359" s="754"/>
      <c r="CW359" s="754"/>
      <c r="CX359" s="754"/>
      <c r="CY359" s="754"/>
      <c r="CZ359" s="755"/>
    </row>
    <row r="360" spans="1:104" ht="15" customHeight="1" thickBot="1" x14ac:dyDescent="0.3">
      <c r="B360" s="1027"/>
      <c r="C360" s="865"/>
      <c r="D360" s="865"/>
      <c r="E360" s="865"/>
      <c r="F360" s="865"/>
      <c r="G360" s="865"/>
      <c r="H360" s="865"/>
      <c r="I360" s="865"/>
      <c r="J360" s="865"/>
      <c r="K360" s="865"/>
      <c r="L360" s="865"/>
      <c r="M360" s="865"/>
      <c r="N360" s="865"/>
      <c r="O360" s="865"/>
      <c r="P360" s="865"/>
      <c r="Q360" s="865"/>
      <c r="R360" s="865"/>
      <c r="S360" s="865"/>
      <c r="T360" s="865"/>
      <c r="U360" s="865"/>
      <c r="V360" s="865"/>
      <c r="W360" s="865"/>
      <c r="X360" s="865"/>
      <c r="Y360" s="865"/>
      <c r="Z360" s="921"/>
      <c r="AB360" s="1027"/>
      <c r="AC360" s="865"/>
      <c r="AD360" s="865"/>
      <c r="AE360" s="865"/>
      <c r="AF360" s="865"/>
      <c r="AG360" s="865"/>
      <c r="AH360" s="865"/>
      <c r="AI360" s="865"/>
      <c r="AJ360" s="865"/>
      <c r="AK360" s="865"/>
      <c r="AL360" s="865"/>
      <c r="AM360" s="865"/>
      <c r="AN360" s="865"/>
      <c r="AO360" s="865"/>
      <c r="AP360" s="865"/>
      <c r="AQ360" s="865"/>
      <c r="AR360" s="865"/>
      <c r="AS360" s="865"/>
      <c r="AT360" s="865"/>
      <c r="AU360" s="865"/>
      <c r="AV360" s="865"/>
      <c r="AW360" s="865"/>
      <c r="AX360" s="865"/>
      <c r="AY360" s="865"/>
      <c r="AZ360" s="921"/>
      <c r="BB360" s="644"/>
      <c r="BC360" s="645"/>
      <c r="BD360" s="645"/>
      <c r="BE360" s="645"/>
      <c r="BF360" s="645"/>
      <c r="BG360" s="645"/>
      <c r="BH360" s="1037"/>
      <c r="BI360" s="756"/>
      <c r="BJ360" s="757"/>
      <c r="BK360" s="757"/>
      <c r="BL360" s="757"/>
      <c r="BM360" s="757"/>
      <c r="BN360" s="757"/>
      <c r="BO360" s="757"/>
      <c r="BP360" s="757"/>
      <c r="BQ360" s="757"/>
      <c r="BR360" s="757"/>
      <c r="BS360" s="757"/>
      <c r="BT360" s="757"/>
      <c r="BU360" s="757"/>
      <c r="BV360" s="757"/>
      <c r="BW360" s="757"/>
      <c r="BX360" s="757"/>
      <c r="BY360" s="757"/>
      <c r="BZ360" s="758"/>
      <c r="CB360" s="644"/>
      <c r="CC360" s="645"/>
      <c r="CD360" s="645"/>
      <c r="CE360" s="645"/>
      <c r="CF360" s="645"/>
      <c r="CG360" s="645"/>
      <c r="CH360" s="1037"/>
      <c r="CI360" s="756"/>
      <c r="CJ360" s="757"/>
      <c r="CK360" s="757"/>
      <c r="CL360" s="757"/>
      <c r="CM360" s="757"/>
      <c r="CN360" s="757"/>
      <c r="CO360" s="757"/>
      <c r="CP360" s="757"/>
      <c r="CQ360" s="757"/>
      <c r="CR360" s="757"/>
      <c r="CS360" s="757"/>
      <c r="CT360" s="757"/>
      <c r="CU360" s="757"/>
      <c r="CV360" s="757"/>
      <c r="CW360" s="757"/>
      <c r="CX360" s="757"/>
      <c r="CY360" s="757"/>
      <c r="CZ360" s="758"/>
    </row>
    <row r="361" spans="1:104" ht="15" customHeight="1" x14ac:dyDescent="0.25">
      <c r="B361" s="1028" t="str">
        <f>IF(B362="","",VLOOKUP(B362,BoonRef!$A$2:$Z$900,2,FALSE))</f>
        <v/>
      </c>
      <c r="C361" s="725"/>
      <c r="D361" s="725"/>
      <c r="E361" s="725"/>
      <c r="F361" s="725"/>
      <c r="G361" s="725"/>
      <c r="H361" s="725"/>
      <c r="I361" s="725" t="str">
        <f>IF(B362="","",VLOOKUP(B362,BoonRef!$A$2:$Z$900,3,FALSE))</f>
        <v/>
      </c>
      <c r="J361" s="725"/>
      <c r="K361" s="725" t="str">
        <f>IF(B362="","",VLOOKUP(B362,DescRef!$A$2:$B$900,2,FALSE))</f>
        <v/>
      </c>
      <c r="L361" s="725"/>
      <c r="M361" s="725"/>
      <c r="N361" s="725"/>
      <c r="O361" s="725"/>
      <c r="P361" s="725"/>
      <c r="Q361" s="725"/>
      <c r="R361" s="725"/>
      <c r="S361" s="725"/>
      <c r="T361" s="725"/>
      <c r="U361" s="725"/>
      <c r="V361" s="725"/>
      <c r="W361" s="725"/>
      <c r="X361" s="725"/>
      <c r="Y361" s="725"/>
      <c r="Z361" s="726"/>
      <c r="AB361" s="1028" t="str">
        <f>IF(AB362="","",VLOOKUP(AB362,BoonRef!$A$2:$Z$900,2,FALSE))</f>
        <v/>
      </c>
      <c r="AC361" s="725"/>
      <c r="AD361" s="725"/>
      <c r="AE361" s="725"/>
      <c r="AF361" s="725"/>
      <c r="AG361" s="725"/>
      <c r="AH361" s="725"/>
      <c r="AI361" s="725" t="str">
        <f>IF(AB362="","",VLOOKUP(AB362,BoonRef!$A$2:$Z$900,3,FALSE))</f>
        <v/>
      </c>
      <c r="AJ361" s="725"/>
      <c r="AK361" s="725" t="str">
        <f>IF(AB362="","",VLOOKUP(AB362,DescRef!$A$2:$B$900,2,FALSE))</f>
        <v/>
      </c>
      <c r="AL361" s="725"/>
      <c r="AM361" s="725"/>
      <c r="AN361" s="725"/>
      <c r="AO361" s="725"/>
      <c r="AP361" s="725"/>
      <c r="AQ361" s="725"/>
      <c r="AR361" s="725"/>
      <c r="AS361" s="725"/>
      <c r="AT361" s="725"/>
      <c r="AU361" s="725"/>
      <c r="AV361" s="725"/>
      <c r="AW361" s="725"/>
      <c r="AX361" s="725"/>
      <c r="AY361" s="725"/>
      <c r="AZ361" s="726"/>
      <c r="BB361" s="1029" t="str">
        <f>IF(BB362="","",VLOOKUP(BB362,KanckRef!$A$1:$G$300,2,FALSE))</f>
        <v/>
      </c>
      <c r="BC361" s="1030"/>
      <c r="BD361" s="1030"/>
      <c r="BE361" s="1030"/>
      <c r="BF361" s="1031"/>
      <c r="BG361" s="1048" t="str">
        <f>IF(BB362="","",VLOOKUP(BB362,KanckRef!$A$1:$G$300,6,FALSE))</f>
        <v/>
      </c>
      <c r="BH361" s="1049"/>
      <c r="BI361" s="988" t="str">
        <f>IF(BB362="","",VLOOKUP(BB362,DescRef!$D$2:$E$300,2,FALSE))</f>
        <v/>
      </c>
      <c r="BJ361" s="795"/>
      <c r="BK361" s="795"/>
      <c r="BL361" s="795"/>
      <c r="BM361" s="795"/>
      <c r="BN361" s="795"/>
      <c r="BO361" s="795"/>
      <c r="BP361" s="795"/>
      <c r="BQ361" s="795"/>
      <c r="BR361" s="795"/>
      <c r="BS361" s="795"/>
      <c r="BT361" s="795"/>
      <c r="BU361" s="795"/>
      <c r="BV361" s="795"/>
      <c r="BW361" s="795"/>
      <c r="BX361" s="795"/>
      <c r="BY361" s="795"/>
      <c r="BZ361" s="796"/>
      <c r="CB361" s="1029" t="str">
        <f>IF(CB362="","",VLOOKUP(CB362,KanckRef!$A$1:$G$300,2,FALSE))</f>
        <v/>
      </c>
      <c r="CC361" s="1030"/>
      <c r="CD361" s="1030"/>
      <c r="CE361" s="1030"/>
      <c r="CF361" s="1031"/>
      <c r="CG361" s="1048" t="str">
        <f>IF(CB362="","",VLOOKUP(CB362,KanckRef!$A$1:$G$300,6,FALSE))</f>
        <v/>
      </c>
      <c r="CH361" s="1049"/>
      <c r="CI361" s="988" t="str">
        <f>IF(CB362="","",VLOOKUP(CB362,DescRef!$D$2:$E$300,2,FALSE))</f>
        <v/>
      </c>
      <c r="CJ361" s="795"/>
      <c r="CK361" s="795"/>
      <c r="CL361" s="795"/>
      <c r="CM361" s="795"/>
      <c r="CN361" s="795"/>
      <c r="CO361" s="795"/>
      <c r="CP361" s="795"/>
      <c r="CQ361" s="795"/>
      <c r="CR361" s="795"/>
      <c r="CS361" s="795"/>
      <c r="CT361" s="795"/>
      <c r="CU361" s="795"/>
      <c r="CV361" s="795"/>
      <c r="CW361" s="795"/>
      <c r="CX361" s="795"/>
      <c r="CY361" s="795"/>
      <c r="CZ361" s="796"/>
    </row>
    <row r="362" spans="1:104" ht="15" customHeight="1" x14ac:dyDescent="0.25">
      <c r="A362" s="15">
        <v>60</v>
      </c>
      <c r="B362" s="1026" t="str">
        <f>IF(A362&lt;'Purchased Boons'!$B$496,VLOOKUP(A362,'Purchased Boons'!$BF$2:$BG$900,2,FALSE),"")</f>
        <v/>
      </c>
      <c r="C362" s="727"/>
      <c r="D362" s="727"/>
      <c r="E362" s="727"/>
      <c r="F362" s="727"/>
      <c r="G362" s="727"/>
      <c r="H362" s="727"/>
      <c r="I362" s="727" t="str">
        <f>IF(B362="","",VLOOKUP(B362,BoonRef!$A$2:$Z$900,25,FALSE))</f>
        <v/>
      </c>
      <c r="J362" s="727"/>
      <c r="K362" s="727"/>
      <c r="L362" s="727"/>
      <c r="M362" s="727"/>
      <c r="N362" s="727"/>
      <c r="O362" s="727"/>
      <c r="P362" s="727"/>
      <c r="Q362" s="727"/>
      <c r="R362" s="727"/>
      <c r="S362" s="727"/>
      <c r="T362" s="727"/>
      <c r="U362" s="727"/>
      <c r="V362" s="727"/>
      <c r="W362" s="727"/>
      <c r="X362" s="727"/>
      <c r="Y362" s="727"/>
      <c r="Z362" s="728"/>
      <c r="AA362" s="15">
        <v>167</v>
      </c>
      <c r="AB362" s="1026" t="str">
        <f>IF(AA362&lt;'Purchased Boons'!$B$496,VLOOKUP(AA362,'Purchased Boons'!$BF$2:$BG$900,2,FALSE),"")</f>
        <v/>
      </c>
      <c r="AC362" s="727"/>
      <c r="AD362" s="727"/>
      <c r="AE362" s="727"/>
      <c r="AF362" s="727"/>
      <c r="AG362" s="727"/>
      <c r="AH362" s="727"/>
      <c r="AI362" s="727" t="str">
        <f>IF(AB362="","",VLOOKUP(AB362,BoonRef!$A$2:$Z$900,25,FALSE))</f>
        <v/>
      </c>
      <c r="AJ362" s="727"/>
      <c r="AK362" s="727"/>
      <c r="AL362" s="727"/>
      <c r="AM362" s="727"/>
      <c r="AN362" s="727"/>
      <c r="AO362" s="727"/>
      <c r="AP362" s="727"/>
      <c r="AQ362" s="727"/>
      <c r="AR362" s="727"/>
      <c r="AS362" s="727"/>
      <c r="AT362" s="727"/>
      <c r="AU362" s="727"/>
      <c r="AV362" s="727"/>
      <c r="AW362" s="727"/>
      <c r="AX362" s="727"/>
      <c r="AY362" s="727"/>
      <c r="AZ362" s="728"/>
      <c r="BA362" s="15">
        <v>60</v>
      </c>
      <c r="BB362" s="1038" t="str">
        <f>IF(BA362&lt;'Purchased Knacks'!A$192,VLOOKUP(BA362,'Purchased Knacks'!$A$4:$E$300,3,FALSE),"")</f>
        <v/>
      </c>
      <c r="BC362" s="1039"/>
      <c r="BD362" s="1039"/>
      <c r="BE362" s="1039"/>
      <c r="BF362" s="1040"/>
      <c r="BG362" s="1032" t="str">
        <f>IF(BB362="","",VLOOKUP(BB362,KanckRef!$A$1:$G$300,7,FALSE))</f>
        <v/>
      </c>
      <c r="BH362" s="1033"/>
      <c r="BI362" s="753"/>
      <c r="BJ362" s="754"/>
      <c r="BK362" s="754"/>
      <c r="BL362" s="754"/>
      <c r="BM362" s="754"/>
      <c r="BN362" s="754"/>
      <c r="BO362" s="754"/>
      <c r="BP362" s="754"/>
      <c r="BQ362" s="754"/>
      <c r="BR362" s="754"/>
      <c r="BS362" s="754"/>
      <c r="BT362" s="754"/>
      <c r="BU362" s="754"/>
      <c r="BV362" s="754"/>
      <c r="BW362" s="754"/>
      <c r="BX362" s="754"/>
      <c r="BY362" s="754"/>
      <c r="BZ362" s="755"/>
      <c r="CA362" s="15">
        <v>167</v>
      </c>
      <c r="CB362" s="1038" t="str">
        <f>IF(CA362&lt;'Purchased Knacks'!A$192,VLOOKUP(CA362,'Purchased Knacks'!$A$4:$E$300,3,FALSE),"")</f>
        <v/>
      </c>
      <c r="CC362" s="1039"/>
      <c r="CD362" s="1039"/>
      <c r="CE362" s="1039"/>
      <c r="CF362" s="1040"/>
      <c r="CG362" s="1032" t="str">
        <f>IF(CB362="","",VLOOKUP(CB362,KanckRef!$A$1:$G$300,7,FALSE))</f>
        <v/>
      </c>
      <c r="CH362" s="1033"/>
      <c r="CI362" s="753"/>
      <c r="CJ362" s="754"/>
      <c r="CK362" s="754"/>
      <c r="CL362" s="754"/>
      <c r="CM362" s="754"/>
      <c r="CN362" s="754"/>
      <c r="CO362" s="754"/>
      <c r="CP362" s="754"/>
      <c r="CQ362" s="754"/>
      <c r="CR362" s="754"/>
      <c r="CS362" s="754"/>
      <c r="CT362" s="754"/>
      <c r="CU362" s="754"/>
      <c r="CV362" s="754"/>
      <c r="CW362" s="754"/>
      <c r="CX362" s="754"/>
      <c r="CY362" s="754"/>
      <c r="CZ362" s="755"/>
    </row>
    <row r="363" spans="1:104" x14ac:dyDescent="0.25">
      <c r="B363" s="1026"/>
      <c r="C363" s="727"/>
      <c r="D363" s="727"/>
      <c r="E363" s="727"/>
      <c r="F363" s="727"/>
      <c r="G363" s="727"/>
      <c r="H363" s="727"/>
      <c r="I363" s="727" t="str">
        <f>IF(B362="","",VLOOKUP(B362,BoonRef!$A$2:$Z$900,26,FALSE))</f>
        <v/>
      </c>
      <c r="J363" s="727"/>
      <c r="K363" s="727"/>
      <c r="L363" s="727"/>
      <c r="M363" s="727"/>
      <c r="N363" s="727"/>
      <c r="O363" s="727"/>
      <c r="P363" s="727"/>
      <c r="Q363" s="727"/>
      <c r="R363" s="727"/>
      <c r="S363" s="727"/>
      <c r="T363" s="727"/>
      <c r="U363" s="727"/>
      <c r="V363" s="727"/>
      <c r="W363" s="727"/>
      <c r="X363" s="727"/>
      <c r="Y363" s="727"/>
      <c r="Z363" s="728"/>
      <c r="AB363" s="1026"/>
      <c r="AC363" s="727"/>
      <c r="AD363" s="727"/>
      <c r="AE363" s="727"/>
      <c r="AF363" s="727"/>
      <c r="AG363" s="727"/>
      <c r="AH363" s="727"/>
      <c r="AI363" s="727" t="str">
        <f>IF(AB362="","",VLOOKUP(AB362,BoonRef!$A$2:$Z$900,26,FALSE))</f>
        <v/>
      </c>
      <c r="AJ363" s="727"/>
      <c r="AK363" s="727"/>
      <c r="AL363" s="727"/>
      <c r="AM363" s="727"/>
      <c r="AN363" s="727"/>
      <c r="AO363" s="727"/>
      <c r="AP363" s="727"/>
      <c r="AQ363" s="727"/>
      <c r="AR363" s="727"/>
      <c r="AS363" s="727"/>
      <c r="AT363" s="727"/>
      <c r="AU363" s="727"/>
      <c r="AV363" s="727"/>
      <c r="AW363" s="727"/>
      <c r="AX363" s="727"/>
      <c r="AY363" s="727"/>
      <c r="AZ363" s="728"/>
      <c r="BB363" s="1041"/>
      <c r="BC363" s="1042"/>
      <c r="BD363" s="1042"/>
      <c r="BE363" s="1042"/>
      <c r="BF363" s="1043"/>
      <c r="BG363" s="1034"/>
      <c r="BH363" s="1035"/>
      <c r="BI363" s="753"/>
      <c r="BJ363" s="754"/>
      <c r="BK363" s="754"/>
      <c r="BL363" s="754"/>
      <c r="BM363" s="754"/>
      <c r="BN363" s="754"/>
      <c r="BO363" s="754"/>
      <c r="BP363" s="754"/>
      <c r="BQ363" s="754"/>
      <c r="BR363" s="754"/>
      <c r="BS363" s="754"/>
      <c r="BT363" s="754"/>
      <c r="BU363" s="754"/>
      <c r="BV363" s="754"/>
      <c r="BW363" s="754"/>
      <c r="BX363" s="754"/>
      <c r="BY363" s="754"/>
      <c r="BZ363" s="755"/>
      <c r="CB363" s="1041"/>
      <c r="CC363" s="1042"/>
      <c r="CD363" s="1042"/>
      <c r="CE363" s="1042"/>
      <c r="CF363" s="1043"/>
      <c r="CG363" s="1034"/>
      <c r="CH363" s="1035"/>
      <c r="CI363" s="753"/>
      <c r="CJ363" s="754"/>
      <c r="CK363" s="754"/>
      <c r="CL363" s="754"/>
      <c r="CM363" s="754"/>
      <c r="CN363" s="754"/>
      <c r="CO363" s="754"/>
      <c r="CP363" s="754"/>
      <c r="CQ363" s="754"/>
      <c r="CR363" s="754"/>
      <c r="CS363" s="754"/>
      <c r="CT363" s="754"/>
      <c r="CU363" s="754"/>
      <c r="CV363" s="754"/>
      <c r="CW363" s="754"/>
      <c r="CX363" s="754"/>
      <c r="CY363" s="754"/>
      <c r="CZ363" s="755"/>
    </row>
    <row r="364" spans="1:104" x14ac:dyDescent="0.25">
      <c r="B364" s="1026" t="str">
        <f>IF(B362="","",VLOOKUP(B362,BoonRef!$A$2:$Z$900,24,FALSE))</f>
        <v/>
      </c>
      <c r="C364" s="727"/>
      <c r="D364" s="727"/>
      <c r="E364" s="727"/>
      <c r="F364" s="727"/>
      <c r="G364" s="727"/>
      <c r="H364" s="727"/>
      <c r="I364" s="727"/>
      <c r="J364" s="727"/>
      <c r="K364" s="727"/>
      <c r="L364" s="727"/>
      <c r="M364" s="727"/>
      <c r="N364" s="727"/>
      <c r="O364" s="727"/>
      <c r="P364" s="727"/>
      <c r="Q364" s="727"/>
      <c r="R364" s="727"/>
      <c r="S364" s="727"/>
      <c r="T364" s="727"/>
      <c r="U364" s="727"/>
      <c r="V364" s="727"/>
      <c r="W364" s="727"/>
      <c r="X364" s="727"/>
      <c r="Y364" s="727"/>
      <c r="Z364" s="728"/>
      <c r="AB364" s="1026" t="str">
        <f>IF(AB362="","",VLOOKUP(AB362,BoonRef!$A$2:$Z$900,24,FALSE))</f>
        <v/>
      </c>
      <c r="AC364" s="727"/>
      <c r="AD364" s="727"/>
      <c r="AE364" s="727"/>
      <c r="AF364" s="727"/>
      <c r="AG364" s="727"/>
      <c r="AH364" s="727"/>
      <c r="AI364" s="727"/>
      <c r="AJ364" s="727"/>
      <c r="AK364" s="727"/>
      <c r="AL364" s="727"/>
      <c r="AM364" s="727"/>
      <c r="AN364" s="727"/>
      <c r="AO364" s="727"/>
      <c r="AP364" s="727"/>
      <c r="AQ364" s="727"/>
      <c r="AR364" s="727"/>
      <c r="AS364" s="727"/>
      <c r="AT364" s="727"/>
      <c r="AU364" s="727"/>
      <c r="AV364" s="727"/>
      <c r="AW364" s="727"/>
      <c r="AX364" s="727"/>
      <c r="AY364" s="727"/>
      <c r="AZ364" s="728"/>
      <c r="BB364" s="641" t="str">
        <f>IF(BB362="","",VLOOKUP(BB362,KanckRef!$A$1:$G$300,4,FALSE))</f>
        <v/>
      </c>
      <c r="BC364" s="642"/>
      <c r="BD364" s="642"/>
      <c r="BE364" s="642"/>
      <c r="BF364" s="642"/>
      <c r="BG364" s="642"/>
      <c r="BH364" s="1033"/>
      <c r="BI364" s="753"/>
      <c r="BJ364" s="754"/>
      <c r="BK364" s="754"/>
      <c r="BL364" s="754"/>
      <c r="BM364" s="754"/>
      <c r="BN364" s="754"/>
      <c r="BO364" s="754"/>
      <c r="BP364" s="754"/>
      <c r="BQ364" s="754"/>
      <c r="BR364" s="754"/>
      <c r="BS364" s="754"/>
      <c r="BT364" s="754"/>
      <c r="BU364" s="754"/>
      <c r="BV364" s="754"/>
      <c r="BW364" s="754"/>
      <c r="BX364" s="754"/>
      <c r="BY364" s="754"/>
      <c r="BZ364" s="755"/>
      <c r="CB364" s="641" t="str">
        <f>IF(CB362="","",VLOOKUP(CB362,KanckRef!$A$1:$G$300,4,FALSE))</f>
        <v/>
      </c>
      <c r="CC364" s="642"/>
      <c r="CD364" s="642"/>
      <c r="CE364" s="642"/>
      <c r="CF364" s="642"/>
      <c r="CG364" s="642"/>
      <c r="CH364" s="1033"/>
      <c r="CI364" s="753"/>
      <c r="CJ364" s="754"/>
      <c r="CK364" s="754"/>
      <c r="CL364" s="754"/>
      <c r="CM364" s="754"/>
      <c r="CN364" s="754"/>
      <c r="CO364" s="754"/>
      <c r="CP364" s="754"/>
      <c r="CQ364" s="754"/>
      <c r="CR364" s="754"/>
      <c r="CS364" s="754"/>
      <c r="CT364" s="754"/>
      <c r="CU364" s="754"/>
      <c r="CV364" s="754"/>
      <c r="CW364" s="754"/>
      <c r="CX364" s="754"/>
      <c r="CY364" s="754"/>
      <c r="CZ364" s="755"/>
    </row>
    <row r="365" spans="1:104" ht="15" customHeight="1" x14ac:dyDescent="0.25">
      <c r="B365" s="1026" t="str">
        <f>IF(B362="","",VLOOKUP(B362,BoonRef!$A$2:$Z$900,23,FALSE))</f>
        <v/>
      </c>
      <c r="C365" s="727"/>
      <c r="D365" s="727"/>
      <c r="E365" s="727"/>
      <c r="F365" s="727"/>
      <c r="G365" s="727"/>
      <c r="H365" s="727"/>
      <c r="I365" s="727"/>
      <c r="J365" s="727"/>
      <c r="K365" s="727"/>
      <c r="L365" s="727"/>
      <c r="M365" s="727"/>
      <c r="N365" s="727"/>
      <c r="O365" s="727"/>
      <c r="P365" s="727"/>
      <c r="Q365" s="727"/>
      <c r="R365" s="727"/>
      <c r="S365" s="727"/>
      <c r="T365" s="727"/>
      <c r="U365" s="727"/>
      <c r="V365" s="727"/>
      <c r="W365" s="727"/>
      <c r="X365" s="727"/>
      <c r="Y365" s="727"/>
      <c r="Z365" s="728"/>
      <c r="AB365" s="1026" t="str">
        <f>IF(AB362="","",VLOOKUP(AB362,BoonRef!$A$2:$Z$900,23,FALSE))</f>
        <v/>
      </c>
      <c r="AC365" s="727"/>
      <c r="AD365" s="727"/>
      <c r="AE365" s="727"/>
      <c r="AF365" s="727"/>
      <c r="AG365" s="727"/>
      <c r="AH365" s="727"/>
      <c r="AI365" s="727"/>
      <c r="AJ365" s="727"/>
      <c r="AK365" s="727"/>
      <c r="AL365" s="727"/>
      <c r="AM365" s="727"/>
      <c r="AN365" s="727"/>
      <c r="AO365" s="727"/>
      <c r="AP365" s="727"/>
      <c r="AQ365" s="727"/>
      <c r="AR365" s="727"/>
      <c r="AS365" s="727"/>
      <c r="AT365" s="727"/>
      <c r="AU365" s="727"/>
      <c r="AV365" s="727"/>
      <c r="AW365" s="727"/>
      <c r="AX365" s="727"/>
      <c r="AY365" s="727"/>
      <c r="AZ365" s="728"/>
      <c r="BB365" s="635"/>
      <c r="BC365" s="636"/>
      <c r="BD365" s="636"/>
      <c r="BE365" s="636"/>
      <c r="BF365" s="636"/>
      <c r="BG365" s="636"/>
      <c r="BH365" s="1036"/>
      <c r="BI365" s="753"/>
      <c r="BJ365" s="754"/>
      <c r="BK365" s="754"/>
      <c r="BL365" s="754"/>
      <c r="BM365" s="754"/>
      <c r="BN365" s="754"/>
      <c r="BO365" s="754"/>
      <c r="BP365" s="754"/>
      <c r="BQ365" s="754"/>
      <c r="BR365" s="754"/>
      <c r="BS365" s="754"/>
      <c r="BT365" s="754"/>
      <c r="BU365" s="754"/>
      <c r="BV365" s="754"/>
      <c r="BW365" s="754"/>
      <c r="BX365" s="754"/>
      <c r="BY365" s="754"/>
      <c r="BZ365" s="755"/>
      <c r="CB365" s="635"/>
      <c r="CC365" s="636"/>
      <c r="CD365" s="636"/>
      <c r="CE365" s="636"/>
      <c r="CF365" s="636"/>
      <c r="CG365" s="636"/>
      <c r="CH365" s="1036"/>
      <c r="CI365" s="753"/>
      <c r="CJ365" s="754"/>
      <c r="CK365" s="754"/>
      <c r="CL365" s="754"/>
      <c r="CM365" s="754"/>
      <c r="CN365" s="754"/>
      <c r="CO365" s="754"/>
      <c r="CP365" s="754"/>
      <c r="CQ365" s="754"/>
      <c r="CR365" s="754"/>
      <c r="CS365" s="754"/>
      <c r="CT365" s="754"/>
      <c r="CU365" s="754"/>
      <c r="CV365" s="754"/>
      <c r="CW365" s="754"/>
      <c r="CX365" s="754"/>
      <c r="CY365" s="754"/>
      <c r="CZ365" s="755"/>
    </row>
    <row r="366" spans="1:104" ht="15" customHeight="1" thickBot="1" x14ac:dyDescent="0.3">
      <c r="B366" s="1027"/>
      <c r="C366" s="865"/>
      <c r="D366" s="865"/>
      <c r="E366" s="865"/>
      <c r="F366" s="865"/>
      <c r="G366" s="865"/>
      <c r="H366" s="865"/>
      <c r="I366" s="865"/>
      <c r="J366" s="865"/>
      <c r="K366" s="865"/>
      <c r="L366" s="865"/>
      <c r="M366" s="865"/>
      <c r="N366" s="865"/>
      <c r="O366" s="865"/>
      <c r="P366" s="865"/>
      <c r="Q366" s="865"/>
      <c r="R366" s="865"/>
      <c r="S366" s="865"/>
      <c r="T366" s="865"/>
      <c r="U366" s="865"/>
      <c r="V366" s="865"/>
      <c r="W366" s="865"/>
      <c r="X366" s="865"/>
      <c r="Y366" s="865"/>
      <c r="Z366" s="921"/>
      <c r="AB366" s="1027"/>
      <c r="AC366" s="865"/>
      <c r="AD366" s="865"/>
      <c r="AE366" s="865"/>
      <c r="AF366" s="865"/>
      <c r="AG366" s="865"/>
      <c r="AH366" s="865"/>
      <c r="AI366" s="865"/>
      <c r="AJ366" s="865"/>
      <c r="AK366" s="865"/>
      <c r="AL366" s="865"/>
      <c r="AM366" s="865"/>
      <c r="AN366" s="865"/>
      <c r="AO366" s="865"/>
      <c r="AP366" s="865"/>
      <c r="AQ366" s="865"/>
      <c r="AR366" s="865"/>
      <c r="AS366" s="865"/>
      <c r="AT366" s="865"/>
      <c r="AU366" s="865"/>
      <c r="AV366" s="865"/>
      <c r="AW366" s="865"/>
      <c r="AX366" s="865"/>
      <c r="AY366" s="865"/>
      <c r="AZ366" s="921"/>
      <c r="BB366" s="644"/>
      <c r="BC366" s="645"/>
      <c r="BD366" s="645"/>
      <c r="BE366" s="645"/>
      <c r="BF366" s="645"/>
      <c r="BG366" s="645"/>
      <c r="BH366" s="1037"/>
      <c r="BI366" s="756"/>
      <c r="BJ366" s="757"/>
      <c r="BK366" s="757"/>
      <c r="BL366" s="757"/>
      <c r="BM366" s="757"/>
      <c r="BN366" s="757"/>
      <c r="BO366" s="757"/>
      <c r="BP366" s="757"/>
      <c r="BQ366" s="757"/>
      <c r="BR366" s="757"/>
      <c r="BS366" s="757"/>
      <c r="BT366" s="757"/>
      <c r="BU366" s="757"/>
      <c r="BV366" s="757"/>
      <c r="BW366" s="757"/>
      <c r="BX366" s="757"/>
      <c r="BY366" s="757"/>
      <c r="BZ366" s="758"/>
      <c r="CB366" s="644"/>
      <c r="CC366" s="645"/>
      <c r="CD366" s="645"/>
      <c r="CE366" s="645"/>
      <c r="CF366" s="645"/>
      <c r="CG366" s="645"/>
      <c r="CH366" s="1037"/>
      <c r="CI366" s="756"/>
      <c r="CJ366" s="757"/>
      <c r="CK366" s="757"/>
      <c r="CL366" s="757"/>
      <c r="CM366" s="757"/>
      <c r="CN366" s="757"/>
      <c r="CO366" s="757"/>
      <c r="CP366" s="757"/>
      <c r="CQ366" s="757"/>
      <c r="CR366" s="757"/>
      <c r="CS366" s="757"/>
      <c r="CT366" s="757"/>
      <c r="CU366" s="757"/>
      <c r="CV366" s="757"/>
      <c r="CW366" s="757"/>
      <c r="CX366" s="757"/>
      <c r="CY366" s="757"/>
      <c r="CZ366" s="758"/>
    </row>
    <row r="367" spans="1:104" x14ac:dyDescent="0.25">
      <c r="B367" s="1028" t="str">
        <f>IF(B368="","",VLOOKUP(B368,BoonRef!$A$2:$Z$900,2,FALSE))</f>
        <v/>
      </c>
      <c r="C367" s="725"/>
      <c r="D367" s="725"/>
      <c r="E367" s="725"/>
      <c r="F367" s="725"/>
      <c r="G367" s="725"/>
      <c r="H367" s="725"/>
      <c r="I367" s="725" t="str">
        <f>IF(B368="","",VLOOKUP(B368,BoonRef!$A$2:$Z$900,3,FALSE))</f>
        <v/>
      </c>
      <c r="J367" s="725"/>
      <c r="K367" s="725" t="str">
        <f>IF(B368="","",VLOOKUP(B368,DescRef!$A$2:$B$900,2,FALSE))</f>
        <v/>
      </c>
      <c r="L367" s="725"/>
      <c r="M367" s="725"/>
      <c r="N367" s="725"/>
      <c r="O367" s="725"/>
      <c r="P367" s="725"/>
      <c r="Q367" s="725"/>
      <c r="R367" s="725"/>
      <c r="S367" s="725"/>
      <c r="T367" s="725"/>
      <c r="U367" s="725"/>
      <c r="V367" s="725"/>
      <c r="W367" s="725"/>
      <c r="X367" s="725"/>
      <c r="Y367" s="725"/>
      <c r="Z367" s="726"/>
      <c r="AB367" s="1028" t="str">
        <f>IF(AB368="","",VLOOKUP(AB368,BoonRef!$A$2:$Z$900,2,FALSE))</f>
        <v/>
      </c>
      <c r="AC367" s="725"/>
      <c r="AD367" s="725"/>
      <c r="AE367" s="725"/>
      <c r="AF367" s="725"/>
      <c r="AG367" s="725"/>
      <c r="AH367" s="725"/>
      <c r="AI367" s="725" t="str">
        <f>IF(AB368="","",VLOOKUP(AB368,BoonRef!$A$2:$Z$900,3,FALSE))</f>
        <v/>
      </c>
      <c r="AJ367" s="725"/>
      <c r="AK367" s="725" t="str">
        <f>IF(AB368="","",VLOOKUP(AB368,DescRef!$A$2:$B$900,2,FALSE))</f>
        <v/>
      </c>
      <c r="AL367" s="725"/>
      <c r="AM367" s="725"/>
      <c r="AN367" s="725"/>
      <c r="AO367" s="725"/>
      <c r="AP367" s="725"/>
      <c r="AQ367" s="725"/>
      <c r="AR367" s="725"/>
      <c r="AS367" s="725"/>
      <c r="AT367" s="725"/>
      <c r="AU367" s="725"/>
      <c r="AV367" s="725"/>
      <c r="AW367" s="725"/>
      <c r="AX367" s="725"/>
      <c r="AY367" s="725"/>
      <c r="AZ367" s="726"/>
      <c r="BB367" s="1029" t="str">
        <f>IF(BB368="","",VLOOKUP(BB368,KanckRef!$A$1:$G$300,2,FALSE))</f>
        <v/>
      </c>
      <c r="BC367" s="1030"/>
      <c r="BD367" s="1030"/>
      <c r="BE367" s="1030"/>
      <c r="BF367" s="1031"/>
      <c r="BG367" s="1048" t="str">
        <f>IF(BB368="","",VLOOKUP(BB368,KanckRef!$A$1:$G$300,6,FALSE))</f>
        <v/>
      </c>
      <c r="BH367" s="1049"/>
      <c r="BI367" s="988" t="str">
        <f>IF(BB368="","",VLOOKUP(BB368,DescRef!$D$2:$E$300,2,FALSE))</f>
        <v/>
      </c>
      <c r="BJ367" s="795"/>
      <c r="BK367" s="795"/>
      <c r="BL367" s="795"/>
      <c r="BM367" s="795"/>
      <c r="BN367" s="795"/>
      <c r="BO367" s="795"/>
      <c r="BP367" s="795"/>
      <c r="BQ367" s="795"/>
      <c r="BR367" s="795"/>
      <c r="BS367" s="795"/>
      <c r="BT367" s="795"/>
      <c r="BU367" s="795"/>
      <c r="BV367" s="795"/>
      <c r="BW367" s="795"/>
      <c r="BX367" s="795"/>
      <c r="BY367" s="795"/>
      <c r="BZ367" s="796"/>
      <c r="CB367" s="1029" t="str">
        <f>IF(CB368="","",VLOOKUP(CB368,KanckRef!$A$1:$G$300,2,FALSE))</f>
        <v/>
      </c>
      <c r="CC367" s="1030"/>
      <c r="CD367" s="1030"/>
      <c r="CE367" s="1030"/>
      <c r="CF367" s="1031"/>
      <c r="CG367" s="1048" t="str">
        <f>IF(CB368="","",VLOOKUP(CB368,KanckRef!$A$1:$G$300,6,FALSE))</f>
        <v/>
      </c>
      <c r="CH367" s="1049"/>
      <c r="CI367" s="988" t="str">
        <f>IF(CB368="","",VLOOKUP(CB368,DescRef!$D$2:$E$300,2,FALSE))</f>
        <v/>
      </c>
      <c r="CJ367" s="795"/>
      <c r="CK367" s="795"/>
      <c r="CL367" s="795"/>
      <c r="CM367" s="795"/>
      <c r="CN367" s="795"/>
      <c r="CO367" s="795"/>
      <c r="CP367" s="795"/>
      <c r="CQ367" s="795"/>
      <c r="CR367" s="795"/>
      <c r="CS367" s="795"/>
      <c r="CT367" s="795"/>
      <c r="CU367" s="795"/>
      <c r="CV367" s="795"/>
      <c r="CW367" s="795"/>
      <c r="CX367" s="795"/>
      <c r="CY367" s="795"/>
      <c r="CZ367" s="796"/>
    </row>
    <row r="368" spans="1:104" ht="15" customHeight="1" x14ac:dyDescent="0.25">
      <c r="A368" s="15">
        <v>61</v>
      </c>
      <c r="B368" s="1026" t="str">
        <f>IF(A368&lt;'Purchased Boons'!$B$496,VLOOKUP(A368,'Purchased Boons'!$BF$2:$BG$900,2,FALSE),"")</f>
        <v/>
      </c>
      <c r="C368" s="727"/>
      <c r="D368" s="727"/>
      <c r="E368" s="727"/>
      <c r="F368" s="727"/>
      <c r="G368" s="727"/>
      <c r="H368" s="727"/>
      <c r="I368" s="727" t="str">
        <f>IF(B368="","",VLOOKUP(B368,BoonRef!$A$2:$Z$900,25,FALSE))</f>
        <v/>
      </c>
      <c r="J368" s="727"/>
      <c r="K368" s="727"/>
      <c r="L368" s="727"/>
      <c r="M368" s="727"/>
      <c r="N368" s="727"/>
      <c r="O368" s="727"/>
      <c r="P368" s="727"/>
      <c r="Q368" s="727"/>
      <c r="R368" s="727"/>
      <c r="S368" s="727"/>
      <c r="T368" s="727"/>
      <c r="U368" s="727"/>
      <c r="V368" s="727"/>
      <c r="W368" s="727"/>
      <c r="X368" s="727"/>
      <c r="Y368" s="727"/>
      <c r="Z368" s="728"/>
      <c r="AA368" s="15">
        <v>168</v>
      </c>
      <c r="AB368" s="1026" t="str">
        <f>IF(AA368&lt;'Purchased Boons'!$B$496,VLOOKUP(AA368,'Purchased Boons'!$BF$2:$BG$900,2,FALSE),"")</f>
        <v/>
      </c>
      <c r="AC368" s="727"/>
      <c r="AD368" s="727"/>
      <c r="AE368" s="727"/>
      <c r="AF368" s="727"/>
      <c r="AG368" s="727"/>
      <c r="AH368" s="727"/>
      <c r="AI368" s="727" t="str">
        <f>IF(AB368="","",VLOOKUP(AB368,BoonRef!$A$2:$Z$900,25,FALSE))</f>
        <v/>
      </c>
      <c r="AJ368" s="727"/>
      <c r="AK368" s="727"/>
      <c r="AL368" s="727"/>
      <c r="AM368" s="727"/>
      <c r="AN368" s="727"/>
      <c r="AO368" s="727"/>
      <c r="AP368" s="727"/>
      <c r="AQ368" s="727"/>
      <c r="AR368" s="727"/>
      <c r="AS368" s="727"/>
      <c r="AT368" s="727"/>
      <c r="AU368" s="727"/>
      <c r="AV368" s="727"/>
      <c r="AW368" s="727"/>
      <c r="AX368" s="727"/>
      <c r="AY368" s="727"/>
      <c r="AZ368" s="728"/>
      <c r="BA368" s="15">
        <v>61</v>
      </c>
      <c r="BB368" s="1038" t="str">
        <f>IF(BA368&lt;'Purchased Knacks'!A$192,VLOOKUP(BA368,'Purchased Knacks'!$A$4:$E$300,3,FALSE),"")</f>
        <v/>
      </c>
      <c r="BC368" s="1039"/>
      <c r="BD368" s="1039"/>
      <c r="BE368" s="1039"/>
      <c r="BF368" s="1040"/>
      <c r="BG368" s="1032" t="str">
        <f>IF(BB368="","",VLOOKUP(BB368,KanckRef!$A$1:$G$300,7,FALSE))</f>
        <v/>
      </c>
      <c r="BH368" s="1033"/>
      <c r="BI368" s="753"/>
      <c r="BJ368" s="754"/>
      <c r="BK368" s="754"/>
      <c r="BL368" s="754"/>
      <c r="BM368" s="754"/>
      <c r="BN368" s="754"/>
      <c r="BO368" s="754"/>
      <c r="BP368" s="754"/>
      <c r="BQ368" s="754"/>
      <c r="BR368" s="754"/>
      <c r="BS368" s="754"/>
      <c r="BT368" s="754"/>
      <c r="BU368" s="754"/>
      <c r="BV368" s="754"/>
      <c r="BW368" s="754"/>
      <c r="BX368" s="754"/>
      <c r="BY368" s="754"/>
      <c r="BZ368" s="755"/>
      <c r="CA368" s="15">
        <v>168</v>
      </c>
      <c r="CB368" s="1038" t="str">
        <f>IF(CA368&lt;'Purchased Knacks'!A$192,VLOOKUP(CA368,'Purchased Knacks'!$A$4:$E$300,3,FALSE),"")</f>
        <v/>
      </c>
      <c r="CC368" s="1039"/>
      <c r="CD368" s="1039"/>
      <c r="CE368" s="1039"/>
      <c r="CF368" s="1040"/>
      <c r="CG368" s="1032" t="str">
        <f>IF(CB368="","",VLOOKUP(CB368,KanckRef!$A$1:$G$300,7,FALSE))</f>
        <v/>
      </c>
      <c r="CH368" s="1033"/>
      <c r="CI368" s="753"/>
      <c r="CJ368" s="754"/>
      <c r="CK368" s="754"/>
      <c r="CL368" s="754"/>
      <c r="CM368" s="754"/>
      <c r="CN368" s="754"/>
      <c r="CO368" s="754"/>
      <c r="CP368" s="754"/>
      <c r="CQ368" s="754"/>
      <c r="CR368" s="754"/>
      <c r="CS368" s="754"/>
      <c r="CT368" s="754"/>
      <c r="CU368" s="754"/>
      <c r="CV368" s="754"/>
      <c r="CW368" s="754"/>
      <c r="CX368" s="754"/>
      <c r="CY368" s="754"/>
      <c r="CZ368" s="755"/>
    </row>
    <row r="369" spans="1:104" x14ac:dyDescent="0.25">
      <c r="B369" s="1026"/>
      <c r="C369" s="727"/>
      <c r="D369" s="727"/>
      <c r="E369" s="727"/>
      <c r="F369" s="727"/>
      <c r="G369" s="727"/>
      <c r="H369" s="727"/>
      <c r="I369" s="727" t="str">
        <f>IF(B368="","",VLOOKUP(B368,BoonRef!$A$2:$Z$900,26,FALSE))</f>
        <v/>
      </c>
      <c r="J369" s="727"/>
      <c r="K369" s="727"/>
      <c r="L369" s="727"/>
      <c r="M369" s="727"/>
      <c r="N369" s="727"/>
      <c r="O369" s="727"/>
      <c r="P369" s="727"/>
      <c r="Q369" s="727"/>
      <c r="R369" s="727"/>
      <c r="S369" s="727"/>
      <c r="T369" s="727"/>
      <c r="U369" s="727"/>
      <c r="V369" s="727"/>
      <c r="W369" s="727"/>
      <c r="X369" s="727"/>
      <c r="Y369" s="727"/>
      <c r="Z369" s="728"/>
      <c r="AB369" s="1026"/>
      <c r="AC369" s="727"/>
      <c r="AD369" s="727"/>
      <c r="AE369" s="727"/>
      <c r="AF369" s="727"/>
      <c r="AG369" s="727"/>
      <c r="AH369" s="727"/>
      <c r="AI369" s="727" t="str">
        <f>IF(AB368="","",VLOOKUP(AB368,BoonRef!$A$2:$Z$900,26,FALSE))</f>
        <v/>
      </c>
      <c r="AJ369" s="727"/>
      <c r="AK369" s="727"/>
      <c r="AL369" s="727"/>
      <c r="AM369" s="727"/>
      <c r="AN369" s="727"/>
      <c r="AO369" s="727"/>
      <c r="AP369" s="727"/>
      <c r="AQ369" s="727"/>
      <c r="AR369" s="727"/>
      <c r="AS369" s="727"/>
      <c r="AT369" s="727"/>
      <c r="AU369" s="727"/>
      <c r="AV369" s="727"/>
      <c r="AW369" s="727"/>
      <c r="AX369" s="727"/>
      <c r="AY369" s="727"/>
      <c r="AZ369" s="728"/>
      <c r="BB369" s="1041"/>
      <c r="BC369" s="1042"/>
      <c r="BD369" s="1042"/>
      <c r="BE369" s="1042"/>
      <c r="BF369" s="1043"/>
      <c r="BG369" s="1034"/>
      <c r="BH369" s="1035"/>
      <c r="BI369" s="753"/>
      <c r="BJ369" s="754"/>
      <c r="BK369" s="754"/>
      <c r="BL369" s="754"/>
      <c r="BM369" s="754"/>
      <c r="BN369" s="754"/>
      <c r="BO369" s="754"/>
      <c r="BP369" s="754"/>
      <c r="BQ369" s="754"/>
      <c r="BR369" s="754"/>
      <c r="BS369" s="754"/>
      <c r="BT369" s="754"/>
      <c r="BU369" s="754"/>
      <c r="BV369" s="754"/>
      <c r="BW369" s="754"/>
      <c r="BX369" s="754"/>
      <c r="BY369" s="754"/>
      <c r="BZ369" s="755"/>
      <c r="CB369" s="1041"/>
      <c r="CC369" s="1042"/>
      <c r="CD369" s="1042"/>
      <c r="CE369" s="1042"/>
      <c r="CF369" s="1043"/>
      <c r="CG369" s="1034"/>
      <c r="CH369" s="1035"/>
      <c r="CI369" s="753"/>
      <c r="CJ369" s="754"/>
      <c r="CK369" s="754"/>
      <c r="CL369" s="754"/>
      <c r="CM369" s="754"/>
      <c r="CN369" s="754"/>
      <c r="CO369" s="754"/>
      <c r="CP369" s="754"/>
      <c r="CQ369" s="754"/>
      <c r="CR369" s="754"/>
      <c r="CS369" s="754"/>
      <c r="CT369" s="754"/>
      <c r="CU369" s="754"/>
      <c r="CV369" s="754"/>
      <c r="CW369" s="754"/>
      <c r="CX369" s="754"/>
      <c r="CY369" s="754"/>
      <c r="CZ369" s="755"/>
    </row>
    <row r="370" spans="1:104" ht="15" customHeight="1" x14ac:dyDescent="0.25">
      <c r="B370" s="1026" t="str">
        <f>IF(B368="","",VLOOKUP(B368,BoonRef!$A$2:$Z$900,24,FALSE))</f>
        <v/>
      </c>
      <c r="C370" s="727"/>
      <c r="D370" s="727"/>
      <c r="E370" s="727"/>
      <c r="F370" s="727"/>
      <c r="G370" s="727"/>
      <c r="H370" s="727"/>
      <c r="I370" s="727"/>
      <c r="J370" s="727"/>
      <c r="K370" s="727"/>
      <c r="L370" s="727"/>
      <c r="M370" s="727"/>
      <c r="N370" s="727"/>
      <c r="O370" s="727"/>
      <c r="P370" s="727"/>
      <c r="Q370" s="727"/>
      <c r="R370" s="727"/>
      <c r="S370" s="727"/>
      <c r="T370" s="727"/>
      <c r="U370" s="727"/>
      <c r="V370" s="727"/>
      <c r="W370" s="727"/>
      <c r="X370" s="727"/>
      <c r="Y370" s="727"/>
      <c r="Z370" s="728"/>
      <c r="AB370" s="1026" t="str">
        <f>IF(AB368="","",VLOOKUP(AB368,BoonRef!$A$2:$Z$900,24,FALSE))</f>
        <v/>
      </c>
      <c r="AC370" s="727"/>
      <c r="AD370" s="727"/>
      <c r="AE370" s="727"/>
      <c r="AF370" s="727"/>
      <c r="AG370" s="727"/>
      <c r="AH370" s="727"/>
      <c r="AI370" s="727"/>
      <c r="AJ370" s="727"/>
      <c r="AK370" s="727"/>
      <c r="AL370" s="727"/>
      <c r="AM370" s="727"/>
      <c r="AN370" s="727"/>
      <c r="AO370" s="727"/>
      <c r="AP370" s="727"/>
      <c r="AQ370" s="727"/>
      <c r="AR370" s="727"/>
      <c r="AS370" s="727"/>
      <c r="AT370" s="727"/>
      <c r="AU370" s="727"/>
      <c r="AV370" s="727"/>
      <c r="AW370" s="727"/>
      <c r="AX370" s="727"/>
      <c r="AY370" s="727"/>
      <c r="AZ370" s="728"/>
      <c r="BB370" s="641" t="str">
        <f>IF(BB368="","",VLOOKUP(BB368,KanckRef!$A$1:$G$300,4,FALSE))</f>
        <v/>
      </c>
      <c r="BC370" s="642"/>
      <c r="BD370" s="642"/>
      <c r="BE370" s="642"/>
      <c r="BF370" s="642"/>
      <c r="BG370" s="642"/>
      <c r="BH370" s="1033"/>
      <c r="BI370" s="753"/>
      <c r="BJ370" s="754"/>
      <c r="BK370" s="754"/>
      <c r="BL370" s="754"/>
      <c r="BM370" s="754"/>
      <c r="BN370" s="754"/>
      <c r="BO370" s="754"/>
      <c r="BP370" s="754"/>
      <c r="BQ370" s="754"/>
      <c r="BR370" s="754"/>
      <c r="BS370" s="754"/>
      <c r="BT370" s="754"/>
      <c r="BU370" s="754"/>
      <c r="BV370" s="754"/>
      <c r="BW370" s="754"/>
      <c r="BX370" s="754"/>
      <c r="BY370" s="754"/>
      <c r="BZ370" s="755"/>
      <c r="CB370" s="641" t="str">
        <f>IF(CB368="","",VLOOKUP(CB368,KanckRef!$A$1:$G$300,4,FALSE))</f>
        <v/>
      </c>
      <c r="CC370" s="642"/>
      <c r="CD370" s="642"/>
      <c r="CE370" s="642"/>
      <c r="CF370" s="642"/>
      <c r="CG370" s="642"/>
      <c r="CH370" s="1033"/>
      <c r="CI370" s="753"/>
      <c r="CJ370" s="754"/>
      <c r="CK370" s="754"/>
      <c r="CL370" s="754"/>
      <c r="CM370" s="754"/>
      <c r="CN370" s="754"/>
      <c r="CO370" s="754"/>
      <c r="CP370" s="754"/>
      <c r="CQ370" s="754"/>
      <c r="CR370" s="754"/>
      <c r="CS370" s="754"/>
      <c r="CT370" s="754"/>
      <c r="CU370" s="754"/>
      <c r="CV370" s="754"/>
      <c r="CW370" s="754"/>
      <c r="CX370" s="754"/>
      <c r="CY370" s="754"/>
      <c r="CZ370" s="755"/>
    </row>
    <row r="371" spans="1:104" ht="15" customHeight="1" x14ac:dyDescent="0.25">
      <c r="B371" s="1026" t="str">
        <f>IF(B368="","",VLOOKUP(B368,BoonRef!$A$2:$Z$900,23,FALSE))</f>
        <v/>
      </c>
      <c r="C371" s="727"/>
      <c r="D371" s="727"/>
      <c r="E371" s="727"/>
      <c r="F371" s="727"/>
      <c r="G371" s="727"/>
      <c r="H371" s="727"/>
      <c r="I371" s="727"/>
      <c r="J371" s="727"/>
      <c r="K371" s="727"/>
      <c r="L371" s="727"/>
      <c r="M371" s="727"/>
      <c r="N371" s="727"/>
      <c r="O371" s="727"/>
      <c r="P371" s="727"/>
      <c r="Q371" s="727"/>
      <c r="R371" s="727"/>
      <c r="S371" s="727"/>
      <c r="T371" s="727"/>
      <c r="U371" s="727"/>
      <c r="V371" s="727"/>
      <c r="W371" s="727"/>
      <c r="X371" s="727"/>
      <c r="Y371" s="727"/>
      <c r="Z371" s="728"/>
      <c r="AB371" s="1026" t="str">
        <f>IF(AB368="","",VLOOKUP(AB368,BoonRef!$A$2:$Z$900,23,FALSE))</f>
        <v/>
      </c>
      <c r="AC371" s="727"/>
      <c r="AD371" s="727"/>
      <c r="AE371" s="727"/>
      <c r="AF371" s="727"/>
      <c r="AG371" s="727"/>
      <c r="AH371" s="727"/>
      <c r="AI371" s="727"/>
      <c r="AJ371" s="727"/>
      <c r="AK371" s="727"/>
      <c r="AL371" s="727"/>
      <c r="AM371" s="727"/>
      <c r="AN371" s="727"/>
      <c r="AO371" s="727"/>
      <c r="AP371" s="727"/>
      <c r="AQ371" s="727"/>
      <c r="AR371" s="727"/>
      <c r="AS371" s="727"/>
      <c r="AT371" s="727"/>
      <c r="AU371" s="727"/>
      <c r="AV371" s="727"/>
      <c r="AW371" s="727"/>
      <c r="AX371" s="727"/>
      <c r="AY371" s="727"/>
      <c r="AZ371" s="728"/>
      <c r="BB371" s="635"/>
      <c r="BC371" s="636"/>
      <c r="BD371" s="636"/>
      <c r="BE371" s="636"/>
      <c r="BF371" s="636"/>
      <c r="BG371" s="636"/>
      <c r="BH371" s="1036"/>
      <c r="BI371" s="753"/>
      <c r="BJ371" s="754"/>
      <c r="BK371" s="754"/>
      <c r="BL371" s="754"/>
      <c r="BM371" s="754"/>
      <c r="BN371" s="754"/>
      <c r="BO371" s="754"/>
      <c r="BP371" s="754"/>
      <c r="BQ371" s="754"/>
      <c r="BR371" s="754"/>
      <c r="BS371" s="754"/>
      <c r="BT371" s="754"/>
      <c r="BU371" s="754"/>
      <c r="BV371" s="754"/>
      <c r="BW371" s="754"/>
      <c r="BX371" s="754"/>
      <c r="BY371" s="754"/>
      <c r="BZ371" s="755"/>
      <c r="CB371" s="635"/>
      <c r="CC371" s="636"/>
      <c r="CD371" s="636"/>
      <c r="CE371" s="636"/>
      <c r="CF371" s="636"/>
      <c r="CG371" s="636"/>
      <c r="CH371" s="1036"/>
      <c r="CI371" s="753"/>
      <c r="CJ371" s="754"/>
      <c r="CK371" s="754"/>
      <c r="CL371" s="754"/>
      <c r="CM371" s="754"/>
      <c r="CN371" s="754"/>
      <c r="CO371" s="754"/>
      <c r="CP371" s="754"/>
      <c r="CQ371" s="754"/>
      <c r="CR371" s="754"/>
      <c r="CS371" s="754"/>
      <c r="CT371" s="754"/>
      <c r="CU371" s="754"/>
      <c r="CV371" s="754"/>
      <c r="CW371" s="754"/>
      <c r="CX371" s="754"/>
      <c r="CY371" s="754"/>
      <c r="CZ371" s="755"/>
    </row>
    <row r="372" spans="1:104" ht="15.75" thickBot="1" x14ac:dyDescent="0.3">
      <c r="B372" s="1027"/>
      <c r="C372" s="865"/>
      <c r="D372" s="865"/>
      <c r="E372" s="865"/>
      <c r="F372" s="865"/>
      <c r="G372" s="865"/>
      <c r="H372" s="865"/>
      <c r="I372" s="865"/>
      <c r="J372" s="865"/>
      <c r="K372" s="865"/>
      <c r="L372" s="865"/>
      <c r="M372" s="865"/>
      <c r="N372" s="865"/>
      <c r="O372" s="865"/>
      <c r="P372" s="865"/>
      <c r="Q372" s="865"/>
      <c r="R372" s="865"/>
      <c r="S372" s="865"/>
      <c r="T372" s="865"/>
      <c r="U372" s="865"/>
      <c r="V372" s="865"/>
      <c r="W372" s="865"/>
      <c r="X372" s="865"/>
      <c r="Y372" s="865"/>
      <c r="Z372" s="921"/>
      <c r="AB372" s="1027"/>
      <c r="AC372" s="865"/>
      <c r="AD372" s="865"/>
      <c r="AE372" s="865"/>
      <c r="AF372" s="865"/>
      <c r="AG372" s="865"/>
      <c r="AH372" s="865"/>
      <c r="AI372" s="865"/>
      <c r="AJ372" s="865"/>
      <c r="AK372" s="865"/>
      <c r="AL372" s="865"/>
      <c r="AM372" s="865"/>
      <c r="AN372" s="865"/>
      <c r="AO372" s="865"/>
      <c r="AP372" s="865"/>
      <c r="AQ372" s="865"/>
      <c r="AR372" s="865"/>
      <c r="AS372" s="865"/>
      <c r="AT372" s="865"/>
      <c r="AU372" s="865"/>
      <c r="AV372" s="865"/>
      <c r="AW372" s="865"/>
      <c r="AX372" s="865"/>
      <c r="AY372" s="865"/>
      <c r="AZ372" s="921"/>
      <c r="BB372" s="644"/>
      <c r="BC372" s="645"/>
      <c r="BD372" s="645"/>
      <c r="BE372" s="645"/>
      <c r="BF372" s="645"/>
      <c r="BG372" s="645"/>
      <c r="BH372" s="1037"/>
      <c r="BI372" s="756"/>
      <c r="BJ372" s="757"/>
      <c r="BK372" s="757"/>
      <c r="BL372" s="757"/>
      <c r="BM372" s="757"/>
      <c r="BN372" s="757"/>
      <c r="BO372" s="757"/>
      <c r="BP372" s="757"/>
      <c r="BQ372" s="757"/>
      <c r="BR372" s="757"/>
      <c r="BS372" s="757"/>
      <c r="BT372" s="757"/>
      <c r="BU372" s="757"/>
      <c r="BV372" s="757"/>
      <c r="BW372" s="757"/>
      <c r="BX372" s="757"/>
      <c r="BY372" s="757"/>
      <c r="BZ372" s="758"/>
      <c r="CB372" s="644"/>
      <c r="CC372" s="645"/>
      <c r="CD372" s="645"/>
      <c r="CE372" s="645"/>
      <c r="CF372" s="645"/>
      <c r="CG372" s="645"/>
      <c r="CH372" s="1037"/>
      <c r="CI372" s="756"/>
      <c r="CJ372" s="757"/>
      <c r="CK372" s="757"/>
      <c r="CL372" s="757"/>
      <c r="CM372" s="757"/>
      <c r="CN372" s="757"/>
      <c r="CO372" s="757"/>
      <c r="CP372" s="757"/>
      <c r="CQ372" s="757"/>
      <c r="CR372" s="757"/>
      <c r="CS372" s="757"/>
      <c r="CT372" s="757"/>
      <c r="CU372" s="757"/>
      <c r="CV372" s="757"/>
      <c r="CW372" s="757"/>
      <c r="CX372" s="757"/>
      <c r="CY372" s="757"/>
      <c r="CZ372" s="758"/>
    </row>
    <row r="373" spans="1:104" x14ac:dyDescent="0.25">
      <c r="B373" s="1028" t="str">
        <f>IF(B374="","",VLOOKUP(B374,BoonRef!$A$2:$Z$900,2,FALSE))</f>
        <v/>
      </c>
      <c r="C373" s="725"/>
      <c r="D373" s="725"/>
      <c r="E373" s="725"/>
      <c r="F373" s="725"/>
      <c r="G373" s="725"/>
      <c r="H373" s="725"/>
      <c r="I373" s="725" t="str">
        <f>IF(B374="","",VLOOKUP(B374,BoonRef!$A$2:$Z$900,3,FALSE))</f>
        <v/>
      </c>
      <c r="J373" s="725"/>
      <c r="K373" s="725" t="str">
        <f>IF(B374="","",VLOOKUP(B374,DescRef!$A$2:$B$900,2,FALSE))</f>
        <v/>
      </c>
      <c r="L373" s="725"/>
      <c r="M373" s="725"/>
      <c r="N373" s="725"/>
      <c r="O373" s="725"/>
      <c r="P373" s="725"/>
      <c r="Q373" s="725"/>
      <c r="R373" s="725"/>
      <c r="S373" s="725"/>
      <c r="T373" s="725"/>
      <c r="U373" s="725"/>
      <c r="V373" s="725"/>
      <c r="W373" s="725"/>
      <c r="X373" s="725"/>
      <c r="Y373" s="725"/>
      <c r="Z373" s="726"/>
      <c r="AB373" s="1028" t="str">
        <f>IF(AB374="","",VLOOKUP(AB374,BoonRef!$A$2:$Z$900,2,FALSE))</f>
        <v/>
      </c>
      <c r="AC373" s="725"/>
      <c r="AD373" s="725"/>
      <c r="AE373" s="725"/>
      <c r="AF373" s="725"/>
      <c r="AG373" s="725"/>
      <c r="AH373" s="725"/>
      <c r="AI373" s="725" t="str">
        <f>IF(AB374="","",VLOOKUP(AB374,BoonRef!$A$2:$Z$900,3,FALSE))</f>
        <v/>
      </c>
      <c r="AJ373" s="725"/>
      <c r="AK373" s="725" t="str">
        <f>IF(AB374="","",VLOOKUP(AB374,DescRef!$A$2:$B$900,2,FALSE))</f>
        <v/>
      </c>
      <c r="AL373" s="725"/>
      <c r="AM373" s="725"/>
      <c r="AN373" s="725"/>
      <c r="AO373" s="725"/>
      <c r="AP373" s="725"/>
      <c r="AQ373" s="725"/>
      <c r="AR373" s="725"/>
      <c r="AS373" s="725"/>
      <c r="AT373" s="725"/>
      <c r="AU373" s="725"/>
      <c r="AV373" s="725"/>
      <c r="AW373" s="725"/>
      <c r="AX373" s="725"/>
      <c r="AY373" s="725"/>
      <c r="AZ373" s="726"/>
      <c r="BB373" s="1029" t="str">
        <f>IF(BB374="","",VLOOKUP(BB374,KanckRef!$A$1:$G$300,2,FALSE))</f>
        <v/>
      </c>
      <c r="BC373" s="1030"/>
      <c r="BD373" s="1030"/>
      <c r="BE373" s="1030"/>
      <c r="BF373" s="1031"/>
      <c r="BG373" s="1048" t="str">
        <f>IF(BB374="","",VLOOKUP(BB374,KanckRef!$A$1:$G$300,6,FALSE))</f>
        <v/>
      </c>
      <c r="BH373" s="1049"/>
      <c r="BI373" s="988" t="str">
        <f>IF(BB374="","",VLOOKUP(BB374,DescRef!$D$2:$E$300,2,FALSE))</f>
        <v/>
      </c>
      <c r="BJ373" s="795"/>
      <c r="BK373" s="795"/>
      <c r="BL373" s="795"/>
      <c r="BM373" s="795"/>
      <c r="BN373" s="795"/>
      <c r="BO373" s="795"/>
      <c r="BP373" s="795"/>
      <c r="BQ373" s="795"/>
      <c r="BR373" s="795"/>
      <c r="BS373" s="795"/>
      <c r="BT373" s="795"/>
      <c r="BU373" s="795"/>
      <c r="BV373" s="795"/>
      <c r="BW373" s="795"/>
      <c r="BX373" s="795"/>
      <c r="BY373" s="795"/>
      <c r="BZ373" s="796"/>
      <c r="CB373" s="1029" t="str">
        <f>IF(CB374="","",VLOOKUP(CB374,KanckRef!$A$1:$G$300,2,FALSE))</f>
        <v/>
      </c>
      <c r="CC373" s="1030"/>
      <c r="CD373" s="1030"/>
      <c r="CE373" s="1030"/>
      <c r="CF373" s="1031"/>
      <c r="CG373" s="1048" t="str">
        <f>IF(CB374="","",VLOOKUP(CB374,KanckRef!$A$1:$G$300,6,FALSE))</f>
        <v/>
      </c>
      <c r="CH373" s="1049"/>
      <c r="CI373" s="988" t="str">
        <f>IF(CB374="","",VLOOKUP(CB374,DescRef!$D$2:$E$300,2,FALSE))</f>
        <v/>
      </c>
      <c r="CJ373" s="795"/>
      <c r="CK373" s="795"/>
      <c r="CL373" s="795"/>
      <c r="CM373" s="795"/>
      <c r="CN373" s="795"/>
      <c r="CO373" s="795"/>
      <c r="CP373" s="795"/>
      <c r="CQ373" s="795"/>
      <c r="CR373" s="795"/>
      <c r="CS373" s="795"/>
      <c r="CT373" s="795"/>
      <c r="CU373" s="795"/>
      <c r="CV373" s="795"/>
      <c r="CW373" s="795"/>
      <c r="CX373" s="795"/>
      <c r="CY373" s="795"/>
      <c r="CZ373" s="796"/>
    </row>
    <row r="374" spans="1:104" ht="15" customHeight="1" x14ac:dyDescent="0.25">
      <c r="A374" s="15">
        <v>62</v>
      </c>
      <c r="B374" s="1026" t="str">
        <f>IF(A374&lt;'Purchased Boons'!$B$496,VLOOKUP(A374,'Purchased Boons'!$BF$2:$BG$900,2,FALSE),"")</f>
        <v/>
      </c>
      <c r="C374" s="727"/>
      <c r="D374" s="727"/>
      <c r="E374" s="727"/>
      <c r="F374" s="727"/>
      <c r="G374" s="727"/>
      <c r="H374" s="727"/>
      <c r="I374" s="727" t="str">
        <f>IF(B374="","",VLOOKUP(B374,BoonRef!$A$2:$Z$900,25,FALSE))</f>
        <v/>
      </c>
      <c r="J374" s="727"/>
      <c r="K374" s="727"/>
      <c r="L374" s="727"/>
      <c r="M374" s="727"/>
      <c r="N374" s="727"/>
      <c r="O374" s="727"/>
      <c r="P374" s="727"/>
      <c r="Q374" s="727"/>
      <c r="R374" s="727"/>
      <c r="S374" s="727"/>
      <c r="T374" s="727"/>
      <c r="U374" s="727"/>
      <c r="V374" s="727"/>
      <c r="W374" s="727"/>
      <c r="X374" s="727"/>
      <c r="Y374" s="727"/>
      <c r="Z374" s="728"/>
      <c r="AA374" s="15">
        <v>169</v>
      </c>
      <c r="AB374" s="1026" t="str">
        <f>IF(AA374&lt;'Purchased Boons'!$B$496,VLOOKUP(AA374,'Purchased Boons'!$BF$2:$BG$900,2,FALSE),"")</f>
        <v/>
      </c>
      <c r="AC374" s="727"/>
      <c r="AD374" s="727"/>
      <c r="AE374" s="727"/>
      <c r="AF374" s="727"/>
      <c r="AG374" s="727"/>
      <c r="AH374" s="727"/>
      <c r="AI374" s="727" t="str">
        <f>IF(AB374="","",VLOOKUP(AB374,BoonRef!$A$2:$Z$900,25,FALSE))</f>
        <v/>
      </c>
      <c r="AJ374" s="727"/>
      <c r="AK374" s="727"/>
      <c r="AL374" s="727"/>
      <c r="AM374" s="727"/>
      <c r="AN374" s="727"/>
      <c r="AO374" s="727"/>
      <c r="AP374" s="727"/>
      <c r="AQ374" s="727"/>
      <c r="AR374" s="727"/>
      <c r="AS374" s="727"/>
      <c r="AT374" s="727"/>
      <c r="AU374" s="727"/>
      <c r="AV374" s="727"/>
      <c r="AW374" s="727"/>
      <c r="AX374" s="727"/>
      <c r="AY374" s="727"/>
      <c r="AZ374" s="728"/>
      <c r="BA374" s="15">
        <v>62</v>
      </c>
      <c r="BB374" s="1038" t="str">
        <f>IF(BA374&lt;'Purchased Knacks'!A$192,VLOOKUP(BA374,'Purchased Knacks'!$A$4:$E$300,3,FALSE),"")</f>
        <v/>
      </c>
      <c r="BC374" s="1039"/>
      <c r="BD374" s="1039"/>
      <c r="BE374" s="1039"/>
      <c r="BF374" s="1040"/>
      <c r="BG374" s="1032" t="str">
        <f>IF(BB374="","",VLOOKUP(BB374,KanckRef!$A$1:$G$300,7,FALSE))</f>
        <v/>
      </c>
      <c r="BH374" s="1033"/>
      <c r="BI374" s="753"/>
      <c r="BJ374" s="754"/>
      <c r="BK374" s="754"/>
      <c r="BL374" s="754"/>
      <c r="BM374" s="754"/>
      <c r="BN374" s="754"/>
      <c r="BO374" s="754"/>
      <c r="BP374" s="754"/>
      <c r="BQ374" s="754"/>
      <c r="BR374" s="754"/>
      <c r="BS374" s="754"/>
      <c r="BT374" s="754"/>
      <c r="BU374" s="754"/>
      <c r="BV374" s="754"/>
      <c r="BW374" s="754"/>
      <c r="BX374" s="754"/>
      <c r="BY374" s="754"/>
      <c r="BZ374" s="755"/>
      <c r="CA374" s="15">
        <v>169</v>
      </c>
      <c r="CB374" s="1038" t="str">
        <f>IF(CA374&lt;'Purchased Knacks'!A$192,VLOOKUP(CA374,'Purchased Knacks'!$A$4:$E$300,3,FALSE),"")</f>
        <v/>
      </c>
      <c r="CC374" s="1039"/>
      <c r="CD374" s="1039"/>
      <c r="CE374" s="1039"/>
      <c r="CF374" s="1040"/>
      <c r="CG374" s="1032" t="str">
        <f>IF(CB374="","",VLOOKUP(CB374,KanckRef!$A$1:$G$300,7,FALSE))</f>
        <v/>
      </c>
      <c r="CH374" s="1033"/>
      <c r="CI374" s="753"/>
      <c r="CJ374" s="754"/>
      <c r="CK374" s="754"/>
      <c r="CL374" s="754"/>
      <c r="CM374" s="754"/>
      <c r="CN374" s="754"/>
      <c r="CO374" s="754"/>
      <c r="CP374" s="754"/>
      <c r="CQ374" s="754"/>
      <c r="CR374" s="754"/>
      <c r="CS374" s="754"/>
      <c r="CT374" s="754"/>
      <c r="CU374" s="754"/>
      <c r="CV374" s="754"/>
      <c r="CW374" s="754"/>
      <c r="CX374" s="754"/>
      <c r="CY374" s="754"/>
      <c r="CZ374" s="755"/>
    </row>
    <row r="375" spans="1:104" ht="15" customHeight="1" x14ac:dyDescent="0.25">
      <c r="B375" s="1026"/>
      <c r="C375" s="727"/>
      <c r="D375" s="727"/>
      <c r="E375" s="727"/>
      <c r="F375" s="727"/>
      <c r="G375" s="727"/>
      <c r="H375" s="727"/>
      <c r="I375" s="727" t="str">
        <f>IF(B374="","",VLOOKUP(B374,BoonRef!$A$2:$Z$900,26,FALSE))</f>
        <v/>
      </c>
      <c r="J375" s="727"/>
      <c r="K375" s="727"/>
      <c r="L375" s="727"/>
      <c r="M375" s="727"/>
      <c r="N375" s="727"/>
      <c r="O375" s="727"/>
      <c r="P375" s="727"/>
      <c r="Q375" s="727"/>
      <c r="R375" s="727"/>
      <c r="S375" s="727"/>
      <c r="T375" s="727"/>
      <c r="U375" s="727"/>
      <c r="V375" s="727"/>
      <c r="W375" s="727"/>
      <c r="X375" s="727"/>
      <c r="Y375" s="727"/>
      <c r="Z375" s="728"/>
      <c r="AB375" s="1026"/>
      <c r="AC375" s="727"/>
      <c r="AD375" s="727"/>
      <c r="AE375" s="727"/>
      <c r="AF375" s="727"/>
      <c r="AG375" s="727"/>
      <c r="AH375" s="727"/>
      <c r="AI375" s="727" t="str">
        <f>IF(AB374="","",VLOOKUP(AB374,BoonRef!$A$2:$Z$900,26,FALSE))</f>
        <v/>
      </c>
      <c r="AJ375" s="727"/>
      <c r="AK375" s="727"/>
      <c r="AL375" s="727"/>
      <c r="AM375" s="727"/>
      <c r="AN375" s="727"/>
      <c r="AO375" s="727"/>
      <c r="AP375" s="727"/>
      <c r="AQ375" s="727"/>
      <c r="AR375" s="727"/>
      <c r="AS375" s="727"/>
      <c r="AT375" s="727"/>
      <c r="AU375" s="727"/>
      <c r="AV375" s="727"/>
      <c r="AW375" s="727"/>
      <c r="AX375" s="727"/>
      <c r="AY375" s="727"/>
      <c r="AZ375" s="728"/>
      <c r="BB375" s="1041"/>
      <c r="BC375" s="1042"/>
      <c r="BD375" s="1042"/>
      <c r="BE375" s="1042"/>
      <c r="BF375" s="1043"/>
      <c r="BG375" s="1034"/>
      <c r="BH375" s="1035"/>
      <c r="BI375" s="753"/>
      <c r="BJ375" s="754"/>
      <c r="BK375" s="754"/>
      <c r="BL375" s="754"/>
      <c r="BM375" s="754"/>
      <c r="BN375" s="754"/>
      <c r="BO375" s="754"/>
      <c r="BP375" s="754"/>
      <c r="BQ375" s="754"/>
      <c r="BR375" s="754"/>
      <c r="BS375" s="754"/>
      <c r="BT375" s="754"/>
      <c r="BU375" s="754"/>
      <c r="BV375" s="754"/>
      <c r="BW375" s="754"/>
      <c r="BX375" s="754"/>
      <c r="BY375" s="754"/>
      <c r="BZ375" s="755"/>
      <c r="CB375" s="1041"/>
      <c r="CC375" s="1042"/>
      <c r="CD375" s="1042"/>
      <c r="CE375" s="1042"/>
      <c r="CF375" s="1043"/>
      <c r="CG375" s="1034"/>
      <c r="CH375" s="1035"/>
      <c r="CI375" s="753"/>
      <c r="CJ375" s="754"/>
      <c r="CK375" s="754"/>
      <c r="CL375" s="754"/>
      <c r="CM375" s="754"/>
      <c r="CN375" s="754"/>
      <c r="CO375" s="754"/>
      <c r="CP375" s="754"/>
      <c r="CQ375" s="754"/>
      <c r="CR375" s="754"/>
      <c r="CS375" s="754"/>
      <c r="CT375" s="754"/>
      <c r="CU375" s="754"/>
      <c r="CV375" s="754"/>
      <c r="CW375" s="754"/>
      <c r="CX375" s="754"/>
      <c r="CY375" s="754"/>
      <c r="CZ375" s="755"/>
    </row>
    <row r="376" spans="1:104" ht="15" customHeight="1" x14ac:dyDescent="0.25">
      <c r="B376" s="1026" t="str">
        <f>IF(B374="","",VLOOKUP(B374,BoonRef!$A$2:$Z$900,24,FALSE))</f>
        <v/>
      </c>
      <c r="C376" s="727"/>
      <c r="D376" s="727"/>
      <c r="E376" s="727"/>
      <c r="F376" s="727"/>
      <c r="G376" s="727"/>
      <c r="H376" s="727"/>
      <c r="I376" s="727"/>
      <c r="J376" s="727"/>
      <c r="K376" s="727"/>
      <c r="L376" s="727"/>
      <c r="M376" s="727"/>
      <c r="N376" s="727"/>
      <c r="O376" s="727"/>
      <c r="P376" s="727"/>
      <c r="Q376" s="727"/>
      <c r="R376" s="727"/>
      <c r="S376" s="727"/>
      <c r="T376" s="727"/>
      <c r="U376" s="727"/>
      <c r="V376" s="727"/>
      <c r="W376" s="727"/>
      <c r="X376" s="727"/>
      <c r="Y376" s="727"/>
      <c r="Z376" s="728"/>
      <c r="AB376" s="1026" t="str">
        <f>IF(AB374="","",VLOOKUP(AB374,BoonRef!$A$2:$Z$900,24,FALSE))</f>
        <v/>
      </c>
      <c r="AC376" s="727"/>
      <c r="AD376" s="727"/>
      <c r="AE376" s="727"/>
      <c r="AF376" s="727"/>
      <c r="AG376" s="727"/>
      <c r="AH376" s="727"/>
      <c r="AI376" s="727"/>
      <c r="AJ376" s="727"/>
      <c r="AK376" s="727"/>
      <c r="AL376" s="727"/>
      <c r="AM376" s="727"/>
      <c r="AN376" s="727"/>
      <c r="AO376" s="727"/>
      <c r="AP376" s="727"/>
      <c r="AQ376" s="727"/>
      <c r="AR376" s="727"/>
      <c r="AS376" s="727"/>
      <c r="AT376" s="727"/>
      <c r="AU376" s="727"/>
      <c r="AV376" s="727"/>
      <c r="AW376" s="727"/>
      <c r="AX376" s="727"/>
      <c r="AY376" s="727"/>
      <c r="AZ376" s="728"/>
      <c r="BB376" s="641" t="str">
        <f>IF(BB374="","",VLOOKUP(BB374,KanckRef!$A$1:$G$300,4,FALSE))</f>
        <v/>
      </c>
      <c r="BC376" s="642"/>
      <c r="BD376" s="642"/>
      <c r="BE376" s="642"/>
      <c r="BF376" s="642"/>
      <c r="BG376" s="642"/>
      <c r="BH376" s="1033"/>
      <c r="BI376" s="753"/>
      <c r="BJ376" s="754"/>
      <c r="BK376" s="754"/>
      <c r="BL376" s="754"/>
      <c r="BM376" s="754"/>
      <c r="BN376" s="754"/>
      <c r="BO376" s="754"/>
      <c r="BP376" s="754"/>
      <c r="BQ376" s="754"/>
      <c r="BR376" s="754"/>
      <c r="BS376" s="754"/>
      <c r="BT376" s="754"/>
      <c r="BU376" s="754"/>
      <c r="BV376" s="754"/>
      <c r="BW376" s="754"/>
      <c r="BX376" s="754"/>
      <c r="BY376" s="754"/>
      <c r="BZ376" s="755"/>
      <c r="CB376" s="641" t="str">
        <f>IF(CB374="","",VLOOKUP(CB374,KanckRef!$A$1:$G$300,4,FALSE))</f>
        <v/>
      </c>
      <c r="CC376" s="642"/>
      <c r="CD376" s="642"/>
      <c r="CE376" s="642"/>
      <c r="CF376" s="642"/>
      <c r="CG376" s="642"/>
      <c r="CH376" s="1033"/>
      <c r="CI376" s="753"/>
      <c r="CJ376" s="754"/>
      <c r="CK376" s="754"/>
      <c r="CL376" s="754"/>
      <c r="CM376" s="754"/>
      <c r="CN376" s="754"/>
      <c r="CO376" s="754"/>
      <c r="CP376" s="754"/>
      <c r="CQ376" s="754"/>
      <c r="CR376" s="754"/>
      <c r="CS376" s="754"/>
      <c r="CT376" s="754"/>
      <c r="CU376" s="754"/>
      <c r="CV376" s="754"/>
      <c r="CW376" s="754"/>
      <c r="CX376" s="754"/>
      <c r="CY376" s="754"/>
      <c r="CZ376" s="755"/>
    </row>
    <row r="377" spans="1:104" x14ac:dyDescent="0.25">
      <c r="B377" s="1026" t="str">
        <f>IF(B374="","",VLOOKUP(B374,BoonRef!$A$2:$Z$900,23,FALSE))</f>
        <v/>
      </c>
      <c r="C377" s="727"/>
      <c r="D377" s="727"/>
      <c r="E377" s="727"/>
      <c r="F377" s="727"/>
      <c r="G377" s="727"/>
      <c r="H377" s="727"/>
      <c r="I377" s="727"/>
      <c r="J377" s="727"/>
      <c r="K377" s="727"/>
      <c r="L377" s="727"/>
      <c r="M377" s="727"/>
      <c r="N377" s="727"/>
      <c r="O377" s="727"/>
      <c r="P377" s="727"/>
      <c r="Q377" s="727"/>
      <c r="R377" s="727"/>
      <c r="S377" s="727"/>
      <c r="T377" s="727"/>
      <c r="U377" s="727"/>
      <c r="V377" s="727"/>
      <c r="W377" s="727"/>
      <c r="X377" s="727"/>
      <c r="Y377" s="727"/>
      <c r="Z377" s="728"/>
      <c r="AB377" s="1026" t="str">
        <f>IF(AB374="","",VLOOKUP(AB374,BoonRef!$A$2:$Z$900,23,FALSE))</f>
        <v/>
      </c>
      <c r="AC377" s="727"/>
      <c r="AD377" s="727"/>
      <c r="AE377" s="727"/>
      <c r="AF377" s="727"/>
      <c r="AG377" s="727"/>
      <c r="AH377" s="727"/>
      <c r="AI377" s="727"/>
      <c r="AJ377" s="727"/>
      <c r="AK377" s="727"/>
      <c r="AL377" s="727"/>
      <c r="AM377" s="727"/>
      <c r="AN377" s="727"/>
      <c r="AO377" s="727"/>
      <c r="AP377" s="727"/>
      <c r="AQ377" s="727"/>
      <c r="AR377" s="727"/>
      <c r="AS377" s="727"/>
      <c r="AT377" s="727"/>
      <c r="AU377" s="727"/>
      <c r="AV377" s="727"/>
      <c r="AW377" s="727"/>
      <c r="AX377" s="727"/>
      <c r="AY377" s="727"/>
      <c r="AZ377" s="728"/>
      <c r="BB377" s="635"/>
      <c r="BC377" s="636"/>
      <c r="BD377" s="636"/>
      <c r="BE377" s="636"/>
      <c r="BF377" s="636"/>
      <c r="BG377" s="636"/>
      <c r="BH377" s="1036"/>
      <c r="BI377" s="753"/>
      <c r="BJ377" s="754"/>
      <c r="BK377" s="754"/>
      <c r="BL377" s="754"/>
      <c r="BM377" s="754"/>
      <c r="BN377" s="754"/>
      <c r="BO377" s="754"/>
      <c r="BP377" s="754"/>
      <c r="BQ377" s="754"/>
      <c r="BR377" s="754"/>
      <c r="BS377" s="754"/>
      <c r="BT377" s="754"/>
      <c r="BU377" s="754"/>
      <c r="BV377" s="754"/>
      <c r="BW377" s="754"/>
      <c r="BX377" s="754"/>
      <c r="BY377" s="754"/>
      <c r="BZ377" s="755"/>
      <c r="CB377" s="635"/>
      <c r="CC377" s="636"/>
      <c r="CD377" s="636"/>
      <c r="CE377" s="636"/>
      <c r="CF377" s="636"/>
      <c r="CG377" s="636"/>
      <c r="CH377" s="1036"/>
      <c r="CI377" s="753"/>
      <c r="CJ377" s="754"/>
      <c r="CK377" s="754"/>
      <c r="CL377" s="754"/>
      <c r="CM377" s="754"/>
      <c r="CN377" s="754"/>
      <c r="CO377" s="754"/>
      <c r="CP377" s="754"/>
      <c r="CQ377" s="754"/>
      <c r="CR377" s="754"/>
      <c r="CS377" s="754"/>
      <c r="CT377" s="754"/>
      <c r="CU377" s="754"/>
      <c r="CV377" s="754"/>
      <c r="CW377" s="754"/>
      <c r="CX377" s="754"/>
      <c r="CY377" s="754"/>
      <c r="CZ377" s="755"/>
    </row>
    <row r="378" spans="1:104" ht="15.75" thickBot="1" x14ac:dyDescent="0.3">
      <c r="B378" s="1027"/>
      <c r="C378" s="865"/>
      <c r="D378" s="865"/>
      <c r="E378" s="865"/>
      <c r="F378" s="865"/>
      <c r="G378" s="865"/>
      <c r="H378" s="865"/>
      <c r="I378" s="865"/>
      <c r="J378" s="865"/>
      <c r="K378" s="865"/>
      <c r="L378" s="865"/>
      <c r="M378" s="865"/>
      <c r="N378" s="865"/>
      <c r="O378" s="865"/>
      <c r="P378" s="865"/>
      <c r="Q378" s="865"/>
      <c r="R378" s="865"/>
      <c r="S378" s="865"/>
      <c r="T378" s="865"/>
      <c r="U378" s="865"/>
      <c r="V378" s="865"/>
      <c r="W378" s="865"/>
      <c r="X378" s="865"/>
      <c r="Y378" s="865"/>
      <c r="Z378" s="921"/>
      <c r="AB378" s="1027"/>
      <c r="AC378" s="865"/>
      <c r="AD378" s="865"/>
      <c r="AE378" s="865"/>
      <c r="AF378" s="865"/>
      <c r="AG378" s="865"/>
      <c r="AH378" s="865"/>
      <c r="AI378" s="865"/>
      <c r="AJ378" s="865"/>
      <c r="AK378" s="865"/>
      <c r="AL378" s="865"/>
      <c r="AM378" s="865"/>
      <c r="AN378" s="865"/>
      <c r="AO378" s="865"/>
      <c r="AP378" s="865"/>
      <c r="AQ378" s="865"/>
      <c r="AR378" s="865"/>
      <c r="AS378" s="865"/>
      <c r="AT378" s="865"/>
      <c r="AU378" s="865"/>
      <c r="AV378" s="865"/>
      <c r="AW378" s="865"/>
      <c r="AX378" s="865"/>
      <c r="AY378" s="865"/>
      <c r="AZ378" s="921"/>
      <c r="BB378" s="644"/>
      <c r="BC378" s="645"/>
      <c r="BD378" s="645"/>
      <c r="BE378" s="645"/>
      <c r="BF378" s="645"/>
      <c r="BG378" s="645"/>
      <c r="BH378" s="1037"/>
      <c r="BI378" s="756"/>
      <c r="BJ378" s="757"/>
      <c r="BK378" s="757"/>
      <c r="BL378" s="757"/>
      <c r="BM378" s="757"/>
      <c r="BN378" s="757"/>
      <c r="BO378" s="757"/>
      <c r="BP378" s="757"/>
      <c r="BQ378" s="757"/>
      <c r="BR378" s="757"/>
      <c r="BS378" s="757"/>
      <c r="BT378" s="757"/>
      <c r="BU378" s="757"/>
      <c r="BV378" s="757"/>
      <c r="BW378" s="757"/>
      <c r="BX378" s="757"/>
      <c r="BY378" s="757"/>
      <c r="BZ378" s="758"/>
      <c r="CB378" s="644"/>
      <c r="CC378" s="645"/>
      <c r="CD378" s="645"/>
      <c r="CE378" s="645"/>
      <c r="CF378" s="645"/>
      <c r="CG378" s="645"/>
      <c r="CH378" s="1037"/>
      <c r="CI378" s="756"/>
      <c r="CJ378" s="757"/>
      <c r="CK378" s="757"/>
      <c r="CL378" s="757"/>
      <c r="CM378" s="757"/>
      <c r="CN378" s="757"/>
      <c r="CO378" s="757"/>
      <c r="CP378" s="757"/>
      <c r="CQ378" s="757"/>
      <c r="CR378" s="757"/>
      <c r="CS378" s="757"/>
      <c r="CT378" s="757"/>
      <c r="CU378" s="757"/>
      <c r="CV378" s="757"/>
      <c r="CW378" s="757"/>
      <c r="CX378" s="757"/>
      <c r="CY378" s="757"/>
      <c r="CZ378" s="758"/>
    </row>
    <row r="379" spans="1:104" x14ac:dyDescent="0.25">
      <c r="B379" s="1028" t="str">
        <f>IF(B380="","",VLOOKUP(B380,BoonRef!$A$2:$Z$900,2,FALSE))</f>
        <v/>
      </c>
      <c r="C379" s="725"/>
      <c r="D379" s="725"/>
      <c r="E379" s="725"/>
      <c r="F379" s="725"/>
      <c r="G379" s="725"/>
      <c r="H379" s="725"/>
      <c r="I379" s="725" t="str">
        <f>IF(B380="","",VLOOKUP(B380,BoonRef!$A$2:$Z$900,3,FALSE))</f>
        <v/>
      </c>
      <c r="J379" s="725"/>
      <c r="K379" s="725" t="str">
        <f>IF(B380="","",VLOOKUP(B380,DescRef!$A$2:$B$900,2,FALSE))</f>
        <v/>
      </c>
      <c r="L379" s="725"/>
      <c r="M379" s="725"/>
      <c r="N379" s="725"/>
      <c r="O379" s="725"/>
      <c r="P379" s="725"/>
      <c r="Q379" s="725"/>
      <c r="R379" s="725"/>
      <c r="S379" s="725"/>
      <c r="T379" s="725"/>
      <c r="U379" s="725"/>
      <c r="V379" s="725"/>
      <c r="W379" s="725"/>
      <c r="X379" s="725"/>
      <c r="Y379" s="725"/>
      <c r="Z379" s="726"/>
      <c r="AB379" s="1028" t="str">
        <f>IF(AB380="","",VLOOKUP(AB380,BoonRef!$A$2:$Z$900,2,FALSE))</f>
        <v/>
      </c>
      <c r="AC379" s="725"/>
      <c r="AD379" s="725"/>
      <c r="AE379" s="725"/>
      <c r="AF379" s="725"/>
      <c r="AG379" s="725"/>
      <c r="AH379" s="725"/>
      <c r="AI379" s="725" t="str">
        <f>IF(AB380="","",VLOOKUP(AB380,BoonRef!$A$2:$Z$900,3,FALSE))</f>
        <v/>
      </c>
      <c r="AJ379" s="725"/>
      <c r="AK379" s="725" t="str">
        <f>IF(AB380="","",VLOOKUP(AB380,DescRef!$A$2:$B$900,2,FALSE))</f>
        <v/>
      </c>
      <c r="AL379" s="725"/>
      <c r="AM379" s="725"/>
      <c r="AN379" s="725"/>
      <c r="AO379" s="725"/>
      <c r="AP379" s="725"/>
      <c r="AQ379" s="725"/>
      <c r="AR379" s="725"/>
      <c r="AS379" s="725"/>
      <c r="AT379" s="725"/>
      <c r="AU379" s="725"/>
      <c r="AV379" s="725"/>
      <c r="AW379" s="725"/>
      <c r="AX379" s="725"/>
      <c r="AY379" s="725"/>
      <c r="AZ379" s="726"/>
      <c r="BB379" s="1029" t="str">
        <f>IF(BB380="","",VLOOKUP(BB380,KanckRef!$A$1:$G$300,2,FALSE))</f>
        <v/>
      </c>
      <c r="BC379" s="1030"/>
      <c r="BD379" s="1030"/>
      <c r="BE379" s="1030"/>
      <c r="BF379" s="1031"/>
      <c r="BG379" s="1048" t="str">
        <f>IF(BB380="","",VLOOKUP(BB380,KanckRef!$A$1:$G$300,6,FALSE))</f>
        <v/>
      </c>
      <c r="BH379" s="1049"/>
      <c r="BI379" s="988" t="str">
        <f>IF(BB380="","",VLOOKUP(BB380,DescRef!$D$2:$E$300,2,FALSE))</f>
        <v/>
      </c>
      <c r="BJ379" s="795"/>
      <c r="BK379" s="795"/>
      <c r="BL379" s="795"/>
      <c r="BM379" s="795"/>
      <c r="BN379" s="795"/>
      <c r="BO379" s="795"/>
      <c r="BP379" s="795"/>
      <c r="BQ379" s="795"/>
      <c r="BR379" s="795"/>
      <c r="BS379" s="795"/>
      <c r="BT379" s="795"/>
      <c r="BU379" s="795"/>
      <c r="BV379" s="795"/>
      <c r="BW379" s="795"/>
      <c r="BX379" s="795"/>
      <c r="BY379" s="795"/>
      <c r="BZ379" s="796"/>
      <c r="CB379" s="1029" t="str">
        <f>IF(CB380="","",VLOOKUP(CB380,KanckRef!$A$1:$G$300,2,FALSE))</f>
        <v/>
      </c>
      <c r="CC379" s="1030"/>
      <c r="CD379" s="1030"/>
      <c r="CE379" s="1030"/>
      <c r="CF379" s="1031"/>
      <c r="CG379" s="1048" t="str">
        <f>IF(CB380="","",VLOOKUP(CB380,KanckRef!$A$1:$G$300,6,FALSE))</f>
        <v/>
      </c>
      <c r="CH379" s="1049"/>
      <c r="CI379" s="988" t="str">
        <f>IF(CB380="","",VLOOKUP(CB380,DescRef!$D$2:$E$300,2,FALSE))</f>
        <v/>
      </c>
      <c r="CJ379" s="795"/>
      <c r="CK379" s="795"/>
      <c r="CL379" s="795"/>
      <c r="CM379" s="795"/>
      <c r="CN379" s="795"/>
      <c r="CO379" s="795"/>
      <c r="CP379" s="795"/>
      <c r="CQ379" s="795"/>
      <c r="CR379" s="795"/>
      <c r="CS379" s="795"/>
      <c r="CT379" s="795"/>
      <c r="CU379" s="795"/>
      <c r="CV379" s="795"/>
      <c r="CW379" s="795"/>
      <c r="CX379" s="795"/>
      <c r="CY379" s="795"/>
      <c r="CZ379" s="796"/>
    </row>
    <row r="380" spans="1:104" ht="15" customHeight="1" x14ac:dyDescent="0.25">
      <c r="A380" s="15">
        <v>63</v>
      </c>
      <c r="B380" s="1026" t="str">
        <f>IF(A380&lt;'Purchased Boons'!$B$496,VLOOKUP(A380,'Purchased Boons'!$BF$2:$BG$900,2,FALSE),"")</f>
        <v/>
      </c>
      <c r="C380" s="727"/>
      <c r="D380" s="727"/>
      <c r="E380" s="727"/>
      <c r="F380" s="727"/>
      <c r="G380" s="727"/>
      <c r="H380" s="727"/>
      <c r="I380" s="727" t="str">
        <f>IF(B380="","",VLOOKUP(B380,BoonRef!$A$2:$Z$900,25,FALSE))</f>
        <v/>
      </c>
      <c r="J380" s="727"/>
      <c r="K380" s="727"/>
      <c r="L380" s="727"/>
      <c r="M380" s="727"/>
      <c r="N380" s="727"/>
      <c r="O380" s="727"/>
      <c r="P380" s="727"/>
      <c r="Q380" s="727"/>
      <c r="R380" s="727"/>
      <c r="S380" s="727"/>
      <c r="T380" s="727"/>
      <c r="U380" s="727"/>
      <c r="V380" s="727"/>
      <c r="W380" s="727"/>
      <c r="X380" s="727"/>
      <c r="Y380" s="727"/>
      <c r="Z380" s="728"/>
      <c r="AA380" s="15">
        <v>170</v>
      </c>
      <c r="AB380" s="1026" t="str">
        <f>IF(AA380&lt;'Purchased Boons'!$B$496,VLOOKUP(AA380,'Purchased Boons'!$BF$2:$BG$900,2,FALSE),"")</f>
        <v/>
      </c>
      <c r="AC380" s="727"/>
      <c r="AD380" s="727"/>
      <c r="AE380" s="727"/>
      <c r="AF380" s="727"/>
      <c r="AG380" s="727"/>
      <c r="AH380" s="727"/>
      <c r="AI380" s="727" t="str">
        <f>IF(AB380="","",VLOOKUP(AB380,BoonRef!$A$2:$Z$900,25,FALSE))</f>
        <v/>
      </c>
      <c r="AJ380" s="727"/>
      <c r="AK380" s="727"/>
      <c r="AL380" s="727"/>
      <c r="AM380" s="727"/>
      <c r="AN380" s="727"/>
      <c r="AO380" s="727"/>
      <c r="AP380" s="727"/>
      <c r="AQ380" s="727"/>
      <c r="AR380" s="727"/>
      <c r="AS380" s="727"/>
      <c r="AT380" s="727"/>
      <c r="AU380" s="727"/>
      <c r="AV380" s="727"/>
      <c r="AW380" s="727"/>
      <c r="AX380" s="727"/>
      <c r="AY380" s="727"/>
      <c r="AZ380" s="728"/>
      <c r="BA380" s="15">
        <v>63</v>
      </c>
      <c r="BB380" s="1038" t="str">
        <f>IF(BA380&lt;'Purchased Knacks'!A$192,VLOOKUP(BA380,'Purchased Knacks'!$A$4:$E$300,3,FALSE),"")</f>
        <v/>
      </c>
      <c r="BC380" s="1039"/>
      <c r="BD380" s="1039"/>
      <c r="BE380" s="1039"/>
      <c r="BF380" s="1040"/>
      <c r="BG380" s="1032" t="str">
        <f>IF(BB380="","",VLOOKUP(BB380,KanckRef!$A$1:$G$300,7,FALSE))</f>
        <v/>
      </c>
      <c r="BH380" s="1033"/>
      <c r="BI380" s="753"/>
      <c r="BJ380" s="754"/>
      <c r="BK380" s="754"/>
      <c r="BL380" s="754"/>
      <c r="BM380" s="754"/>
      <c r="BN380" s="754"/>
      <c r="BO380" s="754"/>
      <c r="BP380" s="754"/>
      <c r="BQ380" s="754"/>
      <c r="BR380" s="754"/>
      <c r="BS380" s="754"/>
      <c r="BT380" s="754"/>
      <c r="BU380" s="754"/>
      <c r="BV380" s="754"/>
      <c r="BW380" s="754"/>
      <c r="BX380" s="754"/>
      <c r="BY380" s="754"/>
      <c r="BZ380" s="755"/>
      <c r="CA380" s="15">
        <v>170</v>
      </c>
      <c r="CB380" s="1038" t="str">
        <f>IF(CA380&lt;'Purchased Knacks'!A$192,VLOOKUP(CA380,'Purchased Knacks'!$A$4:$E$300,3,FALSE),"")</f>
        <v/>
      </c>
      <c r="CC380" s="1039"/>
      <c r="CD380" s="1039"/>
      <c r="CE380" s="1039"/>
      <c r="CF380" s="1040"/>
      <c r="CG380" s="1032" t="str">
        <f>IF(CB380="","",VLOOKUP(CB380,KanckRef!$A$1:$G$300,7,FALSE))</f>
        <v/>
      </c>
      <c r="CH380" s="1033"/>
      <c r="CI380" s="753"/>
      <c r="CJ380" s="754"/>
      <c r="CK380" s="754"/>
      <c r="CL380" s="754"/>
      <c r="CM380" s="754"/>
      <c r="CN380" s="754"/>
      <c r="CO380" s="754"/>
      <c r="CP380" s="754"/>
      <c r="CQ380" s="754"/>
      <c r="CR380" s="754"/>
      <c r="CS380" s="754"/>
      <c r="CT380" s="754"/>
      <c r="CU380" s="754"/>
      <c r="CV380" s="754"/>
      <c r="CW380" s="754"/>
      <c r="CX380" s="754"/>
      <c r="CY380" s="754"/>
      <c r="CZ380" s="755"/>
    </row>
    <row r="381" spans="1:104" ht="15" customHeight="1" x14ac:dyDescent="0.25">
      <c r="B381" s="1026"/>
      <c r="C381" s="727"/>
      <c r="D381" s="727"/>
      <c r="E381" s="727"/>
      <c r="F381" s="727"/>
      <c r="G381" s="727"/>
      <c r="H381" s="727"/>
      <c r="I381" s="727" t="str">
        <f>IF(B380="","",VLOOKUP(B380,BoonRef!$A$2:$Z$900,26,FALSE))</f>
        <v/>
      </c>
      <c r="J381" s="727"/>
      <c r="K381" s="727"/>
      <c r="L381" s="727"/>
      <c r="M381" s="727"/>
      <c r="N381" s="727"/>
      <c r="O381" s="727"/>
      <c r="P381" s="727"/>
      <c r="Q381" s="727"/>
      <c r="R381" s="727"/>
      <c r="S381" s="727"/>
      <c r="T381" s="727"/>
      <c r="U381" s="727"/>
      <c r="V381" s="727"/>
      <c r="W381" s="727"/>
      <c r="X381" s="727"/>
      <c r="Y381" s="727"/>
      <c r="Z381" s="728"/>
      <c r="AB381" s="1026"/>
      <c r="AC381" s="727"/>
      <c r="AD381" s="727"/>
      <c r="AE381" s="727"/>
      <c r="AF381" s="727"/>
      <c r="AG381" s="727"/>
      <c r="AH381" s="727"/>
      <c r="AI381" s="727" t="str">
        <f>IF(AB380="","",VLOOKUP(AB380,BoonRef!$A$2:$Z$900,26,FALSE))</f>
        <v/>
      </c>
      <c r="AJ381" s="727"/>
      <c r="AK381" s="727"/>
      <c r="AL381" s="727"/>
      <c r="AM381" s="727"/>
      <c r="AN381" s="727"/>
      <c r="AO381" s="727"/>
      <c r="AP381" s="727"/>
      <c r="AQ381" s="727"/>
      <c r="AR381" s="727"/>
      <c r="AS381" s="727"/>
      <c r="AT381" s="727"/>
      <c r="AU381" s="727"/>
      <c r="AV381" s="727"/>
      <c r="AW381" s="727"/>
      <c r="AX381" s="727"/>
      <c r="AY381" s="727"/>
      <c r="AZ381" s="728"/>
      <c r="BB381" s="1041"/>
      <c r="BC381" s="1042"/>
      <c r="BD381" s="1042"/>
      <c r="BE381" s="1042"/>
      <c r="BF381" s="1043"/>
      <c r="BG381" s="1034"/>
      <c r="BH381" s="1035"/>
      <c r="BI381" s="753"/>
      <c r="BJ381" s="754"/>
      <c r="BK381" s="754"/>
      <c r="BL381" s="754"/>
      <c r="BM381" s="754"/>
      <c r="BN381" s="754"/>
      <c r="BO381" s="754"/>
      <c r="BP381" s="754"/>
      <c r="BQ381" s="754"/>
      <c r="BR381" s="754"/>
      <c r="BS381" s="754"/>
      <c r="BT381" s="754"/>
      <c r="BU381" s="754"/>
      <c r="BV381" s="754"/>
      <c r="BW381" s="754"/>
      <c r="BX381" s="754"/>
      <c r="BY381" s="754"/>
      <c r="BZ381" s="755"/>
      <c r="CB381" s="1041"/>
      <c r="CC381" s="1042"/>
      <c r="CD381" s="1042"/>
      <c r="CE381" s="1042"/>
      <c r="CF381" s="1043"/>
      <c r="CG381" s="1034"/>
      <c r="CH381" s="1035"/>
      <c r="CI381" s="753"/>
      <c r="CJ381" s="754"/>
      <c r="CK381" s="754"/>
      <c r="CL381" s="754"/>
      <c r="CM381" s="754"/>
      <c r="CN381" s="754"/>
      <c r="CO381" s="754"/>
      <c r="CP381" s="754"/>
      <c r="CQ381" s="754"/>
      <c r="CR381" s="754"/>
      <c r="CS381" s="754"/>
      <c r="CT381" s="754"/>
      <c r="CU381" s="754"/>
      <c r="CV381" s="754"/>
      <c r="CW381" s="754"/>
      <c r="CX381" s="754"/>
      <c r="CY381" s="754"/>
      <c r="CZ381" s="755"/>
    </row>
    <row r="382" spans="1:104" x14ac:dyDescent="0.25">
      <c r="B382" s="1026" t="str">
        <f>IF(B380="","",VLOOKUP(B380,BoonRef!$A$2:$Z$900,24,FALSE))</f>
        <v/>
      </c>
      <c r="C382" s="727"/>
      <c r="D382" s="727"/>
      <c r="E382" s="727"/>
      <c r="F382" s="727"/>
      <c r="G382" s="727"/>
      <c r="H382" s="727"/>
      <c r="I382" s="727"/>
      <c r="J382" s="727"/>
      <c r="K382" s="727"/>
      <c r="L382" s="727"/>
      <c r="M382" s="727"/>
      <c r="N382" s="727"/>
      <c r="O382" s="727"/>
      <c r="P382" s="727"/>
      <c r="Q382" s="727"/>
      <c r="R382" s="727"/>
      <c r="S382" s="727"/>
      <c r="T382" s="727"/>
      <c r="U382" s="727"/>
      <c r="V382" s="727"/>
      <c r="W382" s="727"/>
      <c r="X382" s="727"/>
      <c r="Y382" s="727"/>
      <c r="Z382" s="728"/>
      <c r="AB382" s="1026" t="str">
        <f>IF(AB380="","",VLOOKUP(AB380,BoonRef!$A$2:$Z$900,24,FALSE))</f>
        <v/>
      </c>
      <c r="AC382" s="727"/>
      <c r="AD382" s="727"/>
      <c r="AE382" s="727"/>
      <c r="AF382" s="727"/>
      <c r="AG382" s="727"/>
      <c r="AH382" s="727"/>
      <c r="AI382" s="727"/>
      <c r="AJ382" s="727"/>
      <c r="AK382" s="727"/>
      <c r="AL382" s="727"/>
      <c r="AM382" s="727"/>
      <c r="AN382" s="727"/>
      <c r="AO382" s="727"/>
      <c r="AP382" s="727"/>
      <c r="AQ382" s="727"/>
      <c r="AR382" s="727"/>
      <c r="AS382" s="727"/>
      <c r="AT382" s="727"/>
      <c r="AU382" s="727"/>
      <c r="AV382" s="727"/>
      <c r="AW382" s="727"/>
      <c r="AX382" s="727"/>
      <c r="AY382" s="727"/>
      <c r="AZ382" s="728"/>
      <c r="BB382" s="641" t="str">
        <f>IF(BB380="","",VLOOKUP(BB380,KanckRef!$A$1:$G$300,4,FALSE))</f>
        <v/>
      </c>
      <c r="BC382" s="642"/>
      <c r="BD382" s="642"/>
      <c r="BE382" s="642"/>
      <c r="BF382" s="642"/>
      <c r="BG382" s="642"/>
      <c r="BH382" s="1033"/>
      <c r="BI382" s="753"/>
      <c r="BJ382" s="754"/>
      <c r="BK382" s="754"/>
      <c r="BL382" s="754"/>
      <c r="BM382" s="754"/>
      <c r="BN382" s="754"/>
      <c r="BO382" s="754"/>
      <c r="BP382" s="754"/>
      <c r="BQ382" s="754"/>
      <c r="BR382" s="754"/>
      <c r="BS382" s="754"/>
      <c r="BT382" s="754"/>
      <c r="BU382" s="754"/>
      <c r="BV382" s="754"/>
      <c r="BW382" s="754"/>
      <c r="BX382" s="754"/>
      <c r="BY382" s="754"/>
      <c r="BZ382" s="755"/>
      <c r="CB382" s="641" t="str">
        <f>IF(CB380="","",VLOOKUP(CB380,KanckRef!$A$1:$G$300,4,FALSE))</f>
        <v/>
      </c>
      <c r="CC382" s="642"/>
      <c r="CD382" s="642"/>
      <c r="CE382" s="642"/>
      <c r="CF382" s="642"/>
      <c r="CG382" s="642"/>
      <c r="CH382" s="1033"/>
      <c r="CI382" s="753"/>
      <c r="CJ382" s="754"/>
      <c r="CK382" s="754"/>
      <c r="CL382" s="754"/>
      <c r="CM382" s="754"/>
      <c r="CN382" s="754"/>
      <c r="CO382" s="754"/>
      <c r="CP382" s="754"/>
      <c r="CQ382" s="754"/>
      <c r="CR382" s="754"/>
      <c r="CS382" s="754"/>
      <c r="CT382" s="754"/>
      <c r="CU382" s="754"/>
      <c r="CV382" s="754"/>
      <c r="CW382" s="754"/>
      <c r="CX382" s="754"/>
      <c r="CY382" s="754"/>
      <c r="CZ382" s="755"/>
    </row>
    <row r="383" spans="1:104" x14ac:dyDescent="0.25">
      <c r="B383" s="1026" t="str">
        <f>IF(B380="","",VLOOKUP(B380,BoonRef!$A$2:$Z$900,23,FALSE))</f>
        <v/>
      </c>
      <c r="C383" s="727"/>
      <c r="D383" s="727"/>
      <c r="E383" s="727"/>
      <c r="F383" s="727"/>
      <c r="G383" s="727"/>
      <c r="H383" s="727"/>
      <c r="I383" s="727"/>
      <c r="J383" s="727"/>
      <c r="K383" s="727"/>
      <c r="L383" s="727"/>
      <c r="M383" s="727"/>
      <c r="N383" s="727"/>
      <c r="O383" s="727"/>
      <c r="P383" s="727"/>
      <c r="Q383" s="727"/>
      <c r="R383" s="727"/>
      <c r="S383" s="727"/>
      <c r="T383" s="727"/>
      <c r="U383" s="727"/>
      <c r="V383" s="727"/>
      <c r="W383" s="727"/>
      <c r="X383" s="727"/>
      <c r="Y383" s="727"/>
      <c r="Z383" s="728"/>
      <c r="AB383" s="1026" t="str">
        <f>IF(AB380="","",VLOOKUP(AB380,BoonRef!$A$2:$Z$900,23,FALSE))</f>
        <v/>
      </c>
      <c r="AC383" s="727"/>
      <c r="AD383" s="727"/>
      <c r="AE383" s="727"/>
      <c r="AF383" s="727"/>
      <c r="AG383" s="727"/>
      <c r="AH383" s="727"/>
      <c r="AI383" s="727"/>
      <c r="AJ383" s="727"/>
      <c r="AK383" s="727"/>
      <c r="AL383" s="727"/>
      <c r="AM383" s="727"/>
      <c r="AN383" s="727"/>
      <c r="AO383" s="727"/>
      <c r="AP383" s="727"/>
      <c r="AQ383" s="727"/>
      <c r="AR383" s="727"/>
      <c r="AS383" s="727"/>
      <c r="AT383" s="727"/>
      <c r="AU383" s="727"/>
      <c r="AV383" s="727"/>
      <c r="AW383" s="727"/>
      <c r="AX383" s="727"/>
      <c r="AY383" s="727"/>
      <c r="AZ383" s="728"/>
      <c r="BB383" s="635"/>
      <c r="BC383" s="636"/>
      <c r="BD383" s="636"/>
      <c r="BE383" s="636"/>
      <c r="BF383" s="636"/>
      <c r="BG383" s="636"/>
      <c r="BH383" s="1036"/>
      <c r="BI383" s="753"/>
      <c r="BJ383" s="754"/>
      <c r="BK383" s="754"/>
      <c r="BL383" s="754"/>
      <c r="BM383" s="754"/>
      <c r="BN383" s="754"/>
      <c r="BO383" s="754"/>
      <c r="BP383" s="754"/>
      <c r="BQ383" s="754"/>
      <c r="BR383" s="754"/>
      <c r="BS383" s="754"/>
      <c r="BT383" s="754"/>
      <c r="BU383" s="754"/>
      <c r="BV383" s="754"/>
      <c r="BW383" s="754"/>
      <c r="BX383" s="754"/>
      <c r="BY383" s="754"/>
      <c r="BZ383" s="755"/>
      <c r="CB383" s="635"/>
      <c r="CC383" s="636"/>
      <c r="CD383" s="636"/>
      <c r="CE383" s="636"/>
      <c r="CF383" s="636"/>
      <c r="CG383" s="636"/>
      <c r="CH383" s="1036"/>
      <c r="CI383" s="753"/>
      <c r="CJ383" s="754"/>
      <c r="CK383" s="754"/>
      <c r="CL383" s="754"/>
      <c r="CM383" s="754"/>
      <c r="CN383" s="754"/>
      <c r="CO383" s="754"/>
      <c r="CP383" s="754"/>
      <c r="CQ383" s="754"/>
      <c r="CR383" s="754"/>
      <c r="CS383" s="754"/>
      <c r="CT383" s="754"/>
      <c r="CU383" s="754"/>
      <c r="CV383" s="754"/>
      <c r="CW383" s="754"/>
      <c r="CX383" s="754"/>
      <c r="CY383" s="754"/>
      <c r="CZ383" s="755"/>
    </row>
    <row r="384" spans="1:104" ht="15.75" thickBot="1" x14ac:dyDescent="0.3">
      <c r="B384" s="1027"/>
      <c r="C384" s="865"/>
      <c r="D384" s="865"/>
      <c r="E384" s="865"/>
      <c r="F384" s="865"/>
      <c r="G384" s="865"/>
      <c r="H384" s="865"/>
      <c r="I384" s="865"/>
      <c r="J384" s="865"/>
      <c r="K384" s="865"/>
      <c r="L384" s="865"/>
      <c r="M384" s="865"/>
      <c r="N384" s="865"/>
      <c r="O384" s="865"/>
      <c r="P384" s="865"/>
      <c r="Q384" s="865"/>
      <c r="R384" s="865"/>
      <c r="S384" s="865"/>
      <c r="T384" s="865"/>
      <c r="U384" s="865"/>
      <c r="V384" s="865"/>
      <c r="W384" s="865"/>
      <c r="X384" s="865"/>
      <c r="Y384" s="865"/>
      <c r="Z384" s="921"/>
      <c r="AB384" s="1027"/>
      <c r="AC384" s="865"/>
      <c r="AD384" s="865"/>
      <c r="AE384" s="865"/>
      <c r="AF384" s="865"/>
      <c r="AG384" s="865"/>
      <c r="AH384" s="865"/>
      <c r="AI384" s="865"/>
      <c r="AJ384" s="865"/>
      <c r="AK384" s="865"/>
      <c r="AL384" s="865"/>
      <c r="AM384" s="865"/>
      <c r="AN384" s="865"/>
      <c r="AO384" s="865"/>
      <c r="AP384" s="865"/>
      <c r="AQ384" s="865"/>
      <c r="AR384" s="865"/>
      <c r="AS384" s="865"/>
      <c r="AT384" s="865"/>
      <c r="AU384" s="865"/>
      <c r="AV384" s="865"/>
      <c r="AW384" s="865"/>
      <c r="AX384" s="865"/>
      <c r="AY384" s="865"/>
      <c r="AZ384" s="921"/>
      <c r="BB384" s="644"/>
      <c r="BC384" s="645"/>
      <c r="BD384" s="645"/>
      <c r="BE384" s="645"/>
      <c r="BF384" s="645"/>
      <c r="BG384" s="645"/>
      <c r="BH384" s="1037"/>
      <c r="BI384" s="756"/>
      <c r="BJ384" s="757"/>
      <c r="BK384" s="757"/>
      <c r="BL384" s="757"/>
      <c r="BM384" s="757"/>
      <c r="BN384" s="757"/>
      <c r="BO384" s="757"/>
      <c r="BP384" s="757"/>
      <c r="BQ384" s="757"/>
      <c r="BR384" s="757"/>
      <c r="BS384" s="757"/>
      <c r="BT384" s="757"/>
      <c r="BU384" s="757"/>
      <c r="BV384" s="757"/>
      <c r="BW384" s="757"/>
      <c r="BX384" s="757"/>
      <c r="BY384" s="757"/>
      <c r="BZ384" s="758"/>
      <c r="CB384" s="644"/>
      <c r="CC384" s="645"/>
      <c r="CD384" s="645"/>
      <c r="CE384" s="645"/>
      <c r="CF384" s="645"/>
      <c r="CG384" s="645"/>
      <c r="CH384" s="1037"/>
      <c r="CI384" s="756"/>
      <c r="CJ384" s="757"/>
      <c r="CK384" s="757"/>
      <c r="CL384" s="757"/>
      <c r="CM384" s="757"/>
      <c r="CN384" s="757"/>
      <c r="CO384" s="757"/>
      <c r="CP384" s="757"/>
      <c r="CQ384" s="757"/>
      <c r="CR384" s="757"/>
      <c r="CS384" s="757"/>
      <c r="CT384" s="757"/>
      <c r="CU384" s="757"/>
      <c r="CV384" s="757"/>
      <c r="CW384" s="757"/>
      <c r="CX384" s="757"/>
      <c r="CY384" s="757"/>
      <c r="CZ384" s="758"/>
    </row>
    <row r="385" spans="1:104" ht="15" customHeight="1" x14ac:dyDescent="0.25">
      <c r="B385" s="1028" t="str">
        <f>IF(B386="","",VLOOKUP(B386,BoonRef!$A$2:$Z$900,2,FALSE))</f>
        <v/>
      </c>
      <c r="C385" s="725"/>
      <c r="D385" s="725"/>
      <c r="E385" s="725"/>
      <c r="F385" s="725"/>
      <c r="G385" s="725"/>
      <c r="H385" s="725"/>
      <c r="I385" s="725" t="str">
        <f>IF(B386="","",VLOOKUP(B386,BoonRef!$A$2:$Z$900,3,FALSE))</f>
        <v/>
      </c>
      <c r="J385" s="725"/>
      <c r="K385" s="725" t="str">
        <f>IF(B386="","",VLOOKUP(B386,DescRef!$A$2:$B$900,2,FALSE))</f>
        <v/>
      </c>
      <c r="L385" s="725"/>
      <c r="M385" s="725"/>
      <c r="N385" s="725"/>
      <c r="O385" s="725"/>
      <c r="P385" s="725"/>
      <c r="Q385" s="725"/>
      <c r="R385" s="725"/>
      <c r="S385" s="725"/>
      <c r="T385" s="725"/>
      <c r="U385" s="725"/>
      <c r="V385" s="725"/>
      <c r="W385" s="725"/>
      <c r="X385" s="725"/>
      <c r="Y385" s="725"/>
      <c r="Z385" s="726"/>
      <c r="AB385" s="1028" t="str">
        <f>IF(AB386="","",VLOOKUP(AB386,BoonRef!$A$2:$Z$900,2,FALSE))</f>
        <v/>
      </c>
      <c r="AC385" s="725"/>
      <c r="AD385" s="725"/>
      <c r="AE385" s="725"/>
      <c r="AF385" s="725"/>
      <c r="AG385" s="725"/>
      <c r="AH385" s="725"/>
      <c r="AI385" s="725" t="str">
        <f>IF(AB386="","",VLOOKUP(AB386,BoonRef!$A$2:$Z$900,3,FALSE))</f>
        <v/>
      </c>
      <c r="AJ385" s="725"/>
      <c r="AK385" s="725" t="str">
        <f>IF(AB386="","",VLOOKUP(AB386,DescRef!$A$2:$B$900,2,FALSE))</f>
        <v/>
      </c>
      <c r="AL385" s="725"/>
      <c r="AM385" s="725"/>
      <c r="AN385" s="725"/>
      <c r="AO385" s="725"/>
      <c r="AP385" s="725"/>
      <c r="AQ385" s="725"/>
      <c r="AR385" s="725"/>
      <c r="AS385" s="725"/>
      <c r="AT385" s="725"/>
      <c r="AU385" s="725"/>
      <c r="AV385" s="725"/>
      <c r="AW385" s="725"/>
      <c r="AX385" s="725"/>
      <c r="AY385" s="725"/>
      <c r="AZ385" s="726"/>
      <c r="BB385" s="1029" t="str">
        <f>IF(BB386="","",VLOOKUP(BB386,KanckRef!$A$1:$G$300,2,FALSE))</f>
        <v/>
      </c>
      <c r="BC385" s="1030"/>
      <c r="BD385" s="1030"/>
      <c r="BE385" s="1030"/>
      <c r="BF385" s="1031"/>
      <c r="BG385" s="1048" t="str">
        <f>IF(BB386="","",VLOOKUP(BB386,KanckRef!$A$1:$G$300,6,FALSE))</f>
        <v/>
      </c>
      <c r="BH385" s="1049"/>
      <c r="BI385" s="988" t="str">
        <f>IF(BB386="","",VLOOKUP(BB386,DescRef!$D$2:$E$300,2,FALSE))</f>
        <v/>
      </c>
      <c r="BJ385" s="795"/>
      <c r="BK385" s="795"/>
      <c r="BL385" s="795"/>
      <c r="BM385" s="795"/>
      <c r="BN385" s="795"/>
      <c r="BO385" s="795"/>
      <c r="BP385" s="795"/>
      <c r="BQ385" s="795"/>
      <c r="BR385" s="795"/>
      <c r="BS385" s="795"/>
      <c r="BT385" s="795"/>
      <c r="BU385" s="795"/>
      <c r="BV385" s="795"/>
      <c r="BW385" s="795"/>
      <c r="BX385" s="795"/>
      <c r="BY385" s="795"/>
      <c r="BZ385" s="796"/>
      <c r="CB385" s="1029" t="str">
        <f>IF(CB386="","",VLOOKUP(CB386,KanckRef!$A$1:$G$300,2,FALSE))</f>
        <v/>
      </c>
      <c r="CC385" s="1030"/>
      <c r="CD385" s="1030"/>
      <c r="CE385" s="1030"/>
      <c r="CF385" s="1031"/>
      <c r="CG385" s="1048" t="str">
        <f>IF(CB386="","",VLOOKUP(CB386,KanckRef!$A$1:$G$300,6,FALSE))</f>
        <v/>
      </c>
      <c r="CH385" s="1049"/>
      <c r="CI385" s="988" t="str">
        <f>IF(CB386="","",VLOOKUP(CB386,DescRef!$D$2:$E$300,2,FALSE))</f>
        <v/>
      </c>
      <c r="CJ385" s="795"/>
      <c r="CK385" s="795"/>
      <c r="CL385" s="795"/>
      <c r="CM385" s="795"/>
      <c r="CN385" s="795"/>
      <c r="CO385" s="795"/>
      <c r="CP385" s="795"/>
      <c r="CQ385" s="795"/>
      <c r="CR385" s="795"/>
      <c r="CS385" s="795"/>
      <c r="CT385" s="795"/>
      <c r="CU385" s="795"/>
      <c r="CV385" s="795"/>
      <c r="CW385" s="795"/>
      <c r="CX385" s="795"/>
      <c r="CY385" s="795"/>
      <c r="CZ385" s="796"/>
    </row>
    <row r="386" spans="1:104" ht="15" customHeight="1" x14ac:dyDescent="0.25">
      <c r="A386" s="15">
        <v>64</v>
      </c>
      <c r="B386" s="1026" t="str">
        <f>IF(A386&lt;'Purchased Boons'!$B$496,VLOOKUP(A386,'Purchased Boons'!$BF$2:$BG$900,2,FALSE),"")</f>
        <v/>
      </c>
      <c r="C386" s="727"/>
      <c r="D386" s="727"/>
      <c r="E386" s="727"/>
      <c r="F386" s="727"/>
      <c r="G386" s="727"/>
      <c r="H386" s="727"/>
      <c r="I386" s="727" t="str">
        <f>IF(B386="","",VLOOKUP(B386,BoonRef!$A$2:$Z$900,25,FALSE))</f>
        <v/>
      </c>
      <c r="J386" s="727"/>
      <c r="K386" s="727"/>
      <c r="L386" s="727"/>
      <c r="M386" s="727"/>
      <c r="N386" s="727"/>
      <c r="O386" s="727"/>
      <c r="P386" s="727"/>
      <c r="Q386" s="727"/>
      <c r="R386" s="727"/>
      <c r="S386" s="727"/>
      <c r="T386" s="727"/>
      <c r="U386" s="727"/>
      <c r="V386" s="727"/>
      <c r="W386" s="727"/>
      <c r="X386" s="727"/>
      <c r="Y386" s="727"/>
      <c r="Z386" s="728"/>
      <c r="AA386" s="15">
        <v>171</v>
      </c>
      <c r="AB386" s="1026" t="str">
        <f>IF(AA386&lt;'Purchased Boons'!$B$496,VLOOKUP(AA386,'Purchased Boons'!$BF$2:$BG$900,2,FALSE),"")</f>
        <v/>
      </c>
      <c r="AC386" s="727"/>
      <c r="AD386" s="727"/>
      <c r="AE386" s="727"/>
      <c r="AF386" s="727"/>
      <c r="AG386" s="727"/>
      <c r="AH386" s="727"/>
      <c r="AI386" s="727" t="str">
        <f>IF(AB386="","",VLOOKUP(AB386,BoonRef!$A$2:$Z$900,25,FALSE))</f>
        <v/>
      </c>
      <c r="AJ386" s="727"/>
      <c r="AK386" s="727"/>
      <c r="AL386" s="727"/>
      <c r="AM386" s="727"/>
      <c r="AN386" s="727"/>
      <c r="AO386" s="727"/>
      <c r="AP386" s="727"/>
      <c r="AQ386" s="727"/>
      <c r="AR386" s="727"/>
      <c r="AS386" s="727"/>
      <c r="AT386" s="727"/>
      <c r="AU386" s="727"/>
      <c r="AV386" s="727"/>
      <c r="AW386" s="727"/>
      <c r="AX386" s="727"/>
      <c r="AY386" s="727"/>
      <c r="AZ386" s="728"/>
      <c r="BA386" s="15">
        <v>64</v>
      </c>
      <c r="BB386" s="1038" t="str">
        <f>IF(BA386&lt;'Purchased Knacks'!A$192,VLOOKUP(BA386,'Purchased Knacks'!$A$4:$E$300,3,FALSE),"")</f>
        <v/>
      </c>
      <c r="BC386" s="1039"/>
      <c r="BD386" s="1039"/>
      <c r="BE386" s="1039"/>
      <c r="BF386" s="1040"/>
      <c r="BG386" s="1032" t="str">
        <f>IF(BB386="","",VLOOKUP(BB386,KanckRef!$A$1:$G$300,7,FALSE))</f>
        <v/>
      </c>
      <c r="BH386" s="1033"/>
      <c r="BI386" s="753"/>
      <c r="BJ386" s="754"/>
      <c r="BK386" s="754"/>
      <c r="BL386" s="754"/>
      <c r="BM386" s="754"/>
      <c r="BN386" s="754"/>
      <c r="BO386" s="754"/>
      <c r="BP386" s="754"/>
      <c r="BQ386" s="754"/>
      <c r="BR386" s="754"/>
      <c r="BS386" s="754"/>
      <c r="BT386" s="754"/>
      <c r="BU386" s="754"/>
      <c r="BV386" s="754"/>
      <c r="BW386" s="754"/>
      <c r="BX386" s="754"/>
      <c r="BY386" s="754"/>
      <c r="BZ386" s="755"/>
      <c r="CA386" s="15">
        <v>171</v>
      </c>
      <c r="CB386" s="1038" t="str">
        <f>IF(CA386&lt;'Purchased Knacks'!A$192,VLOOKUP(CA386,'Purchased Knacks'!$A$4:$E$300,3,FALSE),"")</f>
        <v/>
      </c>
      <c r="CC386" s="1039"/>
      <c r="CD386" s="1039"/>
      <c r="CE386" s="1039"/>
      <c r="CF386" s="1040"/>
      <c r="CG386" s="1032" t="str">
        <f>IF(CB386="","",VLOOKUP(CB386,KanckRef!$A$1:$G$300,7,FALSE))</f>
        <v/>
      </c>
      <c r="CH386" s="1033"/>
      <c r="CI386" s="753"/>
      <c r="CJ386" s="754"/>
      <c r="CK386" s="754"/>
      <c r="CL386" s="754"/>
      <c r="CM386" s="754"/>
      <c r="CN386" s="754"/>
      <c r="CO386" s="754"/>
      <c r="CP386" s="754"/>
      <c r="CQ386" s="754"/>
      <c r="CR386" s="754"/>
      <c r="CS386" s="754"/>
      <c r="CT386" s="754"/>
      <c r="CU386" s="754"/>
      <c r="CV386" s="754"/>
      <c r="CW386" s="754"/>
      <c r="CX386" s="754"/>
      <c r="CY386" s="754"/>
      <c r="CZ386" s="755"/>
    </row>
    <row r="387" spans="1:104" x14ac:dyDescent="0.25">
      <c r="B387" s="1026"/>
      <c r="C387" s="727"/>
      <c r="D387" s="727"/>
      <c r="E387" s="727"/>
      <c r="F387" s="727"/>
      <c r="G387" s="727"/>
      <c r="H387" s="727"/>
      <c r="I387" s="727" t="str">
        <f>IF(B386="","",VLOOKUP(B386,BoonRef!$A$2:$Z$900,26,FALSE))</f>
        <v/>
      </c>
      <c r="J387" s="727"/>
      <c r="K387" s="727"/>
      <c r="L387" s="727"/>
      <c r="M387" s="727"/>
      <c r="N387" s="727"/>
      <c r="O387" s="727"/>
      <c r="P387" s="727"/>
      <c r="Q387" s="727"/>
      <c r="R387" s="727"/>
      <c r="S387" s="727"/>
      <c r="T387" s="727"/>
      <c r="U387" s="727"/>
      <c r="V387" s="727"/>
      <c r="W387" s="727"/>
      <c r="X387" s="727"/>
      <c r="Y387" s="727"/>
      <c r="Z387" s="728"/>
      <c r="AB387" s="1026"/>
      <c r="AC387" s="727"/>
      <c r="AD387" s="727"/>
      <c r="AE387" s="727"/>
      <c r="AF387" s="727"/>
      <c r="AG387" s="727"/>
      <c r="AH387" s="727"/>
      <c r="AI387" s="727" t="str">
        <f>IF(AB386="","",VLOOKUP(AB386,BoonRef!$A$2:$Z$900,26,FALSE))</f>
        <v/>
      </c>
      <c r="AJ387" s="727"/>
      <c r="AK387" s="727"/>
      <c r="AL387" s="727"/>
      <c r="AM387" s="727"/>
      <c r="AN387" s="727"/>
      <c r="AO387" s="727"/>
      <c r="AP387" s="727"/>
      <c r="AQ387" s="727"/>
      <c r="AR387" s="727"/>
      <c r="AS387" s="727"/>
      <c r="AT387" s="727"/>
      <c r="AU387" s="727"/>
      <c r="AV387" s="727"/>
      <c r="AW387" s="727"/>
      <c r="AX387" s="727"/>
      <c r="AY387" s="727"/>
      <c r="AZ387" s="728"/>
      <c r="BB387" s="1041"/>
      <c r="BC387" s="1042"/>
      <c r="BD387" s="1042"/>
      <c r="BE387" s="1042"/>
      <c r="BF387" s="1043"/>
      <c r="BG387" s="1034"/>
      <c r="BH387" s="1035"/>
      <c r="BI387" s="753"/>
      <c r="BJ387" s="754"/>
      <c r="BK387" s="754"/>
      <c r="BL387" s="754"/>
      <c r="BM387" s="754"/>
      <c r="BN387" s="754"/>
      <c r="BO387" s="754"/>
      <c r="BP387" s="754"/>
      <c r="BQ387" s="754"/>
      <c r="BR387" s="754"/>
      <c r="BS387" s="754"/>
      <c r="BT387" s="754"/>
      <c r="BU387" s="754"/>
      <c r="BV387" s="754"/>
      <c r="BW387" s="754"/>
      <c r="BX387" s="754"/>
      <c r="BY387" s="754"/>
      <c r="BZ387" s="755"/>
      <c r="CB387" s="1041"/>
      <c r="CC387" s="1042"/>
      <c r="CD387" s="1042"/>
      <c r="CE387" s="1042"/>
      <c r="CF387" s="1043"/>
      <c r="CG387" s="1034"/>
      <c r="CH387" s="1035"/>
      <c r="CI387" s="753"/>
      <c r="CJ387" s="754"/>
      <c r="CK387" s="754"/>
      <c r="CL387" s="754"/>
      <c r="CM387" s="754"/>
      <c r="CN387" s="754"/>
      <c r="CO387" s="754"/>
      <c r="CP387" s="754"/>
      <c r="CQ387" s="754"/>
      <c r="CR387" s="754"/>
      <c r="CS387" s="754"/>
      <c r="CT387" s="754"/>
      <c r="CU387" s="754"/>
      <c r="CV387" s="754"/>
      <c r="CW387" s="754"/>
      <c r="CX387" s="754"/>
      <c r="CY387" s="754"/>
      <c r="CZ387" s="755"/>
    </row>
    <row r="388" spans="1:104" x14ac:dyDescent="0.25">
      <c r="B388" s="1026" t="str">
        <f>IF(B386="","",VLOOKUP(B386,BoonRef!$A$2:$Z$900,24,FALSE))</f>
        <v/>
      </c>
      <c r="C388" s="727"/>
      <c r="D388" s="727"/>
      <c r="E388" s="727"/>
      <c r="F388" s="727"/>
      <c r="G388" s="727"/>
      <c r="H388" s="727"/>
      <c r="I388" s="727"/>
      <c r="J388" s="727"/>
      <c r="K388" s="727"/>
      <c r="L388" s="727"/>
      <c r="M388" s="727"/>
      <c r="N388" s="727"/>
      <c r="O388" s="727"/>
      <c r="P388" s="727"/>
      <c r="Q388" s="727"/>
      <c r="R388" s="727"/>
      <c r="S388" s="727"/>
      <c r="T388" s="727"/>
      <c r="U388" s="727"/>
      <c r="V388" s="727"/>
      <c r="W388" s="727"/>
      <c r="X388" s="727"/>
      <c r="Y388" s="727"/>
      <c r="Z388" s="728"/>
      <c r="AB388" s="1026" t="str">
        <f>IF(AB386="","",VLOOKUP(AB386,BoonRef!$A$2:$Z$900,24,FALSE))</f>
        <v/>
      </c>
      <c r="AC388" s="727"/>
      <c r="AD388" s="727"/>
      <c r="AE388" s="727"/>
      <c r="AF388" s="727"/>
      <c r="AG388" s="727"/>
      <c r="AH388" s="727"/>
      <c r="AI388" s="727"/>
      <c r="AJ388" s="727"/>
      <c r="AK388" s="727"/>
      <c r="AL388" s="727"/>
      <c r="AM388" s="727"/>
      <c r="AN388" s="727"/>
      <c r="AO388" s="727"/>
      <c r="AP388" s="727"/>
      <c r="AQ388" s="727"/>
      <c r="AR388" s="727"/>
      <c r="AS388" s="727"/>
      <c r="AT388" s="727"/>
      <c r="AU388" s="727"/>
      <c r="AV388" s="727"/>
      <c r="AW388" s="727"/>
      <c r="AX388" s="727"/>
      <c r="AY388" s="727"/>
      <c r="AZ388" s="728"/>
      <c r="BB388" s="641" t="str">
        <f>IF(BB386="","",VLOOKUP(BB386,KanckRef!$A$1:$G$300,4,FALSE))</f>
        <v/>
      </c>
      <c r="BC388" s="642"/>
      <c r="BD388" s="642"/>
      <c r="BE388" s="642"/>
      <c r="BF388" s="642"/>
      <c r="BG388" s="642"/>
      <c r="BH388" s="1033"/>
      <c r="BI388" s="753"/>
      <c r="BJ388" s="754"/>
      <c r="BK388" s="754"/>
      <c r="BL388" s="754"/>
      <c r="BM388" s="754"/>
      <c r="BN388" s="754"/>
      <c r="BO388" s="754"/>
      <c r="BP388" s="754"/>
      <c r="BQ388" s="754"/>
      <c r="BR388" s="754"/>
      <c r="BS388" s="754"/>
      <c r="BT388" s="754"/>
      <c r="BU388" s="754"/>
      <c r="BV388" s="754"/>
      <c r="BW388" s="754"/>
      <c r="BX388" s="754"/>
      <c r="BY388" s="754"/>
      <c r="BZ388" s="755"/>
      <c r="CB388" s="641" t="str">
        <f>IF(CB386="","",VLOOKUP(CB386,KanckRef!$A$1:$G$300,4,FALSE))</f>
        <v/>
      </c>
      <c r="CC388" s="642"/>
      <c r="CD388" s="642"/>
      <c r="CE388" s="642"/>
      <c r="CF388" s="642"/>
      <c r="CG388" s="642"/>
      <c r="CH388" s="1033"/>
      <c r="CI388" s="753"/>
      <c r="CJ388" s="754"/>
      <c r="CK388" s="754"/>
      <c r="CL388" s="754"/>
      <c r="CM388" s="754"/>
      <c r="CN388" s="754"/>
      <c r="CO388" s="754"/>
      <c r="CP388" s="754"/>
      <c r="CQ388" s="754"/>
      <c r="CR388" s="754"/>
      <c r="CS388" s="754"/>
      <c r="CT388" s="754"/>
      <c r="CU388" s="754"/>
      <c r="CV388" s="754"/>
      <c r="CW388" s="754"/>
      <c r="CX388" s="754"/>
      <c r="CY388" s="754"/>
      <c r="CZ388" s="755"/>
    </row>
    <row r="389" spans="1:104" x14ac:dyDescent="0.25">
      <c r="B389" s="1026" t="str">
        <f>IF(B386="","",VLOOKUP(B386,BoonRef!$A$2:$Z$900,23,FALSE))</f>
        <v/>
      </c>
      <c r="C389" s="727"/>
      <c r="D389" s="727"/>
      <c r="E389" s="727"/>
      <c r="F389" s="727"/>
      <c r="G389" s="727"/>
      <c r="H389" s="727"/>
      <c r="I389" s="727"/>
      <c r="J389" s="727"/>
      <c r="K389" s="727"/>
      <c r="L389" s="727"/>
      <c r="M389" s="727"/>
      <c r="N389" s="727"/>
      <c r="O389" s="727"/>
      <c r="P389" s="727"/>
      <c r="Q389" s="727"/>
      <c r="R389" s="727"/>
      <c r="S389" s="727"/>
      <c r="T389" s="727"/>
      <c r="U389" s="727"/>
      <c r="V389" s="727"/>
      <c r="W389" s="727"/>
      <c r="X389" s="727"/>
      <c r="Y389" s="727"/>
      <c r="Z389" s="728"/>
      <c r="AB389" s="1026" t="str">
        <f>IF(AB386="","",VLOOKUP(AB386,BoonRef!$A$2:$Z$900,23,FALSE))</f>
        <v/>
      </c>
      <c r="AC389" s="727"/>
      <c r="AD389" s="727"/>
      <c r="AE389" s="727"/>
      <c r="AF389" s="727"/>
      <c r="AG389" s="727"/>
      <c r="AH389" s="727"/>
      <c r="AI389" s="727"/>
      <c r="AJ389" s="727"/>
      <c r="AK389" s="727"/>
      <c r="AL389" s="727"/>
      <c r="AM389" s="727"/>
      <c r="AN389" s="727"/>
      <c r="AO389" s="727"/>
      <c r="AP389" s="727"/>
      <c r="AQ389" s="727"/>
      <c r="AR389" s="727"/>
      <c r="AS389" s="727"/>
      <c r="AT389" s="727"/>
      <c r="AU389" s="727"/>
      <c r="AV389" s="727"/>
      <c r="AW389" s="727"/>
      <c r="AX389" s="727"/>
      <c r="AY389" s="727"/>
      <c r="AZ389" s="728"/>
      <c r="BB389" s="635"/>
      <c r="BC389" s="636"/>
      <c r="BD389" s="636"/>
      <c r="BE389" s="636"/>
      <c r="BF389" s="636"/>
      <c r="BG389" s="636"/>
      <c r="BH389" s="1036"/>
      <c r="BI389" s="753"/>
      <c r="BJ389" s="754"/>
      <c r="BK389" s="754"/>
      <c r="BL389" s="754"/>
      <c r="BM389" s="754"/>
      <c r="BN389" s="754"/>
      <c r="BO389" s="754"/>
      <c r="BP389" s="754"/>
      <c r="BQ389" s="754"/>
      <c r="BR389" s="754"/>
      <c r="BS389" s="754"/>
      <c r="BT389" s="754"/>
      <c r="BU389" s="754"/>
      <c r="BV389" s="754"/>
      <c r="BW389" s="754"/>
      <c r="BX389" s="754"/>
      <c r="BY389" s="754"/>
      <c r="BZ389" s="755"/>
      <c r="CB389" s="635"/>
      <c r="CC389" s="636"/>
      <c r="CD389" s="636"/>
      <c r="CE389" s="636"/>
      <c r="CF389" s="636"/>
      <c r="CG389" s="636"/>
      <c r="CH389" s="1036"/>
      <c r="CI389" s="753"/>
      <c r="CJ389" s="754"/>
      <c r="CK389" s="754"/>
      <c r="CL389" s="754"/>
      <c r="CM389" s="754"/>
      <c r="CN389" s="754"/>
      <c r="CO389" s="754"/>
      <c r="CP389" s="754"/>
      <c r="CQ389" s="754"/>
      <c r="CR389" s="754"/>
      <c r="CS389" s="754"/>
      <c r="CT389" s="754"/>
      <c r="CU389" s="754"/>
      <c r="CV389" s="754"/>
      <c r="CW389" s="754"/>
      <c r="CX389" s="754"/>
      <c r="CY389" s="754"/>
      <c r="CZ389" s="755"/>
    </row>
    <row r="390" spans="1:104" ht="15" customHeight="1" thickBot="1" x14ac:dyDescent="0.3">
      <c r="B390" s="1027"/>
      <c r="C390" s="865"/>
      <c r="D390" s="865"/>
      <c r="E390" s="865"/>
      <c r="F390" s="865"/>
      <c r="G390" s="865"/>
      <c r="H390" s="865"/>
      <c r="I390" s="865"/>
      <c r="J390" s="865"/>
      <c r="K390" s="865"/>
      <c r="L390" s="865"/>
      <c r="M390" s="865"/>
      <c r="N390" s="865"/>
      <c r="O390" s="865"/>
      <c r="P390" s="865"/>
      <c r="Q390" s="865"/>
      <c r="R390" s="865"/>
      <c r="S390" s="865"/>
      <c r="T390" s="865"/>
      <c r="U390" s="865"/>
      <c r="V390" s="865"/>
      <c r="W390" s="865"/>
      <c r="X390" s="865"/>
      <c r="Y390" s="865"/>
      <c r="Z390" s="921"/>
      <c r="AB390" s="1027"/>
      <c r="AC390" s="865"/>
      <c r="AD390" s="865"/>
      <c r="AE390" s="865"/>
      <c r="AF390" s="865"/>
      <c r="AG390" s="865"/>
      <c r="AH390" s="865"/>
      <c r="AI390" s="865"/>
      <c r="AJ390" s="865"/>
      <c r="AK390" s="865"/>
      <c r="AL390" s="865"/>
      <c r="AM390" s="865"/>
      <c r="AN390" s="865"/>
      <c r="AO390" s="865"/>
      <c r="AP390" s="865"/>
      <c r="AQ390" s="865"/>
      <c r="AR390" s="865"/>
      <c r="AS390" s="865"/>
      <c r="AT390" s="865"/>
      <c r="AU390" s="865"/>
      <c r="AV390" s="865"/>
      <c r="AW390" s="865"/>
      <c r="AX390" s="865"/>
      <c r="AY390" s="865"/>
      <c r="AZ390" s="921"/>
      <c r="BB390" s="644"/>
      <c r="BC390" s="645"/>
      <c r="BD390" s="645"/>
      <c r="BE390" s="645"/>
      <c r="BF390" s="645"/>
      <c r="BG390" s="645"/>
      <c r="BH390" s="1037"/>
      <c r="BI390" s="756"/>
      <c r="BJ390" s="757"/>
      <c r="BK390" s="757"/>
      <c r="BL390" s="757"/>
      <c r="BM390" s="757"/>
      <c r="BN390" s="757"/>
      <c r="BO390" s="757"/>
      <c r="BP390" s="757"/>
      <c r="BQ390" s="757"/>
      <c r="BR390" s="757"/>
      <c r="BS390" s="757"/>
      <c r="BT390" s="757"/>
      <c r="BU390" s="757"/>
      <c r="BV390" s="757"/>
      <c r="BW390" s="757"/>
      <c r="BX390" s="757"/>
      <c r="BY390" s="757"/>
      <c r="BZ390" s="758"/>
      <c r="CB390" s="644"/>
      <c r="CC390" s="645"/>
      <c r="CD390" s="645"/>
      <c r="CE390" s="645"/>
      <c r="CF390" s="645"/>
      <c r="CG390" s="645"/>
      <c r="CH390" s="1037"/>
      <c r="CI390" s="756"/>
      <c r="CJ390" s="757"/>
      <c r="CK390" s="757"/>
      <c r="CL390" s="757"/>
      <c r="CM390" s="757"/>
      <c r="CN390" s="757"/>
      <c r="CO390" s="757"/>
      <c r="CP390" s="757"/>
      <c r="CQ390" s="757"/>
      <c r="CR390" s="757"/>
      <c r="CS390" s="757"/>
      <c r="CT390" s="757"/>
      <c r="CU390" s="757"/>
      <c r="CV390" s="757"/>
      <c r="CW390" s="757"/>
      <c r="CX390" s="757"/>
      <c r="CY390" s="757"/>
      <c r="CZ390" s="758"/>
    </row>
    <row r="391" spans="1:104" ht="15" customHeight="1" x14ac:dyDescent="0.25">
      <c r="B391" s="1028" t="str">
        <f>IF(B392="","",VLOOKUP(B392,BoonRef!$A$2:$Z$900,2,FALSE))</f>
        <v/>
      </c>
      <c r="C391" s="725"/>
      <c r="D391" s="725"/>
      <c r="E391" s="725"/>
      <c r="F391" s="725"/>
      <c r="G391" s="725"/>
      <c r="H391" s="725"/>
      <c r="I391" s="725" t="str">
        <f>IF(B392="","",VLOOKUP(B392,BoonRef!$A$2:$Z$900,3,FALSE))</f>
        <v/>
      </c>
      <c r="J391" s="725"/>
      <c r="K391" s="725" t="str">
        <f>IF(B392="","",VLOOKUP(B392,DescRef!$A$2:$B$900,2,FALSE))</f>
        <v/>
      </c>
      <c r="L391" s="725"/>
      <c r="M391" s="725"/>
      <c r="N391" s="725"/>
      <c r="O391" s="725"/>
      <c r="P391" s="725"/>
      <c r="Q391" s="725"/>
      <c r="R391" s="725"/>
      <c r="S391" s="725"/>
      <c r="T391" s="725"/>
      <c r="U391" s="725"/>
      <c r="V391" s="725"/>
      <c r="W391" s="725"/>
      <c r="X391" s="725"/>
      <c r="Y391" s="725"/>
      <c r="Z391" s="726"/>
      <c r="AB391" s="1028" t="str">
        <f>IF(AB392="","",VLOOKUP(AB392,BoonRef!$A$2:$Z$900,2,FALSE))</f>
        <v/>
      </c>
      <c r="AC391" s="725"/>
      <c r="AD391" s="725"/>
      <c r="AE391" s="725"/>
      <c r="AF391" s="725"/>
      <c r="AG391" s="725"/>
      <c r="AH391" s="725"/>
      <c r="AI391" s="725" t="str">
        <f>IF(AB392="","",VLOOKUP(AB392,BoonRef!$A$2:$Z$900,3,FALSE))</f>
        <v/>
      </c>
      <c r="AJ391" s="725"/>
      <c r="AK391" s="725" t="str">
        <f>IF(AB392="","",VLOOKUP(AB392,DescRef!$A$2:$B$900,2,FALSE))</f>
        <v/>
      </c>
      <c r="AL391" s="725"/>
      <c r="AM391" s="725"/>
      <c r="AN391" s="725"/>
      <c r="AO391" s="725"/>
      <c r="AP391" s="725"/>
      <c r="AQ391" s="725"/>
      <c r="AR391" s="725"/>
      <c r="AS391" s="725"/>
      <c r="AT391" s="725"/>
      <c r="AU391" s="725"/>
      <c r="AV391" s="725"/>
      <c r="AW391" s="725"/>
      <c r="AX391" s="725"/>
      <c r="AY391" s="725"/>
      <c r="AZ391" s="726"/>
      <c r="BB391" s="1029" t="str">
        <f>IF(BB392="","",VLOOKUP(BB392,KanckRef!$A$1:$G$300,2,FALSE))</f>
        <v/>
      </c>
      <c r="BC391" s="1030"/>
      <c r="BD391" s="1030"/>
      <c r="BE391" s="1030"/>
      <c r="BF391" s="1031"/>
      <c r="BG391" s="1048" t="str">
        <f>IF(BB392="","",VLOOKUP(BB392,KanckRef!$A$1:$G$300,6,FALSE))</f>
        <v/>
      </c>
      <c r="BH391" s="1049"/>
      <c r="BI391" s="988" t="str">
        <f>IF(BB392="","",VLOOKUP(BB392,DescRef!$D$2:$E$300,2,FALSE))</f>
        <v/>
      </c>
      <c r="BJ391" s="795"/>
      <c r="BK391" s="795"/>
      <c r="BL391" s="795"/>
      <c r="BM391" s="795"/>
      <c r="BN391" s="795"/>
      <c r="BO391" s="795"/>
      <c r="BP391" s="795"/>
      <c r="BQ391" s="795"/>
      <c r="BR391" s="795"/>
      <c r="BS391" s="795"/>
      <c r="BT391" s="795"/>
      <c r="BU391" s="795"/>
      <c r="BV391" s="795"/>
      <c r="BW391" s="795"/>
      <c r="BX391" s="795"/>
      <c r="BY391" s="795"/>
      <c r="BZ391" s="796"/>
      <c r="CB391" s="1029" t="str">
        <f>IF(CB392="","",VLOOKUP(CB392,KanckRef!$A$1:$G$300,2,FALSE))</f>
        <v/>
      </c>
      <c r="CC391" s="1030"/>
      <c r="CD391" s="1030"/>
      <c r="CE391" s="1030"/>
      <c r="CF391" s="1031"/>
      <c r="CG391" s="1048" t="str">
        <f>IF(CB392="","",VLOOKUP(CB392,KanckRef!$A$1:$G$300,6,FALSE))</f>
        <v/>
      </c>
      <c r="CH391" s="1049"/>
      <c r="CI391" s="988" t="str">
        <f>IF(CB392="","",VLOOKUP(CB392,DescRef!$D$2:$E$300,2,FALSE))</f>
        <v/>
      </c>
      <c r="CJ391" s="795"/>
      <c r="CK391" s="795"/>
      <c r="CL391" s="795"/>
      <c r="CM391" s="795"/>
      <c r="CN391" s="795"/>
      <c r="CO391" s="795"/>
      <c r="CP391" s="795"/>
      <c r="CQ391" s="795"/>
      <c r="CR391" s="795"/>
      <c r="CS391" s="795"/>
      <c r="CT391" s="795"/>
      <c r="CU391" s="795"/>
      <c r="CV391" s="795"/>
      <c r="CW391" s="795"/>
      <c r="CX391" s="795"/>
      <c r="CY391" s="795"/>
      <c r="CZ391" s="796"/>
    </row>
    <row r="392" spans="1:104" ht="15" customHeight="1" x14ac:dyDescent="0.25">
      <c r="A392" s="15">
        <v>65</v>
      </c>
      <c r="B392" s="1026" t="str">
        <f>IF(A392&lt;'Purchased Boons'!$B$496,VLOOKUP(A392,'Purchased Boons'!$BF$2:$BG$900,2,FALSE),"")</f>
        <v/>
      </c>
      <c r="C392" s="727"/>
      <c r="D392" s="727"/>
      <c r="E392" s="727"/>
      <c r="F392" s="727"/>
      <c r="G392" s="727"/>
      <c r="H392" s="727"/>
      <c r="I392" s="727" t="str">
        <f>IF(B392="","",VLOOKUP(B392,BoonRef!$A$2:$Z$900,25,FALSE))</f>
        <v/>
      </c>
      <c r="J392" s="727"/>
      <c r="K392" s="727"/>
      <c r="L392" s="727"/>
      <c r="M392" s="727"/>
      <c r="N392" s="727"/>
      <c r="O392" s="727"/>
      <c r="P392" s="727"/>
      <c r="Q392" s="727"/>
      <c r="R392" s="727"/>
      <c r="S392" s="727"/>
      <c r="T392" s="727"/>
      <c r="U392" s="727"/>
      <c r="V392" s="727"/>
      <c r="W392" s="727"/>
      <c r="X392" s="727"/>
      <c r="Y392" s="727"/>
      <c r="Z392" s="728"/>
      <c r="AA392" s="15">
        <v>172</v>
      </c>
      <c r="AB392" s="1026" t="str">
        <f>IF(AA392&lt;'Purchased Boons'!$B$496,VLOOKUP(AA392,'Purchased Boons'!$BF$2:$BG$900,2,FALSE),"")</f>
        <v/>
      </c>
      <c r="AC392" s="727"/>
      <c r="AD392" s="727"/>
      <c r="AE392" s="727"/>
      <c r="AF392" s="727"/>
      <c r="AG392" s="727"/>
      <c r="AH392" s="727"/>
      <c r="AI392" s="727" t="str">
        <f>IF(AB392="","",VLOOKUP(AB392,BoonRef!$A$2:$Z$900,25,FALSE))</f>
        <v/>
      </c>
      <c r="AJ392" s="727"/>
      <c r="AK392" s="727"/>
      <c r="AL392" s="727"/>
      <c r="AM392" s="727"/>
      <c r="AN392" s="727"/>
      <c r="AO392" s="727"/>
      <c r="AP392" s="727"/>
      <c r="AQ392" s="727"/>
      <c r="AR392" s="727"/>
      <c r="AS392" s="727"/>
      <c r="AT392" s="727"/>
      <c r="AU392" s="727"/>
      <c r="AV392" s="727"/>
      <c r="AW392" s="727"/>
      <c r="AX392" s="727"/>
      <c r="AY392" s="727"/>
      <c r="AZ392" s="728"/>
      <c r="BA392" s="15">
        <v>65</v>
      </c>
      <c r="BB392" s="1038" t="str">
        <f>IF(BA392&lt;'Purchased Knacks'!A$192,VLOOKUP(BA392,'Purchased Knacks'!$A$4:$E$300,3,FALSE),"")</f>
        <v/>
      </c>
      <c r="BC392" s="1039"/>
      <c r="BD392" s="1039"/>
      <c r="BE392" s="1039"/>
      <c r="BF392" s="1040"/>
      <c r="BG392" s="1032" t="str">
        <f>IF(BB392="","",VLOOKUP(BB392,KanckRef!$A$1:$G$300,7,FALSE))</f>
        <v/>
      </c>
      <c r="BH392" s="1033"/>
      <c r="BI392" s="753"/>
      <c r="BJ392" s="754"/>
      <c r="BK392" s="754"/>
      <c r="BL392" s="754"/>
      <c r="BM392" s="754"/>
      <c r="BN392" s="754"/>
      <c r="BO392" s="754"/>
      <c r="BP392" s="754"/>
      <c r="BQ392" s="754"/>
      <c r="BR392" s="754"/>
      <c r="BS392" s="754"/>
      <c r="BT392" s="754"/>
      <c r="BU392" s="754"/>
      <c r="BV392" s="754"/>
      <c r="BW392" s="754"/>
      <c r="BX392" s="754"/>
      <c r="BY392" s="754"/>
      <c r="BZ392" s="755"/>
      <c r="CA392" s="15">
        <v>172</v>
      </c>
      <c r="CB392" s="1038" t="str">
        <f>IF(CA392&lt;'Purchased Knacks'!A$192,VLOOKUP(CA392,'Purchased Knacks'!$A$4:$E$300,3,FALSE),"")</f>
        <v/>
      </c>
      <c r="CC392" s="1039"/>
      <c r="CD392" s="1039"/>
      <c r="CE392" s="1039"/>
      <c r="CF392" s="1040"/>
      <c r="CG392" s="1032" t="str">
        <f>IF(CB392="","",VLOOKUP(CB392,KanckRef!$A$1:$G$300,7,FALSE))</f>
        <v/>
      </c>
      <c r="CH392" s="1033"/>
      <c r="CI392" s="753"/>
      <c r="CJ392" s="754"/>
      <c r="CK392" s="754"/>
      <c r="CL392" s="754"/>
      <c r="CM392" s="754"/>
      <c r="CN392" s="754"/>
      <c r="CO392" s="754"/>
      <c r="CP392" s="754"/>
      <c r="CQ392" s="754"/>
      <c r="CR392" s="754"/>
      <c r="CS392" s="754"/>
      <c r="CT392" s="754"/>
      <c r="CU392" s="754"/>
      <c r="CV392" s="754"/>
      <c r="CW392" s="754"/>
      <c r="CX392" s="754"/>
      <c r="CY392" s="754"/>
      <c r="CZ392" s="755"/>
    </row>
    <row r="393" spans="1:104" x14ac:dyDescent="0.25">
      <c r="B393" s="1026"/>
      <c r="C393" s="727"/>
      <c r="D393" s="727"/>
      <c r="E393" s="727"/>
      <c r="F393" s="727"/>
      <c r="G393" s="727"/>
      <c r="H393" s="727"/>
      <c r="I393" s="727" t="str">
        <f>IF(B392="","",VLOOKUP(B392,BoonRef!$A$2:$Z$900,26,FALSE))</f>
        <v/>
      </c>
      <c r="J393" s="727"/>
      <c r="K393" s="727"/>
      <c r="L393" s="727"/>
      <c r="M393" s="727"/>
      <c r="N393" s="727"/>
      <c r="O393" s="727"/>
      <c r="P393" s="727"/>
      <c r="Q393" s="727"/>
      <c r="R393" s="727"/>
      <c r="S393" s="727"/>
      <c r="T393" s="727"/>
      <c r="U393" s="727"/>
      <c r="V393" s="727"/>
      <c r="W393" s="727"/>
      <c r="X393" s="727"/>
      <c r="Y393" s="727"/>
      <c r="Z393" s="728"/>
      <c r="AB393" s="1026"/>
      <c r="AC393" s="727"/>
      <c r="AD393" s="727"/>
      <c r="AE393" s="727"/>
      <c r="AF393" s="727"/>
      <c r="AG393" s="727"/>
      <c r="AH393" s="727"/>
      <c r="AI393" s="727" t="str">
        <f>IF(AB392="","",VLOOKUP(AB392,BoonRef!$A$2:$Z$900,26,FALSE))</f>
        <v/>
      </c>
      <c r="AJ393" s="727"/>
      <c r="AK393" s="727"/>
      <c r="AL393" s="727"/>
      <c r="AM393" s="727"/>
      <c r="AN393" s="727"/>
      <c r="AO393" s="727"/>
      <c r="AP393" s="727"/>
      <c r="AQ393" s="727"/>
      <c r="AR393" s="727"/>
      <c r="AS393" s="727"/>
      <c r="AT393" s="727"/>
      <c r="AU393" s="727"/>
      <c r="AV393" s="727"/>
      <c r="AW393" s="727"/>
      <c r="AX393" s="727"/>
      <c r="AY393" s="727"/>
      <c r="AZ393" s="728"/>
      <c r="BB393" s="1041"/>
      <c r="BC393" s="1042"/>
      <c r="BD393" s="1042"/>
      <c r="BE393" s="1042"/>
      <c r="BF393" s="1043"/>
      <c r="BG393" s="1034"/>
      <c r="BH393" s="1035"/>
      <c r="BI393" s="753"/>
      <c r="BJ393" s="754"/>
      <c r="BK393" s="754"/>
      <c r="BL393" s="754"/>
      <c r="BM393" s="754"/>
      <c r="BN393" s="754"/>
      <c r="BO393" s="754"/>
      <c r="BP393" s="754"/>
      <c r="BQ393" s="754"/>
      <c r="BR393" s="754"/>
      <c r="BS393" s="754"/>
      <c r="BT393" s="754"/>
      <c r="BU393" s="754"/>
      <c r="BV393" s="754"/>
      <c r="BW393" s="754"/>
      <c r="BX393" s="754"/>
      <c r="BY393" s="754"/>
      <c r="BZ393" s="755"/>
      <c r="CB393" s="1041"/>
      <c r="CC393" s="1042"/>
      <c r="CD393" s="1042"/>
      <c r="CE393" s="1042"/>
      <c r="CF393" s="1043"/>
      <c r="CG393" s="1034"/>
      <c r="CH393" s="1035"/>
      <c r="CI393" s="753"/>
      <c r="CJ393" s="754"/>
      <c r="CK393" s="754"/>
      <c r="CL393" s="754"/>
      <c r="CM393" s="754"/>
      <c r="CN393" s="754"/>
      <c r="CO393" s="754"/>
      <c r="CP393" s="754"/>
      <c r="CQ393" s="754"/>
      <c r="CR393" s="754"/>
      <c r="CS393" s="754"/>
      <c r="CT393" s="754"/>
      <c r="CU393" s="754"/>
      <c r="CV393" s="754"/>
      <c r="CW393" s="754"/>
      <c r="CX393" s="754"/>
      <c r="CY393" s="754"/>
      <c r="CZ393" s="755"/>
    </row>
    <row r="394" spans="1:104" x14ac:dyDescent="0.25">
      <c r="B394" s="1026" t="str">
        <f>IF(B392="","",VLOOKUP(B392,BoonRef!$A$2:$Z$900,24,FALSE))</f>
        <v/>
      </c>
      <c r="C394" s="727"/>
      <c r="D394" s="727"/>
      <c r="E394" s="727"/>
      <c r="F394" s="727"/>
      <c r="G394" s="727"/>
      <c r="H394" s="727"/>
      <c r="I394" s="727"/>
      <c r="J394" s="727"/>
      <c r="K394" s="727"/>
      <c r="L394" s="727"/>
      <c r="M394" s="727"/>
      <c r="N394" s="727"/>
      <c r="O394" s="727"/>
      <c r="P394" s="727"/>
      <c r="Q394" s="727"/>
      <c r="R394" s="727"/>
      <c r="S394" s="727"/>
      <c r="T394" s="727"/>
      <c r="U394" s="727"/>
      <c r="V394" s="727"/>
      <c r="W394" s="727"/>
      <c r="X394" s="727"/>
      <c r="Y394" s="727"/>
      <c r="Z394" s="728"/>
      <c r="AB394" s="1026" t="str">
        <f>IF(AB392="","",VLOOKUP(AB392,BoonRef!$A$2:$Z$900,24,FALSE))</f>
        <v/>
      </c>
      <c r="AC394" s="727"/>
      <c r="AD394" s="727"/>
      <c r="AE394" s="727"/>
      <c r="AF394" s="727"/>
      <c r="AG394" s="727"/>
      <c r="AH394" s="727"/>
      <c r="AI394" s="727"/>
      <c r="AJ394" s="727"/>
      <c r="AK394" s="727"/>
      <c r="AL394" s="727"/>
      <c r="AM394" s="727"/>
      <c r="AN394" s="727"/>
      <c r="AO394" s="727"/>
      <c r="AP394" s="727"/>
      <c r="AQ394" s="727"/>
      <c r="AR394" s="727"/>
      <c r="AS394" s="727"/>
      <c r="AT394" s="727"/>
      <c r="AU394" s="727"/>
      <c r="AV394" s="727"/>
      <c r="AW394" s="727"/>
      <c r="AX394" s="727"/>
      <c r="AY394" s="727"/>
      <c r="AZ394" s="728"/>
      <c r="BB394" s="641" t="str">
        <f>IF(BB392="","",VLOOKUP(BB392,KanckRef!$A$1:$G$300,4,FALSE))</f>
        <v/>
      </c>
      <c r="BC394" s="642"/>
      <c r="BD394" s="642"/>
      <c r="BE394" s="642"/>
      <c r="BF394" s="642"/>
      <c r="BG394" s="642"/>
      <c r="BH394" s="1033"/>
      <c r="BI394" s="753"/>
      <c r="BJ394" s="754"/>
      <c r="BK394" s="754"/>
      <c r="BL394" s="754"/>
      <c r="BM394" s="754"/>
      <c r="BN394" s="754"/>
      <c r="BO394" s="754"/>
      <c r="BP394" s="754"/>
      <c r="BQ394" s="754"/>
      <c r="BR394" s="754"/>
      <c r="BS394" s="754"/>
      <c r="BT394" s="754"/>
      <c r="BU394" s="754"/>
      <c r="BV394" s="754"/>
      <c r="BW394" s="754"/>
      <c r="BX394" s="754"/>
      <c r="BY394" s="754"/>
      <c r="BZ394" s="755"/>
      <c r="CB394" s="641" t="str">
        <f>IF(CB392="","",VLOOKUP(CB392,KanckRef!$A$1:$G$300,4,FALSE))</f>
        <v/>
      </c>
      <c r="CC394" s="642"/>
      <c r="CD394" s="642"/>
      <c r="CE394" s="642"/>
      <c r="CF394" s="642"/>
      <c r="CG394" s="642"/>
      <c r="CH394" s="1033"/>
      <c r="CI394" s="753"/>
      <c r="CJ394" s="754"/>
      <c r="CK394" s="754"/>
      <c r="CL394" s="754"/>
      <c r="CM394" s="754"/>
      <c r="CN394" s="754"/>
      <c r="CO394" s="754"/>
      <c r="CP394" s="754"/>
      <c r="CQ394" s="754"/>
      <c r="CR394" s="754"/>
      <c r="CS394" s="754"/>
      <c r="CT394" s="754"/>
      <c r="CU394" s="754"/>
      <c r="CV394" s="754"/>
      <c r="CW394" s="754"/>
      <c r="CX394" s="754"/>
      <c r="CY394" s="754"/>
      <c r="CZ394" s="755"/>
    </row>
    <row r="395" spans="1:104" ht="15" customHeight="1" x14ac:dyDescent="0.25">
      <c r="B395" s="1026" t="str">
        <f>IF(B392="","",VLOOKUP(B392,BoonRef!$A$2:$Z$900,23,FALSE))</f>
        <v/>
      </c>
      <c r="C395" s="727"/>
      <c r="D395" s="727"/>
      <c r="E395" s="727"/>
      <c r="F395" s="727"/>
      <c r="G395" s="727"/>
      <c r="H395" s="727"/>
      <c r="I395" s="727"/>
      <c r="J395" s="727"/>
      <c r="K395" s="727"/>
      <c r="L395" s="727"/>
      <c r="M395" s="727"/>
      <c r="N395" s="727"/>
      <c r="O395" s="727"/>
      <c r="P395" s="727"/>
      <c r="Q395" s="727"/>
      <c r="R395" s="727"/>
      <c r="S395" s="727"/>
      <c r="T395" s="727"/>
      <c r="U395" s="727"/>
      <c r="V395" s="727"/>
      <c r="W395" s="727"/>
      <c r="X395" s="727"/>
      <c r="Y395" s="727"/>
      <c r="Z395" s="728"/>
      <c r="AB395" s="1026" t="str">
        <f>IF(AB392="","",VLOOKUP(AB392,BoonRef!$A$2:$Z$900,23,FALSE))</f>
        <v/>
      </c>
      <c r="AC395" s="727"/>
      <c r="AD395" s="727"/>
      <c r="AE395" s="727"/>
      <c r="AF395" s="727"/>
      <c r="AG395" s="727"/>
      <c r="AH395" s="727"/>
      <c r="AI395" s="727"/>
      <c r="AJ395" s="727"/>
      <c r="AK395" s="727"/>
      <c r="AL395" s="727"/>
      <c r="AM395" s="727"/>
      <c r="AN395" s="727"/>
      <c r="AO395" s="727"/>
      <c r="AP395" s="727"/>
      <c r="AQ395" s="727"/>
      <c r="AR395" s="727"/>
      <c r="AS395" s="727"/>
      <c r="AT395" s="727"/>
      <c r="AU395" s="727"/>
      <c r="AV395" s="727"/>
      <c r="AW395" s="727"/>
      <c r="AX395" s="727"/>
      <c r="AY395" s="727"/>
      <c r="AZ395" s="728"/>
      <c r="BB395" s="635"/>
      <c r="BC395" s="636"/>
      <c r="BD395" s="636"/>
      <c r="BE395" s="636"/>
      <c r="BF395" s="636"/>
      <c r="BG395" s="636"/>
      <c r="BH395" s="1036"/>
      <c r="BI395" s="753"/>
      <c r="BJ395" s="754"/>
      <c r="BK395" s="754"/>
      <c r="BL395" s="754"/>
      <c r="BM395" s="754"/>
      <c r="BN395" s="754"/>
      <c r="BO395" s="754"/>
      <c r="BP395" s="754"/>
      <c r="BQ395" s="754"/>
      <c r="BR395" s="754"/>
      <c r="BS395" s="754"/>
      <c r="BT395" s="754"/>
      <c r="BU395" s="754"/>
      <c r="BV395" s="754"/>
      <c r="BW395" s="754"/>
      <c r="BX395" s="754"/>
      <c r="BY395" s="754"/>
      <c r="BZ395" s="755"/>
      <c r="CB395" s="635"/>
      <c r="CC395" s="636"/>
      <c r="CD395" s="636"/>
      <c r="CE395" s="636"/>
      <c r="CF395" s="636"/>
      <c r="CG395" s="636"/>
      <c r="CH395" s="1036"/>
      <c r="CI395" s="753"/>
      <c r="CJ395" s="754"/>
      <c r="CK395" s="754"/>
      <c r="CL395" s="754"/>
      <c r="CM395" s="754"/>
      <c r="CN395" s="754"/>
      <c r="CO395" s="754"/>
      <c r="CP395" s="754"/>
      <c r="CQ395" s="754"/>
      <c r="CR395" s="754"/>
      <c r="CS395" s="754"/>
      <c r="CT395" s="754"/>
      <c r="CU395" s="754"/>
      <c r="CV395" s="754"/>
      <c r="CW395" s="754"/>
      <c r="CX395" s="754"/>
      <c r="CY395" s="754"/>
      <c r="CZ395" s="755"/>
    </row>
    <row r="396" spans="1:104" ht="15" customHeight="1" thickBot="1" x14ac:dyDescent="0.3">
      <c r="B396" s="1027"/>
      <c r="C396" s="865"/>
      <c r="D396" s="865"/>
      <c r="E396" s="865"/>
      <c r="F396" s="865"/>
      <c r="G396" s="865"/>
      <c r="H396" s="865"/>
      <c r="I396" s="865"/>
      <c r="J396" s="865"/>
      <c r="K396" s="865"/>
      <c r="L396" s="865"/>
      <c r="M396" s="865"/>
      <c r="N396" s="865"/>
      <c r="O396" s="865"/>
      <c r="P396" s="865"/>
      <c r="Q396" s="865"/>
      <c r="R396" s="865"/>
      <c r="S396" s="865"/>
      <c r="T396" s="865"/>
      <c r="U396" s="865"/>
      <c r="V396" s="865"/>
      <c r="W396" s="865"/>
      <c r="X396" s="865"/>
      <c r="Y396" s="865"/>
      <c r="Z396" s="921"/>
      <c r="AB396" s="1027"/>
      <c r="AC396" s="865"/>
      <c r="AD396" s="865"/>
      <c r="AE396" s="865"/>
      <c r="AF396" s="865"/>
      <c r="AG396" s="865"/>
      <c r="AH396" s="865"/>
      <c r="AI396" s="865"/>
      <c r="AJ396" s="865"/>
      <c r="AK396" s="865"/>
      <c r="AL396" s="865"/>
      <c r="AM396" s="865"/>
      <c r="AN396" s="865"/>
      <c r="AO396" s="865"/>
      <c r="AP396" s="865"/>
      <c r="AQ396" s="865"/>
      <c r="AR396" s="865"/>
      <c r="AS396" s="865"/>
      <c r="AT396" s="865"/>
      <c r="AU396" s="865"/>
      <c r="AV396" s="865"/>
      <c r="AW396" s="865"/>
      <c r="AX396" s="865"/>
      <c r="AY396" s="865"/>
      <c r="AZ396" s="921"/>
      <c r="BB396" s="644"/>
      <c r="BC396" s="645"/>
      <c r="BD396" s="645"/>
      <c r="BE396" s="645"/>
      <c r="BF396" s="645"/>
      <c r="BG396" s="645"/>
      <c r="BH396" s="1037"/>
      <c r="BI396" s="756"/>
      <c r="BJ396" s="757"/>
      <c r="BK396" s="757"/>
      <c r="BL396" s="757"/>
      <c r="BM396" s="757"/>
      <c r="BN396" s="757"/>
      <c r="BO396" s="757"/>
      <c r="BP396" s="757"/>
      <c r="BQ396" s="757"/>
      <c r="BR396" s="757"/>
      <c r="BS396" s="757"/>
      <c r="BT396" s="757"/>
      <c r="BU396" s="757"/>
      <c r="BV396" s="757"/>
      <c r="BW396" s="757"/>
      <c r="BX396" s="757"/>
      <c r="BY396" s="757"/>
      <c r="BZ396" s="758"/>
      <c r="CB396" s="644"/>
      <c r="CC396" s="645"/>
      <c r="CD396" s="645"/>
      <c r="CE396" s="645"/>
      <c r="CF396" s="645"/>
      <c r="CG396" s="645"/>
      <c r="CH396" s="1037"/>
      <c r="CI396" s="756"/>
      <c r="CJ396" s="757"/>
      <c r="CK396" s="757"/>
      <c r="CL396" s="757"/>
      <c r="CM396" s="757"/>
      <c r="CN396" s="757"/>
      <c r="CO396" s="757"/>
      <c r="CP396" s="757"/>
      <c r="CQ396" s="757"/>
      <c r="CR396" s="757"/>
      <c r="CS396" s="757"/>
      <c r="CT396" s="757"/>
      <c r="CU396" s="757"/>
      <c r="CV396" s="757"/>
      <c r="CW396" s="757"/>
      <c r="CX396" s="757"/>
      <c r="CY396" s="757"/>
      <c r="CZ396" s="758"/>
    </row>
    <row r="397" spans="1:104" x14ac:dyDescent="0.25">
      <c r="B397" s="1028" t="str">
        <f>IF(B398="","",VLOOKUP(B398,BoonRef!$A$2:$Z$900,2,FALSE))</f>
        <v/>
      </c>
      <c r="C397" s="725"/>
      <c r="D397" s="725"/>
      <c r="E397" s="725"/>
      <c r="F397" s="725"/>
      <c r="G397" s="725"/>
      <c r="H397" s="725"/>
      <c r="I397" s="725" t="str">
        <f>IF(B398="","",VLOOKUP(B398,BoonRef!$A$2:$Z$900,3,FALSE))</f>
        <v/>
      </c>
      <c r="J397" s="725"/>
      <c r="K397" s="725" t="str">
        <f>IF(B398="","",VLOOKUP(B398,DescRef!$A$2:$B$900,2,FALSE))</f>
        <v/>
      </c>
      <c r="L397" s="725"/>
      <c r="M397" s="725"/>
      <c r="N397" s="725"/>
      <c r="O397" s="725"/>
      <c r="P397" s="725"/>
      <c r="Q397" s="725"/>
      <c r="R397" s="725"/>
      <c r="S397" s="725"/>
      <c r="T397" s="725"/>
      <c r="U397" s="725"/>
      <c r="V397" s="725"/>
      <c r="W397" s="725"/>
      <c r="X397" s="725"/>
      <c r="Y397" s="725"/>
      <c r="Z397" s="726"/>
      <c r="AB397" s="1028" t="str">
        <f>IF(AB398="","",VLOOKUP(AB398,BoonRef!$A$2:$Z$900,2,FALSE))</f>
        <v/>
      </c>
      <c r="AC397" s="725"/>
      <c r="AD397" s="725"/>
      <c r="AE397" s="725"/>
      <c r="AF397" s="725"/>
      <c r="AG397" s="725"/>
      <c r="AH397" s="725"/>
      <c r="AI397" s="725" t="str">
        <f>IF(AB398="","",VLOOKUP(AB398,BoonRef!$A$2:$Z$900,3,FALSE))</f>
        <v/>
      </c>
      <c r="AJ397" s="725"/>
      <c r="AK397" s="725" t="str">
        <f>IF(AB398="","",VLOOKUP(AB398,DescRef!$A$2:$B$900,2,FALSE))</f>
        <v/>
      </c>
      <c r="AL397" s="725"/>
      <c r="AM397" s="725"/>
      <c r="AN397" s="725"/>
      <c r="AO397" s="725"/>
      <c r="AP397" s="725"/>
      <c r="AQ397" s="725"/>
      <c r="AR397" s="725"/>
      <c r="AS397" s="725"/>
      <c r="AT397" s="725"/>
      <c r="AU397" s="725"/>
      <c r="AV397" s="725"/>
      <c r="AW397" s="725"/>
      <c r="AX397" s="725"/>
      <c r="AY397" s="725"/>
      <c r="AZ397" s="726"/>
      <c r="BB397" s="1029" t="str">
        <f>IF(BB398="","",VLOOKUP(BB398,KanckRef!$A$1:$G$300,2,FALSE))</f>
        <v/>
      </c>
      <c r="BC397" s="1030"/>
      <c r="BD397" s="1030"/>
      <c r="BE397" s="1030"/>
      <c r="BF397" s="1031"/>
      <c r="BG397" s="1048" t="str">
        <f>IF(BB398="","",VLOOKUP(BB398,KanckRef!$A$1:$G$300,6,FALSE))</f>
        <v/>
      </c>
      <c r="BH397" s="1049"/>
      <c r="BI397" s="988" t="str">
        <f>IF(BB398="","",VLOOKUP(BB398,DescRef!$D$2:$E$300,2,FALSE))</f>
        <v/>
      </c>
      <c r="BJ397" s="795"/>
      <c r="BK397" s="795"/>
      <c r="BL397" s="795"/>
      <c r="BM397" s="795"/>
      <c r="BN397" s="795"/>
      <c r="BO397" s="795"/>
      <c r="BP397" s="795"/>
      <c r="BQ397" s="795"/>
      <c r="BR397" s="795"/>
      <c r="BS397" s="795"/>
      <c r="BT397" s="795"/>
      <c r="BU397" s="795"/>
      <c r="BV397" s="795"/>
      <c r="BW397" s="795"/>
      <c r="BX397" s="795"/>
      <c r="BY397" s="795"/>
      <c r="BZ397" s="796"/>
      <c r="CB397" s="1029" t="str">
        <f>IF(CB398="","",VLOOKUP(CB398,KanckRef!$A$1:$G$300,2,FALSE))</f>
        <v/>
      </c>
      <c r="CC397" s="1030"/>
      <c r="CD397" s="1030"/>
      <c r="CE397" s="1030"/>
      <c r="CF397" s="1031"/>
      <c r="CG397" s="1048" t="str">
        <f>IF(CB398="","",VLOOKUP(CB398,KanckRef!$A$1:$G$300,6,FALSE))</f>
        <v/>
      </c>
      <c r="CH397" s="1049"/>
      <c r="CI397" s="988" t="str">
        <f>IF(CB398="","",VLOOKUP(CB398,DescRef!$D$2:$E$300,2,FALSE))</f>
        <v/>
      </c>
      <c r="CJ397" s="795"/>
      <c r="CK397" s="795"/>
      <c r="CL397" s="795"/>
      <c r="CM397" s="795"/>
      <c r="CN397" s="795"/>
      <c r="CO397" s="795"/>
      <c r="CP397" s="795"/>
      <c r="CQ397" s="795"/>
      <c r="CR397" s="795"/>
      <c r="CS397" s="795"/>
      <c r="CT397" s="795"/>
      <c r="CU397" s="795"/>
      <c r="CV397" s="795"/>
      <c r="CW397" s="795"/>
      <c r="CX397" s="795"/>
      <c r="CY397" s="795"/>
      <c r="CZ397" s="796"/>
    </row>
    <row r="398" spans="1:104" ht="15" customHeight="1" x14ac:dyDescent="0.25">
      <c r="A398" s="15">
        <v>66</v>
      </c>
      <c r="B398" s="1026" t="str">
        <f>IF(A398&lt;'Purchased Boons'!$B$496,VLOOKUP(A398,'Purchased Boons'!$BF$2:$BG$900,2,FALSE),"")</f>
        <v/>
      </c>
      <c r="C398" s="727"/>
      <c r="D398" s="727"/>
      <c r="E398" s="727"/>
      <c r="F398" s="727"/>
      <c r="G398" s="727"/>
      <c r="H398" s="727"/>
      <c r="I398" s="727" t="str">
        <f>IF(B398="","",VLOOKUP(B398,BoonRef!$A$2:$Z$900,25,FALSE))</f>
        <v/>
      </c>
      <c r="J398" s="727"/>
      <c r="K398" s="727"/>
      <c r="L398" s="727"/>
      <c r="M398" s="727"/>
      <c r="N398" s="727"/>
      <c r="O398" s="727"/>
      <c r="P398" s="727"/>
      <c r="Q398" s="727"/>
      <c r="R398" s="727"/>
      <c r="S398" s="727"/>
      <c r="T398" s="727"/>
      <c r="U398" s="727"/>
      <c r="V398" s="727"/>
      <c r="W398" s="727"/>
      <c r="X398" s="727"/>
      <c r="Y398" s="727"/>
      <c r="Z398" s="728"/>
      <c r="AA398" s="15">
        <v>173</v>
      </c>
      <c r="AB398" s="1026" t="str">
        <f>IF(AA398&lt;'Purchased Boons'!$B$496,VLOOKUP(AA398,'Purchased Boons'!$BF$2:$BG$900,2,FALSE),"")</f>
        <v/>
      </c>
      <c r="AC398" s="727"/>
      <c r="AD398" s="727"/>
      <c r="AE398" s="727"/>
      <c r="AF398" s="727"/>
      <c r="AG398" s="727"/>
      <c r="AH398" s="727"/>
      <c r="AI398" s="727" t="str">
        <f>IF(AB398="","",VLOOKUP(AB398,BoonRef!$A$2:$Z$900,25,FALSE))</f>
        <v/>
      </c>
      <c r="AJ398" s="727"/>
      <c r="AK398" s="727"/>
      <c r="AL398" s="727"/>
      <c r="AM398" s="727"/>
      <c r="AN398" s="727"/>
      <c r="AO398" s="727"/>
      <c r="AP398" s="727"/>
      <c r="AQ398" s="727"/>
      <c r="AR398" s="727"/>
      <c r="AS398" s="727"/>
      <c r="AT398" s="727"/>
      <c r="AU398" s="727"/>
      <c r="AV398" s="727"/>
      <c r="AW398" s="727"/>
      <c r="AX398" s="727"/>
      <c r="AY398" s="727"/>
      <c r="AZ398" s="728"/>
      <c r="BA398" s="15">
        <v>66</v>
      </c>
      <c r="BB398" s="1038" t="str">
        <f>IF(BA398&lt;'Purchased Knacks'!A$192,VLOOKUP(BA398,'Purchased Knacks'!$A$4:$E$300,3,FALSE),"")</f>
        <v/>
      </c>
      <c r="BC398" s="1039"/>
      <c r="BD398" s="1039"/>
      <c r="BE398" s="1039"/>
      <c r="BF398" s="1040"/>
      <c r="BG398" s="1032" t="str">
        <f>IF(BB398="","",VLOOKUP(BB398,KanckRef!$A$1:$G$300,7,FALSE))</f>
        <v/>
      </c>
      <c r="BH398" s="1033"/>
      <c r="BI398" s="753"/>
      <c r="BJ398" s="754"/>
      <c r="BK398" s="754"/>
      <c r="BL398" s="754"/>
      <c r="BM398" s="754"/>
      <c r="BN398" s="754"/>
      <c r="BO398" s="754"/>
      <c r="BP398" s="754"/>
      <c r="BQ398" s="754"/>
      <c r="BR398" s="754"/>
      <c r="BS398" s="754"/>
      <c r="BT398" s="754"/>
      <c r="BU398" s="754"/>
      <c r="BV398" s="754"/>
      <c r="BW398" s="754"/>
      <c r="BX398" s="754"/>
      <c r="BY398" s="754"/>
      <c r="BZ398" s="755"/>
      <c r="CA398" s="15">
        <v>173</v>
      </c>
      <c r="CB398" s="1038" t="str">
        <f>IF(CA398&lt;'Purchased Knacks'!A$192,VLOOKUP(CA398,'Purchased Knacks'!$A$4:$E$300,3,FALSE),"")</f>
        <v/>
      </c>
      <c r="CC398" s="1039"/>
      <c r="CD398" s="1039"/>
      <c r="CE398" s="1039"/>
      <c r="CF398" s="1040"/>
      <c r="CG398" s="1032" t="str">
        <f>IF(CB398="","",VLOOKUP(CB398,KanckRef!$A$1:$G$300,7,FALSE))</f>
        <v/>
      </c>
      <c r="CH398" s="1033"/>
      <c r="CI398" s="753"/>
      <c r="CJ398" s="754"/>
      <c r="CK398" s="754"/>
      <c r="CL398" s="754"/>
      <c r="CM398" s="754"/>
      <c r="CN398" s="754"/>
      <c r="CO398" s="754"/>
      <c r="CP398" s="754"/>
      <c r="CQ398" s="754"/>
      <c r="CR398" s="754"/>
      <c r="CS398" s="754"/>
      <c r="CT398" s="754"/>
      <c r="CU398" s="754"/>
      <c r="CV398" s="754"/>
      <c r="CW398" s="754"/>
      <c r="CX398" s="754"/>
      <c r="CY398" s="754"/>
      <c r="CZ398" s="755"/>
    </row>
    <row r="399" spans="1:104" x14ac:dyDescent="0.25">
      <c r="B399" s="1026"/>
      <c r="C399" s="727"/>
      <c r="D399" s="727"/>
      <c r="E399" s="727"/>
      <c r="F399" s="727"/>
      <c r="G399" s="727"/>
      <c r="H399" s="727"/>
      <c r="I399" s="727" t="str">
        <f>IF(B398="","",VLOOKUP(B398,BoonRef!$A$2:$Z$900,26,FALSE))</f>
        <v/>
      </c>
      <c r="J399" s="727"/>
      <c r="K399" s="727"/>
      <c r="L399" s="727"/>
      <c r="M399" s="727"/>
      <c r="N399" s="727"/>
      <c r="O399" s="727"/>
      <c r="P399" s="727"/>
      <c r="Q399" s="727"/>
      <c r="R399" s="727"/>
      <c r="S399" s="727"/>
      <c r="T399" s="727"/>
      <c r="U399" s="727"/>
      <c r="V399" s="727"/>
      <c r="W399" s="727"/>
      <c r="X399" s="727"/>
      <c r="Y399" s="727"/>
      <c r="Z399" s="728"/>
      <c r="AB399" s="1026"/>
      <c r="AC399" s="727"/>
      <c r="AD399" s="727"/>
      <c r="AE399" s="727"/>
      <c r="AF399" s="727"/>
      <c r="AG399" s="727"/>
      <c r="AH399" s="727"/>
      <c r="AI399" s="727" t="str">
        <f>IF(AB398="","",VLOOKUP(AB398,BoonRef!$A$2:$Z$900,26,FALSE))</f>
        <v/>
      </c>
      <c r="AJ399" s="727"/>
      <c r="AK399" s="727"/>
      <c r="AL399" s="727"/>
      <c r="AM399" s="727"/>
      <c r="AN399" s="727"/>
      <c r="AO399" s="727"/>
      <c r="AP399" s="727"/>
      <c r="AQ399" s="727"/>
      <c r="AR399" s="727"/>
      <c r="AS399" s="727"/>
      <c r="AT399" s="727"/>
      <c r="AU399" s="727"/>
      <c r="AV399" s="727"/>
      <c r="AW399" s="727"/>
      <c r="AX399" s="727"/>
      <c r="AY399" s="727"/>
      <c r="AZ399" s="728"/>
      <c r="BB399" s="1041"/>
      <c r="BC399" s="1042"/>
      <c r="BD399" s="1042"/>
      <c r="BE399" s="1042"/>
      <c r="BF399" s="1043"/>
      <c r="BG399" s="1034"/>
      <c r="BH399" s="1035"/>
      <c r="BI399" s="753"/>
      <c r="BJ399" s="754"/>
      <c r="BK399" s="754"/>
      <c r="BL399" s="754"/>
      <c r="BM399" s="754"/>
      <c r="BN399" s="754"/>
      <c r="BO399" s="754"/>
      <c r="BP399" s="754"/>
      <c r="BQ399" s="754"/>
      <c r="BR399" s="754"/>
      <c r="BS399" s="754"/>
      <c r="BT399" s="754"/>
      <c r="BU399" s="754"/>
      <c r="BV399" s="754"/>
      <c r="BW399" s="754"/>
      <c r="BX399" s="754"/>
      <c r="BY399" s="754"/>
      <c r="BZ399" s="755"/>
      <c r="CB399" s="1041"/>
      <c r="CC399" s="1042"/>
      <c r="CD399" s="1042"/>
      <c r="CE399" s="1042"/>
      <c r="CF399" s="1043"/>
      <c r="CG399" s="1034"/>
      <c r="CH399" s="1035"/>
      <c r="CI399" s="753"/>
      <c r="CJ399" s="754"/>
      <c r="CK399" s="754"/>
      <c r="CL399" s="754"/>
      <c r="CM399" s="754"/>
      <c r="CN399" s="754"/>
      <c r="CO399" s="754"/>
      <c r="CP399" s="754"/>
      <c r="CQ399" s="754"/>
      <c r="CR399" s="754"/>
      <c r="CS399" s="754"/>
      <c r="CT399" s="754"/>
      <c r="CU399" s="754"/>
      <c r="CV399" s="754"/>
      <c r="CW399" s="754"/>
      <c r="CX399" s="754"/>
      <c r="CY399" s="754"/>
      <c r="CZ399" s="755"/>
    </row>
    <row r="400" spans="1:104" x14ac:dyDescent="0.25">
      <c r="B400" s="1026" t="str">
        <f>IF(B398="","",VLOOKUP(B398,BoonRef!$A$2:$Z$900,24,FALSE))</f>
        <v/>
      </c>
      <c r="C400" s="727"/>
      <c r="D400" s="727"/>
      <c r="E400" s="727"/>
      <c r="F400" s="727"/>
      <c r="G400" s="727"/>
      <c r="H400" s="727"/>
      <c r="I400" s="727"/>
      <c r="J400" s="727"/>
      <c r="K400" s="727"/>
      <c r="L400" s="727"/>
      <c r="M400" s="727"/>
      <c r="N400" s="727"/>
      <c r="O400" s="727"/>
      <c r="P400" s="727"/>
      <c r="Q400" s="727"/>
      <c r="R400" s="727"/>
      <c r="S400" s="727"/>
      <c r="T400" s="727"/>
      <c r="U400" s="727"/>
      <c r="V400" s="727"/>
      <c r="W400" s="727"/>
      <c r="X400" s="727"/>
      <c r="Y400" s="727"/>
      <c r="Z400" s="728"/>
      <c r="AB400" s="1026" t="str">
        <f>IF(AB398="","",VLOOKUP(AB398,BoonRef!$A$2:$Z$900,24,FALSE))</f>
        <v/>
      </c>
      <c r="AC400" s="727"/>
      <c r="AD400" s="727"/>
      <c r="AE400" s="727"/>
      <c r="AF400" s="727"/>
      <c r="AG400" s="727"/>
      <c r="AH400" s="727"/>
      <c r="AI400" s="727"/>
      <c r="AJ400" s="727"/>
      <c r="AK400" s="727"/>
      <c r="AL400" s="727"/>
      <c r="AM400" s="727"/>
      <c r="AN400" s="727"/>
      <c r="AO400" s="727"/>
      <c r="AP400" s="727"/>
      <c r="AQ400" s="727"/>
      <c r="AR400" s="727"/>
      <c r="AS400" s="727"/>
      <c r="AT400" s="727"/>
      <c r="AU400" s="727"/>
      <c r="AV400" s="727"/>
      <c r="AW400" s="727"/>
      <c r="AX400" s="727"/>
      <c r="AY400" s="727"/>
      <c r="AZ400" s="728"/>
      <c r="BB400" s="641" t="str">
        <f>IF(BB398="","",VLOOKUP(BB398,KanckRef!$A$1:$G$300,4,FALSE))</f>
        <v/>
      </c>
      <c r="BC400" s="642"/>
      <c r="BD400" s="642"/>
      <c r="BE400" s="642"/>
      <c r="BF400" s="642"/>
      <c r="BG400" s="642"/>
      <c r="BH400" s="1033"/>
      <c r="BI400" s="753"/>
      <c r="BJ400" s="754"/>
      <c r="BK400" s="754"/>
      <c r="BL400" s="754"/>
      <c r="BM400" s="754"/>
      <c r="BN400" s="754"/>
      <c r="BO400" s="754"/>
      <c r="BP400" s="754"/>
      <c r="BQ400" s="754"/>
      <c r="BR400" s="754"/>
      <c r="BS400" s="754"/>
      <c r="BT400" s="754"/>
      <c r="BU400" s="754"/>
      <c r="BV400" s="754"/>
      <c r="BW400" s="754"/>
      <c r="BX400" s="754"/>
      <c r="BY400" s="754"/>
      <c r="BZ400" s="755"/>
      <c r="CB400" s="641" t="str">
        <f>IF(CB398="","",VLOOKUP(CB398,KanckRef!$A$1:$G$300,4,FALSE))</f>
        <v/>
      </c>
      <c r="CC400" s="642"/>
      <c r="CD400" s="642"/>
      <c r="CE400" s="642"/>
      <c r="CF400" s="642"/>
      <c r="CG400" s="642"/>
      <c r="CH400" s="1033"/>
      <c r="CI400" s="753"/>
      <c r="CJ400" s="754"/>
      <c r="CK400" s="754"/>
      <c r="CL400" s="754"/>
      <c r="CM400" s="754"/>
      <c r="CN400" s="754"/>
      <c r="CO400" s="754"/>
      <c r="CP400" s="754"/>
      <c r="CQ400" s="754"/>
      <c r="CR400" s="754"/>
      <c r="CS400" s="754"/>
      <c r="CT400" s="754"/>
      <c r="CU400" s="754"/>
      <c r="CV400" s="754"/>
      <c r="CW400" s="754"/>
      <c r="CX400" s="754"/>
      <c r="CY400" s="754"/>
      <c r="CZ400" s="755"/>
    </row>
    <row r="401" spans="1:104" ht="15" customHeight="1" x14ac:dyDescent="0.25">
      <c r="B401" s="1026" t="str">
        <f>IF(B398="","",VLOOKUP(B398,BoonRef!$A$2:$Z$900,23,FALSE))</f>
        <v/>
      </c>
      <c r="C401" s="727"/>
      <c r="D401" s="727"/>
      <c r="E401" s="727"/>
      <c r="F401" s="727"/>
      <c r="G401" s="727"/>
      <c r="H401" s="727"/>
      <c r="I401" s="727"/>
      <c r="J401" s="727"/>
      <c r="K401" s="727"/>
      <c r="L401" s="727"/>
      <c r="M401" s="727"/>
      <c r="N401" s="727"/>
      <c r="O401" s="727"/>
      <c r="P401" s="727"/>
      <c r="Q401" s="727"/>
      <c r="R401" s="727"/>
      <c r="S401" s="727"/>
      <c r="T401" s="727"/>
      <c r="U401" s="727"/>
      <c r="V401" s="727"/>
      <c r="W401" s="727"/>
      <c r="X401" s="727"/>
      <c r="Y401" s="727"/>
      <c r="Z401" s="728"/>
      <c r="AB401" s="1026" t="str">
        <f>IF(AB398="","",VLOOKUP(AB398,BoonRef!$A$2:$Z$900,23,FALSE))</f>
        <v/>
      </c>
      <c r="AC401" s="727"/>
      <c r="AD401" s="727"/>
      <c r="AE401" s="727"/>
      <c r="AF401" s="727"/>
      <c r="AG401" s="727"/>
      <c r="AH401" s="727"/>
      <c r="AI401" s="727"/>
      <c r="AJ401" s="727"/>
      <c r="AK401" s="727"/>
      <c r="AL401" s="727"/>
      <c r="AM401" s="727"/>
      <c r="AN401" s="727"/>
      <c r="AO401" s="727"/>
      <c r="AP401" s="727"/>
      <c r="AQ401" s="727"/>
      <c r="AR401" s="727"/>
      <c r="AS401" s="727"/>
      <c r="AT401" s="727"/>
      <c r="AU401" s="727"/>
      <c r="AV401" s="727"/>
      <c r="AW401" s="727"/>
      <c r="AX401" s="727"/>
      <c r="AY401" s="727"/>
      <c r="AZ401" s="728"/>
      <c r="BB401" s="635"/>
      <c r="BC401" s="636"/>
      <c r="BD401" s="636"/>
      <c r="BE401" s="636"/>
      <c r="BF401" s="636"/>
      <c r="BG401" s="636"/>
      <c r="BH401" s="1036"/>
      <c r="BI401" s="753"/>
      <c r="BJ401" s="754"/>
      <c r="BK401" s="754"/>
      <c r="BL401" s="754"/>
      <c r="BM401" s="754"/>
      <c r="BN401" s="754"/>
      <c r="BO401" s="754"/>
      <c r="BP401" s="754"/>
      <c r="BQ401" s="754"/>
      <c r="BR401" s="754"/>
      <c r="BS401" s="754"/>
      <c r="BT401" s="754"/>
      <c r="BU401" s="754"/>
      <c r="BV401" s="754"/>
      <c r="BW401" s="754"/>
      <c r="BX401" s="754"/>
      <c r="BY401" s="754"/>
      <c r="BZ401" s="755"/>
      <c r="CB401" s="635"/>
      <c r="CC401" s="636"/>
      <c r="CD401" s="636"/>
      <c r="CE401" s="636"/>
      <c r="CF401" s="636"/>
      <c r="CG401" s="636"/>
      <c r="CH401" s="1036"/>
      <c r="CI401" s="753"/>
      <c r="CJ401" s="754"/>
      <c r="CK401" s="754"/>
      <c r="CL401" s="754"/>
      <c r="CM401" s="754"/>
      <c r="CN401" s="754"/>
      <c r="CO401" s="754"/>
      <c r="CP401" s="754"/>
      <c r="CQ401" s="754"/>
      <c r="CR401" s="754"/>
      <c r="CS401" s="754"/>
      <c r="CT401" s="754"/>
      <c r="CU401" s="754"/>
      <c r="CV401" s="754"/>
      <c r="CW401" s="754"/>
      <c r="CX401" s="754"/>
      <c r="CY401" s="754"/>
      <c r="CZ401" s="755"/>
    </row>
    <row r="402" spans="1:104" ht="15.75" thickBot="1" x14ac:dyDescent="0.3">
      <c r="B402" s="1027"/>
      <c r="C402" s="865"/>
      <c r="D402" s="865"/>
      <c r="E402" s="865"/>
      <c r="F402" s="865"/>
      <c r="G402" s="865"/>
      <c r="H402" s="865"/>
      <c r="I402" s="865"/>
      <c r="J402" s="865"/>
      <c r="K402" s="865"/>
      <c r="L402" s="865"/>
      <c r="M402" s="865"/>
      <c r="N402" s="865"/>
      <c r="O402" s="865"/>
      <c r="P402" s="865"/>
      <c r="Q402" s="865"/>
      <c r="R402" s="865"/>
      <c r="S402" s="865"/>
      <c r="T402" s="865"/>
      <c r="U402" s="865"/>
      <c r="V402" s="865"/>
      <c r="W402" s="865"/>
      <c r="X402" s="865"/>
      <c r="Y402" s="865"/>
      <c r="Z402" s="921"/>
      <c r="AB402" s="1027"/>
      <c r="AC402" s="865"/>
      <c r="AD402" s="865"/>
      <c r="AE402" s="865"/>
      <c r="AF402" s="865"/>
      <c r="AG402" s="865"/>
      <c r="AH402" s="865"/>
      <c r="AI402" s="865"/>
      <c r="AJ402" s="865"/>
      <c r="AK402" s="865"/>
      <c r="AL402" s="865"/>
      <c r="AM402" s="865"/>
      <c r="AN402" s="865"/>
      <c r="AO402" s="865"/>
      <c r="AP402" s="865"/>
      <c r="AQ402" s="865"/>
      <c r="AR402" s="865"/>
      <c r="AS402" s="865"/>
      <c r="AT402" s="865"/>
      <c r="AU402" s="865"/>
      <c r="AV402" s="865"/>
      <c r="AW402" s="865"/>
      <c r="AX402" s="865"/>
      <c r="AY402" s="865"/>
      <c r="AZ402" s="921"/>
      <c r="BB402" s="644"/>
      <c r="BC402" s="645"/>
      <c r="BD402" s="645"/>
      <c r="BE402" s="645"/>
      <c r="BF402" s="645"/>
      <c r="BG402" s="645"/>
      <c r="BH402" s="1037"/>
      <c r="BI402" s="756"/>
      <c r="BJ402" s="757"/>
      <c r="BK402" s="757"/>
      <c r="BL402" s="757"/>
      <c r="BM402" s="757"/>
      <c r="BN402" s="757"/>
      <c r="BO402" s="757"/>
      <c r="BP402" s="757"/>
      <c r="BQ402" s="757"/>
      <c r="BR402" s="757"/>
      <c r="BS402" s="757"/>
      <c r="BT402" s="757"/>
      <c r="BU402" s="757"/>
      <c r="BV402" s="757"/>
      <c r="BW402" s="757"/>
      <c r="BX402" s="757"/>
      <c r="BY402" s="757"/>
      <c r="BZ402" s="758"/>
      <c r="CB402" s="644"/>
      <c r="CC402" s="645"/>
      <c r="CD402" s="645"/>
      <c r="CE402" s="645"/>
      <c r="CF402" s="645"/>
      <c r="CG402" s="645"/>
      <c r="CH402" s="1037"/>
      <c r="CI402" s="756"/>
      <c r="CJ402" s="757"/>
      <c r="CK402" s="757"/>
      <c r="CL402" s="757"/>
      <c r="CM402" s="757"/>
      <c r="CN402" s="757"/>
      <c r="CO402" s="757"/>
      <c r="CP402" s="757"/>
      <c r="CQ402" s="757"/>
      <c r="CR402" s="757"/>
      <c r="CS402" s="757"/>
      <c r="CT402" s="757"/>
      <c r="CU402" s="757"/>
      <c r="CV402" s="757"/>
      <c r="CW402" s="757"/>
      <c r="CX402" s="757"/>
      <c r="CY402" s="757"/>
      <c r="CZ402" s="758"/>
    </row>
    <row r="403" spans="1:104" x14ac:dyDescent="0.25">
      <c r="B403" s="1028" t="str">
        <f>IF(B404="","",VLOOKUP(B404,BoonRef!$A$2:$Z$900,2,FALSE))</f>
        <v/>
      </c>
      <c r="C403" s="725"/>
      <c r="D403" s="725"/>
      <c r="E403" s="725"/>
      <c r="F403" s="725"/>
      <c r="G403" s="725"/>
      <c r="H403" s="725"/>
      <c r="I403" s="725" t="str">
        <f>IF(B404="","",VLOOKUP(B404,BoonRef!$A$2:$Z$900,3,FALSE))</f>
        <v/>
      </c>
      <c r="J403" s="725"/>
      <c r="K403" s="725" t="str">
        <f>IF(B404="","",VLOOKUP(B404,DescRef!$A$2:$B$900,2,FALSE))</f>
        <v/>
      </c>
      <c r="L403" s="725"/>
      <c r="M403" s="725"/>
      <c r="N403" s="725"/>
      <c r="O403" s="725"/>
      <c r="P403" s="725"/>
      <c r="Q403" s="725"/>
      <c r="R403" s="725"/>
      <c r="S403" s="725"/>
      <c r="T403" s="725"/>
      <c r="U403" s="725"/>
      <c r="V403" s="725"/>
      <c r="W403" s="725"/>
      <c r="X403" s="725"/>
      <c r="Y403" s="725"/>
      <c r="Z403" s="726"/>
      <c r="AB403" s="1028" t="str">
        <f>IF(AB404="","",VLOOKUP(AB404,BoonRef!$A$2:$Z$900,2,FALSE))</f>
        <v/>
      </c>
      <c r="AC403" s="725"/>
      <c r="AD403" s="725"/>
      <c r="AE403" s="725"/>
      <c r="AF403" s="725"/>
      <c r="AG403" s="725"/>
      <c r="AH403" s="725"/>
      <c r="AI403" s="725" t="str">
        <f>IF(AB404="","",VLOOKUP(AB404,BoonRef!$A$2:$Z$900,3,FALSE))</f>
        <v/>
      </c>
      <c r="AJ403" s="725"/>
      <c r="AK403" s="725" t="str">
        <f>IF(AB404="","",VLOOKUP(AB404,DescRef!$A$2:$B$900,2,FALSE))</f>
        <v/>
      </c>
      <c r="AL403" s="725"/>
      <c r="AM403" s="725"/>
      <c r="AN403" s="725"/>
      <c r="AO403" s="725"/>
      <c r="AP403" s="725"/>
      <c r="AQ403" s="725"/>
      <c r="AR403" s="725"/>
      <c r="AS403" s="725"/>
      <c r="AT403" s="725"/>
      <c r="AU403" s="725"/>
      <c r="AV403" s="725"/>
      <c r="AW403" s="725"/>
      <c r="AX403" s="725"/>
      <c r="AY403" s="725"/>
      <c r="AZ403" s="726"/>
      <c r="BB403" s="1029" t="str">
        <f>IF(BB404="","",VLOOKUP(BB404,KanckRef!$A$1:$G$300,2,FALSE))</f>
        <v/>
      </c>
      <c r="BC403" s="1030"/>
      <c r="BD403" s="1030"/>
      <c r="BE403" s="1030"/>
      <c r="BF403" s="1031"/>
      <c r="BG403" s="1048" t="str">
        <f>IF(BB404="","",VLOOKUP(BB404,KanckRef!$A$1:$G$300,6,FALSE))</f>
        <v/>
      </c>
      <c r="BH403" s="1049"/>
      <c r="BI403" s="988" t="str">
        <f>IF(BB404="","",VLOOKUP(BB404,DescRef!$D$2:$E$300,2,FALSE))</f>
        <v/>
      </c>
      <c r="BJ403" s="795"/>
      <c r="BK403" s="795"/>
      <c r="BL403" s="795"/>
      <c r="BM403" s="795"/>
      <c r="BN403" s="795"/>
      <c r="BO403" s="795"/>
      <c r="BP403" s="795"/>
      <c r="BQ403" s="795"/>
      <c r="BR403" s="795"/>
      <c r="BS403" s="795"/>
      <c r="BT403" s="795"/>
      <c r="BU403" s="795"/>
      <c r="BV403" s="795"/>
      <c r="BW403" s="795"/>
      <c r="BX403" s="795"/>
      <c r="BY403" s="795"/>
      <c r="BZ403" s="796"/>
      <c r="CB403" s="1029" t="str">
        <f>IF(CB404="","",VLOOKUP(CB404,KanckRef!$A$1:$G$300,2,FALSE))</f>
        <v/>
      </c>
      <c r="CC403" s="1030"/>
      <c r="CD403" s="1030"/>
      <c r="CE403" s="1030"/>
      <c r="CF403" s="1031"/>
      <c r="CG403" s="1048" t="str">
        <f>IF(CB404="","",VLOOKUP(CB404,KanckRef!$A$1:$G$300,6,FALSE))</f>
        <v/>
      </c>
      <c r="CH403" s="1049"/>
      <c r="CI403" s="988" t="str">
        <f>IF(CB404="","",VLOOKUP(CB404,DescRef!$D$2:$E$300,2,FALSE))</f>
        <v/>
      </c>
      <c r="CJ403" s="795"/>
      <c r="CK403" s="795"/>
      <c r="CL403" s="795"/>
      <c r="CM403" s="795"/>
      <c r="CN403" s="795"/>
      <c r="CO403" s="795"/>
      <c r="CP403" s="795"/>
      <c r="CQ403" s="795"/>
      <c r="CR403" s="795"/>
      <c r="CS403" s="795"/>
      <c r="CT403" s="795"/>
      <c r="CU403" s="795"/>
      <c r="CV403" s="795"/>
      <c r="CW403" s="795"/>
      <c r="CX403" s="795"/>
      <c r="CY403" s="795"/>
      <c r="CZ403" s="796"/>
    </row>
    <row r="404" spans="1:104" ht="15" customHeight="1" x14ac:dyDescent="0.25">
      <c r="A404" s="15">
        <v>67</v>
      </c>
      <c r="B404" s="1026" t="str">
        <f>IF(A404&lt;'Purchased Boons'!$B$496,VLOOKUP(A404,'Purchased Boons'!$BF$2:$BG$900,2,FALSE),"")</f>
        <v/>
      </c>
      <c r="C404" s="727"/>
      <c r="D404" s="727"/>
      <c r="E404" s="727"/>
      <c r="F404" s="727"/>
      <c r="G404" s="727"/>
      <c r="H404" s="727"/>
      <c r="I404" s="727" t="str">
        <f>IF(B404="","",VLOOKUP(B404,BoonRef!$A$2:$Z$900,25,FALSE))</f>
        <v/>
      </c>
      <c r="J404" s="727"/>
      <c r="K404" s="727"/>
      <c r="L404" s="727"/>
      <c r="M404" s="727"/>
      <c r="N404" s="727"/>
      <c r="O404" s="727"/>
      <c r="P404" s="727"/>
      <c r="Q404" s="727"/>
      <c r="R404" s="727"/>
      <c r="S404" s="727"/>
      <c r="T404" s="727"/>
      <c r="U404" s="727"/>
      <c r="V404" s="727"/>
      <c r="W404" s="727"/>
      <c r="X404" s="727"/>
      <c r="Y404" s="727"/>
      <c r="Z404" s="728"/>
      <c r="AA404" s="15">
        <v>174</v>
      </c>
      <c r="AB404" s="1026" t="str">
        <f>IF(AA404&lt;'Purchased Boons'!$B$496,VLOOKUP(AA404,'Purchased Boons'!$BF$2:$BG$900,2,FALSE),"")</f>
        <v/>
      </c>
      <c r="AC404" s="727"/>
      <c r="AD404" s="727"/>
      <c r="AE404" s="727"/>
      <c r="AF404" s="727"/>
      <c r="AG404" s="727"/>
      <c r="AH404" s="727"/>
      <c r="AI404" s="727" t="str">
        <f>IF(AB404="","",VLOOKUP(AB404,BoonRef!$A$2:$Z$900,25,FALSE))</f>
        <v/>
      </c>
      <c r="AJ404" s="727"/>
      <c r="AK404" s="727"/>
      <c r="AL404" s="727"/>
      <c r="AM404" s="727"/>
      <c r="AN404" s="727"/>
      <c r="AO404" s="727"/>
      <c r="AP404" s="727"/>
      <c r="AQ404" s="727"/>
      <c r="AR404" s="727"/>
      <c r="AS404" s="727"/>
      <c r="AT404" s="727"/>
      <c r="AU404" s="727"/>
      <c r="AV404" s="727"/>
      <c r="AW404" s="727"/>
      <c r="AX404" s="727"/>
      <c r="AY404" s="727"/>
      <c r="AZ404" s="728"/>
      <c r="BA404" s="15">
        <v>67</v>
      </c>
      <c r="BB404" s="1038" t="str">
        <f>IF(BA404&lt;'Purchased Knacks'!A$192,VLOOKUP(BA404,'Purchased Knacks'!$A$4:$E$300,3,FALSE),"")</f>
        <v/>
      </c>
      <c r="BC404" s="1039"/>
      <c r="BD404" s="1039"/>
      <c r="BE404" s="1039"/>
      <c r="BF404" s="1040"/>
      <c r="BG404" s="1032" t="str">
        <f>IF(BB404="","",VLOOKUP(BB404,KanckRef!$A$1:$G$300,7,FALSE))</f>
        <v/>
      </c>
      <c r="BH404" s="1033"/>
      <c r="BI404" s="753"/>
      <c r="BJ404" s="754"/>
      <c r="BK404" s="754"/>
      <c r="BL404" s="754"/>
      <c r="BM404" s="754"/>
      <c r="BN404" s="754"/>
      <c r="BO404" s="754"/>
      <c r="BP404" s="754"/>
      <c r="BQ404" s="754"/>
      <c r="BR404" s="754"/>
      <c r="BS404" s="754"/>
      <c r="BT404" s="754"/>
      <c r="BU404" s="754"/>
      <c r="BV404" s="754"/>
      <c r="BW404" s="754"/>
      <c r="BX404" s="754"/>
      <c r="BY404" s="754"/>
      <c r="BZ404" s="755"/>
      <c r="CA404" s="15">
        <v>174</v>
      </c>
      <c r="CB404" s="1038" t="str">
        <f>IF(CA404&lt;'Purchased Knacks'!A$192,VLOOKUP(CA404,'Purchased Knacks'!$A$4:$E$300,3,FALSE),"")</f>
        <v/>
      </c>
      <c r="CC404" s="1039"/>
      <c r="CD404" s="1039"/>
      <c r="CE404" s="1039"/>
      <c r="CF404" s="1040"/>
      <c r="CG404" s="1032" t="str">
        <f>IF(CB404="","",VLOOKUP(CB404,KanckRef!$A$1:$G$300,7,FALSE))</f>
        <v/>
      </c>
      <c r="CH404" s="1033"/>
      <c r="CI404" s="753"/>
      <c r="CJ404" s="754"/>
      <c r="CK404" s="754"/>
      <c r="CL404" s="754"/>
      <c r="CM404" s="754"/>
      <c r="CN404" s="754"/>
      <c r="CO404" s="754"/>
      <c r="CP404" s="754"/>
      <c r="CQ404" s="754"/>
      <c r="CR404" s="754"/>
      <c r="CS404" s="754"/>
      <c r="CT404" s="754"/>
      <c r="CU404" s="754"/>
      <c r="CV404" s="754"/>
      <c r="CW404" s="754"/>
      <c r="CX404" s="754"/>
      <c r="CY404" s="754"/>
      <c r="CZ404" s="755"/>
    </row>
    <row r="405" spans="1:104" x14ac:dyDescent="0.25">
      <c r="B405" s="1026"/>
      <c r="C405" s="727"/>
      <c r="D405" s="727"/>
      <c r="E405" s="727"/>
      <c r="F405" s="727"/>
      <c r="G405" s="727"/>
      <c r="H405" s="727"/>
      <c r="I405" s="727" t="str">
        <f>IF(B404="","",VLOOKUP(B404,BoonRef!$A$2:$Z$900,26,FALSE))</f>
        <v/>
      </c>
      <c r="J405" s="727"/>
      <c r="K405" s="727"/>
      <c r="L405" s="727"/>
      <c r="M405" s="727"/>
      <c r="N405" s="727"/>
      <c r="O405" s="727"/>
      <c r="P405" s="727"/>
      <c r="Q405" s="727"/>
      <c r="R405" s="727"/>
      <c r="S405" s="727"/>
      <c r="T405" s="727"/>
      <c r="U405" s="727"/>
      <c r="V405" s="727"/>
      <c r="W405" s="727"/>
      <c r="X405" s="727"/>
      <c r="Y405" s="727"/>
      <c r="Z405" s="728"/>
      <c r="AB405" s="1026"/>
      <c r="AC405" s="727"/>
      <c r="AD405" s="727"/>
      <c r="AE405" s="727"/>
      <c r="AF405" s="727"/>
      <c r="AG405" s="727"/>
      <c r="AH405" s="727"/>
      <c r="AI405" s="727" t="str">
        <f>IF(AB404="","",VLOOKUP(AB404,BoonRef!$A$2:$Z$900,26,FALSE))</f>
        <v/>
      </c>
      <c r="AJ405" s="727"/>
      <c r="AK405" s="727"/>
      <c r="AL405" s="727"/>
      <c r="AM405" s="727"/>
      <c r="AN405" s="727"/>
      <c r="AO405" s="727"/>
      <c r="AP405" s="727"/>
      <c r="AQ405" s="727"/>
      <c r="AR405" s="727"/>
      <c r="AS405" s="727"/>
      <c r="AT405" s="727"/>
      <c r="AU405" s="727"/>
      <c r="AV405" s="727"/>
      <c r="AW405" s="727"/>
      <c r="AX405" s="727"/>
      <c r="AY405" s="727"/>
      <c r="AZ405" s="728"/>
      <c r="BB405" s="1041"/>
      <c r="BC405" s="1042"/>
      <c r="BD405" s="1042"/>
      <c r="BE405" s="1042"/>
      <c r="BF405" s="1043"/>
      <c r="BG405" s="1034"/>
      <c r="BH405" s="1035"/>
      <c r="BI405" s="753"/>
      <c r="BJ405" s="754"/>
      <c r="BK405" s="754"/>
      <c r="BL405" s="754"/>
      <c r="BM405" s="754"/>
      <c r="BN405" s="754"/>
      <c r="BO405" s="754"/>
      <c r="BP405" s="754"/>
      <c r="BQ405" s="754"/>
      <c r="BR405" s="754"/>
      <c r="BS405" s="754"/>
      <c r="BT405" s="754"/>
      <c r="BU405" s="754"/>
      <c r="BV405" s="754"/>
      <c r="BW405" s="754"/>
      <c r="BX405" s="754"/>
      <c r="BY405" s="754"/>
      <c r="BZ405" s="755"/>
      <c r="CB405" s="1041"/>
      <c r="CC405" s="1042"/>
      <c r="CD405" s="1042"/>
      <c r="CE405" s="1042"/>
      <c r="CF405" s="1043"/>
      <c r="CG405" s="1034"/>
      <c r="CH405" s="1035"/>
      <c r="CI405" s="753"/>
      <c r="CJ405" s="754"/>
      <c r="CK405" s="754"/>
      <c r="CL405" s="754"/>
      <c r="CM405" s="754"/>
      <c r="CN405" s="754"/>
      <c r="CO405" s="754"/>
      <c r="CP405" s="754"/>
      <c r="CQ405" s="754"/>
      <c r="CR405" s="754"/>
      <c r="CS405" s="754"/>
      <c r="CT405" s="754"/>
      <c r="CU405" s="754"/>
      <c r="CV405" s="754"/>
      <c r="CW405" s="754"/>
      <c r="CX405" s="754"/>
      <c r="CY405" s="754"/>
      <c r="CZ405" s="755"/>
    </row>
    <row r="406" spans="1:104" ht="15" customHeight="1" x14ac:dyDescent="0.25">
      <c r="B406" s="1026" t="str">
        <f>IF(B404="","",VLOOKUP(B404,BoonRef!$A$2:$Z$900,24,FALSE))</f>
        <v/>
      </c>
      <c r="C406" s="727"/>
      <c r="D406" s="727"/>
      <c r="E406" s="727"/>
      <c r="F406" s="727"/>
      <c r="G406" s="727"/>
      <c r="H406" s="727"/>
      <c r="I406" s="727"/>
      <c r="J406" s="727"/>
      <c r="K406" s="727"/>
      <c r="L406" s="727"/>
      <c r="M406" s="727"/>
      <c r="N406" s="727"/>
      <c r="O406" s="727"/>
      <c r="P406" s="727"/>
      <c r="Q406" s="727"/>
      <c r="R406" s="727"/>
      <c r="S406" s="727"/>
      <c r="T406" s="727"/>
      <c r="U406" s="727"/>
      <c r="V406" s="727"/>
      <c r="W406" s="727"/>
      <c r="X406" s="727"/>
      <c r="Y406" s="727"/>
      <c r="Z406" s="728"/>
      <c r="AB406" s="1026" t="str">
        <f>IF(AB404="","",VLOOKUP(AB404,BoonRef!$A$2:$Z$900,24,FALSE))</f>
        <v/>
      </c>
      <c r="AC406" s="727"/>
      <c r="AD406" s="727"/>
      <c r="AE406" s="727"/>
      <c r="AF406" s="727"/>
      <c r="AG406" s="727"/>
      <c r="AH406" s="727"/>
      <c r="AI406" s="727"/>
      <c r="AJ406" s="727"/>
      <c r="AK406" s="727"/>
      <c r="AL406" s="727"/>
      <c r="AM406" s="727"/>
      <c r="AN406" s="727"/>
      <c r="AO406" s="727"/>
      <c r="AP406" s="727"/>
      <c r="AQ406" s="727"/>
      <c r="AR406" s="727"/>
      <c r="AS406" s="727"/>
      <c r="AT406" s="727"/>
      <c r="AU406" s="727"/>
      <c r="AV406" s="727"/>
      <c r="AW406" s="727"/>
      <c r="AX406" s="727"/>
      <c r="AY406" s="727"/>
      <c r="AZ406" s="728"/>
      <c r="BB406" s="641" t="str">
        <f>IF(BB404="","",VLOOKUP(BB404,KanckRef!$A$1:$G$300,4,FALSE))</f>
        <v/>
      </c>
      <c r="BC406" s="642"/>
      <c r="BD406" s="642"/>
      <c r="BE406" s="642"/>
      <c r="BF406" s="642"/>
      <c r="BG406" s="642"/>
      <c r="BH406" s="1033"/>
      <c r="BI406" s="753"/>
      <c r="BJ406" s="754"/>
      <c r="BK406" s="754"/>
      <c r="BL406" s="754"/>
      <c r="BM406" s="754"/>
      <c r="BN406" s="754"/>
      <c r="BO406" s="754"/>
      <c r="BP406" s="754"/>
      <c r="BQ406" s="754"/>
      <c r="BR406" s="754"/>
      <c r="BS406" s="754"/>
      <c r="BT406" s="754"/>
      <c r="BU406" s="754"/>
      <c r="BV406" s="754"/>
      <c r="BW406" s="754"/>
      <c r="BX406" s="754"/>
      <c r="BY406" s="754"/>
      <c r="BZ406" s="755"/>
      <c r="CB406" s="641" t="str">
        <f>IF(CB404="","",VLOOKUP(CB404,KanckRef!$A$1:$G$300,4,FALSE))</f>
        <v/>
      </c>
      <c r="CC406" s="642"/>
      <c r="CD406" s="642"/>
      <c r="CE406" s="642"/>
      <c r="CF406" s="642"/>
      <c r="CG406" s="642"/>
      <c r="CH406" s="1033"/>
      <c r="CI406" s="753"/>
      <c r="CJ406" s="754"/>
      <c r="CK406" s="754"/>
      <c r="CL406" s="754"/>
      <c r="CM406" s="754"/>
      <c r="CN406" s="754"/>
      <c r="CO406" s="754"/>
      <c r="CP406" s="754"/>
      <c r="CQ406" s="754"/>
      <c r="CR406" s="754"/>
      <c r="CS406" s="754"/>
      <c r="CT406" s="754"/>
      <c r="CU406" s="754"/>
      <c r="CV406" s="754"/>
      <c r="CW406" s="754"/>
      <c r="CX406" s="754"/>
      <c r="CY406" s="754"/>
      <c r="CZ406" s="755"/>
    </row>
    <row r="407" spans="1:104" x14ac:dyDescent="0.25">
      <c r="B407" s="1026" t="str">
        <f>IF(B404="","",VLOOKUP(B404,BoonRef!$A$2:$Z$900,23,FALSE))</f>
        <v/>
      </c>
      <c r="C407" s="727"/>
      <c r="D407" s="727"/>
      <c r="E407" s="727"/>
      <c r="F407" s="727"/>
      <c r="G407" s="727"/>
      <c r="H407" s="727"/>
      <c r="I407" s="727"/>
      <c r="J407" s="727"/>
      <c r="K407" s="727"/>
      <c r="L407" s="727"/>
      <c r="M407" s="727"/>
      <c r="N407" s="727"/>
      <c r="O407" s="727"/>
      <c r="P407" s="727"/>
      <c r="Q407" s="727"/>
      <c r="R407" s="727"/>
      <c r="S407" s="727"/>
      <c r="T407" s="727"/>
      <c r="U407" s="727"/>
      <c r="V407" s="727"/>
      <c r="W407" s="727"/>
      <c r="X407" s="727"/>
      <c r="Y407" s="727"/>
      <c r="Z407" s="728"/>
      <c r="AB407" s="1026" t="str">
        <f>IF(AB404="","",VLOOKUP(AB404,BoonRef!$A$2:$Z$900,23,FALSE))</f>
        <v/>
      </c>
      <c r="AC407" s="727"/>
      <c r="AD407" s="727"/>
      <c r="AE407" s="727"/>
      <c r="AF407" s="727"/>
      <c r="AG407" s="727"/>
      <c r="AH407" s="727"/>
      <c r="AI407" s="727"/>
      <c r="AJ407" s="727"/>
      <c r="AK407" s="727"/>
      <c r="AL407" s="727"/>
      <c r="AM407" s="727"/>
      <c r="AN407" s="727"/>
      <c r="AO407" s="727"/>
      <c r="AP407" s="727"/>
      <c r="AQ407" s="727"/>
      <c r="AR407" s="727"/>
      <c r="AS407" s="727"/>
      <c r="AT407" s="727"/>
      <c r="AU407" s="727"/>
      <c r="AV407" s="727"/>
      <c r="AW407" s="727"/>
      <c r="AX407" s="727"/>
      <c r="AY407" s="727"/>
      <c r="AZ407" s="728"/>
      <c r="BB407" s="635"/>
      <c r="BC407" s="636"/>
      <c r="BD407" s="636"/>
      <c r="BE407" s="636"/>
      <c r="BF407" s="636"/>
      <c r="BG407" s="636"/>
      <c r="BH407" s="1036"/>
      <c r="BI407" s="753"/>
      <c r="BJ407" s="754"/>
      <c r="BK407" s="754"/>
      <c r="BL407" s="754"/>
      <c r="BM407" s="754"/>
      <c r="BN407" s="754"/>
      <c r="BO407" s="754"/>
      <c r="BP407" s="754"/>
      <c r="BQ407" s="754"/>
      <c r="BR407" s="754"/>
      <c r="BS407" s="754"/>
      <c r="BT407" s="754"/>
      <c r="BU407" s="754"/>
      <c r="BV407" s="754"/>
      <c r="BW407" s="754"/>
      <c r="BX407" s="754"/>
      <c r="BY407" s="754"/>
      <c r="BZ407" s="755"/>
      <c r="CB407" s="635"/>
      <c r="CC407" s="636"/>
      <c r="CD407" s="636"/>
      <c r="CE407" s="636"/>
      <c r="CF407" s="636"/>
      <c r="CG407" s="636"/>
      <c r="CH407" s="1036"/>
      <c r="CI407" s="753"/>
      <c r="CJ407" s="754"/>
      <c r="CK407" s="754"/>
      <c r="CL407" s="754"/>
      <c r="CM407" s="754"/>
      <c r="CN407" s="754"/>
      <c r="CO407" s="754"/>
      <c r="CP407" s="754"/>
      <c r="CQ407" s="754"/>
      <c r="CR407" s="754"/>
      <c r="CS407" s="754"/>
      <c r="CT407" s="754"/>
      <c r="CU407" s="754"/>
      <c r="CV407" s="754"/>
      <c r="CW407" s="754"/>
      <c r="CX407" s="754"/>
      <c r="CY407" s="754"/>
      <c r="CZ407" s="755"/>
    </row>
    <row r="408" spans="1:104" ht="15.75" thickBot="1" x14ac:dyDescent="0.3">
      <c r="B408" s="1027"/>
      <c r="C408" s="865"/>
      <c r="D408" s="865"/>
      <c r="E408" s="865"/>
      <c r="F408" s="865"/>
      <c r="G408" s="865"/>
      <c r="H408" s="865"/>
      <c r="I408" s="865"/>
      <c r="J408" s="865"/>
      <c r="K408" s="865"/>
      <c r="L408" s="865"/>
      <c r="M408" s="865"/>
      <c r="N408" s="865"/>
      <c r="O408" s="865"/>
      <c r="P408" s="865"/>
      <c r="Q408" s="865"/>
      <c r="R408" s="865"/>
      <c r="S408" s="865"/>
      <c r="T408" s="865"/>
      <c r="U408" s="865"/>
      <c r="V408" s="865"/>
      <c r="W408" s="865"/>
      <c r="X408" s="865"/>
      <c r="Y408" s="865"/>
      <c r="Z408" s="921"/>
      <c r="AB408" s="1027"/>
      <c r="AC408" s="865"/>
      <c r="AD408" s="865"/>
      <c r="AE408" s="865"/>
      <c r="AF408" s="865"/>
      <c r="AG408" s="865"/>
      <c r="AH408" s="865"/>
      <c r="AI408" s="865"/>
      <c r="AJ408" s="865"/>
      <c r="AK408" s="865"/>
      <c r="AL408" s="865"/>
      <c r="AM408" s="865"/>
      <c r="AN408" s="865"/>
      <c r="AO408" s="865"/>
      <c r="AP408" s="865"/>
      <c r="AQ408" s="865"/>
      <c r="AR408" s="865"/>
      <c r="AS408" s="865"/>
      <c r="AT408" s="865"/>
      <c r="AU408" s="865"/>
      <c r="AV408" s="865"/>
      <c r="AW408" s="865"/>
      <c r="AX408" s="865"/>
      <c r="AY408" s="865"/>
      <c r="AZ408" s="921"/>
      <c r="BB408" s="644"/>
      <c r="BC408" s="645"/>
      <c r="BD408" s="645"/>
      <c r="BE408" s="645"/>
      <c r="BF408" s="645"/>
      <c r="BG408" s="645"/>
      <c r="BH408" s="1037"/>
      <c r="BI408" s="756"/>
      <c r="BJ408" s="757"/>
      <c r="BK408" s="757"/>
      <c r="BL408" s="757"/>
      <c r="BM408" s="757"/>
      <c r="BN408" s="757"/>
      <c r="BO408" s="757"/>
      <c r="BP408" s="757"/>
      <c r="BQ408" s="757"/>
      <c r="BR408" s="757"/>
      <c r="BS408" s="757"/>
      <c r="BT408" s="757"/>
      <c r="BU408" s="757"/>
      <c r="BV408" s="757"/>
      <c r="BW408" s="757"/>
      <c r="BX408" s="757"/>
      <c r="BY408" s="757"/>
      <c r="BZ408" s="758"/>
      <c r="CB408" s="644"/>
      <c r="CC408" s="645"/>
      <c r="CD408" s="645"/>
      <c r="CE408" s="645"/>
      <c r="CF408" s="645"/>
      <c r="CG408" s="645"/>
      <c r="CH408" s="1037"/>
      <c r="CI408" s="756"/>
      <c r="CJ408" s="757"/>
      <c r="CK408" s="757"/>
      <c r="CL408" s="757"/>
      <c r="CM408" s="757"/>
      <c r="CN408" s="757"/>
      <c r="CO408" s="757"/>
      <c r="CP408" s="757"/>
      <c r="CQ408" s="757"/>
      <c r="CR408" s="757"/>
      <c r="CS408" s="757"/>
      <c r="CT408" s="757"/>
      <c r="CU408" s="757"/>
      <c r="CV408" s="757"/>
      <c r="CW408" s="757"/>
      <c r="CX408" s="757"/>
      <c r="CY408" s="757"/>
      <c r="CZ408" s="758"/>
    </row>
    <row r="409" spans="1:104" x14ac:dyDescent="0.25">
      <c r="B409" s="1028" t="str">
        <f>IF(B410="","",VLOOKUP(B410,BoonRef!$A$2:$Z$900,2,FALSE))</f>
        <v/>
      </c>
      <c r="C409" s="725"/>
      <c r="D409" s="725"/>
      <c r="E409" s="725"/>
      <c r="F409" s="725"/>
      <c r="G409" s="725"/>
      <c r="H409" s="725"/>
      <c r="I409" s="725" t="str">
        <f>IF(B410="","",VLOOKUP(B410,BoonRef!$A$2:$Z$900,3,FALSE))</f>
        <v/>
      </c>
      <c r="J409" s="725"/>
      <c r="K409" s="725" t="str">
        <f>IF(B410="","",VLOOKUP(B410,DescRef!$A$2:$B$900,2,FALSE))</f>
        <v/>
      </c>
      <c r="L409" s="725"/>
      <c r="M409" s="725"/>
      <c r="N409" s="725"/>
      <c r="O409" s="725"/>
      <c r="P409" s="725"/>
      <c r="Q409" s="725"/>
      <c r="R409" s="725"/>
      <c r="S409" s="725"/>
      <c r="T409" s="725"/>
      <c r="U409" s="725"/>
      <c r="V409" s="725"/>
      <c r="W409" s="725"/>
      <c r="X409" s="725"/>
      <c r="Y409" s="725"/>
      <c r="Z409" s="726"/>
      <c r="AB409" s="1028" t="str">
        <f>IF(AB410="","",VLOOKUP(AB410,BoonRef!$A$2:$Z$900,2,FALSE))</f>
        <v/>
      </c>
      <c r="AC409" s="725"/>
      <c r="AD409" s="725"/>
      <c r="AE409" s="725"/>
      <c r="AF409" s="725"/>
      <c r="AG409" s="725"/>
      <c r="AH409" s="725"/>
      <c r="AI409" s="725" t="str">
        <f>IF(AB410="","",VLOOKUP(AB410,BoonRef!$A$2:$Z$900,3,FALSE))</f>
        <v/>
      </c>
      <c r="AJ409" s="725"/>
      <c r="AK409" s="725" t="str">
        <f>IF(AB410="","",VLOOKUP(AB410,DescRef!$A$2:$B$900,2,FALSE))</f>
        <v/>
      </c>
      <c r="AL409" s="725"/>
      <c r="AM409" s="725"/>
      <c r="AN409" s="725"/>
      <c r="AO409" s="725"/>
      <c r="AP409" s="725"/>
      <c r="AQ409" s="725"/>
      <c r="AR409" s="725"/>
      <c r="AS409" s="725"/>
      <c r="AT409" s="725"/>
      <c r="AU409" s="725"/>
      <c r="AV409" s="725"/>
      <c r="AW409" s="725"/>
      <c r="AX409" s="725"/>
      <c r="AY409" s="725"/>
      <c r="AZ409" s="726"/>
      <c r="BB409" s="1029" t="str">
        <f>IF(BB410="","",VLOOKUP(BB410,KanckRef!$A$1:$G$300,2,FALSE))</f>
        <v/>
      </c>
      <c r="BC409" s="1030"/>
      <c r="BD409" s="1030"/>
      <c r="BE409" s="1030"/>
      <c r="BF409" s="1031"/>
      <c r="BG409" s="1048" t="str">
        <f>IF(BB410="","",VLOOKUP(BB410,KanckRef!$A$1:$G$300,6,FALSE))</f>
        <v/>
      </c>
      <c r="BH409" s="1049"/>
      <c r="BI409" s="988" t="str">
        <f>IF(BB410="","",VLOOKUP(BB410,DescRef!$D$2:$E$300,2,FALSE))</f>
        <v/>
      </c>
      <c r="BJ409" s="795"/>
      <c r="BK409" s="795"/>
      <c r="BL409" s="795"/>
      <c r="BM409" s="795"/>
      <c r="BN409" s="795"/>
      <c r="BO409" s="795"/>
      <c r="BP409" s="795"/>
      <c r="BQ409" s="795"/>
      <c r="BR409" s="795"/>
      <c r="BS409" s="795"/>
      <c r="BT409" s="795"/>
      <c r="BU409" s="795"/>
      <c r="BV409" s="795"/>
      <c r="BW409" s="795"/>
      <c r="BX409" s="795"/>
      <c r="BY409" s="795"/>
      <c r="BZ409" s="796"/>
      <c r="CB409" s="1029" t="str">
        <f>IF(CB410="","",VLOOKUP(CB410,KanckRef!$A$1:$G$300,2,FALSE))</f>
        <v/>
      </c>
      <c r="CC409" s="1030"/>
      <c r="CD409" s="1030"/>
      <c r="CE409" s="1030"/>
      <c r="CF409" s="1031"/>
      <c r="CG409" s="1048" t="str">
        <f>IF(CB410="","",VLOOKUP(CB410,KanckRef!$A$1:$G$300,6,FALSE))</f>
        <v/>
      </c>
      <c r="CH409" s="1049"/>
      <c r="CI409" s="988" t="str">
        <f>IF(CB410="","",VLOOKUP(CB410,DescRef!$D$2:$E$300,2,FALSE))</f>
        <v/>
      </c>
      <c r="CJ409" s="795"/>
      <c r="CK409" s="795"/>
      <c r="CL409" s="795"/>
      <c r="CM409" s="795"/>
      <c r="CN409" s="795"/>
      <c r="CO409" s="795"/>
      <c r="CP409" s="795"/>
      <c r="CQ409" s="795"/>
      <c r="CR409" s="795"/>
      <c r="CS409" s="795"/>
      <c r="CT409" s="795"/>
      <c r="CU409" s="795"/>
      <c r="CV409" s="795"/>
      <c r="CW409" s="795"/>
      <c r="CX409" s="795"/>
      <c r="CY409" s="795"/>
      <c r="CZ409" s="796"/>
    </row>
    <row r="410" spans="1:104" ht="15" customHeight="1" x14ac:dyDescent="0.25">
      <c r="A410" s="15">
        <v>68</v>
      </c>
      <c r="B410" s="1026" t="str">
        <f>IF(A410&lt;'Purchased Boons'!$B$496,VLOOKUP(A410,'Purchased Boons'!$BF$2:$BG$900,2,FALSE),"")</f>
        <v/>
      </c>
      <c r="C410" s="727"/>
      <c r="D410" s="727"/>
      <c r="E410" s="727"/>
      <c r="F410" s="727"/>
      <c r="G410" s="727"/>
      <c r="H410" s="727"/>
      <c r="I410" s="727" t="str">
        <f>IF(B410="","",VLOOKUP(B410,BoonRef!$A$2:$Z$900,25,FALSE))</f>
        <v/>
      </c>
      <c r="J410" s="727"/>
      <c r="K410" s="727"/>
      <c r="L410" s="727"/>
      <c r="M410" s="727"/>
      <c r="N410" s="727"/>
      <c r="O410" s="727"/>
      <c r="P410" s="727"/>
      <c r="Q410" s="727"/>
      <c r="R410" s="727"/>
      <c r="S410" s="727"/>
      <c r="T410" s="727"/>
      <c r="U410" s="727"/>
      <c r="V410" s="727"/>
      <c r="W410" s="727"/>
      <c r="X410" s="727"/>
      <c r="Y410" s="727"/>
      <c r="Z410" s="728"/>
      <c r="AA410" s="15">
        <v>175</v>
      </c>
      <c r="AB410" s="1026" t="str">
        <f>IF(AA410&lt;'Purchased Boons'!$B$496,VLOOKUP(AA410,'Purchased Boons'!$BF$2:$BG$900,2,FALSE),"")</f>
        <v/>
      </c>
      <c r="AC410" s="727"/>
      <c r="AD410" s="727"/>
      <c r="AE410" s="727"/>
      <c r="AF410" s="727"/>
      <c r="AG410" s="727"/>
      <c r="AH410" s="727"/>
      <c r="AI410" s="727" t="str">
        <f>IF(AB410="","",VLOOKUP(AB410,BoonRef!$A$2:$Z$900,25,FALSE))</f>
        <v/>
      </c>
      <c r="AJ410" s="727"/>
      <c r="AK410" s="727"/>
      <c r="AL410" s="727"/>
      <c r="AM410" s="727"/>
      <c r="AN410" s="727"/>
      <c r="AO410" s="727"/>
      <c r="AP410" s="727"/>
      <c r="AQ410" s="727"/>
      <c r="AR410" s="727"/>
      <c r="AS410" s="727"/>
      <c r="AT410" s="727"/>
      <c r="AU410" s="727"/>
      <c r="AV410" s="727"/>
      <c r="AW410" s="727"/>
      <c r="AX410" s="727"/>
      <c r="AY410" s="727"/>
      <c r="AZ410" s="728"/>
      <c r="BA410" s="15">
        <v>68</v>
      </c>
      <c r="BB410" s="1038" t="str">
        <f>IF(BA410&lt;'Purchased Knacks'!A$192,VLOOKUP(BA410,'Purchased Knacks'!$A$4:$E$300,3,FALSE),"")</f>
        <v/>
      </c>
      <c r="BC410" s="1039"/>
      <c r="BD410" s="1039"/>
      <c r="BE410" s="1039"/>
      <c r="BF410" s="1040"/>
      <c r="BG410" s="1032" t="str">
        <f>IF(BB410="","",VLOOKUP(BB410,KanckRef!$A$1:$G$300,7,FALSE))</f>
        <v/>
      </c>
      <c r="BH410" s="1033"/>
      <c r="BI410" s="753"/>
      <c r="BJ410" s="754"/>
      <c r="BK410" s="754"/>
      <c r="BL410" s="754"/>
      <c r="BM410" s="754"/>
      <c r="BN410" s="754"/>
      <c r="BO410" s="754"/>
      <c r="BP410" s="754"/>
      <c r="BQ410" s="754"/>
      <c r="BR410" s="754"/>
      <c r="BS410" s="754"/>
      <c r="BT410" s="754"/>
      <c r="BU410" s="754"/>
      <c r="BV410" s="754"/>
      <c r="BW410" s="754"/>
      <c r="BX410" s="754"/>
      <c r="BY410" s="754"/>
      <c r="BZ410" s="755"/>
      <c r="CA410" s="15">
        <v>175</v>
      </c>
      <c r="CB410" s="1038" t="str">
        <f>IF(CA410&lt;'Purchased Knacks'!A$192,VLOOKUP(CA410,'Purchased Knacks'!$A$4:$E$300,3,FALSE),"")</f>
        <v/>
      </c>
      <c r="CC410" s="1039"/>
      <c r="CD410" s="1039"/>
      <c r="CE410" s="1039"/>
      <c r="CF410" s="1040"/>
      <c r="CG410" s="1032" t="str">
        <f>IF(CB410="","",VLOOKUP(CB410,KanckRef!$A$1:$G$300,7,FALSE))</f>
        <v/>
      </c>
      <c r="CH410" s="1033"/>
      <c r="CI410" s="753"/>
      <c r="CJ410" s="754"/>
      <c r="CK410" s="754"/>
      <c r="CL410" s="754"/>
      <c r="CM410" s="754"/>
      <c r="CN410" s="754"/>
      <c r="CO410" s="754"/>
      <c r="CP410" s="754"/>
      <c r="CQ410" s="754"/>
      <c r="CR410" s="754"/>
      <c r="CS410" s="754"/>
      <c r="CT410" s="754"/>
      <c r="CU410" s="754"/>
      <c r="CV410" s="754"/>
      <c r="CW410" s="754"/>
      <c r="CX410" s="754"/>
      <c r="CY410" s="754"/>
      <c r="CZ410" s="755"/>
    </row>
    <row r="411" spans="1:104" ht="15" customHeight="1" x14ac:dyDescent="0.25">
      <c r="B411" s="1026"/>
      <c r="C411" s="727"/>
      <c r="D411" s="727"/>
      <c r="E411" s="727"/>
      <c r="F411" s="727"/>
      <c r="G411" s="727"/>
      <c r="H411" s="727"/>
      <c r="I411" s="727" t="str">
        <f>IF(B410="","",VLOOKUP(B410,BoonRef!$A$2:$Z$900,26,FALSE))</f>
        <v/>
      </c>
      <c r="J411" s="727"/>
      <c r="K411" s="727"/>
      <c r="L411" s="727"/>
      <c r="M411" s="727"/>
      <c r="N411" s="727"/>
      <c r="O411" s="727"/>
      <c r="P411" s="727"/>
      <c r="Q411" s="727"/>
      <c r="R411" s="727"/>
      <c r="S411" s="727"/>
      <c r="T411" s="727"/>
      <c r="U411" s="727"/>
      <c r="V411" s="727"/>
      <c r="W411" s="727"/>
      <c r="X411" s="727"/>
      <c r="Y411" s="727"/>
      <c r="Z411" s="728"/>
      <c r="AB411" s="1026"/>
      <c r="AC411" s="727"/>
      <c r="AD411" s="727"/>
      <c r="AE411" s="727"/>
      <c r="AF411" s="727"/>
      <c r="AG411" s="727"/>
      <c r="AH411" s="727"/>
      <c r="AI411" s="727" t="str">
        <f>IF(AB410="","",VLOOKUP(AB410,BoonRef!$A$2:$Z$900,26,FALSE))</f>
        <v/>
      </c>
      <c r="AJ411" s="727"/>
      <c r="AK411" s="727"/>
      <c r="AL411" s="727"/>
      <c r="AM411" s="727"/>
      <c r="AN411" s="727"/>
      <c r="AO411" s="727"/>
      <c r="AP411" s="727"/>
      <c r="AQ411" s="727"/>
      <c r="AR411" s="727"/>
      <c r="AS411" s="727"/>
      <c r="AT411" s="727"/>
      <c r="AU411" s="727"/>
      <c r="AV411" s="727"/>
      <c r="AW411" s="727"/>
      <c r="AX411" s="727"/>
      <c r="AY411" s="727"/>
      <c r="AZ411" s="728"/>
      <c r="BB411" s="1041"/>
      <c r="BC411" s="1042"/>
      <c r="BD411" s="1042"/>
      <c r="BE411" s="1042"/>
      <c r="BF411" s="1043"/>
      <c r="BG411" s="1034"/>
      <c r="BH411" s="1035"/>
      <c r="BI411" s="753"/>
      <c r="BJ411" s="754"/>
      <c r="BK411" s="754"/>
      <c r="BL411" s="754"/>
      <c r="BM411" s="754"/>
      <c r="BN411" s="754"/>
      <c r="BO411" s="754"/>
      <c r="BP411" s="754"/>
      <c r="BQ411" s="754"/>
      <c r="BR411" s="754"/>
      <c r="BS411" s="754"/>
      <c r="BT411" s="754"/>
      <c r="BU411" s="754"/>
      <c r="BV411" s="754"/>
      <c r="BW411" s="754"/>
      <c r="BX411" s="754"/>
      <c r="BY411" s="754"/>
      <c r="BZ411" s="755"/>
      <c r="CB411" s="1041"/>
      <c r="CC411" s="1042"/>
      <c r="CD411" s="1042"/>
      <c r="CE411" s="1042"/>
      <c r="CF411" s="1043"/>
      <c r="CG411" s="1034"/>
      <c r="CH411" s="1035"/>
      <c r="CI411" s="753"/>
      <c r="CJ411" s="754"/>
      <c r="CK411" s="754"/>
      <c r="CL411" s="754"/>
      <c r="CM411" s="754"/>
      <c r="CN411" s="754"/>
      <c r="CO411" s="754"/>
      <c r="CP411" s="754"/>
      <c r="CQ411" s="754"/>
      <c r="CR411" s="754"/>
      <c r="CS411" s="754"/>
      <c r="CT411" s="754"/>
      <c r="CU411" s="754"/>
      <c r="CV411" s="754"/>
      <c r="CW411" s="754"/>
      <c r="CX411" s="754"/>
      <c r="CY411" s="754"/>
      <c r="CZ411" s="755"/>
    </row>
    <row r="412" spans="1:104" x14ac:dyDescent="0.25">
      <c r="B412" s="1026" t="str">
        <f>IF(B410="","",VLOOKUP(B410,BoonRef!$A$2:$Z$900,24,FALSE))</f>
        <v/>
      </c>
      <c r="C412" s="727"/>
      <c r="D412" s="727"/>
      <c r="E412" s="727"/>
      <c r="F412" s="727"/>
      <c r="G412" s="727"/>
      <c r="H412" s="727"/>
      <c r="I412" s="727"/>
      <c r="J412" s="727"/>
      <c r="K412" s="727"/>
      <c r="L412" s="727"/>
      <c r="M412" s="727"/>
      <c r="N412" s="727"/>
      <c r="O412" s="727"/>
      <c r="P412" s="727"/>
      <c r="Q412" s="727"/>
      <c r="R412" s="727"/>
      <c r="S412" s="727"/>
      <c r="T412" s="727"/>
      <c r="U412" s="727"/>
      <c r="V412" s="727"/>
      <c r="W412" s="727"/>
      <c r="X412" s="727"/>
      <c r="Y412" s="727"/>
      <c r="Z412" s="728"/>
      <c r="AB412" s="1026" t="str">
        <f>IF(AB410="","",VLOOKUP(AB410,BoonRef!$A$2:$Z$900,24,FALSE))</f>
        <v/>
      </c>
      <c r="AC412" s="727"/>
      <c r="AD412" s="727"/>
      <c r="AE412" s="727"/>
      <c r="AF412" s="727"/>
      <c r="AG412" s="727"/>
      <c r="AH412" s="727"/>
      <c r="AI412" s="727"/>
      <c r="AJ412" s="727"/>
      <c r="AK412" s="727"/>
      <c r="AL412" s="727"/>
      <c r="AM412" s="727"/>
      <c r="AN412" s="727"/>
      <c r="AO412" s="727"/>
      <c r="AP412" s="727"/>
      <c r="AQ412" s="727"/>
      <c r="AR412" s="727"/>
      <c r="AS412" s="727"/>
      <c r="AT412" s="727"/>
      <c r="AU412" s="727"/>
      <c r="AV412" s="727"/>
      <c r="AW412" s="727"/>
      <c r="AX412" s="727"/>
      <c r="AY412" s="727"/>
      <c r="AZ412" s="728"/>
      <c r="BB412" s="641" t="str">
        <f>IF(BB410="","",VLOOKUP(BB410,KanckRef!$A$1:$G$300,4,FALSE))</f>
        <v/>
      </c>
      <c r="BC412" s="642"/>
      <c r="BD412" s="642"/>
      <c r="BE412" s="642"/>
      <c r="BF412" s="642"/>
      <c r="BG412" s="642"/>
      <c r="BH412" s="1033"/>
      <c r="BI412" s="753"/>
      <c r="BJ412" s="754"/>
      <c r="BK412" s="754"/>
      <c r="BL412" s="754"/>
      <c r="BM412" s="754"/>
      <c r="BN412" s="754"/>
      <c r="BO412" s="754"/>
      <c r="BP412" s="754"/>
      <c r="BQ412" s="754"/>
      <c r="BR412" s="754"/>
      <c r="BS412" s="754"/>
      <c r="BT412" s="754"/>
      <c r="BU412" s="754"/>
      <c r="BV412" s="754"/>
      <c r="BW412" s="754"/>
      <c r="BX412" s="754"/>
      <c r="BY412" s="754"/>
      <c r="BZ412" s="755"/>
      <c r="CB412" s="641" t="str">
        <f>IF(CB410="","",VLOOKUP(CB410,KanckRef!$A$1:$G$300,4,FALSE))</f>
        <v/>
      </c>
      <c r="CC412" s="642"/>
      <c r="CD412" s="642"/>
      <c r="CE412" s="642"/>
      <c r="CF412" s="642"/>
      <c r="CG412" s="642"/>
      <c r="CH412" s="1033"/>
      <c r="CI412" s="753"/>
      <c r="CJ412" s="754"/>
      <c r="CK412" s="754"/>
      <c r="CL412" s="754"/>
      <c r="CM412" s="754"/>
      <c r="CN412" s="754"/>
      <c r="CO412" s="754"/>
      <c r="CP412" s="754"/>
      <c r="CQ412" s="754"/>
      <c r="CR412" s="754"/>
      <c r="CS412" s="754"/>
      <c r="CT412" s="754"/>
      <c r="CU412" s="754"/>
      <c r="CV412" s="754"/>
      <c r="CW412" s="754"/>
      <c r="CX412" s="754"/>
      <c r="CY412" s="754"/>
      <c r="CZ412" s="755"/>
    </row>
    <row r="413" spans="1:104" x14ac:dyDescent="0.25">
      <c r="B413" s="1026" t="str">
        <f>IF(B410="","",VLOOKUP(B410,BoonRef!$A$2:$Z$900,23,FALSE))</f>
        <v/>
      </c>
      <c r="C413" s="727"/>
      <c r="D413" s="727"/>
      <c r="E413" s="727"/>
      <c r="F413" s="727"/>
      <c r="G413" s="727"/>
      <c r="H413" s="727"/>
      <c r="I413" s="727"/>
      <c r="J413" s="727"/>
      <c r="K413" s="727"/>
      <c r="L413" s="727"/>
      <c r="M413" s="727"/>
      <c r="N413" s="727"/>
      <c r="O413" s="727"/>
      <c r="P413" s="727"/>
      <c r="Q413" s="727"/>
      <c r="R413" s="727"/>
      <c r="S413" s="727"/>
      <c r="T413" s="727"/>
      <c r="U413" s="727"/>
      <c r="V413" s="727"/>
      <c r="W413" s="727"/>
      <c r="X413" s="727"/>
      <c r="Y413" s="727"/>
      <c r="Z413" s="728"/>
      <c r="AB413" s="1026" t="str">
        <f>IF(AB410="","",VLOOKUP(AB410,BoonRef!$A$2:$Z$900,23,FALSE))</f>
        <v/>
      </c>
      <c r="AC413" s="727"/>
      <c r="AD413" s="727"/>
      <c r="AE413" s="727"/>
      <c r="AF413" s="727"/>
      <c r="AG413" s="727"/>
      <c r="AH413" s="727"/>
      <c r="AI413" s="727"/>
      <c r="AJ413" s="727"/>
      <c r="AK413" s="727"/>
      <c r="AL413" s="727"/>
      <c r="AM413" s="727"/>
      <c r="AN413" s="727"/>
      <c r="AO413" s="727"/>
      <c r="AP413" s="727"/>
      <c r="AQ413" s="727"/>
      <c r="AR413" s="727"/>
      <c r="AS413" s="727"/>
      <c r="AT413" s="727"/>
      <c r="AU413" s="727"/>
      <c r="AV413" s="727"/>
      <c r="AW413" s="727"/>
      <c r="AX413" s="727"/>
      <c r="AY413" s="727"/>
      <c r="AZ413" s="728"/>
      <c r="BB413" s="635"/>
      <c r="BC413" s="636"/>
      <c r="BD413" s="636"/>
      <c r="BE413" s="636"/>
      <c r="BF413" s="636"/>
      <c r="BG413" s="636"/>
      <c r="BH413" s="1036"/>
      <c r="BI413" s="753"/>
      <c r="BJ413" s="754"/>
      <c r="BK413" s="754"/>
      <c r="BL413" s="754"/>
      <c r="BM413" s="754"/>
      <c r="BN413" s="754"/>
      <c r="BO413" s="754"/>
      <c r="BP413" s="754"/>
      <c r="BQ413" s="754"/>
      <c r="BR413" s="754"/>
      <c r="BS413" s="754"/>
      <c r="BT413" s="754"/>
      <c r="BU413" s="754"/>
      <c r="BV413" s="754"/>
      <c r="BW413" s="754"/>
      <c r="BX413" s="754"/>
      <c r="BY413" s="754"/>
      <c r="BZ413" s="755"/>
      <c r="CB413" s="635"/>
      <c r="CC413" s="636"/>
      <c r="CD413" s="636"/>
      <c r="CE413" s="636"/>
      <c r="CF413" s="636"/>
      <c r="CG413" s="636"/>
      <c r="CH413" s="1036"/>
      <c r="CI413" s="753"/>
      <c r="CJ413" s="754"/>
      <c r="CK413" s="754"/>
      <c r="CL413" s="754"/>
      <c r="CM413" s="754"/>
      <c r="CN413" s="754"/>
      <c r="CO413" s="754"/>
      <c r="CP413" s="754"/>
      <c r="CQ413" s="754"/>
      <c r="CR413" s="754"/>
      <c r="CS413" s="754"/>
      <c r="CT413" s="754"/>
      <c r="CU413" s="754"/>
      <c r="CV413" s="754"/>
      <c r="CW413" s="754"/>
      <c r="CX413" s="754"/>
      <c r="CY413" s="754"/>
      <c r="CZ413" s="755"/>
    </row>
    <row r="414" spans="1:104" ht="15.75" thickBot="1" x14ac:dyDescent="0.3">
      <c r="B414" s="1027"/>
      <c r="C414" s="865"/>
      <c r="D414" s="865"/>
      <c r="E414" s="865"/>
      <c r="F414" s="865"/>
      <c r="G414" s="865"/>
      <c r="H414" s="865"/>
      <c r="I414" s="865"/>
      <c r="J414" s="865"/>
      <c r="K414" s="865"/>
      <c r="L414" s="865"/>
      <c r="M414" s="865"/>
      <c r="N414" s="865"/>
      <c r="O414" s="865"/>
      <c r="P414" s="865"/>
      <c r="Q414" s="865"/>
      <c r="R414" s="865"/>
      <c r="S414" s="865"/>
      <c r="T414" s="865"/>
      <c r="U414" s="865"/>
      <c r="V414" s="865"/>
      <c r="W414" s="865"/>
      <c r="X414" s="865"/>
      <c r="Y414" s="865"/>
      <c r="Z414" s="921"/>
      <c r="AB414" s="1027"/>
      <c r="AC414" s="865"/>
      <c r="AD414" s="865"/>
      <c r="AE414" s="865"/>
      <c r="AF414" s="865"/>
      <c r="AG414" s="865"/>
      <c r="AH414" s="865"/>
      <c r="AI414" s="865"/>
      <c r="AJ414" s="865"/>
      <c r="AK414" s="865"/>
      <c r="AL414" s="865"/>
      <c r="AM414" s="865"/>
      <c r="AN414" s="865"/>
      <c r="AO414" s="865"/>
      <c r="AP414" s="865"/>
      <c r="AQ414" s="865"/>
      <c r="AR414" s="865"/>
      <c r="AS414" s="865"/>
      <c r="AT414" s="865"/>
      <c r="AU414" s="865"/>
      <c r="AV414" s="865"/>
      <c r="AW414" s="865"/>
      <c r="AX414" s="865"/>
      <c r="AY414" s="865"/>
      <c r="AZ414" s="921"/>
      <c r="BB414" s="644"/>
      <c r="BC414" s="645"/>
      <c r="BD414" s="645"/>
      <c r="BE414" s="645"/>
      <c r="BF414" s="645"/>
      <c r="BG414" s="645"/>
      <c r="BH414" s="1037"/>
      <c r="BI414" s="756"/>
      <c r="BJ414" s="757"/>
      <c r="BK414" s="757"/>
      <c r="BL414" s="757"/>
      <c r="BM414" s="757"/>
      <c r="BN414" s="757"/>
      <c r="BO414" s="757"/>
      <c r="BP414" s="757"/>
      <c r="BQ414" s="757"/>
      <c r="BR414" s="757"/>
      <c r="BS414" s="757"/>
      <c r="BT414" s="757"/>
      <c r="BU414" s="757"/>
      <c r="BV414" s="757"/>
      <c r="BW414" s="757"/>
      <c r="BX414" s="757"/>
      <c r="BY414" s="757"/>
      <c r="BZ414" s="758"/>
      <c r="CB414" s="644"/>
      <c r="CC414" s="645"/>
      <c r="CD414" s="645"/>
      <c r="CE414" s="645"/>
      <c r="CF414" s="645"/>
      <c r="CG414" s="645"/>
      <c r="CH414" s="1037"/>
      <c r="CI414" s="756"/>
      <c r="CJ414" s="757"/>
      <c r="CK414" s="757"/>
      <c r="CL414" s="757"/>
      <c r="CM414" s="757"/>
      <c r="CN414" s="757"/>
      <c r="CO414" s="757"/>
      <c r="CP414" s="757"/>
      <c r="CQ414" s="757"/>
      <c r="CR414" s="757"/>
      <c r="CS414" s="757"/>
      <c r="CT414" s="757"/>
      <c r="CU414" s="757"/>
      <c r="CV414" s="757"/>
      <c r="CW414" s="757"/>
      <c r="CX414" s="757"/>
      <c r="CY414" s="757"/>
      <c r="CZ414" s="758"/>
    </row>
    <row r="415" spans="1:104" x14ac:dyDescent="0.25">
      <c r="B415" s="1028" t="str">
        <f>IF(B416="","",VLOOKUP(B416,BoonRef!$A$2:$Z$900,2,FALSE))</f>
        <v/>
      </c>
      <c r="C415" s="725"/>
      <c r="D415" s="725"/>
      <c r="E415" s="725"/>
      <c r="F415" s="725"/>
      <c r="G415" s="725"/>
      <c r="H415" s="725"/>
      <c r="I415" s="725" t="str">
        <f>IF(B416="","",VLOOKUP(B416,BoonRef!$A$2:$Z$900,3,FALSE))</f>
        <v/>
      </c>
      <c r="J415" s="725"/>
      <c r="K415" s="725" t="str">
        <f>IF(B416="","",VLOOKUP(B416,DescRef!$A$2:$B$900,2,FALSE))</f>
        <v/>
      </c>
      <c r="L415" s="725"/>
      <c r="M415" s="725"/>
      <c r="N415" s="725"/>
      <c r="O415" s="725"/>
      <c r="P415" s="725"/>
      <c r="Q415" s="725"/>
      <c r="R415" s="725"/>
      <c r="S415" s="725"/>
      <c r="T415" s="725"/>
      <c r="U415" s="725"/>
      <c r="V415" s="725"/>
      <c r="W415" s="725"/>
      <c r="X415" s="725"/>
      <c r="Y415" s="725"/>
      <c r="Z415" s="726"/>
      <c r="AB415" s="1028" t="str">
        <f>IF(AB416="","",VLOOKUP(AB416,BoonRef!$A$2:$Z$900,2,FALSE))</f>
        <v/>
      </c>
      <c r="AC415" s="725"/>
      <c r="AD415" s="725"/>
      <c r="AE415" s="725"/>
      <c r="AF415" s="725"/>
      <c r="AG415" s="725"/>
      <c r="AH415" s="725"/>
      <c r="AI415" s="725" t="str">
        <f>IF(AB416="","",VLOOKUP(AB416,BoonRef!$A$2:$Z$900,3,FALSE))</f>
        <v/>
      </c>
      <c r="AJ415" s="725"/>
      <c r="AK415" s="725" t="str">
        <f>IF(AB416="","",VLOOKUP(AB416,DescRef!$A$2:$B$900,2,FALSE))</f>
        <v/>
      </c>
      <c r="AL415" s="725"/>
      <c r="AM415" s="725"/>
      <c r="AN415" s="725"/>
      <c r="AO415" s="725"/>
      <c r="AP415" s="725"/>
      <c r="AQ415" s="725"/>
      <c r="AR415" s="725"/>
      <c r="AS415" s="725"/>
      <c r="AT415" s="725"/>
      <c r="AU415" s="725"/>
      <c r="AV415" s="725"/>
      <c r="AW415" s="725"/>
      <c r="AX415" s="725"/>
      <c r="AY415" s="725"/>
      <c r="AZ415" s="726"/>
      <c r="BB415" s="1029" t="str">
        <f>IF(BB416="","",VLOOKUP(BB416,KanckRef!$A$1:$G$300,2,FALSE))</f>
        <v/>
      </c>
      <c r="BC415" s="1030"/>
      <c r="BD415" s="1030"/>
      <c r="BE415" s="1030"/>
      <c r="BF415" s="1031"/>
      <c r="BG415" s="1048" t="str">
        <f>IF(BB416="","",VLOOKUP(BB416,KanckRef!$A$1:$G$300,6,FALSE))</f>
        <v/>
      </c>
      <c r="BH415" s="1049"/>
      <c r="BI415" s="988" t="str">
        <f>IF(BB416="","",VLOOKUP(BB416,DescRef!$D$2:$E$300,2,FALSE))</f>
        <v/>
      </c>
      <c r="BJ415" s="795"/>
      <c r="BK415" s="795"/>
      <c r="BL415" s="795"/>
      <c r="BM415" s="795"/>
      <c r="BN415" s="795"/>
      <c r="BO415" s="795"/>
      <c r="BP415" s="795"/>
      <c r="BQ415" s="795"/>
      <c r="BR415" s="795"/>
      <c r="BS415" s="795"/>
      <c r="BT415" s="795"/>
      <c r="BU415" s="795"/>
      <c r="BV415" s="795"/>
      <c r="BW415" s="795"/>
      <c r="BX415" s="795"/>
      <c r="BY415" s="795"/>
      <c r="BZ415" s="796"/>
      <c r="CB415" s="1029" t="str">
        <f>IF(CB416="","",VLOOKUP(CB416,KanckRef!$A$1:$G$300,2,FALSE))</f>
        <v/>
      </c>
      <c r="CC415" s="1030"/>
      <c r="CD415" s="1030"/>
      <c r="CE415" s="1030"/>
      <c r="CF415" s="1031"/>
      <c r="CG415" s="1048" t="str">
        <f>IF(CB416="","",VLOOKUP(CB416,KanckRef!$A$1:$G$300,6,FALSE))</f>
        <v/>
      </c>
      <c r="CH415" s="1049"/>
      <c r="CI415" s="988" t="str">
        <f>IF(CB416="","",VLOOKUP(CB416,DescRef!$D$2:$E$300,2,FALSE))</f>
        <v/>
      </c>
      <c r="CJ415" s="795"/>
      <c r="CK415" s="795"/>
      <c r="CL415" s="795"/>
      <c r="CM415" s="795"/>
      <c r="CN415" s="795"/>
      <c r="CO415" s="795"/>
      <c r="CP415" s="795"/>
      <c r="CQ415" s="795"/>
      <c r="CR415" s="795"/>
      <c r="CS415" s="795"/>
      <c r="CT415" s="795"/>
      <c r="CU415" s="795"/>
      <c r="CV415" s="795"/>
      <c r="CW415" s="795"/>
      <c r="CX415" s="795"/>
      <c r="CY415" s="795"/>
      <c r="CZ415" s="796"/>
    </row>
    <row r="416" spans="1:104" ht="15" customHeight="1" x14ac:dyDescent="0.25">
      <c r="A416" s="15">
        <v>69</v>
      </c>
      <c r="B416" s="1026" t="str">
        <f>IF(A416&lt;'Purchased Boons'!$B$496,VLOOKUP(A416,'Purchased Boons'!$BF$2:$BG$900,2,FALSE),"")</f>
        <v/>
      </c>
      <c r="C416" s="727"/>
      <c r="D416" s="727"/>
      <c r="E416" s="727"/>
      <c r="F416" s="727"/>
      <c r="G416" s="727"/>
      <c r="H416" s="727"/>
      <c r="I416" s="727" t="str">
        <f>IF(B416="","",VLOOKUP(B416,BoonRef!$A$2:$Z$900,25,FALSE))</f>
        <v/>
      </c>
      <c r="J416" s="727"/>
      <c r="K416" s="727"/>
      <c r="L416" s="727"/>
      <c r="M416" s="727"/>
      <c r="N416" s="727"/>
      <c r="O416" s="727"/>
      <c r="P416" s="727"/>
      <c r="Q416" s="727"/>
      <c r="R416" s="727"/>
      <c r="S416" s="727"/>
      <c r="T416" s="727"/>
      <c r="U416" s="727"/>
      <c r="V416" s="727"/>
      <c r="W416" s="727"/>
      <c r="X416" s="727"/>
      <c r="Y416" s="727"/>
      <c r="Z416" s="728"/>
      <c r="AA416" s="15">
        <v>176</v>
      </c>
      <c r="AB416" s="1026" t="str">
        <f>IF(AA416&lt;'Purchased Boons'!$B$496,VLOOKUP(AA416,'Purchased Boons'!$BF$2:$BG$900,2,FALSE),"")</f>
        <v/>
      </c>
      <c r="AC416" s="727"/>
      <c r="AD416" s="727"/>
      <c r="AE416" s="727"/>
      <c r="AF416" s="727"/>
      <c r="AG416" s="727"/>
      <c r="AH416" s="727"/>
      <c r="AI416" s="727" t="str">
        <f>IF(AB416="","",VLOOKUP(AB416,BoonRef!$A$2:$Z$900,25,FALSE))</f>
        <v/>
      </c>
      <c r="AJ416" s="727"/>
      <c r="AK416" s="727"/>
      <c r="AL416" s="727"/>
      <c r="AM416" s="727"/>
      <c r="AN416" s="727"/>
      <c r="AO416" s="727"/>
      <c r="AP416" s="727"/>
      <c r="AQ416" s="727"/>
      <c r="AR416" s="727"/>
      <c r="AS416" s="727"/>
      <c r="AT416" s="727"/>
      <c r="AU416" s="727"/>
      <c r="AV416" s="727"/>
      <c r="AW416" s="727"/>
      <c r="AX416" s="727"/>
      <c r="AY416" s="727"/>
      <c r="AZ416" s="728"/>
      <c r="BA416" s="15">
        <v>69</v>
      </c>
      <c r="BB416" s="1038" t="str">
        <f>IF(BA416&lt;'Purchased Knacks'!A$192,VLOOKUP(BA416,'Purchased Knacks'!$A$4:$E$300,3,FALSE),"")</f>
        <v/>
      </c>
      <c r="BC416" s="1039"/>
      <c r="BD416" s="1039"/>
      <c r="BE416" s="1039"/>
      <c r="BF416" s="1040"/>
      <c r="BG416" s="1032" t="str">
        <f>IF(BB416="","",VLOOKUP(BB416,KanckRef!$A$1:$G$300,7,FALSE))</f>
        <v/>
      </c>
      <c r="BH416" s="1033"/>
      <c r="BI416" s="753"/>
      <c r="BJ416" s="754"/>
      <c r="BK416" s="754"/>
      <c r="BL416" s="754"/>
      <c r="BM416" s="754"/>
      <c r="BN416" s="754"/>
      <c r="BO416" s="754"/>
      <c r="BP416" s="754"/>
      <c r="BQ416" s="754"/>
      <c r="BR416" s="754"/>
      <c r="BS416" s="754"/>
      <c r="BT416" s="754"/>
      <c r="BU416" s="754"/>
      <c r="BV416" s="754"/>
      <c r="BW416" s="754"/>
      <c r="BX416" s="754"/>
      <c r="BY416" s="754"/>
      <c r="BZ416" s="755"/>
      <c r="CA416" s="15">
        <v>176</v>
      </c>
      <c r="CB416" s="1038" t="str">
        <f>IF(CA416&lt;'Purchased Knacks'!A$192,VLOOKUP(CA416,'Purchased Knacks'!$A$4:$E$300,3,FALSE),"")</f>
        <v/>
      </c>
      <c r="CC416" s="1039"/>
      <c r="CD416" s="1039"/>
      <c r="CE416" s="1039"/>
      <c r="CF416" s="1040"/>
      <c r="CG416" s="1032" t="str">
        <f>IF(CB416="","",VLOOKUP(CB416,KanckRef!$A$1:$G$300,7,FALSE))</f>
        <v/>
      </c>
      <c r="CH416" s="1033"/>
      <c r="CI416" s="753"/>
      <c r="CJ416" s="754"/>
      <c r="CK416" s="754"/>
      <c r="CL416" s="754"/>
      <c r="CM416" s="754"/>
      <c r="CN416" s="754"/>
      <c r="CO416" s="754"/>
      <c r="CP416" s="754"/>
      <c r="CQ416" s="754"/>
      <c r="CR416" s="754"/>
      <c r="CS416" s="754"/>
      <c r="CT416" s="754"/>
      <c r="CU416" s="754"/>
      <c r="CV416" s="754"/>
      <c r="CW416" s="754"/>
      <c r="CX416" s="754"/>
      <c r="CY416" s="754"/>
      <c r="CZ416" s="755"/>
    </row>
    <row r="417" spans="1:104" x14ac:dyDescent="0.25">
      <c r="B417" s="1026"/>
      <c r="C417" s="727"/>
      <c r="D417" s="727"/>
      <c r="E417" s="727"/>
      <c r="F417" s="727"/>
      <c r="G417" s="727"/>
      <c r="H417" s="727"/>
      <c r="I417" s="727" t="str">
        <f>IF(B416="","",VLOOKUP(B416,BoonRef!$A$2:$Z$900,26,FALSE))</f>
        <v/>
      </c>
      <c r="J417" s="727"/>
      <c r="K417" s="727"/>
      <c r="L417" s="727"/>
      <c r="M417" s="727"/>
      <c r="N417" s="727"/>
      <c r="O417" s="727"/>
      <c r="P417" s="727"/>
      <c r="Q417" s="727"/>
      <c r="R417" s="727"/>
      <c r="S417" s="727"/>
      <c r="T417" s="727"/>
      <c r="U417" s="727"/>
      <c r="V417" s="727"/>
      <c r="W417" s="727"/>
      <c r="X417" s="727"/>
      <c r="Y417" s="727"/>
      <c r="Z417" s="728"/>
      <c r="AB417" s="1026"/>
      <c r="AC417" s="727"/>
      <c r="AD417" s="727"/>
      <c r="AE417" s="727"/>
      <c r="AF417" s="727"/>
      <c r="AG417" s="727"/>
      <c r="AH417" s="727"/>
      <c r="AI417" s="727" t="str">
        <f>IF(AB416="","",VLOOKUP(AB416,BoonRef!$A$2:$Z$900,26,FALSE))</f>
        <v/>
      </c>
      <c r="AJ417" s="727"/>
      <c r="AK417" s="727"/>
      <c r="AL417" s="727"/>
      <c r="AM417" s="727"/>
      <c r="AN417" s="727"/>
      <c r="AO417" s="727"/>
      <c r="AP417" s="727"/>
      <c r="AQ417" s="727"/>
      <c r="AR417" s="727"/>
      <c r="AS417" s="727"/>
      <c r="AT417" s="727"/>
      <c r="AU417" s="727"/>
      <c r="AV417" s="727"/>
      <c r="AW417" s="727"/>
      <c r="AX417" s="727"/>
      <c r="AY417" s="727"/>
      <c r="AZ417" s="728"/>
      <c r="BB417" s="1041"/>
      <c r="BC417" s="1042"/>
      <c r="BD417" s="1042"/>
      <c r="BE417" s="1042"/>
      <c r="BF417" s="1043"/>
      <c r="BG417" s="1034"/>
      <c r="BH417" s="1035"/>
      <c r="BI417" s="753"/>
      <c r="BJ417" s="754"/>
      <c r="BK417" s="754"/>
      <c r="BL417" s="754"/>
      <c r="BM417" s="754"/>
      <c r="BN417" s="754"/>
      <c r="BO417" s="754"/>
      <c r="BP417" s="754"/>
      <c r="BQ417" s="754"/>
      <c r="BR417" s="754"/>
      <c r="BS417" s="754"/>
      <c r="BT417" s="754"/>
      <c r="BU417" s="754"/>
      <c r="BV417" s="754"/>
      <c r="BW417" s="754"/>
      <c r="BX417" s="754"/>
      <c r="BY417" s="754"/>
      <c r="BZ417" s="755"/>
      <c r="CB417" s="1041"/>
      <c r="CC417" s="1042"/>
      <c r="CD417" s="1042"/>
      <c r="CE417" s="1042"/>
      <c r="CF417" s="1043"/>
      <c r="CG417" s="1034"/>
      <c r="CH417" s="1035"/>
      <c r="CI417" s="753"/>
      <c r="CJ417" s="754"/>
      <c r="CK417" s="754"/>
      <c r="CL417" s="754"/>
      <c r="CM417" s="754"/>
      <c r="CN417" s="754"/>
      <c r="CO417" s="754"/>
      <c r="CP417" s="754"/>
      <c r="CQ417" s="754"/>
      <c r="CR417" s="754"/>
      <c r="CS417" s="754"/>
      <c r="CT417" s="754"/>
      <c r="CU417" s="754"/>
      <c r="CV417" s="754"/>
      <c r="CW417" s="754"/>
      <c r="CX417" s="754"/>
      <c r="CY417" s="754"/>
      <c r="CZ417" s="755"/>
    </row>
    <row r="418" spans="1:104" x14ac:dyDescent="0.25">
      <c r="B418" s="1026" t="str">
        <f>IF(B416="","",VLOOKUP(B416,BoonRef!$A$2:$Z$900,24,FALSE))</f>
        <v/>
      </c>
      <c r="C418" s="727"/>
      <c r="D418" s="727"/>
      <c r="E418" s="727"/>
      <c r="F418" s="727"/>
      <c r="G418" s="727"/>
      <c r="H418" s="727"/>
      <c r="I418" s="727"/>
      <c r="J418" s="727"/>
      <c r="K418" s="727"/>
      <c r="L418" s="727"/>
      <c r="M418" s="727"/>
      <c r="N418" s="727"/>
      <c r="O418" s="727"/>
      <c r="P418" s="727"/>
      <c r="Q418" s="727"/>
      <c r="R418" s="727"/>
      <c r="S418" s="727"/>
      <c r="T418" s="727"/>
      <c r="U418" s="727"/>
      <c r="V418" s="727"/>
      <c r="W418" s="727"/>
      <c r="X418" s="727"/>
      <c r="Y418" s="727"/>
      <c r="Z418" s="728"/>
      <c r="AB418" s="1026" t="str">
        <f>IF(AB416="","",VLOOKUP(AB416,BoonRef!$A$2:$Z$900,24,FALSE))</f>
        <v/>
      </c>
      <c r="AC418" s="727"/>
      <c r="AD418" s="727"/>
      <c r="AE418" s="727"/>
      <c r="AF418" s="727"/>
      <c r="AG418" s="727"/>
      <c r="AH418" s="727"/>
      <c r="AI418" s="727"/>
      <c r="AJ418" s="727"/>
      <c r="AK418" s="727"/>
      <c r="AL418" s="727"/>
      <c r="AM418" s="727"/>
      <c r="AN418" s="727"/>
      <c r="AO418" s="727"/>
      <c r="AP418" s="727"/>
      <c r="AQ418" s="727"/>
      <c r="AR418" s="727"/>
      <c r="AS418" s="727"/>
      <c r="AT418" s="727"/>
      <c r="AU418" s="727"/>
      <c r="AV418" s="727"/>
      <c r="AW418" s="727"/>
      <c r="AX418" s="727"/>
      <c r="AY418" s="727"/>
      <c r="AZ418" s="728"/>
      <c r="BB418" s="641" t="str">
        <f>IF(BB416="","",VLOOKUP(BB416,KanckRef!$A$1:$G$300,4,FALSE))</f>
        <v/>
      </c>
      <c r="BC418" s="642"/>
      <c r="BD418" s="642"/>
      <c r="BE418" s="642"/>
      <c r="BF418" s="642"/>
      <c r="BG418" s="642"/>
      <c r="BH418" s="1033"/>
      <c r="BI418" s="753"/>
      <c r="BJ418" s="754"/>
      <c r="BK418" s="754"/>
      <c r="BL418" s="754"/>
      <c r="BM418" s="754"/>
      <c r="BN418" s="754"/>
      <c r="BO418" s="754"/>
      <c r="BP418" s="754"/>
      <c r="BQ418" s="754"/>
      <c r="BR418" s="754"/>
      <c r="BS418" s="754"/>
      <c r="BT418" s="754"/>
      <c r="BU418" s="754"/>
      <c r="BV418" s="754"/>
      <c r="BW418" s="754"/>
      <c r="BX418" s="754"/>
      <c r="BY418" s="754"/>
      <c r="BZ418" s="755"/>
      <c r="CB418" s="641" t="str">
        <f>IF(CB416="","",VLOOKUP(CB416,KanckRef!$A$1:$G$300,4,FALSE))</f>
        <v/>
      </c>
      <c r="CC418" s="642"/>
      <c r="CD418" s="642"/>
      <c r="CE418" s="642"/>
      <c r="CF418" s="642"/>
      <c r="CG418" s="642"/>
      <c r="CH418" s="1033"/>
      <c r="CI418" s="753"/>
      <c r="CJ418" s="754"/>
      <c r="CK418" s="754"/>
      <c r="CL418" s="754"/>
      <c r="CM418" s="754"/>
      <c r="CN418" s="754"/>
      <c r="CO418" s="754"/>
      <c r="CP418" s="754"/>
      <c r="CQ418" s="754"/>
      <c r="CR418" s="754"/>
      <c r="CS418" s="754"/>
      <c r="CT418" s="754"/>
      <c r="CU418" s="754"/>
      <c r="CV418" s="754"/>
      <c r="CW418" s="754"/>
      <c r="CX418" s="754"/>
      <c r="CY418" s="754"/>
      <c r="CZ418" s="755"/>
    </row>
    <row r="419" spans="1:104" x14ac:dyDescent="0.25">
      <c r="B419" s="1026" t="str">
        <f>IF(B416="","",VLOOKUP(B416,BoonRef!$A$2:$Z$900,23,FALSE))</f>
        <v/>
      </c>
      <c r="C419" s="727"/>
      <c r="D419" s="727"/>
      <c r="E419" s="727"/>
      <c r="F419" s="727"/>
      <c r="G419" s="727"/>
      <c r="H419" s="727"/>
      <c r="I419" s="727"/>
      <c r="J419" s="727"/>
      <c r="K419" s="727"/>
      <c r="L419" s="727"/>
      <c r="M419" s="727"/>
      <c r="N419" s="727"/>
      <c r="O419" s="727"/>
      <c r="P419" s="727"/>
      <c r="Q419" s="727"/>
      <c r="R419" s="727"/>
      <c r="S419" s="727"/>
      <c r="T419" s="727"/>
      <c r="U419" s="727"/>
      <c r="V419" s="727"/>
      <c r="W419" s="727"/>
      <c r="X419" s="727"/>
      <c r="Y419" s="727"/>
      <c r="Z419" s="728"/>
      <c r="AB419" s="1026" t="str">
        <f>IF(AB416="","",VLOOKUP(AB416,BoonRef!$A$2:$Z$900,23,FALSE))</f>
        <v/>
      </c>
      <c r="AC419" s="727"/>
      <c r="AD419" s="727"/>
      <c r="AE419" s="727"/>
      <c r="AF419" s="727"/>
      <c r="AG419" s="727"/>
      <c r="AH419" s="727"/>
      <c r="AI419" s="727"/>
      <c r="AJ419" s="727"/>
      <c r="AK419" s="727"/>
      <c r="AL419" s="727"/>
      <c r="AM419" s="727"/>
      <c r="AN419" s="727"/>
      <c r="AO419" s="727"/>
      <c r="AP419" s="727"/>
      <c r="AQ419" s="727"/>
      <c r="AR419" s="727"/>
      <c r="AS419" s="727"/>
      <c r="AT419" s="727"/>
      <c r="AU419" s="727"/>
      <c r="AV419" s="727"/>
      <c r="AW419" s="727"/>
      <c r="AX419" s="727"/>
      <c r="AY419" s="727"/>
      <c r="AZ419" s="728"/>
      <c r="BB419" s="635"/>
      <c r="BC419" s="636"/>
      <c r="BD419" s="636"/>
      <c r="BE419" s="636"/>
      <c r="BF419" s="636"/>
      <c r="BG419" s="636"/>
      <c r="BH419" s="1036"/>
      <c r="BI419" s="753"/>
      <c r="BJ419" s="754"/>
      <c r="BK419" s="754"/>
      <c r="BL419" s="754"/>
      <c r="BM419" s="754"/>
      <c r="BN419" s="754"/>
      <c r="BO419" s="754"/>
      <c r="BP419" s="754"/>
      <c r="BQ419" s="754"/>
      <c r="BR419" s="754"/>
      <c r="BS419" s="754"/>
      <c r="BT419" s="754"/>
      <c r="BU419" s="754"/>
      <c r="BV419" s="754"/>
      <c r="BW419" s="754"/>
      <c r="BX419" s="754"/>
      <c r="BY419" s="754"/>
      <c r="BZ419" s="755"/>
      <c r="CB419" s="635"/>
      <c r="CC419" s="636"/>
      <c r="CD419" s="636"/>
      <c r="CE419" s="636"/>
      <c r="CF419" s="636"/>
      <c r="CG419" s="636"/>
      <c r="CH419" s="1036"/>
      <c r="CI419" s="753"/>
      <c r="CJ419" s="754"/>
      <c r="CK419" s="754"/>
      <c r="CL419" s="754"/>
      <c r="CM419" s="754"/>
      <c r="CN419" s="754"/>
      <c r="CO419" s="754"/>
      <c r="CP419" s="754"/>
      <c r="CQ419" s="754"/>
      <c r="CR419" s="754"/>
      <c r="CS419" s="754"/>
      <c r="CT419" s="754"/>
      <c r="CU419" s="754"/>
      <c r="CV419" s="754"/>
      <c r="CW419" s="754"/>
      <c r="CX419" s="754"/>
      <c r="CY419" s="754"/>
      <c r="CZ419" s="755"/>
    </row>
    <row r="420" spans="1:104" ht="15.75" thickBot="1" x14ac:dyDescent="0.3">
      <c r="B420" s="1027"/>
      <c r="C420" s="865"/>
      <c r="D420" s="865"/>
      <c r="E420" s="865"/>
      <c r="F420" s="865"/>
      <c r="G420" s="865"/>
      <c r="H420" s="865"/>
      <c r="I420" s="865"/>
      <c r="J420" s="865"/>
      <c r="K420" s="865"/>
      <c r="L420" s="865"/>
      <c r="M420" s="865"/>
      <c r="N420" s="865"/>
      <c r="O420" s="865"/>
      <c r="P420" s="865"/>
      <c r="Q420" s="865"/>
      <c r="R420" s="865"/>
      <c r="S420" s="865"/>
      <c r="T420" s="865"/>
      <c r="U420" s="865"/>
      <c r="V420" s="865"/>
      <c r="W420" s="865"/>
      <c r="X420" s="865"/>
      <c r="Y420" s="865"/>
      <c r="Z420" s="921"/>
      <c r="AB420" s="1027"/>
      <c r="AC420" s="865"/>
      <c r="AD420" s="865"/>
      <c r="AE420" s="865"/>
      <c r="AF420" s="865"/>
      <c r="AG420" s="865"/>
      <c r="AH420" s="865"/>
      <c r="AI420" s="865"/>
      <c r="AJ420" s="865"/>
      <c r="AK420" s="865"/>
      <c r="AL420" s="865"/>
      <c r="AM420" s="865"/>
      <c r="AN420" s="865"/>
      <c r="AO420" s="865"/>
      <c r="AP420" s="865"/>
      <c r="AQ420" s="865"/>
      <c r="AR420" s="865"/>
      <c r="AS420" s="865"/>
      <c r="AT420" s="865"/>
      <c r="AU420" s="865"/>
      <c r="AV420" s="865"/>
      <c r="AW420" s="865"/>
      <c r="AX420" s="865"/>
      <c r="AY420" s="865"/>
      <c r="AZ420" s="921"/>
      <c r="BB420" s="644"/>
      <c r="BC420" s="645"/>
      <c r="BD420" s="645"/>
      <c r="BE420" s="645"/>
      <c r="BF420" s="645"/>
      <c r="BG420" s="645"/>
      <c r="BH420" s="1037"/>
      <c r="BI420" s="756"/>
      <c r="BJ420" s="757"/>
      <c r="BK420" s="757"/>
      <c r="BL420" s="757"/>
      <c r="BM420" s="757"/>
      <c r="BN420" s="757"/>
      <c r="BO420" s="757"/>
      <c r="BP420" s="757"/>
      <c r="BQ420" s="757"/>
      <c r="BR420" s="757"/>
      <c r="BS420" s="757"/>
      <c r="BT420" s="757"/>
      <c r="BU420" s="757"/>
      <c r="BV420" s="757"/>
      <c r="BW420" s="757"/>
      <c r="BX420" s="757"/>
      <c r="BY420" s="757"/>
      <c r="BZ420" s="758"/>
      <c r="CB420" s="644"/>
      <c r="CC420" s="645"/>
      <c r="CD420" s="645"/>
      <c r="CE420" s="645"/>
      <c r="CF420" s="645"/>
      <c r="CG420" s="645"/>
      <c r="CH420" s="1037"/>
      <c r="CI420" s="756"/>
      <c r="CJ420" s="757"/>
      <c r="CK420" s="757"/>
      <c r="CL420" s="757"/>
      <c r="CM420" s="757"/>
      <c r="CN420" s="757"/>
      <c r="CO420" s="757"/>
      <c r="CP420" s="757"/>
      <c r="CQ420" s="757"/>
      <c r="CR420" s="757"/>
      <c r="CS420" s="757"/>
      <c r="CT420" s="757"/>
      <c r="CU420" s="757"/>
      <c r="CV420" s="757"/>
      <c r="CW420" s="757"/>
      <c r="CX420" s="757"/>
      <c r="CY420" s="757"/>
      <c r="CZ420" s="758"/>
    </row>
    <row r="421" spans="1:104" x14ac:dyDescent="0.25">
      <c r="B421" s="1028" t="str">
        <f>IF(B422="","",VLOOKUP(B422,BoonRef!$A$2:$Z$900,2,FALSE))</f>
        <v/>
      </c>
      <c r="C421" s="725"/>
      <c r="D421" s="725"/>
      <c r="E421" s="725"/>
      <c r="F421" s="725"/>
      <c r="G421" s="725"/>
      <c r="H421" s="725"/>
      <c r="I421" s="725" t="str">
        <f>IF(B422="","",VLOOKUP(B422,BoonRef!$A$2:$Z$900,3,FALSE))</f>
        <v/>
      </c>
      <c r="J421" s="725"/>
      <c r="K421" s="725" t="str">
        <f>IF(B422="","",VLOOKUP(B422,DescRef!$A$2:$B$900,2,FALSE))</f>
        <v/>
      </c>
      <c r="L421" s="725"/>
      <c r="M421" s="725"/>
      <c r="N421" s="725"/>
      <c r="O421" s="725"/>
      <c r="P421" s="725"/>
      <c r="Q421" s="725"/>
      <c r="R421" s="725"/>
      <c r="S421" s="725"/>
      <c r="T421" s="725"/>
      <c r="U421" s="725"/>
      <c r="V421" s="725"/>
      <c r="W421" s="725"/>
      <c r="X421" s="725"/>
      <c r="Y421" s="725"/>
      <c r="Z421" s="726"/>
      <c r="AB421" s="1028" t="str">
        <f>IF(AB422="","",VLOOKUP(AB422,BoonRef!$A$2:$Z$900,2,FALSE))</f>
        <v/>
      </c>
      <c r="AC421" s="725"/>
      <c r="AD421" s="725"/>
      <c r="AE421" s="725"/>
      <c r="AF421" s="725"/>
      <c r="AG421" s="725"/>
      <c r="AH421" s="725"/>
      <c r="AI421" s="725" t="str">
        <f>IF(AB422="","",VLOOKUP(AB422,BoonRef!$A$2:$Z$900,3,FALSE))</f>
        <v/>
      </c>
      <c r="AJ421" s="725"/>
      <c r="AK421" s="725" t="str">
        <f>IF(AB422="","",VLOOKUP(AB422,DescRef!$A$2:$B$900,2,FALSE))</f>
        <v/>
      </c>
      <c r="AL421" s="725"/>
      <c r="AM421" s="725"/>
      <c r="AN421" s="725"/>
      <c r="AO421" s="725"/>
      <c r="AP421" s="725"/>
      <c r="AQ421" s="725"/>
      <c r="AR421" s="725"/>
      <c r="AS421" s="725"/>
      <c r="AT421" s="725"/>
      <c r="AU421" s="725"/>
      <c r="AV421" s="725"/>
      <c r="AW421" s="725"/>
      <c r="AX421" s="725"/>
      <c r="AY421" s="725"/>
      <c r="AZ421" s="726"/>
      <c r="BB421" s="1029" t="str">
        <f>IF(BB422="","",VLOOKUP(BB422,KanckRef!$A$1:$G$300,2,FALSE))</f>
        <v/>
      </c>
      <c r="BC421" s="1030"/>
      <c r="BD421" s="1030"/>
      <c r="BE421" s="1030"/>
      <c r="BF421" s="1031"/>
      <c r="BG421" s="1048" t="str">
        <f>IF(BB422="","",VLOOKUP(BB422,KanckRef!$A$1:$G$300,6,FALSE))</f>
        <v/>
      </c>
      <c r="BH421" s="1049"/>
      <c r="BI421" s="988" t="str">
        <f>IF(BB422="","",VLOOKUP(BB422,DescRef!$D$2:$E$300,2,FALSE))</f>
        <v/>
      </c>
      <c r="BJ421" s="795"/>
      <c r="BK421" s="795"/>
      <c r="BL421" s="795"/>
      <c r="BM421" s="795"/>
      <c r="BN421" s="795"/>
      <c r="BO421" s="795"/>
      <c r="BP421" s="795"/>
      <c r="BQ421" s="795"/>
      <c r="BR421" s="795"/>
      <c r="BS421" s="795"/>
      <c r="BT421" s="795"/>
      <c r="BU421" s="795"/>
      <c r="BV421" s="795"/>
      <c r="BW421" s="795"/>
      <c r="BX421" s="795"/>
      <c r="BY421" s="795"/>
      <c r="BZ421" s="796"/>
      <c r="CB421" s="1029" t="str">
        <f>IF(CB422="","",VLOOKUP(CB422,KanckRef!$A$1:$G$300,2,FALSE))</f>
        <v/>
      </c>
      <c r="CC421" s="1030"/>
      <c r="CD421" s="1030"/>
      <c r="CE421" s="1030"/>
      <c r="CF421" s="1031"/>
      <c r="CG421" s="1048" t="str">
        <f>IF(CB422="","",VLOOKUP(CB422,KanckRef!$A$1:$G$300,6,FALSE))</f>
        <v/>
      </c>
      <c r="CH421" s="1049"/>
      <c r="CI421" s="988" t="str">
        <f>IF(CB422="","",VLOOKUP(CB422,DescRef!$D$2:$E$300,2,FALSE))</f>
        <v/>
      </c>
      <c r="CJ421" s="795"/>
      <c r="CK421" s="795"/>
      <c r="CL421" s="795"/>
      <c r="CM421" s="795"/>
      <c r="CN421" s="795"/>
      <c r="CO421" s="795"/>
      <c r="CP421" s="795"/>
      <c r="CQ421" s="795"/>
      <c r="CR421" s="795"/>
      <c r="CS421" s="795"/>
      <c r="CT421" s="795"/>
      <c r="CU421" s="795"/>
      <c r="CV421" s="795"/>
      <c r="CW421" s="795"/>
      <c r="CX421" s="795"/>
      <c r="CY421" s="795"/>
      <c r="CZ421" s="796"/>
    </row>
    <row r="422" spans="1:104" ht="15" customHeight="1" x14ac:dyDescent="0.25">
      <c r="A422" s="15">
        <v>70</v>
      </c>
      <c r="B422" s="1026" t="str">
        <f>IF(A422&lt;'Purchased Boons'!$B$496,VLOOKUP(A422,'Purchased Boons'!$BF$2:$BG$900,2,FALSE),"")</f>
        <v/>
      </c>
      <c r="C422" s="727"/>
      <c r="D422" s="727"/>
      <c r="E422" s="727"/>
      <c r="F422" s="727"/>
      <c r="G422" s="727"/>
      <c r="H422" s="727"/>
      <c r="I422" s="727" t="str">
        <f>IF(B422="","",VLOOKUP(B422,BoonRef!$A$2:$Z$900,25,FALSE))</f>
        <v/>
      </c>
      <c r="J422" s="727"/>
      <c r="K422" s="727"/>
      <c r="L422" s="727"/>
      <c r="M422" s="727"/>
      <c r="N422" s="727"/>
      <c r="O422" s="727"/>
      <c r="P422" s="727"/>
      <c r="Q422" s="727"/>
      <c r="R422" s="727"/>
      <c r="S422" s="727"/>
      <c r="T422" s="727"/>
      <c r="U422" s="727"/>
      <c r="V422" s="727"/>
      <c r="W422" s="727"/>
      <c r="X422" s="727"/>
      <c r="Y422" s="727"/>
      <c r="Z422" s="728"/>
      <c r="AA422" s="15">
        <v>177</v>
      </c>
      <c r="AB422" s="1026" t="str">
        <f>IF(AA422&lt;'Purchased Boons'!$B$496,VLOOKUP(AA422,'Purchased Boons'!$BF$2:$BG$900,2,FALSE),"")</f>
        <v/>
      </c>
      <c r="AC422" s="727"/>
      <c r="AD422" s="727"/>
      <c r="AE422" s="727"/>
      <c r="AF422" s="727"/>
      <c r="AG422" s="727"/>
      <c r="AH422" s="727"/>
      <c r="AI422" s="727" t="str">
        <f>IF(AB422="","",VLOOKUP(AB422,BoonRef!$A$2:$Z$900,25,FALSE))</f>
        <v/>
      </c>
      <c r="AJ422" s="727"/>
      <c r="AK422" s="727"/>
      <c r="AL422" s="727"/>
      <c r="AM422" s="727"/>
      <c r="AN422" s="727"/>
      <c r="AO422" s="727"/>
      <c r="AP422" s="727"/>
      <c r="AQ422" s="727"/>
      <c r="AR422" s="727"/>
      <c r="AS422" s="727"/>
      <c r="AT422" s="727"/>
      <c r="AU422" s="727"/>
      <c r="AV422" s="727"/>
      <c r="AW422" s="727"/>
      <c r="AX422" s="727"/>
      <c r="AY422" s="727"/>
      <c r="AZ422" s="728"/>
      <c r="BA422" s="15">
        <v>70</v>
      </c>
      <c r="BB422" s="1038" t="str">
        <f>IF(BA422&lt;'Purchased Knacks'!A$192,VLOOKUP(BA422,'Purchased Knacks'!$A$4:$E$300,3,FALSE),"")</f>
        <v/>
      </c>
      <c r="BC422" s="1039"/>
      <c r="BD422" s="1039"/>
      <c r="BE422" s="1039"/>
      <c r="BF422" s="1040"/>
      <c r="BG422" s="1032" t="str">
        <f>IF(BB422="","",VLOOKUP(BB422,KanckRef!$A$1:$G$300,7,FALSE))</f>
        <v/>
      </c>
      <c r="BH422" s="1033"/>
      <c r="BI422" s="753"/>
      <c r="BJ422" s="754"/>
      <c r="BK422" s="754"/>
      <c r="BL422" s="754"/>
      <c r="BM422" s="754"/>
      <c r="BN422" s="754"/>
      <c r="BO422" s="754"/>
      <c r="BP422" s="754"/>
      <c r="BQ422" s="754"/>
      <c r="BR422" s="754"/>
      <c r="BS422" s="754"/>
      <c r="BT422" s="754"/>
      <c r="BU422" s="754"/>
      <c r="BV422" s="754"/>
      <c r="BW422" s="754"/>
      <c r="BX422" s="754"/>
      <c r="BY422" s="754"/>
      <c r="BZ422" s="755"/>
      <c r="CA422" s="15">
        <v>177</v>
      </c>
      <c r="CB422" s="1038" t="str">
        <f>IF(CA422&lt;'Purchased Knacks'!A$192,VLOOKUP(CA422,'Purchased Knacks'!$A$4:$E$300,3,FALSE),"")</f>
        <v/>
      </c>
      <c r="CC422" s="1039"/>
      <c r="CD422" s="1039"/>
      <c r="CE422" s="1039"/>
      <c r="CF422" s="1040"/>
      <c r="CG422" s="1032" t="str">
        <f>IF(CB422="","",VLOOKUP(CB422,KanckRef!$A$1:$G$300,7,FALSE))</f>
        <v/>
      </c>
      <c r="CH422" s="1033"/>
      <c r="CI422" s="753"/>
      <c r="CJ422" s="754"/>
      <c r="CK422" s="754"/>
      <c r="CL422" s="754"/>
      <c r="CM422" s="754"/>
      <c r="CN422" s="754"/>
      <c r="CO422" s="754"/>
      <c r="CP422" s="754"/>
      <c r="CQ422" s="754"/>
      <c r="CR422" s="754"/>
      <c r="CS422" s="754"/>
      <c r="CT422" s="754"/>
      <c r="CU422" s="754"/>
      <c r="CV422" s="754"/>
      <c r="CW422" s="754"/>
      <c r="CX422" s="754"/>
      <c r="CY422" s="754"/>
      <c r="CZ422" s="755"/>
    </row>
    <row r="423" spans="1:104" x14ac:dyDescent="0.25">
      <c r="B423" s="1026"/>
      <c r="C423" s="727"/>
      <c r="D423" s="727"/>
      <c r="E423" s="727"/>
      <c r="F423" s="727"/>
      <c r="G423" s="727"/>
      <c r="H423" s="727"/>
      <c r="I423" s="727" t="str">
        <f>IF(B422="","",VLOOKUP(B422,BoonRef!$A$2:$Z$900,26,FALSE))</f>
        <v/>
      </c>
      <c r="J423" s="727"/>
      <c r="K423" s="727"/>
      <c r="L423" s="727"/>
      <c r="M423" s="727"/>
      <c r="N423" s="727"/>
      <c r="O423" s="727"/>
      <c r="P423" s="727"/>
      <c r="Q423" s="727"/>
      <c r="R423" s="727"/>
      <c r="S423" s="727"/>
      <c r="T423" s="727"/>
      <c r="U423" s="727"/>
      <c r="V423" s="727"/>
      <c r="W423" s="727"/>
      <c r="X423" s="727"/>
      <c r="Y423" s="727"/>
      <c r="Z423" s="728"/>
      <c r="AB423" s="1026"/>
      <c r="AC423" s="727"/>
      <c r="AD423" s="727"/>
      <c r="AE423" s="727"/>
      <c r="AF423" s="727"/>
      <c r="AG423" s="727"/>
      <c r="AH423" s="727"/>
      <c r="AI423" s="727" t="str">
        <f>IF(AB422="","",VLOOKUP(AB422,BoonRef!$A$2:$Z$900,26,FALSE))</f>
        <v/>
      </c>
      <c r="AJ423" s="727"/>
      <c r="AK423" s="727"/>
      <c r="AL423" s="727"/>
      <c r="AM423" s="727"/>
      <c r="AN423" s="727"/>
      <c r="AO423" s="727"/>
      <c r="AP423" s="727"/>
      <c r="AQ423" s="727"/>
      <c r="AR423" s="727"/>
      <c r="AS423" s="727"/>
      <c r="AT423" s="727"/>
      <c r="AU423" s="727"/>
      <c r="AV423" s="727"/>
      <c r="AW423" s="727"/>
      <c r="AX423" s="727"/>
      <c r="AY423" s="727"/>
      <c r="AZ423" s="728"/>
      <c r="BB423" s="1041"/>
      <c r="BC423" s="1042"/>
      <c r="BD423" s="1042"/>
      <c r="BE423" s="1042"/>
      <c r="BF423" s="1043"/>
      <c r="BG423" s="1034"/>
      <c r="BH423" s="1035"/>
      <c r="BI423" s="753"/>
      <c r="BJ423" s="754"/>
      <c r="BK423" s="754"/>
      <c r="BL423" s="754"/>
      <c r="BM423" s="754"/>
      <c r="BN423" s="754"/>
      <c r="BO423" s="754"/>
      <c r="BP423" s="754"/>
      <c r="BQ423" s="754"/>
      <c r="BR423" s="754"/>
      <c r="BS423" s="754"/>
      <c r="BT423" s="754"/>
      <c r="BU423" s="754"/>
      <c r="BV423" s="754"/>
      <c r="BW423" s="754"/>
      <c r="BX423" s="754"/>
      <c r="BY423" s="754"/>
      <c r="BZ423" s="755"/>
      <c r="CB423" s="1041"/>
      <c r="CC423" s="1042"/>
      <c r="CD423" s="1042"/>
      <c r="CE423" s="1042"/>
      <c r="CF423" s="1043"/>
      <c r="CG423" s="1034"/>
      <c r="CH423" s="1035"/>
      <c r="CI423" s="753"/>
      <c r="CJ423" s="754"/>
      <c r="CK423" s="754"/>
      <c r="CL423" s="754"/>
      <c r="CM423" s="754"/>
      <c r="CN423" s="754"/>
      <c r="CO423" s="754"/>
      <c r="CP423" s="754"/>
      <c r="CQ423" s="754"/>
      <c r="CR423" s="754"/>
      <c r="CS423" s="754"/>
      <c r="CT423" s="754"/>
      <c r="CU423" s="754"/>
      <c r="CV423" s="754"/>
      <c r="CW423" s="754"/>
      <c r="CX423" s="754"/>
      <c r="CY423" s="754"/>
      <c r="CZ423" s="755"/>
    </row>
    <row r="424" spans="1:104" x14ac:dyDescent="0.25">
      <c r="B424" s="1026" t="str">
        <f>IF(B422="","",VLOOKUP(B422,BoonRef!$A$2:$Z$900,24,FALSE))</f>
        <v/>
      </c>
      <c r="C424" s="727"/>
      <c r="D424" s="727"/>
      <c r="E424" s="727"/>
      <c r="F424" s="727"/>
      <c r="G424" s="727"/>
      <c r="H424" s="727"/>
      <c r="I424" s="727"/>
      <c r="J424" s="727"/>
      <c r="K424" s="727"/>
      <c r="L424" s="727"/>
      <c r="M424" s="727"/>
      <c r="N424" s="727"/>
      <c r="O424" s="727"/>
      <c r="P424" s="727"/>
      <c r="Q424" s="727"/>
      <c r="R424" s="727"/>
      <c r="S424" s="727"/>
      <c r="T424" s="727"/>
      <c r="U424" s="727"/>
      <c r="V424" s="727"/>
      <c r="W424" s="727"/>
      <c r="X424" s="727"/>
      <c r="Y424" s="727"/>
      <c r="Z424" s="728"/>
      <c r="AB424" s="1026" t="str">
        <f>IF(AB422="","",VLOOKUP(AB422,BoonRef!$A$2:$Z$900,24,FALSE))</f>
        <v/>
      </c>
      <c r="AC424" s="727"/>
      <c r="AD424" s="727"/>
      <c r="AE424" s="727"/>
      <c r="AF424" s="727"/>
      <c r="AG424" s="727"/>
      <c r="AH424" s="727"/>
      <c r="AI424" s="727"/>
      <c r="AJ424" s="727"/>
      <c r="AK424" s="727"/>
      <c r="AL424" s="727"/>
      <c r="AM424" s="727"/>
      <c r="AN424" s="727"/>
      <c r="AO424" s="727"/>
      <c r="AP424" s="727"/>
      <c r="AQ424" s="727"/>
      <c r="AR424" s="727"/>
      <c r="AS424" s="727"/>
      <c r="AT424" s="727"/>
      <c r="AU424" s="727"/>
      <c r="AV424" s="727"/>
      <c r="AW424" s="727"/>
      <c r="AX424" s="727"/>
      <c r="AY424" s="727"/>
      <c r="AZ424" s="728"/>
      <c r="BB424" s="641" t="str">
        <f>IF(BB422="","",VLOOKUP(BB422,KanckRef!$A$1:$G$300,4,FALSE))</f>
        <v/>
      </c>
      <c r="BC424" s="642"/>
      <c r="BD424" s="642"/>
      <c r="BE424" s="642"/>
      <c r="BF424" s="642"/>
      <c r="BG424" s="642"/>
      <c r="BH424" s="1033"/>
      <c r="BI424" s="753"/>
      <c r="BJ424" s="754"/>
      <c r="BK424" s="754"/>
      <c r="BL424" s="754"/>
      <c r="BM424" s="754"/>
      <c r="BN424" s="754"/>
      <c r="BO424" s="754"/>
      <c r="BP424" s="754"/>
      <c r="BQ424" s="754"/>
      <c r="BR424" s="754"/>
      <c r="BS424" s="754"/>
      <c r="BT424" s="754"/>
      <c r="BU424" s="754"/>
      <c r="BV424" s="754"/>
      <c r="BW424" s="754"/>
      <c r="BX424" s="754"/>
      <c r="BY424" s="754"/>
      <c r="BZ424" s="755"/>
      <c r="CB424" s="641" t="str">
        <f>IF(CB422="","",VLOOKUP(CB422,KanckRef!$A$1:$G$300,4,FALSE))</f>
        <v/>
      </c>
      <c r="CC424" s="642"/>
      <c r="CD424" s="642"/>
      <c r="CE424" s="642"/>
      <c r="CF424" s="642"/>
      <c r="CG424" s="642"/>
      <c r="CH424" s="1033"/>
      <c r="CI424" s="753"/>
      <c r="CJ424" s="754"/>
      <c r="CK424" s="754"/>
      <c r="CL424" s="754"/>
      <c r="CM424" s="754"/>
      <c r="CN424" s="754"/>
      <c r="CO424" s="754"/>
      <c r="CP424" s="754"/>
      <c r="CQ424" s="754"/>
      <c r="CR424" s="754"/>
      <c r="CS424" s="754"/>
      <c r="CT424" s="754"/>
      <c r="CU424" s="754"/>
      <c r="CV424" s="754"/>
      <c r="CW424" s="754"/>
      <c r="CX424" s="754"/>
      <c r="CY424" s="754"/>
      <c r="CZ424" s="755"/>
    </row>
    <row r="425" spans="1:104" x14ac:dyDescent="0.25">
      <c r="B425" s="1026" t="str">
        <f>IF(B422="","",VLOOKUP(B422,BoonRef!$A$2:$Z$900,23,FALSE))</f>
        <v/>
      </c>
      <c r="C425" s="727"/>
      <c r="D425" s="727"/>
      <c r="E425" s="727"/>
      <c r="F425" s="727"/>
      <c r="G425" s="727"/>
      <c r="H425" s="727"/>
      <c r="I425" s="727"/>
      <c r="J425" s="727"/>
      <c r="K425" s="727"/>
      <c r="L425" s="727"/>
      <c r="M425" s="727"/>
      <c r="N425" s="727"/>
      <c r="O425" s="727"/>
      <c r="P425" s="727"/>
      <c r="Q425" s="727"/>
      <c r="R425" s="727"/>
      <c r="S425" s="727"/>
      <c r="T425" s="727"/>
      <c r="U425" s="727"/>
      <c r="V425" s="727"/>
      <c r="W425" s="727"/>
      <c r="X425" s="727"/>
      <c r="Y425" s="727"/>
      <c r="Z425" s="728"/>
      <c r="AB425" s="1026" t="str">
        <f>IF(AB422="","",VLOOKUP(AB422,BoonRef!$A$2:$Z$900,23,FALSE))</f>
        <v/>
      </c>
      <c r="AC425" s="727"/>
      <c r="AD425" s="727"/>
      <c r="AE425" s="727"/>
      <c r="AF425" s="727"/>
      <c r="AG425" s="727"/>
      <c r="AH425" s="727"/>
      <c r="AI425" s="727"/>
      <c r="AJ425" s="727"/>
      <c r="AK425" s="727"/>
      <c r="AL425" s="727"/>
      <c r="AM425" s="727"/>
      <c r="AN425" s="727"/>
      <c r="AO425" s="727"/>
      <c r="AP425" s="727"/>
      <c r="AQ425" s="727"/>
      <c r="AR425" s="727"/>
      <c r="AS425" s="727"/>
      <c r="AT425" s="727"/>
      <c r="AU425" s="727"/>
      <c r="AV425" s="727"/>
      <c r="AW425" s="727"/>
      <c r="AX425" s="727"/>
      <c r="AY425" s="727"/>
      <c r="AZ425" s="728"/>
      <c r="BB425" s="635"/>
      <c r="BC425" s="636"/>
      <c r="BD425" s="636"/>
      <c r="BE425" s="636"/>
      <c r="BF425" s="636"/>
      <c r="BG425" s="636"/>
      <c r="BH425" s="1036"/>
      <c r="BI425" s="753"/>
      <c r="BJ425" s="754"/>
      <c r="BK425" s="754"/>
      <c r="BL425" s="754"/>
      <c r="BM425" s="754"/>
      <c r="BN425" s="754"/>
      <c r="BO425" s="754"/>
      <c r="BP425" s="754"/>
      <c r="BQ425" s="754"/>
      <c r="BR425" s="754"/>
      <c r="BS425" s="754"/>
      <c r="BT425" s="754"/>
      <c r="BU425" s="754"/>
      <c r="BV425" s="754"/>
      <c r="BW425" s="754"/>
      <c r="BX425" s="754"/>
      <c r="BY425" s="754"/>
      <c r="BZ425" s="755"/>
      <c r="CB425" s="635"/>
      <c r="CC425" s="636"/>
      <c r="CD425" s="636"/>
      <c r="CE425" s="636"/>
      <c r="CF425" s="636"/>
      <c r="CG425" s="636"/>
      <c r="CH425" s="1036"/>
      <c r="CI425" s="753"/>
      <c r="CJ425" s="754"/>
      <c r="CK425" s="754"/>
      <c r="CL425" s="754"/>
      <c r="CM425" s="754"/>
      <c r="CN425" s="754"/>
      <c r="CO425" s="754"/>
      <c r="CP425" s="754"/>
      <c r="CQ425" s="754"/>
      <c r="CR425" s="754"/>
      <c r="CS425" s="754"/>
      <c r="CT425" s="754"/>
      <c r="CU425" s="754"/>
      <c r="CV425" s="754"/>
      <c r="CW425" s="754"/>
      <c r="CX425" s="754"/>
      <c r="CY425" s="754"/>
      <c r="CZ425" s="755"/>
    </row>
    <row r="426" spans="1:104" ht="15.75" thickBot="1" x14ac:dyDescent="0.3">
      <c r="B426" s="1027"/>
      <c r="C426" s="865"/>
      <c r="D426" s="865"/>
      <c r="E426" s="865"/>
      <c r="F426" s="865"/>
      <c r="G426" s="865"/>
      <c r="H426" s="865"/>
      <c r="I426" s="865"/>
      <c r="J426" s="865"/>
      <c r="K426" s="865"/>
      <c r="L426" s="865"/>
      <c r="M426" s="865"/>
      <c r="N426" s="865"/>
      <c r="O426" s="865"/>
      <c r="P426" s="865"/>
      <c r="Q426" s="865"/>
      <c r="R426" s="865"/>
      <c r="S426" s="865"/>
      <c r="T426" s="865"/>
      <c r="U426" s="865"/>
      <c r="V426" s="865"/>
      <c r="W426" s="865"/>
      <c r="X426" s="865"/>
      <c r="Y426" s="865"/>
      <c r="Z426" s="921"/>
      <c r="AB426" s="1027"/>
      <c r="AC426" s="865"/>
      <c r="AD426" s="865"/>
      <c r="AE426" s="865"/>
      <c r="AF426" s="865"/>
      <c r="AG426" s="865"/>
      <c r="AH426" s="865"/>
      <c r="AI426" s="865"/>
      <c r="AJ426" s="865"/>
      <c r="AK426" s="865"/>
      <c r="AL426" s="865"/>
      <c r="AM426" s="865"/>
      <c r="AN426" s="865"/>
      <c r="AO426" s="865"/>
      <c r="AP426" s="865"/>
      <c r="AQ426" s="865"/>
      <c r="AR426" s="865"/>
      <c r="AS426" s="865"/>
      <c r="AT426" s="865"/>
      <c r="AU426" s="865"/>
      <c r="AV426" s="865"/>
      <c r="AW426" s="865"/>
      <c r="AX426" s="865"/>
      <c r="AY426" s="865"/>
      <c r="AZ426" s="921"/>
      <c r="BB426" s="644"/>
      <c r="BC426" s="645"/>
      <c r="BD426" s="645"/>
      <c r="BE426" s="645"/>
      <c r="BF426" s="645"/>
      <c r="BG426" s="645"/>
      <c r="BH426" s="1037"/>
      <c r="BI426" s="756"/>
      <c r="BJ426" s="757"/>
      <c r="BK426" s="757"/>
      <c r="BL426" s="757"/>
      <c r="BM426" s="757"/>
      <c r="BN426" s="757"/>
      <c r="BO426" s="757"/>
      <c r="BP426" s="757"/>
      <c r="BQ426" s="757"/>
      <c r="BR426" s="757"/>
      <c r="BS426" s="757"/>
      <c r="BT426" s="757"/>
      <c r="BU426" s="757"/>
      <c r="BV426" s="757"/>
      <c r="BW426" s="757"/>
      <c r="BX426" s="757"/>
      <c r="BY426" s="757"/>
      <c r="BZ426" s="758"/>
      <c r="CB426" s="644"/>
      <c r="CC426" s="645"/>
      <c r="CD426" s="645"/>
      <c r="CE426" s="645"/>
      <c r="CF426" s="645"/>
      <c r="CG426" s="645"/>
      <c r="CH426" s="1037"/>
      <c r="CI426" s="756"/>
      <c r="CJ426" s="757"/>
      <c r="CK426" s="757"/>
      <c r="CL426" s="757"/>
      <c r="CM426" s="757"/>
      <c r="CN426" s="757"/>
      <c r="CO426" s="757"/>
      <c r="CP426" s="757"/>
      <c r="CQ426" s="757"/>
      <c r="CR426" s="757"/>
      <c r="CS426" s="757"/>
      <c r="CT426" s="757"/>
      <c r="CU426" s="757"/>
      <c r="CV426" s="757"/>
      <c r="CW426" s="757"/>
      <c r="CX426" s="757"/>
      <c r="CY426" s="757"/>
      <c r="CZ426" s="758"/>
    </row>
    <row r="427" spans="1:104" x14ac:dyDescent="0.25">
      <c r="B427" s="1028" t="str">
        <f>IF(B428="","",VLOOKUP(B428,BoonRef!$A$2:$Z$900,2,FALSE))</f>
        <v/>
      </c>
      <c r="C427" s="725"/>
      <c r="D427" s="725"/>
      <c r="E427" s="725"/>
      <c r="F427" s="725"/>
      <c r="G427" s="725"/>
      <c r="H427" s="725"/>
      <c r="I427" s="725" t="str">
        <f>IF(B428="","",VLOOKUP(B428,BoonRef!$A$2:$Z$900,3,FALSE))</f>
        <v/>
      </c>
      <c r="J427" s="725"/>
      <c r="K427" s="725" t="str">
        <f>IF(B428="","",VLOOKUP(B428,DescRef!$A$2:$B$900,2,FALSE))</f>
        <v/>
      </c>
      <c r="L427" s="725"/>
      <c r="M427" s="725"/>
      <c r="N427" s="725"/>
      <c r="O427" s="725"/>
      <c r="P427" s="725"/>
      <c r="Q427" s="725"/>
      <c r="R427" s="725"/>
      <c r="S427" s="725"/>
      <c r="T427" s="725"/>
      <c r="U427" s="725"/>
      <c r="V427" s="725"/>
      <c r="W427" s="725"/>
      <c r="X427" s="725"/>
      <c r="Y427" s="725"/>
      <c r="Z427" s="726"/>
      <c r="AB427" s="1028" t="str">
        <f>IF(AB428="","",VLOOKUP(AB428,BoonRef!$A$2:$Z$900,2,FALSE))</f>
        <v/>
      </c>
      <c r="AC427" s="725"/>
      <c r="AD427" s="725"/>
      <c r="AE427" s="725"/>
      <c r="AF427" s="725"/>
      <c r="AG427" s="725"/>
      <c r="AH427" s="725"/>
      <c r="AI427" s="725" t="str">
        <f>IF(AB428="","",VLOOKUP(AB428,BoonRef!$A$2:$Z$900,3,FALSE))</f>
        <v/>
      </c>
      <c r="AJ427" s="725"/>
      <c r="AK427" s="725" t="str">
        <f>IF(AB428="","",VLOOKUP(AB428,DescRef!$A$2:$B$900,2,FALSE))</f>
        <v/>
      </c>
      <c r="AL427" s="725"/>
      <c r="AM427" s="725"/>
      <c r="AN427" s="725"/>
      <c r="AO427" s="725"/>
      <c r="AP427" s="725"/>
      <c r="AQ427" s="725"/>
      <c r="AR427" s="725"/>
      <c r="AS427" s="725"/>
      <c r="AT427" s="725"/>
      <c r="AU427" s="725"/>
      <c r="AV427" s="725"/>
      <c r="AW427" s="725"/>
      <c r="AX427" s="725"/>
      <c r="AY427" s="725"/>
      <c r="AZ427" s="726"/>
      <c r="BB427" s="1029" t="str">
        <f>IF(BB428="","",VLOOKUP(BB428,KanckRef!$A$1:$G$300,2,FALSE))</f>
        <v/>
      </c>
      <c r="BC427" s="1030"/>
      <c r="BD427" s="1030"/>
      <c r="BE427" s="1030"/>
      <c r="BF427" s="1031"/>
      <c r="BG427" s="1048" t="str">
        <f>IF(BB428="","",VLOOKUP(BB428,KanckRef!$A$1:$G$300,6,FALSE))</f>
        <v/>
      </c>
      <c r="BH427" s="1049"/>
      <c r="BI427" s="988" t="str">
        <f>IF(BB428="","",VLOOKUP(BB428,DescRef!$D$2:$E$300,2,FALSE))</f>
        <v/>
      </c>
      <c r="BJ427" s="795"/>
      <c r="BK427" s="795"/>
      <c r="BL427" s="795"/>
      <c r="BM427" s="795"/>
      <c r="BN427" s="795"/>
      <c r="BO427" s="795"/>
      <c r="BP427" s="795"/>
      <c r="BQ427" s="795"/>
      <c r="BR427" s="795"/>
      <c r="BS427" s="795"/>
      <c r="BT427" s="795"/>
      <c r="BU427" s="795"/>
      <c r="BV427" s="795"/>
      <c r="BW427" s="795"/>
      <c r="BX427" s="795"/>
      <c r="BY427" s="795"/>
      <c r="BZ427" s="796"/>
      <c r="CB427" s="1029" t="str">
        <f>IF(CB428="","",VLOOKUP(CB428,KanckRef!$A$1:$G$300,2,FALSE))</f>
        <v/>
      </c>
      <c r="CC427" s="1030"/>
      <c r="CD427" s="1030"/>
      <c r="CE427" s="1030"/>
      <c r="CF427" s="1031"/>
      <c r="CG427" s="1048" t="str">
        <f>IF(CB428="","",VLOOKUP(CB428,KanckRef!$A$1:$G$300,6,FALSE))</f>
        <v/>
      </c>
      <c r="CH427" s="1049"/>
      <c r="CI427" s="988" t="str">
        <f>IF(CB428="","",VLOOKUP(CB428,DescRef!$D$2:$E$300,2,FALSE))</f>
        <v/>
      </c>
      <c r="CJ427" s="795"/>
      <c r="CK427" s="795"/>
      <c r="CL427" s="795"/>
      <c r="CM427" s="795"/>
      <c r="CN427" s="795"/>
      <c r="CO427" s="795"/>
      <c r="CP427" s="795"/>
      <c r="CQ427" s="795"/>
      <c r="CR427" s="795"/>
      <c r="CS427" s="795"/>
      <c r="CT427" s="795"/>
      <c r="CU427" s="795"/>
      <c r="CV427" s="795"/>
      <c r="CW427" s="795"/>
      <c r="CX427" s="795"/>
      <c r="CY427" s="795"/>
      <c r="CZ427" s="796"/>
    </row>
    <row r="428" spans="1:104" ht="15" customHeight="1" x14ac:dyDescent="0.25">
      <c r="A428" s="15">
        <v>71</v>
      </c>
      <c r="B428" s="1026" t="str">
        <f>IF(A428&lt;'Purchased Boons'!$B$496,VLOOKUP(A428,'Purchased Boons'!$BF$2:$BG$900,2,FALSE),"")</f>
        <v/>
      </c>
      <c r="C428" s="727"/>
      <c r="D428" s="727"/>
      <c r="E428" s="727"/>
      <c r="F428" s="727"/>
      <c r="G428" s="727"/>
      <c r="H428" s="727"/>
      <c r="I428" s="727" t="str">
        <f>IF(B428="","",VLOOKUP(B428,BoonRef!$A$2:$Z$900,25,FALSE))</f>
        <v/>
      </c>
      <c r="J428" s="727"/>
      <c r="K428" s="727"/>
      <c r="L428" s="727"/>
      <c r="M428" s="727"/>
      <c r="N428" s="727"/>
      <c r="O428" s="727"/>
      <c r="P428" s="727"/>
      <c r="Q428" s="727"/>
      <c r="R428" s="727"/>
      <c r="S428" s="727"/>
      <c r="T428" s="727"/>
      <c r="U428" s="727"/>
      <c r="V428" s="727"/>
      <c r="W428" s="727"/>
      <c r="X428" s="727"/>
      <c r="Y428" s="727"/>
      <c r="Z428" s="728"/>
      <c r="AA428" s="15">
        <v>178</v>
      </c>
      <c r="AB428" s="1026" t="str">
        <f>IF(AA428&lt;'Purchased Boons'!$B$496,VLOOKUP(AA428,'Purchased Boons'!$BF$2:$BG$900,2,FALSE),"")</f>
        <v/>
      </c>
      <c r="AC428" s="727"/>
      <c r="AD428" s="727"/>
      <c r="AE428" s="727"/>
      <c r="AF428" s="727"/>
      <c r="AG428" s="727"/>
      <c r="AH428" s="727"/>
      <c r="AI428" s="727" t="str">
        <f>IF(AB428="","",VLOOKUP(AB428,BoonRef!$A$2:$Z$900,25,FALSE))</f>
        <v/>
      </c>
      <c r="AJ428" s="727"/>
      <c r="AK428" s="727"/>
      <c r="AL428" s="727"/>
      <c r="AM428" s="727"/>
      <c r="AN428" s="727"/>
      <c r="AO428" s="727"/>
      <c r="AP428" s="727"/>
      <c r="AQ428" s="727"/>
      <c r="AR428" s="727"/>
      <c r="AS428" s="727"/>
      <c r="AT428" s="727"/>
      <c r="AU428" s="727"/>
      <c r="AV428" s="727"/>
      <c r="AW428" s="727"/>
      <c r="AX428" s="727"/>
      <c r="AY428" s="727"/>
      <c r="AZ428" s="728"/>
      <c r="BA428" s="15">
        <v>71</v>
      </c>
      <c r="BB428" s="1038" t="str">
        <f>IF(BA428&lt;'Purchased Knacks'!A$192,VLOOKUP(BA428,'Purchased Knacks'!$A$4:$E$300,3,FALSE),"")</f>
        <v/>
      </c>
      <c r="BC428" s="1039"/>
      <c r="BD428" s="1039"/>
      <c r="BE428" s="1039"/>
      <c r="BF428" s="1040"/>
      <c r="BG428" s="1032" t="str">
        <f>IF(BB428="","",VLOOKUP(BB428,KanckRef!$A$1:$G$300,7,FALSE))</f>
        <v/>
      </c>
      <c r="BH428" s="1033"/>
      <c r="BI428" s="753"/>
      <c r="BJ428" s="754"/>
      <c r="BK428" s="754"/>
      <c r="BL428" s="754"/>
      <c r="BM428" s="754"/>
      <c r="BN428" s="754"/>
      <c r="BO428" s="754"/>
      <c r="BP428" s="754"/>
      <c r="BQ428" s="754"/>
      <c r="BR428" s="754"/>
      <c r="BS428" s="754"/>
      <c r="BT428" s="754"/>
      <c r="BU428" s="754"/>
      <c r="BV428" s="754"/>
      <c r="BW428" s="754"/>
      <c r="BX428" s="754"/>
      <c r="BY428" s="754"/>
      <c r="BZ428" s="755"/>
      <c r="CA428" s="15">
        <v>178</v>
      </c>
      <c r="CB428" s="1038" t="str">
        <f>IF(CA428&lt;'Purchased Knacks'!A$192,VLOOKUP(CA428,'Purchased Knacks'!$A$4:$E$300,3,FALSE),"")</f>
        <v/>
      </c>
      <c r="CC428" s="1039"/>
      <c r="CD428" s="1039"/>
      <c r="CE428" s="1039"/>
      <c r="CF428" s="1040"/>
      <c r="CG428" s="1032" t="str">
        <f>IF(CB428="","",VLOOKUP(CB428,KanckRef!$A$1:$G$300,7,FALSE))</f>
        <v/>
      </c>
      <c r="CH428" s="1033"/>
      <c r="CI428" s="753"/>
      <c r="CJ428" s="754"/>
      <c r="CK428" s="754"/>
      <c r="CL428" s="754"/>
      <c r="CM428" s="754"/>
      <c r="CN428" s="754"/>
      <c r="CO428" s="754"/>
      <c r="CP428" s="754"/>
      <c r="CQ428" s="754"/>
      <c r="CR428" s="754"/>
      <c r="CS428" s="754"/>
      <c r="CT428" s="754"/>
      <c r="CU428" s="754"/>
      <c r="CV428" s="754"/>
      <c r="CW428" s="754"/>
      <c r="CX428" s="754"/>
      <c r="CY428" s="754"/>
      <c r="CZ428" s="755"/>
    </row>
    <row r="429" spans="1:104" x14ac:dyDescent="0.25">
      <c r="B429" s="1026"/>
      <c r="C429" s="727"/>
      <c r="D429" s="727"/>
      <c r="E429" s="727"/>
      <c r="F429" s="727"/>
      <c r="G429" s="727"/>
      <c r="H429" s="727"/>
      <c r="I429" s="727" t="str">
        <f>IF(B428="","",VLOOKUP(B428,BoonRef!$A$2:$Z$900,26,FALSE))</f>
        <v/>
      </c>
      <c r="J429" s="727"/>
      <c r="K429" s="727"/>
      <c r="L429" s="727"/>
      <c r="M429" s="727"/>
      <c r="N429" s="727"/>
      <c r="O429" s="727"/>
      <c r="P429" s="727"/>
      <c r="Q429" s="727"/>
      <c r="R429" s="727"/>
      <c r="S429" s="727"/>
      <c r="T429" s="727"/>
      <c r="U429" s="727"/>
      <c r="V429" s="727"/>
      <c r="W429" s="727"/>
      <c r="X429" s="727"/>
      <c r="Y429" s="727"/>
      <c r="Z429" s="728"/>
      <c r="AB429" s="1026"/>
      <c r="AC429" s="727"/>
      <c r="AD429" s="727"/>
      <c r="AE429" s="727"/>
      <c r="AF429" s="727"/>
      <c r="AG429" s="727"/>
      <c r="AH429" s="727"/>
      <c r="AI429" s="727" t="str">
        <f>IF(AB428="","",VLOOKUP(AB428,BoonRef!$A$2:$Z$900,26,FALSE))</f>
        <v/>
      </c>
      <c r="AJ429" s="727"/>
      <c r="AK429" s="727"/>
      <c r="AL429" s="727"/>
      <c r="AM429" s="727"/>
      <c r="AN429" s="727"/>
      <c r="AO429" s="727"/>
      <c r="AP429" s="727"/>
      <c r="AQ429" s="727"/>
      <c r="AR429" s="727"/>
      <c r="AS429" s="727"/>
      <c r="AT429" s="727"/>
      <c r="AU429" s="727"/>
      <c r="AV429" s="727"/>
      <c r="AW429" s="727"/>
      <c r="AX429" s="727"/>
      <c r="AY429" s="727"/>
      <c r="AZ429" s="728"/>
      <c r="BB429" s="1041"/>
      <c r="BC429" s="1042"/>
      <c r="BD429" s="1042"/>
      <c r="BE429" s="1042"/>
      <c r="BF429" s="1043"/>
      <c r="BG429" s="1034"/>
      <c r="BH429" s="1035"/>
      <c r="BI429" s="753"/>
      <c r="BJ429" s="754"/>
      <c r="BK429" s="754"/>
      <c r="BL429" s="754"/>
      <c r="BM429" s="754"/>
      <c r="BN429" s="754"/>
      <c r="BO429" s="754"/>
      <c r="BP429" s="754"/>
      <c r="BQ429" s="754"/>
      <c r="BR429" s="754"/>
      <c r="BS429" s="754"/>
      <c r="BT429" s="754"/>
      <c r="BU429" s="754"/>
      <c r="BV429" s="754"/>
      <c r="BW429" s="754"/>
      <c r="BX429" s="754"/>
      <c r="BY429" s="754"/>
      <c r="BZ429" s="755"/>
      <c r="CB429" s="1041"/>
      <c r="CC429" s="1042"/>
      <c r="CD429" s="1042"/>
      <c r="CE429" s="1042"/>
      <c r="CF429" s="1043"/>
      <c r="CG429" s="1034"/>
      <c r="CH429" s="1035"/>
      <c r="CI429" s="753"/>
      <c r="CJ429" s="754"/>
      <c r="CK429" s="754"/>
      <c r="CL429" s="754"/>
      <c r="CM429" s="754"/>
      <c r="CN429" s="754"/>
      <c r="CO429" s="754"/>
      <c r="CP429" s="754"/>
      <c r="CQ429" s="754"/>
      <c r="CR429" s="754"/>
      <c r="CS429" s="754"/>
      <c r="CT429" s="754"/>
      <c r="CU429" s="754"/>
      <c r="CV429" s="754"/>
      <c r="CW429" s="754"/>
      <c r="CX429" s="754"/>
      <c r="CY429" s="754"/>
      <c r="CZ429" s="755"/>
    </row>
    <row r="430" spans="1:104" x14ac:dyDescent="0.25">
      <c r="B430" s="1026" t="str">
        <f>IF(B428="","",VLOOKUP(B428,BoonRef!$A$2:$Z$900,24,FALSE))</f>
        <v/>
      </c>
      <c r="C430" s="727"/>
      <c r="D430" s="727"/>
      <c r="E430" s="727"/>
      <c r="F430" s="727"/>
      <c r="G430" s="727"/>
      <c r="H430" s="727"/>
      <c r="I430" s="727"/>
      <c r="J430" s="727"/>
      <c r="K430" s="727"/>
      <c r="L430" s="727"/>
      <c r="M430" s="727"/>
      <c r="N430" s="727"/>
      <c r="O430" s="727"/>
      <c r="P430" s="727"/>
      <c r="Q430" s="727"/>
      <c r="R430" s="727"/>
      <c r="S430" s="727"/>
      <c r="T430" s="727"/>
      <c r="U430" s="727"/>
      <c r="V430" s="727"/>
      <c r="W430" s="727"/>
      <c r="X430" s="727"/>
      <c r="Y430" s="727"/>
      <c r="Z430" s="728"/>
      <c r="AB430" s="1026" t="str">
        <f>IF(AB428="","",VLOOKUP(AB428,BoonRef!$A$2:$Z$900,24,FALSE))</f>
        <v/>
      </c>
      <c r="AC430" s="727"/>
      <c r="AD430" s="727"/>
      <c r="AE430" s="727"/>
      <c r="AF430" s="727"/>
      <c r="AG430" s="727"/>
      <c r="AH430" s="727"/>
      <c r="AI430" s="727"/>
      <c r="AJ430" s="727"/>
      <c r="AK430" s="727"/>
      <c r="AL430" s="727"/>
      <c r="AM430" s="727"/>
      <c r="AN430" s="727"/>
      <c r="AO430" s="727"/>
      <c r="AP430" s="727"/>
      <c r="AQ430" s="727"/>
      <c r="AR430" s="727"/>
      <c r="AS430" s="727"/>
      <c r="AT430" s="727"/>
      <c r="AU430" s="727"/>
      <c r="AV430" s="727"/>
      <c r="AW430" s="727"/>
      <c r="AX430" s="727"/>
      <c r="AY430" s="727"/>
      <c r="AZ430" s="728"/>
      <c r="BB430" s="641" t="str">
        <f>IF(BB428="","",VLOOKUP(BB428,KanckRef!$A$1:$G$300,4,FALSE))</f>
        <v/>
      </c>
      <c r="BC430" s="642"/>
      <c r="BD430" s="642"/>
      <c r="BE430" s="642"/>
      <c r="BF430" s="642"/>
      <c r="BG430" s="642"/>
      <c r="BH430" s="1033"/>
      <c r="BI430" s="753"/>
      <c r="BJ430" s="754"/>
      <c r="BK430" s="754"/>
      <c r="BL430" s="754"/>
      <c r="BM430" s="754"/>
      <c r="BN430" s="754"/>
      <c r="BO430" s="754"/>
      <c r="BP430" s="754"/>
      <c r="BQ430" s="754"/>
      <c r="BR430" s="754"/>
      <c r="BS430" s="754"/>
      <c r="BT430" s="754"/>
      <c r="BU430" s="754"/>
      <c r="BV430" s="754"/>
      <c r="BW430" s="754"/>
      <c r="BX430" s="754"/>
      <c r="BY430" s="754"/>
      <c r="BZ430" s="755"/>
      <c r="CB430" s="641" t="str">
        <f>IF(CB428="","",VLOOKUP(CB428,KanckRef!$A$1:$G$300,4,FALSE))</f>
        <v/>
      </c>
      <c r="CC430" s="642"/>
      <c r="CD430" s="642"/>
      <c r="CE430" s="642"/>
      <c r="CF430" s="642"/>
      <c r="CG430" s="642"/>
      <c r="CH430" s="1033"/>
      <c r="CI430" s="753"/>
      <c r="CJ430" s="754"/>
      <c r="CK430" s="754"/>
      <c r="CL430" s="754"/>
      <c r="CM430" s="754"/>
      <c r="CN430" s="754"/>
      <c r="CO430" s="754"/>
      <c r="CP430" s="754"/>
      <c r="CQ430" s="754"/>
      <c r="CR430" s="754"/>
      <c r="CS430" s="754"/>
      <c r="CT430" s="754"/>
      <c r="CU430" s="754"/>
      <c r="CV430" s="754"/>
      <c r="CW430" s="754"/>
      <c r="CX430" s="754"/>
      <c r="CY430" s="754"/>
      <c r="CZ430" s="755"/>
    </row>
    <row r="431" spans="1:104" x14ac:dyDescent="0.25">
      <c r="B431" s="1026" t="str">
        <f>IF(B428="","",VLOOKUP(B428,BoonRef!$A$2:$Z$900,23,FALSE))</f>
        <v/>
      </c>
      <c r="C431" s="727"/>
      <c r="D431" s="727"/>
      <c r="E431" s="727"/>
      <c r="F431" s="727"/>
      <c r="G431" s="727"/>
      <c r="H431" s="727"/>
      <c r="I431" s="727"/>
      <c r="J431" s="727"/>
      <c r="K431" s="727"/>
      <c r="L431" s="727"/>
      <c r="M431" s="727"/>
      <c r="N431" s="727"/>
      <c r="O431" s="727"/>
      <c r="P431" s="727"/>
      <c r="Q431" s="727"/>
      <c r="R431" s="727"/>
      <c r="S431" s="727"/>
      <c r="T431" s="727"/>
      <c r="U431" s="727"/>
      <c r="V431" s="727"/>
      <c r="W431" s="727"/>
      <c r="X431" s="727"/>
      <c r="Y431" s="727"/>
      <c r="Z431" s="728"/>
      <c r="AB431" s="1026" t="str">
        <f>IF(AB428="","",VLOOKUP(AB428,BoonRef!$A$2:$Z$900,23,FALSE))</f>
        <v/>
      </c>
      <c r="AC431" s="727"/>
      <c r="AD431" s="727"/>
      <c r="AE431" s="727"/>
      <c r="AF431" s="727"/>
      <c r="AG431" s="727"/>
      <c r="AH431" s="727"/>
      <c r="AI431" s="727"/>
      <c r="AJ431" s="727"/>
      <c r="AK431" s="727"/>
      <c r="AL431" s="727"/>
      <c r="AM431" s="727"/>
      <c r="AN431" s="727"/>
      <c r="AO431" s="727"/>
      <c r="AP431" s="727"/>
      <c r="AQ431" s="727"/>
      <c r="AR431" s="727"/>
      <c r="AS431" s="727"/>
      <c r="AT431" s="727"/>
      <c r="AU431" s="727"/>
      <c r="AV431" s="727"/>
      <c r="AW431" s="727"/>
      <c r="AX431" s="727"/>
      <c r="AY431" s="727"/>
      <c r="AZ431" s="728"/>
      <c r="BB431" s="635"/>
      <c r="BC431" s="636"/>
      <c r="BD431" s="636"/>
      <c r="BE431" s="636"/>
      <c r="BF431" s="636"/>
      <c r="BG431" s="636"/>
      <c r="BH431" s="1036"/>
      <c r="BI431" s="753"/>
      <c r="BJ431" s="754"/>
      <c r="BK431" s="754"/>
      <c r="BL431" s="754"/>
      <c r="BM431" s="754"/>
      <c r="BN431" s="754"/>
      <c r="BO431" s="754"/>
      <c r="BP431" s="754"/>
      <c r="BQ431" s="754"/>
      <c r="BR431" s="754"/>
      <c r="BS431" s="754"/>
      <c r="BT431" s="754"/>
      <c r="BU431" s="754"/>
      <c r="BV431" s="754"/>
      <c r="BW431" s="754"/>
      <c r="BX431" s="754"/>
      <c r="BY431" s="754"/>
      <c r="BZ431" s="755"/>
      <c r="CB431" s="635"/>
      <c r="CC431" s="636"/>
      <c r="CD431" s="636"/>
      <c r="CE431" s="636"/>
      <c r="CF431" s="636"/>
      <c r="CG431" s="636"/>
      <c r="CH431" s="1036"/>
      <c r="CI431" s="753"/>
      <c r="CJ431" s="754"/>
      <c r="CK431" s="754"/>
      <c r="CL431" s="754"/>
      <c r="CM431" s="754"/>
      <c r="CN431" s="754"/>
      <c r="CO431" s="754"/>
      <c r="CP431" s="754"/>
      <c r="CQ431" s="754"/>
      <c r="CR431" s="754"/>
      <c r="CS431" s="754"/>
      <c r="CT431" s="754"/>
      <c r="CU431" s="754"/>
      <c r="CV431" s="754"/>
      <c r="CW431" s="754"/>
      <c r="CX431" s="754"/>
      <c r="CY431" s="754"/>
      <c r="CZ431" s="755"/>
    </row>
    <row r="432" spans="1:104" ht="15.75" thickBot="1" x14ac:dyDescent="0.3">
      <c r="B432" s="1027"/>
      <c r="C432" s="865"/>
      <c r="D432" s="865"/>
      <c r="E432" s="865"/>
      <c r="F432" s="865"/>
      <c r="G432" s="865"/>
      <c r="H432" s="865"/>
      <c r="I432" s="865"/>
      <c r="J432" s="865"/>
      <c r="K432" s="865"/>
      <c r="L432" s="865"/>
      <c r="M432" s="865"/>
      <c r="N432" s="865"/>
      <c r="O432" s="865"/>
      <c r="P432" s="865"/>
      <c r="Q432" s="865"/>
      <c r="R432" s="865"/>
      <c r="S432" s="865"/>
      <c r="T432" s="865"/>
      <c r="U432" s="865"/>
      <c r="V432" s="865"/>
      <c r="W432" s="865"/>
      <c r="X432" s="865"/>
      <c r="Y432" s="865"/>
      <c r="Z432" s="921"/>
      <c r="AB432" s="1027"/>
      <c r="AC432" s="865"/>
      <c r="AD432" s="865"/>
      <c r="AE432" s="865"/>
      <c r="AF432" s="865"/>
      <c r="AG432" s="865"/>
      <c r="AH432" s="865"/>
      <c r="AI432" s="865"/>
      <c r="AJ432" s="865"/>
      <c r="AK432" s="865"/>
      <c r="AL432" s="865"/>
      <c r="AM432" s="865"/>
      <c r="AN432" s="865"/>
      <c r="AO432" s="865"/>
      <c r="AP432" s="865"/>
      <c r="AQ432" s="865"/>
      <c r="AR432" s="865"/>
      <c r="AS432" s="865"/>
      <c r="AT432" s="865"/>
      <c r="AU432" s="865"/>
      <c r="AV432" s="865"/>
      <c r="AW432" s="865"/>
      <c r="AX432" s="865"/>
      <c r="AY432" s="865"/>
      <c r="AZ432" s="921"/>
      <c r="BB432" s="644"/>
      <c r="BC432" s="645"/>
      <c r="BD432" s="645"/>
      <c r="BE432" s="645"/>
      <c r="BF432" s="645"/>
      <c r="BG432" s="645"/>
      <c r="BH432" s="1037"/>
      <c r="BI432" s="756"/>
      <c r="BJ432" s="757"/>
      <c r="BK432" s="757"/>
      <c r="BL432" s="757"/>
      <c r="BM432" s="757"/>
      <c r="BN432" s="757"/>
      <c r="BO432" s="757"/>
      <c r="BP432" s="757"/>
      <c r="BQ432" s="757"/>
      <c r="BR432" s="757"/>
      <c r="BS432" s="757"/>
      <c r="BT432" s="757"/>
      <c r="BU432" s="757"/>
      <c r="BV432" s="757"/>
      <c r="BW432" s="757"/>
      <c r="BX432" s="757"/>
      <c r="BY432" s="757"/>
      <c r="BZ432" s="758"/>
      <c r="CB432" s="644"/>
      <c r="CC432" s="645"/>
      <c r="CD432" s="645"/>
      <c r="CE432" s="645"/>
      <c r="CF432" s="645"/>
      <c r="CG432" s="645"/>
      <c r="CH432" s="1037"/>
      <c r="CI432" s="756"/>
      <c r="CJ432" s="757"/>
      <c r="CK432" s="757"/>
      <c r="CL432" s="757"/>
      <c r="CM432" s="757"/>
      <c r="CN432" s="757"/>
      <c r="CO432" s="757"/>
      <c r="CP432" s="757"/>
      <c r="CQ432" s="757"/>
      <c r="CR432" s="757"/>
      <c r="CS432" s="757"/>
      <c r="CT432" s="757"/>
      <c r="CU432" s="757"/>
      <c r="CV432" s="757"/>
      <c r="CW432" s="757"/>
      <c r="CX432" s="757"/>
      <c r="CY432" s="757"/>
      <c r="CZ432" s="758"/>
    </row>
    <row r="433" spans="1:104" x14ac:dyDescent="0.25">
      <c r="B433" s="1028" t="str">
        <f>IF(B434="","",VLOOKUP(B434,BoonRef!$A$2:$Z$900,2,FALSE))</f>
        <v/>
      </c>
      <c r="C433" s="725"/>
      <c r="D433" s="725"/>
      <c r="E433" s="725"/>
      <c r="F433" s="725"/>
      <c r="G433" s="725"/>
      <c r="H433" s="725"/>
      <c r="I433" s="725" t="str">
        <f>IF(B434="","",VLOOKUP(B434,BoonRef!$A$2:$Z$900,3,FALSE))</f>
        <v/>
      </c>
      <c r="J433" s="725"/>
      <c r="K433" s="725" t="str">
        <f>IF(B434="","",VLOOKUP(B434,DescRef!$A$2:$B$900,2,FALSE))</f>
        <v/>
      </c>
      <c r="L433" s="725"/>
      <c r="M433" s="725"/>
      <c r="N433" s="725"/>
      <c r="O433" s="725"/>
      <c r="P433" s="725"/>
      <c r="Q433" s="725"/>
      <c r="R433" s="725"/>
      <c r="S433" s="725"/>
      <c r="T433" s="725"/>
      <c r="U433" s="725"/>
      <c r="V433" s="725"/>
      <c r="W433" s="725"/>
      <c r="X433" s="725"/>
      <c r="Y433" s="725"/>
      <c r="Z433" s="726"/>
      <c r="AB433" s="1028" t="str">
        <f>IF(AB434="","",VLOOKUP(AB434,BoonRef!$A$2:$Z$900,2,FALSE))</f>
        <v/>
      </c>
      <c r="AC433" s="725"/>
      <c r="AD433" s="725"/>
      <c r="AE433" s="725"/>
      <c r="AF433" s="725"/>
      <c r="AG433" s="725"/>
      <c r="AH433" s="725"/>
      <c r="AI433" s="725" t="str">
        <f>IF(AB434="","",VLOOKUP(AB434,BoonRef!$A$2:$Z$900,3,FALSE))</f>
        <v/>
      </c>
      <c r="AJ433" s="725"/>
      <c r="AK433" s="725" t="str">
        <f>IF(AB434="","",VLOOKUP(AB434,DescRef!$A$2:$B$900,2,FALSE))</f>
        <v/>
      </c>
      <c r="AL433" s="725"/>
      <c r="AM433" s="725"/>
      <c r="AN433" s="725"/>
      <c r="AO433" s="725"/>
      <c r="AP433" s="725"/>
      <c r="AQ433" s="725"/>
      <c r="AR433" s="725"/>
      <c r="AS433" s="725"/>
      <c r="AT433" s="725"/>
      <c r="AU433" s="725"/>
      <c r="AV433" s="725"/>
      <c r="AW433" s="725"/>
      <c r="AX433" s="725"/>
      <c r="AY433" s="725"/>
      <c r="AZ433" s="726"/>
      <c r="BB433" s="1029" t="str">
        <f>IF(BB434="","",VLOOKUP(BB434,KanckRef!$A$1:$G$300,2,FALSE))</f>
        <v/>
      </c>
      <c r="BC433" s="1030"/>
      <c r="BD433" s="1030"/>
      <c r="BE433" s="1030"/>
      <c r="BF433" s="1031"/>
      <c r="BG433" s="1048" t="str">
        <f>IF(BB434="","",VLOOKUP(BB434,KanckRef!$A$1:$G$300,6,FALSE))</f>
        <v/>
      </c>
      <c r="BH433" s="1049"/>
      <c r="BI433" s="988" t="str">
        <f>IF(BB434="","",VLOOKUP(BB434,DescRef!$D$2:$E$300,2,FALSE))</f>
        <v/>
      </c>
      <c r="BJ433" s="795"/>
      <c r="BK433" s="795"/>
      <c r="BL433" s="795"/>
      <c r="BM433" s="795"/>
      <c r="BN433" s="795"/>
      <c r="BO433" s="795"/>
      <c r="BP433" s="795"/>
      <c r="BQ433" s="795"/>
      <c r="BR433" s="795"/>
      <c r="BS433" s="795"/>
      <c r="BT433" s="795"/>
      <c r="BU433" s="795"/>
      <c r="BV433" s="795"/>
      <c r="BW433" s="795"/>
      <c r="BX433" s="795"/>
      <c r="BY433" s="795"/>
      <c r="BZ433" s="796"/>
      <c r="CB433" s="1029" t="str">
        <f>IF(CB434="","",VLOOKUP(CB434,KanckRef!$A$1:$G$300,2,FALSE))</f>
        <v/>
      </c>
      <c r="CC433" s="1030"/>
      <c r="CD433" s="1030"/>
      <c r="CE433" s="1030"/>
      <c r="CF433" s="1031"/>
      <c r="CG433" s="1048" t="str">
        <f>IF(CB434="","",VLOOKUP(CB434,KanckRef!$A$1:$G$300,6,FALSE))</f>
        <v/>
      </c>
      <c r="CH433" s="1049"/>
      <c r="CI433" s="988" t="str">
        <f>IF(CB434="","",VLOOKUP(CB434,DescRef!$D$2:$E$300,2,FALSE))</f>
        <v/>
      </c>
      <c r="CJ433" s="795"/>
      <c r="CK433" s="795"/>
      <c r="CL433" s="795"/>
      <c r="CM433" s="795"/>
      <c r="CN433" s="795"/>
      <c r="CO433" s="795"/>
      <c r="CP433" s="795"/>
      <c r="CQ433" s="795"/>
      <c r="CR433" s="795"/>
      <c r="CS433" s="795"/>
      <c r="CT433" s="795"/>
      <c r="CU433" s="795"/>
      <c r="CV433" s="795"/>
      <c r="CW433" s="795"/>
      <c r="CX433" s="795"/>
      <c r="CY433" s="795"/>
      <c r="CZ433" s="796"/>
    </row>
    <row r="434" spans="1:104" ht="15" customHeight="1" x14ac:dyDescent="0.25">
      <c r="A434" s="15">
        <v>72</v>
      </c>
      <c r="B434" s="1026" t="str">
        <f>IF(A434&lt;'Purchased Boons'!$B$496,VLOOKUP(A434,'Purchased Boons'!$BF$2:$BG$900,2,FALSE),"")</f>
        <v/>
      </c>
      <c r="C434" s="727"/>
      <c r="D434" s="727"/>
      <c r="E434" s="727"/>
      <c r="F434" s="727"/>
      <c r="G434" s="727"/>
      <c r="H434" s="727"/>
      <c r="I434" s="727" t="str">
        <f>IF(B434="","",VLOOKUP(B434,BoonRef!$A$2:$Z$900,25,FALSE))</f>
        <v/>
      </c>
      <c r="J434" s="727"/>
      <c r="K434" s="727"/>
      <c r="L434" s="727"/>
      <c r="M434" s="727"/>
      <c r="N434" s="727"/>
      <c r="O434" s="727"/>
      <c r="P434" s="727"/>
      <c r="Q434" s="727"/>
      <c r="R434" s="727"/>
      <c r="S434" s="727"/>
      <c r="T434" s="727"/>
      <c r="U434" s="727"/>
      <c r="V434" s="727"/>
      <c r="W434" s="727"/>
      <c r="X434" s="727"/>
      <c r="Y434" s="727"/>
      <c r="Z434" s="728"/>
      <c r="AA434" s="15">
        <v>179</v>
      </c>
      <c r="AB434" s="1026" t="str">
        <f>IF(AA434&lt;'Purchased Boons'!$B$496,VLOOKUP(AA434,'Purchased Boons'!$BF$2:$BG$900,2,FALSE),"")</f>
        <v/>
      </c>
      <c r="AC434" s="727"/>
      <c r="AD434" s="727"/>
      <c r="AE434" s="727"/>
      <c r="AF434" s="727"/>
      <c r="AG434" s="727"/>
      <c r="AH434" s="727"/>
      <c r="AI434" s="727" t="str">
        <f>IF(AB434="","",VLOOKUP(AB434,BoonRef!$A$2:$Z$900,25,FALSE))</f>
        <v/>
      </c>
      <c r="AJ434" s="727"/>
      <c r="AK434" s="727"/>
      <c r="AL434" s="727"/>
      <c r="AM434" s="727"/>
      <c r="AN434" s="727"/>
      <c r="AO434" s="727"/>
      <c r="AP434" s="727"/>
      <c r="AQ434" s="727"/>
      <c r="AR434" s="727"/>
      <c r="AS434" s="727"/>
      <c r="AT434" s="727"/>
      <c r="AU434" s="727"/>
      <c r="AV434" s="727"/>
      <c r="AW434" s="727"/>
      <c r="AX434" s="727"/>
      <c r="AY434" s="727"/>
      <c r="AZ434" s="728"/>
      <c r="BA434" s="15">
        <v>72</v>
      </c>
      <c r="BB434" s="1038" t="str">
        <f>IF(BA434&lt;'Purchased Knacks'!A$192,VLOOKUP(BA434,'Purchased Knacks'!$A$4:$E$300,3,FALSE),"")</f>
        <v/>
      </c>
      <c r="BC434" s="1039"/>
      <c r="BD434" s="1039"/>
      <c r="BE434" s="1039"/>
      <c r="BF434" s="1040"/>
      <c r="BG434" s="1032" t="str">
        <f>IF(BB434="","",VLOOKUP(BB434,KanckRef!$A$1:$G$300,7,FALSE))</f>
        <v/>
      </c>
      <c r="BH434" s="1033"/>
      <c r="BI434" s="753"/>
      <c r="BJ434" s="754"/>
      <c r="BK434" s="754"/>
      <c r="BL434" s="754"/>
      <c r="BM434" s="754"/>
      <c r="BN434" s="754"/>
      <c r="BO434" s="754"/>
      <c r="BP434" s="754"/>
      <c r="BQ434" s="754"/>
      <c r="BR434" s="754"/>
      <c r="BS434" s="754"/>
      <c r="BT434" s="754"/>
      <c r="BU434" s="754"/>
      <c r="BV434" s="754"/>
      <c r="BW434" s="754"/>
      <c r="BX434" s="754"/>
      <c r="BY434" s="754"/>
      <c r="BZ434" s="755"/>
      <c r="CA434" s="15">
        <v>179</v>
      </c>
      <c r="CB434" s="1038" t="str">
        <f>IF(CA434&lt;'Purchased Knacks'!A$192,VLOOKUP(CA434,'Purchased Knacks'!$A$4:$E$300,3,FALSE),"")</f>
        <v/>
      </c>
      <c r="CC434" s="1039"/>
      <c r="CD434" s="1039"/>
      <c r="CE434" s="1039"/>
      <c r="CF434" s="1040"/>
      <c r="CG434" s="1032" t="str">
        <f>IF(CB434="","",VLOOKUP(CB434,KanckRef!$A$1:$G$300,7,FALSE))</f>
        <v/>
      </c>
      <c r="CH434" s="1033"/>
      <c r="CI434" s="753"/>
      <c r="CJ434" s="754"/>
      <c r="CK434" s="754"/>
      <c r="CL434" s="754"/>
      <c r="CM434" s="754"/>
      <c r="CN434" s="754"/>
      <c r="CO434" s="754"/>
      <c r="CP434" s="754"/>
      <c r="CQ434" s="754"/>
      <c r="CR434" s="754"/>
      <c r="CS434" s="754"/>
      <c r="CT434" s="754"/>
      <c r="CU434" s="754"/>
      <c r="CV434" s="754"/>
      <c r="CW434" s="754"/>
      <c r="CX434" s="754"/>
      <c r="CY434" s="754"/>
      <c r="CZ434" s="755"/>
    </row>
    <row r="435" spans="1:104" x14ac:dyDescent="0.25">
      <c r="B435" s="1026"/>
      <c r="C435" s="727"/>
      <c r="D435" s="727"/>
      <c r="E435" s="727"/>
      <c r="F435" s="727"/>
      <c r="G435" s="727"/>
      <c r="H435" s="727"/>
      <c r="I435" s="727" t="str">
        <f>IF(B434="","",VLOOKUP(B434,BoonRef!$A$2:$Z$900,26,FALSE))</f>
        <v/>
      </c>
      <c r="J435" s="727"/>
      <c r="K435" s="727"/>
      <c r="L435" s="727"/>
      <c r="M435" s="727"/>
      <c r="N435" s="727"/>
      <c r="O435" s="727"/>
      <c r="P435" s="727"/>
      <c r="Q435" s="727"/>
      <c r="R435" s="727"/>
      <c r="S435" s="727"/>
      <c r="T435" s="727"/>
      <c r="U435" s="727"/>
      <c r="V435" s="727"/>
      <c r="W435" s="727"/>
      <c r="X435" s="727"/>
      <c r="Y435" s="727"/>
      <c r="Z435" s="728"/>
      <c r="AB435" s="1026"/>
      <c r="AC435" s="727"/>
      <c r="AD435" s="727"/>
      <c r="AE435" s="727"/>
      <c r="AF435" s="727"/>
      <c r="AG435" s="727"/>
      <c r="AH435" s="727"/>
      <c r="AI435" s="727" t="str">
        <f>IF(AB434="","",VLOOKUP(AB434,BoonRef!$A$2:$Z$900,26,FALSE))</f>
        <v/>
      </c>
      <c r="AJ435" s="727"/>
      <c r="AK435" s="727"/>
      <c r="AL435" s="727"/>
      <c r="AM435" s="727"/>
      <c r="AN435" s="727"/>
      <c r="AO435" s="727"/>
      <c r="AP435" s="727"/>
      <c r="AQ435" s="727"/>
      <c r="AR435" s="727"/>
      <c r="AS435" s="727"/>
      <c r="AT435" s="727"/>
      <c r="AU435" s="727"/>
      <c r="AV435" s="727"/>
      <c r="AW435" s="727"/>
      <c r="AX435" s="727"/>
      <c r="AY435" s="727"/>
      <c r="AZ435" s="728"/>
      <c r="BB435" s="1041"/>
      <c r="BC435" s="1042"/>
      <c r="BD435" s="1042"/>
      <c r="BE435" s="1042"/>
      <c r="BF435" s="1043"/>
      <c r="BG435" s="1034"/>
      <c r="BH435" s="1035"/>
      <c r="BI435" s="753"/>
      <c r="BJ435" s="754"/>
      <c r="BK435" s="754"/>
      <c r="BL435" s="754"/>
      <c r="BM435" s="754"/>
      <c r="BN435" s="754"/>
      <c r="BO435" s="754"/>
      <c r="BP435" s="754"/>
      <c r="BQ435" s="754"/>
      <c r="BR435" s="754"/>
      <c r="BS435" s="754"/>
      <c r="BT435" s="754"/>
      <c r="BU435" s="754"/>
      <c r="BV435" s="754"/>
      <c r="BW435" s="754"/>
      <c r="BX435" s="754"/>
      <c r="BY435" s="754"/>
      <c r="BZ435" s="755"/>
      <c r="CB435" s="1041"/>
      <c r="CC435" s="1042"/>
      <c r="CD435" s="1042"/>
      <c r="CE435" s="1042"/>
      <c r="CF435" s="1043"/>
      <c r="CG435" s="1034"/>
      <c r="CH435" s="1035"/>
      <c r="CI435" s="753"/>
      <c r="CJ435" s="754"/>
      <c r="CK435" s="754"/>
      <c r="CL435" s="754"/>
      <c r="CM435" s="754"/>
      <c r="CN435" s="754"/>
      <c r="CO435" s="754"/>
      <c r="CP435" s="754"/>
      <c r="CQ435" s="754"/>
      <c r="CR435" s="754"/>
      <c r="CS435" s="754"/>
      <c r="CT435" s="754"/>
      <c r="CU435" s="754"/>
      <c r="CV435" s="754"/>
      <c r="CW435" s="754"/>
      <c r="CX435" s="754"/>
      <c r="CY435" s="754"/>
      <c r="CZ435" s="755"/>
    </row>
    <row r="436" spans="1:104" x14ac:dyDescent="0.25">
      <c r="B436" s="1026" t="str">
        <f>IF(B434="","",VLOOKUP(B434,BoonRef!$A$2:$Z$900,24,FALSE))</f>
        <v/>
      </c>
      <c r="C436" s="727"/>
      <c r="D436" s="727"/>
      <c r="E436" s="727"/>
      <c r="F436" s="727"/>
      <c r="G436" s="727"/>
      <c r="H436" s="727"/>
      <c r="I436" s="727"/>
      <c r="J436" s="727"/>
      <c r="K436" s="727"/>
      <c r="L436" s="727"/>
      <c r="M436" s="727"/>
      <c r="N436" s="727"/>
      <c r="O436" s="727"/>
      <c r="P436" s="727"/>
      <c r="Q436" s="727"/>
      <c r="R436" s="727"/>
      <c r="S436" s="727"/>
      <c r="T436" s="727"/>
      <c r="U436" s="727"/>
      <c r="V436" s="727"/>
      <c r="W436" s="727"/>
      <c r="X436" s="727"/>
      <c r="Y436" s="727"/>
      <c r="Z436" s="728"/>
      <c r="AB436" s="1026" t="str">
        <f>IF(AB434="","",VLOOKUP(AB434,BoonRef!$A$2:$Z$900,24,FALSE))</f>
        <v/>
      </c>
      <c r="AC436" s="727"/>
      <c r="AD436" s="727"/>
      <c r="AE436" s="727"/>
      <c r="AF436" s="727"/>
      <c r="AG436" s="727"/>
      <c r="AH436" s="727"/>
      <c r="AI436" s="727"/>
      <c r="AJ436" s="727"/>
      <c r="AK436" s="727"/>
      <c r="AL436" s="727"/>
      <c r="AM436" s="727"/>
      <c r="AN436" s="727"/>
      <c r="AO436" s="727"/>
      <c r="AP436" s="727"/>
      <c r="AQ436" s="727"/>
      <c r="AR436" s="727"/>
      <c r="AS436" s="727"/>
      <c r="AT436" s="727"/>
      <c r="AU436" s="727"/>
      <c r="AV436" s="727"/>
      <c r="AW436" s="727"/>
      <c r="AX436" s="727"/>
      <c r="AY436" s="727"/>
      <c r="AZ436" s="728"/>
      <c r="BB436" s="641" t="str">
        <f>IF(BB434="","",VLOOKUP(BB434,KanckRef!$A$1:$G$300,4,FALSE))</f>
        <v/>
      </c>
      <c r="BC436" s="642"/>
      <c r="BD436" s="642"/>
      <c r="BE436" s="642"/>
      <c r="BF436" s="642"/>
      <c r="BG436" s="642"/>
      <c r="BH436" s="1033"/>
      <c r="BI436" s="753"/>
      <c r="BJ436" s="754"/>
      <c r="BK436" s="754"/>
      <c r="BL436" s="754"/>
      <c r="BM436" s="754"/>
      <c r="BN436" s="754"/>
      <c r="BO436" s="754"/>
      <c r="BP436" s="754"/>
      <c r="BQ436" s="754"/>
      <c r="BR436" s="754"/>
      <c r="BS436" s="754"/>
      <c r="BT436" s="754"/>
      <c r="BU436" s="754"/>
      <c r="BV436" s="754"/>
      <c r="BW436" s="754"/>
      <c r="BX436" s="754"/>
      <c r="BY436" s="754"/>
      <c r="BZ436" s="755"/>
      <c r="CB436" s="641" t="str">
        <f>IF(CB434="","",VLOOKUP(CB434,KanckRef!$A$1:$G$300,4,FALSE))</f>
        <v/>
      </c>
      <c r="CC436" s="642"/>
      <c r="CD436" s="642"/>
      <c r="CE436" s="642"/>
      <c r="CF436" s="642"/>
      <c r="CG436" s="642"/>
      <c r="CH436" s="1033"/>
      <c r="CI436" s="753"/>
      <c r="CJ436" s="754"/>
      <c r="CK436" s="754"/>
      <c r="CL436" s="754"/>
      <c r="CM436" s="754"/>
      <c r="CN436" s="754"/>
      <c r="CO436" s="754"/>
      <c r="CP436" s="754"/>
      <c r="CQ436" s="754"/>
      <c r="CR436" s="754"/>
      <c r="CS436" s="754"/>
      <c r="CT436" s="754"/>
      <c r="CU436" s="754"/>
      <c r="CV436" s="754"/>
      <c r="CW436" s="754"/>
      <c r="CX436" s="754"/>
      <c r="CY436" s="754"/>
      <c r="CZ436" s="755"/>
    </row>
    <row r="437" spans="1:104" x14ac:dyDescent="0.25">
      <c r="B437" s="1026" t="str">
        <f>IF(B434="","",VLOOKUP(B434,BoonRef!$A$2:$Z$900,23,FALSE))</f>
        <v/>
      </c>
      <c r="C437" s="727"/>
      <c r="D437" s="727"/>
      <c r="E437" s="727"/>
      <c r="F437" s="727"/>
      <c r="G437" s="727"/>
      <c r="H437" s="727"/>
      <c r="I437" s="727"/>
      <c r="J437" s="727"/>
      <c r="K437" s="727"/>
      <c r="L437" s="727"/>
      <c r="M437" s="727"/>
      <c r="N437" s="727"/>
      <c r="O437" s="727"/>
      <c r="P437" s="727"/>
      <c r="Q437" s="727"/>
      <c r="R437" s="727"/>
      <c r="S437" s="727"/>
      <c r="T437" s="727"/>
      <c r="U437" s="727"/>
      <c r="V437" s="727"/>
      <c r="W437" s="727"/>
      <c r="X437" s="727"/>
      <c r="Y437" s="727"/>
      <c r="Z437" s="728"/>
      <c r="AB437" s="1026" t="str">
        <f>IF(AB434="","",VLOOKUP(AB434,BoonRef!$A$2:$Z$900,23,FALSE))</f>
        <v/>
      </c>
      <c r="AC437" s="727"/>
      <c r="AD437" s="727"/>
      <c r="AE437" s="727"/>
      <c r="AF437" s="727"/>
      <c r="AG437" s="727"/>
      <c r="AH437" s="727"/>
      <c r="AI437" s="727"/>
      <c r="AJ437" s="727"/>
      <c r="AK437" s="727"/>
      <c r="AL437" s="727"/>
      <c r="AM437" s="727"/>
      <c r="AN437" s="727"/>
      <c r="AO437" s="727"/>
      <c r="AP437" s="727"/>
      <c r="AQ437" s="727"/>
      <c r="AR437" s="727"/>
      <c r="AS437" s="727"/>
      <c r="AT437" s="727"/>
      <c r="AU437" s="727"/>
      <c r="AV437" s="727"/>
      <c r="AW437" s="727"/>
      <c r="AX437" s="727"/>
      <c r="AY437" s="727"/>
      <c r="AZ437" s="728"/>
      <c r="BB437" s="635"/>
      <c r="BC437" s="636"/>
      <c r="BD437" s="636"/>
      <c r="BE437" s="636"/>
      <c r="BF437" s="636"/>
      <c r="BG437" s="636"/>
      <c r="BH437" s="1036"/>
      <c r="BI437" s="753"/>
      <c r="BJ437" s="754"/>
      <c r="BK437" s="754"/>
      <c r="BL437" s="754"/>
      <c r="BM437" s="754"/>
      <c r="BN437" s="754"/>
      <c r="BO437" s="754"/>
      <c r="BP437" s="754"/>
      <c r="BQ437" s="754"/>
      <c r="BR437" s="754"/>
      <c r="BS437" s="754"/>
      <c r="BT437" s="754"/>
      <c r="BU437" s="754"/>
      <c r="BV437" s="754"/>
      <c r="BW437" s="754"/>
      <c r="BX437" s="754"/>
      <c r="BY437" s="754"/>
      <c r="BZ437" s="755"/>
      <c r="CB437" s="635"/>
      <c r="CC437" s="636"/>
      <c r="CD437" s="636"/>
      <c r="CE437" s="636"/>
      <c r="CF437" s="636"/>
      <c r="CG437" s="636"/>
      <c r="CH437" s="1036"/>
      <c r="CI437" s="753"/>
      <c r="CJ437" s="754"/>
      <c r="CK437" s="754"/>
      <c r="CL437" s="754"/>
      <c r="CM437" s="754"/>
      <c r="CN437" s="754"/>
      <c r="CO437" s="754"/>
      <c r="CP437" s="754"/>
      <c r="CQ437" s="754"/>
      <c r="CR437" s="754"/>
      <c r="CS437" s="754"/>
      <c r="CT437" s="754"/>
      <c r="CU437" s="754"/>
      <c r="CV437" s="754"/>
      <c r="CW437" s="754"/>
      <c r="CX437" s="754"/>
      <c r="CY437" s="754"/>
      <c r="CZ437" s="755"/>
    </row>
    <row r="438" spans="1:104" ht="15.75" thickBot="1" x14ac:dyDescent="0.3">
      <c r="B438" s="1027"/>
      <c r="C438" s="865"/>
      <c r="D438" s="865"/>
      <c r="E438" s="865"/>
      <c r="F438" s="865"/>
      <c r="G438" s="865"/>
      <c r="H438" s="865"/>
      <c r="I438" s="865"/>
      <c r="J438" s="865"/>
      <c r="K438" s="865"/>
      <c r="L438" s="865"/>
      <c r="M438" s="865"/>
      <c r="N438" s="865"/>
      <c r="O438" s="865"/>
      <c r="P438" s="865"/>
      <c r="Q438" s="865"/>
      <c r="R438" s="865"/>
      <c r="S438" s="865"/>
      <c r="T438" s="865"/>
      <c r="U438" s="865"/>
      <c r="V438" s="865"/>
      <c r="W438" s="865"/>
      <c r="X438" s="865"/>
      <c r="Y438" s="865"/>
      <c r="Z438" s="921"/>
      <c r="AB438" s="1027"/>
      <c r="AC438" s="865"/>
      <c r="AD438" s="865"/>
      <c r="AE438" s="865"/>
      <c r="AF438" s="865"/>
      <c r="AG438" s="865"/>
      <c r="AH438" s="865"/>
      <c r="AI438" s="865"/>
      <c r="AJ438" s="865"/>
      <c r="AK438" s="865"/>
      <c r="AL438" s="865"/>
      <c r="AM438" s="865"/>
      <c r="AN438" s="865"/>
      <c r="AO438" s="865"/>
      <c r="AP438" s="865"/>
      <c r="AQ438" s="865"/>
      <c r="AR438" s="865"/>
      <c r="AS438" s="865"/>
      <c r="AT438" s="865"/>
      <c r="AU438" s="865"/>
      <c r="AV438" s="865"/>
      <c r="AW438" s="865"/>
      <c r="AX438" s="865"/>
      <c r="AY438" s="865"/>
      <c r="AZ438" s="921"/>
      <c r="BB438" s="644"/>
      <c r="BC438" s="645"/>
      <c r="BD438" s="645"/>
      <c r="BE438" s="645"/>
      <c r="BF438" s="645"/>
      <c r="BG438" s="645"/>
      <c r="BH438" s="1037"/>
      <c r="BI438" s="756"/>
      <c r="BJ438" s="757"/>
      <c r="BK438" s="757"/>
      <c r="BL438" s="757"/>
      <c r="BM438" s="757"/>
      <c r="BN438" s="757"/>
      <c r="BO438" s="757"/>
      <c r="BP438" s="757"/>
      <c r="BQ438" s="757"/>
      <c r="BR438" s="757"/>
      <c r="BS438" s="757"/>
      <c r="BT438" s="757"/>
      <c r="BU438" s="757"/>
      <c r="BV438" s="757"/>
      <c r="BW438" s="757"/>
      <c r="BX438" s="757"/>
      <c r="BY438" s="757"/>
      <c r="BZ438" s="758"/>
      <c r="CB438" s="644"/>
      <c r="CC438" s="645"/>
      <c r="CD438" s="645"/>
      <c r="CE438" s="645"/>
      <c r="CF438" s="645"/>
      <c r="CG438" s="645"/>
      <c r="CH438" s="1037"/>
      <c r="CI438" s="756"/>
      <c r="CJ438" s="757"/>
      <c r="CK438" s="757"/>
      <c r="CL438" s="757"/>
      <c r="CM438" s="757"/>
      <c r="CN438" s="757"/>
      <c r="CO438" s="757"/>
      <c r="CP438" s="757"/>
      <c r="CQ438" s="757"/>
      <c r="CR438" s="757"/>
      <c r="CS438" s="757"/>
      <c r="CT438" s="757"/>
      <c r="CU438" s="757"/>
      <c r="CV438" s="757"/>
      <c r="CW438" s="757"/>
      <c r="CX438" s="757"/>
      <c r="CY438" s="757"/>
      <c r="CZ438" s="758"/>
    </row>
    <row r="439" spans="1:104" x14ac:dyDescent="0.25">
      <c r="B439" s="1028" t="str">
        <f>IF(B440="","",VLOOKUP(B440,BoonRef!$A$2:$Z$900,2,FALSE))</f>
        <v/>
      </c>
      <c r="C439" s="725"/>
      <c r="D439" s="725"/>
      <c r="E439" s="725"/>
      <c r="F439" s="725"/>
      <c r="G439" s="725"/>
      <c r="H439" s="725"/>
      <c r="I439" s="725" t="str">
        <f>IF(B440="","",VLOOKUP(B440,BoonRef!$A$2:$Z$900,3,FALSE))</f>
        <v/>
      </c>
      <c r="J439" s="725"/>
      <c r="K439" s="725" t="str">
        <f>IF(B440="","",VLOOKUP(B440,DescRef!$A$2:$B$900,2,FALSE))</f>
        <v/>
      </c>
      <c r="L439" s="725"/>
      <c r="M439" s="725"/>
      <c r="N439" s="725"/>
      <c r="O439" s="725"/>
      <c r="P439" s="725"/>
      <c r="Q439" s="725"/>
      <c r="R439" s="725"/>
      <c r="S439" s="725"/>
      <c r="T439" s="725"/>
      <c r="U439" s="725"/>
      <c r="V439" s="725"/>
      <c r="W439" s="725"/>
      <c r="X439" s="725"/>
      <c r="Y439" s="725"/>
      <c r="Z439" s="726"/>
      <c r="AB439" s="1028" t="str">
        <f>IF(AB440="","",VLOOKUP(AB440,BoonRef!$A$2:$Z$900,2,FALSE))</f>
        <v/>
      </c>
      <c r="AC439" s="725"/>
      <c r="AD439" s="725"/>
      <c r="AE439" s="725"/>
      <c r="AF439" s="725"/>
      <c r="AG439" s="725"/>
      <c r="AH439" s="725"/>
      <c r="AI439" s="725" t="str">
        <f>IF(AB440="","",VLOOKUP(AB440,BoonRef!$A$2:$Z$900,3,FALSE))</f>
        <v/>
      </c>
      <c r="AJ439" s="725"/>
      <c r="AK439" s="725" t="str">
        <f>IF(AB440="","",VLOOKUP(AB440,DescRef!$A$2:$B$900,2,FALSE))</f>
        <v/>
      </c>
      <c r="AL439" s="725"/>
      <c r="AM439" s="725"/>
      <c r="AN439" s="725"/>
      <c r="AO439" s="725"/>
      <c r="AP439" s="725"/>
      <c r="AQ439" s="725"/>
      <c r="AR439" s="725"/>
      <c r="AS439" s="725"/>
      <c r="AT439" s="725"/>
      <c r="AU439" s="725"/>
      <c r="AV439" s="725"/>
      <c r="AW439" s="725"/>
      <c r="AX439" s="725"/>
      <c r="AY439" s="725"/>
      <c r="AZ439" s="726"/>
      <c r="BB439" s="1029" t="str">
        <f>IF(BB440="","",VLOOKUP(BB440,KanckRef!$A$1:$G$300,2,FALSE))</f>
        <v/>
      </c>
      <c r="BC439" s="1030"/>
      <c r="BD439" s="1030"/>
      <c r="BE439" s="1030"/>
      <c r="BF439" s="1031"/>
      <c r="BG439" s="1048" t="str">
        <f>IF(BB440="","",VLOOKUP(BB440,KanckRef!$A$1:$G$300,6,FALSE))</f>
        <v/>
      </c>
      <c r="BH439" s="1049"/>
      <c r="BI439" s="988" t="str">
        <f>IF(BB440="","",VLOOKUP(BB440,DescRef!$D$2:$E$300,2,FALSE))</f>
        <v/>
      </c>
      <c r="BJ439" s="795"/>
      <c r="BK439" s="795"/>
      <c r="BL439" s="795"/>
      <c r="BM439" s="795"/>
      <c r="BN439" s="795"/>
      <c r="BO439" s="795"/>
      <c r="BP439" s="795"/>
      <c r="BQ439" s="795"/>
      <c r="BR439" s="795"/>
      <c r="BS439" s="795"/>
      <c r="BT439" s="795"/>
      <c r="BU439" s="795"/>
      <c r="BV439" s="795"/>
      <c r="BW439" s="795"/>
      <c r="BX439" s="795"/>
      <c r="BY439" s="795"/>
      <c r="BZ439" s="796"/>
      <c r="CB439" s="1029" t="str">
        <f>IF(CB440="","",VLOOKUP(CB440,KanckRef!$A$1:$G$300,2,FALSE))</f>
        <v/>
      </c>
      <c r="CC439" s="1030"/>
      <c r="CD439" s="1030"/>
      <c r="CE439" s="1030"/>
      <c r="CF439" s="1031"/>
      <c r="CG439" s="1048" t="str">
        <f>IF(CB440="","",VLOOKUP(CB440,KanckRef!$A$1:$G$300,6,FALSE))</f>
        <v/>
      </c>
      <c r="CH439" s="1049"/>
      <c r="CI439" s="988" t="str">
        <f>IF(CB440="","",VLOOKUP(CB440,DescRef!$D$2:$E$300,2,FALSE))</f>
        <v/>
      </c>
      <c r="CJ439" s="795"/>
      <c r="CK439" s="795"/>
      <c r="CL439" s="795"/>
      <c r="CM439" s="795"/>
      <c r="CN439" s="795"/>
      <c r="CO439" s="795"/>
      <c r="CP439" s="795"/>
      <c r="CQ439" s="795"/>
      <c r="CR439" s="795"/>
      <c r="CS439" s="795"/>
      <c r="CT439" s="795"/>
      <c r="CU439" s="795"/>
      <c r="CV439" s="795"/>
      <c r="CW439" s="795"/>
      <c r="CX439" s="795"/>
      <c r="CY439" s="795"/>
      <c r="CZ439" s="796"/>
    </row>
    <row r="440" spans="1:104" ht="15" customHeight="1" x14ac:dyDescent="0.25">
      <c r="A440" s="15">
        <v>73</v>
      </c>
      <c r="B440" s="1026" t="str">
        <f>IF(A440&lt;'Purchased Boons'!$B$496,VLOOKUP(A440,'Purchased Boons'!$BF$2:$BG$900,2,FALSE),"")</f>
        <v/>
      </c>
      <c r="C440" s="727"/>
      <c r="D440" s="727"/>
      <c r="E440" s="727"/>
      <c r="F440" s="727"/>
      <c r="G440" s="727"/>
      <c r="H440" s="727"/>
      <c r="I440" s="727" t="str">
        <f>IF(B440="","",VLOOKUP(B440,BoonRef!$A$2:$Z$900,25,FALSE))</f>
        <v/>
      </c>
      <c r="J440" s="727"/>
      <c r="K440" s="727"/>
      <c r="L440" s="727"/>
      <c r="M440" s="727"/>
      <c r="N440" s="727"/>
      <c r="O440" s="727"/>
      <c r="P440" s="727"/>
      <c r="Q440" s="727"/>
      <c r="R440" s="727"/>
      <c r="S440" s="727"/>
      <c r="T440" s="727"/>
      <c r="U440" s="727"/>
      <c r="V440" s="727"/>
      <c r="W440" s="727"/>
      <c r="X440" s="727"/>
      <c r="Y440" s="727"/>
      <c r="Z440" s="728"/>
      <c r="AA440" s="15">
        <v>180</v>
      </c>
      <c r="AB440" s="1026" t="str">
        <f>IF(AA440&lt;'Purchased Boons'!$B$496,VLOOKUP(AA440,'Purchased Boons'!$BF$2:$BG$900,2,FALSE),"")</f>
        <v/>
      </c>
      <c r="AC440" s="727"/>
      <c r="AD440" s="727"/>
      <c r="AE440" s="727"/>
      <c r="AF440" s="727"/>
      <c r="AG440" s="727"/>
      <c r="AH440" s="727"/>
      <c r="AI440" s="727" t="str">
        <f>IF(AB440="","",VLOOKUP(AB440,BoonRef!$A$2:$Z$900,25,FALSE))</f>
        <v/>
      </c>
      <c r="AJ440" s="727"/>
      <c r="AK440" s="727"/>
      <c r="AL440" s="727"/>
      <c r="AM440" s="727"/>
      <c r="AN440" s="727"/>
      <c r="AO440" s="727"/>
      <c r="AP440" s="727"/>
      <c r="AQ440" s="727"/>
      <c r="AR440" s="727"/>
      <c r="AS440" s="727"/>
      <c r="AT440" s="727"/>
      <c r="AU440" s="727"/>
      <c r="AV440" s="727"/>
      <c r="AW440" s="727"/>
      <c r="AX440" s="727"/>
      <c r="AY440" s="727"/>
      <c r="AZ440" s="728"/>
      <c r="BA440" s="15">
        <v>73</v>
      </c>
      <c r="BB440" s="1038" t="str">
        <f>IF(BA440&lt;'Purchased Knacks'!A$192,VLOOKUP(BA440,'Purchased Knacks'!$A$4:$E$300,3,FALSE),"")</f>
        <v/>
      </c>
      <c r="BC440" s="1039"/>
      <c r="BD440" s="1039"/>
      <c r="BE440" s="1039"/>
      <c r="BF440" s="1040"/>
      <c r="BG440" s="1032" t="str">
        <f>IF(BB440="","",VLOOKUP(BB440,KanckRef!$A$1:$G$300,7,FALSE))</f>
        <v/>
      </c>
      <c r="BH440" s="1033"/>
      <c r="BI440" s="753"/>
      <c r="BJ440" s="754"/>
      <c r="BK440" s="754"/>
      <c r="BL440" s="754"/>
      <c r="BM440" s="754"/>
      <c r="BN440" s="754"/>
      <c r="BO440" s="754"/>
      <c r="BP440" s="754"/>
      <c r="BQ440" s="754"/>
      <c r="BR440" s="754"/>
      <c r="BS440" s="754"/>
      <c r="BT440" s="754"/>
      <c r="BU440" s="754"/>
      <c r="BV440" s="754"/>
      <c r="BW440" s="754"/>
      <c r="BX440" s="754"/>
      <c r="BY440" s="754"/>
      <c r="BZ440" s="755"/>
      <c r="CA440" s="15">
        <v>180</v>
      </c>
      <c r="CB440" s="1038" t="str">
        <f>IF(CA440&lt;'Purchased Knacks'!A$192,VLOOKUP(CA440,'Purchased Knacks'!$A$4:$E$300,3,FALSE),"")</f>
        <v/>
      </c>
      <c r="CC440" s="1039"/>
      <c r="CD440" s="1039"/>
      <c r="CE440" s="1039"/>
      <c r="CF440" s="1040"/>
      <c r="CG440" s="1032" t="str">
        <f>IF(CB440="","",VLOOKUP(CB440,KanckRef!$A$1:$G$300,7,FALSE))</f>
        <v/>
      </c>
      <c r="CH440" s="1033"/>
      <c r="CI440" s="753"/>
      <c r="CJ440" s="754"/>
      <c r="CK440" s="754"/>
      <c r="CL440" s="754"/>
      <c r="CM440" s="754"/>
      <c r="CN440" s="754"/>
      <c r="CO440" s="754"/>
      <c r="CP440" s="754"/>
      <c r="CQ440" s="754"/>
      <c r="CR440" s="754"/>
      <c r="CS440" s="754"/>
      <c r="CT440" s="754"/>
      <c r="CU440" s="754"/>
      <c r="CV440" s="754"/>
      <c r="CW440" s="754"/>
      <c r="CX440" s="754"/>
      <c r="CY440" s="754"/>
      <c r="CZ440" s="755"/>
    </row>
    <row r="441" spans="1:104" x14ac:dyDescent="0.25">
      <c r="B441" s="1026"/>
      <c r="C441" s="727"/>
      <c r="D441" s="727"/>
      <c r="E441" s="727"/>
      <c r="F441" s="727"/>
      <c r="G441" s="727"/>
      <c r="H441" s="727"/>
      <c r="I441" s="727" t="str">
        <f>IF(B440="","",VLOOKUP(B440,BoonRef!$A$2:$Z$900,26,FALSE))</f>
        <v/>
      </c>
      <c r="J441" s="727"/>
      <c r="K441" s="727"/>
      <c r="L441" s="727"/>
      <c r="M441" s="727"/>
      <c r="N441" s="727"/>
      <c r="O441" s="727"/>
      <c r="P441" s="727"/>
      <c r="Q441" s="727"/>
      <c r="R441" s="727"/>
      <c r="S441" s="727"/>
      <c r="T441" s="727"/>
      <c r="U441" s="727"/>
      <c r="V441" s="727"/>
      <c r="W441" s="727"/>
      <c r="X441" s="727"/>
      <c r="Y441" s="727"/>
      <c r="Z441" s="728"/>
      <c r="AB441" s="1026"/>
      <c r="AC441" s="727"/>
      <c r="AD441" s="727"/>
      <c r="AE441" s="727"/>
      <c r="AF441" s="727"/>
      <c r="AG441" s="727"/>
      <c r="AH441" s="727"/>
      <c r="AI441" s="727" t="str">
        <f>IF(AB440="","",VLOOKUP(AB440,BoonRef!$A$2:$Z$900,26,FALSE))</f>
        <v/>
      </c>
      <c r="AJ441" s="727"/>
      <c r="AK441" s="727"/>
      <c r="AL441" s="727"/>
      <c r="AM441" s="727"/>
      <c r="AN441" s="727"/>
      <c r="AO441" s="727"/>
      <c r="AP441" s="727"/>
      <c r="AQ441" s="727"/>
      <c r="AR441" s="727"/>
      <c r="AS441" s="727"/>
      <c r="AT441" s="727"/>
      <c r="AU441" s="727"/>
      <c r="AV441" s="727"/>
      <c r="AW441" s="727"/>
      <c r="AX441" s="727"/>
      <c r="AY441" s="727"/>
      <c r="AZ441" s="728"/>
      <c r="BB441" s="1041"/>
      <c r="BC441" s="1042"/>
      <c r="BD441" s="1042"/>
      <c r="BE441" s="1042"/>
      <c r="BF441" s="1043"/>
      <c r="BG441" s="1034"/>
      <c r="BH441" s="1035"/>
      <c r="BI441" s="753"/>
      <c r="BJ441" s="754"/>
      <c r="BK441" s="754"/>
      <c r="BL441" s="754"/>
      <c r="BM441" s="754"/>
      <c r="BN441" s="754"/>
      <c r="BO441" s="754"/>
      <c r="BP441" s="754"/>
      <c r="BQ441" s="754"/>
      <c r="BR441" s="754"/>
      <c r="BS441" s="754"/>
      <c r="BT441" s="754"/>
      <c r="BU441" s="754"/>
      <c r="BV441" s="754"/>
      <c r="BW441" s="754"/>
      <c r="BX441" s="754"/>
      <c r="BY441" s="754"/>
      <c r="BZ441" s="755"/>
      <c r="CB441" s="1041"/>
      <c r="CC441" s="1042"/>
      <c r="CD441" s="1042"/>
      <c r="CE441" s="1042"/>
      <c r="CF441" s="1043"/>
      <c r="CG441" s="1034"/>
      <c r="CH441" s="1035"/>
      <c r="CI441" s="753"/>
      <c r="CJ441" s="754"/>
      <c r="CK441" s="754"/>
      <c r="CL441" s="754"/>
      <c r="CM441" s="754"/>
      <c r="CN441" s="754"/>
      <c r="CO441" s="754"/>
      <c r="CP441" s="754"/>
      <c r="CQ441" s="754"/>
      <c r="CR441" s="754"/>
      <c r="CS441" s="754"/>
      <c r="CT441" s="754"/>
      <c r="CU441" s="754"/>
      <c r="CV441" s="754"/>
      <c r="CW441" s="754"/>
      <c r="CX441" s="754"/>
      <c r="CY441" s="754"/>
      <c r="CZ441" s="755"/>
    </row>
    <row r="442" spans="1:104" x14ac:dyDescent="0.25">
      <c r="B442" s="1026" t="str">
        <f>IF(B440="","",VLOOKUP(B440,BoonRef!$A$2:$Z$900,24,FALSE))</f>
        <v/>
      </c>
      <c r="C442" s="727"/>
      <c r="D442" s="727"/>
      <c r="E442" s="727"/>
      <c r="F442" s="727"/>
      <c r="G442" s="727"/>
      <c r="H442" s="727"/>
      <c r="I442" s="727"/>
      <c r="J442" s="727"/>
      <c r="K442" s="727"/>
      <c r="L442" s="727"/>
      <c r="M442" s="727"/>
      <c r="N442" s="727"/>
      <c r="O442" s="727"/>
      <c r="P442" s="727"/>
      <c r="Q442" s="727"/>
      <c r="R442" s="727"/>
      <c r="S442" s="727"/>
      <c r="T442" s="727"/>
      <c r="U442" s="727"/>
      <c r="V442" s="727"/>
      <c r="W442" s="727"/>
      <c r="X442" s="727"/>
      <c r="Y442" s="727"/>
      <c r="Z442" s="728"/>
      <c r="AB442" s="1026" t="str">
        <f>IF(AB440="","",VLOOKUP(AB440,BoonRef!$A$2:$Z$900,24,FALSE))</f>
        <v/>
      </c>
      <c r="AC442" s="727"/>
      <c r="AD442" s="727"/>
      <c r="AE442" s="727"/>
      <c r="AF442" s="727"/>
      <c r="AG442" s="727"/>
      <c r="AH442" s="727"/>
      <c r="AI442" s="727"/>
      <c r="AJ442" s="727"/>
      <c r="AK442" s="727"/>
      <c r="AL442" s="727"/>
      <c r="AM442" s="727"/>
      <c r="AN442" s="727"/>
      <c r="AO442" s="727"/>
      <c r="AP442" s="727"/>
      <c r="AQ442" s="727"/>
      <c r="AR442" s="727"/>
      <c r="AS442" s="727"/>
      <c r="AT442" s="727"/>
      <c r="AU442" s="727"/>
      <c r="AV442" s="727"/>
      <c r="AW442" s="727"/>
      <c r="AX442" s="727"/>
      <c r="AY442" s="727"/>
      <c r="AZ442" s="728"/>
      <c r="BB442" s="641" t="str">
        <f>IF(BB440="","",VLOOKUP(BB440,KanckRef!$A$1:$G$300,4,FALSE))</f>
        <v/>
      </c>
      <c r="BC442" s="642"/>
      <c r="BD442" s="642"/>
      <c r="BE442" s="642"/>
      <c r="BF442" s="642"/>
      <c r="BG442" s="642"/>
      <c r="BH442" s="1033"/>
      <c r="BI442" s="753"/>
      <c r="BJ442" s="754"/>
      <c r="BK442" s="754"/>
      <c r="BL442" s="754"/>
      <c r="BM442" s="754"/>
      <c r="BN442" s="754"/>
      <c r="BO442" s="754"/>
      <c r="BP442" s="754"/>
      <c r="BQ442" s="754"/>
      <c r="BR442" s="754"/>
      <c r="BS442" s="754"/>
      <c r="BT442" s="754"/>
      <c r="BU442" s="754"/>
      <c r="BV442" s="754"/>
      <c r="BW442" s="754"/>
      <c r="BX442" s="754"/>
      <c r="BY442" s="754"/>
      <c r="BZ442" s="755"/>
      <c r="CB442" s="641" t="str">
        <f>IF(CB440="","",VLOOKUP(CB440,KanckRef!$A$1:$G$300,4,FALSE))</f>
        <v/>
      </c>
      <c r="CC442" s="642"/>
      <c r="CD442" s="642"/>
      <c r="CE442" s="642"/>
      <c r="CF442" s="642"/>
      <c r="CG442" s="642"/>
      <c r="CH442" s="1033"/>
      <c r="CI442" s="753"/>
      <c r="CJ442" s="754"/>
      <c r="CK442" s="754"/>
      <c r="CL442" s="754"/>
      <c r="CM442" s="754"/>
      <c r="CN442" s="754"/>
      <c r="CO442" s="754"/>
      <c r="CP442" s="754"/>
      <c r="CQ442" s="754"/>
      <c r="CR442" s="754"/>
      <c r="CS442" s="754"/>
      <c r="CT442" s="754"/>
      <c r="CU442" s="754"/>
      <c r="CV442" s="754"/>
      <c r="CW442" s="754"/>
      <c r="CX442" s="754"/>
      <c r="CY442" s="754"/>
      <c r="CZ442" s="755"/>
    </row>
    <row r="443" spans="1:104" x14ac:dyDescent="0.25">
      <c r="B443" s="1026" t="str">
        <f>IF(B440="","",VLOOKUP(B440,BoonRef!$A$2:$Z$900,23,FALSE))</f>
        <v/>
      </c>
      <c r="C443" s="727"/>
      <c r="D443" s="727"/>
      <c r="E443" s="727"/>
      <c r="F443" s="727"/>
      <c r="G443" s="727"/>
      <c r="H443" s="727"/>
      <c r="I443" s="727"/>
      <c r="J443" s="727"/>
      <c r="K443" s="727"/>
      <c r="L443" s="727"/>
      <c r="M443" s="727"/>
      <c r="N443" s="727"/>
      <c r="O443" s="727"/>
      <c r="P443" s="727"/>
      <c r="Q443" s="727"/>
      <c r="R443" s="727"/>
      <c r="S443" s="727"/>
      <c r="T443" s="727"/>
      <c r="U443" s="727"/>
      <c r="V443" s="727"/>
      <c r="W443" s="727"/>
      <c r="X443" s="727"/>
      <c r="Y443" s="727"/>
      <c r="Z443" s="728"/>
      <c r="AB443" s="1026" t="str">
        <f>IF(AB440="","",VLOOKUP(AB440,BoonRef!$A$2:$Z$900,23,FALSE))</f>
        <v/>
      </c>
      <c r="AC443" s="727"/>
      <c r="AD443" s="727"/>
      <c r="AE443" s="727"/>
      <c r="AF443" s="727"/>
      <c r="AG443" s="727"/>
      <c r="AH443" s="727"/>
      <c r="AI443" s="727"/>
      <c r="AJ443" s="727"/>
      <c r="AK443" s="727"/>
      <c r="AL443" s="727"/>
      <c r="AM443" s="727"/>
      <c r="AN443" s="727"/>
      <c r="AO443" s="727"/>
      <c r="AP443" s="727"/>
      <c r="AQ443" s="727"/>
      <c r="AR443" s="727"/>
      <c r="AS443" s="727"/>
      <c r="AT443" s="727"/>
      <c r="AU443" s="727"/>
      <c r="AV443" s="727"/>
      <c r="AW443" s="727"/>
      <c r="AX443" s="727"/>
      <c r="AY443" s="727"/>
      <c r="AZ443" s="728"/>
      <c r="BB443" s="635"/>
      <c r="BC443" s="636"/>
      <c r="BD443" s="636"/>
      <c r="BE443" s="636"/>
      <c r="BF443" s="636"/>
      <c r="BG443" s="636"/>
      <c r="BH443" s="1036"/>
      <c r="BI443" s="753"/>
      <c r="BJ443" s="754"/>
      <c r="BK443" s="754"/>
      <c r="BL443" s="754"/>
      <c r="BM443" s="754"/>
      <c r="BN443" s="754"/>
      <c r="BO443" s="754"/>
      <c r="BP443" s="754"/>
      <c r="BQ443" s="754"/>
      <c r="BR443" s="754"/>
      <c r="BS443" s="754"/>
      <c r="BT443" s="754"/>
      <c r="BU443" s="754"/>
      <c r="BV443" s="754"/>
      <c r="BW443" s="754"/>
      <c r="BX443" s="754"/>
      <c r="BY443" s="754"/>
      <c r="BZ443" s="755"/>
      <c r="CB443" s="635"/>
      <c r="CC443" s="636"/>
      <c r="CD443" s="636"/>
      <c r="CE443" s="636"/>
      <c r="CF443" s="636"/>
      <c r="CG443" s="636"/>
      <c r="CH443" s="1036"/>
      <c r="CI443" s="753"/>
      <c r="CJ443" s="754"/>
      <c r="CK443" s="754"/>
      <c r="CL443" s="754"/>
      <c r="CM443" s="754"/>
      <c r="CN443" s="754"/>
      <c r="CO443" s="754"/>
      <c r="CP443" s="754"/>
      <c r="CQ443" s="754"/>
      <c r="CR443" s="754"/>
      <c r="CS443" s="754"/>
      <c r="CT443" s="754"/>
      <c r="CU443" s="754"/>
      <c r="CV443" s="754"/>
      <c r="CW443" s="754"/>
      <c r="CX443" s="754"/>
      <c r="CY443" s="754"/>
      <c r="CZ443" s="755"/>
    </row>
    <row r="444" spans="1:104" ht="15.75" thickBot="1" x14ac:dyDescent="0.3">
      <c r="B444" s="1027"/>
      <c r="C444" s="865"/>
      <c r="D444" s="865"/>
      <c r="E444" s="865"/>
      <c r="F444" s="865"/>
      <c r="G444" s="865"/>
      <c r="H444" s="865"/>
      <c r="I444" s="865"/>
      <c r="J444" s="865"/>
      <c r="K444" s="865"/>
      <c r="L444" s="865"/>
      <c r="M444" s="865"/>
      <c r="N444" s="865"/>
      <c r="O444" s="865"/>
      <c r="P444" s="865"/>
      <c r="Q444" s="865"/>
      <c r="R444" s="865"/>
      <c r="S444" s="865"/>
      <c r="T444" s="865"/>
      <c r="U444" s="865"/>
      <c r="V444" s="865"/>
      <c r="W444" s="865"/>
      <c r="X444" s="865"/>
      <c r="Y444" s="865"/>
      <c r="Z444" s="921"/>
      <c r="AB444" s="1027"/>
      <c r="AC444" s="865"/>
      <c r="AD444" s="865"/>
      <c r="AE444" s="865"/>
      <c r="AF444" s="865"/>
      <c r="AG444" s="865"/>
      <c r="AH444" s="865"/>
      <c r="AI444" s="865"/>
      <c r="AJ444" s="865"/>
      <c r="AK444" s="865"/>
      <c r="AL444" s="865"/>
      <c r="AM444" s="865"/>
      <c r="AN444" s="865"/>
      <c r="AO444" s="865"/>
      <c r="AP444" s="865"/>
      <c r="AQ444" s="865"/>
      <c r="AR444" s="865"/>
      <c r="AS444" s="865"/>
      <c r="AT444" s="865"/>
      <c r="AU444" s="865"/>
      <c r="AV444" s="865"/>
      <c r="AW444" s="865"/>
      <c r="AX444" s="865"/>
      <c r="AY444" s="865"/>
      <c r="AZ444" s="921"/>
      <c r="BB444" s="644"/>
      <c r="BC444" s="645"/>
      <c r="BD444" s="645"/>
      <c r="BE444" s="645"/>
      <c r="BF444" s="645"/>
      <c r="BG444" s="645"/>
      <c r="BH444" s="1037"/>
      <c r="BI444" s="756"/>
      <c r="BJ444" s="757"/>
      <c r="BK444" s="757"/>
      <c r="BL444" s="757"/>
      <c r="BM444" s="757"/>
      <c r="BN444" s="757"/>
      <c r="BO444" s="757"/>
      <c r="BP444" s="757"/>
      <c r="BQ444" s="757"/>
      <c r="BR444" s="757"/>
      <c r="BS444" s="757"/>
      <c r="BT444" s="757"/>
      <c r="BU444" s="757"/>
      <c r="BV444" s="757"/>
      <c r="BW444" s="757"/>
      <c r="BX444" s="757"/>
      <c r="BY444" s="757"/>
      <c r="BZ444" s="758"/>
      <c r="CB444" s="644"/>
      <c r="CC444" s="645"/>
      <c r="CD444" s="645"/>
      <c r="CE444" s="645"/>
      <c r="CF444" s="645"/>
      <c r="CG444" s="645"/>
      <c r="CH444" s="1037"/>
      <c r="CI444" s="756"/>
      <c r="CJ444" s="757"/>
      <c r="CK444" s="757"/>
      <c r="CL444" s="757"/>
      <c r="CM444" s="757"/>
      <c r="CN444" s="757"/>
      <c r="CO444" s="757"/>
      <c r="CP444" s="757"/>
      <c r="CQ444" s="757"/>
      <c r="CR444" s="757"/>
      <c r="CS444" s="757"/>
      <c r="CT444" s="757"/>
      <c r="CU444" s="757"/>
      <c r="CV444" s="757"/>
      <c r="CW444" s="757"/>
      <c r="CX444" s="757"/>
      <c r="CY444" s="757"/>
      <c r="CZ444" s="758"/>
    </row>
    <row r="445" spans="1:104" x14ac:dyDescent="0.25">
      <c r="B445" s="1028" t="str">
        <f>IF(B446="","",VLOOKUP(B446,BoonRef!$A$2:$Z$900,2,FALSE))</f>
        <v/>
      </c>
      <c r="C445" s="725"/>
      <c r="D445" s="725"/>
      <c r="E445" s="725"/>
      <c r="F445" s="725"/>
      <c r="G445" s="725"/>
      <c r="H445" s="725"/>
      <c r="I445" s="725" t="str">
        <f>IF(B446="","",VLOOKUP(B446,BoonRef!$A$2:$Z$900,3,FALSE))</f>
        <v/>
      </c>
      <c r="J445" s="725"/>
      <c r="K445" s="725" t="str">
        <f>IF(B446="","",VLOOKUP(B446,DescRef!$A$2:$B$900,2,FALSE))</f>
        <v/>
      </c>
      <c r="L445" s="725"/>
      <c r="M445" s="725"/>
      <c r="N445" s="725"/>
      <c r="O445" s="725"/>
      <c r="P445" s="725"/>
      <c r="Q445" s="725"/>
      <c r="R445" s="725"/>
      <c r="S445" s="725"/>
      <c r="T445" s="725"/>
      <c r="U445" s="725"/>
      <c r="V445" s="725"/>
      <c r="W445" s="725"/>
      <c r="X445" s="725"/>
      <c r="Y445" s="725"/>
      <c r="Z445" s="726"/>
      <c r="AB445" s="1028" t="str">
        <f>IF(AB446="","",VLOOKUP(AB446,BoonRef!$A$2:$Z$900,2,FALSE))</f>
        <v/>
      </c>
      <c r="AC445" s="725"/>
      <c r="AD445" s="725"/>
      <c r="AE445" s="725"/>
      <c r="AF445" s="725"/>
      <c r="AG445" s="725"/>
      <c r="AH445" s="725"/>
      <c r="AI445" s="725" t="str">
        <f>IF(AB446="","",VLOOKUP(AB446,BoonRef!$A$2:$Z$900,3,FALSE))</f>
        <v/>
      </c>
      <c r="AJ445" s="725"/>
      <c r="AK445" s="725" t="str">
        <f>IF(AB446="","",VLOOKUP(AB446,DescRef!$A$2:$B$900,2,FALSE))</f>
        <v/>
      </c>
      <c r="AL445" s="725"/>
      <c r="AM445" s="725"/>
      <c r="AN445" s="725"/>
      <c r="AO445" s="725"/>
      <c r="AP445" s="725"/>
      <c r="AQ445" s="725"/>
      <c r="AR445" s="725"/>
      <c r="AS445" s="725"/>
      <c r="AT445" s="725"/>
      <c r="AU445" s="725"/>
      <c r="AV445" s="725"/>
      <c r="AW445" s="725"/>
      <c r="AX445" s="725"/>
      <c r="AY445" s="725"/>
      <c r="AZ445" s="726"/>
      <c r="BB445" s="1029" t="str">
        <f>IF(BB446="","",VLOOKUP(BB446,KanckRef!$A$1:$G$300,2,FALSE))</f>
        <v/>
      </c>
      <c r="BC445" s="1030"/>
      <c r="BD445" s="1030"/>
      <c r="BE445" s="1030"/>
      <c r="BF445" s="1031"/>
      <c r="BG445" s="1048" t="str">
        <f>IF(BB446="","",VLOOKUP(BB446,KanckRef!$A$1:$G$300,6,FALSE))</f>
        <v/>
      </c>
      <c r="BH445" s="1049"/>
      <c r="BI445" s="988" t="str">
        <f>IF(BB446="","",VLOOKUP(BB446,DescRef!$D$2:$E$300,2,FALSE))</f>
        <v/>
      </c>
      <c r="BJ445" s="795"/>
      <c r="BK445" s="795"/>
      <c r="BL445" s="795"/>
      <c r="BM445" s="795"/>
      <c r="BN445" s="795"/>
      <c r="BO445" s="795"/>
      <c r="BP445" s="795"/>
      <c r="BQ445" s="795"/>
      <c r="BR445" s="795"/>
      <c r="BS445" s="795"/>
      <c r="BT445" s="795"/>
      <c r="BU445" s="795"/>
      <c r="BV445" s="795"/>
      <c r="BW445" s="795"/>
      <c r="BX445" s="795"/>
      <c r="BY445" s="795"/>
      <c r="BZ445" s="796"/>
      <c r="CB445" s="1029" t="str">
        <f>IF(CB446="","",VLOOKUP(CB446,KanckRef!$A$1:$G$300,2,FALSE))</f>
        <v/>
      </c>
      <c r="CC445" s="1030"/>
      <c r="CD445" s="1030"/>
      <c r="CE445" s="1030"/>
      <c r="CF445" s="1031"/>
      <c r="CG445" s="1048" t="str">
        <f>IF(CB446="","",VLOOKUP(CB446,KanckRef!$A$1:$G$300,6,FALSE))</f>
        <v/>
      </c>
      <c r="CH445" s="1049"/>
      <c r="CI445" s="988" t="str">
        <f>IF(CB446="","",VLOOKUP(CB446,DescRef!$D$2:$E$300,2,FALSE))</f>
        <v/>
      </c>
      <c r="CJ445" s="795"/>
      <c r="CK445" s="795"/>
      <c r="CL445" s="795"/>
      <c r="CM445" s="795"/>
      <c r="CN445" s="795"/>
      <c r="CO445" s="795"/>
      <c r="CP445" s="795"/>
      <c r="CQ445" s="795"/>
      <c r="CR445" s="795"/>
      <c r="CS445" s="795"/>
      <c r="CT445" s="795"/>
      <c r="CU445" s="795"/>
      <c r="CV445" s="795"/>
      <c r="CW445" s="795"/>
      <c r="CX445" s="795"/>
      <c r="CY445" s="795"/>
      <c r="CZ445" s="796"/>
    </row>
    <row r="446" spans="1:104" ht="15" customHeight="1" x14ac:dyDescent="0.25">
      <c r="A446" s="15">
        <v>74</v>
      </c>
      <c r="B446" s="1026" t="str">
        <f>IF(A446&lt;'Purchased Boons'!$B$496,VLOOKUP(A446,'Purchased Boons'!$BF$2:$BG$900,2,FALSE),"")</f>
        <v/>
      </c>
      <c r="C446" s="727"/>
      <c r="D446" s="727"/>
      <c r="E446" s="727"/>
      <c r="F446" s="727"/>
      <c r="G446" s="727"/>
      <c r="H446" s="727"/>
      <c r="I446" s="727" t="str">
        <f>IF(B446="","",VLOOKUP(B446,BoonRef!$A$2:$Z$900,25,FALSE))</f>
        <v/>
      </c>
      <c r="J446" s="727"/>
      <c r="K446" s="727"/>
      <c r="L446" s="727"/>
      <c r="M446" s="727"/>
      <c r="N446" s="727"/>
      <c r="O446" s="727"/>
      <c r="P446" s="727"/>
      <c r="Q446" s="727"/>
      <c r="R446" s="727"/>
      <c r="S446" s="727"/>
      <c r="T446" s="727"/>
      <c r="U446" s="727"/>
      <c r="V446" s="727"/>
      <c r="W446" s="727"/>
      <c r="X446" s="727"/>
      <c r="Y446" s="727"/>
      <c r="Z446" s="728"/>
      <c r="AA446" s="15">
        <v>181</v>
      </c>
      <c r="AB446" s="1026" t="str">
        <f>IF(AA446&lt;'Purchased Boons'!$B$496,VLOOKUP(AA446,'Purchased Boons'!$BF$2:$BG$900,2,FALSE),"")</f>
        <v/>
      </c>
      <c r="AC446" s="727"/>
      <c r="AD446" s="727"/>
      <c r="AE446" s="727"/>
      <c r="AF446" s="727"/>
      <c r="AG446" s="727"/>
      <c r="AH446" s="727"/>
      <c r="AI446" s="727" t="str">
        <f>IF(AB446="","",VLOOKUP(AB446,BoonRef!$A$2:$Z$900,25,FALSE))</f>
        <v/>
      </c>
      <c r="AJ446" s="727"/>
      <c r="AK446" s="727"/>
      <c r="AL446" s="727"/>
      <c r="AM446" s="727"/>
      <c r="AN446" s="727"/>
      <c r="AO446" s="727"/>
      <c r="AP446" s="727"/>
      <c r="AQ446" s="727"/>
      <c r="AR446" s="727"/>
      <c r="AS446" s="727"/>
      <c r="AT446" s="727"/>
      <c r="AU446" s="727"/>
      <c r="AV446" s="727"/>
      <c r="AW446" s="727"/>
      <c r="AX446" s="727"/>
      <c r="AY446" s="727"/>
      <c r="AZ446" s="728"/>
      <c r="BA446" s="15">
        <v>74</v>
      </c>
      <c r="BB446" s="1038" t="str">
        <f>IF(BA446&lt;'Purchased Knacks'!A$192,VLOOKUP(BA446,'Purchased Knacks'!$A$4:$E$300,3,FALSE),"")</f>
        <v/>
      </c>
      <c r="BC446" s="1039"/>
      <c r="BD446" s="1039"/>
      <c r="BE446" s="1039"/>
      <c r="BF446" s="1040"/>
      <c r="BG446" s="1032" t="str">
        <f>IF(BB446="","",VLOOKUP(BB446,KanckRef!$A$1:$G$300,7,FALSE))</f>
        <v/>
      </c>
      <c r="BH446" s="1033"/>
      <c r="BI446" s="753"/>
      <c r="BJ446" s="754"/>
      <c r="BK446" s="754"/>
      <c r="BL446" s="754"/>
      <c r="BM446" s="754"/>
      <c r="BN446" s="754"/>
      <c r="BO446" s="754"/>
      <c r="BP446" s="754"/>
      <c r="BQ446" s="754"/>
      <c r="BR446" s="754"/>
      <c r="BS446" s="754"/>
      <c r="BT446" s="754"/>
      <c r="BU446" s="754"/>
      <c r="BV446" s="754"/>
      <c r="BW446" s="754"/>
      <c r="BX446" s="754"/>
      <c r="BY446" s="754"/>
      <c r="BZ446" s="755"/>
      <c r="CA446" s="15">
        <v>181</v>
      </c>
      <c r="CB446" s="1038" t="str">
        <f>IF(CA446&lt;'Purchased Knacks'!A$192,VLOOKUP(CA446,'Purchased Knacks'!$A$4:$E$300,3,FALSE),"")</f>
        <v/>
      </c>
      <c r="CC446" s="1039"/>
      <c r="CD446" s="1039"/>
      <c r="CE446" s="1039"/>
      <c r="CF446" s="1040"/>
      <c r="CG446" s="1032" t="str">
        <f>IF(CB446="","",VLOOKUP(CB446,KanckRef!$A$1:$G$300,7,FALSE))</f>
        <v/>
      </c>
      <c r="CH446" s="1033"/>
      <c r="CI446" s="753"/>
      <c r="CJ446" s="754"/>
      <c r="CK446" s="754"/>
      <c r="CL446" s="754"/>
      <c r="CM446" s="754"/>
      <c r="CN446" s="754"/>
      <c r="CO446" s="754"/>
      <c r="CP446" s="754"/>
      <c r="CQ446" s="754"/>
      <c r="CR446" s="754"/>
      <c r="CS446" s="754"/>
      <c r="CT446" s="754"/>
      <c r="CU446" s="754"/>
      <c r="CV446" s="754"/>
      <c r="CW446" s="754"/>
      <c r="CX446" s="754"/>
      <c r="CY446" s="754"/>
      <c r="CZ446" s="755"/>
    </row>
    <row r="447" spans="1:104" x14ac:dyDescent="0.25">
      <c r="B447" s="1026"/>
      <c r="C447" s="727"/>
      <c r="D447" s="727"/>
      <c r="E447" s="727"/>
      <c r="F447" s="727"/>
      <c r="G447" s="727"/>
      <c r="H447" s="727"/>
      <c r="I447" s="727" t="str">
        <f>IF(B446="","",VLOOKUP(B446,BoonRef!$A$2:$Z$900,26,FALSE))</f>
        <v/>
      </c>
      <c r="J447" s="727"/>
      <c r="K447" s="727"/>
      <c r="L447" s="727"/>
      <c r="M447" s="727"/>
      <c r="N447" s="727"/>
      <c r="O447" s="727"/>
      <c r="P447" s="727"/>
      <c r="Q447" s="727"/>
      <c r="R447" s="727"/>
      <c r="S447" s="727"/>
      <c r="T447" s="727"/>
      <c r="U447" s="727"/>
      <c r="V447" s="727"/>
      <c r="W447" s="727"/>
      <c r="X447" s="727"/>
      <c r="Y447" s="727"/>
      <c r="Z447" s="728"/>
      <c r="AB447" s="1026"/>
      <c r="AC447" s="727"/>
      <c r="AD447" s="727"/>
      <c r="AE447" s="727"/>
      <c r="AF447" s="727"/>
      <c r="AG447" s="727"/>
      <c r="AH447" s="727"/>
      <c r="AI447" s="727" t="str">
        <f>IF(AB446="","",VLOOKUP(AB446,BoonRef!$A$2:$Z$900,26,FALSE))</f>
        <v/>
      </c>
      <c r="AJ447" s="727"/>
      <c r="AK447" s="727"/>
      <c r="AL447" s="727"/>
      <c r="AM447" s="727"/>
      <c r="AN447" s="727"/>
      <c r="AO447" s="727"/>
      <c r="AP447" s="727"/>
      <c r="AQ447" s="727"/>
      <c r="AR447" s="727"/>
      <c r="AS447" s="727"/>
      <c r="AT447" s="727"/>
      <c r="AU447" s="727"/>
      <c r="AV447" s="727"/>
      <c r="AW447" s="727"/>
      <c r="AX447" s="727"/>
      <c r="AY447" s="727"/>
      <c r="AZ447" s="728"/>
      <c r="BB447" s="1041"/>
      <c r="BC447" s="1042"/>
      <c r="BD447" s="1042"/>
      <c r="BE447" s="1042"/>
      <c r="BF447" s="1043"/>
      <c r="BG447" s="1034"/>
      <c r="BH447" s="1035"/>
      <c r="BI447" s="753"/>
      <c r="BJ447" s="754"/>
      <c r="BK447" s="754"/>
      <c r="BL447" s="754"/>
      <c r="BM447" s="754"/>
      <c r="BN447" s="754"/>
      <c r="BO447" s="754"/>
      <c r="BP447" s="754"/>
      <c r="BQ447" s="754"/>
      <c r="BR447" s="754"/>
      <c r="BS447" s="754"/>
      <c r="BT447" s="754"/>
      <c r="BU447" s="754"/>
      <c r="BV447" s="754"/>
      <c r="BW447" s="754"/>
      <c r="BX447" s="754"/>
      <c r="BY447" s="754"/>
      <c r="BZ447" s="755"/>
      <c r="CB447" s="1041"/>
      <c r="CC447" s="1042"/>
      <c r="CD447" s="1042"/>
      <c r="CE447" s="1042"/>
      <c r="CF447" s="1043"/>
      <c r="CG447" s="1034"/>
      <c r="CH447" s="1035"/>
      <c r="CI447" s="753"/>
      <c r="CJ447" s="754"/>
      <c r="CK447" s="754"/>
      <c r="CL447" s="754"/>
      <c r="CM447" s="754"/>
      <c r="CN447" s="754"/>
      <c r="CO447" s="754"/>
      <c r="CP447" s="754"/>
      <c r="CQ447" s="754"/>
      <c r="CR447" s="754"/>
      <c r="CS447" s="754"/>
      <c r="CT447" s="754"/>
      <c r="CU447" s="754"/>
      <c r="CV447" s="754"/>
      <c r="CW447" s="754"/>
      <c r="CX447" s="754"/>
      <c r="CY447" s="754"/>
      <c r="CZ447" s="755"/>
    </row>
    <row r="448" spans="1:104" x14ac:dyDescent="0.25">
      <c r="B448" s="1026" t="str">
        <f>IF(B446="","",VLOOKUP(B446,BoonRef!$A$2:$Z$900,24,FALSE))</f>
        <v/>
      </c>
      <c r="C448" s="727"/>
      <c r="D448" s="727"/>
      <c r="E448" s="727"/>
      <c r="F448" s="727"/>
      <c r="G448" s="727"/>
      <c r="H448" s="727"/>
      <c r="I448" s="727"/>
      <c r="J448" s="727"/>
      <c r="K448" s="727"/>
      <c r="L448" s="727"/>
      <c r="M448" s="727"/>
      <c r="N448" s="727"/>
      <c r="O448" s="727"/>
      <c r="P448" s="727"/>
      <c r="Q448" s="727"/>
      <c r="R448" s="727"/>
      <c r="S448" s="727"/>
      <c r="T448" s="727"/>
      <c r="U448" s="727"/>
      <c r="V448" s="727"/>
      <c r="W448" s="727"/>
      <c r="X448" s="727"/>
      <c r="Y448" s="727"/>
      <c r="Z448" s="728"/>
      <c r="AB448" s="1026" t="str">
        <f>IF(AB446="","",VLOOKUP(AB446,BoonRef!$A$2:$Z$900,24,FALSE))</f>
        <v/>
      </c>
      <c r="AC448" s="727"/>
      <c r="AD448" s="727"/>
      <c r="AE448" s="727"/>
      <c r="AF448" s="727"/>
      <c r="AG448" s="727"/>
      <c r="AH448" s="727"/>
      <c r="AI448" s="727"/>
      <c r="AJ448" s="727"/>
      <c r="AK448" s="727"/>
      <c r="AL448" s="727"/>
      <c r="AM448" s="727"/>
      <c r="AN448" s="727"/>
      <c r="AO448" s="727"/>
      <c r="AP448" s="727"/>
      <c r="AQ448" s="727"/>
      <c r="AR448" s="727"/>
      <c r="AS448" s="727"/>
      <c r="AT448" s="727"/>
      <c r="AU448" s="727"/>
      <c r="AV448" s="727"/>
      <c r="AW448" s="727"/>
      <c r="AX448" s="727"/>
      <c r="AY448" s="727"/>
      <c r="AZ448" s="728"/>
      <c r="BB448" s="641" t="str">
        <f>IF(BB446="","",VLOOKUP(BB446,KanckRef!$A$1:$G$300,4,FALSE))</f>
        <v/>
      </c>
      <c r="BC448" s="642"/>
      <c r="BD448" s="642"/>
      <c r="BE448" s="642"/>
      <c r="BF448" s="642"/>
      <c r="BG448" s="642"/>
      <c r="BH448" s="1033"/>
      <c r="BI448" s="753"/>
      <c r="BJ448" s="754"/>
      <c r="BK448" s="754"/>
      <c r="BL448" s="754"/>
      <c r="BM448" s="754"/>
      <c r="BN448" s="754"/>
      <c r="BO448" s="754"/>
      <c r="BP448" s="754"/>
      <c r="BQ448" s="754"/>
      <c r="BR448" s="754"/>
      <c r="BS448" s="754"/>
      <c r="BT448" s="754"/>
      <c r="BU448" s="754"/>
      <c r="BV448" s="754"/>
      <c r="BW448" s="754"/>
      <c r="BX448" s="754"/>
      <c r="BY448" s="754"/>
      <c r="BZ448" s="755"/>
      <c r="CB448" s="641" t="str">
        <f>IF(CB446="","",VLOOKUP(CB446,KanckRef!$A$1:$G$300,4,FALSE))</f>
        <v/>
      </c>
      <c r="CC448" s="642"/>
      <c r="CD448" s="642"/>
      <c r="CE448" s="642"/>
      <c r="CF448" s="642"/>
      <c r="CG448" s="642"/>
      <c r="CH448" s="1033"/>
      <c r="CI448" s="753"/>
      <c r="CJ448" s="754"/>
      <c r="CK448" s="754"/>
      <c r="CL448" s="754"/>
      <c r="CM448" s="754"/>
      <c r="CN448" s="754"/>
      <c r="CO448" s="754"/>
      <c r="CP448" s="754"/>
      <c r="CQ448" s="754"/>
      <c r="CR448" s="754"/>
      <c r="CS448" s="754"/>
      <c r="CT448" s="754"/>
      <c r="CU448" s="754"/>
      <c r="CV448" s="754"/>
      <c r="CW448" s="754"/>
      <c r="CX448" s="754"/>
      <c r="CY448" s="754"/>
      <c r="CZ448" s="755"/>
    </row>
    <row r="449" spans="1:104" x14ac:dyDescent="0.25">
      <c r="B449" s="1026" t="str">
        <f>IF(B446="","",VLOOKUP(B446,BoonRef!$A$2:$Z$900,23,FALSE))</f>
        <v/>
      </c>
      <c r="C449" s="727"/>
      <c r="D449" s="727"/>
      <c r="E449" s="727"/>
      <c r="F449" s="727"/>
      <c r="G449" s="727"/>
      <c r="H449" s="727"/>
      <c r="I449" s="727"/>
      <c r="J449" s="727"/>
      <c r="K449" s="727"/>
      <c r="L449" s="727"/>
      <c r="M449" s="727"/>
      <c r="N449" s="727"/>
      <c r="O449" s="727"/>
      <c r="P449" s="727"/>
      <c r="Q449" s="727"/>
      <c r="R449" s="727"/>
      <c r="S449" s="727"/>
      <c r="T449" s="727"/>
      <c r="U449" s="727"/>
      <c r="V449" s="727"/>
      <c r="W449" s="727"/>
      <c r="X449" s="727"/>
      <c r="Y449" s="727"/>
      <c r="Z449" s="728"/>
      <c r="AB449" s="1026" t="str">
        <f>IF(AB446="","",VLOOKUP(AB446,BoonRef!$A$2:$Z$900,23,FALSE))</f>
        <v/>
      </c>
      <c r="AC449" s="727"/>
      <c r="AD449" s="727"/>
      <c r="AE449" s="727"/>
      <c r="AF449" s="727"/>
      <c r="AG449" s="727"/>
      <c r="AH449" s="727"/>
      <c r="AI449" s="727"/>
      <c r="AJ449" s="727"/>
      <c r="AK449" s="727"/>
      <c r="AL449" s="727"/>
      <c r="AM449" s="727"/>
      <c r="AN449" s="727"/>
      <c r="AO449" s="727"/>
      <c r="AP449" s="727"/>
      <c r="AQ449" s="727"/>
      <c r="AR449" s="727"/>
      <c r="AS449" s="727"/>
      <c r="AT449" s="727"/>
      <c r="AU449" s="727"/>
      <c r="AV449" s="727"/>
      <c r="AW449" s="727"/>
      <c r="AX449" s="727"/>
      <c r="AY449" s="727"/>
      <c r="AZ449" s="728"/>
      <c r="BB449" s="635"/>
      <c r="BC449" s="636"/>
      <c r="BD449" s="636"/>
      <c r="BE449" s="636"/>
      <c r="BF449" s="636"/>
      <c r="BG449" s="636"/>
      <c r="BH449" s="1036"/>
      <c r="BI449" s="753"/>
      <c r="BJ449" s="754"/>
      <c r="BK449" s="754"/>
      <c r="BL449" s="754"/>
      <c r="BM449" s="754"/>
      <c r="BN449" s="754"/>
      <c r="BO449" s="754"/>
      <c r="BP449" s="754"/>
      <c r="BQ449" s="754"/>
      <c r="BR449" s="754"/>
      <c r="BS449" s="754"/>
      <c r="BT449" s="754"/>
      <c r="BU449" s="754"/>
      <c r="BV449" s="754"/>
      <c r="BW449" s="754"/>
      <c r="BX449" s="754"/>
      <c r="BY449" s="754"/>
      <c r="BZ449" s="755"/>
      <c r="CB449" s="635"/>
      <c r="CC449" s="636"/>
      <c r="CD449" s="636"/>
      <c r="CE449" s="636"/>
      <c r="CF449" s="636"/>
      <c r="CG449" s="636"/>
      <c r="CH449" s="1036"/>
      <c r="CI449" s="753"/>
      <c r="CJ449" s="754"/>
      <c r="CK449" s="754"/>
      <c r="CL449" s="754"/>
      <c r="CM449" s="754"/>
      <c r="CN449" s="754"/>
      <c r="CO449" s="754"/>
      <c r="CP449" s="754"/>
      <c r="CQ449" s="754"/>
      <c r="CR449" s="754"/>
      <c r="CS449" s="754"/>
      <c r="CT449" s="754"/>
      <c r="CU449" s="754"/>
      <c r="CV449" s="754"/>
      <c r="CW449" s="754"/>
      <c r="CX449" s="754"/>
      <c r="CY449" s="754"/>
      <c r="CZ449" s="755"/>
    </row>
    <row r="450" spans="1:104" ht="15.75" thickBot="1" x14ac:dyDescent="0.3">
      <c r="B450" s="1027"/>
      <c r="C450" s="865"/>
      <c r="D450" s="865"/>
      <c r="E450" s="865"/>
      <c r="F450" s="865"/>
      <c r="G450" s="865"/>
      <c r="H450" s="865"/>
      <c r="I450" s="865"/>
      <c r="J450" s="865"/>
      <c r="K450" s="865"/>
      <c r="L450" s="865"/>
      <c r="M450" s="865"/>
      <c r="N450" s="865"/>
      <c r="O450" s="865"/>
      <c r="P450" s="865"/>
      <c r="Q450" s="865"/>
      <c r="R450" s="865"/>
      <c r="S450" s="865"/>
      <c r="T450" s="865"/>
      <c r="U450" s="865"/>
      <c r="V450" s="865"/>
      <c r="W450" s="865"/>
      <c r="X450" s="865"/>
      <c r="Y450" s="865"/>
      <c r="Z450" s="921"/>
      <c r="AB450" s="1027"/>
      <c r="AC450" s="865"/>
      <c r="AD450" s="865"/>
      <c r="AE450" s="865"/>
      <c r="AF450" s="865"/>
      <c r="AG450" s="865"/>
      <c r="AH450" s="865"/>
      <c r="AI450" s="865"/>
      <c r="AJ450" s="865"/>
      <c r="AK450" s="865"/>
      <c r="AL450" s="865"/>
      <c r="AM450" s="865"/>
      <c r="AN450" s="865"/>
      <c r="AO450" s="865"/>
      <c r="AP450" s="865"/>
      <c r="AQ450" s="865"/>
      <c r="AR450" s="865"/>
      <c r="AS450" s="865"/>
      <c r="AT450" s="865"/>
      <c r="AU450" s="865"/>
      <c r="AV450" s="865"/>
      <c r="AW450" s="865"/>
      <c r="AX450" s="865"/>
      <c r="AY450" s="865"/>
      <c r="AZ450" s="921"/>
      <c r="BB450" s="644"/>
      <c r="BC450" s="645"/>
      <c r="BD450" s="645"/>
      <c r="BE450" s="645"/>
      <c r="BF450" s="645"/>
      <c r="BG450" s="645"/>
      <c r="BH450" s="1037"/>
      <c r="BI450" s="756"/>
      <c r="BJ450" s="757"/>
      <c r="BK450" s="757"/>
      <c r="BL450" s="757"/>
      <c r="BM450" s="757"/>
      <c r="BN450" s="757"/>
      <c r="BO450" s="757"/>
      <c r="BP450" s="757"/>
      <c r="BQ450" s="757"/>
      <c r="BR450" s="757"/>
      <c r="BS450" s="757"/>
      <c r="BT450" s="757"/>
      <c r="BU450" s="757"/>
      <c r="BV450" s="757"/>
      <c r="BW450" s="757"/>
      <c r="BX450" s="757"/>
      <c r="BY450" s="757"/>
      <c r="BZ450" s="758"/>
      <c r="CB450" s="644"/>
      <c r="CC450" s="645"/>
      <c r="CD450" s="645"/>
      <c r="CE450" s="645"/>
      <c r="CF450" s="645"/>
      <c r="CG450" s="645"/>
      <c r="CH450" s="1037"/>
      <c r="CI450" s="756"/>
      <c r="CJ450" s="757"/>
      <c r="CK450" s="757"/>
      <c r="CL450" s="757"/>
      <c r="CM450" s="757"/>
      <c r="CN450" s="757"/>
      <c r="CO450" s="757"/>
      <c r="CP450" s="757"/>
      <c r="CQ450" s="757"/>
      <c r="CR450" s="757"/>
      <c r="CS450" s="757"/>
      <c r="CT450" s="757"/>
      <c r="CU450" s="757"/>
      <c r="CV450" s="757"/>
      <c r="CW450" s="757"/>
      <c r="CX450" s="757"/>
      <c r="CY450" s="757"/>
      <c r="CZ450" s="758"/>
    </row>
    <row r="451" spans="1:104" x14ac:dyDescent="0.25">
      <c r="B451" s="1028" t="str">
        <f>IF(B452="","",VLOOKUP(B452,BoonRef!$A$2:$Z$900,2,FALSE))</f>
        <v/>
      </c>
      <c r="C451" s="725"/>
      <c r="D451" s="725"/>
      <c r="E451" s="725"/>
      <c r="F451" s="725"/>
      <c r="G451" s="725"/>
      <c r="H451" s="725"/>
      <c r="I451" s="725" t="str">
        <f>IF(B452="","",VLOOKUP(B452,BoonRef!$A$2:$Z$900,3,FALSE))</f>
        <v/>
      </c>
      <c r="J451" s="725"/>
      <c r="K451" s="725" t="str">
        <f>IF(B452="","",VLOOKUP(B452,DescRef!$A$2:$B$900,2,FALSE))</f>
        <v/>
      </c>
      <c r="L451" s="725"/>
      <c r="M451" s="725"/>
      <c r="N451" s="725"/>
      <c r="O451" s="725"/>
      <c r="P451" s="725"/>
      <c r="Q451" s="725"/>
      <c r="R451" s="725"/>
      <c r="S451" s="725"/>
      <c r="T451" s="725"/>
      <c r="U451" s="725"/>
      <c r="V451" s="725"/>
      <c r="W451" s="725"/>
      <c r="X451" s="725"/>
      <c r="Y451" s="725"/>
      <c r="Z451" s="726"/>
      <c r="AB451" s="1028" t="str">
        <f>IF(AB452="","",VLOOKUP(AB452,BoonRef!$A$2:$Z$900,2,FALSE))</f>
        <v/>
      </c>
      <c r="AC451" s="725"/>
      <c r="AD451" s="725"/>
      <c r="AE451" s="725"/>
      <c r="AF451" s="725"/>
      <c r="AG451" s="725"/>
      <c r="AH451" s="725"/>
      <c r="AI451" s="725" t="str">
        <f>IF(AB452="","",VLOOKUP(AB452,BoonRef!$A$2:$Z$900,3,FALSE))</f>
        <v/>
      </c>
      <c r="AJ451" s="725"/>
      <c r="AK451" s="725" t="str">
        <f>IF(AB452="","",VLOOKUP(AB452,DescRef!$A$2:$B$900,2,FALSE))</f>
        <v/>
      </c>
      <c r="AL451" s="725"/>
      <c r="AM451" s="725"/>
      <c r="AN451" s="725"/>
      <c r="AO451" s="725"/>
      <c r="AP451" s="725"/>
      <c r="AQ451" s="725"/>
      <c r="AR451" s="725"/>
      <c r="AS451" s="725"/>
      <c r="AT451" s="725"/>
      <c r="AU451" s="725"/>
      <c r="AV451" s="725"/>
      <c r="AW451" s="725"/>
      <c r="AX451" s="725"/>
      <c r="AY451" s="725"/>
      <c r="AZ451" s="726"/>
      <c r="BB451" s="1029" t="str">
        <f>IF(BB452="","",VLOOKUP(BB452,KanckRef!$A$1:$G$300,2,FALSE))</f>
        <v/>
      </c>
      <c r="BC451" s="1030"/>
      <c r="BD451" s="1030"/>
      <c r="BE451" s="1030"/>
      <c r="BF451" s="1031"/>
      <c r="BG451" s="1048" t="str">
        <f>IF(BB452="","",VLOOKUP(BB452,KanckRef!$A$1:$G$300,6,FALSE))</f>
        <v/>
      </c>
      <c r="BH451" s="1049"/>
      <c r="BI451" s="988" t="str">
        <f>IF(BB452="","",VLOOKUP(BB452,DescRef!$D$2:$E$300,2,FALSE))</f>
        <v/>
      </c>
      <c r="BJ451" s="795"/>
      <c r="BK451" s="795"/>
      <c r="BL451" s="795"/>
      <c r="BM451" s="795"/>
      <c r="BN451" s="795"/>
      <c r="BO451" s="795"/>
      <c r="BP451" s="795"/>
      <c r="BQ451" s="795"/>
      <c r="BR451" s="795"/>
      <c r="BS451" s="795"/>
      <c r="BT451" s="795"/>
      <c r="BU451" s="795"/>
      <c r="BV451" s="795"/>
      <c r="BW451" s="795"/>
      <c r="BX451" s="795"/>
      <c r="BY451" s="795"/>
      <c r="BZ451" s="796"/>
      <c r="CB451" s="1029" t="str">
        <f>IF(CB452="","",VLOOKUP(CB452,KanckRef!$A$1:$G$300,2,FALSE))</f>
        <v/>
      </c>
      <c r="CC451" s="1030"/>
      <c r="CD451" s="1030"/>
      <c r="CE451" s="1030"/>
      <c r="CF451" s="1031"/>
      <c r="CG451" s="1048" t="str">
        <f>IF(CB452="","",VLOOKUP(CB452,KanckRef!$A$1:$G$300,6,FALSE))</f>
        <v/>
      </c>
      <c r="CH451" s="1049"/>
      <c r="CI451" s="988" t="str">
        <f>IF(CB452="","",VLOOKUP(CB452,DescRef!$D$2:$E$300,2,FALSE))</f>
        <v/>
      </c>
      <c r="CJ451" s="795"/>
      <c r="CK451" s="795"/>
      <c r="CL451" s="795"/>
      <c r="CM451" s="795"/>
      <c r="CN451" s="795"/>
      <c r="CO451" s="795"/>
      <c r="CP451" s="795"/>
      <c r="CQ451" s="795"/>
      <c r="CR451" s="795"/>
      <c r="CS451" s="795"/>
      <c r="CT451" s="795"/>
      <c r="CU451" s="795"/>
      <c r="CV451" s="795"/>
      <c r="CW451" s="795"/>
      <c r="CX451" s="795"/>
      <c r="CY451" s="795"/>
      <c r="CZ451" s="796"/>
    </row>
    <row r="452" spans="1:104" ht="15" customHeight="1" x14ac:dyDescent="0.25">
      <c r="A452" s="15">
        <v>75</v>
      </c>
      <c r="B452" s="1026" t="str">
        <f>IF(A452&lt;'Purchased Boons'!$B$496,VLOOKUP(A452,'Purchased Boons'!$BF$2:$BG$900,2,FALSE),"")</f>
        <v/>
      </c>
      <c r="C452" s="727"/>
      <c r="D452" s="727"/>
      <c r="E452" s="727"/>
      <c r="F452" s="727"/>
      <c r="G452" s="727"/>
      <c r="H452" s="727"/>
      <c r="I452" s="727" t="str">
        <f>IF(B452="","",VLOOKUP(B452,BoonRef!$A$2:$Z$900,25,FALSE))</f>
        <v/>
      </c>
      <c r="J452" s="727"/>
      <c r="K452" s="727"/>
      <c r="L452" s="727"/>
      <c r="M452" s="727"/>
      <c r="N452" s="727"/>
      <c r="O452" s="727"/>
      <c r="P452" s="727"/>
      <c r="Q452" s="727"/>
      <c r="R452" s="727"/>
      <c r="S452" s="727"/>
      <c r="T452" s="727"/>
      <c r="U452" s="727"/>
      <c r="V452" s="727"/>
      <c r="W452" s="727"/>
      <c r="X452" s="727"/>
      <c r="Y452" s="727"/>
      <c r="Z452" s="728"/>
      <c r="AA452" s="15">
        <v>182</v>
      </c>
      <c r="AB452" s="1026" t="str">
        <f>IF(AA452&lt;'Purchased Boons'!$B$496,VLOOKUP(AA452,'Purchased Boons'!$BF$2:$BG$900,2,FALSE),"")</f>
        <v/>
      </c>
      <c r="AC452" s="727"/>
      <c r="AD452" s="727"/>
      <c r="AE452" s="727"/>
      <c r="AF452" s="727"/>
      <c r="AG452" s="727"/>
      <c r="AH452" s="727"/>
      <c r="AI452" s="727" t="str">
        <f>IF(AB452="","",VLOOKUP(AB452,BoonRef!$A$2:$Z$900,25,FALSE))</f>
        <v/>
      </c>
      <c r="AJ452" s="727"/>
      <c r="AK452" s="727"/>
      <c r="AL452" s="727"/>
      <c r="AM452" s="727"/>
      <c r="AN452" s="727"/>
      <c r="AO452" s="727"/>
      <c r="AP452" s="727"/>
      <c r="AQ452" s="727"/>
      <c r="AR452" s="727"/>
      <c r="AS452" s="727"/>
      <c r="AT452" s="727"/>
      <c r="AU452" s="727"/>
      <c r="AV452" s="727"/>
      <c r="AW452" s="727"/>
      <c r="AX452" s="727"/>
      <c r="AY452" s="727"/>
      <c r="AZ452" s="728"/>
      <c r="BA452" s="15">
        <v>75</v>
      </c>
      <c r="BB452" s="1038" t="str">
        <f>IF(BA452&lt;'Purchased Knacks'!A$192,VLOOKUP(BA452,'Purchased Knacks'!$A$4:$E$300,3,FALSE),"")</f>
        <v/>
      </c>
      <c r="BC452" s="1039"/>
      <c r="BD452" s="1039"/>
      <c r="BE452" s="1039"/>
      <c r="BF452" s="1040"/>
      <c r="BG452" s="1032" t="str">
        <f>IF(BB452="","",VLOOKUP(BB452,KanckRef!$A$1:$G$300,7,FALSE))</f>
        <v/>
      </c>
      <c r="BH452" s="1033"/>
      <c r="BI452" s="753"/>
      <c r="BJ452" s="754"/>
      <c r="BK452" s="754"/>
      <c r="BL452" s="754"/>
      <c r="BM452" s="754"/>
      <c r="BN452" s="754"/>
      <c r="BO452" s="754"/>
      <c r="BP452" s="754"/>
      <c r="BQ452" s="754"/>
      <c r="BR452" s="754"/>
      <c r="BS452" s="754"/>
      <c r="BT452" s="754"/>
      <c r="BU452" s="754"/>
      <c r="BV452" s="754"/>
      <c r="BW452" s="754"/>
      <c r="BX452" s="754"/>
      <c r="BY452" s="754"/>
      <c r="BZ452" s="755"/>
      <c r="CA452" s="15">
        <v>182</v>
      </c>
      <c r="CB452" s="1038" t="str">
        <f>IF(CA452&lt;'Purchased Knacks'!A$192,VLOOKUP(CA452,'Purchased Knacks'!$A$4:$E$300,3,FALSE),"")</f>
        <v/>
      </c>
      <c r="CC452" s="1039"/>
      <c r="CD452" s="1039"/>
      <c r="CE452" s="1039"/>
      <c r="CF452" s="1040"/>
      <c r="CG452" s="1032" t="str">
        <f>IF(CB452="","",VLOOKUP(CB452,KanckRef!$A$1:$G$300,7,FALSE))</f>
        <v/>
      </c>
      <c r="CH452" s="1033"/>
      <c r="CI452" s="753"/>
      <c r="CJ452" s="754"/>
      <c r="CK452" s="754"/>
      <c r="CL452" s="754"/>
      <c r="CM452" s="754"/>
      <c r="CN452" s="754"/>
      <c r="CO452" s="754"/>
      <c r="CP452" s="754"/>
      <c r="CQ452" s="754"/>
      <c r="CR452" s="754"/>
      <c r="CS452" s="754"/>
      <c r="CT452" s="754"/>
      <c r="CU452" s="754"/>
      <c r="CV452" s="754"/>
      <c r="CW452" s="754"/>
      <c r="CX452" s="754"/>
      <c r="CY452" s="754"/>
      <c r="CZ452" s="755"/>
    </row>
    <row r="453" spans="1:104" x14ac:dyDescent="0.25">
      <c r="B453" s="1026"/>
      <c r="C453" s="727"/>
      <c r="D453" s="727"/>
      <c r="E453" s="727"/>
      <c r="F453" s="727"/>
      <c r="G453" s="727"/>
      <c r="H453" s="727"/>
      <c r="I453" s="727" t="str">
        <f>IF(B452="","",VLOOKUP(B452,BoonRef!$A$2:$Z$900,26,FALSE))</f>
        <v/>
      </c>
      <c r="J453" s="727"/>
      <c r="K453" s="727"/>
      <c r="L453" s="727"/>
      <c r="M453" s="727"/>
      <c r="N453" s="727"/>
      <c r="O453" s="727"/>
      <c r="P453" s="727"/>
      <c r="Q453" s="727"/>
      <c r="R453" s="727"/>
      <c r="S453" s="727"/>
      <c r="T453" s="727"/>
      <c r="U453" s="727"/>
      <c r="V453" s="727"/>
      <c r="W453" s="727"/>
      <c r="X453" s="727"/>
      <c r="Y453" s="727"/>
      <c r="Z453" s="728"/>
      <c r="AB453" s="1026"/>
      <c r="AC453" s="727"/>
      <c r="AD453" s="727"/>
      <c r="AE453" s="727"/>
      <c r="AF453" s="727"/>
      <c r="AG453" s="727"/>
      <c r="AH453" s="727"/>
      <c r="AI453" s="727" t="str">
        <f>IF(AB452="","",VLOOKUP(AB452,BoonRef!$A$2:$Z$900,26,FALSE))</f>
        <v/>
      </c>
      <c r="AJ453" s="727"/>
      <c r="AK453" s="727"/>
      <c r="AL453" s="727"/>
      <c r="AM453" s="727"/>
      <c r="AN453" s="727"/>
      <c r="AO453" s="727"/>
      <c r="AP453" s="727"/>
      <c r="AQ453" s="727"/>
      <c r="AR453" s="727"/>
      <c r="AS453" s="727"/>
      <c r="AT453" s="727"/>
      <c r="AU453" s="727"/>
      <c r="AV453" s="727"/>
      <c r="AW453" s="727"/>
      <c r="AX453" s="727"/>
      <c r="AY453" s="727"/>
      <c r="AZ453" s="728"/>
      <c r="BB453" s="1041"/>
      <c r="BC453" s="1042"/>
      <c r="BD453" s="1042"/>
      <c r="BE453" s="1042"/>
      <c r="BF453" s="1043"/>
      <c r="BG453" s="1034"/>
      <c r="BH453" s="1035"/>
      <c r="BI453" s="753"/>
      <c r="BJ453" s="754"/>
      <c r="BK453" s="754"/>
      <c r="BL453" s="754"/>
      <c r="BM453" s="754"/>
      <c r="BN453" s="754"/>
      <c r="BO453" s="754"/>
      <c r="BP453" s="754"/>
      <c r="BQ453" s="754"/>
      <c r="BR453" s="754"/>
      <c r="BS453" s="754"/>
      <c r="BT453" s="754"/>
      <c r="BU453" s="754"/>
      <c r="BV453" s="754"/>
      <c r="BW453" s="754"/>
      <c r="BX453" s="754"/>
      <c r="BY453" s="754"/>
      <c r="BZ453" s="755"/>
      <c r="CB453" s="1041"/>
      <c r="CC453" s="1042"/>
      <c r="CD453" s="1042"/>
      <c r="CE453" s="1042"/>
      <c r="CF453" s="1043"/>
      <c r="CG453" s="1034"/>
      <c r="CH453" s="1035"/>
      <c r="CI453" s="753"/>
      <c r="CJ453" s="754"/>
      <c r="CK453" s="754"/>
      <c r="CL453" s="754"/>
      <c r="CM453" s="754"/>
      <c r="CN453" s="754"/>
      <c r="CO453" s="754"/>
      <c r="CP453" s="754"/>
      <c r="CQ453" s="754"/>
      <c r="CR453" s="754"/>
      <c r="CS453" s="754"/>
      <c r="CT453" s="754"/>
      <c r="CU453" s="754"/>
      <c r="CV453" s="754"/>
      <c r="CW453" s="754"/>
      <c r="CX453" s="754"/>
      <c r="CY453" s="754"/>
      <c r="CZ453" s="755"/>
    </row>
    <row r="454" spans="1:104" x14ac:dyDescent="0.25">
      <c r="B454" s="1026" t="str">
        <f>IF(B452="","",VLOOKUP(B452,BoonRef!$A$2:$Z$900,24,FALSE))</f>
        <v/>
      </c>
      <c r="C454" s="727"/>
      <c r="D454" s="727"/>
      <c r="E454" s="727"/>
      <c r="F454" s="727"/>
      <c r="G454" s="727"/>
      <c r="H454" s="727"/>
      <c r="I454" s="727"/>
      <c r="J454" s="727"/>
      <c r="K454" s="727"/>
      <c r="L454" s="727"/>
      <c r="M454" s="727"/>
      <c r="N454" s="727"/>
      <c r="O454" s="727"/>
      <c r="P454" s="727"/>
      <c r="Q454" s="727"/>
      <c r="R454" s="727"/>
      <c r="S454" s="727"/>
      <c r="T454" s="727"/>
      <c r="U454" s="727"/>
      <c r="V454" s="727"/>
      <c r="W454" s="727"/>
      <c r="X454" s="727"/>
      <c r="Y454" s="727"/>
      <c r="Z454" s="728"/>
      <c r="AB454" s="1026" t="str">
        <f>IF(AB452="","",VLOOKUP(AB452,BoonRef!$A$2:$Z$900,24,FALSE))</f>
        <v/>
      </c>
      <c r="AC454" s="727"/>
      <c r="AD454" s="727"/>
      <c r="AE454" s="727"/>
      <c r="AF454" s="727"/>
      <c r="AG454" s="727"/>
      <c r="AH454" s="727"/>
      <c r="AI454" s="727"/>
      <c r="AJ454" s="727"/>
      <c r="AK454" s="727"/>
      <c r="AL454" s="727"/>
      <c r="AM454" s="727"/>
      <c r="AN454" s="727"/>
      <c r="AO454" s="727"/>
      <c r="AP454" s="727"/>
      <c r="AQ454" s="727"/>
      <c r="AR454" s="727"/>
      <c r="AS454" s="727"/>
      <c r="AT454" s="727"/>
      <c r="AU454" s="727"/>
      <c r="AV454" s="727"/>
      <c r="AW454" s="727"/>
      <c r="AX454" s="727"/>
      <c r="AY454" s="727"/>
      <c r="AZ454" s="728"/>
      <c r="BB454" s="641" t="str">
        <f>IF(BB452="","",VLOOKUP(BB452,KanckRef!$A$1:$G$300,4,FALSE))</f>
        <v/>
      </c>
      <c r="BC454" s="642"/>
      <c r="BD454" s="642"/>
      <c r="BE454" s="642"/>
      <c r="BF454" s="642"/>
      <c r="BG454" s="642"/>
      <c r="BH454" s="1033"/>
      <c r="BI454" s="753"/>
      <c r="BJ454" s="754"/>
      <c r="BK454" s="754"/>
      <c r="BL454" s="754"/>
      <c r="BM454" s="754"/>
      <c r="BN454" s="754"/>
      <c r="BO454" s="754"/>
      <c r="BP454" s="754"/>
      <c r="BQ454" s="754"/>
      <c r="BR454" s="754"/>
      <c r="BS454" s="754"/>
      <c r="BT454" s="754"/>
      <c r="BU454" s="754"/>
      <c r="BV454" s="754"/>
      <c r="BW454" s="754"/>
      <c r="BX454" s="754"/>
      <c r="BY454" s="754"/>
      <c r="BZ454" s="755"/>
      <c r="CB454" s="641" t="str">
        <f>IF(CB452="","",VLOOKUP(CB452,KanckRef!$A$1:$G$300,4,FALSE))</f>
        <v/>
      </c>
      <c r="CC454" s="642"/>
      <c r="CD454" s="642"/>
      <c r="CE454" s="642"/>
      <c r="CF454" s="642"/>
      <c r="CG454" s="642"/>
      <c r="CH454" s="1033"/>
      <c r="CI454" s="753"/>
      <c r="CJ454" s="754"/>
      <c r="CK454" s="754"/>
      <c r="CL454" s="754"/>
      <c r="CM454" s="754"/>
      <c r="CN454" s="754"/>
      <c r="CO454" s="754"/>
      <c r="CP454" s="754"/>
      <c r="CQ454" s="754"/>
      <c r="CR454" s="754"/>
      <c r="CS454" s="754"/>
      <c r="CT454" s="754"/>
      <c r="CU454" s="754"/>
      <c r="CV454" s="754"/>
      <c r="CW454" s="754"/>
      <c r="CX454" s="754"/>
      <c r="CY454" s="754"/>
      <c r="CZ454" s="755"/>
    </row>
    <row r="455" spans="1:104" x14ac:dyDescent="0.25">
      <c r="B455" s="1026" t="str">
        <f>IF(B452="","",VLOOKUP(B452,BoonRef!$A$2:$Z$900,23,FALSE))</f>
        <v/>
      </c>
      <c r="C455" s="727"/>
      <c r="D455" s="727"/>
      <c r="E455" s="727"/>
      <c r="F455" s="727"/>
      <c r="G455" s="727"/>
      <c r="H455" s="727"/>
      <c r="I455" s="727"/>
      <c r="J455" s="727"/>
      <c r="K455" s="727"/>
      <c r="L455" s="727"/>
      <c r="M455" s="727"/>
      <c r="N455" s="727"/>
      <c r="O455" s="727"/>
      <c r="P455" s="727"/>
      <c r="Q455" s="727"/>
      <c r="R455" s="727"/>
      <c r="S455" s="727"/>
      <c r="T455" s="727"/>
      <c r="U455" s="727"/>
      <c r="V455" s="727"/>
      <c r="W455" s="727"/>
      <c r="X455" s="727"/>
      <c r="Y455" s="727"/>
      <c r="Z455" s="728"/>
      <c r="AB455" s="1026" t="str">
        <f>IF(AB452="","",VLOOKUP(AB452,BoonRef!$A$2:$Z$900,23,FALSE))</f>
        <v/>
      </c>
      <c r="AC455" s="727"/>
      <c r="AD455" s="727"/>
      <c r="AE455" s="727"/>
      <c r="AF455" s="727"/>
      <c r="AG455" s="727"/>
      <c r="AH455" s="727"/>
      <c r="AI455" s="727"/>
      <c r="AJ455" s="727"/>
      <c r="AK455" s="727"/>
      <c r="AL455" s="727"/>
      <c r="AM455" s="727"/>
      <c r="AN455" s="727"/>
      <c r="AO455" s="727"/>
      <c r="AP455" s="727"/>
      <c r="AQ455" s="727"/>
      <c r="AR455" s="727"/>
      <c r="AS455" s="727"/>
      <c r="AT455" s="727"/>
      <c r="AU455" s="727"/>
      <c r="AV455" s="727"/>
      <c r="AW455" s="727"/>
      <c r="AX455" s="727"/>
      <c r="AY455" s="727"/>
      <c r="AZ455" s="728"/>
      <c r="BB455" s="635"/>
      <c r="BC455" s="636"/>
      <c r="BD455" s="636"/>
      <c r="BE455" s="636"/>
      <c r="BF455" s="636"/>
      <c r="BG455" s="636"/>
      <c r="BH455" s="1036"/>
      <c r="BI455" s="753"/>
      <c r="BJ455" s="754"/>
      <c r="BK455" s="754"/>
      <c r="BL455" s="754"/>
      <c r="BM455" s="754"/>
      <c r="BN455" s="754"/>
      <c r="BO455" s="754"/>
      <c r="BP455" s="754"/>
      <c r="BQ455" s="754"/>
      <c r="BR455" s="754"/>
      <c r="BS455" s="754"/>
      <c r="BT455" s="754"/>
      <c r="BU455" s="754"/>
      <c r="BV455" s="754"/>
      <c r="BW455" s="754"/>
      <c r="BX455" s="754"/>
      <c r="BY455" s="754"/>
      <c r="BZ455" s="755"/>
      <c r="CB455" s="635"/>
      <c r="CC455" s="636"/>
      <c r="CD455" s="636"/>
      <c r="CE455" s="636"/>
      <c r="CF455" s="636"/>
      <c r="CG455" s="636"/>
      <c r="CH455" s="1036"/>
      <c r="CI455" s="753"/>
      <c r="CJ455" s="754"/>
      <c r="CK455" s="754"/>
      <c r="CL455" s="754"/>
      <c r="CM455" s="754"/>
      <c r="CN455" s="754"/>
      <c r="CO455" s="754"/>
      <c r="CP455" s="754"/>
      <c r="CQ455" s="754"/>
      <c r="CR455" s="754"/>
      <c r="CS455" s="754"/>
      <c r="CT455" s="754"/>
      <c r="CU455" s="754"/>
      <c r="CV455" s="754"/>
      <c r="CW455" s="754"/>
      <c r="CX455" s="754"/>
      <c r="CY455" s="754"/>
      <c r="CZ455" s="755"/>
    </row>
    <row r="456" spans="1:104" ht="15.75" thickBot="1" x14ac:dyDescent="0.3">
      <c r="B456" s="1027"/>
      <c r="C456" s="865"/>
      <c r="D456" s="865"/>
      <c r="E456" s="865"/>
      <c r="F456" s="865"/>
      <c r="G456" s="865"/>
      <c r="H456" s="865"/>
      <c r="I456" s="865"/>
      <c r="J456" s="865"/>
      <c r="K456" s="865"/>
      <c r="L456" s="865"/>
      <c r="M456" s="865"/>
      <c r="N456" s="865"/>
      <c r="O456" s="865"/>
      <c r="P456" s="865"/>
      <c r="Q456" s="865"/>
      <c r="R456" s="865"/>
      <c r="S456" s="865"/>
      <c r="T456" s="865"/>
      <c r="U456" s="865"/>
      <c r="V456" s="865"/>
      <c r="W456" s="865"/>
      <c r="X456" s="865"/>
      <c r="Y456" s="865"/>
      <c r="Z456" s="921"/>
      <c r="AB456" s="1027"/>
      <c r="AC456" s="865"/>
      <c r="AD456" s="865"/>
      <c r="AE456" s="865"/>
      <c r="AF456" s="865"/>
      <c r="AG456" s="865"/>
      <c r="AH456" s="865"/>
      <c r="AI456" s="865"/>
      <c r="AJ456" s="865"/>
      <c r="AK456" s="865"/>
      <c r="AL456" s="865"/>
      <c r="AM456" s="865"/>
      <c r="AN456" s="865"/>
      <c r="AO456" s="865"/>
      <c r="AP456" s="865"/>
      <c r="AQ456" s="865"/>
      <c r="AR456" s="865"/>
      <c r="AS456" s="865"/>
      <c r="AT456" s="865"/>
      <c r="AU456" s="865"/>
      <c r="AV456" s="865"/>
      <c r="AW456" s="865"/>
      <c r="AX456" s="865"/>
      <c r="AY456" s="865"/>
      <c r="AZ456" s="921"/>
      <c r="BB456" s="644"/>
      <c r="BC456" s="645"/>
      <c r="BD456" s="645"/>
      <c r="BE456" s="645"/>
      <c r="BF456" s="645"/>
      <c r="BG456" s="645"/>
      <c r="BH456" s="1037"/>
      <c r="BI456" s="756"/>
      <c r="BJ456" s="757"/>
      <c r="BK456" s="757"/>
      <c r="BL456" s="757"/>
      <c r="BM456" s="757"/>
      <c r="BN456" s="757"/>
      <c r="BO456" s="757"/>
      <c r="BP456" s="757"/>
      <c r="BQ456" s="757"/>
      <c r="BR456" s="757"/>
      <c r="BS456" s="757"/>
      <c r="BT456" s="757"/>
      <c r="BU456" s="757"/>
      <c r="BV456" s="757"/>
      <c r="BW456" s="757"/>
      <c r="BX456" s="757"/>
      <c r="BY456" s="757"/>
      <c r="BZ456" s="758"/>
      <c r="CB456" s="644"/>
      <c r="CC456" s="645"/>
      <c r="CD456" s="645"/>
      <c r="CE456" s="645"/>
      <c r="CF456" s="645"/>
      <c r="CG456" s="645"/>
      <c r="CH456" s="1037"/>
      <c r="CI456" s="756"/>
      <c r="CJ456" s="757"/>
      <c r="CK456" s="757"/>
      <c r="CL456" s="757"/>
      <c r="CM456" s="757"/>
      <c r="CN456" s="757"/>
      <c r="CO456" s="757"/>
      <c r="CP456" s="757"/>
      <c r="CQ456" s="757"/>
      <c r="CR456" s="757"/>
      <c r="CS456" s="757"/>
      <c r="CT456" s="757"/>
      <c r="CU456" s="757"/>
      <c r="CV456" s="757"/>
      <c r="CW456" s="757"/>
      <c r="CX456" s="757"/>
      <c r="CY456" s="757"/>
      <c r="CZ456" s="758"/>
    </row>
    <row r="457" spans="1:104" x14ac:dyDescent="0.25">
      <c r="B457" s="1028" t="str">
        <f>IF(B458="","",VLOOKUP(B458,BoonRef!$A$2:$Z$900,2,FALSE))</f>
        <v/>
      </c>
      <c r="C457" s="725"/>
      <c r="D457" s="725"/>
      <c r="E457" s="725"/>
      <c r="F457" s="725"/>
      <c r="G457" s="725"/>
      <c r="H457" s="725"/>
      <c r="I457" s="725" t="str">
        <f>IF(B458="","",VLOOKUP(B458,BoonRef!$A$2:$Z$900,3,FALSE))</f>
        <v/>
      </c>
      <c r="J457" s="725"/>
      <c r="K457" s="725" t="str">
        <f>IF(B458="","",VLOOKUP(B458,DescRef!$A$2:$B$900,2,FALSE))</f>
        <v/>
      </c>
      <c r="L457" s="725"/>
      <c r="M457" s="725"/>
      <c r="N457" s="725"/>
      <c r="O457" s="725"/>
      <c r="P457" s="725"/>
      <c r="Q457" s="725"/>
      <c r="R457" s="725"/>
      <c r="S457" s="725"/>
      <c r="T457" s="725"/>
      <c r="U457" s="725"/>
      <c r="V457" s="725"/>
      <c r="W457" s="725"/>
      <c r="X457" s="725"/>
      <c r="Y457" s="725"/>
      <c r="Z457" s="726"/>
      <c r="AB457" s="1028" t="str">
        <f>IF(AB458="","",VLOOKUP(AB458,BoonRef!$A$2:$Z$900,2,FALSE))</f>
        <v/>
      </c>
      <c r="AC457" s="725"/>
      <c r="AD457" s="725"/>
      <c r="AE457" s="725"/>
      <c r="AF457" s="725"/>
      <c r="AG457" s="725"/>
      <c r="AH457" s="725"/>
      <c r="AI457" s="725" t="str">
        <f>IF(AB458="","",VLOOKUP(AB458,BoonRef!$A$2:$Z$900,3,FALSE))</f>
        <v/>
      </c>
      <c r="AJ457" s="725"/>
      <c r="AK457" s="725" t="str">
        <f>IF(AB458="","",VLOOKUP(AB458,DescRef!$A$2:$B$900,2,FALSE))</f>
        <v/>
      </c>
      <c r="AL457" s="725"/>
      <c r="AM457" s="725"/>
      <c r="AN457" s="725"/>
      <c r="AO457" s="725"/>
      <c r="AP457" s="725"/>
      <c r="AQ457" s="725"/>
      <c r="AR457" s="725"/>
      <c r="AS457" s="725"/>
      <c r="AT457" s="725"/>
      <c r="AU457" s="725"/>
      <c r="AV457" s="725"/>
      <c r="AW457" s="725"/>
      <c r="AX457" s="725"/>
      <c r="AY457" s="725"/>
      <c r="AZ457" s="726"/>
      <c r="BB457" s="1029" t="str">
        <f>IF(BB458="","",VLOOKUP(BB458,KanckRef!$A$1:$G$300,2,FALSE))</f>
        <v/>
      </c>
      <c r="BC457" s="1030"/>
      <c r="BD457" s="1030"/>
      <c r="BE457" s="1030"/>
      <c r="BF457" s="1031"/>
      <c r="BG457" s="1048" t="str">
        <f>IF(BB458="","",VLOOKUP(BB458,KanckRef!$A$1:$G$300,6,FALSE))</f>
        <v/>
      </c>
      <c r="BH457" s="1049"/>
      <c r="BI457" s="988" t="str">
        <f>IF(BB458="","",VLOOKUP(BB458,DescRef!$D$2:$E$300,2,FALSE))</f>
        <v/>
      </c>
      <c r="BJ457" s="795"/>
      <c r="BK457" s="795"/>
      <c r="BL457" s="795"/>
      <c r="BM457" s="795"/>
      <c r="BN457" s="795"/>
      <c r="BO457" s="795"/>
      <c r="BP457" s="795"/>
      <c r="BQ457" s="795"/>
      <c r="BR457" s="795"/>
      <c r="BS457" s="795"/>
      <c r="BT457" s="795"/>
      <c r="BU457" s="795"/>
      <c r="BV457" s="795"/>
      <c r="BW457" s="795"/>
      <c r="BX457" s="795"/>
      <c r="BY457" s="795"/>
      <c r="BZ457" s="796"/>
      <c r="CB457" s="1029" t="str">
        <f>IF(CB458="","",VLOOKUP(CB458,KanckRef!$A$1:$G$300,2,FALSE))</f>
        <v/>
      </c>
      <c r="CC457" s="1030"/>
      <c r="CD457" s="1030"/>
      <c r="CE457" s="1030"/>
      <c r="CF457" s="1031"/>
      <c r="CG457" s="1048" t="str">
        <f>IF(CB458="","",VLOOKUP(CB458,KanckRef!$A$1:$G$300,6,FALSE))</f>
        <v/>
      </c>
      <c r="CH457" s="1049"/>
      <c r="CI457" s="988" t="str">
        <f>IF(CB458="","",VLOOKUP(CB458,DescRef!$D$2:$E$300,2,FALSE))</f>
        <v/>
      </c>
      <c r="CJ457" s="795"/>
      <c r="CK457" s="795"/>
      <c r="CL457" s="795"/>
      <c r="CM457" s="795"/>
      <c r="CN457" s="795"/>
      <c r="CO457" s="795"/>
      <c r="CP457" s="795"/>
      <c r="CQ457" s="795"/>
      <c r="CR457" s="795"/>
      <c r="CS457" s="795"/>
      <c r="CT457" s="795"/>
      <c r="CU457" s="795"/>
      <c r="CV457" s="795"/>
      <c r="CW457" s="795"/>
      <c r="CX457" s="795"/>
      <c r="CY457" s="795"/>
      <c r="CZ457" s="796"/>
    </row>
    <row r="458" spans="1:104" ht="15" customHeight="1" x14ac:dyDescent="0.25">
      <c r="A458" s="15">
        <v>76</v>
      </c>
      <c r="B458" s="1026" t="str">
        <f>IF(A458&lt;'Purchased Boons'!$B$496,VLOOKUP(A458,'Purchased Boons'!$BF$2:$BG$900,2,FALSE),"")</f>
        <v/>
      </c>
      <c r="C458" s="727"/>
      <c r="D458" s="727"/>
      <c r="E458" s="727"/>
      <c r="F458" s="727"/>
      <c r="G458" s="727"/>
      <c r="H458" s="727"/>
      <c r="I458" s="727" t="str">
        <f>IF(B458="","",VLOOKUP(B458,BoonRef!$A$2:$Z$900,25,FALSE))</f>
        <v/>
      </c>
      <c r="J458" s="727"/>
      <c r="K458" s="727"/>
      <c r="L458" s="727"/>
      <c r="M458" s="727"/>
      <c r="N458" s="727"/>
      <c r="O458" s="727"/>
      <c r="P458" s="727"/>
      <c r="Q458" s="727"/>
      <c r="R458" s="727"/>
      <c r="S458" s="727"/>
      <c r="T458" s="727"/>
      <c r="U458" s="727"/>
      <c r="V458" s="727"/>
      <c r="W458" s="727"/>
      <c r="X458" s="727"/>
      <c r="Y458" s="727"/>
      <c r="Z458" s="728"/>
      <c r="AA458" s="15">
        <v>183</v>
      </c>
      <c r="AB458" s="1026" t="str">
        <f>IF(AA458&lt;'Purchased Boons'!$B$496,VLOOKUP(AA458,'Purchased Boons'!$BF$2:$BG$900,2,FALSE),"")</f>
        <v/>
      </c>
      <c r="AC458" s="727"/>
      <c r="AD458" s="727"/>
      <c r="AE458" s="727"/>
      <c r="AF458" s="727"/>
      <c r="AG458" s="727"/>
      <c r="AH458" s="727"/>
      <c r="AI458" s="727" t="str">
        <f>IF(AB458="","",VLOOKUP(AB458,BoonRef!$A$2:$Z$900,25,FALSE))</f>
        <v/>
      </c>
      <c r="AJ458" s="727"/>
      <c r="AK458" s="727"/>
      <c r="AL458" s="727"/>
      <c r="AM458" s="727"/>
      <c r="AN458" s="727"/>
      <c r="AO458" s="727"/>
      <c r="AP458" s="727"/>
      <c r="AQ458" s="727"/>
      <c r="AR458" s="727"/>
      <c r="AS458" s="727"/>
      <c r="AT458" s="727"/>
      <c r="AU458" s="727"/>
      <c r="AV458" s="727"/>
      <c r="AW458" s="727"/>
      <c r="AX458" s="727"/>
      <c r="AY458" s="727"/>
      <c r="AZ458" s="728"/>
      <c r="BA458" s="15">
        <v>76</v>
      </c>
      <c r="BB458" s="1038" t="str">
        <f>IF(BA458&lt;'Purchased Knacks'!A$192,VLOOKUP(BA458,'Purchased Knacks'!$A$4:$E$300,3,FALSE),"")</f>
        <v/>
      </c>
      <c r="BC458" s="1039"/>
      <c r="BD458" s="1039"/>
      <c r="BE458" s="1039"/>
      <c r="BF458" s="1040"/>
      <c r="BG458" s="1032" t="str">
        <f>IF(BB458="","",VLOOKUP(BB458,KanckRef!$A$1:$G$300,7,FALSE))</f>
        <v/>
      </c>
      <c r="BH458" s="1033"/>
      <c r="BI458" s="753"/>
      <c r="BJ458" s="754"/>
      <c r="BK458" s="754"/>
      <c r="BL458" s="754"/>
      <c r="BM458" s="754"/>
      <c r="BN458" s="754"/>
      <c r="BO458" s="754"/>
      <c r="BP458" s="754"/>
      <c r="BQ458" s="754"/>
      <c r="BR458" s="754"/>
      <c r="BS458" s="754"/>
      <c r="BT458" s="754"/>
      <c r="BU458" s="754"/>
      <c r="BV458" s="754"/>
      <c r="BW458" s="754"/>
      <c r="BX458" s="754"/>
      <c r="BY458" s="754"/>
      <c r="BZ458" s="755"/>
      <c r="CA458" s="15">
        <v>183</v>
      </c>
      <c r="CB458" s="1038" t="str">
        <f>IF(CA458&lt;'Purchased Knacks'!A$192,VLOOKUP(CA458,'Purchased Knacks'!$A$4:$E$300,3,FALSE),"")</f>
        <v/>
      </c>
      <c r="CC458" s="1039"/>
      <c r="CD458" s="1039"/>
      <c r="CE458" s="1039"/>
      <c r="CF458" s="1040"/>
      <c r="CG458" s="1032" t="str">
        <f>IF(CB458="","",VLOOKUP(CB458,KanckRef!$A$1:$G$300,7,FALSE))</f>
        <v/>
      </c>
      <c r="CH458" s="1033"/>
      <c r="CI458" s="753"/>
      <c r="CJ458" s="754"/>
      <c r="CK458" s="754"/>
      <c r="CL458" s="754"/>
      <c r="CM458" s="754"/>
      <c r="CN458" s="754"/>
      <c r="CO458" s="754"/>
      <c r="CP458" s="754"/>
      <c r="CQ458" s="754"/>
      <c r="CR458" s="754"/>
      <c r="CS458" s="754"/>
      <c r="CT458" s="754"/>
      <c r="CU458" s="754"/>
      <c r="CV458" s="754"/>
      <c r="CW458" s="754"/>
      <c r="CX458" s="754"/>
      <c r="CY458" s="754"/>
      <c r="CZ458" s="755"/>
    </row>
    <row r="459" spans="1:104" x14ac:dyDescent="0.25">
      <c r="B459" s="1026"/>
      <c r="C459" s="727"/>
      <c r="D459" s="727"/>
      <c r="E459" s="727"/>
      <c r="F459" s="727"/>
      <c r="G459" s="727"/>
      <c r="H459" s="727"/>
      <c r="I459" s="727" t="str">
        <f>IF(B458="","",VLOOKUP(B458,BoonRef!$A$2:$Z$900,26,FALSE))</f>
        <v/>
      </c>
      <c r="J459" s="727"/>
      <c r="K459" s="727"/>
      <c r="L459" s="727"/>
      <c r="M459" s="727"/>
      <c r="N459" s="727"/>
      <c r="O459" s="727"/>
      <c r="P459" s="727"/>
      <c r="Q459" s="727"/>
      <c r="R459" s="727"/>
      <c r="S459" s="727"/>
      <c r="T459" s="727"/>
      <c r="U459" s="727"/>
      <c r="V459" s="727"/>
      <c r="W459" s="727"/>
      <c r="X459" s="727"/>
      <c r="Y459" s="727"/>
      <c r="Z459" s="728"/>
      <c r="AB459" s="1026"/>
      <c r="AC459" s="727"/>
      <c r="AD459" s="727"/>
      <c r="AE459" s="727"/>
      <c r="AF459" s="727"/>
      <c r="AG459" s="727"/>
      <c r="AH459" s="727"/>
      <c r="AI459" s="727" t="str">
        <f>IF(AB458="","",VLOOKUP(AB458,BoonRef!$A$2:$Z$900,26,FALSE))</f>
        <v/>
      </c>
      <c r="AJ459" s="727"/>
      <c r="AK459" s="727"/>
      <c r="AL459" s="727"/>
      <c r="AM459" s="727"/>
      <c r="AN459" s="727"/>
      <c r="AO459" s="727"/>
      <c r="AP459" s="727"/>
      <c r="AQ459" s="727"/>
      <c r="AR459" s="727"/>
      <c r="AS459" s="727"/>
      <c r="AT459" s="727"/>
      <c r="AU459" s="727"/>
      <c r="AV459" s="727"/>
      <c r="AW459" s="727"/>
      <c r="AX459" s="727"/>
      <c r="AY459" s="727"/>
      <c r="AZ459" s="728"/>
      <c r="BB459" s="1041"/>
      <c r="BC459" s="1042"/>
      <c r="BD459" s="1042"/>
      <c r="BE459" s="1042"/>
      <c r="BF459" s="1043"/>
      <c r="BG459" s="1034"/>
      <c r="BH459" s="1035"/>
      <c r="BI459" s="753"/>
      <c r="BJ459" s="754"/>
      <c r="BK459" s="754"/>
      <c r="BL459" s="754"/>
      <c r="BM459" s="754"/>
      <c r="BN459" s="754"/>
      <c r="BO459" s="754"/>
      <c r="BP459" s="754"/>
      <c r="BQ459" s="754"/>
      <c r="BR459" s="754"/>
      <c r="BS459" s="754"/>
      <c r="BT459" s="754"/>
      <c r="BU459" s="754"/>
      <c r="BV459" s="754"/>
      <c r="BW459" s="754"/>
      <c r="BX459" s="754"/>
      <c r="BY459" s="754"/>
      <c r="BZ459" s="755"/>
      <c r="CB459" s="1041"/>
      <c r="CC459" s="1042"/>
      <c r="CD459" s="1042"/>
      <c r="CE459" s="1042"/>
      <c r="CF459" s="1043"/>
      <c r="CG459" s="1034"/>
      <c r="CH459" s="1035"/>
      <c r="CI459" s="753"/>
      <c r="CJ459" s="754"/>
      <c r="CK459" s="754"/>
      <c r="CL459" s="754"/>
      <c r="CM459" s="754"/>
      <c r="CN459" s="754"/>
      <c r="CO459" s="754"/>
      <c r="CP459" s="754"/>
      <c r="CQ459" s="754"/>
      <c r="CR459" s="754"/>
      <c r="CS459" s="754"/>
      <c r="CT459" s="754"/>
      <c r="CU459" s="754"/>
      <c r="CV459" s="754"/>
      <c r="CW459" s="754"/>
      <c r="CX459" s="754"/>
      <c r="CY459" s="754"/>
      <c r="CZ459" s="755"/>
    </row>
    <row r="460" spans="1:104" x14ac:dyDescent="0.25">
      <c r="B460" s="1026" t="str">
        <f>IF(B458="","",VLOOKUP(B458,BoonRef!$A$2:$Z$900,24,FALSE))</f>
        <v/>
      </c>
      <c r="C460" s="727"/>
      <c r="D460" s="727"/>
      <c r="E460" s="727"/>
      <c r="F460" s="727"/>
      <c r="G460" s="727"/>
      <c r="H460" s="727"/>
      <c r="I460" s="727"/>
      <c r="J460" s="727"/>
      <c r="K460" s="727"/>
      <c r="L460" s="727"/>
      <c r="M460" s="727"/>
      <c r="N460" s="727"/>
      <c r="O460" s="727"/>
      <c r="P460" s="727"/>
      <c r="Q460" s="727"/>
      <c r="R460" s="727"/>
      <c r="S460" s="727"/>
      <c r="T460" s="727"/>
      <c r="U460" s="727"/>
      <c r="V460" s="727"/>
      <c r="W460" s="727"/>
      <c r="X460" s="727"/>
      <c r="Y460" s="727"/>
      <c r="Z460" s="728"/>
      <c r="AB460" s="1026" t="str">
        <f>IF(AB458="","",VLOOKUP(AB458,BoonRef!$A$2:$Z$900,24,FALSE))</f>
        <v/>
      </c>
      <c r="AC460" s="727"/>
      <c r="AD460" s="727"/>
      <c r="AE460" s="727"/>
      <c r="AF460" s="727"/>
      <c r="AG460" s="727"/>
      <c r="AH460" s="727"/>
      <c r="AI460" s="727"/>
      <c r="AJ460" s="727"/>
      <c r="AK460" s="727"/>
      <c r="AL460" s="727"/>
      <c r="AM460" s="727"/>
      <c r="AN460" s="727"/>
      <c r="AO460" s="727"/>
      <c r="AP460" s="727"/>
      <c r="AQ460" s="727"/>
      <c r="AR460" s="727"/>
      <c r="AS460" s="727"/>
      <c r="AT460" s="727"/>
      <c r="AU460" s="727"/>
      <c r="AV460" s="727"/>
      <c r="AW460" s="727"/>
      <c r="AX460" s="727"/>
      <c r="AY460" s="727"/>
      <c r="AZ460" s="728"/>
      <c r="BB460" s="641" t="str">
        <f>IF(BB458="","",VLOOKUP(BB458,KanckRef!$A$1:$G$300,4,FALSE))</f>
        <v/>
      </c>
      <c r="BC460" s="642"/>
      <c r="BD460" s="642"/>
      <c r="BE460" s="642"/>
      <c r="BF460" s="642"/>
      <c r="BG460" s="642"/>
      <c r="BH460" s="1033"/>
      <c r="BI460" s="753"/>
      <c r="BJ460" s="754"/>
      <c r="BK460" s="754"/>
      <c r="BL460" s="754"/>
      <c r="BM460" s="754"/>
      <c r="BN460" s="754"/>
      <c r="BO460" s="754"/>
      <c r="BP460" s="754"/>
      <c r="BQ460" s="754"/>
      <c r="BR460" s="754"/>
      <c r="BS460" s="754"/>
      <c r="BT460" s="754"/>
      <c r="BU460" s="754"/>
      <c r="BV460" s="754"/>
      <c r="BW460" s="754"/>
      <c r="BX460" s="754"/>
      <c r="BY460" s="754"/>
      <c r="BZ460" s="755"/>
      <c r="CB460" s="641" t="str">
        <f>IF(CB458="","",VLOOKUP(CB458,KanckRef!$A$1:$G$300,4,FALSE))</f>
        <v/>
      </c>
      <c r="CC460" s="642"/>
      <c r="CD460" s="642"/>
      <c r="CE460" s="642"/>
      <c r="CF460" s="642"/>
      <c r="CG460" s="642"/>
      <c r="CH460" s="1033"/>
      <c r="CI460" s="753"/>
      <c r="CJ460" s="754"/>
      <c r="CK460" s="754"/>
      <c r="CL460" s="754"/>
      <c r="CM460" s="754"/>
      <c r="CN460" s="754"/>
      <c r="CO460" s="754"/>
      <c r="CP460" s="754"/>
      <c r="CQ460" s="754"/>
      <c r="CR460" s="754"/>
      <c r="CS460" s="754"/>
      <c r="CT460" s="754"/>
      <c r="CU460" s="754"/>
      <c r="CV460" s="754"/>
      <c r="CW460" s="754"/>
      <c r="CX460" s="754"/>
      <c r="CY460" s="754"/>
      <c r="CZ460" s="755"/>
    </row>
    <row r="461" spans="1:104" x14ac:dyDescent="0.25">
      <c r="B461" s="1026" t="str">
        <f>IF(B458="","",VLOOKUP(B458,BoonRef!$A$2:$Z$900,23,FALSE))</f>
        <v/>
      </c>
      <c r="C461" s="727"/>
      <c r="D461" s="727"/>
      <c r="E461" s="727"/>
      <c r="F461" s="727"/>
      <c r="G461" s="727"/>
      <c r="H461" s="727"/>
      <c r="I461" s="727"/>
      <c r="J461" s="727"/>
      <c r="K461" s="727"/>
      <c r="L461" s="727"/>
      <c r="M461" s="727"/>
      <c r="N461" s="727"/>
      <c r="O461" s="727"/>
      <c r="P461" s="727"/>
      <c r="Q461" s="727"/>
      <c r="R461" s="727"/>
      <c r="S461" s="727"/>
      <c r="T461" s="727"/>
      <c r="U461" s="727"/>
      <c r="V461" s="727"/>
      <c r="W461" s="727"/>
      <c r="X461" s="727"/>
      <c r="Y461" s="727"/>
      <c r="Z461" s="728"/>
      <c r="AB461" s="1026" t="str">
        <f>IF(AB458="","",VLOOKUP(AB458,BoonRef!$A$2:$Z$900,23,FALSE))</f>
        <v/>
      </c>
      <c r="AC461" s="727"/>
      <c r="AD461" s="727"/>
      <c r="AE461" s="727"/>
      <c r="AF461" s="727"/>
      <c r="AG461" s="727"/>
      <c r="AH461" s="727"/>
      <c r="AI461" s="727"/>
      <c r="AJ461" s="727"/>
      <c r="AK461" s="727"/>
      <c r="AL461" s="727"/>
      <c r="AM461" s="727"/>
      <c r="AN461" s="727"/>
      <c r="AO461" s="727"/>
      <c r="AP461" s="727"/>
      <c r="AQ461" s="727"/>
      <c r="AR461" s="727"/>
      <c r="AS461" s="727"/>
      <c r="AT461" s="727"/>
      <c r="AU461" s="727"/>
      <c r="AV461" s="727"/>
      <c r="AW461" s="727"/>
      <c r="AX461" s="727"/>
      <c r="AY461" s="727"/>
      <c r="AZ461" s="728"/>
      <c r="BB461" s="635"/>
      <c r="BC461" s="636"/>
      <c r="BD461" s="636"/>
      <c r="BE461" s="636"/>
      <c r="BF461" s="636"/>
      <c r="BG461" s="636"/>
      <c r="BH461" s="1036"/>
      <c r="BI461" s="753"/>
      <c r="BJ461" s="754"/>
      <c r="BK461" s="754"/>
      <c r="BL461" s="754"/>
      <c r="BM461" s="754"/>
      <c r="BN461" s="754"/>
      <c r="BO461" s="754"/>
      <c r="BP461" s="754"/>
      <c r="BQ461" s="754"/>
      <c r="BR461" s="754"/>
      <c r="BS461" s="754"/>
      <c r="BT461" s="754"/>
      <c r="BU461" s="754"/>
      <c r="BV461" s="754"/>
      <c r="BW461" s="754"/>
      <c r="BX461" s="754"/>
      <c r="BY461" s="754"/>
      <c r="BZ461" s="755"/>
      <c r="CB461" s="635"/>
      <c r="CC461" s="636"/>
      <c r="CD461" s="636"/>
      <c r="CE461" s="636"/>
      <c r="CF461" s="636"/>
      <c r="CG461" s="636"/>
      <c r="CH461" s="1036"/>
      <c r="CI461" s="753"/>
      <c r="CJ461" s="754"/>
      <c r="CK461" s="754"/>
      <c r="CL461" s="754"/>
      <c r="CM461" s="754"/>
      <c r="CN461" s="754"/>
      <c r="CO461" s="754"/>
      <c r="CP461" s="754"/>
      <c r="CQ461" s="754"/>
      <c r="CR461" s="754"/>
      <c r="CS461" s="754"/>
      <c r="CT461" s="754"/>
      <c r="CU461" s="754"/>
      <c r="CV461" s="754"/>
      <c r="CW461" s="754"/>
      <c r="CX461" s="754"/>
      <c r="CY461" s="754"/>
      <c r="CZ461" s="755"/>
    </row>
    <row r="462" spans="1:104" ht="15.75" thickBot="1" x14ac:dyDescent="0.3">
      <c r="B462" s="1027"/>
      <c r="C462" s="865"/>
      <c r="D462" s="865"/>
      <c r="E462" s="865"/>
      <c r="F462" s="865"/>
      <c r="G462" s="865"/>
      <c r="H462" s="865"/>
      <c r="I462" s="865"/>
      <c r="J462" s="865"/>
      <c r="K462" s="865"/>
      <c r="L462" s="865"/>
      <c r="M462" s="865"/>
      <c r="N462" s="865"/>
      <c r="O462" s="865"/>
      <c r="P462" s="865"/>
      <c r="Q462" s="865"/>
      <c r="R462" s="865"/>
      <c r="S462" s="865"/>
      <c r="T462" s="865"/>
      <c r="U462" s="865"/>
      <c r="V462" s="865"/>
      <c r="W462" s="865"/>
      <c r="X462" s="865"/>
      <c r="Y462" s="865"/>
      <c r="Z462" s="921"/>
      <c r="AB462" s="1027"/>
      <c r="AC462" s="865"/>
      <c r="AD462" s="865"/>
      <c r="AE462" s="865"/>
      <c r="AF462" s="865"/>
      <c r="AG462" s="865"/>
      <c r="AH462" s="865"/>
      <c r="AI462" s="865"/>
      <c r="AJ462" s="865"/>
      <c r="AK462" s="865"/>
      <c r="AL462" s="865"/>
      <c r="AM462" s="865"/>
      <c r="AN462" s="865"/>
      <c r="AO462" s="865"/>
      <c r="AP462" s="865"/>
      <c r="AQ462" s="865"/>
      <c r="AR462" s="865"/>
      <c r="AS462" s="865"/>
      <c r="AT462" s="865"/>
      <c r="AU462" s="865"/>
      <c r="AV462" s="865"/>
      <c r="AW462" s="865"/>
      <c r="AX462" s="865"/>
      <c r="AY462" s="865"/>
      <c r="AZ462" s="921"/>
      <c r="BB462" s="644"/>
      <c r="BC462" s="645"/>
      <c r="BD462" s="645"/>
      <c r="BE462" s="645"/>
      <c r="BF462" s="645"/>
      <c r="BG462" s="645"/>
      <c r="BH462" s="1037"/>
      <c r="BI462" s="756"/>
      <c r="BJ462" s="757"/>
      <c r="BK462" s="757"/>
      <c r="BL462" s="757"/>
      <c r="BM462" s="757"/>
      <c r="BN462" s="757"/>
      <c r="BO462" s="757"/>
      <c r="BP462" s="757"/>
      <c r="BQ462" s="757"/>
      <c r="BR462" s="757"/>
      <c r="BS462" s="757"/>
      <c r="BT462" s="757"/>
      <c r="BU462" s="757"/>
      <c r="BV462" s="757"/>
      <c r="BW462" s="757"/>
      <c r="BX462" s="757"/>
      <c r="BY462" s="757"/>
      <c r="BZ462" s="758"/>
      <c r="CB462" s="644"/>
      <c r="CC462" s="645"/>
      <c r="CD462" s="645"/>
      <c r="CE462" s="645"/>
      <c r="CF462" s="645"/>
      <c r="CG462" s="645"/>
      <c r="CH462" s="1037"/>
      <c r="CI462" s="756"/>
      <c r="CJ462" s="757"/>
      <c r="CK462" s="757"/>
      <c r="CL462" s="757"/>
      <c r="CM462" s="757"/>
      <c r="CN462" s="757"/>
      <c r="CO462" s="757"/>
      <c r="CP462" s="757"/>
      <c r="CQ462" s="757"/>
      <c r="CR462" s="757"/>
      <c r="CS462" s="757"/>
      <c r="CT462" s="757"/>
      <c r="CU462" s="757"/>
      <c r="CV462" s="757"/>
      <c r="CW462" s="757"/>
      <c r="CX462" s="757"/>
      <c r="CY462" s="757"/>
      <c r="CZ462" s="758"/>
    </row>
    <row r="463" spans="1:104" x14ac:dyDescent="0.25">
      <c r="B463" s="1028" t="str">
        <f>IF(B464="","",VLOOKUP(B464,BoonRef!$A$2:$Z$900,2,FALSE))</f>
        <v/>
      </c>
      <c r="C463" s="725"/>
      <c r="D463" s="725"/>
      <c r="E463" s="725"/>
      <c r="F463" s="725"/>
      <c r="G463" s="725"/>
      <c r="H463" s="725"/>
      <c r="I463" s="725" t="str">
        <f>IF(B464="","",VLOOKUP(B464,BoonRef!$A$2:$Z$900,3,FALSE))</f>
        <v/>
      </c>
      <c r="J463" s="725"/>
      <c r="K463" s="725" t="str">
        <f>IF(B464="","",VLOOKUP(B464,DescRef!$A$2:$B$900,2,FALSE))</f>
        <v/>
      </c>
      <c r="L463" s="725"/>
      <c r="M463" s="725"/>
      <c r="N463" s="725"/>
      <c r="O463" s="725"/>
      <c r="P463" s="725"/>
      <c r="Q463" s="725"/>
      <c r="R463" s="725"/>
      <c r="S463" s="725"/>
      <c r="T463" s="725"/>
      <c r="U463" s="725"/>
      <c r="V463" s="725"/>
      <c r="W463" s="725"/>
      <c r="X463" s="725"/>
      <c r="Y463" s="725"/>
      <c r="Z463" s="726"/>
      <c r="AB463" s="1028" t="str">
        <f>IF(AB464="","",VLOOKUP(AB464,BoonRef!$A$2:$Z$900,2,FALSE))</f>
        <v/>
      </c>
      <c r="AC463" s="725"/>
      <c r="AD463" s="725"/>
      <c r="AE463" s="725"/>
      <c r="AF463" s="725"/>
      <c r="AG463" s="725"/>
      <c r="AH463" s="725"/>
      <c r="AI463" s="725" t="str">
        <f>IF(AB464="","",VLOOKUP(AB464,BoonRef!$A$2:$Z$900,3,FALSE))</f>
        <v/>
      </c>
      <c r="AJ463" s="725"/>
      <c r="AK463" s="725" t="str">
        <f>IF(AB464="","",VLOOKUP(AB464,DescRef!$A$2:$B$900,2,FALSE))</f>
        <v/>
      </c>
      <c r="AL463" s="725"/>
      <c r="AM463" s="725"/>
      <c r="AN463" s="725"/>
      <c r="AO463" s="725"/>
      <c r="AP463" s="725"/>
      <c r="AQ463" s="725"/>
      <c r="AR463" s="725"/>
      <c r="AS463" s="725"/>
      <c r="AT463" s="725"/>
      <c r="AU463" s="725"/>
      <c r="AV463" s="725"/>
      <c r="AW463" s="725"/>
      <c r="AX463" s="725"/>
      <c r="AY463" s="725"/>
      <c r="AZ463" s="726"/>
      <c r="BB463" s="1029" t="str">
        <f>IF(BB464="","",VLOOKUP(BB464,KanckRef!$A$1:$G$300,2,FALSE))</f>
        <v/>
      </c>
      <c r="BC463" s="1030"/>
      <c r="BD463" s="1030"/>
      <c r="BE463" s="1030"/>
      <c r="BF463" s="1031"/>
      <c r="BG463" s="1048" t="str">
        <f>IF(BB464="","",VLOOKUP(BB464,KanckRef!$A$1:$G$300,6,FALSE))</f>
        <v/>
      </c>
      <c r="BH463" s="1049"/>
      <c r="BI463" s="988" t="str">
        <f>IF(BB464="","",VLOOKUP(BB464,DescRef!$D$2:$E$300,2,FALSE))</f>
        <v/>
      </c>
      <c r="BJ463" s="795"/>
      <c r="BK463" s="795"/>
      <c r="BL463" s="795"/>
      <c r="BM463" s="795"/>
      <c r="BN463" s="795"/>
      <c r="BO463" s="795"/>
      <c r="BP463" s="795"/>
      <c r="BQ463" s="795"/>
      <c r="BR463" s="795"/>
      <c r="BS463" s="795"/>
      <c r="BT463" s="795"/>
      <c r="BU463" s="795"/>
      <c r="BV463" s="795"/>
      <c r="BW463" s="795"/>
      <c r="BX463" s="795"/>
      <c r="BY463" s="795"/>
      <c r="BZ463" s="796"/>
      <c r="CB463" s="1029" t="str">
        <f>IF(CB464="","",VLOOKUP(CB464,KanckRef!$A$1:$G$300,2,FALSE))</f>
        <v/>
      </c>
      <c r="CC463" s="1030"/>
      <c r="CD463" s="1030"/>
      <c r="CE463" s="1030"/>
      <c r="CF463" s="1031"/>
      <c r="CG463" s="1048" t="str">
        <f>IF(CB464="","",VLOOKUP(CB464,KanckRef!$A$1:$G$300,6,FALSE))</f>
        <v/>
      </c>
      <c r="CH463" s="1049"/>
      <c r="CI463" s="988" t="str">
        <f>IF(CB464="","",VLOOKUP(CB464,DescRef!$D$2:$E$300,2,FALSE))</f>
        <v/>
      </c>
      <c r="CJ463" s="795"/>
      <c r="CK463" s="795"/>
      <c r="CL463" s="795"/>
      <c r="CM463" s="795"/>
      <c r="CN463" s="795"/>
      <c r="CO463" s="795"/>
      <c r="CP463" s="795"/>
      <c r="CQ463" s="795"/>
      <c r="CR463" s="795"/>
      <c r="CS463" s="795"/>
      <c r="CT463" s="795"/>
      <c r="CU463" s="795"/>
      <c r="CV463" s="795"/>
      <c r="CW463" s="795"/>
      <c r="CX463" s="795"/>
      <c r="CY463" s="795"/>
      <c r="CZ463" s="796"/>
    </row>
    <row r="464" spans="1:104" ht="15" customHeight="1" x14ac:dyDescent="0.25">
      <c r="A464" s="15">
        <v>77</v>
      </c>
      <c r="B464" s="1026" t="str">
        <f>IF(A464&lt;'Purchased Boons'!$B$496,VLOOKUP(A464,'Purchased Boons'!$BF$2:$BG$900,2,FALSE),"")</f>
        <v/>
      </c>
      <c r="C464" s="727"/>
      <c r="D464" s="727"/>
      <c r="E464" s="727"/>
      <c r="F464" s="727"/>
      <c r="G464" s="727"/>
      <c r="H464" s="727"/>
      <c r="I464" s="727" t="str">
        <f>IF(B464="","",VLOOKUP(B464,BoonRef!$A$2:$Z$900,25,FALSE))</f>
        <v/>
      </c>
      <c r="J464" s="727"/>
      <c r="K464" s="727"/>
      <c r="L464" s="727"/>
      <c r="M464" s="727"/>
      <c r="N464" s="727"/>
      <c r="O464" s="727"/>
      <c r="P464" s="727"/>
      <c r="Q464" s="727"/>
      <c r="R464" s="727"/>
      <c r="S464" s="727"/>
      <c r="T464" s="727"/>
      <c r="U464" s="727"/>
      <c r="V464" s="727"/>
      <c r="W464" s="727"/>
      <c r="X464" s="727"/>
      <c r="Y464" s="727"/>
      <c r="Z464" s="728"/>
      <c r="AA464" s="15">
        <v>184</v>
      </c>
      <c r="AB464" s="1026" t="str">
        <f>IF(AA464&lt;'Purchased Boons'!$B$496,VLOOKUP(AA464,'Purchased Boons'!$BF$2:$BG$900,2,FALSE),"")</f>
        <v/>
      </c>
      <c r="AC464" s="727"/>
      <c r="AD464" s="727"/>
      <c r="AE464" s="727"/>
      <c r="AF464" s="727"/>
      <c r="AG464" s="727"/>
      <c r="AH464" s="727"/>
      <c r="AI464" s="727" t="str">
        <f>IF(AB464="","",VLOOKUP(AB464,BoonRef!$A$2:$Z$900,25,FALSE))</f>
        <v/>
      </c>
      <c r="AJ464" s="727"/>
      <c r="AK464" s="727"/>
      <c r="AL464" s="727"/>
      <c r="AM464" s="727"/>
      <c r="AN464" s="727"/>
      <c r="AO464" s="727"/>
      <c r="AP464" s="727"/>
      <c r="AQ464" s="727"/>
      <c r="AR464" s="727"/>
      <c r="AS464" s="727"/>
      <c r="AT464" s="727"/>
      <c r="AU464" s="727"/>
      <c r="AV464" s="727"/>
      <c r="AW464" s="727"/>
      <c r="AX464" s="727"/>
      <c r="AY464" s="727"/>
      <c r="AZ464" s="728"/>
      <c r="BA464" s="15">
        <v>77</v>
      </c>
      <c r="BB464" s="1038" t="str">
        <f>IF(BA464&lt;'Purchased Knacks'!A$192,VLOOKUP(BA464,'Purchased Knacks'!$A$4:$E$300,3,FALSE),"")</f>
        <v/>
      </c>
      <c r="BC464" s="1039"/>
      <c r="BD464" s="1039"/>
      <c r="BE464" s="1039"/>
      <c r="BF464" s="1040"/>
      <c r="BG464" s="1032" t="str">
        <f>IF(BB464="","",VLOOKUP(BB464,KanckRef!$A$1:$G$300,7,FALSE))</f>
        <v/>
      </c>
      <c r="BH464" s="1033"/>
      <c r="BI464" s="753"/>
      <c r="BJ464" s="754"/>
      <c r="BK464" s="754"/>
      <c r="BL464" s="754"/>
      <c r="BM464" s="754"/>
      <c r="BN464" s="754"/>
      <c r="BO464" s="754"/>
      <c r="BP464" s="754"/>
      <c r="BQ464" s="754"/>
      <c r="BR464" s="754"/>
      <c r="BS464" s="754"/>
      <c r="BT464" s="754"/>
      <c r="BU464" s="754"/>
      <c r="BV464" s="754"/>
      <c r="BW464" s="754"/>
      <c r="BX464" s="754"/>
      <c r="BY464" s="754"/>
      <c r="BZ464" s="755"/>
      <c r="CA464" s="15">
        <v>184</v>
      </c>
      <c r="CB464" s="1038" t="str">
        <f>IF(CA464&lt;'Purchased Knacks'!A$192,VLOOKUP(CA464,'Purchased Knacks'!$A$4:$E$300,3,FALSE),"")</f>
        <v/>
      </c>
      <c r="CC464" s="1039"/>
      <c r="CD464" s="1039"/>
      <c r="CE464" s="1039"/>
      <c r="CF464" s="1040"/>
      <c r="CG464" s="1032" t="str">
        <f>IF(CB464="","",VLOOKUP(CB464,KanckRef!$A$1:$G$300,7,FALSE))</f>
        <v/>
      </c>
      <c r="CH464" s="1033"/>
      <c r="CI464" s="753"/>
      <c r="CJ464" s="754"/>
      <c r="CK464" s="754"/>
      <c r="CL464" s="754"/>
      <c r="CM464" s="754"/>
      <c r="CN464" s="754"/>
      <c r="CO464" s="754"/>
      <c r="CP464" s="754"/>
      <c r="CQ464" s="754"/>
      <c r="CR464" s="754"/>
      <c r="CS464" s="754"/>
      <c r="CT464" s="754"/>
      <c r="CU464" s="754"/>
      <c r="CV464" s="754"/>
      <c r="CW464" s="754"/>
      <c r="CX464" s="754"/>
      <c r="CY464" s="754"/>
      <c r="CZ464" s="755"/>
    </row>
    <row r="465" spans="1:104" x14ac:dyDescent="0.25">
      <c r="B465" s="1026"/>
      <c r="C465" s="727"/>
      <c r="D465" s="727"/>
      <c r="E465" s="727"/>
      <c r="F465" s="727"/>
      <c r="G465" s="727"/>
      <c r="H465" s="727"/>
      <c r="I465" s="727" t="str">
        <f>IF(B464="","",VLOOKUP(B464,BoonRef!$A$2:$Z$900,26,FALSE))</f>
        <v/>
      </c>
      <c r="J465" s="727"/>
      <c r="K465" s="727"/>
      <c r="L465" s="727"/>
      <c r="M465" s="727"/>
      <c r="N465" s="727"/>
      <c r="O465" s="727"/>
      <c r="P465" s="727"/>
      <c r="Q465" s="727"/>
      <c r="R465" s="727"/>
      <c r="S465" s="727"/>
      <c r="T465" s="727"/>
      <c r="U465" s="727"/>
      <c r="V465" s="727"/>
      <c r="W465" s="727"/>
      <c r="X465" s="727"/>
      <c r="Y465" s="727"/>
      <c r="Z465" s="728"/>
      <c r="AB465" s="1026"/>
      <c r="AC465" s="727"/>
      <c r="AD465" s="727"/>
      <c r="AE465" s="727"/>
      <c r="AF465" s="727"/>
      <c r="AG465" s="727"/>
      <c r="AH465" s="727"/>
      <c r="AI465" s="727" t="str">
        <f>IF(AB464="","",VLOOKUP(AB464,BoonRef!$A$2:$Z$900,26,FALSE))</f>
        <v/>
      </c>
      <c r="AJ465" s="727"/>
      <c r="AK465" s="727"/>
      <c r="AL465" s="727"/>
      <c r="AM465" s="727"/>
      <c r="AN465" s="727"/>
      <c r="AO465" s="727"/>
      <c r="AP465" s="727"/>
      <c r="AQ465" s="727"/>
      <c r="AR465" s="727"/>
      <c r="AS465" s="727"/>
      <c r="AT465" s="727"/>
      <c r="AU465" s="727"/>
      <c r="AV465" s="727"/>
      <c r="AW465" s="727"/>
      <c r="AX465" s="727"/>
      <c r="AY465" s="727"/>
      <c r="AZ465" s="728"/>
      <c r="BB465" s="1041"/>
      <c r="BC465" s="1042"/>
      <c r="BD465" s="1042"/>
      <c r="BE465" s="1042"/>
      <c r="BF465" s="1043"/>
      <c r="BG465" s="1034"/>
      <c r="BH465" s="1035"/>
      <c r="BI465" s="753"/>
      <c r="BJ465" s="754"/>
      <c r="BK465" s="754"/>
      <c r="BL465" s="754"/>
      <c r="BM465" s="754"/>
      <c r="BN465" s="754"/>
      <c r="BO465" s="754"/>
      <c r="BP465" s="754"/>
      <c r="BQ465" s="754"/>
      <c r="BR465" s="754"/>
      <c r="BS465" s="754"/>
      <c r="BT465" s="754"/>
      <c r="BU465" s="754"/>
      <c r="BV465" s="754"/>
      <c r="BW465" s="754"/>
      <c r="BX465" s="754"/>
      <c r="BY465" s="754"/>
      <c r="BZ465" s="755"/>
      <c r="CB465" s="1041"/>
      <c r="CC465" s="1042"/>
      <c r="CD465" s="1042"/>
      <c r="CE465" s="1042"/>
      <c r="CF465" s="1043"/>
      <c r="CG465" s="1034"/>
      <c r="CH465" s="1035"/>
      <c r="CI465" s="753"/>
      <c r="CJ465" s="754"/>
      <c r="CK465" s="754"/>
      <c r="CL465" s="754"/>
      <c r="CM465" s="754"/>
      <c r="CN465" s="754"/>
      <c r="CO465" s="754"/>
      <c r="CP465" s="754"/>
      <c r="CQ465" s="754"/>
      <c r="CR465" s="754"/>
      <c r="CS465" s="754"/>
      <c r="CT465" s="754"/>
      <c r="CU465" s="754"/>
      <c r="CV465" s="754"/>
      <c r="CW465" s="754"/>
      <c r="CX465" s="754"/>
      <c r="CY465" s="754"/>
      <c r="CZ465" s="755"/>
    </row>
    <row r="466" spans="1:104" x14ac:dyDescent="0.25">
      <c r="B466" s="1026" t="str">
        <f>IF(B464="","",VLOOKUP(B464,BoonRef!$A$2:$Z$900,24,FALSE))</f>
        <v/>
      </c>
      <c r="C466" s="727"/>
      <c r="D466" s="727"/>
      <c r="E466" s="727"/>
      <c r="F466" s="727"/>
      <c r="G466" s="727"/>
      <c r="H466" s="727"/>
      <c r="I466" s="727"/>
      <c r="J466" s="727"/>
      <c r="K466" s="727"/>
      <c r="L466" s="727"/>
      <c r="M466" s="727"/>
      <c r="N466" s="727"/>
      <c r="O466" s="727"/>
      <c r="P466" s="727"/>
      <c r="Q466" s="727"/>
      <c r="R466" s="727"/>
      <c r="S466" s="727"/>
      <c r="T466" s="727"/>
      <c r="U466" s="727"/>
      <c r="V466" s="727"/>
      <c r="W466" s="727"/>
      <c r="X466" s="727"/>
      <c r="Y466" s="727"/>
      <c r="Z466" s="728"/>
      <c r="AB466" s="1026" t="str">
        <f>IF(AB464="","",VLOOKUP(AB464,BoonRef!$A$2:$Z$900,24,FALSE))</f>
        <v/>
      </c>
      <c r="AC466" s="727"/>
      <c r="AD466" s="727"/>
      <c r="AE466" s="727"/>
      <c r="AF466" s="727"/>
      <c r="AG466" s="727"/>
      <c r="AH466" s="727"/>
      <c r="AI466" s="727"/>
      <c r="AJ466" s="727"/>
      <c r="AK466" s="727"/>
      <c r="AL466" s="727"/>
      <c r="AM466" s="727"/>
      <c r="AN466" s="727"/>
      <c r="AO466" s="727"/>
      <c r="AP466" s="727"/>
      <c r="AQ466" s="727"/>
      <c r="AR466" s="727"/>
      <c r="AS466" s="727"/>
      <c r="AT466" s="727"/>
      <c r="AU466" s="727"/>
      <c r="AV466" s="727"/>
      <c r="AW466" s="727"/>
      <c r="AX466" s="727"/>
      <c r="AY466" s="727"/>
      <c r="AZ466" s="728"/>
      <c r="BB466" s="641" t="str">
        <f>IF(BB464="","",VLOOKUP(BB464,KanckRef!$A$1:$G$300,4,FALSE))</f>
        <v/>
      </c>
      <c r="BC466" s="642"/>
      <c r="BD466" s="642"/>
      <c r="BE466" s="642"/>
      <c r="BF466" s="642"/>
      <c r="BG466" s="642"/>
      <c r="BH466" s="1033"/>
      <c r="BI466" s="753"/>
      <c r="BJ466" s="754"/>
      <c r="BK466" s="754"/>
      <c r="BL466" s="754"/>
      <c r="BM466" s="754"/>
      <c r="BN466" s="754"/>
      <c r="BO466" s="754"/>
      <c r="BP466" s="754"/>
      <c r="BQ466" s="754"/>
      <c r="BR466" s="754"/>
      <c r="BS466" s="754"/>
      <c r="BT466" s="754"/>
      <c r="BU466" s="754"/>
      <c r="BV466" s="754"/>
      <c r="BW466" s="754"/>
      <c r="BX466" s="754"/>
      <c r="BY466" s="754"/>
      <c r="BZ466" s="755"/>
      <c r="CB466" s="641" t="str">
        <f>IF(CB464="","",VLOOKUP(CB464,KanckRef!$A$1:$G$300,4,FALSE))</f>
        <v/>
      </c>
      <c r="CC466" s="642"/>
      <c r="CD466" s="642"/>
      <c r="CE466" s="642"/>
      <c r="CF466" s="642"/>
      <c r="CG466" s="642"/>
      <c r="CH466" s="1033"/>
      <c r="CI466" s="753"/>
      <c r="CJ466" s="754"/>
      <c r="CK466" s="754"/>
      <c r="CL466" s="754"/>
      <c r="CM466" s="754"/>
      <c r="CN466" s="754"/>
      <c r="CO466" s="754"/>
      <c r="CP466" s="754"/>
      <c r="CQ466" s="754"/>
      <c r="CR466" s="754"/>
      <c r="CS466" s="754"/>
      <c r="CT466" s="754"/>
      <c r="CU466" s="754"/>
      <c r="CV466" s="754"/>
      <c r="CW466" s="754"/>
      <c r="CX466" s="754"/>
      <c r="CY466" s="754"/>
      <c r="CZ466" s="755"/>
    </row>
    <row r="467" spans="1:104" x14ac:dyDescent="0.25">
      <c r="B467" s="1026" t="str">
        <f>IF(B464="","",VLOOKUP(B464,BoonRef!$A$2:$Z$900,23,FALSE))</f>
        <v/>
      </c>
      <c r="C467" s="727"/>
      <c r="D467" s="727"/>
      <c r="E467" s="727"/>
      <c r="F467" s="727"/>
      <c r="G467" s="727"/>
      <c r="H467" s="727"/>
      <c r="I467" s="727"/>
      <c r="J467" s="727"/>
      <c r="K467" s="727"/>
      <c r="L467" s="727"/>
      <c r="M467" s="727"/>
      <c r="N467" s="727"/>
      <c r="O467" s="727"/>
      <c r="P467" s="727"/>
      <c r="Q467" s="727"/>
      <c r="R467" s="727"/>
      <c r="S467" s="727"/>
      <c r="T467" s="727"/>
      <c r="U467" s="727"/>
      <c r="V467" s="727"/>
      <c r="W467" s="727"/>
      <c r="X467" s="727"/>
      <c r="Y467" s="727"/>
      <c r="Z467" s="728"/>
      <c r="AB467" s="1026" t="str">
        <f>IF(AB464="","",VLOOKUP(AB464,BoonRef!$A$2:$Z$900,23,FALSE))</f>
        <v/>
      </c>
      <c r="AC467" s="727"/>
      <c r="AD467" s="727"/>
      <c r="AE467" s="727"/>
      <c r="AF467" s="727"/>
      <c r="AG467" s="727"/>
      <c r="AH467" s="727"/>
      <c r="AI467" s="727"/>
      <c r="AJ467" s="727"/>
      <c r="AK467" s="727"/>
      <c r="AL467" s="727"/>
      <c r="AM467" s="727"/>
      <c r="AN467" s="727"/>
      <c r="AO467" s="727"/>
      <c r="AP467" s="727"/>
      <c r="AQ467" s="727"/>
      <c r="AR467" s="727"/>
      <c r="AS467" s="727"/>
      <c r="AT467" s="727"/>
      <c r="AU467" s="727"/>
      <c r="AV467" s="727"/>
      <c r="AW467" s="727"/>
      <c r="AX467" s="727"/>
      <c r="AY467" s="727"/>
      <c r="AZ467" s="728"/>
      <c r="BB467" s="635"/>
      <c r="BC467" s="636"/>
      <c r="BD467" s="636"/>
      <c r="BE467" s="636"/>
      <c r="BF467" s="636"/>
      <c r="BG467" s="636"/>
      <c r="BH467" s="1036"/>
      <c r="BI467" s="753"/>
      <c r="BJ467" s="754"/>
      <c r="BK467" s="754"/>
      <c r="BL467" s="754"/>
      <c r="BM467" s="754"/>
      <c r="BN467" s="754"/>
      <c r="BO467" s="754"/>
      <c r="BP467" s="754"/>
      <c r="BQ467" s="754"/>
      <c r="BR467" s="754"/>
      <c r="BS467" s="754"/>
      <c r="BT467" s="754"/>
      <c r="BU467" s="754"/>
      <c r="BV467" s="754"/>
      <c r="BW467" s="754"/>
      <c r="BX467" s="754"/>
      <c r="BY467" s="754"/>
      <c r="BZ467" s="755"/>
      <c r="CB467" s="635"/>
      <c r="CC467" s="636"/>
      <c r="CD467" s="636"/>
      <c r="CE467" s="636"/>
      <c r="CF467" s="636"/>
      <c r="CG467" s="636"/>
      <c r="CH467" s="1036"/>
      <c r="CI467" s="753"/>
      <c r="CJ467" s="754"/>
      <c r="CK467" s="754"/>
      <c r="CL467" s="754"/>
      <c r="CM467" s="754"/>
      <c r="CN467" s="754"/>
      <c r="CO467" s="754"/>
      <c r="CP467" s="754"/>
      <c r="CQ467" s="754"/>
      <c r="CR467" s="754"/>
      <c r="CS467" s="754"/>
      <c r="CT467" s="754"/>
      <c r="CU467" s="754"/>
      <c r="CV467" s="754"/>
      <c r="CW467" s="754"/>
      <c r="CX467" s="754"/>
      <c r="CY467" s="754"/>
      <c r="CZ467" s="755"/>
    </row>
    <row r="468" spans="1:104" ht="15.75" thickBot="1" x14ac:dyDescent="0.3">
      <c r="B468" s="1027"/>
      <c r="C468" s="865"/>
      <c r="D468" s="865"/>
      <c r="E468" s="865"/>
      <c r="F468" s="865"/>
      <c r="G468" s="865"/>
      <c r="H468" s="865"/>
      <c r="I468" s="865"/>
      <c r="J468" s="865"/>
      <c r="K468" s="865"/>
      <c r="L468" s="865"/>
      <c r="M468" s="865"/>
      <c r="N468" s="865"/>
      <c r="O468" s="865"/>
      <c r="P468" s="865"/>
      <c r="Q468" s="865"/>
      <c r="R468" s="865"/>
      <c r="S468" s="865"/>
      <c r="T468" s="865"/>
      <c r="U468" s="865"/>
      <c r="V468" s="865"/>
      <c r="W468" s="865"/>
      <c r="X468" s="865"/>
      <c r="Y468" s="865"/>
      <c r="Z468" s="921"/>
      <c r="AB468" s="1027"/>
      <c r="AC468" s="865"/>
      <c r="AD468" s="865"/>
      <c r="AE468" s="865"/>
      <c r="AF468" s="865"/>
      <c r="AG468" s="865"/>
      <c r="AH468" s="865"/>
      <c r="AI468" s="865"/>
      <c r="AJ468" s="865"/>
      <c r="AK468" s="865"/>
      <c r="AL468" s="865"/>
      <c r="AM468" s="865"/>
      <c r="AN468" s="865"/>
      <c r="AO468" s="865"/>
      <c r="AP468" s="865"/>
      <c r="AQ468" s="865"/>
      <c r="AR468" s="865"/>
      <c r="AS468" s="865"/>
      <c r="AT468" s="865"/>
      <c r="AU468" s="865"/>
      <c r="AV468" s="865"/>
      <c r="AW468" s="865"/>
      <c r="AX468" s="865"/>
      <c r="AY468" s="865"/>
      <c r="AZ468" s="921"/>
      <c r="BB468" s="644"/>
      <c r="BC468" s="645"/>
      <c r="BD468" s="645"/>
      <c r="BE468" s="645"/>
      <c r="BF468" s="645"/>
      <c r="BG468" s="645"/>
      <c r="BH468" s="1037"/>
      <c r="BI468" s="756"/>
      <c r="BJ468" s="757"/>
      <c r="BK468" s="757"/>
      <c r="BL468" s="757"/>
      <c r="BM468" s="757"/>
      <c r="BN468" s="757"/>
      <c r="BO468" s="757"/>
      <c r="BP468" s="757"/>
      <c r="BQ468" s="757"/>
      <c r="BR468" s="757"/>
      <c r="BS468" s="757"/>
      <c r="BT468" s="757"/>
      <c r="BU468" s="757"/>
      <c r="BV468" s="757"/>
      <c r="BW468" s="757"/>
      <c r="BX468" s="757"/>
      <c r="BY468" s="757"/>
      <c r="BZ468" s="758"/>
      <c r="CB468" s="644"/>
      <c r="CC468" s="645"/>
      <c r="CD468" s="645"/>
      <c r="CE468" s="645"/>
      <c r="CF468" s="645"/>
      <c r="CG468" s="645"/>
      <c r="CH468" s="1037"/>
      <c r="CI468" s="756"/>
      <c r="CJ468" s="757"/>
      <c r="CK468" s="757"/>
      <c r="CL468" s="757"/>
      <c r="CM468" s="757"/>
      <c r="CN468" s="757"/>
      <c r="CO468" s="757"/>
      <c r="CP468" s="757"/>
      <c r="CQ468" s="757"/>
      <c r="CR468" s="757"/>
      <c r="CS468" s="757"/>
      <c r="CT468" s="757"/>
      <c r="CU468" s="757"/>
      <c r="CV468" s="757"/>
      <c r="CW468" s="757"/>
      <c r="CX468" s="757"/>
      <c r="CY468" s="757"/>
      <c r="CZ468" s="758"/>
    </row>
    <row r="469" spans="1:104" x14ac:dyDescent="0.25">
      <c r="B469" s="1028" t="str">
        <f>IF(B470="","",VLOOKUP(B470,BoonRef!$A$2:$Z$900,2,FALSE))</f>
        <v/>
      </c>
      <c r="C469" s="725"/>
      <c r="D469" s="725"/>
      <c r="E469" s="725"/>
      <c r="F469" s="725"/>
      <c r="G469" s="725"/>
      <c r="H469" s="725"/>
      <c r="I469" s="725" t="str">
        <f>IF(B470="","",VLOOKUP(B470,BoonRef!$A$2:$Z$900,3,FALSE))</f>
        <v/>
      </c>
      <c r="J469" s="725"/>
      <c r="K469" s="725" t="str">
        <f>IF(B470="","",VLOOKUP(B470,DescRef!$A$2:$B$900,2,FALSE))</f>
        <v/>
      </c>
      <c r="L469" s="725"/>
      <c r="M469" s="725"/>
      <c r="N469" s="725"/>
      <c r="O469" s="725"/>
      <c r="P469" s="725"/>
      <c r="Q469" s="725"/>
      <c r="R469" s="725"/>
      <c r="S469" s="725"/>
      <c r="T469" s="725"/>
      <c r="U469" s="725"/>
      <c r="V469" s="725"/>
      <c r="W469" s="725"/>
      <c r="X469" s="725"/>
      <c r="Y469" s="725"/>
      <c r="Z469" s="726"/>
      <c r="AB469" s="1028" t="str">
        <f>IF(AB470="","",VLOOKUP(AB470,BoonRef!$A$2:$Z$900,2,FALSE))</f>
        <v/>
      </c>
      <c r="AC469" s="725"/>
      <c r="AD469" s="725"/>
      <c r="AE469" s="725"/>
      <c r="AF469" s="725"/>
      <c r="AG469" s="725"/>
      <c r="AH469" s="725"/>
      <c r="AI469" s="725" t="str">
        <f>IF(AB470="","",VLOOKUP(AB470,BoonRef!$A$2:$Z$900,3,FALSE))</f>
        <v/>
      </c>
      <c r="AJ469" s="725"/>
      <c r="AK469" s="725" t="str">
        <f>IF(AB470="","",VLOOKUP(AB470,DescRef!$A$2:$B$900,2,FALSE))</f>
        <v/>
      </c>
      <c r="AL469" s="725"/>
      <c r="AM469" s="725"/>
      <c r="AN469" s="725"/>
      <c r="AO469" s="725"/>
      <c r="AP469" s="725"/>
      <c r="AQ469" s="725"/>
      <c r="AR469" s="725"/>
      <c r="AS469" s="725"/>
      <c r="AT469" s="725"/>
      <c r="AU469" s="725"/>
      <c r="AV469" s="725"/>
      <c r="AW469" s="725"/>
      <c r="AX469" s="725"/>
      <c r="AY469" s="725"/>
      <c r="AZ469" s="726"/>
      <c r="BB469" s="1029" t="str">
        <f>IF(BB470="","",VLOOKUP(BB470,KanckRef!$A$1:$G$300,2,FALSE))</f>
        <v/>
      </c>
      <c r="BC469" s="1030"/>
      <c r="BD469" s="1030"/>
      <c r="BE469" s="1030"/>
      <c r="BF469" s="1031"/>
      <c r="BG469" s="1048" t="str">
        <f>IF(BB470="","",VLOOKUP(BB470,KanckRef!$A$1:$G$300,6,FALSE))</f>
        <v/>
      </c>
      <c r="BH469" s="1049"/>
      <c r="BI469" s="988" t="str">
        <f>IF(BB470="","",VLOOKUP(BB470,DescRef!$D$2:$E$300,2,FALSE))</f>
        <v/>
      </c>
      <c r="BJ469" s="795"/>
      <c r="BK469" s="795"/>
      <c r="BL469" s="795"/>
      <c r="BM469" s="795"/>
      <c r="BN469" s="795"/>
      <c r="BO469" s="795"/>
      <c r="BP469" s="795"/>
      <c r="BQ469" s="795"/>
      <c r="BR469" s="795"/>
      <c r="BS469" s="795"/>
      <c r="BT469" s="795"/>
      <c r="BU469" s="795"/>
      <c r="BV469" s="795"/>
      <c r="BW469" s="795"/>
      <c r="BX469" s="795"/>
      <c r="BY469" s="795"/>
      <c r="BZ469" s="796"/>
      <c r="CB469" s="1029" t="str">
        <f>IF(CB470="","",VLOOKUP(CB470,KanckRef!$A$1:$G$300,2,FALSE))</f>
        <v/>
      </c>
      <c r="CC469" s="1030"/>
      <c r="CD469" s="1030"/>
      <c r="CE469" s="1030"/>
      <c r="CF469" s="1031"/>
      <c r="CG469" s="1048" t="str">
        <f>IF(CB470="","",VLOOKUP(CB470,KanckRef!$A$1:$G$300,6,FALSE))</f>
        <v/>
      </c>
      <c r="CH469" s="1049"/>
      <c r="CI469" s="988" t="str">
        <f>IF(CB470="","",VLOOKUP(CB470,DescRef!$D$2:$E$300,2,FALSE))</f>
        <v/>
      </c>
      <c r="CJ469" s="795"/>
      <c r="CK469" s="795"/>
      <c r="CL469" s="795"/>
      <c r="CM469" s="795"/>
      <c r="CN469" s="795"/>
      <c r="CO469" s="795"/>
      <c r="CP469" s="795"/>
      <c r="CQ469" s="795"/>
      <c r="CR469" s="795"/>
      <c r="CS469" s="795"/>
      <c r="CT469" s="795"/>
      <c r="CU469" s="795"/>
      <c r="CV469" s="795"/>
      <c r="CW469" s="795"/>
      <c r="CX469" s="795"/>
      <c r="CY469" s="795"/>
      <c r="CZ469" s="796"/>
    </row>
    <row r="470" spans="1:104" ht="15" customHeight="1" x14ac:dyDescent="0.25">
      <c r="A470" s="15">
        <v>78</v>
      </c>
      <c r="B470" s="1026" t="str">
        <f>IF(A470&lt;'Purchased Boons'!$B$496,VLOOKUP(A470,'Purchased Boons'!$BF$2:$BG$900,2,FALSE),"")</f>
        <v/>
      </c>
      <c r="C470" s="727"/>
      <c r="D470" s="727"/>
      <c r="E470" s="727"/>
      <c r="F470" s="727"/>
      <c r="G470" s="727"/>
      <c r="H470" s="727"/>
      <c r="I470" s="727" t="str">
        <f>IF(B470="","",VLOOKUP(B470,BoonRef!$A$2:$Z$900,25,FALSE))</f>
        <v/>
      </c>
      <c r="J470" s="727"/>
      <c r="K470" s="727"/>
      <c r="L470" s="727"/>
      <c r="M470" s="727"/>
      <c r="N470" s="727"/>
      <c r="O470" s="727"/>
      <c r="P470" s="727"/>
      <c r="Q470" s="727"/>
      <c r="R470" s="727"/>
      <c r="S470" s="727"/>
      <c r="T470" s="727"/>
      <c r="U470" s="727"/>
      <c r="V470" s="727"/>
      <c r="W470" s="727"/>
      <c r="X470" s="727"/>
      <c r="Y470" s="727"/>
      <c r="Z470" s="728"/>
      <c r="AA470" s="15">
        <v>185</v>
      </c>
      <c r="AB470" s="1026" t="str">
        <f>IF(AA470&lt;'Purchased Boons'!$B$496,VLOOKUP(AA470,'Purchased Boons'!$BF$2:$BG$900,2,FALSE),"")</f>
        <v/>
      </c>
      <c r="AC470" s="727"/>
      <c r="AD470" s="727"/>
      <c r="AE470" s="727"/>
      <c r="AF470" s="727"/>
      <c r="AG470" s="727"/>
      <c r="AH470" s="727"/>
      <c r="AI470" s="727" t="str">
        <f>IF(AB470="","",VLOOKUP(AB470,BoonRef!$A$2:$Z$900,25,FALSE))</f>
        <v/>
      </c>
      <c r="AJ470" s="727"/>
      <c r="AK470" s="727"/>
      <c r="AL470" s="727"/>
      <c r="AM470" s="727"/>
      <c r="AN470" s="727"/>
      <c r="AO470" s="727"/>
      <c r="AP470" s="727"/>
      <c r="AQ470" s="727"/>
      <c r="AR470" s="727"/>
      <c r="AS470" s="727"/>
      <c r="AT470" s="727"/>
      <c r="AU470" s="727"/>
      <c r="AV470" s="727"/>
      <c r="AW470" s="727"/>
      <c r="AX470" s="727"/>
      <c r="AY470" s="727"/>
      <c r="AZ470" s="728"/>
      <c r="BA470" s="15">
        <v>78</v>
      </c>
      <c r="BB470" s="1038" t="str">
        <f>IF(BA470&lt;'Purchased Knacks'!A$192,VLOOKUP(BA470,'Purchased Knacks'!$A$4:$E$300,3,FALSE),"")</f>
        <v/>
      </c>
      <c r="BC470" s="1039"/>
      <c r="BD470" s="1039"/>
      <c r="BE470" s="1039"/>
      <c r="BF470" s="1040"/>
      <c r="BG470" s="1032" t="str">
        <f>IF(BB470="","",VLOOKUP(BB470,KanckRef!$A$1:$G$300,7,FALSE))</f>
        <v/>
      </c>
      <c r="BH470" s="1033"/>
      <c r="BI470" s="753"/>
      <c r="BJ470" s="754"/>
      <c r="BK470" s="754"/>
      <c r="BL470" s="754"/>
      <c r="BM470" s="754"/>
      <c r="BN470" s="754"/>
      <c r="BO470" s="754"/>
      <c r="BP470" s="754"/>
      <c r="BQ470" s="754"/>
      <c r="BR470" s="754"/>
      <c r="BS470" s="754"/>
      <c r="BT470" s="754"/>
      <c r="BU470" s="754"/>
      <c r="BV470" s="754"/>
      <c r="BW470" s="754"/>
      <c r="BX470" s="754"/>
      <c r="BY470" s="754"/>
      <c r="BZ470" s="755"/>
      <c r="CA470" s="15">
        <v>185</v>
      </c>
      <c r="CB470" s="1038" t="str">
        <f>IF(CA470&lt;'Purchased Knacks'!A$192,VLOOKUP(CA470,'Purchased Knacks'!$A$4:$E$300,3,FALSE),"")</f>
        <v/>
      </c>
      <c r="CC470" s="1039"/>
      <c r="CD470" s="1039"/>
      <c r="CE470" s="1039"/>
      <c r="CF470" s="1040"/>
      <c r="CG470" s="1032" t="str">
        <f>IF(CB470="","",VLOOKUP(CB470,KanckRef!$A$1:$G$300,7,FALSE))</f>
        <v/>
      </c>
      <c r="CH470" s="1033"/>
      <c r="CI470" s="753"/>
      <c r="CJ470" s="754"/>
      <c r="CK470" s="754"/>
      <c r="CL470" s="754"/>
      <c r="CM470" s="754"/>
      <c r="CN470" s="754"/>
      <c r="CO470" s="754"/>
      <c r="CP470" s="754"/>
      <c r="CQ470" s="754"/>
      <c r="CR470" s="754"/>
      <c r="CS470" s="754"/>
      <c r="CT470" s="754"/>
      <c r="CU470" s="754"/>
      <c r="CV470" s="754"/>
      <c r="CW470" s="754"/>
      <c r="CX470" s="754"/>
      <c r="CY470" s="754"/>
      <c r="CZ470" s="755"/>
    </row>
    <row r="471" spans="1:104" x14ac:dyDescent="0.25">
      <c r="B471" s="1026"/>
      <c r="C471" s="727"/>
      <c r="D471" s="727"/>
      <c r="E471" s="727"/>
      <c r="F471" s="727"/>
      <c r="G471" s="727"/>
      <c r="H471" s="727"/>
      <c r="I471" s="727" t="str">
        <f>IF(B470="","",VLOOKUP(B470,BoonRef!$A$2:$Z$900,26,FALSE))</f>
        <v/>
      </c>
      <c r="J471" s="727"/>
      <c r="K471" s="727"/>
      <c r="L471" s="727"/>
      <c r="M471" s="727"/>
      <c r="N471" s="727"/>
      <c r="O471" s="727"/>
      <c r="P471" s="727"/>
      <c r="Q471" s="727"/>
      <c r="R471" s="727"/>
      <c r="S471" s="727"/>
      <c r="T471" s="727"/>
      <c r="U471" s="727"/>
      <c r="V471" s="727"/>
      <c r="W471" s="727"/>
      <c r="X471" s="727"/>
      <c r="Y471" s="727"/>
      <c r="Z471" s="728"/>
      <c r="AB471" s="1026"/>
      <c r="AC471" s="727"/>
      <c r="AD471" s="727"/>
      <c r="AE471" s="727"/>
      <c r="AF471" s="727"/>
      <c r="AG471" s="727"/>
      <c r="AH471" s="727"/>
      <c r="AI471" s="727" t="str">
        <f>IF(AB470="","",VLOOKUP(AB470,BoonRef!$A$2:$Z$900,26,FALSE))</f>
        <v/>
      </c>
      <c r="AJ471" s="727"/>
      <c r="AK471" s="727"/>
      <c r="AL471" s="727"/>
      <c r="AM471" s="727"/>
      <c r="AN471" s="727"/>
      <c r="AO471" s="727"/>
      <c r="AP471" s="727"/>
      <c r="AQ471" s="727"/>
      <c r="AR471" s="727"/>
      <c r="AS471" s="727"/>
      <c r="AT471" s="727"/>
      <c r="AU471" s="727"/>
      <c r="AV471" s="727"/>
      <c r="AW471" s="727"/>
      <c r="AX471" s="727"/>
      <c r="AY471" s="727"/>
      <c r="AZ471" s="728"/>
      <c r="BB471" s="1041"/>
      <c r="BC471" s="1042"/>
      <c r="BD471" s="1042"/>
      <c r="BE471" s="1042"/>
      <c r="BF471" s="1043"/>
      <c r="BG471" s="1034"/>
      <c r="BH471" s="1035"/>
      <c r="BI471" s="753"/>
      <c r="BJ471" s="754"/>
      <c r="BK471" s="754"/>
      <c r="BL471" s="754"/>
      <c r="BM471" s="754"/>
      <c r="BN471" s="754"/>
      <c r="BO471" s="754"/>
      <c r="BP471" s="754"/>
      <c r="BQ471" s="754"/>
      <c r="BR471" s="754"/>
      <c r="BS471" s="754"/>
      <c r="BT471" s="754"/>
      <c r="BU471" s="754"/>
      <c r="BV471" s="754"/>
      <c r="BW471" s="754"/>
      <c r="BX471" s="754"/>
      <c r="BY471" s="754"/>
      <c r="BZ471" s="755"/>
      <c r="CB471" s="1041"/>
      <c r="CC471" s="1042"/>
      <c r="CD471" s="1042"/>
      <c r="CE471" s="1042"/>
      <c r="CF471" s="1043"/>
      <c r="CG471" s="1034"/>
      <c r="CH471" s="1035"/>
      <c r="CI471" s="753"/>
      <c r="CJ471" s="754"/>
      <c r="CK471" s="754"/>
      <c r="CL471" s="754"/>
      <c r="CM471" s="754"/>
      <c r="CN471" s="754"/>
      <c r="CO471" s="754"/>
      <c r="CP471" s="754"/>
      <c r="CQ471" s="754"/>
      <c r="CR471" s="754"/>
      <c r="CS471" s="754"/>
      <c r="CT471" s="754"/>
      <c r="CU471" s="754"/>
      <c r="CV471" s="754"/>
      <c r="CW471" s="754"/>
      <c r="CX471" s="754"/>
      <c r="CY471" s="754"/>
      <c r="CZ471" s="755"/>
    </row>
    <row r="472" spans="1:104" x14ac:dyDescent="0.25">
      <c r="B472" s="1026" t="str">
        <f>IF(B470="","",VLOOKUP(B470,BoonRef!$A$2:$Z$900,24,FALSE))</f>
        <v/>
      </c>
      <c r="C472" s="727"/>
      <c r="D472" s="727"/>
      <c r="E472" s="727"/>
      <c r="F472" s="727"/>
      <c r="G472" s="727"/>
      <c r="H472" s="727"/>
      <c r="I472" s="727"/>
      <c r="J472" s="727"/>
      <c r="K472" s="727"/>
      <c r="L472" s="727"/>
      <c r="M472" s="727"/>
      <c r="N472" s="727"/>
      <c r="O472" s="727"/>
      <c r="P472" s="727"/>
      <c r="Q472" s="727"/>
      <c r="R472" s="727"/>
      <c r="S472" s="727"/>
      <c r="T472" s="727"/>
      <c r="U472" s="727"/>
      <c r="V472" s="727"/>
      <c r="W472" s="727"/>
      <c r="X472" s="727"/>
      <c r="Y472" s="727"/>
      <c r="Z472" s="728"/>
      <c r="AB472" s="1026" t="str">
        <f>IF(AB470="","",VLOOKUP(AB470,BoonRef!$A$2:$Z$900,24,FALSE))</f>
        <v/>
      </c>
      <c r="AC472" s="727"/>
      <c r="AD472" s="727"/>
      <c r="AE472" s="727"/>
      <c r="AF472" s="727"/>
      <c r="AG472" s="727"/>
      <c r="AH472" s="727"/>
      <c r="AI472" s="727"/>
      <c r="AJ472" s="727"/>
      <c r="AK472" s="727"/>
      <c r="AL472" s="727"/>
      <c r="AM472" s="727"/>
      <c r="AN472" s="727"/>
      <c r="AO472" s="727"/>
      <c r="AP472" s="727"/>
      <c r="AQ472" s="727"/>
      <c r="AR472" s="727"/>
      <c r="AS472" s="727"/>
      <c r="AT472" s="727"/>
      <c r="AU472" s="727"/>
      <c r="AV472" s="727"/>
      <c r="AW472" s="727"/>
      <c r="AX472" s="727"/>
      <c r="AY472" s="727"/>
      <c r="AZ472" s="728"/>
      <c r="BB472" s="641" t="str">
        <f>IF(BB470="","",VLOOKUP(BB470,KanckRef!$A$1:$G$300,4,FALSE))</f>
        <v/>
      </c>
      <c r="BC472" s="642"/>
      <c r="BD472" s="642"/>
      <c r="BE472" s="642"/>
      <c r="BF472" s="642"/>
      <c r="BG472" s="642"/>
      <c r="BH472" s="1033"/>
      <c r="BI472" s="753"/>
      <c r="BJ472" s="754"/>
      <c r="BK472" s="754"/>
      <c r="BL472" s="754"/>
      <c r="BM472" s="754"/>
      <c r="BN472" s="754"/>
      <c r="BO472" s="754"/>
      <c r="BP472" s="754"/>
      <c r="BQ472" s="754"/>
      <c r="BR472" s="754"/>
      <c r="BS472" s="754"/>
      <c r="BT472" s="754"/>
      <c r="BU472" s="754"/>
      <c r="BV472" s="754"/>
      <c r="BW472" s="754"/>
      <c r="BX472" s="754"/>
      <c r="BY472" s="754"/>
      <c r="BZ472" s="755"/>
      <c r="CB472" s="641" t="str">
        <f>IF(CB470="","",VLOOKUP(CB470,KanckRef!$A$1:$G$300,4,FALSE))</f>
        <v/>
      </c>
      <c r="CC472" s="642"/>
      <c r="CD472" s="642"/>
      <c r="CE472" s="642"/>
      <c r="CF472" s="642"/>
      <c r="CG472" s="642"/>
      <c r="CH472" s="1033"/>
      <c r="CI472" s="753"/>
      <c r="CJ472" s="754"/>
      <c r="CK472" s="754"/>
      <c r="CL472" s="754"/>
      <c r="CM472" s="754"/>
      <c r="CN472" s="754"/>
      <c r="CO472" s="754"/>
      <c r="CP472" s="754"/>
      <c r="CQ472" s="754"/>
      <c r="CR472" s="754"/>
      <c r="CS472" s="754"/>
      <c r="CT472" s="754"/>
      <c r="CU472" s="754"/>
      <c r="CV472" s="754"/>
      <c r="CW472" s="754"/>
      <c r="CX472" s="754"/>
      <c r="CY472" s="754"/>
      <c r="CZ472" s="755"/>
    </row>
    <row r="473" spans="1:104" x14ac:dyDescent="0.25">
      <c r="B473" s="1026" t="str">
        <f>IF(B470="","",VLOOKUP(B470,BoonRef!$A$2:$Z$900,23,FALSE))</f>
        <v/>
      </c>
      <c r="C473" s="727"/>
      <c r="D473" s="727"/>
      <c r="E473" s="727"/>
      <c r="F473" s="727"/>
      <c r="G473" s="727"/>
      <c r="H473" s="727"/>
      <c r="I473" s="727"/>
      <c r="J473" s="727"/>
      <c r="K473" s="727"/>
      <c r="L473" s="727"/>
      <c r="M473" s="727"/>
      <c r="N473" s="727"/>
      <c r="O473" s="727"/>
      <c r="P473" s="727"/>
      <c r="Q473" s="727"/>
      <c r="R473" s="727"/>
      <c r="S473" s="727"/>
      <c r="T473" s="727"/>
      <c r="U473" s="727"/>
      <c r="V473" s="727"/>
      <c r="W473" s="727"/>
      <c r="X473" s="727"/>
      <c r="Y473" s="727"/>
      <c r="Z473" s="728"/>
      <c r="AB473" s="1026" t="str">
        <f>IF(AB470="","",VLOOKUP(AB470,BoonRef!$A$2:$Z$900,23,FALSE))</f>
        <v/>
      </c>
      <c r="AC473" s="727"/>
      <c r="AD473" s="727"/>
      <c r="AE473" s="727"/>
      <c r="AF473" s="727"/>
      <c r="AG473" s="727"/>
      <c r="AH473" s="727"/>
      <c r="AI473" s="727"/>
      <c r="AJ473" s="727"/>
      <c r="AK473" s="727"/>
      <c r="AL473" s="727"/>
      <c r="AM473" s="727"/>
      <c r="AN473" s="727"/>
      <c r="AO473" s="727"/>
      <c r="AP473" s="727"/>
      <c r="AQ473" s="727"/>
      <c r="AR473" s="727"/>
      <c r="AS473" s="727"/>
      <c r="AT473" s="727"/>
      <c r="AU473" s="727"/>
      <c r="AV473" s="727"/>
      <c r="AW473" s="727"/>
      <c r="AX473" s="727"/>
      <c r="AY473" s="727"/>
      <c r="AZ473" s="728"/>
      <c r="BB473" s="635"/>
      <c r="BC473" s="636"/>
      <c r="BD473" s="636"/>
      <c r="BE473" s="636"/>
      <c r="BF473" s="636"/>
      <c r="BG473" s="636"/>
      <c r="BH473" s="1036"/>
      <c r="BI473" s="753"/>
      <c r="BJ473" s="754"/>
      <c r="BK473" s="754"/>
      <c r="BL473" s="754"/>
      <c r="BM473" s="754"/>
      <c r="BN473" s="754"/>
      <c r="BO473" s="754"/>
      <c r="BP473" s="754"/>
      <c r="BQ473" s="754"/>
      <c r="BR473" s="754"/>
      <c r="BS473" s="754"/>
      <c r="BT473" s="754"/>
      <c r="BU473" s="754"/>
      <c r="BV473" s="754"/>
      <c r="BW473" s="754"/>
      <c r="BX473" s="754"/>
      <c r="BY473" s="754"/>
      <c r="BZ473" s="755"/>
      <c r="CB473" s="635"/>
      <c r="CC473" s="636"/>
      <c r="CD473" s="636"/>
      <c r="CE473" s="636"/>
      <c r="CF473" s="636"/>
      <c r="CG473" s="636"/>
      <c r="CH473" s="1036"/>
      <c r="CI473" s="753"/>
      <c r="CJ473" s="754"/>
      <c r="CK473" s="754"/>
      <c r="CL473" s="754"/>
      <c r="CM473" s="754"/>
      <c r="CN473" s="754"/>
      <c r="CO473" s="754"/>
      <c r="CP473" s="754"/>
      <c r="CQ473" s="754"/>
      <c r="CR473" s="754"/>
      <c r="CS473" s="754"/>
      <c r="CT473" s="754"/>
      <c r="CU473" s="754"/>
      <c r="CV473" s="754"/>
      <c r="CW473" s="754"/>
      <c r="CX473" s="754"/>
      <c r="CY473" s="754"/>
      <c r="CZ473" s="755"/>
    </row>
    <row r="474" spans="1:104" ht="15.75" thickBot="1" x14ac:dyDescent="0.3">
      <c r="B474" s="1027"/>
      <c r="C474" s="865"/>
      <c r="D474" s="865"/>
      <c r="E474" s="865"/>
      <c r="F474" s="865"/>
      <c r="G474" s="865"/>
      <c r="H474" s="865"/>
      <c r="I474" s="865"/>
      <c r="J474" s="865"/>
      <c r="K474" s="865"/>
      <c r="L474" s="865"/>
      <c r="M474" s="865"/>
      <c r="N474" s="865"/>
      <c r="O474" s="865"/>
      <c r="P474" s="865"/>
      <c r="Q474" s="865"/>
      <c r="R474" s="865"/>
      <c r="S474" s="865"/>
      <c r="T474" s="865"/>
      <c r="U474" s="865"/>
      <c r="V474" s="865"/>
      <c r="W474" s="865"/>
      <c r="X474" s="865"/>
      <c r="Y474" s="865"/>
      <c r="Z474" s="921"/>
      <c r="AB474" s="1027"/>
      <c r="AC474" s="865"/>
      <c r="AD474" s="865"/>
      <c r="AE474" s="865"/>
      <c r="AF474" s="865"/>
      <c r="AG474" s="865"/>
      <c r="AH474" s="865"/>
      <c r="AI474" s="865"/>
      <c r="AJ474" s="865"/>
      <c r="AK474" s="865"/>
      <c r="AL474" s="865"/>
      <c r="AM474" s="865"/>
      <c r="AN474" s="865"/>
      <c r="AO474" s="865"/>
      <c r="AP474" s="865"/>
      <c r="AQ474" s="865"/>
      <c r="AR474" s="865"/>
      <c r="AS474" s="865"/>
      <c r="AT474" s="865"/>
      <c r="AU474" s="865"/>
      <c r="AV474" s="865"/>
      <c r="AW474" s="865"/>
      <c r="AX474" s="865"/>
      <c r="AY474" s="865"/>
      <c r="AZ474" s="921"/>
      <c r="BB474" s="644"/>
      <c r="BC474" s="645"/>
      <c r="BD474" s="645"/>
      <c r="BE474" s="645"/>
      <c r="BF474" s="645"/>
      <c r="BG474" s="645"/>
      <c r="BH474" s="1037"/>
      <c r="BI474" s="756"/>
      <c r="BJ474" s="757"/>
      <c r="BK474" s="757"/>
      <c r="BL474" s="757"/>
      <c r="BM474" s="757"/>
      <c r="BN474" s="757"/>
      <c r="BO474" s="757"/>
      <c r="BP474" s="757"/>
      <c r="BQ474" s="757"/>
      <c r="BR474" s="757"/>
      <c r="BS474" s="757"/>
      <c r="BT474" s="757"/>
      <c r="BU474" s="757"/>
      <c r="BV474" s="757"/>
      <c r="BW474" s="757"/>
      <c r="BX474" s="757"/>
      <c r="BY474" s="757"/>
      <c r="BZ474" s="758"/>
      <c r="CB474" s="644"/>
      <c r="CC474" s="645"/>
      <c r="CD474" s="645"/>
      <c r="CE474" s="645"/>
      <c r="CF474" s="645"/>
      <c r="CG474" s="645"/>
      <c r="CH474" s="1037"/>
      <c r="CI474" s="756"/>
      <c r="CJ474" s="757"/>
      <c r="CK474" s="757"/>
      <c r="CL474" s="757"/>
      <c r="CM474" s="757"/>
      <c r="CN474" s="757"/>
      <c r="CO474" s="757"/>
      <c r="CP474" s="757"/>
      <c r="CQ474" s="757"/>
      <c r="CR474" s="757"/>
      <c r="CS474" s="757"/>
      <c r="CT474" s="757"/>
      <c r="CU474" s="757"/>
      <c r="CV474" s="757"/>
      <c r="CW474" s="757"/>
      <c r="CX474" s="757"/>
      <c r="CY474" s="757"/>
      <c r="CZ474" s="758"/>
    </row>
    <row r="475" spans="1:104" x14ac:dyDescent="0.25">
      <c r="B475" s="1028" t="str">
        <f>IF(B476="","",VLOOKUP(B476,BoonRef!$A$2:$Z$900,2,FALSE))</f>
        <v/>
      </c>
      <c r="C475" s="725"/>
      <c r="D475" s="725"/>
      <c r="E475" s="725"/>
      <c r="F475" s="725"/>
      <c r="G475" s="725"/>
      <c r="H475" s="725"/>
      <c r="I475" s="725" t="str">
        <f>IF(B476="","",VLOOKUP(B476,BoonRef!$A$2:$Z$900,3,FALSE))</f>
        <v/>
      </c>
      <c r="J475" s="725"/>
      <c r="K475" s="725" t="str">
        <f>IF(B476="","",VLOOKUP(B476,DescRef!$A$2:$B$900,2,FALSE))</f>
        <v/>
      </c>
      <c r="L475" s="725"/>
      <c r="M475" s="725"/>
      <c r="N475" s="725"/>
      <c r="O475" s="725"/>
      <c r="P475" s="725"/>
      <c r="Q475" s="725"/>
      <c r="R475" s="725"/>
      <c r="S475" s="725"/>
      <c r="T475" s="725"/>
      <c r="U475" s="725"/>
      <c r="V475" s="725"/>
      <c r="W475" s="725"/>
      <c r="X475" s="725"/>
      <c r="Y475" s="725"/>
      <c r="Z475" s="726"/>
      <c r="AB475" s="1028" t="str">
        <f>IF(AB476="","",VLOOKUP(AB476,BoonRef!$A$2:$Z$900,2,FALSE))</f>
        <v/>
      </c>
      <c r="AC475" s="725"/>
      <c r="AD475" s="725"/>
      <c r="AE475" s="725"/>
      <c r="AF475" s="725"/>
      <c r="AG475" s="725"/>
      <c r="AH475" s="725"/>
      <c r="AI475" s="725" t="str">
        <f>IF(AB476="","",VLOOKUP(AB476,BoonRef!$A$2:$Z$900,3,FALSE))</f>
        <v/>
      </c>
      <c r="AJ475" s="725"/>
      <c r="AK475" s="725" t="str">
        <f>IF(AB476="","",VLOOKUP(AB476,DescRef!$A$2:$B$900,2,FALSE))</f>
        <v/>
      </c>
      <c r="AL475" s="725"/>
      <c r="AM475" s="725"/>
      <c r="AN475" s="725"/>
      <c r="AO475" s="725"/>
      <c r="AP475" s="725"/>
      <c r="AQ475" s="725"/>
      <c r="AR475" s="725"/>
      <c r="AS475" s="725"/>
      <c r="AT475" s="725"/>
      <c r="AU475" s="725"/>
      <c r="AV475" s="725"/>
      <c r="AW475" s="725"/>
      <c r="AX475" s="725"/>
      <c r="AY475" s="725"/>
      <c r="AZ475" s="726"/>
      <c r="BB475" s="1029" t="str">
        <f>IF(BB476="","",VLOOKUP(BB476,KanckRef!$A$1:$G$300,2,FALSE))</f>
        <v/>
      </c>
      <c r="BC475" s="1030"/>
      <c r="BD475" s="1030"/>
      <c r="BE475" s="1030"/>
      <c r="BF475" s="1031"/>
      <c r="BG475" s="1048" t="str">
        <f>IF(BB476="","",VLOOKUP(BB476,KanckRef!$A$1:$G$300,6,FALSE))</f>
        <v/>
      </c>
      <c r="BH475" s="1049"/>
      <c r="BI475" s="988" t="str">
        <f>IF(BB476="","",VLOOKUP(BB476,DescRef!$D$2:$E$300,2,FALSE))</f>
        <v/>
      </c>
      <c r="BJ475" s="795"/>
      <c r="BK475" s="795"/>
      <c r="BL475" s="795"/>
      <c r="BM475" s="795"/>
      <c r="BN475" s="795"/>
      <c r="BO475" s="795"/>
      <c r="BP475" s="795"/>
      <c r="BQ475" s="795"/>
      <c r="BR475" s="795"/>
      <c r="BS475" s="795"/>
      <c r="BT475" s="795"/>
      <c r="BU475" s="795"/>
      <c r="BV475" s="795"/>
      <c r="BW475" s="795"/>
      <c r="BX475" s="795"/>
      <c r="BY475" s="795"/>
      <c r="BZ475" s="796"/>
      <c r="CB475" s="1029" t="str">
        <f>IF(CB476="","",VLOOKUP(CB476,KanckRef!$A$1:$G$300,2,FALSE))</f>
        <v/>
      </c>
      <c r="CC475" s="1030"/>
      <c r="CD475" s="1030"/>
      <c r="CE475" s="1030"/>
      <c r="CF475" s="1031"/>
      <c r="CG475" s="1048" t="str">
        <f>IF(CB476="","",VLOOKUP(CB476,KanckRef!$A$1:$G$300,6,FALSE))</f>
        <v/>
      </c>
      <c r="CH475" s="1049"/>
      <c r="CI475" s="988" t="str">
        <f>IF(CB476="","",VLOOKUP(CB476,DescRef!$D$2:$E$300,2,FALSE))</f>
        <v/>
      </c>
      <c r="CJ475" s="795"/>
      <c r="CK475" s="795"/>
      <c r="CL475" s="795"/>
      <c r="CM475" s="795"/>
      <c r="CN475" s="795"/>
      <c r="CO475" s="795"/>
      <c r="CP475" s="795"/>
      <c r="CQ475" s="795"/>
      <c r="CR475" s="795"/>
      <c r="CS475" s="795"/>
      <c r="CT475" s="795"/>
      <c r="CU475" s="795"/>
      <c r="CV475" s="795"/>
      <c r="CW475" s="795"/>
      <c r="CX475" s="795"/>
      <c r="CY475" s="795"/>
      <c r="CZ475" s="796"/>
    </row>
    <row r="476" spans="1:104" ht="15" customHeight="1" x14ac:dyDescent="0.25">
      <c r="A476" s="15">
        <v>79</v>
      </c>
      <c r="B476" s="1026" t="str">
        <f>IF(A476&lt;'Purchased Boons'!$B$496,VLOOKUP(A476,'Purchased Boons'!$BF$2:$BG$900,2,FALSE),"")</f>
        <v/>
      </c>
      <c r="C476" s="727"/>
      <c r="D476" s="727"/>
      <c r="E476" s="727"/>
      <c r="F476" s="727"/>
      <c r="G476" s="727"/>
      <c r="H476" s="727"/>
      <c r="I476" s="727" t="str">
        <f>IF(B476="","",VLOOKUP(B476,BoonRef!$A$2:$Z$900,25,FALSE))</f>
        <v/>
      </c>
      <c r="J476" s="727"/>
      <c r="K476" s="727"/>
      <c r="L476" s="727"/>
      <c r="M476" s="727"/>
      <c r="N476" s="727"/>
      <c r="O476" s="727"/>
      <c r="P476" s="727"/>
      <c r="Q476" s="727"/>
      <c r="R476" s="727"/>
      <c r="S476" s="727"/>
      <c r="T476" s="727"/>
      <c r="U476" s="727"/>
      <c r="V476" s="727"/>
      <c r="W476" s="727"/>
      <c r="X476" s="727"/>
      <c r="Y476" s="727"/>
      <c r="Z476" s="728"/>
      <c r="AA476" s="15">
        <v>186</v>
      </c>
      <c r="AB476" s="1026" t="str">
        <f>IF(AA476&lt;'Purchased Boons'!$B$496,VLOOKUP(AA476,'Purchased Boons'!$BF$2:$BG$900,2,FALSE),"")</f>
        <v/>
      </c>
      <c r="AC476" s="727"/>
      <c r="AD476" s="727"/>
      <c r="AE476" s="727"/>
      <c r="AF476" s="727"/>
      <c r="AG476" s="727"/>
      <c r="AH476" s="727"/>
      <c r="AI476" s="727" t="str">
        <f>IF(AB476="","",VLOOKUP(AB476,BoonRef!$A$2:$Z$900,25,FALSE))</f>
        <v/>
      </c>
      <c r="AJ476" s="727"/>
      <c r="AK476" s="727"/>
      <c r="AL476" s="727"/>
      <c r="AM476" s="727"/>
      <c r="AN476" s="727"/>
      <c r="AO476" s="727"/>
      <c r="AP476" s="727"/>
      <c r="AQ476" s="727"/>
      <c r="AR476" s="727"/>
      <c r="AS476" s="727"/>
      <c r="AT476" s="727"/>
      <c r="AU476" s="727"/>
      <c r="AV476" s="727"/>
      <c r="AW476" s="727"/>
      <c r="AX476" s="727"/>
      <c r="AY476" s="727"/>
      <c r="AZ476" s="728"/>
      <c r="BA476" s="15">
        <v>79</v>
      </c>
      <c r="BB476" s="1038" t="str">
        <f>IF(BA476&lt;'Purchased Knacks'!A$192,VLOOKUP(BA476,'Purchased Knacks'!$A$4:$E$300,3,FALSE),"")</f>
        <v/>
      </c>
      <c r="BC476" s="1039"/>
      <c r="BD476" s="1039"/>
      <c r="BE476" s="1039"/>
      <c r="BF476" s="1040"/>
      <c r="BG476" s="1032" t="str">
        <f>IF(BB476="","",VLOOKUP(BB476,KanckRef!$A$1:$G$300,7,FALSE))</f>
        <v/>
      </c>
      <c r="BH476" s="1033"/>
      <c r="BI476" s="753"/>
      <c r="BJ476" s="754"/>
      <c r="BK476" s="754"/>
      <c r="BL476" s="754"/>
      <c r="BM476" s="754"/>
      <c r="BN476" s="754"/>
      <c r="BO476" s="754"/>
      <c r="BP476" s="754"/>
      <c r="BQ476" s="754"/>
      <c r="BR476" s="754"/>
      <c r="BS476" s="754"/>
      <c r="BT476" s="754"/>
      <c r="BU476" s="754"/>
      <c r="BV476" s="754"/>
      <c r="BW476" s="754"/>
      <c r="BX476" s="754"/>
      <c r="BY476" s="754"/>
      <c r="BZ476" s="755"/>
      <c r="CA476" s="15">
        <v>186</v>
      </c>
      <c r="CB476" s="1038" t="str">
        <f>IF(CA476&lt;'Purchased Knacks'!A$192,VLOOKUP(CA476,'Purchased Knacks'!$A$4:$E$300,3,FALSE),"")</f>
        <v/>
      </c>
      <c r="CC476" s="1039"/>
      <c r="CD476" s="1039"/>
      <c r="CE476" s="1039"/>
      <c r="CF476" s="1040"/>
      <c r="CG476" s="1032" t="str">
        <f>IF(CB476="","",VLOOKUP(CB476,KanckRef!$A$1:$G$300,7,FALSE))</f>
        <v/>
      </c>
      <c r="CH476" s="1033"/>
      <c r="CI476" s="753"/>
      <c r="CJ476" s="754"/>
      <c r="CK476" s="754"/>
      <c r="CL476" s="754"/>
      <c r="CM476" s="754"/>
      <c r="CN476" s="754"/>
      <c r="CO476" s="754"/>
      <c r="CP476" s="754"/>
      <c r="CQ476" s="754"/>
      <c r="CR476" s="754"/>
      <c r="CS476" s="754"/>
      <c r="CT476" s="754"/>
      <c r="CU476" s="754"/>
      <c r="CV476" s="754"/>
      <c r="CW476" s="754"/>
      <c r="CX476" s="754"/>
      <c r="CY476" s="754"/>
      <c r="CZ476" s="755"/>
    </row>
    <row r="477" spans="1:104" x14ac:dyDescent="0.25">
      <c r="B477" s="1026"/>
      <c r="C477" s="727"/>
      <c r="D477" s="727"/>
      <c r="E477" s="727"/>
      <c r="F477" s="727"/>
      <c r="G477" s="727"/>
      <c r="H477" s="727"/>
      <c r="I477" s="727" t="str">
        <f>IF(B476="","",VLOOKUP(B476,BoonRef!$A$2:$Z$900,26,FALSE))</f>
        <v/>
      </c>
      <c r="J477" s="727"/>
      <c r="K477" s="727"/>
      <c r="L477" s="727"/>
      <c r="M477" s="727"/>
      <c r="N477" s="727"/>
      <c r="O477" s="727"/>
      <c r="P477" s="727"/>
      <c r="Q477" s="727"/>
      <c r="R477" s="727"/>
      <c r="S477" s="727"/>
      <c r="T477" s="727"/>
      <c r="U477" s="727"/>
      <c r="V477" s="727"/>
      <c r="W477" s="727"/>
      <c r="X477" s="727"/>
      <c r="Y477" s="727"/>
      <c r="Z477" s="728"/>
      <c r="AB477" s="1026"/>
      <c r="AC477" s="727"/>
      <c r="AD477" s="727"/>
      <c r="AE477" s="727"/>
      <c r="AF477" s="727"/>
      <c r="AG477" s="727"/>
      <c r="AH477" s="727"/>
      <c r="AI477" s="727" t="str">
        <f>IF(AB476="","",VLOOKUP(AB476,BoonRef!$A$2:$Z$900,26,FALSE))</f>
        <v/>
      </c>
      <c r="AJ477" s="727"/>
      <c r="AK477" s="727"/>
      <c r="AL477" s="727"/>
      <c r="AM477" s="727"/>
      <c r="AN477" s="727"/>
      <c r="AO477" s="727"/>
      <c r="AP477" s="727"/>
      <c r="AQ477" s="727"/>
      <c r="AR477" s="727"/>
      <c r="AS477" s="727"/>
      <c r="AT477" s="727"/>
      <c r="AU477" s="727"/>
      <c r="AV477" s="727"/>
      <c r="AW477" s="727"/>
      <c r="AX477" s="727"/>
      <c r="AY477" s="727"/>
      <c r="AZ477" s="728"/>
      <c r="BB477" s="1041"/>
      <c r="BC477" s="1042"/>
      <c r="BD477" s="1042"/>
      <c r="BE477" s="1042"/>
      <c r="BF477" s="1043"/>
      <c r="BG477" s="1034"/>
      <c r="BH477" s="1035"/>
      <c r="BI477" s="753"/>
      <c r="BJ477" s="754"/>
      <c r="BK477" s="754"/>
      <c r="BL477" s="754"/>
      <c r="BM477" s="754"/>
      <c r="BN477" s="754"/>
      <c r="BO477" s="754"/>
      <c r="BP477" s="754"/>
      <c r="BQ477" s="754"/>
      <c r="BR477" s="754"/>
      <c r="BS477" s="754"/>
      <c r="BT477" s="754"/>
      <c r="BU477" s="754"/>
      <c r="BV477" s="754"/>
      <c r="BW477" s="754"/>
      <c r="BX477" s="754"/>
      <c r="BY477" s="754"/>
      <c r="BZ477" s="755"/>
      <c r="CB477" s="1041"/>
      <c r="CC477" s="1042"/>
      <c r="CD477" s="1042"/>
      <c r="CE477" s="1042"/>
      <c r="CF477" s="1043"/>
      <c r="CG477" s="1034"/>
      <c r="CH477" s="1035"/>
      <c r="CI477" s="753"/>
      <c r="CJ477" s="754"/>
      <c r="CK477" s="754"/>
      <c r="CL477" s="754"/>
      <c r="CM477" s="754"/>
      <c r="CN477" s="754"/>
      <c r="CO477" s="754"/>
      <c r="CP477" s="754"/>
      <c r="CQ477" s="754"/>
      <c r="CR477" s="754"/>
      <c r="CS477" s="754"/>
      <c r="CT477" s="754"/>
      <c r="CU477" s="754"/>
      <c r="CV477" s="754"/>
      <c r="CW477" s="754"/>
      <c r="CX477" s="754"/>
      <c r="CY477" s="754"/>
      <c r="CZ477" s="755"/>
    </row>
    <row r="478" spans="1:104" x14ac:dyDescent="0.25">
      <c r="B478" s="1026" t="str">
        <f>IF(B476="","",VLOOKUP(B476,BoonRef!$A$2:$Z$900,24,FALSE))</f>
        <v/>
      </c>
      <c r="C478" s="727"/>
      <c r="D478" s="727"/>
      <c r="E478" s="727"/>
      <c r="F478" s="727"/>
      <c r="G478" s="727"/>
      <c r="H478" s="727"/>
      <c r="I478" s="727"/>
      <c r="J478" s="727"/>
      <c r="K478" s="727"/>
      <c r="L478" s="727"/>
      <c r="M478" s="727"/>
      <c r="N478" s="727"/>
      <c r="O478" s="727"/>
      <c r="P478" s="727"/>
      <c r="Q478" s="727"/>
      <c r="R478" s="727"/>
      <c r="S478" s="727"/>
      <c r="T478" s="727"/>
      <c r="U478" s="727"/>
      <c r="V478" s="727"/>
      <c r="W478" s="727"/>
      <c r="X478" s="727"/>
      <c r="Y478" s="727"/>
      <c r="Z478" s="728"/>
      <c r="AB478" s="1026" t="str">
        <f>IF(AB476="","",VLOOKUP(AB476,BoonRef!$A$2:$Z$900,24,FALSE))</f>
        <v/>
      </c>
      <c r="AC478" s="727"/>
      <c r="AD478" s="727"/>
      <c r="AE478" s="727"/>
      <c r="AF478" s="727"/>
      <c r="AG478" s="727"/>
      <c r="AH478" s="727"/>
      <c r="AI478" s="727"/>
      <c r="AJ478" s="727"/>
      <c r="AK478" s="727"/>
      <c r="AL478" s="727"/>
      <c r="AM478" s="727"/>
      <c r="AN478" s="727"/>
      <c r="AO478" s="727"/>
      <c r="AP478" s="727"/>
      <c r="AQ478" s="727"/>
      <c r="AR478" s="727"/>
      <c r="AS478" s="727"/>
      <c r="AT478" s="727"/>
      <c r="AU478" s="727"/>
      <c r="AV478" s="727"/>
      <c r="AW478" s="727"/>
      <c r="AX478" s="727"/>
      <c r="AY478" s="727"/>
      <c r="AZ478" s="728"/>
      <c r="BB478" s="641" t="str">
        <f>IF(BB476="","",VLOOKUP(BB476,KanckRef!$A$1:$G$300,4,FALSE))</f>
        <v/>
      </c>
      <c r="BC478" s="642"/>
      <c r="BD478" s="642"/>
      <c r="BE478" s="642"/>
      <c r="BF478" s="642"/>
      <c r="BG478" s="642"/>
      <c r="BH478" s="1033"/>
      <c r="BI478" s="753"/>
      <c r="BJ478" s="754"/>
      <c r="BK478" s="754"/>
      <c r="BL478" s="754"/>
      <c r="BM478" s="754"/>
      <c r="BN478" s="754"/>
      <c r="BO478" s="754"/>
      <c r="BP478" s="754"/>
      <c r="BQ478" s="754"/>
      <c r="BR478" s="754"/>
      <c r="BS478" s="754"/>
      <c r="BT478" s="754"/>
      <c r="BU478" s="754"/>
      <c r="BV478" s="754"/>
      <c r="BW478" s="754"/>
      <c r="BX478" s="754"/>
      <c r="BY478" s="754"/>
      <c r="BZ478" s="755"/>
      <c r="CB478" s="641" t="str">
        <f>IF(CB476="","",VLOOKUP(CB476,KanckRef!$A$1:$G$300,4,FALSE))</f>
        <v/>
      </c>
      <c r="CC478" s="642"/>
      <c r="CD478" s="642"/>
      <c r="CE478" s="642"/>
      <c r="CF478" s="642"/>
      <c r="CG478" s="642"/>
      <c r="CH478" s="1033"/>
      <c r="CI478" s="753"/>
      <c r="CJ478" s="754"/>
      <c r="CK478" s="754"/>
      <c r="CL478" s="754"/>
      <c r="CM478" s="754"/>
      <c r="CN478" s="754"/>
      <c r="CO478" s="754"/>
      <c r="CP478" s="754"/>
      <c r="CQ478" s="754"/>
      <c r="CR478" s="754"/>
      <c r="CS478" s="754"/>
      <c r="CT478" s="754"/>
      <c r="CU478" s="754"/>
      <c r="CV478" s="754"/>
      <c r="CW478" s="754"/>
      <c r="CX478" s="754"/>
      <c r="CY478" s="754"/>
      <c r="CZ478" s="755"/>
    </row>
    <row r="479" spans="1:104" x14ac:dyDescent="0.25">
      <c r="B479" s="1026" t="str">
        <f>IF(B476="","",VLOOKUP(B476,BoonRef!$A$2:$Z$900,23,FALSE))</f>
        <v/>
      </c>
      <c r="C479" s="727"/>
      <c r="D479" s="727"/>
      <c r="E479" s="727"/>
      <c r="F479" s="727"/>
      <c r="G479" s="727"/>
      <c r="H479" s="727"/>
      <c r="I479" s="727"/>
      <c r="J479" s="727"/>
      <c r="K479" s="727"/>
      <c r="L479" s="727"/>
      <c r="M479" s="727"/>
      <c r="N479" s="727"/>
      <c r="O479" s="727"/>
      <c r="P479" s="727"/>
      <c r="Q479" s="727"/>
      <c r="R479" s="727"/>
      <c r="S479" s="727"/>
      <c r="T479" s="727"/>
      <c r="U479" s="727"/>
      <c r="V479" s="727"/>
      <c r="W479" s="727"/>
      <c r="X479" s="727"/>
      <c r="Y479" s="727"/>
      <c r="Z479" s="728"/>
      <c r="AB479" s="1026" t="str">
        <f>IF(AB476="","",VLOOKUP(AB476,BoonRef!$A$2:$Z$900,23,FALSE))</f>
        <v/>
      </c>
      <c r="AC479" s="727"/>
      <c r="AD479" s="727"/>
      <c r="AE479" s="727"/>
      <c r="AF479" s="727"/>
      <c r="AG479" s="727"/>
      <c r="AH479" s="727"/>
      <c r="AI479" s="727"/>
      <c r="AJ479" s="727"/>
      <c r="AK479" s="727"/>
      <c r="AL479" s="727"/>
      <c r="AM479" s="727"/>
      <c r="AN479" s="727"/>
      <c r="AO479" s="727"/>
      <c r="AP479" s="727"/>
      <c r="AQ479" s="727"/>
      <c r="AR479" s="727"/>
      <c r="AS479" s="727"/>
      <c r="AT479" s="727"/>
      <c r="AU479" s="727"/>
      <c r="AV479" s="727"/>
      <c r="AW479" s="727"/>
      <c r="AX479" s="727"/>
      <c r="AY479" s="727"/>
      <c r="AZ479" s="728"/>
      <c r="BB479" s="635"/>
      <c r="BC479" s="636"/>
      <c r="BD479" s="636"/>
      <c r="BE479" s="636"/>
      <c r="BF479" s="636"/>
      <c r="BG479" s="636"/>
      <c r="BH479" s="1036"/>
      <c r="BI479" s="753"/>
      <c r="BJ479" s="754"/>
      <c r="BK479" s="754"/>
      <c r="BL479" s="754"/>
      <c r="BM479" s="754"/>
      <c r="BN479" s="754"/>
      <c r="BO479" s="754"/>
      <c r="BP479" s="754"/>
      <c r="BQ479" s="754"/>
      <c r="BR479" s="754"/>
      <c r="BS479" s="754"/>
      <c r="BT479" s="754"/>
      <c r="BU479" s="754"/>
      <c r="BV479" s="754"/>
      <c r="BW479" s="754"/>
      <c r="BX479" s="754"/>
      <c r="BY479" s="754"/>
      <c r="BZ479" s="755"/>
      <c r="CB479" s="635"/>
      <c r="CC479" s="636"/>
      <c r="CD479" s="636"/>
      <c r="CE479" s="636"/>
      <c r="CF479" s="636"/>
      <c r="CG479" s="636"/>
      <c r="CH479" s="1036"/>
      <c r="CI479" s="753"/>
      <c r="CJ479" s="754"/>
      <c r="CK479" s="754"/>
      <c r="CL479" s="754"/>
      <c r="CM479" s="754"/>
      <c r="CN479" s="754"/>
      <c r="CO479" s="754"/>
      <c r="CP479" s="754"/>
      <c r="CQ479" s="754"/>
      <c r="CR479" s="754"/>
      <c r="CS479" s="754"/>
      <c r="CT479" s="754"/>
      <c r="CU479" s="754"/>
      <c r="CV479" s="754"/>
      <c r="CW479" s="754"/>
      <c r="CX479" s="754"/>
      <c r="CY479" s="754"/>
      <c r="CZ479" s="755"/>
    </row>
    <row r="480" spans="1:104" ht="15.75" thickBot="1" x14ac:dyDescent="0.3">
      <c r="B480" s="1027"/>
      <c r="C480" s="865"/>
      <c r="D480" s="865"/>
      <c r="E480" s="865"/>
      <c r="F480" s="865"/>
      <c r="G480" s="865"/>
      <c r="H480" s="865"/>
      <c r="I480" s="865"/>
      <c r="J480" s="865"/>
      <c r="K480" s="865"/>
      <c r="L480" s="865"/>
      <c r="M480" s="865"/>
      <c r="N480" s="865"/>
      <c r="O480" s="865"/>
      <c r="P480" s="865"/>
      <c r="Q480" s="865"/>
      <c r="R480" s="865"/>
      <c r="S480" s="865"/>
      <c r="T480" s="865"/>
      <c r="U480" s="865"/>
      <c r="V480" s="865"/>
      <c r="W480" s="865"/>
      <c r="X480" s="865"/>
      <c r="Y480" s="865"/>
      <c r="Z480" s="921"/>
      <c r="AB480" s="1027"/>
      <c r="AC480" s="865"/>
      <c r="AD480" s="865"/>
      <c r="AE480" s="865"/>
      <c r="AF480" s="865"/>
      <c r="AG480" s="865"/>
      <c r="AH480" s="865"/>
      <c r="AI480" s="865"/>
      <c r="AJ480" s="865"/>
      <c r="AK480" s="865"/>
      <c r="AL480" s="865"/>
      <c r="AM480" s="865"/>
      <c r="AN480" s="865"/>
      <c r="AO480" s="865"/>
      <c r="AP480" s="865"/>
      <c r="AQ480" s="865"/>
      <c r="AR480" s="865"/>
      <c r="AS480" s="865"/>
      <c r="AT480" s="865"/>
      <c r="AU480" s="865"/>
      <c r="AV480" s="865"/>
      <c r="AW480" s="865"/>
      <c r="AX480" s="865"/>
      <c r="AY480" s="865"/>
      <c r="AZ480" s="921"/>
      <c r="BB480" s="644"/>
      <c r="BC480" s="645"/>
      <c r="BD480" s="645"/>
      <c r="BE480" s="645"/>
      <c r="BF480" s="645"/>
      <c r="BG480" s="645"/>
      <c r="BH480" s="1037"/>
      <c r="BI480" s="756"/>
      <c r="BJ480" s="757"/>
      <c r="BK480" s="757"/>
      <c r="BL480" s="757"/>
      <c r="BM480" s="757"/>
      <c r="BN480" s="757"/>
      <c r="BO480" s="757"/>
      <c r="BP480" s="757"/>
      <c r="BQ480" s="757"/>
      <c r="BR480" s="757"/>
      <c r="BS480" s="757"/>
      <c r="BT480" s="757"/>
      <c r="BU480" s="757"/>
      <c r="BV480" s="757"/>
      <c r="BW480" s="757"/>
      <c r="BX480" s="757"/>
      <c r="BY480" s="757"/>
      <c r="BZ480" s="758"/>
      <c r="CB480" s="644"/>
      <c r="CC480" s="645"/>
      <c r="CD480" s="645"/>
      <c r="CE480" s="645"/>
      <c r="CF480" s="645"/>
      <c r="CG480" s="645"/>
      <c r="CH480" s="1037"/>
      <c r="CI480" s="756"/>
      <c r="CJ480" s="757"/>
      <c r="CK480" s="757"/>
      <c r="CL480" s="757"/>
      <c r="CM480" s="757"/>
      <c r="CN480" s="757"/>
      <c r="CO480" s="757"/>
      <c r="CP480" s="757"/>
      <c r="CQ480" s="757"/>
      <c r="CR480" s="757"/>
      <c r="CS480" s="757"/>
      <c r="CT480" s="757"/>
      <c r="CU480" s="757"/>
      <c r="CV480" s="757"/>
      <c r="CW480" s="757"/>
      <c r="CX480" s="757"/>
      <c r="CY480" s="757"/>
      <c r="CZ480" s="758"/>
    </row>
    <row r="481" spans="1:104" x14ac:dyDescent="0.25">
      <c r="B481" s="1028" t="str">
        <f>IF(B482="","",VLOOKUP(B482,BoonRef!$A$2:$Z$900,2,FALSE))</f>
        <v/>
      </c>
      <c r="C481" s="725"/>
      <c r="D481" s="725"/>
      <c r="E481" s="725"/>
      <c r="F481" s="725"/>
      <c r="G481" s="725"/>
      <c r="H481" s="725"/>
      <c r="I481" s="725" t="str">
        <f>IF(B482="","",VLOOKUP(B482,BoonRef!$A$2:$Z$900,3,FALSE))</f>
        <v/>
      </c>
      <c r="J481" s="725"/>
      <c r="K481" s="725" t="str">
        <f>IF(B482="","",VLOOKUP(B482,DescRef!$A$2:$B$900,2,FALSE))</f>
        <v/>
      </c>
      <c r="L481" s="725"/>
      <c r="M481" s="725"/>
      <c r="N481" s="725"/>
      <c r="O481" s="725"/>
      <c r="P481" s="725"/>
      <c r="Q481" s="725"/>
      <c r="R481" s="725"/>
      <c r="S481" s="725"/>
      <c r="T481" s="725"/>
      <c r="U481" s="725"/>
      <c r="V481" s="725"/>
      <c r="W481" s="725"/>
      <c r="X481" s="725"/>
      <c r="Y481" s="725"/>
      <c r="Z481" s="726"/>
      <c r="AB481" s="1028" t="str">
        <f>IF(AB482="","",VLOOKUP(AB482,BoonRef!$A$2:$Z$900,2,FALSE))</f>
        <v/>
      </c>
      <c r="AC481" s="725"/>
      <c r="AD481" s="725"/>
      <c r="AE481" s="725"/>
      <c r="AF481" s="725"/>
      <c r="AG481" s="725"/>
      <c r="AH481" s="725"/>
      <c r="AI481" s="725" t="str">
        <f>IF(AB482="","",VLOOKUP(AB482,BoonRef!$A$2:$Z$900,3,FALSE))</f>
        <v/>
      </c>
      <c r="AJ481" s="725"/>
      <c r="AK481" s="725" t="str">
        <f>IF(AB482="","",VLOOKUP(AB482,DescRef!$A$2:$B$900,2,FALSE))</f>
        <v/>
      </c>
      <c r="AL481" s="725"/>
      <c r="AM481" s="725"/>
      <c r="AN481" s="725"/>
      <c r="AO481" s="725"/>
      <c r="AP481" s="725"/>
      <c r="AQ481" s="725"/>
      <c r="AR481" s="725"/>
      <c r="AS481" s="725"/>
      <c r="AT481" s="725"/>
      <c r="AU481" s="725"/>
      <c r="AV481" s="725"/>
      <c r="AW481" s="725"/>
      <c r="AX481" s="725"/>
      <c r="AY481" s="725"/>
      <c r="AZ481" s="726"/>
      <c r="BB481" s="1029" t="str">
        <f>IF(BB482="","",VLOOKUP(BB482,KanckRef!$A$1:$G$300,2,FALSE))</f>
        <v/>
      </c>
      <c r="BC481" s="1030"/>
      <c r="BD481" s="1030"/>
      <c r="BE481" s="1030"/>
      <c r="BF481" s="1031"/>
      <c r="BG481" s="1048" t="str">
        <f>IF(BB482="","",VLOOKUP(BB482,KanckRef!$A$1:$G$300,6,FALSE))</f>
        <v/>
      </c>
      <c r="BH481" s="1049"/>
      <c r="BI481" s="988" t="str">
        <f>IF(BB482="","",VLOOKUP(BB482,DescRef!$D$2:$E$300,2,FALSE))</f>
        <v/>
      </c>
      <c r="BJ481" s="795"/>
      <c r="BK481" s="795"/>
      <c r="BL481" s="795"/>
      <c r="BM481" s="795"/>
      <c r="BN481" s="795"/>
      <c r="BO481" s="795"/>
      <c r="BP481" s="795"/>
      <c r="BQ481" s="795"/>
      <c r="BR481" s="795"/>
      <c r="BS481" s="795"/>
      <c r="BT481" s="795"/>
      <c r="BU481" s="795"/>
      <c r="BV481" s="795"/>
      <c r="BW481" s="795"/>
      <c r="BX481" s="795"/>
      <c r="BY481" s="795"/>
      <c r="BZ481" s="796"/>
      <c r="CB481" s="1029" t="str">
        <f>IF(CB482="","",VLOOKUP(CB482,KanckRef!$A$1:$G$300,2,FALSE))</f>
        <v/>
      </c>
      <c r="CC481" s="1030"/>
      <c r="CD481" s="1030"/>
      <c r="CE481" s="1030"/>
      <c r="CF481" s="1031"/>
      <c r="CG481" s="1048" t="str">
        <f>IF(CB482="","",VLOOKUP(CB482,KanckRef!$A$1:$G$300,6,FALSE))</f>
        <v/>
      </c>
      <c r="CH481" s="1049"/>
      <c r="CI481" s="988" t="str">
        <f>IF(CB482="","",VLOOKUP(CB482,DescRef!$D$2:$E$300,2,FALSE))</f>
        <v/>
      </c>
      <c r="CJ481" s="795"/>
      <c r="CK481" s="795"/>
      <c r="CL481" s="795"/>
      <c r="CM481" s="795"/>
      <c r="CN481" s="795"/>
      <c r="CO481" s="795"/>
      <c r="CP481" s="795"/>
      <c r="CQ481" s="795"/>
      <c r="CR481" s="795"/>
      <c r="CS481" s="795"/>
      <c r="CT481" s="795"/>
      <c r="CU481" s="795"/>
      <c r="CV481" s="795"/>
      <c r="CW481" s="795"/>
      <c r="CX481" s="795"/>
      <c r="CY481" s="795"/>
      <c r="CZ481" s="796"/>
    </row>
    <row r="482" spans="1:104" ht="15" customHeight="1" x14ac:dyDescent="0.25">
      <c r="A482" s="15">
        <v>80</v>
      </c>
      <c r="B482" s="1026" t="str">
        <f>IF(A482&lt;'Purchased Boons'!$B$496,VLOOKUP(A482,'Purchased Boons'!$BF$2:$BG$900,2,FALSE),"")</f>
        <v/>
      </c>
      <c r="C482" s="727"/>
      <c r="D482" s="727"/>
      <c r="E482" s="727"/>
      <c r="F482" s="727"/>
      <c r="G482" s="727"/>
      <c r="H482" s="727"/>
      <c r="I482" s="727" t="str">
        <f>IF(B482="","",VLOOKUP(B482,BoonRef!$A$2:$Z$900,25,FALSE))</f>
        <v/>
      </c>
      <c r="J482" s="727"/>
      <c r="K482" s="727"/>
      <c r="L482" s="727"/>
      <c r="M482" s="727"/>
      <c r="N482" s="727"/>
      <c r="O482" s="727"/>
      <c r="P482" s="727"/>
      <c r="Q482" s="727"/>
      <c r="R482" s="727"/>
      <c r="S482" s="727"/>
      <c r="T482" s="727"/>
      <c r="U482" s="727"/>
      <c r="V482" s="727"/>
      <c r="W482" s="727"/>
      <c r="X482" s="727"/>
      <c r="Y482" s="727"/>
      <c r="Z482" s="728"/>
      <c r="AA482" s="15">
        <v>187</v>
      </c>
      <c r="AB482" s="1026" t="str">
        <f>IF(AA482&lt;'Purchased Boons'!$B$496,VLOOKUP(AA482,'Purchased Boons'!$BF$2:$BG$900,2,FALSE),"")</f>
        <v/>
      </c>
      <c r="AC482" s="727"/>
      <c r="AD482" s="727"/>
      <c r="AE482" s="727"/>
      <c r="AF482" s="727"/>
      <c r="AG482" s="727"/>
      <c r="AH482" s="727"/>
      <c r="AI482" s="727" t="str">
        <f>IF(AB482="","",VLOOKUP(AB482,BoonRef!$A$2:$Z$900,25,FALSE))</f>
        <v/>
      </c>
      <c r="AJ482" s="727"/>
      <c r="AK482" s="727"/>
      <c r="AL482" s="727"/>
      <c r="AM482" s="727"/>
      <c r="AN482" s="727"/>
      <c r="AO482" s="727"/>
      <c r="AP482" s="727"/>
      <c r="AQ482" s="727"/>
      <c r="AR482" s="727"/>
      <c r="AS482" s="727"/>
      <c r="AT482" s="727"/>
      <c r="AU482" s="727"/>
      <c r="AV482" s="727"/>
      <c r="AW482" s="727"/>
      <c r="AX482" s="727"/>
      <c r="AY482" s="727"/>
      <c r="AZ482" s="728"/>
      <c r="BA482" s="15">
        <v>80</v>
      </c>
      <c r="BB482" s="1038" t="str">
        <f>IF(BA482&lt;'Purchased Knacks'!A$192,VLOOKUP(BA482,'Purchased Knacks'!$A$4:$E$300,3,FALSE),"")</f>
        <v/>
      </c>
      <c r="BC482" s="1039"/>
      <c r="BD482" s="1039"/>
      <c r="BE482" s="1039"/>
      <c r="BF482" s="1040"/>
      <c r="BG482" s="1032" t="str">
        <f>IF(BB482="","",VLOOKUP(BB482,KanckRef!$A$1:$G$300,7,FALSE))</f>
        <v/>
      </c>
      <c r="BH482" s="1033"/>
      <c r="BI482" s="753"/>
      <c r="BJ482" s="754"/>
      <c r="BK482" s="754"/>
      <c r="BL482" s="754"/>
      <c r="BM482" s="754"/>
      <c r="BN482" s="754"/>
      <c r="BO482" s="754"/>
      <c r="BP482" s="754"/>
      <c r="BQ482" s="754"/>
      <c r="BR482" s="754"/>
      <c r="BS482" s="754"/>
      <c r="BT482" s="754"/>
      <c r="BU482" s="754"/>
      <c r="BV482" s="754"/>
      <c r="BW482" s="754"/>
      <c r="BX482" s="754"/>
      <c r="BY482" s="754"/>
      <c r="BZ482" s="755"/>
      <c r="CA482" s="15">
        <v>187</v>
      </c>
      <c r="CB482" s="1038" t="str">
        <f>IF(CA482&lt;'Purchased Knacks'!A$192,VLOOKUP(CA482,'Purchased Knacks'!$A$4:$E$300,3,FALSE),"")</f>
        <v/>
      </c>
      <c r="CC482" s="1039"/>
      <c r="CD482" s="1039"/>
      <c r="CE482" s="1039"/>
      <c r="CF482" s="1040"/>
      <c r="CG482" s="1032" t="str">
        <f>IF(CB482="","",VLOOKUP(CB482,KanckRef!$A$1:$G$300,7,FALSE))</f>
        <v/>
      </c>
      <c r="CH482" s="1033"/>
      <c r="CI482" s="753"/>
      <c r="CJ482" s="754"/>
      <c r="CK482" s="754"/>
      <c r="CL482" s="754"/>
      <c r="CM482" s="754"/>
      <c r="CN482" s="754"/>
      <c r="CO482" s="754"/>
      <c r="CP482" s="754"/>
      <c r="CQ482" s="754"/>
      <c r="CR482" s="754"/>
      <c r="CS482" s="754"/>
      <c r="CT482" s="754"/>
      <c r="CU482" s="754"/>
      <c r="CV482" s="754"/>
      <c r="CW482" s="754"/>
      <c r="CX482" s="754"/>
      <c r="CY482" s="754"/>
      <c r="CZ482" s="755"/>
    </row>
    <row r="483" spans="1:104" x14ac:dyDescent="0.25">
      <c r="B483" s="1026"/>
      <c r="C483" s="727"/>
      <c r="D483" s="727"/>
      <c r="E483" s="727"/>
      <c r="F483" s="727"/>
      <c r="G483" s="727"/>
      <c r="H483" s="727"/>
      <c r="I483" s="727" t="str">
        <f>IF(B482="","",VLOOKUP(B482,BoonRef!$A$2:$Z$900,26,FALSE))</f>
        <v/>
      </c>
      <c r="J483" s="727"/>
      <c r="K483" s="727"/>
      <c r="L483" s="727"/>
      <c r="M483" s="727"/>
      <c r="N483" s="727"/>
      <c r="O483" s="727"/>
      <c r="P483" s="727"/>
      <c r="Q483" s="727"/>
      <c r="R483" s="727"/>
      <c r="S483" s="727"/>
      <c r="T483" s="727"/>
      <c r="U483" s="727"/>
      <c r="V483" s="727"/>
      <c r="W483" s="727"/>
      <c r="X483" s="727"/>
      <c r="Y483" s="727"/>
      <c r="Z483" s="728"/>
      <c r="AB483" s="1026"/>
      <c r="AC483" s="727"/>
      <c r="AD483" s="727"/>
      <c r="AE483" s="727"/>
      <c r="AF483" s="727"/>
      <c r="AG483" s="727"/>
      <c r="AH483" s="727"/>
      <c r="AI483" s="727" t="str">
        <f>IF(AB482="","",VLOOKUP(AB482,BoonRef!$A$2:$Z$900,26,FALSE))</f>
        <v/>
      </c>
      <c r="AJ483" s="727"/>
      <c r="AK483" s="727"/>
      <c r="AL483" s="727"/>
      <c r="AM483" s="727"/>
      <c r="AN483" s="727"/>
      <c r="AO483" s="727"/>
      <c r="AP483" s="727"/>
      <c r="AQ483" s="727"/>
      <c r="AR483" s="727"/>
      <c r="AS483" s="727"/>
      <c r="AT483" s="727"/>
      <c r="AU483" s="727"/>
      <c r="AV483" s="727"/>
      <c r="AW483" s="727"/>
      <c r="AX483" s="727"/>
      <c r="AY483" s="727"/>
      <c r="AZ483" s="728"/>
      <c r="BB483" s="1041"/>
      <c r="BC483" s="1042"/>
      <c r="BD483" s="1042"/>
      <c r="BE483" s="1042"/>
      <c r="BF483" s="1043"/>
      <c r="BG483" s="1034"/>
      <c r="BH483" s="1035"/>
      <c r="BI483" s="753"/>
      <c r="BJ483" s="754"/>
      <c r="BK483" s="754"/>
      <c r="BL483" s="754"/>
      <c r="BM483" s="754"/>
      <c r="BN483" s="754"/>
      <c r="BO483" s="754"/>
      <c r="BP483" s="754"/>
      <c r="BQ483" s="754"/>
      <c r="BR483" s="754"/>
      <c r="BS483" s="754"/>
      <c r="BT483" s="754"/>
      <c r="BU483" s="754"/>
      <c r="BV483" s="754"/>
      <c r="BW483" s="754"/>
      <c r="BX483" s="754"/>
      <c r="BY483" s="754"/>
      <c r="BZ483" s="755"/>
      <c r="CB483" s="1041"/>
      <c r="CC483" s="1042"/>
      <c r="CD483" s="1042"/>
      <c r="CE483" s="1042"/>
      <c r="CF483" s="1043"/>
      <c r="CG483" s="1034"/>
      <c r="CH483" s="1035"/>
      <c r="CI483" s="753"/>
      <c r="CJ483" s="754"/>
      <c r="CK483" s="754"/>
      <c r="CL483" s="754"/>
      <c r="CM483" s="754"/>
      <c r="CN483" s="754"/>
      <c r="CO483" s="754"/>
      <c r="CP483" s="754"/>
      <c r="CQ483" s="754"/>
      <c r="CR483" s="754"/>
      <c r="CS483" s="754"/>
      <c r="CT483" s="754"/>
      <c r="CU483" s="754"/>
      <c r="CV483" s="754"/>
      <c r="CW483" s="754"/>
      <c r="CX483" s="754"/>
      <c r="CY483" s="754"/>
      <c r="CZ483" s="755"/>
    </row>
    <row r="484" spans="1:104" x14ac:dyDescent="0.25">
      <c r="B484" s="1026" t="str">
        <f>IF(B482="","",VLOOKUP(B482,BoonRef!$A$2:$Z$900,24,FALSE))</f>
        <v/>
      </c>
      <c r="C484" s="727"/>
      <c r="D484" s="727"/>
      <c r="E484" s="727"/>
      <c r="F484" s="727"/>
      <c r="G484" s="727"/>
      <c r="H484" s="727"/>
      <c r="I484" s="727"/>
      <c r="J484" s="727"/>
      <c r="K484" s="727"/>
      <c r="L484" s="727"/>
      <c r="M484" s="727"/>
      <c r="N484" s="727"/>
      <c r="O484" s="727"/>
      <c r="P484" s="727"/>
      <c r="Q484" s="727"/>
      <c r="R484" s="727"/>
      <c r="S484" s="727"/>
      <c r="T484" s="727"/>
      <c r="U484" s="727"/>
      <c r="V484" s="727"/>
      <c r="W484" s="727"/>
      <c r="X484" s="727"/>
      <c r="Y484" s="727"/>
      <c r="Z484" s="728"/>
      <c r="AB484" s="1026" t="str">
        <f>IF(AB482="","",VLOOKUP(AB482,BoonRef!$A$2:$Z$900,24,FALSE))</f>
        <v/>
      </c>
      <c r="AC484" s="727"/>
      <c r="AD484" s="727"/>
      <c r="AE484" s="727"/>
      <c r="AF484" s="727"/>
      <c r="AG484" s="727"/>
      <c r="AH484" s="727"/>
      <c r="AI484" s="727"/>
      <c r="AJ484" s="727"/>
      <c r="AK484" s="727"/>
      <c r="AL484" s="727"/>
      <c r="AM484" s="727"/>
      <c r="AN484" s="727"/>
      <c r="AO484" s="727"/>
      <c r="AP484" s="727"/>
      <c r="AQ484" s="727"/>
      <c r="AR484" s="727"/>
      <c r="AS484" s="727"/>
      <c r="AT484" s="727"/>
      <c r="AU484" s="727"/>
      <c r="AV484" s="727"/>
      <c r="AW484" s="727"/>
      <c r="AX484" s="727"/>
      <c r="AY484" s="727"/>
      <c r="AZ484" s="728"/>
      <c r="BB484" s="641" t="str">
        <f>IF(BB482="","",VLOOKUP(BB482,KanckRef!$A$1:$G$300,4,FALSE))</f>
        <v/>
      </c>
      <c r="BC484" s="642"/>
      <c r="BD484" s="642"/>
      <c r="BE484" s="642"/>
      <c r="BF484" s="642"/>
      <c r="BG484" s="642"/>
      <c r="BH484" s="1033"/>
      <c r="BI484" s="753"/>
      <c r="BJ484" s="754"/>
      <c r="BK484" s="754"/>
      <c r="BL484" s="754"/>
      <c r="BM484" s="754"/>
      <c r="BN484" s="754"/>
      <c r="BO484" s="754"/>
      <c r="BP484" s="754"/>
      <c r="BQ484" s="754"/>
      <c r="BR484" s="754"/>
      <c r="BS484" s="754"/>
      <c r="BT484" s="754"/>
      <c r="BU484" s="754"/>
      <c r="BV484" s="754"/>
      <c r="BW484" s="754"/>
      <c r="BX484" s="754"/>
      <c r="BY484" s="754"/>
      <c r="BZ484" s="755"/>
      <c r="CB484" s="641" t="str">
        <f>IF(CB482="","",VLOOKUP(CB482,KanckRef!$A$1:$G$300,4,FALSE))</f>
        <v/>
      </c>
      <c r="CC484" s="642"/>
      <c r="CD484" s="642"/>
      <c r="CE484" s="642"/>
      <c r="CF484" s="642"/>
      <c r="CG484" s="642"/>
      <c r="CH484" s="1033"/>
      <c r="CI484" s="753"/>
      <c r="CJ484" s="754"/>
      <c r="CK484" s="754"/>
      <c r="CL484" s="754"/>
      <c r="CM484" s="754"/>
      <c r="CN484" s="754"/>
      <c r="CO484" s="754"/>
      <c r="CP484" s="754"/>
      <c r="CQ484" s="754"/>
      <c r="CR484" s="754"/>
      <c r="CS484" s="754"/>
      <c r="CT484" s="754"/>
      <c r="CU484" s="754"/>
      <c r="CV484" s="754"/>
      <c r="CW484" s="754"/>
      <c r="CX484" s="754"/>
      <c r="CY484" s="754"/>
      <c r="CZ484" s="755"/>
    </row>
    <row r="485" spans="1:104" x14ac:dyDescent="0.25">
      <c r="B485" s="1026" t="str">
        <f>IF(B482="","",VLOOKUP(B482,BoonRef!$A$2:$Z$900,23,FALSE))</f>
        <v/>
      </c>
      <c r="C485" s="727"/>
      <c r="D485" s="727"/>
      <c r="E485" s="727"/>
      <c r="F485" s="727"/>
      <c r="G485" s="727"/>
      <c r="H485" s="727"/>
      <c r="I485" s="727"/>
      <c r="J485" s="727"/>
      <c r="K485" s="727"/>
      <c r="L485" s="727"/>
      <c r="M485" s="727"/>
      <c r="N485" s="727"/>
      <c r="O485" s="727"/>
      <c r="P485" s="727"/>
      <c r="Q485" s="727"/>
      <c r="R485" s="727"/>
      <c r="S485" s="727"/>
      <c r="T485" s="727"/>
      <c r="U485" s="727"/>
      <c r="V485" s="727"/>
      <c r="W485" s="727"/>
      <c r="X485" s="727"/>
      <c r="Y485" s="727"/>
      <c r="Z485" s="728"/>
      <c r="AB485" s="1026" t="str">
        <f>IF(AB482="","",VLOOKUP(AB482,BoonRef!$A$2:$Z$900,23,FALSE))</f>
        <v/>
      </c>
      <c r="AC485" s="727"/>
      <c r="AD485" s="727"/>
      <c r="AE485" s="727"/>
      <c r="AF485" s="727"/>
      <c r="AG485" s="727"/>
      <c r="AH485" s="727"/>
      <c r="AI485" s="727"/>
      <c r="AJ485" s="727"/>
      <c r="AK485" s="727"/>
      <c r="AL485" s="727"/>
      <c r="AM485" s="727"/>
      <c r="AN485" s="727"/>
      <c r="AO485" s="727"/>
      <c r="AP485" s="727"/>
      <c r="AQ485" s="727"/>
      <c r="AR485" s="727"/>
      <c r="AS485" s="727"/>
      <c r="AT485" s="727"/>
      <c r="AU485" s="727"/>
      <c r="AV485" s="727"/>
      <c r="AW485" s="727"/>
      <c r="AX485" s="727"/>
      <c r="AY485" s="727"/>
      <c r="AZ485" s="728"/>
      <c r="BB485" s="635"/>
      <c r="BC485" s="636"/>
      <c r="BD485" s="636"/>
      <c r="BE485" s="636"/>
      <c r="BF485" s="636"/>
      <c r="BG485" s="636"/>
      <c r="BH485" s="1036"/>
      <c r="BI485" s="753"/>
      <c r="BJ485" s="754"/>
      <c r="BK485" s="754"/>
      <c r="BL485" s="754"/>
      <c r="BM485" s="754"/>
      <c r="BN485" s="754"/>
      <c r="BO485" s="754"/>
      <c r="BP485" s="754"/>
      <c r="BQ485" s="754"/>
      <c r="BR485" s="754"/>
      <c r="BS485" s="754"/>
      <c r="BT485" s="754"/>
      <c r="BU485" s="754"/>
      <c r="BV485" s="754"/>
      <c r="BW485" s="754"/>
      <c r="BX485" s="754"/>
      <c r="BY485" s="754"/>
      <c r="BZ485" s="755"/>
      <c r="CB485" s="635"/>
      <c r="CC485" s="636"/>
      <c r="CD485" s="636"/>
      <c r="CE485" s="636"/>
      <c r="CF485" s="636"/>
      <c r="CG485" s="636"/>
      <c r="CH485" s="1036"/>
      <c r="CI485" s="753"/>
      <c r="CJ485" s="754"/>
      <c r="CK485" s="754"/>
      <c r="CL485" s="754"/>
      <c r="CM485" s="754"/>
      <c r="CN485" s="754"/>
      <c r="CO485" s="754"/>
      <c r="CP485" s="754"/>
      <c r="CQ485" s="754"/>
      <c r="CR485" s="754"/>
      <c r="CS485" s="754"/>
      <c r="CT485" s="754"/>
      <c r="CU485" s="754"/>
      <c r="CV485" s="754"/>
      <c r="CW485" s="754"/>
      <c r="CX485" s="754"/>
      <c r="CY485" s="754"/>
      <c r="CZ485" s="755"/>
    </row>
    <row r="486" spans="1:104" ht="15.75" thickBot="1" x14ac:dyDescent="0.3">
      <c r="B486" s="1027"/>
      <c r="C486" s="865"/>
      <c r="D486" s="865"/>
      <c r="E486" s="865"/>
      <c r="F486" s="865"/>
      <c r="G486" s="865"/>
      <c r="H486" s="865"/>
      <c r="I486" s="865"/>
      <c r="J486" s="865"/>
      <c r="K486" s="865"/>
      <c r="L486" s="865"/>
      <c r="M486" s="865"/>
      <c r="N486" s="865"/>
      <c r="O486" s="865"/>
      <c r="P486" s="865"/>
      <c r="Q486" s="865"/>
      <c r="R486" s="865"/>
      <c r="S486" s="865"/>
      <c r="T486" s="865"/>
      <c r="U486" s="865"/>
      <c r="V486" s="865"/>
      <c r="W486" s="865"/>
      <c r="X486" s="865"/>
      <c r="Y486" s="865"/>
      <c r="Z486" s="921"/>
      <c r="AB486" s="1027"/>
      <c r="AC486" s="865"/>
      <c r="AD486" s="865"/>
      <c r="AE486" s="865"/>
      <c r="AF486" s="865"/>
      <c r="AG486" s="865"/>
      <c r="AH486" s="865"/>
      <c r="AI486" s="865"/>
      <c r="AJ486" s="865"/>
      <c r="AK486" s="865"/>
      <c r="AL486" s="865"/>
      <c r="AM486" s="865"/>
      <c r="AN486" s="865"/>
      <c r="AO486" s="865"/>
      <c r="AP486" s="865"/>
      <c r="AQ486" s="865"/>
      <c r="AR486" s="865"/>
      <c r="AS486" s="865"/>
      <c r="AT486" s="865"/>
      <c r="AU486" s="865"/>
      <c r="AV486" s="865"/>
      <c r="AW486" s="865"/>
      <c r="AX486" s="865"/>
      <c r="AY486" s="865"/>
      <c r="AZ486" s="921"/>
      <c r="BB486" s="644"/>
      <c r="BC486" s="645"/>
      <c r="BD486" s="645"/>
      <c r="BE486" s="645"/>
      <c r="BF486" s="645"/>
      <c r="BG486" s="645"/>
      <c r="BH486" s="1037"/>
      <c r="BI486" s="756"/>
      <c r="BJ486" s="757"/>
      <c r="BK486" s="757"/>
      <c r="BL486" s="757"/>
      <c r="BM486" s="757"/>
      <c r="BN486" s="757"/>
      <c r="BO486" s="757"/>
      <c r="BP486" s="757"/>
      <c r="BQ486" s="757"/>
      <c r="BR486" s="757"/>
      <c r="BS486" s="757"/>
      <c r="BT486" s="757"/>
      <c r="BU486" s="757"/>
      <c r="BV486" s="757"/>
      <c r="BW486" s="757"/>
      <c r="BX486" s="757"/>
      <c r="BY486" s="757"/>
      <c r="BZ486" s="758"/>
      <c r="CB486" s="644"/>
      <c r="CC486" s="645"/>
      <c r="CD486" s="645"/>
      <c r="CE486" s="645"/>
      <c r="CF486" s="645"/>
      <c r="CG486" s="645"/>
      <c r="CH486" s="1037"/>
      <c r="CI486" s="756"/>
      <c r="CJ486" s="757"/>
      <c r="CK486" s="757"/>
      <c r="CL486" s="757"/>
      <c r="CM486" s="757"/>
      <c r="CN486" s="757"/>
      <c r="CO486" s="757"/>
      <c r="CP486" s="757"/>
      <c r="CQ486" s="757"/>
      <c r="CR486" s="757"/>
      <c r="CS486" s="757"/>
      <c r="CT486" s="757"/>
      <c r="CU486" s="757"/>
      <c r="CV486" s="757"/>
      <c r="CW486" s="757"/>
      <c r="CX486" s="757"/>
      <c r="CY486" s="757"/>
      <c r="CZ486" s="758"/>
    </row>
    <row r="487" spans="1:104" x14ac:dyDescent="0.25">
      <c r="B487" s="1028" t="str">
        <f>IF(B488="","",VLOOKUP(B488,BoonRef!$A$2:$Z$900,2,FALSE))</f>
        <v/>
      </c>
      <c r="C487" s="725"/>
      <c r="D487" s="725"/>
      <c r="E487" s="725"/>
      <c r="F487" s="725"/>
      <c r="G487" s="725"/>
      <c r="H487" s="725"/>
      <c r="I487" s="725" t="str">
        <f>IF(B488="","",VLOOKUP(B488,BoonRef!$A$2:$Z$900,3,FALSE))</f>
        <v/>
      </c>
      <c r="J487" s="725"/>
      <c r="K487" s="725" t="str">
        <f>IF(B488="","",VLOOKUP(B488,DescRef!$A$2:$B$900,2,FALSE))</f>
        <v/>
      </c>
      <c r="L487" s="725"/>
      <c r="M487" s="725"/>
      <c r="N487" s="725"/>
      <c r="O487" s="725"/>
      <c r="P487" s="725"/>
      <c r="Q487" s="725"/>
      <c r="R487" s="725"/>
      <c r="S487" s="725"/>
      <c r="T487" s="725"/>
      <c r="U487" s="725"/>
      <c r="V487" s="725"/>
      <c r="W487" s="725"/>
      <c r="X487" s="725"/>
      <c r="Y487" s="725"/>
      <c r="Z487" s="726"/>
      <c r="AB487" s="1028" t="str">
        <f>IF(AB488="","",VLOOKUP(AB488,BoonRef!$A$2:$Z$900,2,FALSE))</f>
        <v/>
      </c>
      <c r="AC487" s="725"/>
      <c r="AD487" s="725"/>
      <c r="AE487" s="725"/>
      <c r="AF487" s="725"/>
      <c r="AG487" s="725"/>
      <c r="AH487" s="725"/>
      <c r="AI487" s="725" t="str">
        <f>IF(AB488="","",VLOOKUP(AB488,BoonRef!$A$2:$Z$900,3,FALSE))</f>
        <v/>
      </c>
      <c r="AJ487" s="725"/>
      <c r="AK487" s="725" t="str">
        <f>IF(AB488="","",VLOOKUP(AB488,DescRef!$A$2:$B$900,2,FALSE))</f>
        <v/>
      </c>
      <c r="AL487" s="725"/>
      <c r="AM487" s="725"/>
      <c r="AN487" s="725"/>
      <c r="AO487" s="725"/>
      <c r="AP487" s="725"/>
      <c r="AQ487" s="725"/>
      <c r="AR487" s="725"/>
      <c r="AS487" s="725"/>
      <c r="AT487" s="725"/>
      <c r="AU487" s="725"/>
      <c r="AV487" s="725"/>
      <c r="AW487" s="725"/>
      <c r="AX487" s="725"/>
      <c r="AY487" s="725"/>
      <c r="AZ487" s="726"/>
      <c r="BB487" s="1029" t="str">
        <f>IF(BB488="","",VLOOKUP(BB488,KanckRef!$A$1:$G$300,2,FALSE))</f>
        <v/>
      </c>
      <c r="BC487" s="1030"/>
      <c r="BD487" s="1030"/>
      <c r="BE487" s="1030"/>
      <c r="BF487" s="1031"/>
      <c r="BG487" s="1048" t="str">
        <f>IF(BB488="","",VLOOKUP(BB488,KanckRef!$A$1:$G$300,6,FALSE))</f>
        <v/>
      </c>
      <c r="BH487" s="1049"/>
      <c r="BI487" s="988" t="str">
        <f>IF(BB488="","",VLOOKUP(BB488,DescRef!$D$2:$E$300,2,FALSE))</f>
        <v/>
      </c>
      <c r="BJ487" s="795"/>
      <c r="BK487" s="795"/>
      <c r="BL487" s="795"/>
      <c r="BM487" s="795"/>
      <c r="BN487" s="795"/>
      <c r="BO487" s="795"/>
      <c r="BP487" s="795"/>
      <c r="BQ487" s="795"/>
      <c r="BR487" s="795"/>
      <c r="BS487" s="795"/>
      <c r="BT487" s="795"/>
      <c r="BU487" s="795"/>
      <c r="BV487" s="795"/>
      <c r="BW487" s="795"/>
      <c r="BX487" s="795"/>
      <c r="BY487" s="795"/>
      <c r="BZ487" s="796"/>
      <c r="CB487" s="1029" t="str">
        <f>IF(CB488="","",VLOOKUP(CB488,KanckRef!$A$1:$G$300,2,FALSE))</f>
        <v/>
      </c>
      <c r="CC487" s="1030"/>
      <c r="CD487" s="1030"/>
      <c r="CE487" s="1030"/>
      <c r="CF487" s="1031"/>
      <c r="CG487" s="1048" t="str">
        <f>IF(CB488="","",VLOOKUP(CB488,KanckRef!$A$1:$G$300,6,FALSE))</f>
        <v/>
      </c>
      <c r="CH487" s="1049"/>
      <c r="CI487" s="988" t="str">
        <f>IF(CB488="","",VLOOKUP(CB488,DescRef!$D$2:$E$300,2,FALSE))</f>
        <v/>
      </c>
      <c r="CJ487" s="795"/>
      <c r="CK487" s="795"/>
      <c r="CL487" s="795"/>
      <c r="CM487" s="795"/>
      <c r="CN487" s="795"/>
      <c r="CO487" s="795"/>
      <c r="CP487" s="795"/>
      <c r="CQ487" s="795"/>
      <c r="CR487" s="795"/>
      <c r="CS487" s="795"/>
      <c r="CT487" s="795"/>
      <c r="CU487" s="795"/>
      <c r="CV487" s="795"/>
      <c r="CW487" s="795"/>
      <c r="CX487" s="795"/>
      <c r="CY487" s="795"/>
      <c r="CZ487" s="796"/>
    </row>
    <row r="488" spans="1:104" ht="15" customHeight="1" x14ac:dyDescent="0.25">
      <c r="A488" s="15">
        <v>81</v>
      </c>
      <c r="B488" s="1026" t="str">
        <f>IF(A488&lt;'Purchased Boons'!$B$496,VLOOKUP(A488,'Purchased Boons'!$BF$2:$BG$900,2,FALSE),"")</f>
        <v/>
      </c>
      <c r="C488" s="727"/>
      <c r="D488" s="727"/>
      <c r="E488" s="727"/>
      <c r="F488" s="727"/>
      <c r="G488" s="727"/>
      <c r="H488" s="727"/>
      <c r="I488" s="727" t="str">
        <f>IF(B488="","",VLOOKUP(B488,BoonRef!$A$2:$Z$900,25,FALSE))</f>
        <v/>
      </c>
      <c r="J488" s="727"/>
      <c r="K488" s="727"/>
      <c r="L488" s="727"/>
      <c r="M488" s="727"/>
      <c r="N488" s="727"/>
      <c r="O488" s="727"/>
      <c r="P488" s="727"/>
      <c r="Q488" s="727"/>
      <c r="R488" s="727"/>
      <c r="S488" s="727"/>
      <c r="T488" s="727"/>
      <c r="U488" s="727"/>
      <c r="V488" s="727"/>
      <c r="W488" s="727"/>
      <c r="X488" s="727"/>
      <c r="Y488" s="727"/>
      <c r="Z488" s="728"/>
      <c r="AA488" s="15">
        <v>188</v>
      </c>
      <c r="AB488" s="1026" t="str">
        <f>IF(AA488&lt;'Purchased Boons'!$B$496,VLOOKUP(AA488,'Purchased Boons'!$BF$2:$BG$900,2,FALSE),"")</f>
        <v/>
      </c>
      <c r="AC488" s="727"/>
      <c r="AD488" s="727"/>
      <c r="AE488" s="727"/>
      <c r="AF488" s="727"/>
      <c r="AG488" s="727"/>
      <c r="AH488" s="727"/>
      <c r="AI488" s="727" t="str">
        <f>IF(AB488="","",VLOOKUP(AB488,BoonRef!$A$2:$Z$900,25,FALSE))</f>
        <v/>
      </c>
      <c r="AJ488" s="727"/>
      <c r="AK488" s="727"/>
      <c r="AL488" s="727"/>
      <c r="AM488" s="727"/>
      <c r="AN488" s="727"/>
      <c r="AO488" s="727"/>
      <c r="AP488" s="727"/>
      <c r="AQ488" s="727"/>
      <c r="AR488" s="727"/>
      <c r="AS488" s="727"/>
      <c r="AT488" s="727"/>
      <c r="AU488" s="727"/>
      <c r="AV488" s="727"/>
      <c r="AW488" s="727"/>
      <c r="AX488" s="727"/>
      <c r="AY488" s="727"/>
      <c r="AZ488" s="728"/>
      <c r="BA488" s="15">
        <v>81</v>
      </c>
      <c r="BB488" s="1038" t="str">
        <f>IF(BA488&lt;'Purchased Knacks'!A$192,VLOOKUP(BA488,'Purchased Knacks'!$A$4:$E$300,3,FALSE),"")</f>
        <v/>
      </c>
      <c r="BC488" s="1039"/>
      <c r="BD488" s="1039"/>
      <c r="BE488" s="1039"/>
      <c r="BF488" s="1040"/>
      <c r="BG488" s="1032" t="str">
        <f>IF(BB488="","",VLOOKUP(BB488,KanckRef!$A$1:$G$300,7,FALSE))</f>
        <v/>
      </c>
      <c r="BH488" s="1033"/>
      <c r="BI488" s="753"/>
      <c r="BJ488" s="754"/>
      <c r="BK488" s="754"/>
      <c r="BL488" s="754"/>
      <c r="BM488" s="754"/>
      <c r="BN488" s="754"/>
      <c r="BO488" s="754"/>
      <c r="BP488" s="754"/>
      <c r="BQ488" s="754"/>
      <c r="BR488" s="754"/>
      <c r="BS488" s="754"/>
      <c r="BT488" s="754"/>
      <c r="BU488" s="754"/>
      <c r="BV488" s="754"/>
      <c r="BW488" s="754"/>
      <c r="BX488" s="754"/>
      <c r="BY488" s="754"/>
      <c r="BZ488" s="755"/>
      <c r="CA488" s="15">
        <v>188</v>
      </c>
      <c r="CB488" s="1038" t="str">
        <f>IF(CA488&lt;'Purchased Knacks'!A$192,VLOOKUP(CA488,'Purchased Knacks'!$A$4:$E$300,3,FALSE),"")</f>
        <v/>
      </c>
      <c r="CC488" s="1039"/>
      <c r="CD488" s="1039"/>
      <c r="CE488" s="1039"/>
      <c r="CF488" s="1040"/>
      <c r="CG488" s="1032" t="str">
        <f>IF(CB488="","",VLOOKUP(CB488,KanckRef!$A$1:$G$300,7,FALSE))</f>
        <v/>
      </c>
      <c r="CH488" s="1033"/>
      <c r="CI488" s="753"/>
      <c r="CJ488" s="754"/>
      <c r="CK488" s="754"/>
      <c r="CL488" s="754"/>
      <c r="CM488" s="754"/>
      <c r="CN488" s="754"/>
      <c r="CO488" s="754"/>
      <c r="CP488" s="754"/>
      <c r="CQ488" s="754"/>
      <c r="CR488" s="754"/>
      <c r="CS488" s="754"/>
      <c r="CT488" s="754"/>
      <c r="CU488" s="754"/>
      <c r="CV488" s="754"/>
      <c r="CW488" s="754"/>
      <c r="CX488" s="754"/>
      <c r="CY488" s="754"/>
      <c r="CZ488" s="755"/>
    </row>
    <row r="489" spans="1:104" x14ac:dyDescent="0.25">
      <c r="B489" s="1026"/>
      <c r="C489" s="727"/>
      <c r="D489" s="727"/>
      <c r="E489" s="727"/>
      <c r="F489" s="727"/>
      <c r="G489" s="727"/>
      <c r="H489" s="727"/>
      <c r="I489" s="727" t="str">
        <f>IF(B488="","",VLOOKUP(B488,BoonRef!$A$2:$Z$900,26,FALSE))</f>
        <v/>
      </c>
      <c r="J489" s="727"/>
      <c r="K489" s="727"/>
      <c r="L489" s="727"/>
      <c r="M489" s="727"/>
      <c r="N489" s="727"/>
      <c r="O489" s="727"/>
      <c r="P489" s="727"/>
      <c r="Q489" s="727"/>
      <c r="R489" s="727"/>
      <c r="S489" s="727"/>
      <c r="T489" s="727"/>
      <c r="U489" s="727"/>
      <c r="V489" s="727"/>
      <c r="W489" s="727"/>
      <c r="X489" s="727"/>
      <c r="Y489" s="727"/>
      <c r="Z489" s="728"/>
      <c r="AB489" s="1026"/>
      <c r="AC489" s="727"/>
      <c r="AD489" s="727"/>
      <c r="AE489" s="727"/>
      <c r="AF489" s="727"/>
      <c r="AG489" s="727"/>
      <c r="AH489" s="727"/>
      <c r="AI489" s="727" t="str">
        <f>IF(AB488="","",VLOOKUP(AB488,BoonRef!$A$2:$Z$900,26,FALSE))</f>
        <v/>
      </c>
      <c r="AJ489" s="727"/>
      <c r="AK489" s="727"/>
      <c r="AL489" s="727"/>
      <c r="AM489" s="727"/>
      <c r="AN489" s="727"/>
      <c r="AO489" s="727"/>
      <c r="AP489" s="727"/>
      <c r="AQ489" s="727"/>
      <c r="AR489" s="727"/>
      <c r="AS489" s="727"/>
      <c r="AT489" s="727"/>
      <c r="AU489" s="727"/>
      <c r="AV489" s="727"/>
      <c r="AW489" s="727"/>
      <c r="AX489" s="727"/>
      <c r="AY489" s="727"/>
      <c r="AZ489" s="728"/>
      <c r="BB489" s="1041"/>
      <c r="BC489" s="1042"/>
      <c r="BD489" s="1042"/>
      <c r="BE489" s="1042"/>
      <c r="BF489" s="1043"/>
      <c r="BG489" s="1034"/>
      <c r="BH489" s="1035"/>
      <c r="BI489" s="753"/>
      <c r="BJ489" s="754"/>
      <c r="BK489" s="754"/>
      <c r="BL489" s="754"/>
      <c r="BM489" s="754"/>
      <c r="BN489" s="754"/>
      <c r="BO489" s="754"/>
      <c r="BP489" s="754"/>
      <c r="BQ489" s="754"/>
      <c r="BR489" s="754"/>
      <c r="BS489" s="754"/>
      <c r="BT489" s="754"/>
      <c r="BU489" s="754"/>
      <c r="BV489" s="754"/>
      <c r="BW489" s="754"/>
      <c r="BX489" s="754"/>
      <c r="BY489" s="754"/>
      <c r="BZ489" s="755"/>
      <c r="CB489" s="1041"/>
      <c r="CC489" s="1042"/>
      <c r="CD489" s="1042"/>
      <c r="CE489" s="1042"/>
      <c r="CF489" s="1043"/>
      <c r="CG489" s="1034"/>
      <c r="CH489" s="1035"/>
      <c r="CI489" s="753"/>
      <c r="CJ489" s="754"/>
      <c r="CK489" s="754"/>
      <c r="CL489" s="754"/>
      <c r="CM489" s="754"/>
      <c r="CN489" s="754"/>
      <c r="CO489" s="754"/>
      <c r="CP489" s="754"/>
      <c r="CQ489" s="754"/>
      <c r="CR489" s="754"/>
      <c r="CS489" s="754"/>
      <c r="CT489" s="754"/>
      <c r="CU489" s="754"/>
      <c r="CV489" s="754"/>
      <c r="CW489" s="754"/>
      <c r="CX489" s="754"/>
      <c r="CY489" s="754"/>
      <c r="CZ489" s="755"/>
    </row>
    <row r="490" spans="1:104" x14ac:dyDescent="0.25">
      <c r="B490" s="1026" t="str">
        <f>IF(B488="","",VLOOKUP(B488,BoonRef!$A$2:$Z$900,24,FALSE))</f>
        <v/>
      </c>
      <c r="C490" s="727"/>
      <c r="D490" s="727"/>
      <c r="E490" s="727"/>
      <c r="F490" s="727"/>
      <c r="G490" s="727"/>
      <c r="H490" s="727"/>
      <c r="I490" s="727"/>
      <c r="J490" s="727"/>
      <c r="K490" s="727"/>
      <c r="L490" s="727"/>
      <c r="M490" s="727"/>
      <c r="N490" s="727"/>
      <c r="O490" s="727"/>
      <c r="P490" s="727"/>
      <c r="Q490" s="727"/>
      <c r="R490" s="727"/>
      <c r="S490" s="727"/>
      <c r="T490" s="727"/>
      <c r="U490" s="727"/>
      <c r="V490" s="727"/>
      <c r="W490" s="727"/>
      <c r="X490" s="727"/>
      <c r="Y490" s="727"/>
      <c r="Z490" s="728"/>
      <c r="AB490" s="1026" t="str">
        <f>IF(AB488="","",VLOOKUP(AB488,BoonRef!$A$2:$Z$900,24,FALSE))</f>
        <v/>
      </c>
      <c r="AC490" s="727"/>
      <c r="AD490" s="727"/>
      <c r="AE490" s="727"/>
      <c r="AF490" s="727"/>
      <c r="AG490" s="727"/>
      <c r="AH490" s="727"/>
      <c r="AI490" s="727"/>
      <c r="AJ490" s="727"/>
      <c r="AK490" s="727"/>
      <c r="AL490" s="727"/>
      <c r="AM490" s="727"/>
      <c r="AN490" s="727"/>
      <c r="AO490" s="727"/>
      <c r="AP490" s="727"/>
      <c r="AQ490" s="727"/>
      <c r="AR490" s="727"/>
      <c r="AS490" s="727"/>
      <c r="AT490" s="727"/>
      <c r="AU490" s="727"/>
      <c r="AV490" s="727"/>
      <c r="AW490" s="727"/>
      <c r="AX490" s="727"/>
      <c r="AY490" s="727"/>
      <c r="AZ490" s="728"/>
      <c r="BB490" s="641" t="str">
        <f>IF(BB488="","",VLOOKUP(BB488,KanckRef!$A$1:$G$300,4,FALSE))</f>
        <v/>
      </c>
      <c r="BC490" s="642"/>
      <c r="BD490" s="642"/>
      <c r="BE490" s="642"/>
      <c r="BF490" s="642"/>
      <c r="BG490" s="642"/>
      <c r="BH490" s="1033"/>
      <c r="BI490" s="753"/>
      <c r="BJ490" s="754"/>
      <c r="BK490" s="754"/>
      <c r="BL490" s="754"/>
      <c r="BM490" s="754"/>
      <c r="BN490" s="754"/>
      <c r="BO490" s="754"/>
      <c r="BP490" s="754"/>
      <c r="BQ490" s="754"/>
      <c r="BR490" s="754"/>
      <c r="BS490" s="754"/>
      <c r="BT490" s="754"/>
      <c r="BU490" s="754"/>
      <c r="BV490" s="754"/>
      <c r="BW490" s="754"/>
      <c r="BX490" s="754"/>
      <c r="BY490" s="754"/>
      <c r="BZ490" s="755"/>
      <c r="CB490" s="641" t="str">
        <f>IF(CB488="","",VLOOKUP(CB488,KanckRef!$A$1:$G$300,4,FALSE))</f>
        <v/>
      </c>
      <c r="CC490" s="642"/>
      <c r="CD490" s="642"/>
      <c r="CE490" s="642"/>
      <c r="CF490" s="642"/>
      <c r="CG490" s="642"/>
      <c r="CH490" s="1033"/>
      <c r="CI490" s="753"/>
      <c r="CJ490" s="754"/>
      <c r="CK490" s="754"/>
      <c r="CL490" s="754"/>
      <c r="CM490" s="754"/>
      <c r="CN490" s="754"/>
      <c r="CO490" s="754"/>
      <c r="CP490" s="754"/>
      <c r="CQ490" s="754"/>
      <c r="CR490" s="754"/>
      <c r="CS490" s="754"/>
      <c r="CT490" s="754"/>
      <c r="CU490" s="754"/>
      <c r="CV490" s="754"/>
      <c r="CW490" s="754"/>
      <c r="CX490" s="754"/>
      <c r="CY490" s="754"/>
      <c r="CZ490" s="755"/>
    </row>
    <row r="491" spans="1:104" x14ac:dyDescent="0.25">
      <c r="B491" s="1026" t="str">
        <f>IF(B488="","",VLOOKUP(B488,BoonRef!$A$2:$Z$900,23,FALSE))</f>
        <v/>
      </c>
      <c r="C491" s="727"/>
      <c r="D491" s="727"/>
      <c r="E491" s="727"/>
      <c r="F491" s="727"/>
      <c r="G491" s="727"/>
      <c r="H491" s="727"/>
      <c r="I491" s="727"/>
      <c r="J491" s="727"/>
      <c r="K491" s="727"/>
      <c r="L491" s="727"/>
      <c r="M491" s="727"/>
      <c r="N491" s="727"/>
      <c r="O491" s="727"/>
      <c r="P491" s="727"/>
      <c r="Q491" s="727"/>
      <c r="R491" s="727"/>
      <c r="S491" s="727"/>
      <c r="T491" s="727"/>
      <c r="U491" s="727"/>
      <c r="V491" s="727"/>
      <c r="W491" s="727"/>
      <c r="X491" s="727"/>
      <c r="Y491" s="727"/>
      <c r="Z491" s="728"/>
      <c r="AB491" s="1026" t="str">
        <f>IF(AB488="","",VLOOKUP(AB488,BoonRef!$A$2:$Z$900,23,FALSE))</f>
        <v/>
      </c>
      <c r="AC491" s="727"/>
      <c r="AD491" s="727"/>
      <c r="AE491" s="727"/>
      <c r="AF491" s="727"/>
      <c r="AG491" s="727"/>
      <c r="AH491" s="727"/>
      <c r="AI491" s="727"/>
      <c r="AJ491" s="727"/>
      <c r="AK491" s="727"/>
      <c r="AL491" s="727"/>
      <c r="AM491" s="727"/>
      <c r="AN491" s="727"/>
      <c r="AO491" s="727"/>
      <c r="AP491" s="727"/>
      <c r="AQ491" s="727"/>
      <c r="AR491" s="727"/>
      <c r="AS491" s="727"/>
      <c r="AT491" s="727"/>
      <c r="AU491" s="727"/>
      <c r="AV491" s="727"/>
      <c r="AW491" s="727"/>
      <c r="AX491" s="727"/>
      <c r="AY491" s="727"/>
      <c r="AZ491" s="728"/>
      <c r="BB491" s="635"/>
      <c r="BC491" s="636"/>
      <c r="BD491" s="636"/>
      <c r="BE491" s="636"/>
      <c r="BF491" s="636"/>
      <c r="BG491" s="636"/>
      <c r="BH491" s="1036"/>
      <c r="BI491" s="753"/>
      <c r="BJ491" s="754"/>
      <c r="BK491" s="754"/>
      <c r="BL491" s="754"/>
      <c r="BM491" s="754"/>
      <c r="BN491" s="754"/>
      <c r="BO491" s="754"/>
      <c r="BP491" s="754"/>
      <c r="BQ491" s="754"/>
      <c r="BR491" s="754"/>
      <c r="BS491" s="754"/>
      <c r="BT491" s="754"/>
      <c r="BU491" s="754"/>
      <c r="BV491" s="754"/>
      <c r="BW491" s="754"/>
      <c r="BX491" s="754"/>
      <c r="BY491" s="754"/>
      <c r="BZ491" s="755"/>
      <c r="CB491" s="635"/>
      <c r="CC491" s="636"/>
      <c r="CD491" s="636"/>
      <c r="CE491" s="636"/>
      <c r="CF491" s="636"/>
      <c r="CG491" s="636"/>
      <c r="CH491" s="1036"/>
      <c r="CI491" s="753"/>
      <c r="CJ491" s="754"/>
      <c r="CK491" s="754"/>
      <c r="CL491" s="754"/>
      <c r="CM491" s="754"/>
      <c r="CN491" s="754"/>
      <c r="CO491" s="754"/>
      <c r="CP491" s="754"/>
      <c r="CQ491" s="754"/>
      <c r="CR491" s="754"/>
      <c r="CS491" s="754"/>
      <c r="CT491" s="754"/>
      <c r="CU491" s="754"/>
      <c r="CV491" s="754"/>
      <c r="CW491" s="754"/>
      <c r="CX491" s="754"/>
      <c r="CY491" s="754"/>
      <c r="CZ491" s="755"/>
    </row>
    <row r="492" spans="1:104" ht="15.75" thickBot="1" x14ac:dyDescent="0.3">
      <c r="B492" s="1027"/>
      <c r="C492" s="865"/>
      <c r="D492" s="865"/>
      <c r="E492" s="865"/>
      <c r="F492" s="865"/>
      <c r="G492" s="865"/>
      <c r="H492" s="865"/>
      <c r="I492" s="865"/>
      <c r="J492" s="865"/>
      <c r="K492" s="865"/>
      <c r="L492" s="865"/>
      <c r="M492" s="865"/>
      <c r="N492" s="865"/>
      <c r="O492" s="865"/>
      <c r="P492" s="865"/>
      <c r="Q492" s="865"/>
      <c r="R492" s="865"/>
      <c r="S492" s="865"/>
      <c r="T492" s="865"/>
      <c r="U492" s="865"/>
      <c r="V492" s="865"/>
      <c r="W492" s="865"/>
      <c r="X492" s="865"/>
      <c r="Y492" s="865"/>
      <c r="Z492" s="921"/>
      <c r="AB492" s="1027"/>
      <c r="AC492" s="865"/>
      <c r="AD492" s="865"/>
      <c r="AE492" s="865"/>
      <c r="AF492" s="865"/>
      <c r="AG492" s="865"/>
      <c r="AH492" s="865"/>
      <c r="AI492" s="865"/>
      <c r="AJ492" s="865"/>
      <c r="AK492" s="865"/>
      <c r="AL492" s="865"/>
      <c r="AM492" s="865"/>
      <c r="AN492" s="865"/>
      <c r="AO492" s="865"/>
      <c r="AP492" s="865"/>
      <c r="AQ492" s="865"/>
      <c r="AR492" s="865"/>
      <c r="AS492" s="865"/>
      <c r="AT492" s="865"/>
      <c r="AU492" s="865"/>
      <c r="AV492" s="865"/>
      <c r="AW492" s="865"/>
      <c r="AX492" s="865"/>
      <c r="AY492" s="865"/>
      <c r="AZ492" s="921"/>
      <c r="BB492" s="644"/>
      <c r="BC492" s="645"/>
      <c r="BD492" s="645"/>
      <c r="BE492" s="645"/>
      <c r="BF492" s="645"/>
      <c r="BG492" s="645"/>
      <c r="BH492" s="1037"/>
      <c r="BI492" s="756"/>
      <c r="BJ492" s="757"/>
      <c r="BK492" s="757"/>
      <c r="BL492" s="757"/>
      <c r="BM492" s="757"/>
      <c r="BN492" s="757"/>
      <c r="BO492" s="757"/>
      <c r="BP492" s="757"/>
      <c r="BQ492" s="757"/>
      <c r="BR492" s="757"/>
      <c r="BS492" s="757"/>
      <c r="BT492" s="757"/>
      <c r="BU492" s="757"/>
      <c r="BV492" s="757"/>
      <c r="BW492" s="757"/>
      <c r="BX492" s="757"/>
      <c r="BY492" s="757"/>
      <c r="BZ492" s="758"/>
      <c r="CB492" s="644"/>
      <c r="CC492" s="645"/>
      <c r="CD492" s="645"/>
      <c r="CE492" s="645"/>
      <c r="CF492" s="645"/>
      <c r="CG492" s="645"/>
      <c r="CH492" s="1037"/>
      <c r="CI492" s="756"/>
      <c r="CJ492" s="757"/>
      <c r="CK492" s="757"/>
      <c r="CL492" s="757"/>
      <c r="CM492" s="757"/>
      <c r="CN492" s="757"/>
      <c r="CO492" s="757"/>
      <c r="CP492" s="757"/>
      <c r="CQ492" s="757"/>
      <c r="CR492" s="757"/>
      <c r="CS492" s="757"/>
      <c r="CT492" s="757"/>
      <c r="CU492" s="757"/>
      <c r="CV492" s="757"/>
      <c r="CW492" s="757"/>
      <c r="CX492" s="757"/>
      <c r="CY492" s="757"/>
      <c r="CZ492" s="758"/>
    </row>
    <row r="493" spans="1:104" x14ac:dyDescent="0.25">
      <c r="B493" s="1028" t="str">
        <f>IF(B494="","",VLOOKUP(B494,BoonRef!$A$2:$Z$900,2,FALSE))</f>
        <v/>
      </c>
      <c r="C493" s="725"/>
      <c r="D493" s="725"/>
      <c r="E493" s="725"/>
      <c r="F493" s="725"/>
      <c r="G493" s="725"/>
      <c r="H493" s="725"/>
      <c r="I493" s="725" t="str">
        <f>IF(B494="","",VLOOKUP(B494,BoonRef!$A$2:$Z$900,3,FALSE))</f>
        <v/>
      </c>
      <c r="J493" s="725"/>
      <c r="K493" s="725" t="str">
        <f>IF(B494="","",VLOOKUP(B494,DescRef!$A$2:$B$900,2,FALSE))</f>
        <v/>
      </c>
      <c r="L493" s="725"/>
      <c r="M493" s="725"/>
      <c r="N493" s="725"/>
      <c r="O493" s="725"/>
      <c r="P493" s="725"/>
      <c r="Q493" s="725"/>
      <c r="R493" s="725"/>
      <c r="S493" s="725"/>
      <c r="T493" s="725"/>
      <c r="U493" s="725"/>
      <c r="V493" s="725"/>
      <c r="W493" s="725"/>
      <c r="X493" s="725"/>
      <c r="Y493" s="725"/>
      <c r="Z493" s="726"/>
      <c r="AB493" s="1028" t="str">
        <f>IF(AB494="","",VLOOKUP(AB494,BoonRef!$A$2:$Z$900,2,FALSE))</f>
        <v/>
      </c>
      <c r="AC493" s="725"/>
      <c r="AD493" s="725"/>
      <c r="AE493" s="725"/>
      <c r="AF493" s="725"/>
      <c r="AG493" s="725"/>
      <c r="AH493" s="725"/>
      <c r="AI493" s="725" t="str">
        <f>IF(AB494="","",VLOOKUP(AB494,BoonRef!$A$2:$Z$900,3,FALSE))</f>
        <v/>
      </c>
      <c r="AJ493" s="725"/>
      <c r="AK493" s="725" t="str">
        <f>IF(AB494="","",VLOOKUP(AB494,DescRef!$A$2:$B$900,2,FALSE))</f>
        <v/>
      </c>
      <c r="AL493" s="725"/>
      <c r="AM493" s="725"/>
      <c r="AN493" s="725"/>
      <c r="AO493" s="725"/>
      <c r="AP493" s="725"/>
      <c r="AQ493" s="725"/>
      <c r="AR493" s="725"/>
      <c r="AS493" s="725"/>
      <c r="AT493" s="725"/>
      <c r="AU493" s="725"/>
      <c r="AV493" s="725"/>
      <c r="AW493" s="725"/>
      <c r="AX493" s="725"/>
      <c r="AY493" s="725"/>
      <c r="AZ493" s="726"/>
      <c r="BB493" s="1029" t="str">
        <f>IF(BB494="","",VLOOKUP(BB494,KanckRef!$A$1:$G$300,2,FALSE))</f>
        <v/>
      </c>
      <c r="BC493" s="1030"/>
      <c r="BD493" s="1030"/>
      <c r="BE493" s="1030"/>
      <c r="BF493" s="1031"/>
      <c r="BG493" s="1048" t="str">
        <f>IF(BB494="","",VLOOKUP(BB494,KanckRef!$A$1:$G$300,6,FALSE))</f>
        <v/>
      </c>
      <c r="BH493" s="1049"/>
      <c r="BI493" s="988" t="str">
        <f>IF(BB494="","",VLOOKUP(BB494,DescRef!$D$2:$E$300,2,FALSE))</f>
        <v/>
      </c>
      <c r="BJ493" s="795"/>
      <c r="BK493" s="795"/>
      <c r="BL493" s="795"/>
      <c r="BM493" s="795"/>
      <c r="BN493" s="795"/>
      <c r="BO493" s="795"/>
      <c r="BP493" s="795"/>
      <c r="BQ493" s="795"/>
      <c r="BR493" s="795"/>
      <c r="BS493" s="795"/>
      <c r="BT493" s="795"/>
      <c r="BU493" s="795"/>
      <c r="BV493" s="795"/>
      <c r="BW493" s="795"/>
      <c r="BX493" s="795"/>
      <c r="BY493" s="795"/>
      <c r="BZ493" s="796"/>
      <c r="CB493" s="1029" t="str">
        <f>IF(CB494="","",VLOOKUP(CB494,KanckRef!$A$1:$G$300,2,FALSE))</f>
        <v/>
      </c>
      <c r="CC493" s="1030"/>
      <c r="CD493" s="1030"/>
      <c r="CE493" s="1030"/>
      <c r="CF493" s="1031"/>
      <c r="CG493" s="1048" t="str">
        <f>IF(CB494="","",VLOOKUP(CB494,KanckRef!$A$1:$G$300,6,FALSE))</f>
        <v/>
      </c>
      <c r="CH493" s="1049"/>
      <c r="CI493" s="988" t="str">
        <f>IF(CB494="","",VLOOKUP(CB494,DescRef!$D$2:$E$300,2,FALSE))</f>
        <v/>
      </c>
      <c r="CJ493" s="795"/>
      <c r="CK493" s="795"/>
      <c r="CL493" s="795"/>
      <c r="CM493" s="795"/>
      <c r="CN493" s="795"/>
      <c r="CO493" s="795"/>
      <c r="CP493" s="795"/>
      <c r="CQ493" s="795"/>
      <c r="CR493" s="795"/>
      <c r="CS493" s="795"/>
      <c r="CT493" s="795"/>
      <c r="CU493" s="795"/>
      <c r="CV493" s="795"/>
      <c r="CW493" s="795"/>
      <c r="CX493" s="795"/>
      <c r="CY493" s="795"/>
      <c r="CZ493" s="796"/>
    </row>
    <row r="494" spans="1:104" ht="15" customHeight="1" x14ac:dyDescent="0.25">
      <c r="A494" s="15">
        <v>82</v>
      </c>
      <c r="B494" s="1026" t="str">
        <f>IF(A494&lt;'Purchased Boons'!$B$496,VLOOKUP(A494,'Purchased Boons'!$BF$2:$BG$900,2,FALSE),"")</f>
        <v/>
      </c>
      <c r="C494" s="727"/>
      <c r="D494" s="727"/>
      <c r="E494" s="727"/>
      <c r="F494" s="727"/>
      <c r="G494" s="727"/>
      <c r="H494" s="727"/>
      <c r="I494" s="727" t="str">
        <f>IF(B494="","",VLOOKUP(B494,BoonRef!$A$2:$Z$900,25,FALSE))</f>
        <v/>
      </c>
      <c r="J494" s="727"/>
      <c r="K494" s="727"/>
      <c r="L494" s="727"/>
      <c r="M494" s="727"/>
      <c r="N494" s="727"/>
      <c r="O494" s="727"/>
      <c r="P494" s="727"/>
      <c r="Q494" s="727"/>
      <c r="R494" s="727"/>
      <c r="S494" s="727"/>
      <c r="T494" s="727"/>
      <c r="U494" s="727"/>
      <c r="V494" s="727"/>
      <c r="W494" s="727"/>
      <c r="X494" s="727"/>
      <c r="Y494" s="727"/>
      <c r="Z494" s="728"/>
      <c r="AA494" s="15">
        <v>189</v>
      </c>
      <c r="AB494" s="1026" t="str">
        <f>IF(AA494&lt;'Purchased Boons'!$B$496,VLOOKUP(AA494,'Purchased Boons'!$BF$2:$BG$900,2,FALSE),"")</f>
        <v/>
      </c>
      <c r="AC494" s="727"/>
      <c r="AD494" s="727"/>
      <c r="AE494" s="727"/>
      <c r="AF494" s="727"/>
      <c r="AG494" s="727"/>
      <c r="AH494" s="727"/>
      <c r="AI494" s="727" t="str">
        <f>IF(AB494="","",VLOOKUP(AB494,BoonRef!$A$2:$Z$900,25,FALSE))</f>
        <v/>
      </c>
      <c r="AJ494" s="727"/>
      <c r="AK494" s="727"/>
      <c r="AL494" s="727"/>
      <c r="AM494" s="727"/>
      <c r="AN494" s="727"/>
      <c r="AO494" s="727"/>
      <c r="AP494" s="727"/>
      <c r="AQ494" s="727"/>
      <c r="AR494" s="727"/>
      <c r="AS494" s="727"/>
      <c r="AT494" s="727"/>
      <c r="AU494" s="727"/>
      <c r="AV494" s="727"/>
      <c r="AW494" s="727"/>
      <c r="AX494" s="727"/>
      <c r="AY494" s="727"/>
      <c r="AZ494" s="728"/>
      <c r="BA494" s="15">
        <v>82</v>
      </c>
      <c r="BB494" s="1038" t="str">
        <f>IF(BA494&lt;'Purchased Knacks'!A$192,VLOOKUP(BA494,'Purchased Knacks'!$A$4:$E$300,3,FALSE),"")</f>
        <v/>
      </c>
      <c r="BC494" s="1039"/>
      <c r="BD494" s="1039"/>
      <c r="BE494" s="1039"/>
      <c r="BF494" s="1040"/>
      <c r="BG494" s="1032" t="str">
        <f>IF(BB494="","",VLOOKUP(BB494,KanckRef!$A$1:$G$300,7,FALSE))</f>
        <v/>
      </c>
      <c r="BH494" s="1033"/>
      <c r="BI494" s="753"/>
      <c r="BJ494" s="754"/>
      <c r="BK494" s="754"/>
      <c r="BL494" s="754"/>
      <c r="BM494" s="754"/>
      <c r="BN494" s="754"/>
      <c r="BO494" s="754"/>
      <c r="BP494" s="754"/>
      <c r="BQ494" s="754"/>
      <c r="BR494" s="754"/>
      <c r="BS494" s="754"/>
      <c r="BT494" s="754"/>
      <c r="BU494" s="754"/>
      <c r="BV494" s="754"/>
      <c r="BW494" s="754"/>
      <c r="BX494" s="754"/>
      <c r="BY494" s="754"/>
      <c r="BZ494" s="755"/>
      <c r="CA494" s="15">
        <v>189</v>
      </c>
      <c r="CB494" s="1038" t="str">
        <f>IF(CA494&lt;'Purchased Knacks'!A$192,VLOOKUP(CA494,'Purchased Knacks'!$A$4:$E$300,3,FALSE),"")</f>
        <v/>
      </c>
      <c r="CC494" s="1039"/>
      <c r="CD494" s="1039"/>
      <c r="CE494" s="1039"/>
      <c r="CF494" s="1040"/>
      <c r="CG494" s="1032" t="str">
        <f>IF(CB494="","",VLOOKUP(CB494,KanckRef!$A$1:$G$300,7,FALSE))</f>
        <v/>
      </c>
      <c r="CH494" s="1033"/>
      <c r="CI494" s="753"/>
      <c r="CJ494" s="754"/>
      <c r="CK494" s="754"/>
      <c r="CL494" s="754"/>
      <c r="CM494" s="754"/>
      <c r="CN494" s="754"/>
      <c r="CO494" s="754"/>
      <c r="CP494" s="754"/>
      <c r="CQ494" s="754"/>
      <c r="CR494" s="754"/>
      <c r="CS494" s="754"/>
      <c r="CT494" s="754"/>
      <c r="CU494" s="754"/>
      <c r="CV494" s="754"/>
      <c r="CW494" s="754"/>
      <c r="CX494" s="754"/>
      <c r="CY494" s="754"/>
      <c r="CZ494" s="755"/>
    </row>
    <row r="495" spans="1:104" x14ac:dyDescent="0.25">
      <c r="B495" s="1026"/>
      <c r="C495" s="727"/>
      <c r="D495" s="727"/>
      <c r="E495" s="727"/>
      <c r="F495" s="727"/>
      <c r="G495" s="727"/>
      <c r="H495" s="727"/>
      <c r="I495" s="727" t="str">
        <f>IF(B494="","",VLOOKUP(B494,BoonRef!$A$2:$Z$900,26,FALSE))</f>
        <v/>
      </c>
      <c r="J495" s="727"/>
      <c r="K495" s="727"/>
      <c r="L495" s="727"/>
      <c r="M495" s="727"/>
      <c r="N495" s="727"/>
      <c r="O495" s="727"/>
      <c r="P495" s="727"/>
      <c r="Q495" s="727"/>
      <c r="R495" s="727"/>
      <c r="S495" s="727"/>
      <c r="T495" s="727"/>
      <c r="U495" s="727"/>
      <c r="V495" s="727"/>
      <c r="W495" s="727"/>
      <c r="X495" s="727"/>
      <c r="Y495" s="727"/>
      <c r="Z495" s="728"/>
      <c r="AB495" s="1026"/>
      <c r="AC495" s="727"/>
      <c r="AD495" s="727"/>
      <c r="AE495" s="727"/>
      <c r="AF495" s="727"/>
      <c r="AG495" s="727"/>
      <c r="AH495" s="727"/>
      <c r="AI495" s="727" t="str">
        <f>IF(AB494="","",VLOOKUP(AB494,BoonRef!$A$2:$Z$900,26,FALSE))</f>
        <v/>
      </c>
      <c r="AJ495" s="727"/>
      <c r="AK495" s="727"/>
      <c r="AL495" s="727"/>
      <c r="AM495" s="727"/>
      <c r="AN495" s="727"/>
      <c r="AO495" s="727"/>
      <c r="AP495" s="727"/>
      <c r="AQ495" s="727"/>
      <c r="AR495" s="727"/>
      <c r="AS495" s="727"/>
      <c r="AT495" s="727"/>
      <c r="AU495" s="727"/>
      <c r="AV495" s="727"/>
      <c r="AW495" s="727"/>
      <c r="AX495" s="727"/>
      <c r="AY495" s="727"/>
      <c r="AZ495" s="728"/>
      <c r="BB495" s="1041"/>
      <c r="BC495" s="1042"/>
      <c r="BD495" s="1042"/>
      <c r="BE495" s="1042"/>
      <c r="BF495" s="1043"/>
      <c r="BG495" s="1034"/>
      <c r="BH495" s="1035"/>
      <c r="BI495" s="753"/>
      <c r="BJ495" s="754"/>
      <c r="BK495" s="754"/>
      <c r="BL495" s="754"/>
      <c r="BM495" s="754"/>
      <c r="BN495" s="754"/>
      <c r="BO495" s="754"/>
      <c r="BP495" s="754"/>
      <c r="BQ495" s="754"/>
      <c r="BR495" s="754"/>
      <c r="BS495" s="754"/>
      <c r="BT495" s="754"/>
      <c r="BU495" s="754"/>
      <c r="BV495" s="754"/>
      <c r="BW495" s="754"/>
      <c r="BX495" s="754"/>
      <c r="BY495" s="754"/>
      <c r="BZ495" s="755"/>
      <c r="CB495" s="1041"/>
      <c r="CC495" s="1042"/>
      <c r="CD495" s="1042"/>
      <c r="CE495" s="1042"/>
      <c r="CF495" s="1043"/>
      <c r="CG495" s="1034"/>
      <c r="CH495" s="1035"/>
      <c r="CI495" s="753"/>
      <c r="CJ495" s="754"/>
      <c r="CK495" s="754"/>
      <c r="CL495" s="754"/>
      <c r="CM495" s="754"/>
      <c r="CN495" s="754"/>
      <c r="CO495" s="754"/>
      <c r="CP495" s="754"/>
      <c r="CQ495" s="754"/>
      <c r="CR495" s="754"/>
      <c r="CS495" s="754"/>
      <c r="CT495" s="754"/>
      <c r="CU495" s="754"/>
      <c r="CV495" s="754"/>
      <c r="CW495" s="754"/>
      <c r="CX495" s="754"/>
      <c r="CY495" s="754"/>
      <c r="CZ495" s="755"/>
    </row>
    <row r="496" spans="1:104" x14ac:dyDescent="0.25">
      <c r="B496" s="1026" t="str">
        <f>IF(B494="","",VLOOKUP(B494,BoonRef!$A$2:$Z$900,24,FALSE))</f>
        <v/>
      </c>
      <c r="C496" s="727"/>
      <c r="D496" s="727"/>
      <c r="E496" s="727"/>
      <c r="F496" s="727"/>
      <c r="G496" s="727"/>
      <c r="H496" s="727"/>
      <c r="I496" s="727"/>
      <c r="J496" s="727"/>
      <c r="K496" s="727"/>
      <c r="L496" s="727"/>
      <c r="M496" s="727"/>
      <c r="N496" s="727"/>
      <c r="O496" s="727"/>
      <c r="P496" s="727"/>
      <c r="Q496" s="727"/>
      <c r="R496" s="727"/>
      <c r="S496" s="727"/>
      <c r="T496" s="727"/>
      <c r="U496" s="727"/>
      <c r="V496" s="727"/>
      <c r="W496" s="727"/>
      <c r="X496" s="727"/>
      <c r="Y496" s="727"/>
      <c r="Z496" s="728"/>
      <c r="AB496" s="1026" t="str">
        <f>IF(AB494="","",VLOOKUP(AB494,BoonRef!$A$2:$Z$900,24,FALSE))</f>
        <v/>
      </c>
      <c r="AC496" s="727"/>
      <c r="AD496" s="727"/>
      <c r="AE496" s="727"/>
      <c r="AF496" s="727"/>
      <c r="AG496" s="727"/>
      <c r="AH496" s="727"/>
      <c r="AI496" s="727"/>
      <c r="AJ496" s="727"/>
      <c r="AK496" s="727"/>
      <c r="AL496" s="727"/>
      <c r="AM496" s="727"/>
      <c r="AN496" s="727"/>
      <c r="AO496" s="727"/>
      <c r="AP496" s="727"/>
      <c r="AQ496" s="727"/>
      <c r="AR496" s="727"/>
      <c r="AS496" s="727"/>
      <c r="AT496" s="727"/>
      <c r="AU496" s="727"/>
      <c r="AV496" s="727"/>
      <c r="AW496" s="727"/>
      <c r="AX496" s="727"/>
      <c r="AY496" s="727"/>
      <c r="AZ496" s="728"/>
      <c r="BB496" s="641" t="str">
        <f>IF(BB494="","",VLOOKUP(BB494,KanckRef!$A$1:$G$300,4,FALSE))</f>
        <v/>
      </c>
      <c r="BC496" s="642"/>
      <c r="BD496" s="642"/>
      <c r="BE496" s="642"/>
      <c r="BF496" s="642"/>
      <c r="BG496" s="642"/>
      <c r="BH496" s="1033"/>
      <c r="BI496" s="753"/>
      <c r="BJ496" s="754"/>
      <c r="BK496" s="754"/>
      <c r="BL496" s="754"/>
      <c r="BM496" s="754"/>
      <c r="BN496" s="754"/>
      <c r="BO496" s="754"/>
      <c r="BP496" s="754"/>
      <c r="BQ496" s="754"/>
      <c r="BR496" s="754"/>
      <c r="BS496" s="754"/>
      <c r="BT496" s="754"/>
      <c r="BU496" s="754"/>
      <c r="BV496" s="754"/>
      <c r="BW496" s="754"/>
      <c r="BX496" s="754"/>
      <c r="BY496" s="754"/>
      <c r="BZ496" s="755"/>
      <c r="CB496" s="641" t="str">
        <f>IF(CB494="","",VLOOKUP(CB494,KanckRef!$A$1:$G$300,4,FALSE))</f>
        <v/>
      </c>
      <c r="CC496" s="642"/>
      <c r="CD496" s="642"/>
      <c r="CE496" s="642"/>
      <c r="CF496" s="642"/>
      <c r="CG496" s="642"/>
      <c r="CH496" s="1033"/>
      <c r="CI496" s="753"/>
      <c r="CJ496" s="754"/>
      <c r="CK496" s="754"/>
      <c r="CL496" s="754"/>
      <c r="CM496" s="754"/>
      <c r="CN496" s="754"/>
      <c r="CO496" s="754"/>
      <c r="CP496" s="754"/>
      <c r="CQ496" s="754"/>
      <c r="CR496" s="754"/>
      <c r="CS496" s="754"/>
      <c r="CT496" s="754"/>
      <c r="CU496" s="754"/>
      <c r="CV496" s="754"/>
      <c r="CW496" s="754"/>
      <c r="CX496" s="754"/>
      <c r="CY496" s="754"/>
      <c r="CZ496" s="755"/>
    </row>
    <row r="497" spans="1:104" x14ac:dyDescent="0.25">
      <c r="B497" s="1026" t="str">
        <f>IF(B494="","",VLOOKUP(B494,BoonRef!$A$2:$Z$900,23,FALSE))</f>
        <v/>
      </c>
      <c r="C497" s="727"/>
      <c r="D497" s="727"/>
      <c r="E497" s="727"/>
      <c r="F497" s="727"/>
      <c r="G497" s="727"/>
      <c r="H497" s="727"/>
      <c r="I497" s="727"/>
      <c r="J497" s="727"/>
      <c r="K497" s="727"/>
      <c r="L497" s="727"/>
      <c r="M497" s="727"/>
      <c r="N497" s="727"/>
      <c r="O497" s="727"/>
      <c r="P497" s="727"/>
      <c r="Q497" s="727"/>
      <c r="R497" s="727"/>
      <c r="S497" s="727"/>
      <c r="T497" s="727"/>
      <c r="U497" s="727"/>
      <c r="V497" s="727"/>
      <c r="W497" s="727"/>
      <c r="X497" s="727"/>
      <c r="Y497" s="727"/>
      <c r="Z497" s="728"/>
      <c r="AB497" s="1026" t="str">
        <f>IF(AB494="","",VLOOKUP(AB494,BoonRef!$A$2:$Z$900,23,FALSE))</f>
        <v/>
      </c>
      <c r="AC497" s="727"/>
      <c r="AD497" s="727"/>
      <c r="AE497" s="727"/>
      <c r="AF497" s="727"/>
      <c r="AG497" s="727"/>
      <c r="AH497" s="727"/>
      <c r="AI497" s="727"/>
      <c r="AJ497" s="727"/>
      <c r="AK497" s="727"/>
      <c r="AL497" s="727"/>
      <c r="AM497" s="727"/>
      <c r="AN497" s="727"/>
      <c r="AO497" s="727"/>
      <c r="AP497" s="727"/>
      <c r="AQ497" s="727"/>
      <c r="AR497" s="727"/>
      <c r="AS497" s="727"/>
      <c r="AT497" s="727"/>
      <c r="AU497" s="727"/>
      <c r="AV497" s="727"/>
      <c r="AW497" s="727"/>
      <c r="AX497" s="727"/>
      <c r="AY497" s="727"/>
      <c r="AZ497" s="728"/>
      <c r="BB497" s="635"/>
      <c r="BC497" s="636"/>
      <c r="BD497" s="636"/>
      <c r="BE497" s="636"/>
      <c r="BF497" s="636"/>
      <c r="BG497" s="636"/>
      <c r="BH497" s="1036"/>
      <c r="BI497" s="753"/>
      <c r="BJ497" s="754"/>
      <c r="BK497" s="754"/>
      <c r="BL497" s="754"/>
      <c r="BM497" s="754"/>
      <c r="BN497" s="754"/>
      <c r="BO497" s="754"/>
      <c r="BP497" s="754"/>
      <c r="BQ497" s="754"/>
      <c r="BR497" s="754"/>
      <c r="BS497" s="754"/>
      <c r="BT497" s="754"/>
      <c r="BU497" s="754"/>
      <c r="BV497" s="754"/>
      <c r="BW497" s="754"/>
      <c r="BX497" s="754"/>
      <c r="BY497" s="754"/>
      <c r="BZ497" s="755"/>
      <c r="CB497" s="635"/>
      <c r="CC497" s="636"/>
      <c r="CD497" s="636"/>
      <c r="CE497" s="636"/>
      <c r="CF497" s="636"/>
      <c r="CG497" s="636"/>
      <c r="CH497" s="1036"/>
      <c r="CI497" s="753"/>
      <c r="CJ497" s="754"/>
      <c r="CK497" s="754"/>
      <c r="CL497" s="754"/>
      <c r="CM497" s="754"/>
      <c r="CN497" s="754"/>
      <c r="CO497" s="754"/>
      <c r="CP497" s="754"/>
      <c r="CQ497" s="754"/>
      <c r="CR497" s="754"/>
      <c r="CS497" s="754"/>
      <c r="CT497" s="754"/>
      <c r="CU497" s="754"/>
      <c r="CV497" s="754"/>
      <c r="CW497" s="754"/>
      <c r="CX497" s="754"/>
      <c r="CY497" s="754"/>
      <c r="CZ497" s="755"/>
    </row>
    <row r="498" spans="1:104" ht="15.75" thickBot="1" x14ac:dyDescent="0.3">
      <c r="B498" s="1027"/>
      <c r="C498" s="865"/>
      <c r="D498" s="865"/>
      <c r="E498" s="865"/>
      <c r="F498" s="865"/>
      <c r="G498" s="865"/>
      <c r="H498" s="865"/>
      <c r="I498" s="865"/>
      <c r="J498" s="865"/>
      <c r="K498" s="865"/>
      <c r="L498" s="865"/>
      <c r="M498" s="865"/>
      <c r="N498" s="865"/>
      <c r="O498" s="865"/>
      <c r="P498" s="865"/>
      <c r="Q498" s="865"/>
      <c r="R498" s="865"/>
      <c r="S498" s="865"/>
      <c r="T498" s="865"/>
      <c r="U498" s="865"/>
      <c r="V498" s="865"/>
      <c r="W498" s="865"/>
      <c r="X498" s="865"/>
      <c r="Y498" s="865"/>
      <c r="Z498" s="921"/>
      <c r="AB498" s="1027"/>
      <c r="AC498" s="865"/>
      <c r="AD498" s="865"/>
      <c r="AE498" s="865"/>
      <c r="AF498" s="865"/>
      <c r="AG498" s="865"/>
      <c r="AH498" s="865"/>
      <c r="AI498" s="865"/>
      <c r="AJ498" s="865"/>
      <c r="AK498" s="865"/>
      <c r="AL498" s="865"/>
      <c r="AM498" s="865"/>
      <c r="AN498" s="865"/>
      <c r="AO498" s="865"/>
      <c r="AP498" s="865"/>
      <c r="AQ498" s="865"/>
      <c r="AR498" s="865"/>
      <c r="AS498" s="865"/>
      <c r="AT498" s="865"/>
      <c r="AU498" s="865"/>
      <c r="AV498" s="865"/>
      <c r="AW498" s="865"/>
      <c r="AX498" s="865"/>
      <c r="AY498" s="865"/>
      <c r="AZ498" s="921"/>
      <c r="BB498" s="644"/>
      <c r="BC498" s="645"/>
      <c r="BD498" s="645"/>
      <c r="BE498" s="645"/>
      <c r="BF498" s="645"/>
      <c r="BG498" s="645"/>
      <c r="BH498" s="1037"/>
      <c r="BI498" s="756"/>
      <c r="BJ498" s="757"/>
      <c r="BK498" s="757"/>
      <c r="BL498" s="757"/>
      <c r="BM498" s="757"/>
      <c r="BN498" s="757"/>
      <c r="BO498" s="757"/>
      <c r="BP498" s="757"/>
      <c r="BQ498" s="757"/>
      <c r="BR498" s="757"/>
      <c r="BS498" s="757"/>
      <c r="BT498" s="757"/>
      <c r="BU498" s="757"/>
      <c r="BV498" s="757"/>
      <c r="BW498" s="757"/>
      <c r="BX498" s="757"/>
      <c r="BY498" s="757"/>
      <c r="BZ498" s="758"/>
      <c r="CB498" s="644"/>
      <c r="CC498" s="645"/>
      <c r="CD498" s="645"/>
      <c r="CE498" s="645"/>
      <c r="CF498" s="645"/>
      <c r="CG498" s="645"/>
      <c r="CH498" s="1037"/>
      <c r="CI498" s="756"/>
      <c r="CJ498" s="757"/>
      <c r="CK498" s="757"/>
      <c r="CL498" s="757"/>
      <c r="CM498" s="757"/>
      <c r="CN498" s="757"/>
      <c r="CO498" s="757"/>
      <c r="CP498" s="757"/>
      <c r="CQ498" s="757"/>
      <c r="CR498" s="757"/>
      <c r="CS498" s="757"/>
      <c r="CT498" s="757"/>
      <c r="CU498" s="757"/>
      <c r="CV498" s="757"/>
      <c r="CW498" s="757"/>
      <c r="CX498" s="757"/>
      <c r="CY498" s="757"/>
      <c r="CZ498" s="758"/>
    </row>
    <row r="499" spans="1:104" x14ac:dyDescent="0.25">
      <c r="B499" s="1028" t="str">
        <f>IF(B500="","",VLOOKUP(B500,BoonRef!$A$2:$Z$900,2,FALSE))</f>
        <v/>
      </c>
      <c r="C499" s="725"/>
      <c r="D499" s="725"/>
      <c r="E499" s="725"/>
      <c r="F499" s="725"/>
      <c r="G499" s="725"/>
      <c r="H499" s="725"/>
      <c r="I499" s="725" t="str">
        <f>IF(B500="","",VLOOKUP(B500,BoonRef!$A$2:$Z$900,3,FALSE))</f>
        <v/>
      </c>
      <c r="J499" s="725"/>
      <c r="K499" s="725" t="str">
        <f>IF(B500="","",VLOOKUP(B500,DescRef!$A$2:$B$900,2,FALSE))</f>
        <v/>
      </c>
      <c r="L499" s="725"/>
      <c r="M499" s="725"/>
      <c r="N499" s="725"/>
      <c r="O499" s="725"/>
      <c r="P499" s="725"/>
      <c r="Q499" s="725"/>
      <c r="R499" s="725"/>
      <c r="S499" s="725"/>
      <c r="T499" s="725"/>
      <c r="U499" s="725"/>
      <c r="V499" s="725"/>
      <c r="W499" s="725"/>
      <c r="X499" s="725"/>
      <c r="Y499" s="725"/>
      <c r="Z499" s="726"/>
      <c r="AB499" s="1028" t="str">
        <f>IF(AB500="","",VLOOKUP(AB500,BoonRef!$A$2:$Z$900,2,FALSE))</f>
        <v/>
      </c>
      <c r="AC499" s="725"/>
      <c r="AD499" s="725"/>
      <c r="AE499" s="725"/>
      <c r="AF499" s="725"/>
      <c r="AG499" s="725"/>
      <c r="AH499" s="725"/>
      <c r="AI499" s="725" t="str">
        <f>IF(AB500="","",VLOOKUP(AB500,BoonRef!$A$2:$Z$900,3,FALSE))</f>
        <v/>
      </c>
      <c r="AJ499" s="725"/>
      <c r="AK499" s="725" t="str">
        <f>IF(AB500="","",VLOOKUP(AB500,DescRef!$A$2:$B$900,2,FALSE))</f>
        <v/>
      </c>
      <c r="AL499" s="725"/>
      <c r="AM499" s="725"/>
      <c r="AN499" s="725"/>
      <c r="AO499" s="725"/>
      <c r="AP499" s="725"/>
      <c r="AQ499" s="725"/>
      <c r="AR499" s="725"/>
      <c r="AS499" s="725"/>
      <c r="AT499" s="725"/>
      <c r="AU499" s="725"/>
      <c r="AV499" s="725"/>
      <c r="AW499" s="725"/>
      <c r="AX499" s="725"/>
      <c r="AY499" s="725"/>
      <c r="AZ499" s="726"/>
      <c r="BB499" s="1029" t="str">
        <f>IF(BB500="","",VLOOKUP(BB500,KanckRef!$A$1:$G$300,2,FALSE))</f>
        <v/>
      </c>
      <c r="BC499" s="1030"/>
      <c r="BD499" s="1030"/>
      <c r="BE499" s="1030"/>
      <c r="BF499" s="1031"/>
      <c r="BG499" s="1048" t="str">
        <f>IF(BB500="","",VLOOKUP(BB500,KanckRef!$A$1:$G$300,6,FALSE))</f>
        <v/>
      </c>
      <c r="BH499" s="1049"/>
      <c r="BI499" s="988" t="str">
        <f>IF(BB500="","",VLOOKUP(BB500,DescRef!$D$2:$E$300,2,FALSE))</f>
        <v/>
      </c>
      <c r="BJ499" s="795"/>
      <c r="BK499" s="795"/>
      <c r="BL499" s="795"/>
      <c r="BM499" s="795"/>
      <c r="BN499" s="795"/>
      <c r="BO499" s="795"/>
      <c r="BP499" s="795"/>
      <c r="BQ499" s="795"/>
      <c r="BR499" s="795"/>
      <c r="BS499" s="795"/>
      <c r="BT499" s="795"/>
      <c r="BU499" s="795"/>
      <c r="BV499" s="795"/>
      <c r="BW499" s="795"/>
      <c r="BX499" s="795"/>
      <c r="BY499" s="795"/>
      <c r="BZ499" s="796"/>
      <c r="CB499" s="1029" t="str">
        <f>IF(CB500="","",VLOOKUP(CB500,KanckRef!$A$1:$G$300,2,FALSE))</f>
        <v/>
      </c>
      <c r="CC499" s="1030"/>
      <c r="CD499" s="1030"/>
      <c r="CE499" s="1030"/>
      <c r="CF499" s="1031"/>
      <c r="CG499" s="1048" t="str">
        <f>IF(CB500="","",VLOOKUP(CB500,KanckRef!$A$1:$G$300,6,FALSE))</f>
        <v/>
      </c>
      <c r="CH499" s="1049"/>
      <c r="CI499" s="988" t="str">
        <f>IF(CB500="","",VLOOKUP(CB500,DescRef!$D$2:$E$300,2,FALSE))</f>
        <v/>
      </c>
      <c r="CJ499" s="795"/>
      <c r="CK499" s="795"/>
      <c r="CL499" s="795"/>
      <c r="CM499" s="795"/>
      <c r="CN499" s="795"/>
      <c r="CO499" s="795"/>
      <c r="CP499" s="795"/>
      <c r="CQ499" s="795"/>
      <c r="CR499" s="795"/>
      <c r="CS499" s="795"/>
      <c r="CT499" s="795"/>
      <c r="CU499" s="795"/>
      <c r="CV499" s="795"/>
      <c r="CW499" s="795"/>
      <c r="CX499" s="795"/>
      <c r="CY499" s="795"/>
      <c r="CZ499" s="796"/>
    </row>
    <row r="500" spans="1:104" ht="15" customHeight="1" x14ac:dyDescent="0.25">
      <c r="A500" s="15">
        <v>83</v>
      </c>
      <c r="B500" s="1026" t="str">
        <f>IF(A500&lt;'Purchased Boons'!$B$496,VLOOKUP(A500,'Purchased Boons'!$BF$2:$BG$900,2,FALSE),"")</f>
        <v/>
      </c>
      <c r="C500" s="727"/>
      <c r="D500" s="727"/>
      <c r="E500" s="727"/>
      <c r="F500" s="727"/>
      <c r="G500" s="727"/>
      <c r="H500" s="727"/>
      <c r="I500" s="727" t="str">
        <f>IF(B500="","",VLOOKUP(B500,BoonRef!$A$2:$Z$900,25,FALSE))</f>
        <v/>
      </c>
      <c r="J500" s="727"/>
      <c r="K500" s="727"/>
      <c r="L500" s="727"/>
      <c r="M500" s="727"/>
      <c r="N500" s="727"/>
      <c r="O500" s="727"/>
      <c r="P500" s="727"/>
      <c r="Q500" s="727"/>
      <c r="R500" s="727"/>
      <c r="S500" s="727"/>
      <c r="T500" s="727"/>
      <c r="U500" s="727"/>
      <c r="V500" s="727"/>
      <c r="W500" s="727"/>
      <c r="X500" s="727"/>
      <c r="Y500" s="727"/>
      <c r="Z500" s="728"/>
      <c r="AA500" s="15">
        <v>190</v>
      </c>
      <c r="AB500" s="1026" t="str">
        <f>IF(AA500&lt;'Purchased Boons'!$B$496,VLOOKUP(AA500,'Purchased Boons'!$BF$2:$BG$900,2,FALSE),"")</f>
        <v/>
      </c>
      <c r="AC500" s="727"/>
      <c r="AD500" s="727"/>
      <c r="AE500" s="727"/>
      <c r="AF500" s="727"/>
      <c r="AG500" s="727"/>
      <c r="AH500" s="727"/>
      <c r="AI500" s="727" t="str">
        <f>IF(AB500="","",VLOOKUP(AB500,BoonRef!$A$2:$Z$900,25,FALSE))</f>
        <v/>
      </c>
      <c r="AJ500" s="727"/>
      <c r="AK500" s="727"/>
      <c r="AL500" s="727"/>
      <c r="AM500" s="727"/>
      <c r="AN500" s="727"/>
      <c r="AO500" s="727"/>
      <c r="AP500" s="727"/>
      <c r="AQ500" s="727"/>
      <c r="AR500" s="727"/>
      <c r="AS500" s="727"/>
      <c r="AT500" s="727"/>
      <c r="AU500" s="727"/>
      <c r="AV500" s="727"/>
      <c r="AW500" s="727"/>
      <c r="AX500" s="727"/>
      <c r="AY500" s="727"/>
      <c r="AZ500" s="728"/>
      <c r="BA500" s="15">
        <v>83</v>
      </c>
      <c r="BB500" s="1038" t="str">
        <f>IF(BA500&lt;'Purchased Knacks'!A$192,VLOOKUP(BA500,'Purchased Knacks'!$A$4:$E$300,3,FALSE),"")</f>
        <v/>
      </c>
      <c r="BC500" s="1039"/>
      <c r="BD500" s="1039"/>
      <c r="BE500" s="1039"/>
      <c r="BF500" s="1040"/>
      <c r="BG500" s="1032" t="str">
        <f>IF(BB500="","",VLOOKUP(BB500,KanckRef!$A$1:$G$300,7,FALSE))</f>
        <v/>
      </c>
      <c r="BH500" s="1033"/>
      <c r="BI500" s="753"/>
      <c r="BJ500" s="754"/>
      <c r="BK500" s="754"/>
      <c r="BL500" s="754"/>
      <c r="BM500" s="754"/>
      <c r="BN500" s="754"/>
      <c r="BO500" s="754"/>
      <c r="BP500" s="754"/>
      <c r="BQ500" s="754"/>
      <c r="BR500" s="754"/>
      <c r="BS500" s="754"/>
      <c r="BT500" s="754"/>
      <c r="BU500" s="754"/>
      <c r="BV500" s="754"/>
      <c r="BW500" s="754"/>
      <c r="BX500" s="754"/>
      <c r="BY500" s="754"/>
      <c r="BZ500" s="755"/>
      <c r="CA500" s="15">
        <v>190</v>
      </c>
      <c r="CB500" s="1038" t="str">
        <f>IF(CA500&lt;'Purchased Knacks'!A$192,VLOOKUP(CA500,'Purchased Knacks'!$A$4:$E$300,3,FALSE),"")</f>
        <v/>
      </c>
      <c r="CC500" s="1039"/>
      <c r="CD500" s="1039"/>
      <c r="CE500" s="1039"/>
      <c r="CF500" s="1040"/>
      <c r="CG500" s="1032" t="str">
        <f>IF(CB500="","",VLOOKUP(CB500,KanckRef!$A$1:$G$300,7,FALSE))</f>
        <v/>
      </c>
      <c r="CH500" s="1033"/>
      <c r="CI500" s="753"/>
      <c r="CJ500" s="754"/>
      <c r="CK500" s="754"/>
      <c r="CL500" s="754"/>
      <c r="CM500" s="754"/>
      <c r="CN500" s="754"/>
      <c r="CO500" s="754"/>
      <c r="CP500" s="754"/>
      <c r="CQ500" s="754"/>
      <c r="CR500" s="754"/>
      <c r="CS500" s="754"/>
      <c r="CT500" s="754"/>
      <c r="CU500" s="754"/>
      <c r="CV500" s="754"/>
      <c r="CW500" s="754"/>
      <c r="CX500" s="754"/>
      <c r="CY500" s="754"/>
      <c r="CZ500" s="755"/>
    </row>
    <row r="501" spans="1:104" x14ac:dyDescent="0.25">
      <c r="B501" s="1026"/>
      <c r="C501" s="727"/>
      <c r="D501" s="727"/>
      <c r="E501" s="727"/>
      <c r="F501" s="727"/>
      <c r="G501" s="727"/>
      <c r="H501" s="727"/>
      <c r="I501" s="727" t="str">
        <f>IF(B500="","",VLOOKUP(B500,BoonRef!$A$2:$Z$900,26,FALSE))</f>
        <v/>
      </c>
      <c r="J501" s="727"/>
      <c r="K501" s="727"/>
      <c r="L501" s="727"/>
      <c r="M501" s="727"/>
      <c r="N501" s="727"/>
      <c r="O501" s="727"/>
      <c r="P501" s="727"/>
      <c r="Q501" s="727"/>
      <c r="R501" s="727"/>
      <c r="S501" s="727"/>
      <c r="T501" s="727"/>
      <c r="U501" s="727"/>
      <c r="V501" s="727"/>
      <c r="W501" s="727"/>
      <c r="X501" s="727"/>
      <c r="Y501" s="727"/>
      <c r="Z501" s="728"/>
      <c r="AB501" s="1026"/>
      <c r="AC501" s="727"/>
      <c r="AD501" s="727"/>
      <c r="AE501" s="727"/>
      <c r="AF501" s="727"/>
      <c r="AG501" s="727"/>
      <c r="AH501" s="727"/>
      <c r="AI501" s="727" t="str">
        <f>IF(AB500="","",VLOOKUP(AB500,BoonRef!$A$2:$Z$900,26,FALSE))</f>
        <v/>
      </c>
      <c r="AJ501" s="727"/>
      <c r="AK501" s="727"/>
      <c r="AL501" s="727"/>
      <c r="AM501" s="727"/>
      <c r="AN501" s="727"/>
      <c r="AO501" s="727"/>
      <c r="AP501" s="727"/>
      <c r="AQ501" s="727"/>
      <c r="AR501" s="727"/>
      <c r="AS501" s="727"/>
      <c r="AT501" s="727"/>
      <c r="AU501" s="727"/>
      <c r="AV501" s="727"/>
      <c r="AW501" s="727"/>
      <c r="AX501" s="727"/>
      <c r="AY501" s="727"/>
      <c r="AZ501" s="728"/>
      <c r="BB501" s="1041"/>
      <c r="BC501" s="1042"/>
      <c r="BD501" s="1042"/>
      <c r="BE501" s="1042"/>
      <c r="BF501" s="1043"/>
      <c r="BG501" s="1034"/>
      <c r="BH501" s="1035"/>
      <c r="BI501" s="753"/>
      <c r="BJ501" s="754"/>
      <c r="BK501" s="754"/>
      <c r="BL501" s="754"/>
      <c r="BM501" s="754"/>
      <c r="BN501" s="754"/>
      <c r="BO501" s="754"/>
      <c r="BP501" s="754"/>
      <c r="BQ501" s="754"/>
      <c r="BR501" s="754"/>
      <c r="BS501" s="754"/>
      <c r="BT501" s="754"/>
      <c r="BU501" s="754"/>
      <c r="BV501" s="754"/>
      <c r="BW501" s="754"/>
      <c r="BX501" s="754"/>
      <c r="BY501" s="754"/>
      <c r="BZ501" s="755"/>
      <c r="CB501" s="1041"/>
      <c r="CC501" s="1042"/>
      <c r="CD501" s="1042"/>
      <c r="CE501" s="1042"/>
      <c r="CF501" s="1043"/>
      <c r="CG501" s="1034"/>
      <c r="CH501" s="1035"/>
      <c r="CI501" s="753"/>
      <c r="CJ501" s="754"/>
      <c r="CK501" s="754"/>
      <c r="CL501" s="754"/>
      <c r="CM501" s="754"/>
      <c r="CN501" s="754"/>
      <c r="CO501" s="754"/>
      <c r="CP501" s="754"/>
      <c r="CQ501" s="754"/>
      <c r="CR501" s="754"/>
      <c r="CS501" s="754"/>
      <c r="CT501" s="754"/>
      <c r="CU501" s="754"/>
      <c r="CV501" s="754"/>
      <c r="CW501" s="754"/>
      <c r="CX501" s="754"/>
      <c r="CY501" s="754"/>
      <c r="CZ501" s="755"/>
    </row>
    <row r="502" spans="1:104" x14ac:dyDescent="0.25">
      <c r="B502" s="1026" t="str">
        <f>IF(B500="","",VLOOKUP(B500,BoonRef!$A$2:$Z$900,24,FALSE))</f>
        <v/>
      </c>
      <c r="C502" s="727"/>
      <c r="D502" s="727"/>
      <c r="E502" s="727"/>
      <c r="F502" s="727"/>
      <c r="G502" s="727"/>
      <c r="H502" s="727"/>
      <c r="I502" s="727"/>
      <c r="J502" s="727"/>
      <c r="K502" s="727"/>
      <c r="L502" s="727"/>
      <c r="M502" s="727"/>
      <c r="N502" s="727"/>
      <c r="O502" s="727"/>
      <c r="P502" s="727"/>
      <c r="Q502" s="727"/>
      <c r="R502" s="727"/>
      <c r="S502" s="727"/>
      <c r="T502" s="727"/>
      <c r="U502" s="727"/>
      <c r="V502" s="727"/>
      <c r="W502" s="727"/>
      <c r="X502" s="727"/>
      <c r="Y502" s="727"/>
      <c r="Z502" s="728"/>
      <c r="AB502" s="1026" t="str">
        <f>IF(AB500="","",VLOOKUP(AB500,BoonRef!$A$2:$Z$900,24,FALSE))</f>
        <v/>
      </c>
      <c r="AC502" s="727"/>
      <c r="AD502" s="727"/>
      <c r="AE502" s="727"/>
      <c r="AF502" s="727"/>
      <c r="AG502" s="727"/>
      <c r="AH502" s="727"/>
      <c r="AI502" s="727"/>
      <c r="AJ502" s="727"/>
      <c r="AK502" s="727"/>
      <c r="AL502" s="727"/>
      <c r="AM502" s="727"/>
      <c r="AN502" s="727"/>
      <c r="AO502" s="727"/>
      <c r="AP502" s="727"/>
      <c r="AQ502" s="727"/>
      <c r="AR502" s="727"/>
      <c r="AS502" s="727"/>
      <c r="AT502" s="727"/>
      <c r="AU502" s="727"/>
      <c r="AV502" s="727"/>
      <c r="AW502" s="727"/>
      <c r="AX502" s="727"/>
      <c r="AY502" s="727"/>
      <c r="AZ502" s="728"/>
      <c r="BB502" s="641" t="str">
        <f>IF(BB500="","",VLOOKUP(BB500,KanckRef!$A$1:$G$300,4,FALSE))</f>
        <v/>
      </c>
      <c r="BC502" s="642"/>
      <c r="BD502" s="642"/>
      <c r="BE502" s="642"/>
      <c r="BF502" s="642"/>
      <c r="BG502" s="642"/>
      <c r="BH502" s="1033"/>
      <c r="BI502" s="753"/>
      <c r="BJ502" s="754"/>
      <c r="BK502" s="754"/>
      <c r="BL502" s="754"/>
      <c r="BM502" s="754"/>
      <c r="BN502" s="754"/>
      <c r="BO502" s="754"/>
      <c r="BP502" s="754"/>
      <c r="BQ502" s="754"/>
      <c r="BR502" s="754"/>
      <c r="BS502" s="754"/>
      <c r="BT502" s="754"/>
      <c r="BU502" s="754"/>
      <c r="BV502" s="754"/>
      <c r="BW502" s="754"/>
      <c r="BX502" s="754"/>
      <c r="BY502" s="754"/>
      <c r="BZ502" s="755"/>
      <c r="CB502" s="641" t="str">
        <f>IF(CB500="","",VLOOKUP(CB500,KanckRef!$A$1:$G$300,4,FALSE))</f>
        <v/>
      </c>
      <c r="CC502" s="642"/>
      <c r="CD502" s="642"/>
      <c r="CE502" s="642"/>
      <c r="CF502" s="642"/>
      <c r="CG502" s="642"/>
      <c r="CH502" s="1033"/>
      <c r="CI502" s="753"/>
      <c r="CJ502" s="754"/>
      <c r="CK502" s="754"/>
      <c r="CL502" s="754"/>
      <c r="CM502" s="754"/>
      <c r="CN502" s="754"/>
      <c r="CO502" s="754"/>
      <c r="CP502" s="754"/>
      <c r="CQ502" s="754"/>
      <c r="CR502" s="754"/>
      <c r="CS502" s="754"/>
      <c r="CT502" s="754"/>
      <c r="CU502" s="754"/>
      <c r="CV502" s="754"/>
      <c r="CW502" s="754"/>
      <c r="CX502" s="754"/>
      <c r="CY502" s="754"/>
      <c r="CZ502" s="755"/>
    </row>
    <row r="503" spans="1:104" x14ac:dyDescent="0.25">
      <c r="B503" s="1026" t="str">
        <f>IF(B500="","",VLOOKUP(B500,BoonRef!$A$2:$Z$900,23,FALSE))</f>
        <v/>
      </c>
      <c r="C503" s="727"/>
      <c r="D503" s="727"/>
      <c r="E503" s="727"/>
      <c r="F503" s="727"/>
      <c r="G503" s="727"/>
      <c r="H503" s="727"/>
      <c r="I503" s="727"/>
      <c r="J503" s="727"/>
      <c r="K503" s="727"/>
      <c r="L503" s="727"/>
      <c r="M503" s="727"/>
      <c r="N503" s="727"/>
      <c r="O503" s="727"/>
      <c r="P503" s="727"/>
      <c r="Q503" s="727"/>
      <c r="R503" s="727"/>
      <c r="S503" s="727"/>
      <c r="T503" s="727"/>
      <c r="U503" s="727"/>
      <c r="V503" s="727"/>
      <c r="W503" s="727"/>
      <c r="X503" s="727"/>
      <c r="Y503" s="727"/>
      <c r="Z503" s="728"/>
      <c r="AB503" s="1026" t="str">
        <f>IF(AB500="","",VLOOKUP(AB500,BoonRef!$A$2:$Z$900,23,FALSE))</f>
        <v/>
      </c>
      <c r="AC503" s="727"/>
      <c r="AD503" s="727"/>
      <c r="AE503" s="727"/>
      <c r="AF503" s="727"/>
      <c r="AG503" s="727"/>
      <c r="AH503" s="727"/>
      <c r="AI503" s="727"/>
      <c r="AJ503" s="727"/>
      <c r="AK503" s="727"/>
      <c r="AL503" s="727"/>
      <c r="AM503" s="727"/>
      <c r="AN503" s="727"/>
      <c r="AO503" s="727"/>
      <c r="AP503" s="727"/>
      <c r="AQ503" s="727"/>
      <c r="AR503" s="727"/>
      <c r="AS503" s="727"/>
      <c r="AT503" s="727"/>
      <c r="AU503" s="727"/>
      <c r="AV503" s="727"/>
      <c r="AW503" s="727"/>
      <c r="AX503" s="727"/>
      <c r="AY503" s="727"/>
      <c r="AZ503" s="728"/>
      <c r="BB503" s="635"/>
      <c r="BC503" s="636"/>
      <c r="BD503" s="636"/>
      <c r="BE503" s="636"/>
      <c r="BF503" s="636"/>
      <c r="BG503" s="636"/>
      <c r="BH503" s="1036"/>
      <c r="BI503" s="753"/>
      <c r="BJ503" s="754"/>
      <c r="BK503" s="754"/>
      <c r="BL503" s="754"/>
      <c r="BM503" s="754"/>
      <c r="BN503" s="754"/>
      <c r="BO503" s="754"/>
      <c r="BP503" s="754"/>
      <c r="BQ503" s="754"/>
      <c r="BR503" s="754"/>
      <c r="BS503" s="754"/>
      <c r="BT503" s="754"/>
      <c r="BU503" s="754"/>
      <c r="BV503" s="754"/>
      <c r="BW503" s="754"/>
      <c r="BX503" s="754"/>
      <c r="BY503" s="754"/>
      <c r="BZ503" s="755"/>
      <c r="CB503" s="635"/>
      <c r="CC503" s="636"/>
      <c r="CD503" s="636"/>
      <c r="CE503" s="636"/>
      <c r="CF503" s="636"/>
      <c r="CG503" s="636"/>
      <c r="CH503" s="1036"/>
      <c r="CI503" s="753"/>
      <c r="CJ503" s="754"/>
      <c r="CK503" s="754"/>
      <c r="CL503" s="754"/>
      <c r="CM503" s="754"/>
      <c r="CN503" s="754"/>
      <c r="CO503" s="754"/>
      <c r="CP503" s="754"/>
      <c r="CQ503" s="754"/>
      <c r="CR503" s="754"/>
      <c r="CS503" s="754"/>
      <c r="CT503" s="754"/>
      <c r="CU503" s="754"/>
      <c r="CV503" s="754"/>
      <c r="CW503" s="754"/>
      <c r="CX503" s="754"/>
      <c r="CY503" s="754"/>
      <c r="CZ503" s="755"/>
    </row>
    <row r="504" spans="1:104" ht="15.75" thickBot="1" x14ac:dyDescent="0.3">
      <c r="B504" s="1027"/>
      <c r="C504" s="865"/>
      <c r="D504" s="865"/>
      <c r="E504" s="865"/>
      <c r="F504" s="865"/>
      <c r="G504" s="865"/>
      <c r="H504" s="865"/>
      <c r="I504" s="865"/>
      <c r="J504" s="865"/>
      <c r="K504" s="865"/>
      <c r="L504" s="865"/>
      <c r="M504" s="865"/>
      <c r="N504" s="865"/>
      <c r="O504" s="865"/>
      <c r="P504" s="865"/>
      <c r="Q504" s="865"/>
      <c r="R504" s="865"/>
      <c r="S504" s="865"/>
      <c r="T504" s="865"/>
      <c r="U504" s="865"/>
      <c r="V504" s="865"/>
      <c r="W504" s="865"/>
      <c r="X504" s="865"/>
      <c r="Y504" s="865"/>
      <c r="Z504" s="921"/>
      <c r="AB504" s="1027"/>
      <c r="AC504" s="865"/>
      <c r="AD504" s="865"/>
      <c r="AE504" s="865"/>
      <c r="AF504" s="865"/>
      <c r="AG504" s="865"/>
      <c r="AH504" s="865"/>
      <c r="AI504" s="865"/>
      <c r="AJ504" s="865"/>
      <c r="AK504" s="865"/>
      <c r="AL504" s="865"/>
      <c r="AM504" s="865"/>
      <c r="AN504" s="865"/>
      <c r="AO504" s="865"/>
      <c r="AP504" s="865"/>
      <c r="AQ504" s="865"/>
      <c r="AR504" s="865"/>
      <c r="AS504" s="865"/>
      <c r="AT504" s="865"/>
      <c r="AU504" s="865"/>
      <c r="AV504" s="865"/>
      <c r="AW504" s="865"/>
      <c r="AX504" s="865"/>
      <c r="AY504" s="865"/>
      <c r="AZ504" s="921"/>
      <c r="BB504" s="644"/>
      <c r="BC504" s="645"/>
      <c r="BD504" s="645"/>
      <c r="BE504" s="645"/>
      <c r="BF504" s="645"/>
      <c r="BG504" s="645"/>
      <c r="BH504" s="1037"/>
      <c r="BI504" s="756"/>
      <c r="BJ504" s="757"/>
      <c r="BK504" s="757"/>
      <c r="BL504" s="757"/>
      <c r="BM504" s="757"/>
      <c r="BN504" s="757"/>
      <c r="BO504" s="757"/>
      <c r="BP504" s="757"/>
      <c r="BQ504" s="757"/>
      <c r="BR504" s="757"/>
      <c r="BS504" s="757"/>
      <c r="BT504" s="757"/>
      <c r="BU504" s="757"/>
      <c r="BV504" s="757"/>
      <c r="BW504" s="757"/>
      <c r="BX504" s="757"/>
      <c r="BY504" s="757"/>
      <c r="BZ504" s="758"/>
      <c r="CB504" s="644"/>
      <c r="CC504" s="645"/>
      <c r="CD504" s="645"/>
      <c r="CE504" s="645"/>
      <c r="CF504" s="645"/>
      <c r="CG504" s="645"/>
      <c r="CH504" s="1037"/>
      <c r="CI504" s="756"/>
      <c r="CJ504" s="757"/>
      <c r="CK504" s="757"/>
      <c r="CL504" s="757"/>
      <c r="CM504" s="757"/>
      <c r="CN504" s="757"/>
      <c r="CO504" s="757"/>
      <c r="CP504" s="757"/>
      <c r="CQ504" s="757"/>
      <c r="CR504" s="757"/>
      <c r="CS504" s="757"/>
      <c r="CT504" s="757"/>
      <c r="CU504" s="757"/>
      <c r="CV504" s="757"/>
      <c r="CW504" s="757"/>
      <c r="CX504" s="757"/>
      <c r="CY504" s="757"/>
      <c r="CZ504" s="758"/>
    </row>
    <row r="505" spans="1:104" x14ac:dyDescent="0.25">
      <c r="B505" s="1028" t="str">
        <f>IF(B506="","",VLOOKUP(B506,BoonRef!$A$2:$Z$900,2,FALSE))</f>
        <v/>
      </c>
      <c r="C505" s="725"/>
      <c r="D505" s="725"/>
      <c r="E505" s="725"/>
      <c r="F505" s="725"/>
      <c r="G505" s="725"/>
      <c r="H505" s="725"/>
      <c r="I505" s="725" t="str">
        <f>IF(B506="","",VLOOKUP(B506,BoonRef!$A$2:$Z$900,3,FALSE))</f>
        <v/>
      </c>
      <c r="J505" s="725"/>
      <c r="K505" s="725" t="str">
        <f>IF(B506="","",VLOOKUP(B506,DescRef!$A$2:$B$900,2,FALSE))</f>
        <v/>
      </c>
      <c r="L505" s="725"/>
      <c r="M505" s="725"/>
      <c r="N505" s="725"/>
      <c r="O505" s="725"/>
      <c r="P505" s="725"/>
      <c r="Q505" s="725"/>
      <c r="R505" s="725"/>
      <c r="S505" s="725"/>
      <c r="T505" s="725"/>
      <c r="U505" s="725"/>
      <c r="V505" s="725"/>
      <c r="W505" s="725"/>
      <c r="X505" s="725"/>
      <c r="Y505" s="725"/>
      <c r="Z505" s="726"/>
      <c r="AB505" s="1028" t="str">
        <f>IF(AB506="","",VLOOKUP(AB506,BoonRef!$A$2:$Z$900,2,FALSE))</f>
        <v/>
      </c>
      <c r="AC505" s="725"/>
      <c r="AD505" s="725"/>
      <c r="AE505" s="725"/>
      <c r="AF505" s="725"/>
      <c r="AG505" s="725"/>
      <c r="AH505" s="725"/>
      <c r="AI505" s="725" t="str">
        <f>IF(AB506="","",VLOOKUP(AB506,BoonRef!$A$2:$Z$900,3,FALSE))</f>
        <v/>
      </c>
      <c r="AJ505" s="725"/>
      <c r="AK505" s="725" t="str">
        <f>IF(AB506="","",VLOOKUP(AB506,DescRef!$A$2:$B$900,2,FALSE))</f>
        <v/>
      </c>
      <c r="AL505" s="725"/>
      <c r="AM505" s="725"/>
      <c r="AN505" s="725"/>
      <c r="AO505" s="725"/>
      <c r="AP505" s="725"/>
      <c r="AQ505" s="725"/>
      <c r="AR505" s="725"/>
      <c r="AS505" s="725"/>
      <c r="AT505" s="725"/>
      <c r="AU505" s="725"/>
      <c r="AV505" s="725"/>
      <c r="AW505" s="725"/>
      <c r="AX505" s="725"/>
      <c r="AY505" s="725"/>
      <c r="AZ505" s="726"/>
      <c r="BB505" s="1029" t="str">
        <f>IF(BB506="","",VLOOKUP(BB506,KanckRef!$A$1:$G$300,2,FALSE))</f>
        <v/>
      </c>
      <c r="BC505" s="1030"/>
      <c r="BD505" s="1030"/>
      <c r="BE505" s="1030"/>
      <c r="BF505" s="1031"/>
      <c r="BG505" s="1048" t="str">
        <f>IF(BB506="","",VLOOKUP(BB506,KanckRef!$A$1:$G$300,6,FALSE))</f>
        <v/>
      </c>
      <c r="BH505" s="1049"/>
      <c r="BI505" s="988" t="str">
        <f>IF(BB506="","",VLOOKUP(BB506,DescRef!$D$2:$E$300,2,FALSE))</f>
        <v/>
      </c>
      <c r="BJ505" s="795"/>
      <c r="BK505" s="795"/>
      <c r="BL505" s="795"/>
      <c r="BM505" s="795"/>
      <c r="BN505" s="795"/>
      <c r="BO505" s="795"/>
      <c r="BP505" s="795"/>
      <c r="BQ505" s="795"/>
      <c r="BR505" s="795"/>
      <c r="BS505" s="795"/>
      <c r="BT505" s="795"/>
      <c r="BU505" s="795"/>
      <c r="BV505" s="795"/>
      <c r="BW505" s="795"/>
      <c r="BX505" s="795"/>
      <c r="BY505" s="795"/>
      <c r="BZ505" s="796"/>
      <c r="CB505" s="1029" t="str">
        <f>IF(CB506="","",VLOOKUP(CB506,KanckRef!$A$1:$G$300,2,FALSE))</f>
        <v/>
      </c>
      <c r="CC505" s="1030"/>
      <c r="CD505" s="1030"/>
      <c r="CE505" s="1030"/>
      <c r="CF505" s="1031"/>
      <c r="CG505" s="1048" t="str">
        <f>IF(CB506="","",VLOOKUP(CB506,KanckRef!$A$1:$G$300,6,FALSE))</f>
        <v/>
      </c>
      <c r="CH505" s="1049"/>
      <c r="CI505" s="988" t="str">
        <f>IF(CB506="","",VLOOKUP(CB506,DescRef!$D$2:$E$300,2,FALSE))</f>
        <v/>
      </c>
      <c r="CJ505" s="795"/>
      <c r="CK505" s="795"/>
      <c r="CL505" s="795"/>
      <c r="CM505" s="795"/>
      <c r="CN505" s="795"/>
      <c r="CO505" s="795"/>
      <c r="CP505" s="795"/>
      <c r="CQ505" s="795"/>
      <c r="CR505" s="795"/>
      <c r="CS505" s="795"/>
      <c r="CT505" s="795"/>
      <c r="CU505" s="795"/>
      <c r="CV505" s="795"/>
      <c r="CW505" s="795"/>
      <c r="CX505" s="795"/>
      <c r="CY505" s="795"/>
      <c r="CZ505" s="796"/>
    </row>
    <row r="506" spans="1:104" ht="15" customHeight="1" x14ac:dyDescent="0.25">
      <c r="A506" s="15">
        <v>84</v>
      </c>
      <c r="B506" s="1026" t="str">
        <f>IF(A506&lt;'Purchased Boons'!$B$496,VLOOKUP(A506,'Purchased Boons'!$BF$2:$BG$900,2,FALSE),"")</f>
        <v/>
      </c>
      <c r="C506" s="727"/>
      <c r="D506" s="727"/>
      <c r="E506" s="727"/>
      <c r="F506" s="727"/>
      <c r="G506" s="727"/>
      <c r="H506" s="727"/>
      <c r="I506" s="727" t="str">
        <f>IF(B506="","",VLOOKUP(B506,BoonRef!$A$2:$Z$900,25,FALSE))</f>
        <v/>
      </c>
      <c r="J506" s="727"/>
      <c r="K506" s="727"/>
      <c r="L506" s="727"/>
      <c r="M506" s="727"/>
      <c r="N506" s="727"/>
      <c r="O506" s="727"/>
      <c r="P506" s="727"/>
      <c r="Q506" s="727"/>
      <c r="R506" s="727"/>
      <c r="S506" s="727"/>
      <c r="T506" s="727"/>
      <c r="U506" s="727"/>
      <c r="V506" s="727"/>
      <c r="W506" s="727"/>
      <c r="X506" s="727"/>
      <c r="Y506" s="727"/>
      <c r="Z506" s="728"/>
      <c r="AA506" s="15">
        <v>191</v>
      </c>
      <c r="AB506" s="1026" t="str">
        <f>IF(AA506&lt;'Purchased Boons'!$B$496,VLOOKUP(AA506,'Purchased Boons'!$BF$2:$BG$900,2,FALSE),"")</f>
        <v/>
      </c>
      <c r="AC506" s="727"/>
      <c r="AD506" s="727"/>
      <c r="AE506" s="727"/>
      <c r="AF506" s="727"/>
      <c r="AG506" s="727"/>
      <c r="AH506" s="727"/>
      <c r="AI506" s="727" t="str">
        <f>IF(AB506="","",VLOOKUP(AB506,BoonRef!$A$2:$Z$900,25,FALSE))</f>
        <v/>
      </c>
      <c r="AJ506" s="727"/>
      <c r="AK506" s="727"/>
      <c r="AL506" s="727"/>
      <c r="AM506" s="727"/>
      <c r="AN506" s="727"/>
      <c r="AO506" s="727"/>
      <c r="AP506" s="727"/>
      <c r="AQ506" s="727"/>
      <c r="AR506" s="727"/>
      <c r="AS506" s="727"/>
      <c r="AT506" s="727"/>
      <c r="AU506" s="727"/>
      <c r="AV506" s="727"/>
      <c r="AW506" s="727"/>
      <c r="AX506" s="727"/>
      <c r="AY506" s="727"/>
      <c r="AZ506" s="728"/>
      <c r="BA506" s="15">
        <v>84</v>
      </c>
      <c r="BB506" s="1038" t="str">
        <f>IF(BA506&lt;'Purchased Knacks'!A$192,VLOOKUP(BA506,'Purchased Knacks'!$A$4:$E$300,3,FALSE),"")</f>
        <v/>
      </c>
      <c r="BC506" s="1039"/>
      <c r="BD506" s="1039"/>
      <c r="BE506" s="1039"/>
      <c r="BF506" s="1040"/>
      <c r="BG506" s="1032" t="str">
        <f>IF(BB506="","",VLOOKUP(BB506,KanckRef!$A$1:$G$300,7,FALSE))</f>
        <v/>
      </c>
      <c r="BH506" s="1033"/>
      <c r="BI506" s="753"/>
      <c r="BJ506" s="754"/>
      <c r="BK506" s="754"/>
      <c r="BL506" s="754"/>
      <c r="BM506" s="754"/>
      <c r="BN506" s="754"/>
      <c r="BO506" s="754"/>
      <c r="BP506" s="754"/>
      <c r="BQ506" s="754"/>
      <c r="BR506" s="754"/>
      <c r="BS506" s="754"/>
      <c r="BT506" s="754"/>
      <c r="BU506" s="754"/>
      <c r="BV506" s="754"/>
      <c r="BW506" s="754"/>
      <c r="BX506" s="754"/>
      <c r="BY506" s="754"/>
      <c r="BZ506" s="755"/>
      <c r="CA506" s="15">
        <v>191</v>
      </c>
      <c r="CB506" s="1038" t="str">
        <f>IF(CA506&lt;'Purchased Knacks'!A$192,VLOOKUP(CA506,'Purchased Knacks'!$A$4:$E$300,3,FALSE),"")</f>
        <v/>
      </c>
      <c r="CC506" s="1039"/>
      <c r="CD506" s="1039"/>
      <c r="CE506" s="1039"/>
      <c r="CF506" s="1040"/>
      <c r="CG506" s="1032" t="str">
        <f>IF(CB506="","",VLOOKUP(CB506,KanckRef!$A$1:$G$300,7,FALSE))</f>
        <v/>
      </c>
      <c r="CH506" s="1033"/>
      <c r="CI506" s="753"/>
      <c r="CJ506" s="754"/>
      <c r="CK506" s="754"/>
      <c r="CL506" s="754"/>
      <c r="CM506" s="754"/>
      <c r="CN506" s="754"/>
      <c r="CO506" s="754"/>
      <c r="CP506" s="754"/>
      <c r="CQ506" s="754"/>
      <c r="CR506" s="754"/>
      <c r="CS506" s="754"/>
      <c r="CT506" s="754"/>
      <c r="CU506" s="754"/>
      <c r="CV506" s="754"/>
      <c r="CW506" s="754"/>
      <c r="CX506" s="754"/>
      <c r="CY506" s="754"/>
      <c r="CZ506" s="755"/>
    </row>
    <row r="507" spans="1:104" x14ac:dyDescent="0.25">
      <c r="B507" s="1026"/>
      <c r="C507" s="727"/>
      <c r="D507" s="727"/>
      <c r="E507" s="727"/>
      <c r="F507" s="727"/>
      <c r="G507" s="727"/>
      <c r="H507" s="727"/>
      <c r="I507" s="727" t="str">
        <f>IF(B506="","",VLOOKUP(B506,BoonRef!$A$2:$Z$900,26,FALSE))</f>
        <v/>
      </c>
      <c r="J507" s="727"/>
      <c r="K507" s="727"/>
      <c r="L507" s="727"/>
      <c r="M507" s="727"/>
      <c r="N507" s="727"/>
      <c r="O507" s="727"/>
      <c r="P507" s="727"/>
      <c r="Q507" s="727"/>
      <c r="R507" s="727"/>
      <c r="S507" s="727"/>
      <c r="T507" s="727"/>
      <c r="U507" s="727"/>
      <c r="V507" s="727"/>
      <c r="W507" s="727"/>
      <c r="X507" s="727"/>
      <c r="Y507" s="727"/>
      <c r="Z507" s="728"/>
      <c r="AB507" s="1026"/>
      <c r="AC507" s="727"/>
      <c r="AD507" s="727"/>
      <c r="AE507" s="727"/>
      <c r="AF507" s="727"/>
      <c r="AG507" s="727"/>
      <c r="AH507" s="727"/>
      <c r="AI507" s="727" t="str">
        <f>IF(AB506="","",VLOOKUP(AB506,BoonRef!$A$2:$Z$900,26,FALSE))</f>
        <v/>
      </c>
      <c r="AJ507" s="727"/>
      <c r="AK507" s="727"/>
      <c r="AL507" s="727"/>
      <c r="AM507" s="727"/>
      <c r="AN507" s="727"/>
      <c r="AO507" s="727"/>
      <c r="AP507" s="727"/>
      <c r="AQ507" s="727"/>
      <c r="AR507" s="727"/>
      <c r="AS507" s="727"/>
      <c r="AT507" s="727"/>
      <c r="AU507" s="727"/>
      <c r="AV507" s="727"/>
      <c r="AW507" s="727"/>
      <c r="AX507" s="727"/>
      <c r="AY507" s="727"/>
      <c r="AZ507" s="728"/>
      <c r="BB507" s="1041"/>
      <c r="BC507" s="1042"/>
      <c r="BD507" s="1042"/>
      <c r="BE507" s="1042"/>
      <c r="BF507" s="1043"/>
      <c r="BG507" s="1034"/>
      <c r="BH507" s="1035"/>
      <c r="BI507" s="753"/>
      <c r="BJ507" s="754"/>
      <c r="BK507" s="754"/>
      <c r="BL507" s="754"/>
      <c r="BM507" s="754"/>
      <c r="BN507" s="754"/>
      <c r="BO507" s="754"/>
      <c r="BP507" s="754"/>
      <c r="BQ507" s="754"/>
      <c r="BR507" s="754"/>
      <c r="BS507" s="754"/>
      <c r="BT507" s="754"/>
      <c r="BU507" s="754"/>
      <c r="BV507" s="754"/>
      <c r="BW507" s="754"/>
      <c r="BX507" s="754"/>
      <c r="BY507" s="754"/>
      <c r="BZ507" s="755"/>
      <c r="CB507" s="1041"/>
      <c r="CC507" s="1042"/>
      <c r="CD507" s="1042"/>
      <c r="CE507" s="1042"/>
      <c r="CF507" s="1043"/>
      <c r="CG507" s="1034"/>
      <c r="CH507" s="1035"/>
      <c r="CI507" s="753"/>
      <c r="CJ507" s="754"/>
      <c r="CK507" s="754"/>
      <c r="CL507" s="754"/>
      <c r="CM507" s="754"/>
      <c r="CN507" s="754"/>
      <c r="CO507" s="754"/>
      <c r="CP507" s="754"/>
      <c r="CQ507" s="754"/>
      <c r="CR507" s="754"/>
      <c r="CS507" s="754"/>
      <c r="CT507" s="754"/>
      <c r="CU507" s="754"/>
      <c r="CV507" s="754"/>
      <c r="CW507" s="754"/>
      <c r="CX507" s="754"/>
      <c r="CY507" s="754"/>
      <c r="CZ507" s="755"/>
    </row>
    <row r="508" spans="1:104" x14ac:dyDescent="0.25">
      <c r="B508" s="1026" t="str">
        <f>IF(B506="","",VLOOKUP(B506,BoonRef!$A$2:$Z$900,24,FALSE))</f>
        <v/>
      </c>
      <c r="C508" s="727"/>
      <c r="D508" s="727"/>
      <c r="E508" s="727"/>
      <c r="F508" s="727"/>
      <c r="G508" s="727"/>
      <c r="H508" s="727"/>
      <c r="I508" s="727"/>
      <c r="J508" s="727"/>
      <c r="K508" s="727"/>
      <c r="L508" s="727"/>
      <c r="M508" s="727"/>
      <c r="N508" s="727"/>
      <c r="O508" s="727"/>
      <c r="P508" s="727"/>
      <c r="Q508" s="727"/>
      <c r="R508" s="727"/>
      <c r="S508" s="727"/>
      <c r="T508" s="727"/>
      <c r="U508" s="727"/>
      <c r="V508" s="727"/>
      <c r="W508" s="727"/>
      <c r="X508" s="727"/>
      <c r="Y508" s="727"/>
      <c r="Z508" s="728"/>
      <c r="AB508" s="1026" t="str">
        <f>IF(AB506="","",VLOOKUP(AB506,BoonRef!$A$2:$Z$900,24,FALSE))</f>
        <v/>
      </c>
      <c r="AC508" s="727"/>
      <c r="AD508" s="727"/>
      <c r="AE508" s="727"/>
      <c r="AF508" s="727"/>
      <c r="AG508" s="727"/>
      <c r="AH508" s="727"/>
      <c r="AI508" s="727"/>
      <c r="AJ508" s="727"/>
      <c r="AK508" s="727"/>
      <c r="AL508" s="727"/>
      <c r="AM508" s="727"/>
      <c r="AN508" s="727"/>
      <c r="AO508" s="727"/>
      <c r="AP508" s="727"/>
      <c r="AQ508" s="727"/>
      <c r="AR508" s="727"/>
      <c r="AS508" s="727"/>
      <c r="AT508" s="727"/>
      <c r="AU508" s="727"/>
      <c r="AV508" s="727"/>
      <c r="AW508" s="727"/>
      <c r="AX508" s="727"/>
      <c r="AY508" s="727"/>
      <c r="AZ508" s="728"/>
      <c r="BB508" s="641" t="str">
        <f>IF(BB506="","",VLOOKUP(BB506,KanckRef!$A$1:$G$300,4,FALSE))</f>
        <v/>
      </c>
      <c r="BC508" s="642"/>
      <c r="BD508" s="642"/>
      <c r="BE508" s="642"/>
      <c r="BF508" s="642"/>
      <c r="BG508" s="642"/>
      <c r="BH508" s="1033"/>
      <c r="BI508" s="753"/>
      <c r="BJ508" s="754"/>
      <c r="BK508" s="754"/>
      <c r="BL508" s="754"/>
      <c r="BM508" s="754"/>
      <c r="BN508" s="754"/>
      <c r="BO508" s="754"/>
      <c r="BP508" s="754"/>
      <c r="BQ508" s="754"/>
      <c r="BR508" s="754"/>
      <c r="BS508" s="754"/>
      <c r="BT508" s="754"/>
      <c r="BU508" s="754"/>
      <c r="BV508" s="754"/>
      <c r="BW508" s="754"/>
      <c r="BX508" s="754"/>
      <c r="BY508" s="754"/>
      <c r="BZ508" s="755"/>
      <c r="CB508" s="641" t="str">
        <f>IF(CB506="","",VLOOKUP(CB506,KanckRef!$A$1:$G$300,4,FALSE))</f>
        <v/>
      </c>
      <c r="CC508" s="642"/>
      <c r="CD508" s="642"/>
      <c r="CE508" s="642"/>
      <c r="CF508" s="642"/>
      <c r="CG508" s="642"/>
      <c r="CH508" s="1033"/>
      <c r="CI508" s="753"/>
      <c r="CJ508" s="754"/>
      <c r="CK508" s="754"/>
      <c r="CL508" s="754"/>
      <c r="CM508" s="754"/>
      <c r="CN508" s="754"/>
      <c r="CO508" s="754"/>
      <c r="CP508" s="754"/>
      <c r="CQ508" s="754"/>
      <c r="CR508" s="754"/>
      <c r="CS508" s="754"/>
      <c r="CT508" s="754"/>
      <c r="CU508" s="754"/>
      <c r="CV508" s="754"/>
      <c r="CW508" s="754"/>
      <c r="CX508" s="754"/>
      <c r="CY508" s="754"/>
      <c r="CZ508" s="755"/>
    </row>
    <row r="509" spans="1:104" x14ac:dyDescent="0.25">
      <c r="B509" s="1026" t="str">
        <f>IF(B506="","",VLOOKUP(B506,BoonRef!$A$2:$Z$900,23,FALSE))</f>
        <v/>
      </c>
      <c r="C509" s="727"/>
      <c r="D509" s="727"/>
      <c r="E509" s="727"/>
      <c r="F509" s="727"/>
      <c r="G509" s="727"/>
      <c r="H509" s="727"/>
      <c r="I509" s="727"/>
      <c r="J509" s="727"/>
      <c r="K509" s="727"/>
      <c r="L509" s="727"/>
      <c r="M509" s="727"/>
      <c r="N509" s="727"/>
      <c r="O509" s="727"/>
      <c r="P509" s="727"/>
      <c r="Q509" s="727"/>
      <c r="R509" s="727"/>
      <c r="S509" s="727"/>
      <c r="T509" s="727"/>
      <c r="U509" s="727"/>
      <c r="V509" s="727"/>
      <c r="W509" s="727"/>
      <c r="X509" s="727"/>
      <c r="Y509" s="727"/>
      <c r="Z509" s="728"/>
      <c r="AB509" s="1026" t="str">
        <f>IF(AB506="","",VLOOKUP(AB506,BoonRef!$A$2:$Z$900,23,FALSE))</f>
        <v/>
      </c>
      <c r="AC509" s="727"/>
      <c r="AD509" s="727"/>
      <c r="AE509" s="727"/>
      <c r="AF509" s="727"/>
      <c r="AG509" s="727"/>
      <c r="AH509" s="727"/>
      <c r="AI509" s="727"/>
      <c r="AJ509" s="727"/>
      <c r="AK509" s="727"/>
      <c r="AL509" s="727"/>
      <c r="AM509" s="727"/>
      <c r="AN509" s="727"/>
      <c r="AO509" s="727"/>
      <c r="AP509" s="727"/>
      <c r="AQ509" s="727"/>
      <c r="AR509" s="727"/>
      <c r="AS509" s="727"/>
      <c r="AT509" s="727"/>
      <c r="AU509" s="727"/>
      <c r="AV509" s="727"/>
      <c r="AW509" s="727"/>
      <c r="AX509" s="727"/>
      <c r="AY509" s="727"/>
      <c r="AZ509" s="728"/>
      <c r="BB509" s="635"/>
      <c r="BC509" s="636"/>
      <c r="BD509" s="636"/>
      <c r="BE509" s="636"/>
      <c r="BF509" s="636"/>
      <c r="BG509" s="636"/>
      <c r="BH509" s="1036"/>
      <c r="BI509" s="753"/>
      <c r="BJ509" s="754"/>
      <c r="BK509" s="754"/>
      <c r="BL509" s="754"/>
      <c r="BM509" s="754"/>
      <c r="BN509" s="754"/>
      <c r="BO509" s="754"/>
      <c r="BP509" s="754"/>
      <c r="BQ509" s="754"/>
      <c r="BR509" s="754"/>
      <c r="BS509" s="754"/>
      <c r="BT509" s="754"/>
      <c r="BU509" s="754"/>
      <c r="BV509" s="754"/>
      <c r="BW509" s="754"/>
      <c r="BX509" s="754"/>
      <c r="BY509" s="754"/>
      <c r="BZ509" s="755"/>
      <c r="CB509" s="635"/>
      <c r="CC509" s="636"/>
      <c r="CD509" s="636"/>
      <c r="CE509" s="636"/>
      <c r="CF509" s="636"/>
      <c r="CG509" s="636"/>
      <c r="CH509" s="1036"/>
      <c r="CI509" s="753"/>
      <c r="CJ509" s="754"/>
      <c r="CK509" s="754"/>
      <c r="CL509" s="754"/>
      <c r="CM509" s="754"/>
      <c r="CN509" s="754"/>
      <c r="CO509" s="754"/>
      <c r="CP509" s="754"/>
      <c r="CQ509" s="754"/>
      <c r="CR509" s="754"/>
      <c r="CS509" s="754"/>
      <c r="CT509" s="754"/>
      <c r="CU509" s="754"/>
      <c r="CV509" s="754"/>
      <c r="CW509" s="754"/>
      <c r="CX509" s="754"/>
      <c r="CY509" s="754"/>
      <c r="CZ509" s="755"/>
    </row>
    <row r="510" spans="1:104" ht="15.75" thickBot="1" x14ac:dyDescent="0.3">
      <c r="B510" s="1027"/>
      <c r="C510" s="865"/>
      <c r="D510" s="865"/>
      <c r="E510" s="865"/>
      <c r="F510" s="865"/>
      <c r="G510" s="865"/>
      <c r="H510" s="865"/>
      <c r="I510" s="865"/>
      <c r="J510" s="865"/>
      <c r="K510" s="865"/>
      <c r="L510" s="865"/>
      <c r="M510" s="865"/>
      <c r="N510" s="865"/>
      <c r="O510" s="865"/>
      <c r="P510" s="865"/>
      <c r="Q510" s="865"/>
      <c r="R510" s="865"/>
      <c r="S510" s="865"/>
      <c r="T510" s="865"/>
      <c r="U510" s="865"/>
      <c r="V510" s="865"/>
      <c r="W510" s="865"/>
      <c r="X510" s="865"/>
      <c r="Y510" s="865"/>
      <c r="Z510" s="921"/>
      <c r="AB510" s="1027"/>
      <c r="AC510" s="865"/>
      <c r="AD510" s="865"/>
      <c r="AE510" s="865"/>
      <c r="AF510" s="865"/>
      <c r="AG510" s="865"/>
      <c r="AH510" s="865"/>
      <c r="AI510" s="865"/>
      <c r="AJ510" s="865"/>
      <c r="AK510" s="865"/>
      <c r="AL510" s="865"/>
      <c r="AM510" s="865"/>
      <c r="AN510" s="865"/>
      <c r="AO510" s="865"/>
      <c r="AP510" s="865"/>
      <c r="AQ510" s="865"/>
      <c r="AR510" s="865"/>
      <c r="AS510" s="865"/>
      <c r="AT510" s="865"/>
      <c r="AU510" s="865"/>
      <c r="AV510" s="865"/>
      <c r="AW510" s="865"/>
      <c r="AX510" s="865"/>
      <c r="AY510" s="865"/>
      <c r="AZ510" s="921"/>
      <c r="BB510" s="644"/>
      <c r="BC510" s="645"/>
      <c r="BD510" s="645"/>
      <c r="BE510" s="645"/>
      <c r="BF510" s="645"/>
      <c r="BG510" s="645"/>
      <c r="BH510" s="1037"/>
      <c r="BI510" s="756"/>
      <c r="BJ510" s="757"/>
      <c r="BK510" s="757"/>
      <c r="BL510" s="757"/>
      <c r="BM510" s="757"/>
      <c r="BN510" s="757"/>
      <c r="BO510" s="757"/>
      <c r="BP510" s="757"/>
      <c r="BQ510" s="757"/>
      <c r="BR510" s="757"/>
      <c r="BS510" s="757"/>
      <c r="BT510" s="757"/>
      <c r="BU510" s="757"/>
      <c r="BV510" s="757"/>
      <c r="BW510" s="757"/>
      <c r="BX510" s="757"/>
      <c r="BY510" s="757"/>
      <c r="BZ510" s="758"/>
      <c r="CB510" s="644"/>
      <c r="CC510" s="645"/>
      <c r="CD510" s="645"/>
      <c r="CE510" s="645"/>
      <c r="CF510" s="645"/>
      <c r="CG510" s="645"/>
      <c r="CH510" s="1037"/>
      <c r="CI510" s="756"/>
      <c r="CJ510" s="757"/>
      <c r="CK510" s="757"/>
      <c r="CL510" s="757"/>
      <c r="CM510" s="757"/>
      <c r="CN510" s="757"/>
      <c r="CO510" s="757"/>
      <c r="CP510" s="757"/>
      <c r="CQ510" s="757"/>
      <c r="CR510" s="757"/>
      <c r="CS510" s="757"/>
      <c r="CT510" s="757"/>
      <c r="CU510" s="757"/>
      <c r="CV510" s="757"/>
      <c r="CW510" s="757"/>
      <c r="CX510" s="757"/>
      <c r="CY510" s="757"/>
      <c r="CZ510" s="758"/>
    </row>
    <row r="511" spans="1:104" x14ac:dyDescent="0.25">
      <c r="B511" s="1028" t="str">
        <f>IF(B512="","",VLOOKUP(B512,BoonRef!$A$2:$Z$900,2,FALSE))</f>
        <v/>
      </c>
      <c r="C511" s="725"/>
      <c r="D511" s="725"/>
      <c r="E511" s="725"/>
      <c r="F511" s="725"/>
      <c r="G511" s="725"/>
      <c r="H511" s="725"/>
      <c r="I511" s="725" t="str">
        <f>IF(B512="","",VLOOKUP(B512,BoonRef!$A$2:$Z$900,3,FALSE))</f>
        <v/>
      </c>
      <c r="J511" s="725"/>
      <c r="K511" s="725" t="str">
        <f>IF(B512="","",VLOOKUP(B512,DescRef!$A$2:$B$900,2,FALSE))</f>
        <v/>
      </c>
      <c r="L511" s="725"/>
      <c r="M511" s="725"/>
      <c r="N511" s="725"/>
      <c r="O511" s="725"/>
      <c r="P511" s="725"/>
      <c r="Q511" s="725"/>
      <c r="R511" s="725"/>
      <c r="S511" s="725"/>
      <c r="T511" s="725"/>
      <c r="U511" s="725"/>
      <c r="V511" s="725"/>
      <c r="W511" s="725"/>
      <c r="X511" s="725"/>
      <c r="Y511" s="725"/>
      <c r="Z511" s="726"/>
      <c r="AB511" s="1028" t="str">
        <f>IF(AB512="","",VLOOKUP(AB512,BoonRef!$A$2:$Z$900,2,FALSE))</f>
        <v/>
      </c>
      <c r="AC511" s="725"/>
      <c r="AD511" s="725"/>
      <c r="AE511" s="725"/>
      <c r="AF511" s="725"/>
      <c r="AG511" s="725"/>
      <c r="AH511" s="725"/>
      <c r="AI511" s="725" t="str">
        <f>IF(AB512="","",VLOOKUP(AB512,BoonRef!$A$2:$Z$900,3,FALSE))</f>
        <v/>
      </c>
      <c r="AJ511" s="725"/>
      <c r="AK511" s="725" t="str">
        <f>IF(AB512="","",VLOOKUP(AB512,DescRef!$A$2:$B$900,2,FALSE))</f>
        <v/>
      </c>
      <c r="AL511" s="725"/>
      <c r="AM511" s="725"/>
      <c r="AN511" s="725"/>
      <c r="AO511" s="725"/>
      <c r="AP511" s="725"/>
      <c r="AQ511" s="725"/>
      <c r="AR511" s="725"/>
      <c r="AS511" s="725"/>
      <c r="AT511" s="725"/>
      <c r="AU511" s="725"/>
      <c r="AV511" s="725"/>
      <c r="AW511" s="725"/>
      <c r="AX511" s="725"/>
      <c r="AY511" s="725"/>
      <c r="AZ511" s="726"/>
      <c r="BB511" s="1029" t="str">
        <f>IF(BB512="","",VLOOKUP(BB512,KanckRef!$A$1:$G$300,2,FALSE))</f>
        <v/>
      </c>
      <c r="BC511" s="1030"/>
      <c r="BD511" s="1030"/>
      <c r="BE511" s="1030"/>
      <c r="BF511" s="1031"/>
      <c r="BG511" s="1048" t="str">
        <f>IF(BB512="","",VLOOKUP(BB512,KanckRef!$A$1:$G$300,6,FALSE))</f>
        <v/>
      </c>
      <c r="BH511" s="1049"/>
      <c r="BI511" s="988" t="str">
        <f>IF(BB512="","",VLOOKUP(BB512,DescRef!$D$2:$E$300,2,FALSE))</f>
        <v/>
      </c>
      <c r="BJ511" s="795"/>
      <c r="BK511" s="795"/>
      <c r="BL511" s="795"/>
      <c r="BM511" s="795"/>
      <c r="BN511" s="795"/>
      <c r="BO511" s="795"/>
      <c r="BP511" s="795"/>
      <c r="BQ511" s="795"/>
      <c r="BR511" s="795"/>
      <c r="BS511" s="795"/>
      <c r="BT511" s="795"/>
      <c r="BU511" s="795"/>
      <c r="BV511" s="795"/>
      <c r="BW511" s="795"/>
      <c r="BX511" s="795"/>
      <c r="BY511" s="795"/>
      <c r="BZ511" s="796"/>
      <c r="CB511" s="1029" t="str">
        <f>IF(CB512="","",VLOOKUP(CB512,KanckRef!$A$1:$G$300,2,FALSE))</f>
        <v/>
      </c>
      <c r="CC511" s="1030"/>
      <c r="CD511" s="1030"/>
      <c r="CE511" s="1030"/>
      <c r="CF511" s="1031"/>
      <c r="CG511" s="1048" t="str">
        <f>IF(CB512="","",VLOOKUP(CB512,KanckRef!$A$1:$G$300,6,FALSE))</f>
        <v/>
      </c>
      <c r="CH511" s="1049"/>
      <c r="CI511" s="988" t="str">
        <f>IF(CB512="","",VLOOKUP(CB512,DescRef!$D$2:$E$300,2,FALSE))</f>
        <v/>
      </c>
      <c r="CJ511" s="795"/>
      <c r="CK511" s="795"/>
      <c r="CL511" s="795"/>
      <c r="CM511" s="795"/>
      <c r="CN511" s="795"/>
      <c r="CO511" s="795"/>
      <c r="CP511" s="795"/>
      <c r="CQ511" s="795"/>
      <c r="CR511" s="795"/>
      <c r="CS511" s="795"/>
      <c r="CT511" s="795"/>
      <c r="CU511" s="795"/>
      <c r="CV511" s="795"/>
      <c r="CW511" s="795"/>
      <c r="CX511" s="795"/>
      <c r="CY511" s="795"/>
      <c r="CZ511" s="796"/>
    </row>
    <row r="512" spans="1:104" ht="15" customHeight="1" x14ac:dyDescent="0.25">
      <c r="A512" s="15">
        <v>85</v>
      </c>
      <c r="B512" s="1026" t="str">
        <f>IF(A512&lt;'Purchased Boons'!$B$496,VLOOKUP(A512,'Purchased Boons'!$BF$2:$BG$900,2,FALSE),"")</f>
        <v/>
      </c>
      <c r="C512" s="727"/>
      <c r="D512" s="727"/>
      <c r="E512" s="727"/>
      <c r="F512" s="727"/>
      <c r="G512" s="727"/>
      <c r="H512" s="727"/>
      <c r="I512" s="727" t="str">
        <f>IF(B512="","",VLOOKUP(B512,BoonRef!$A$2:$Z$900,25,FALSE))</f>
        <v/>
      </c>
      <c r="J512" s="727"/>
      <c r="K512" s="727"/>
      <c r="L512" s="727"/>
      <c r="M512" s="727"/>
      <c r="N512" s="727"/>
      <c r="O512" s="727"/>
      <c r="P512" s="727"/>
      <c r="Q512" s="727"/>
      <c r="R512" s="727"/>
      <c r="S512" s="727"/>
      <c r="T512" s="727"/>
      <c r="U512" s="727"/>
      <c r="V512" s="727"/>
      <c r="W512" s="727"/>
      <c r="X512" s="727"/>
      <c r="Y512" s="727"/>
      <c r="Z512" s="728"/>
      <c r="AA512" s="15">
        <v>192</v>
      </c>
      <c r="AB512" s="1026" t="str">
        <f>IF(AA512&lt;'Purchased Boons'!$B$496,VLOOKUP(AA512,'Purchased Boons'!$BF$2:$BG$900,2,FALSE),"")</f>
        <v/>
      </c>
      <c r="AC512" s="727"/>
      <c r="AD512" s="727"/>
      <c r="AE512" s="727"/>
      <c r="AF512" s="727"/>
      <c r="AG512" s="727"/>
      <c r="AH512" s="727"/>
      <c r="AI512" s="727" t="str">
        <f>IF(AB512="","",VLOOKUP(AB512,BoonRef!$A$2:$Z$900,25,FALSE))</f>
        <v/>
      </c>
      <c r="AJ512" s="727"/>
      <c r="AK512" s="727"/>
      <c r="AL512" s="727"/>
      <c r="AM512" s="727"/>
      <c r="AN512" s="727"/>
      <c r="AO512" s="727"/>
      <c r="AP512" s="727"/>
      <c r="AQ512" s="727"/>
      <c r="AR512" s="727"/>
      <c r="AS512" s="727"/>
      <c r="AT512" s="727"/>
      <c r="AU512" s="727"/>
      <c r="AV512" s="727"/>
      <c r="AW512" s="727"/>
      <c r="AX512" s="727"/>
      <c r="AY512" s="727"/>
      <c r="AZ512" s="728"/>
      <c r="BA512" s="15">
        <v>85</v>
      </c>
      <c r="BB512" s="1038" t="str">
        <f>IF(BA512&lt;'Purchased Knacks'!A$192,VLOOKUP(BA512,'Purchased Knacks'!$A$4:$E$300,3,FALSE),"")</f>
        <v/>
      </c>
      <c r="BC512" s="1039"/>
      <c r="BD512" s="1039"/>
      <c r="BE512" s="1039"/>
      <c r="BF512" s="1040"/>
      <c r="BG512" s="1032" t="str">
        <f>IF(BB512="","",VLOOKUP(BB512,KanckRef!$A$1:$G$300,7,FALSE))</f>
        <v/>
      </c>
      <c r="BH512" s="1033"/>
      <c r="BI512" s="753"/>
      <c r="BJ512" s="754"/>
      <c r="BK512" s="754"/>
      <c r="BL512" s="754"/>
      <c r="BM512" s="754"/>
      <c r="BN512" s="754"/>
      <c r="BO512" s="754"/>
      <c r="BP512" s="754"/>
      <c r="BQ512" s="754"/>
      <c r="BR512" s="754"/>
      <c r="BS512" s="754"/>
      <c r="BT512" s="754"/>
      <c r="BU512" s="754"/>
      <c r="BV512" s="754"/>
      <c r="BW512" s="754"/>
      <c r="BX512" s="754"/>
      <c r="BY512" s="754"/>
      <c r="BZ512" s="755"/>
      <c r="CA512" s="15">
        <v>192</v>
      </c>
      <c r="CB512" s="1038" t="str">
        <f>IF(CA512&lt;'Purchased Knacks'!A$192,VLOOKUP(CA512,'Purchased Knacks'!$A$4:$E$300,3,FALSE),"")</f>
        <v/>
      </c>
      <c r="CC512" s="1039"/>
      <c r="CD512" s="1039"/>
      <c r="CE512" s="1039"/>
      <c r="CF512" s="1040"/>
      <c r="CG512" s="1032" t="str">
        <f>IF(CB512="","",VLOOKUP(CB512,KanckRef!$A$1:$G$300,7,FALSE))</f>
        <v/>
      </c>
      <c r="CH512" s="1033"/>
      <c r="CI512" s="753"/>
      <c r="CJ512" s="754"/>
      <c r="CK512" s="754"/>
      <c r="CL512" s="754"/>
      <c r="CM512" s="754"/>
      <c r="CN512" s="754"/>
      <c r="CO512" s="754"/>
      <c r="CP512" s="754"/>
      <c r="CQ512" s="754"/>
      <c r="CR512" s="754"/>
      <c r="CS512" s="754"/>
      <c r="CT512" s="754"/>
      <c r="CU512" s="754"/>
      <c r="CV512" s="754"/>
      <c r="CW512" s="754"/>
      <c r="CX512" s="754"/>
      <c r="CY512" s="754"/>
      <c r="CZ512" s="755"/>
    </row>
    <row r="513" spans="1:104" x14ac:dyDescent="0.25">
      <c r="B513" s="1026"/>
      <c r="C513" s="727"/>
      <c r="D513" s="727"/>
      <c r="E513" s="727"/>
      <c r="F513" s="727"/>
      <c r="G513" s="727"/>
      <c r="H513" s="727"/>
      <c r="I513" s="727" t="str">
        <f>IF(B512="","",VLOOKUP(B512,BoonRef!$A$2:$Z$900,26,FALSE))</f>
        <v/>
      </c>
      <c r="J513" s="727"/>
      <c r="K513" s="727"/>
      <c r="L513" s="727"/>
      <c r="M513" s="727"/>
      <c r="N513" s="727"/>
      <c r="O513" s="727"/>
      <c r="P513" s="727"/>
      <c r="Q513" s="727"/>
      <c r="R513" s="727"/>
      <c r="S513" s="727"/>
      <c r="T513" s="727"/>
      <c r="U513" s="727"/>
      <c r="V513" s="727"/>
      <c r="W513" s="727"/>
      <c r="X513" s="727"/>
      <c r="Y513" s="727"/>
      <c r="Z513" s="728"/>
      <c r="AB513" s="1026"/>
      <c r="AC513" s="727"/>
      <c r="AD513" s="727"/>
      <c r="AE513" s="727"/>
      <c r="AF513" s="727"/>
      <c r="AG513" s="727"/>
      <c r="AH513" s="727"/>
      <c r="AI513" s="727" t="str">
        <f>IF(AB512="","",VLOOKUP(AB512,BoonRef!$A$2:$Z$900,26,FALSE))</f>
        <v/>
      </c>
      <c r="AJ513" s="727"/>
      <c r="AK513" s="727"/>
      <c r="AL513" s="727"/>
      <c r="AM513" s="727"/>
      <c r="AN513" s="727"/>
      <c r="AO513" s="727"/>
      <c r="AP513" s="727"/>
      <c r="AQ513" s="727"/>
      <c r="AR513" s="727"/>
      <c r="AS513" s="727"/>
      <c r="AT513" s="727"/>
      <c r="AU513" s="727"/>
      <c r="AV513" s="727"/>
      <c r="AW513" s="727"/>
      <c r="AX513" s="727"/>
      <c r="AY513" s="727"/>
      <c r="AZ513" s="728"/>
      <c r="BB513" s="1041"/>
      <c r="BC513" s="1042"/>
      <c r="BD513" s="1042"/>
      <c r="BE513" s="1042"/>
      <c r="BF513" s="1043"/>
      <c r="BG513" s="1034"/>
      <c r="BH513" s="1035"/>
      <c r="BI513" s="753"/>
      <c r="BJ513" s="754"/>
      <c r="BK513" s="754"/>
      <c r="BL513" s="754"/>
      <c r="BM513" s="754"/>
      <c r="BN513" s="754"/>
      <c r="BO513" s="754"/>
      <c r="BP513" s="754"/>
      <c r="BQ513" s="754"/>
      <c r="BR513" s="754"/>
      <c r="BS513" s="754"/>
      <c r="BT513" s="754"/>
      <c r="BU513" s="754"/>
      <c r="BV513" s="754"/>
      <c r="BW513" s="754"/>
      <c r="BX513" s="754"/>
      <c r="BY513" s="754"/>
      <c r="BZ513" s="755"/>
      <c r="CB513" s="1041"/>
      <c r="CC513" s="1042"/>
      <c r="CD513" s="1042"/>
      <c r="CE513" s="1042"/>
      <c r="CF513" s="1043"/>
      <c r="CG513" s="1034"/>
      <c r="CH513" s="1035"/>
      <c r="CI513" s="753"/>
      <c r="CJ513" s="754"/>
      <c r="CK513" s="754"/>
      <c r="CL513" s="754"/>
      <c r="CM513" s="754"/>
      <c r="CN513" s="754"/>
      <c r="CO513" s="754"/>
      <c r="CP513" s="754"/>
      <c r="CQ513" s="754"/>
      <c r="CR513" s="754"/>
      <c r="CS513" s="754"/>
      <c r="CT513" s="754"/>
      <c r="CU513" s="754"/>
      <c r="CV513" s="754"/>
      <c r="CW513" s="754"/>
      <c r="CX513" s="754"/>
      <c r="CY513" s="754"/>
      <c r="CZ513" s="755"/>
    </row>
    <row r="514" spans="1:104" x14ac:dyDescent="0.25">
      <c r="B514" s="1026" t="str">
        <f>IF(B512="","",VLOOKUP(B512,BoonRef!$A$2:$Z$900,24,FALSE))</f>
        <v/>
      </c>
      <c r="C514" s="727"/>
      <c r="D514" s="727"/>
      <c r="E514" s="727"/>
      <c r="F514" s="727"/>
      <c r="G514" s="727"/>
      <c r="H514" s="727"/>
      <c r="I514" s="727"/>
      <c r="J514" s="727"/>
      <c r="K514" s="727"/>
      <c r="L514" s="727"/>
      <c r="M514" s="727"/>
      <c r="N514" s="727"/>
      <c r="O514" s="727"/>
      <c r="P514" s="727"/>
      <c r="Q514" s="727"/>
      <c r="R514" s="727"/>
      <c r="S514" s="727"/>
      <c r="T514" s="727"/>
      <c r="U514" s="727"/>
      <c r="V514" s="727"/>
      <c r="W514" s="727"/>
      <c r="X514" s="727"/>
      <c r="Y514" s="727"/>
      <c r="Z514" s="728"/>
      <c r="AB514" s="1026" t="str">
        <f>IF(AB512="","",VLOOKUP(AB512,BoonRef!$A$2:$Z$900,24,FALSE))</f>
        <v/>
      </c>
      <c r="AC514" s="727"/>
      <c r="AD514" s="727"/>
      <c r="AE514" s="727"/>
      <c r="AF514" s="727"/>
      <c r="AG514" s="727"/>
      <c r="AH514" s="727"/>
      <c r="AI514" s="727"/>
      <c r="AJ514" s="727"/>
      <c r="AK514" s="727"/>
      <c r="AL514" s="727"/>
      <c r="AM514" s="727"/>
      <c r="AN514" s="727"/>
      <c r="AO514" s="727"/>
      <c r="AP514" s="727"/>
      <c r="AQ514" s="727"/>
      <c r="AR514" s="727"/>
      <c r="AS514" s="727"/>
      <c r="AT514" s="727"/>
      <c r="AU514" s="727"/>
      <c r="AV514" s="727"/>
      <c r="AW514" s="727"/>
      <c r="AX514" s="727"/>
      <c r="AY514" s="727"/>
      <c r="AZ514" s="728"/>
      <c r="BB514" s="641" t="str">
        <f>IF(BB512="","",VLOOKUP(BB512,KanckRef!$A$1:$G$300,4,FALSE))</f>
        <v/>
      </c>
      <c r="BC514" s="642"/>
      <c r="BD514" s="642"/>
      <c r="BE514" s="642"/>
      <c r="BF514" s="642"/>
      <c r="BG514" s="642"/>
      <c r="BH514" s="1033"/>
      <c r="BI514" s="753"/>
      <c r="BJ514" s="754"/>
      <c r="BK514" s="754"/>
      <c r="BL514" s="754"/>
      <c r="BM514" s="754"/>
      <c r="BN514" s="754"/>
      <c r="BO514" s="754"/>
      <c r="BP514" s="754"/>
      <c r="BQ514" s="754"/>
      <c r="BR514" s="754"/>
      <c r="BS514" s="754"/>
      <c r="BT514" s="754"/>
      <c r="BU514" s="754"/>
      <c r="BV514" s="754"/>
      <c r="BW514" s="754"/>
      <c r="BX514" s="754"/>
      <c r="BY514" s="754"/>
      <c r="BZ514" s="755"/>
      <c r="CB514" s="641" t="str">
        <f>IF(CB512="","",VLOOKUP(CB512,KanckRef!$A$1:$G$300,4,FALSE))</f>
        <v/>
      </c>
      <c r="CC514" s="642"/>
      <c r="CD514" s="642"/>
      <c r="CE514" s="642"/>
      <c r="CF514" s="642"/>
      <c r="CG514" s="642"/>
      <c r="CH514" s="1033"/>
      <c r="CI514" s="753"/>
      <c r="CJ514" s="754"/>
      <c r="CK514" s="754"/>
      <c r="CL514" s="754"/>
      <c r="CM514" s="754"/>
      <c r="CN514" s="754"/>
      <c r="CO514" s="754"/>
      <c r="CP514" s="754"/>
      <c r="CQ514" s="754"/>
      <c r="CR514" s="754"/>
      <c r="CS514" s="754"/>
      <c r="CT514" s="754"/>
      <c r="CU514" s="754"/>
      <c r="CV514" s="754"/>
      <c r="CW514" s="754"/>
      <c r="CX514" s="754"/>
      <c r="CY514" s="754"/>
      <c r="CZ514" s="755"/>
    </row>
    <row r="515" spans="1:104" x14ac:dyDescent="0.25">
      <c r="B515" s="1026" t="str">
        <f>IF(B512="","",VLOOKUP(B512,BoonRef!$A$2:$Z$900,23,FALSE))</f>
        <v/>
      </c>
      <c r="C515" s="727"/>
      <c r="D515" s="727"/>
      <c r="E515" s="727"/>
      <c r="F515" s="727"/>
      <c r="G515" s="727"/>
      <c r="H515" s="727"/>
      <c r="I515" s="727"/>
      <c r="J515" s="727"/>
      <c r="K515" s="727"/>
      <c r="L515" s="727"/>
      <c r="M515" s="727"/>
      <c r="N515" s="727"/>
      <c r="O515" s="727"/>
      <c r="P515" s="727"/>
      <c r="Q515" s="727"/>
      <c r="R515" s="727"/>
      <c r="S515" s="727"/>
      <c r="T515" s="727"/>
      <c r="U515" s="727"/>
      <c r="V515" s="727"/>
      <c r="W515" s="727"/>
      <c r="X515" s="727"/>
      <c r="Y515" s="727"/>
      <c r="Z515" s="728"/>
      <c r="AB515" s="1026" t="str">
        <f>IF(AB512="","",VLOOKUP(AB512,BoonRef!$A$2:$Z$900,23,FALSE))</f>
        <v/>
      </c>
      <c r="AC515" s="727"/>
      <c r="AD515" s="727"/>
      <c r="AE515" s="727"/>
      <c r="AF515" s="727"/>
      <c r="AG515" s="727"/>
      <c r="AH515" s="727"/>
      <c r="AI515" s="727"/>
      <c r="AJ515" s="727"/>
      <c r="AK515" s="727"/>
      <c r="AL515" s="727"/>
      <c r="AM515" s="727"/>
      <c r="AN515" s="727"/>
      <c r="AO515" s="727"/>
      <c r="AP515" s="727"/>
      <c r="AQ515" s="727"/>
      <c r="AR515" s="727"/>
      <c r="AS515" s="727"/>
      <c r="AT515" s="727"/>
      <c r="AU515" s="727"/>
      <c r="AV515" s="727"/>
      <c r="AW515" s="727"/>
      <c r="AX515" s="727"/>
      <c r="AY515" s="727"/>
      <c r="AZ515" s="728"/>
      <c r="BB515" s="635"/>
      <c r="BC515" s="636"/>
      <c r="BD515" s="636"/>
      <c r="BE515" s="636"/>
      <c r="BF515" s="636"/>
      <c r="BG515" s="636"/>
      <c r="BH515" s="1036"/>
      <c r="BI515" s="753"/>
      <c r="BJ515" s="754"/>
      <c r="BK515" s="754"/>
      <c r="BL515" s="754"/>
      <c r="BM515" s="754"/>
      <c r="BN515" s="754"/>
      <c r="BO515" s="754"/>
      <c r="BP515" s="754"/>
      <c r="BQ515" s="754"/>
      <c r="BR515" s="754"/>
      <c r="BS515" s="754"/>
      <c r="BT515" s="754"/>
      <c r="BU515" s="754"/>
      <c r="BV515" s="754"/>
      <c r="BW515" s="754"/>
      <c r="BX515" s="754"/>
      <c r="BY515" s="754"/>
      <c r="BZ515" s="755"/>
      <c r="CB515" s="635"/>
      <c r="CC515" s="636"/>
      <c r="CD515" s="636"/>
      <c r="CE515" s="636"/>
      <c r="CF515" s="636"/>
      <c r="CG515" s="636"/>
      <c r="CH515" s="1036"/>
      <c r="CI515" s="753"/>
      <c r="CJ515" s="754"/>
      <c r="CK515" s="754"/>
      <c r="CL515" s="754"/>
      <c r="CM515" s="754"/>
      <c r="CN515" s="754"/>
      <c r="CO515" s="754"/>
      <c r="CP515" s="754"/>
      <c r="CQ515" s="754"/>
      <c r="CR515" s="754"/>
      <c r="CS515" s="754"/>
      <c r="CT515" s="754"/>
      <c r="CU515" s="754"/>
      <c r="CV515" s="754"/>
      <c r="CW515" s="754"/>
      <c r="CX515" s="754"/>
      <c r="CY515" s="754"/>
      <c r="CZ515" s="755"/>
    </row>
    <row r="516" spans="1:104" ht="15.75" thickBot="1" x14ac:dyDescent="0.3">
      <c r="B516" s="1027"/>
      <c r="C516" s="865"/>
      <c r="D516" s="865"/>
      <c r="E516" s="865"/>
      <c r="F516" s="865"/>
      <c r="G516" s="865"/>
      <c r="H516" s="865"/>
      <c r="I516" s="865"/>
      <c r="J516" s="865"/>
      <c r="K516" s="865"/>
      <c r="L516" s="865"/>
      <c r="M516" s="865"/>
      <c r="N516" s="865"/>
      <c r="O516" s="865"/>
      <c r="P516" s="865"/>
      <c r="Q516" s="865"/>
      <c r="R516" s="865"/>
      <c r="S516" s="865"/>
      <c r="T516" s="865"/>
      <c r="U516" s="865"/>
      <c r="V516" s="865"/>
      <c r="W516" s="865"/>
      <c r="X516" s="865"/>
      <c r="Y516" s="865"/>
      <c r="Z516" s="921"/>
      <c r="AB516" s="1027"/>
      <c r="AC516" s="865"/>
      <c r="AD516" s="865"/>
      <c r="AE516" s="865"/>
      <c r="AF516" s="865"/>
      <c r="AG516" s="865"/>
      <c r="AH516" s="865"/>
      <c r="AI516" s="865"/>
      <c r="AJ516" s="865"/>
      <c r="AK516" s="865"/>
      <c r="AL516" s="865"/>
      <c r="AM516" s="865"/>
      <c r="AN516" s="865"/>
      <c r="AO516" s="865"/>
      <c r="AP516" s="865"/>
      <c r="AQ516" s="865"/>
      <c r="AR516" s="865"/>
      <c r="AS516" s="865"/>
      <c r="AT516" s="865"/>
      <c r="AU516" s="865"/>
      <c r="AV516" s="865"/>
      <c r="AW516" s="865"/>
      <c r="AX516" s="865"/>
      <c r="AY516" s="865"/>
      <c r="AZ516" s="921"/>
      <c r="BB516" s="644"/>
      <c r="BC516" s="645"/>
      <c r="BD516" s="645"/>
      <c r="BE516" s="645"/>
      <c r="BF516" s="645"/>
      <c r="BG516" s="645"/>
      <c r="BH516" s="1037"/>
      <c r="BI516" s="756"/>
      <c r="BJ516" s="757"/>
      <c r="BK516" s="757"/>
      <c r="BL516" s="757"/>
      <c r="BM516" s="757"/>
      <c r="BN516" s="757"/>
      <c r="BO516" s="757"/>
      <c r="BP516" s="757"/>
      <c r="BQ516" s="757"/>
      <c r="BR516" s="757"/>
      <c r="BS516" s="757"/>
      <c r="BT516" s="757"/>
      <c r="BU516" s="757"/>
      <c r="BV516" s="757"/>
      <c r="BW516" s="757"/>
      <c r="BX516" s="757"/>
      <c r="BY516" s="757"/>
      <c r="BZ516" s="758"/>
      <c r="CB516" s="644"/>
      <c r="CC516" s="645"/>
      <c r="CD516" s="645"/>
      <c r="CE516" s="645"/>
      <c r="CF516" s="645"/>
      <c r="CG516" s="645"/>
      <c r="CH516" s="1037"/>
      <c r="CI516" s="756"/>
      <c r="CJ516" s="757"/>
      <c r="CK516" s="757"/>
      <c r="CL516" s="757"/>
      <c r="CM516" s="757"/>
      <c r="CN516" s="757"/>
      <c r="CO516" s="757"/>
      <c r="CP516" s="757"/>
      <c r="CQ516" s="757"/>
      <c r="CR516" s="757"/>
      <c r="CS516" s="757"/>
      <c r="CT516" s="757"/>
      <c r="CU516" s="757"/>
      <c r="CV516" s="757"/>
      <c r="CW516" s="757"/>
      <c r="CX516" s="757"/>
      <c r="CY516" s="757"/>
      <c r="CZ516" s="758"/>
    </row>
    <row r="517" spans="1:104" x14ac:dyDescent="0.25">
      <c r="B517" s="1028" t="str">
        <f>IF(B518="","",VLOOKUP(B518,BoonRef!$A$2:$Z$900,2,FALSE))</f>
        <v/>
      </c>
      <c r="C517" s="725"/>
      <c r="D517" s="725"/>
      <c r="E517" s="725"/>
      <c r="F517" s="725"/>
      <c r="G517" s="725"/>
      <c r="H517" s="725"/>
      <c r="I517" s="725" t="str">
        <f>IF(B518="","",VLOOKUP(B518,BoonRef!$A$2:$Z$900,3,FALSE))</f>
        <v/>
      </c>
      <c r="J517" s="725"/>
      <c r="K517" s="725" t="str">
        <f>IF(B518="","",VLOOKUP(B518,DescRef!$A$2:$B$900,2,FALSE))</f>
        <v/>
      </c>
      <c r="L517" s="725"/>
      <c r="M517" s="725"/>
      <c r="N517" s="725"/>
      <c r="O517" s="725"/>
      <c r="P517" s="725"/>
      <c r="Q517" s="725"/>
      <c r="R517" s="725"/>
      <c r="S517" s="725"/>
      <c r="T517" s="725"/>
      <c r="U517" s="725"/>
      <c r="V517" s="725"/>
      <c r="W517" s="725"/>
      <c r="X517" s="725"/>
      <c r="Y517" s="725"/>
      <c r="Z517" s="726"/>
      <c r="AB517" s="1028" t="str">
        <f>IF(AB518="","",VLOOKUP(AB518,BoonRef!$A$2:$Z$900,2,FALSE))</f>
        <v/>
      </c>
      <c r="AC517" s="725"/>
      <c r="AD517" s="725"/>
      <c r="AE517" s="725"/>
      <c r="AF517" s="725"/>
      <c r="AG517" s="725"/>
      <c r="AH517" s="725"/>
      <c r="AI517" s="725" t="str">
        <f>IF(AB518="","",VLOOKUP(AB518,BoonRef!$A$2:$Z$900,3,FALSE))</f>
        <v/>
      </c>
      <c r="AJ517" s="725"/>
      <c r="AK517" s="725" t="str">
        <f>IF(AB518="","",VLOOKUP(AB518,DescRef!$A$2:$B$900,2,FALSE))</f>
        <v/>
      </c>
      <c r="AL517" s="725"/>
      <c r="AM517" s="725"/>
      <c r="AN517" s="725"/>
      <c r="AO517" s="725"/>
      <c r="AP517" s="725"/>
      <c r="AQ517" s="725"/>
      <c r="AR517" s="725"/>
      <c r="AS517" s="725"/>
      <c r="AT517" s="725"/>
      <c r="AU517" s="725"/>
      <c r="AV517" s="725"/>
      <c r="AW517" s="725"/>
      <c r="AX517" s="725"/>
      <c r="AY517" s="725"/>
      <c r="AZ517" s="726"/>
      <c r="BB517" s="1029" t="str">
        <f>IF(BB518="","",VLOOKUP(BB518,KanckRef!$A$1:$G$300,2,FALSE))</f>
        <v/>
      </c>
      <c r="BC517" s="1030"/>
      <c r="BD517" s="1030"/>
      <c r="BE517" s="1030"/>
      <c r="BF517" s="1031"/>
      <c r="BG517" s="1048" t="str">
        <f>IF(BB518="","",VLOOKUP(BB518,KanckRef!$A$1:$G$300,6,FALSE))</f>
        <v/>
      </c>
      <c r="BH517" s="1049"/>
      <c r="BI517" s="988" t="str">
        <f>IF(BB518="","",VLOOKUP(BB518,DescRef!$D$2:$E$300,2,FALSE))</f>
        <v/>
      </c>
      <c r="BJ517" s="795"/>
      <c r="BK517" s="795"/>
      <c r="BL517" s="795"/>
      <c r="BM517" s="795"/>
      <c r="BN517" s="795"/>
      <c r="BO517" s="795"/>
      <c r="BP517" s="795"/>
      <c r="BQ517" s="795"/>
      <c r="BR517" s="795"/>
      <c r="BS517" s="795"/>
      <c r="BT517" s="795"/>
      <c r="BU517" s="795"/>
      <c r="BV517" s="795"/>
      <c r="BW517" s="795"/>
      <c r="BX517" s="795"/>
      <c r="BY517" s="795"/>
      <c r="BZ517" s="796"/>
      <c r="CB517" s="1029" t="str">
        <f>IF(CB518="","",VLOOKUP(CB518,KanckRef!$A$1:$G$300,2,FALSE))</f>
        <v/>
      </c>
      <c r="CC517" s="1030"/>
      <c r="CD517" s="1030"/>
      <c r="CE517" s="1030"/>
      <c r="CF517" s="1031"/>
      <c r="CG517" s="1048" t="str">
        <f>IF(CB518="","",VLOOKUP(CB518,KanckRef!$A$1:$G$300,6,FALSE))</f>
        <v/>
      </c>
      <c r="CH517" s="1049"/>
      <c r="CI517" s="988" t="str">
        <f>IF(CB518="","",VLOOKUP(CB518,DescRef!$D$2:$E$300,2,FALSE))</f>
        <v/>
      </c>
      <c r="CJ517" s="795"/>
      <c r="CK517" s="795"/>
      <c r="CL517" s="795"/>
      <c r="CM517" s="795"/>
      <c r="CN517" s="795"/>
      <c r="CO517" s="795"/>
      <c r="CP517" s="795"/>
      <c r="CQ517" s="795"/>
      <c r="CR517" s="795"/>
      <c r="CS517" s="795"/>
      <c r="CT517" s="795"/>
      <c r="CU517" s="795"/>
      <c r="CV517" s="795"/>
      <c r="CW517" s="795"/>
      <c r="CX517" s="795"/>
      <c r="CY517" s="795"/>
      <c r="CZ517" s="796"/>
    </row>
    <row r="518" spans="1:104" ht="15" customHeight="1" x14ac:dyDescent="0.25">
      <c r="A518" s="15">
        <v>86</v>
      </c>
      <c r="B518" s="1026" t="str">
        <f>IF(A518&lt;'Purchased Boons'!$B$496,VLOOKUP(A518,'Purchased Boons'!$BF$2:$BG$900,2,FALSE),"")</f>
        <v/>
      </c>
      <c r="C518" s="727"/>
      <c r="D518" s="727"/>
      <c r="E518" s="727"/>
      <c r="F518" s="727"/>
      <c r="G518" s="727"/>
      <c r="H518" s="727"/>
      <c r="I518" s="727" t="str">
        <f>IF(B518="","",VLOOKUP(B518,BoonRef!$A$2:$Z$900,25,FALSE))</f>
        <v/>
      </c>
      <c r="J518" s="727"/>
      <c r="K518" s="727"/>
      <c r="L518" s="727"/>
      <c r="M518" s="727"/>
      <c r="N518" s="727"/>
      <c r="O518" s="727"/>
      <c r="P518" s="727"/>
      <c r="Q518" s="727"/>
      <c r="R518" s="727"/>
      <c r="S518" s="727"/>
      <c r="T518" s="727"/>
      <c r="U518" s="727"/>
      <c r="V518" s="727"/>
      <c r="W518" s="727"/>
      <c r="X518" s="727"/>
      <c r="Y518" s="727"/>
      <c r="Z518" s="728"/>
      <c r="AA518" s="15">
        <v>193</v>
      </c>
      <c r="AB518" s="1026" t="str">
        <f>IF(AA518&lt;'Purchased Boons'!$B$496,VLOOKUP(AA518,'Purchased Boons'!$BF$2:$BG$900,2,FALSE),"")</f>
        <v/>
      </c>
      <c r="AC518" s="727"/>
      <c r="AD518" s="727"/>
      <c r="AE518" s="727"/>
      <c r="AF518" s="727"/>
      <c r="AG518" s="727"/>
      <c r="AH518" s="727"/>
      <c r="AI518" s="727" t="str">
        <f>IF(AB518="","",VLOOKUP(AB518,BoonRef!$A$2:$Z$900,25,FALSE))</f>
        <v/>
      </c>
      <c r="AJ518" s="727"/>
      <c r="AK518" s="727"/>
      <c r="AL518" s="727"/>
      <c r="AM518" s="727"/>
      <c r="AN518" s="727"/>
      <c r="AO518" s="727"/>
      <c r="AP518" s="727"/>
      <c r="AQ518" s="727"/>
      <c r="AR518" s="727"/>
      <c r="AS518" s="727"/>
      <c r="AT518" s="727"/>
      <c r="AU518" s="727"/>
      <c r="AV518" s="727"/>
      <c r="AW518" s="727"/>
      <c r="AX518" s="727"/>
      <c r="AY518" s="727"/>
      <c r="AZ518" s="728"/>
      <c r="BA518" s="15">
        <v>86</v>
      </c>
      <c r="BB518" s="1038" t="str">
        <f>IF(BA518&lt;'Purchased Knacks'!A$192,VLOOKUP(BA518,'Purchased Knacks'!$A$4:$E$300,3,FALSE),"")</f>
        <v/>
      </c>
      <c r="BC518" s="1039"/>
      <c r="BD518" s="1039"/>
      <c r="BE518" s="1039"/>
      <c r="BF518" s="1040"/>
      <c r="BG518" s="1032" t="str">
        <f>IF(BB518="","",VLOOKUP(BB518,KanckRef!$A$1:$G$300,7,FALSE))</f>
        <v/>
      </c>
      <c r="BH518" s="1033"/>
      <c r="BI518" s="753"/>
      <c r="BJ518" s="754"/>
      <c r="BK518" s="754"/>
      <c r="BL518" s="754"/>
      <c r="BM518" s="754"/>
      <c r="BN518" s="754"/>
      <c r="BO518" s="754"/>
      <c r="BP518" s="754"/>
      <c r="BQ518" s="754"/>
      <c r="BR518" s="754"/>
      <c r="BS518" s="754"/>
      <c r="BT518" s="754"/>
      <c r="BU518" s="754"/>
      <c r="BV518" s="754"/>
      <c r="BW518" s="754"/>
      <c r="BX518" s="754"/>
      <c r="BY518" s="754"/>
      <c r="BZ518" s="755"/>
      <c r="CA518" s="15">
        <v>193</v>
      </c>
      <c r="CB518" s="1038" t="str">
        <f>IF(CA518&lt;'Purchased Knacks'!A$192,VLOOKUP(CA518,'Purchased Knacks'!$A$4:$E$300,3,FALSE),"")</f>
        <v/>
      </c>
      <c r="CC518" s="1039"/>
      <c r="CD518" s="1039"/>
      <c r="CE518" s="1039"/>
      <c r="CF518" s="1040"/>
      <c r="CG518" s="1032" t="str">
        <f>IF(CB518="","",VLOOKUP(CB518,KanckRef!$A$1:$G$300,7,FALSE))</f>
        <v/>
      </c>
      <c r="CH518" s="1033"/>
      <c r="CI518" s="753"/>
      <c r="CJ518" s="754"/>
      <c r="CK518" s="754"/>
      <c r="CL518" s="754"/>
      <c r="CM518" s="754"/>
      <c r="CN518" s="754"/>
      <c r="CO518" s="754"/>
      <c r="CP518" s="754"/>
      <c r="CQ518" s="754"/>
      <c r="CR518" s="754"/>
      <c r="CS518" s="754"/>
      <c r="CT518" s="754"/>
      <c r="CU518" s="754"/>
      <c r="CV518" s="754"/>
      <c r="CW518" s="754"/>
      <c r="CX518" s="754"/>
      <c r="CY518" s="754"/>
      <c r="CZ518" s="755"/>
    </row>
    <row r="519" spans="1:104" x14ac:dyDescent="0.25">
      <c r="B519" s="1026"/>
      <c r="C519" s="727"/>
      <c r="D519" s="727"/>
      <c r="E519" s="727"/>
      <c r="F519" s="727"/>
      <c r="G519" s="727"/>
      <c r="H519" s="727"/>
      <c r="I519" s="727" t="str">
        <f>IF(B518="","",VLOOKUP(B518,BoonRef!$A$2:$Z$900,26,FALSE))</f>
        <v/>
      </c>
      <c r="J519" s="727"/>
      <c r="K519" s="727"/>
      <c r="L519" s="727"/>
      <c r="M519" s="727"/>
      <c r="N519" s="727"/>
      <c r="O519" s="727"/>
      <c r="P519" s="727"/>
      <c r="Q519" s="727"/>
      <c r="R519" s="727"/>
      <c r="S519" s="727"/>
      <c r="T519" s="727"/>
      <c r="U519" s="727"/>
      <c r="V519" s="727"/>
      <c r="W519" s="727"/>
      <c r="X519" s="727"/>
      <c r="Y519" s="727"/>
      <c r="Z519" s="728"/>
      <c r="AB519" s="1026"/>
      <c r="AC519" s="727"/>
      <c r="AD519" s="727"/>
      <c r="AE519" s="727"/>
      <c r="AF519" s="727"/>
      <c r="AG519" s="727"/>
      <c r="AH519" s="727"/>
      <c r="AI519" s="727" t="str">
        <f>IF(AB518="","",VLOOKUP(AB518,BoonRef!$A$2:$Z$900,26,FALSE))</f>
        <v/>
      </c>
      <c r="AJ519" s="727"/>
      <c r="AK519" s="727"/>
      <c r="AL519" s="727"/>
      <c r="AM519" s="727"/>
      <c r="AN519" s="727"/>
      <c r="AO519" s="727"/>
      <c r="AP519" s="727"/>
      <c r="AQ519" s="727"/>
      <c r="AR519" s="727"/>
      <c r="AS519" s="727"/>
      <c r="AT519" s="727"/>
      <c r="AU519" s="727"/>
      <c r="AV519" s="727"/>
      <c r="AW519" s="727"/>
      <c r="AX519" s="727"/>
      <c r="AY519" s="727"/>
      <c r="AZ519" s="728"/>
      <c r="BB519" s="1041"/>
      <c r="BC519" s="1042"/>
      <c r="BD519" s="1042"/>
      <c r="BE519" s="1042"/>
      <c r="BF519" s="1043"/>
      <c r="BG519" s="1034"/>
      <c r="BH519" s="1035"/>
      <c r="BI519" s="753"/>
      <c r="BJ519" s="754"/>
      <c r="BK519" s="754"/>
      <c r="BL519" s="754"/>
      <c r="BM519" s="754"/>
      <c r="BN519" s="754"/>
      <c r="BO519" s="754"/>
      <c r="BP519" s="754"/>
      <c r="BQ519" s="754"/>
      <c r="BR519" s="754"/>
      <c r="BS519" s="754"/>
      <c r="BT519" s="754"/>
      <c r="BU519" s="754"/>
      <c r="BV519" s="754"/>
      <c r="BW519" s="754"/>
      <c r="BX519" s="754"/>
      <c r="BY519" s="754"/>
      <c r="BZ519" s="755"/>
      <c r="CB519" s="1041"/>
      <c r="CC519" s="1042"/>
      <c r="CD519" s="1042"/>
      <c r="CE519" s="1042"/>
      <c r="CF519" s="1043"/>
      <c r="CG519" s="1034"/>
      <c r="CH519" s="1035"/>
      <c r="CI519" s="753"/>
      <c r="CJ519" s="754"/>
      <c r="CK519" s="754"/>
      <c r="CL519" s="754"/>
      <c r="CM519" s="754"/>
      <c r="CN519" s="754"/>
      <c r="CO519" s="754"/>
      <c r="CP519" s="754"/>
      <c r="CQ519" s="754"/>
      <c r="CR519" s="754"/>
      <c r="CS519" s="754"/>
      <c r="CT519" s="754"/>
      <c r="CU519" s="754"/>
      <c r="CV519" s="754"/>
      <c r="CW519" s="754"/>
      <c r="CX519" s="754"/>
      <c r="CY519" s="754"/>
      <c r="CZ519" s="755"/>
    </row>
    <row r="520" spans="1:104" x14ac:dyDescent="0.25">
      <c r="B520" s="1026" t="str">
        <f>IF(B518="","",VLOOKUP(B518,BoonRef!$A$2:$Z$900,24,FALSE))</f>
        <v/>
      </c>
      <c r="C520" s="727"/>
      <c r="D520" s="727"/>
      <c r="E520" s="727"/>
      <c r="F520" s="727"/>
      <c r="G520" s="727"/>
      <c r="H520" s="727"/>
      <c r="I520" s="727"/>
      <c r="J520" s="727"/>
      <c r="K520" s="727"/>
      <c r="L520" s="727"/>
      <c r="M520" s="727"/>
      <c r="N520" s="727"/>
      <c r="O520" s="727"/>
      <c r="P520" s="727"/>
      <c r="Q520" s="727"/>
      <c r="R520" s="727"/>
      <c r="S520" s="727"/>
      <c r="T520" s="727"/>
      <c r="U520" s="727"/>
      <c r="V520" s="727"/>
      <c r="W520" s="727"/>
      <c r="X520" s="727"/>
      <c r="Y520" s="727"/>
      <c r="Z520" s="728"/>
      <c r="AB520" s="1026" t="str">
        <f>IF(AB518="","",VLOOKUP(AB518,BoonRef!$A$2:$Z$900,24,FALSE))</f>
        <v/>
      </c>
      <c r="AC520" s="727"/>
      <c r="AD520" s="727"/>
      <c r="AE520" s="727"/>
      <c r="AF520" s="727"/>
      <c r="AG520" s="727"/>
      <c r="AH520" s="727"/>
      <c r="AI520" s="727"/>
      <c r="AJ520" s="727"/>
      <c r="AK520" s="727"/>
      <c r="AL520" s="727"/>
      <c r="AM520" s="727"/>
      <c r="AN520" s="727"/>
      <c r="AO520" s="727"/>
      <c r="AP520" s="727"/>
      <c r="AQ520" s="727"/>
      <c r="AR520" s="727"/>
      <c r="AS520" s="727"/>
      <c r="AT520" s="727"/>
      <c r="AU520" s="727"/>
      <c r="AV520" s="727"/>
      <c r="AW520" s="727"/>
      <c r="AX520" s="727"/>
      <c r="AY520" s="727"/>
      <c r="AZ520" s="728"/>
      <c r="BB520" s="641" t="str">
        <f>IF(BB518="","",VLOOKUP(BB518,KanckRef!$A$1:$G$300,4,FALSE))</f>
        <v/>
      </c>
      <c r="BC520" s="642"/>
      <c r="BD520" s="642"/>
      <c r="BE520" s="642"/>
      <c r="BF520" s="642"/>
      <c r="BG520" s="642"/>
      <c r="BH520" s="1033"/>
      <c r="BI520" s="753"/>
      <c r="BJ520" s="754"/>
      <c r="BK520" s="754"/>
      <c r="BL520" s="754"/>
      <c r="BM520" s="754"/>
      <c r="BN520" s="754"/>
      <c r="BO520" s="754"/>
      <c r="BP520" s="754"/>
      <c r="BQ520" s="754"/>
      <c r="BR520" s="754"/>
      <c r="BS520" s="754"/>
      <c r="BT520" s="754"/>
      <c r="BU520" s="754"/>
      <c r="BV520" s="754"/>
      <c r="BW520" s="754"/>
      <c r="BX520" s="754"/>
      <c r="BY520" s="754"/>
      <c r="BZ520" s="755"/>
      <c r="CB520" s="641" t="str">
        <f>IF(CB518="","",VLOOKUP(CB518,KanckRef!$A$1:$G$300,4,FALSE))</f>
        <v/>
      </c>
      <c r="CC520" s="642"/>
      <c r="CD520" s="642"/>
      <c r="CE520" s="642"/>
      <c r="CF520" s="642"/>
      <c r="CG520" s="642"/>
      <c r="CH520" s="1033"/>
      <c r="CI520" s="753"/>
      <c r="CJ520" s="754"/>
      <c r="CK520" s="754"/>
      <c r="CL520" s="754"/>
      <c r="CM520" s="754"/>
      <c r="CN520" s="754"/>
      <c r="CO520" s="754"/>
      <c r="CP520" s="754"/>
      <c r="CQ520" s="754"/>
      <c r="CR520" s="754"/>
      <c r="CS520" s="754"/>
      <c r="CT520" s="754"/>
      <c r="CU520" s="754"/>
      <c r="CV520" s="754"/>
      <c r="CW520" s="754"/>
      <c r="CX520" s="754"/>
      <c r="CY520" s="754"/>
      <c r="CZ520" s="755"/>
    </row>
    <row r="521" spans="1:104" x14ac:dyDescent="0.25">
      <c r="B521" s="1026" t="str">
        <f>IF(B518="","",VLOOKUP(B518,BoonRef!$A$2:$Z$900,23,FALSE))</f>
        <v/>
      </c>
      <c r="C521" s="727"/>
      <c r="D521" s="727"/>
      <c r="E521" s="727"/>
      <c r="F521" s="727"/>
      <c r="G521" s="727"/>
      <c r="H521" s="727"/>
      <c r="I521" s="727"/>
      <c r="J521" s="727"/>
      <c r="K521" s="727"/>
      <c r="L521" s="727"/>
      <c r="M521" s="727"/>
      <c r="N521" s="727"/>
      <c r="O521" s="727"/>
      <c r="P521" s="727"/>
      <c r="Q521" s="727"/>
      <c r="R521" s="727"/>
      <c r="S521" s="727"/>
      <c r="T521" s="727"/>
      <c r="U521" s="727"/>
      <c r="V521" s="727"/>
      <c r="W521" s="727"/>
      <c r="X521" s="727"/>
      <c r="Y521" s="727"/>
      <c r="Z521" s="728"/>
      <c r="AB521" s="1026" t="str">
        <f>IF(AB518="","",VLOOKUP(AB518,BoonRef!$A$2:$Z$900,23,FALSE))</f>
        <v/>
      </c>
      <c r="AC521" s="727"/>
      <c r="AD521" s="727"/>
      <c r="AE521" s="727"/>
      <c r="AF521" s="727"/>
      <c r="AG521" s="727"/>
      <c r="AH521" s="727"/>
      <c r="AI521" s="727"/>
      <c r="AJ521" s="727"/>
      <c r="AK521" s="727"/>
      <c r="AL521" s="727"/>
      <c r="AM521" s="727"/>
      <c r="AN521" s="727"/>
      <c r="AO521" s="727"/>
      <c r="AP521" s="727"/>
      <c r="AQ521" s="727"/>
      <c r="AR521" s="727"/>
      <c r="AS521" s="727"/>
      <c r="AT521" s="727"/>
      <c r="AU521" s="727"/>
      <c r="AV521" s="727"/>
      <c r="AW521" s="727"/>
      <c r="AX521" s="727"/>
      <c r="AY521" s="727"/>
      <c r="AZ521" s="728"/>
      <c r="BB521" s="635"/>
      <c r="BC521" s="636"/>
      <c r="BD521" s="636"/>
      <c r="BE521" s="636"/>
      <c r="BF521" s="636"/>
      <c r="BG521" s="636"/>
      <c r="BH521" s="1036"/>
      <c r="BI521" s="753"/>
      <c r="BJ521" s="754"/>
      <c r="BK521" s="754"/>
      <c r="BL521" s="754"/>
      <c r="BM521" s="754"/>
      <c r="BN521" s="754"/>
      <c r="BO521" s="754"/>
      <c r="BP521" s="754"/>
      <c r="BQ521" s="754"/>
      <c r="BR521" s="754"/>
      <c r="BS521" s="754"/>
      <c r="BT521" s="754"/>
      <c r="BU521" s="754"/>
      <c r="BV521" s="754"/>
      <c r="BW521" s="754"/>
      <c r="BX521" s="754"/>
      <c r="BY521" s="754"/>
      <c r="BZ521" s="755"/>
      <c r="CB521" s="635"/>
      <c r="CC521" s="636"/>
      <c r="CD521" s="636"/>
      <c r="CE521" s="636"/>
      <c r="CF521" s="636"/>
      <c r="CG521" s="636"/>
      <c r="CH521" s="1036"/>
      <c r="CI521" s="753"/>
      <c r="CJ521" s="754"/>
      <c r="CK521" s="754"/>
      <c r="CL521" s="754"/>
      <c r="CM521" s="754"/>
      <c r="CN521" s="754"/>
      <c r="CO521" s="754"/>
      <c r="CP521" s="754"/>
      <c r="CQ521" s="754"/>
      <c r="CR521" s="754"/>
      <c r="CS521" s="754"/>
      <c r="CT521" s="754"/>
      <c r="CU521" s="754"/>
      <c r="CV521" s="754"/>
      <c r="CW521" s="754"/>
      <c r="CX521" s="754"/>
      <c r="CY521" s="754"/>
      <c r="CZ521" s="755"/>
    </row>
    <row r="522" spans="1:104" ht="15.75" thickBot="1" x14ac:dyDescent="0.3">
      <c r="B522" s="1027"/>
      <c r="C522" s="865"/>
      <c r="D522" s="865"/>
      <c r="E522" s="865"/>
      <c r="F522" s="865"/>
      <c r="G522" s="865"/>
      <c r="H522" s="865"/>
      <c r="I522" s="865"/>
      <c r="J522" s="865"/>
      <c r="K522" s="865"/>
      <c r="L522" s="865"/>
      <c r="M522" s="865"/>
      <c r="N522" s="865"/>
      <c r="O522" s="865"/>
      <c r="P522" s="865"/>
      <c r="Q522" s="865"/>
      <c r="R522" s="865"/>
      <c r="S522" s="865"/>
      <c r="T522" s="865"/>
      <c r="U522" s="865"/>
      <c r="V522" s="865"/>
      <c r="W522" s="865"/>
      <c r="X522" s="865"/>
      <c r="Y522" s="865"/>
      <c r="Z522" s="921"/>
      <c r="AB522" s="1027"/>
      <c r="AC522" s="865"/>
      <c r="AD522" s="865"/>
      <c r="AE522" s="865"/>
      <c r="AF522" s="865"/>
      <c r="AG522" s="865"/>
      <c r="AH522" s="865"/>
      <c r="AI522" s="865"/>
      <c r="AJ522" s="865"/>
      <c r="AK522" s="865"/>
      <c r="AL522" s="865"/>
      <c r="AM522" s="865"/>
      <c r="AN522" s="865"/>
      <c r="AO522" s="865"/>
      <c r="AP522" s="865"/>
      <c r="AQ522" s="865"/>
      <c r="AR522" s="865"/>
      <c r="AS522" s="865"/>
      <c r="AT522" s="865"/>
      <c r="AU522" s="865"/>
      <c r="AV522" s="865"/>
      <c r="AW522" s="865"/>
      <c r="AX522" s="865"/>
      <c r="AY522" s="865"/>
      <c r="AZ522" s="921"/>
      <c r="BB522" s="644"/>
      <c r="BC522" s="645"/>
      <c r="BD522" s="645"/>
      <c r="BE522" s="645"/>
      <c r="BF522" s="645"/>
      <c r="BG522" s="645"/>
      <c r="BH522" s="1037"/>
      <c r="BI522" s="756"/>
      <c r="BJ522" s="757"/>
      <c r="BK522" s="757"/>
      <c r="BL522" s="757"/>
      <c r="BM522" s="757"/>
      <c r="BN522" s="757"/>
      <c r="BO522" s="757"/>
      <c r="BP522" s="757"/>
      <c r="BQ522" s="757"/>
      <c r="BR522" s="757"/>
      <c r="BS522" s="757"/>
      <c r="BT522" s="757"/>
      <c r="BU522" s="757"/>
      <c r="BV522" s="757"/>
      <c r="BW522" s="757"/>
      <c r="BX522" s="757"/>
      <c r="BY522" s="757"/>
      <c r="BZ522" s="758"/>
      <c r="CB522" s="644"/>
      <c r="CC522" s="645"/>
      <c r="CD522" s="645"/>
      <c r="CE522" s="645"/>
      <c r="CF522" s="645"/>
      <c r="CG522" s="645"/>
      <c r="CH522" s="1037"/>
      <c r="CI522" s="756"/>
      <c r="CJ522" s="757"/>
      <c r="CK522" s="757"/>
      <c r="CL522" s="757"/>
      <c r="CM522" s="757"/>
      <c r="CN522" s="757"/>
      <c r="CO522" s="757"/>
      <c r="CP522" s="757"/>
      <c r="CQ522" s="757"/>
      <c r="CR522" s="757"/>
      <c r="CS522" s="757"/>
      <c r="CT522" s="757"/>
      <c r="CU522" s="757"/>
      <c r="CV522" s="757"/>
      <c r="CW522" s="757"/>
      <c r="CX522" s="757"/>
      <c r="CY522" s="757"/>
      <c r="CZ522" s="758"/>
    </row>
    <row r="523" spans="1:104" x14ac:dyDescent="0.25">
      <c r="B523" s="1028" t="str">
        <f>IF(B524="","",VLOOKUP(B524,BoonRef!$A$2:$Z$900,2,FALSE))</f>
        <v/>
      </c>
      <c r="C523" s="725"/>
      <c r="D523" s="725"/>
      <c r="E523" s="725"/>
      <c r="F523" s="725"/>
      <c r="G523" s="725"/>
      <c r="H523" s="725"/>
      <c r="I523" s="725" t="str">
        <f>IF(B524="","",VLOOKUP(B524,BoonRef!$A$2:$Z$900,3,FALSE))</f>
        <v/>
      </c>
      <c r="J523" s="725"/>
      <c r="K523" s="725" t="str">
        <f>IF(B524="","",VLOOKUP(B524,DescRef!$A$2:$B$900,2,FALSE))</f>
        <v/>
      </c>
      <c r="L523" s="725"/>
      <c r="M523" s="725"/>
      <c r="N523" s="725"/>
      <c r="O523" s="725"/>
      <c r="P523" s="725"/>
      <c r="Q523" s="725"/>
      <c r="R523" s="725"/>
      <c r="S523" s="725"/>
      <c r="T523" s="725"/>
      <c r="U523" s="725"/>
      <c r="V523" s="725"/>
      <c r="W523" s="725"/>
      <c r="X523" s="725"/>
      <c r="Y523" s="725"/>
      <c r="Z523" s="726"/>
      <c r="AB523" s="1028" t="str">
        <f>IF(AB524="","",VLOOKUP(AB524,BoonRef!$A$2:$Z$900,2,FALSE))</f>
        <v/>
      </c>
      <c r="AC523" s="725"/>
      <c r="AD523" s="725"/>
      <c r="AE523" s="725"/>
      <c r="AF523" s="725"/>
      <c r="AG523" s="725"/>
      <c r="AH523" s="725"/>
      <c r="AI523" s="725" t="str">
        <f>IF(AB524="","",VLOOKUP(AB524,BoonRef!$A$2:$Z$900,3,FALSE))</f>
        <v/>
      </c>
      <c r="AJ523" s="725"/>
      <c r="AK523" s="725" t="str">
        <f>IF(AB524="","",VLOOKUP(AB524,DescRef!$A$2:$B$900,2,FALSE))</f>
        <v/>
      </c>
      <c r="AL523" s="725"/>
      <c r="AM523" s="725"/>
      <c r="AN523" s="725"/>
      <c r="AO523" s="725"/>
      <c r="AP523" s="725"/>
      <c r="AQ523" s="725"/>
      <c r="AR523" s="725"/>
      <c r="AS523" s="725"/>
      <c r="AT523" s="725"/>
      <c r="AU523" s="725"/>
      <c r="AV523" s="725"/>
      <c r="AW523" s="725"/>
      <c r="AX523" s="725"/>
      <c r="AY523" s="725"/>
      <c r="AZ523" s="726"/>
      <c r="BB523" s="1029" t="str">
        <f>IF(BB524="","",VLOOKUP(BB524,KanckRef!$A$1:$G$300,2,FALSE))</f>
        <v/>
      </c>
      <c r="BC523" s="1030"/>
      <c r="BD523" s="1030"/>
      <c r="BE523" s="1030"/>
      <c r="BF523" s="1031"/>
      <c r="BG523" s="1048" t="str">
        <f>IF(BB524="","",VLOOKUP(BB524,KanckRef!$A$1:$G$300,6,FALSE))</f>
        <v/>
      </c>
      <c r="BH523" s="1049"/>
      <c r="BI523" s="988" t="str">
        <f>IF(BB524="","",VLOOKUP(BB524,DescRef!$D$2:$E$300,2,FALSE))</f>
        <v/>
      </c>
      <c r="BJ523" s="795"/>
      <c r="BK523" s="795"/>
      <c r="BL523" s="795"/>
      <c r="BM523" s="795"/>
      <c r="BN523" s="795"/>
      <c r="BO523" s="795"/>
      <c r="BP523" s="795"/>
      <c r="BQ523" s="795"/>
      <c r="BR523" s="795"/>
      <c r="BS523" s="795"/>
      <c r="BT523" s="795"/>
      <c r="BU523" s="795"/>
      <c r="BV523" s="795"/>
      <c r="BW523" s="795"/>
      <c r="BX523" s="795"/>
      <c r="BY523" s="795"/>
      <c r="BZ523" s="796"/>
      <c r="CB523" s="1029" t="str">
        <f>IF(CB524="","",VLOOKUP(CB524,KanckRef!$A$1:$G$300,2,FALSE))</f>
        <v/>
      </c>
      <c r="CC523" s="1030"/>
      <c r="CD523" s="1030"/>
      <c r="CE523" s="1030"/>
      <c r="CF523" s="1031"/>
      <c r="CG523" s="1048" t="str">
        <f>IF(CB524="","",VLOOKUP(CB524,KanckRef!$A$1:$G$300,6,FALSE))</f>
        <v/>
      </c>
      <c r="CH523" s="1049"/>
      <c r="CI523" s="988" t="str">
        <f>IF(CB524="","",VLOOKUP(CB524,DescRef!$D$2:$E$300,2,FALSE))</f>
        <v/>
      </c>
      <c r="CJ523" s="795"/>
      <c r="CK523" s="795"/>
      <c r="CL523" s="795"/>
      <c r="CM523" s="795"/>
      <c r="CN523" s="795"/>
      <c r="CO523" s="795"/>
      <c r="CP523" s="795"/>
      <c r="CQ523" s="795"/>
      <c r="CR523" s="795"/>
      <c r="CS523" s="795"/>
      <c r="CT523" s="795"/>
      <c r="CU523" s="795"/>
      <c r="CV523" s="795"/>
      <c r="CW523" s="795"/>
      <c r="CX523" s="795"/>
      <c r="CY523" s="795"/>
      <c r="CZ523" s="796"/>
    </row>
    <row r="524" spans="1:104" ht="15" customHeight="1" x14ac:dyDescent="0.25">
      <c r="A524" s="15">
        <v>87</v>
      </c>
      <c r="B524" s="1026" t="str">
        <f>IF(A524&lt;'Purchased Boons'!$B$496,VLOOKUP(A524,'Purchased Boons'!$BF$2:$BG$900,2,FALSE),"")</f>
        <v/>
      </c>
      <c r="C524" s="727"/>
      <c r="D524" s="727"/>
      <c r="E524" s="727"/>
      <c r="F524" s="727"/>
      <c r="G524" s="727"/>
      <c r="H524" s="727"/>
      <c r="I524" s="727" t="str">
        <f>IF(B524="","",VLOOKUP(B524,BoonRef!$A$2:$Z$900,25,FALSE))</f>
        <v/>
      </c>
      <c r="J524" s="727"/>
      <c r="K524" s="727"/>
      <c r="L524" s="727"/>
      <c r="M524" s="727"/>
      <c r="N524" s="727"/>
      <c r="O524" s="727"/>
      <c r="P524" s="727"/>
      <c r="Q524" s="727"/>
      <c r="R524" s="727"/>
      <c r="S524" s="727"/>
      <c r="T524" s="727"/>
      <c r="U524" s="727"/>
      <c r="V524" s="727"/>
      <c r="W524" s="727"/>
      <c r="X524" s="727"/>
      <c r="Y524" s="727"/>
      <c r="Z524" s="728"/>
      <c r="AA524" s="15">
        <v>194</v>
      </c>
      <c r="AB524" s="1026" t="str">
        <f>IF(AA524&lt;'Purchased Boons'!$B$496,VLOOKUP(AA524,'Purchased Boons'!$BF$2:$BG$900,2,FALSE),"")</f>
        <v/>
      </c>
      <c r="AC524" s="727"/>
      <c r="AD524" s="727"/>
      <c r="AE524" s="727"/>
      <c r="AF524" s="727"/>
      <c r="AG524" s="727"/>
      <c r="AH524" s="727"/>
      <c r="AI524" s="727" t="str">
        <f>IF(AB524="","",VLOOKUP(AB524,BoonRef!$A$2:$Z$900,25,FALSE))</f>
        <v/>
      </c>
      <c r="AJ524" s="727"/>
      <c r="AK524" s="727"/>
      <c r="AL524" s="727"/>
      <c r="AM524" s="727"/>
      <c r="AN524" s="727"/>
      <c r="AO524" s="727"/>
      <c r="AP524" s="727"/>
      <c r="AQ524" s="727"/>
      <c r="AR524" s="727"/>
      <c r="AS524" s="727"/>
      <c r="AT524" s="727"/>
      <c r="AU524" s="727"/>
      <c r="AV524" s="727"/>
      <c r="AW524" s="727"/>
      <c r="AX524" s="727"/>
      <c r="AY524" s="727"/>
      <c r="AZ524" s="728"/>
      <c r="BA524" s="15">
        <v>87</v>
      </c>
      <c r="BB524" s="1038" t="str">
        <f>IF(BA524&lt;'Purchased Knacks'!A$192,VLOOKUP(BA524,'Purchased Knacks'!$A$4:$E$300,3,FALSE),"")</f>
        <v/>
      </c>
      <c r="BC524" s="1039"/>
      <c r="BD524" s="1039"/>
      <c r="BE524" s="1039"/>
      <c r="BF524" s="1040"/>
      <c r="BG524" s="1032" t="str">
        <f>IF(BB524="","",VLOOKUP(BB524,KanckRef!$A$1:$G$300,7,FALSE))</f>
        <v/>
      </c>
      <c r="BH524" s="1033"/>
      <c r="BI524" s="753"/>
      <c r="BJ524" s="754"/>
      <c r="BK524" s="754"/>
      <c r="BL524" s="754"/>
      <c r="BM524" s="754"/>
      <c r="BN524" s="754"/>
      <c r="BO524" s="754"/>
      <c r="BP524" s="754"/>
      <c r="BQ524" s="754"/>
      <c r="BR524" s="754"/>
      <c r="BS524" s="754"/>
      <c r="BT524" s="754"/>
      <c r="BU524" s="754"/>
      <c r="BV524" s="754"/>
      <c r="BW524" s="754"/>
      <c r="BX524" s="754"/>
      <c r="BY524" s="754"/>
      <c r="BZ524" s="755"/>
      <c r="CA524" s="15">
        <v>194</v>
      </c>
      <c r="CB524" s="1038" t="str">
        <f>IF(CA524&lt;'Purchased Knacks'!A$192,VLOOKUP(CA524,'Purchased Knacks'!$A$4:$E$300,3,FALSE),"")</f>
        <v/>
      </c>
      <c r="CC524" s="1039"/>
      <c r="CD524" s="1039"/>
      <c r="CE524" s="1039"/>
      <c r="CF524" s="1040"/>
      <c r="CG524" s="1032" t="str">
        <f>IF(CB524="","",VLOOKUP(CB524,KanckRef!$A$1:$G$300,7,FALSE))</f>
        <v/>
      </c>
      <c r="CH524" s="1033"/>
      <c r="CI524" s="753"/>
      <c r="CJ524" s="754"/>
      <c r="CK524" s="754"/>
      <c r="CL524" s="754"/>
      <c r="CM524" s="754"/>
      <c r="CN524" s="754"/>
      <c r="CO524" s="754"/>
      <c r="CP524" s="754"/>
      <c r="CQ524" s="754"/>
      <c r="CR524" s="754"/>
      <c r="CS524" s="754"/>
      <c r="CT524" s="754"/>
      <c r="CU524" s="754"/>
      <c r="CV524" s="754"/>
      <c r="CW524" s="754"/>
      <c r="CX524" s="754"/>
      <c r="CY524" s="754"/>
      <c r="CZ524" s="755"/>
    </row>
    <row r="525" spans="1:104" x14ac:dyDescent="0.25">
      <c r="B525" s="1026"/>
      <c r="C525" s="727"/>
      <c r="D525" s="727"/>
      <c r="E525" s="727"/>
      <c r="F525" s="727"/>
      <c r="G525" s="727"/>
      <c r="H525" s="727"/>
      <c r="I525" s="727" t="str">
        <f>IF(B524="","",VLOOKUP(B524,BoonRef!$A$2:$Z$900,26,FALSE))</f>
        <v/>
      </c>
      <c r="J525" s="727"/>
      <c r="K525" s="727"/>
      <c r="L525" s="727"/>
      <c r="M525" s="727"/>
      <c r="N525" s="727"/>
      <c r="O525" s="727"/>
      <c r="P525" s="727"/>
      <c r="Q525" s="727"/>
      <c r="R525" s="727"/>
      <c r="S525" s="727"/>
      <c r="T525" s="727"/>
      <c r="U525" s="727"/>
      <c r="V525" s="727"/>
      <c r="W525" s="727"/>
      <c r="X525" s="727"/>
      <c r="Y525" s="727"/>
      <c r="Z525" s="728"/>
      <c r="AB525" s="1026"/>
      <c r="AC525" s="727"/>
      <c r="AD525" s="727"/>
      <c r="AE525" s="727"/>
      <c r="AF525" s="727"/>
      <c r="AG525" s="727"/>
      <c r="AH525" s="727"/>
      <c r="AI525" s="727" t="str">
        <f>IF(AB524="","",VLOOKUP(AB524,BoonRef!$A$2:$Z$900,26,FALSE))</f>
        <v/>
      </c>
      <c r="AJ525" s="727"/>
      <c r="AK525" s="727"/>
      <c r="AL525" s="727"/>
      <c r="AM525" s="727"/>
      <c r="AN525" s="727"/>
      <c r="AO525" s="727"/>
      <c r="AP525" s="727"/>
      <c r="AQ525" s="727"/>
      <c r="AR525" s="727"/>
      <c r="AS525" s="727"/>
      <c r="AT525" s="727"/>
      <c r="AU525" s="727"/>
      <c r="AV525" s="727"/>
      <c r="AW525" s="727"/>
      <c r="AX525" s="727"/>
      <c r="AY525" s="727"/>
      <c r="AZ525" s="728"/>
      <c r="BB525" s="1041"/>
      <c r="BC525" s="1042"/>
      <c r="BD525" s="1042"/>
      <c r="BE525" s="1042"/>
      <c r="BF525" s="1043"/>
      <c r="BG525" s="1034"/>
      <c r="BH525" s="1035"/>
      <c r="BI525" s="753"/>
      <c r="BJ525" s="754"/>
      <c r="BK525" s="754"/>
      <c r="BL525" s="754"/>
      <c r="BM525" s="754"/>
      <c r="BN525" s="754"/>
      <c r="BO525" s="754"/>
      <c r="BP525" s="754"/>
      <c r="BQ525" s="754"/>
      <c r="BR525" s="754"/>
      <c r="BS525" s="754"/>
      <c r="BT525" s="754"/>
      <c r="BU525" s="754"/>
      <c r="BV525" s="754"/>
      <c r="BW525" s="754"/>
      <c r="BX525" s="754"/>
      <c r="BY525" s="754"/>
      <c r="BZ525" s="755"/>
      <c r="CB525" s="1041"/>
      <c r="CC525" s="1042"/>
      <c r="CD525" s="1042"/>
      <c r="CE525" s="1042"/>
      <c r="CF525" s="1043"/>
      <c r="CG525" s="1034"/>
      <c r="CH525" s="1035"/>
      <c r="CI525" s="753"/>
      <c r="CJ525" s="754"/>
      <c r="CK525" s="754"/>
      <c r="CL525" s="754"/>
      <c r="CM525" s="754"/>
      <c r="CN525" s="754"/>
      <c r="CO525" s="754"/>
      <c r="CP525" s="754"/>
      <c r="CQ525" s="754"/>
      <c r="CR525" s="754"/>
      <c r="CS525" s="754"/>
      <c r="CT525" s="754"/>
      <c r="CU525" s="754"/>
      <c r="CV525" s="754"/>
      <c r="CW525" s="754"/>
      <c r="CX525" s="754"/>
      <c r="CY525" s="754"/>
      <c r="CZ525" s="755"/>
    </row>
    <row r="526" spans="1:104" x14ac:dyDescent="0.25">
      <c r="B526" s="1026" t="str">
        <f>IF(B524="","",VLOOKUP(B524,BoonRef!$A$2:$Z$900,24,FALSE))</f>
        <v/>
      </c>
      <c r="C526" s="727"/>
      <c r="D526" s="727"/>
      <c r="E526" s="727"/>
      <c r="F526" s="727"/>
      <c r="G526" s="727"/>
      <c r="H526" s="727"/>
      <c r="I526" s="727"/>
      <c r="J526" s="727"/>
      <c r="K526" s="727"/>
      <c r="L526" s="727"/>
      <c r="M526" s="727"/>
      <c r="N526" s="727"/>
      <c r="O526" s="727"/>
      <c r="P526" s="727"/>
      <c r="Q526" s="727"/>
      <c r="R526" s="727"/>
      <c r="S526" s="727"/>
      <c r="T526" s="727"/>
      <c r="U526" s="727"/>
      <c r="V526" s="727"/>
      <c r="W526" s="727"/>
      <c r="X526" s="727"/>
      <c r="Y526" s="727"/>
      <c r="Z526" s="728"/>
      <c r="AB526" s="1026" t="str">
        <f>IF(AB524="","",VLOOKUP(AB524,BoonRef!$A$2:$Z$900,24,FALSE))</f>
        <v/>
      </c>
      <c r="AC526" s="727"/>
      <c r="AD526" s="727"/>
      <c r="AE526" s="727"/>
      <c r="AF526" s="727"/>
      <c r="AG526" s="727"/>
      <c r="AH526" s="727"/>
      <c r="AI526" s="727"/>
      <c r="AJ526" s="727"/>
      <c r="AK526" s="727"/>
      <c r="AL526" s="727"/>
      <c r="AM526" s="727"/>
      <c r="AN526" s="727"/>
      <c r="AO526" s="727"/>
      <c r="AP526" s="727"/>
      <c r="AQ526" s="727"/>
      <c r="AR526" s="727"/>
      <c r="AS526" s="727"/>
      <c r="AT526" s="727"/>
      <c r="AU526" s="727"/>
      <c r="AV526" s="727"/>
      <c r="AW526" s="727"/>
      <c r="AX526" s="727"/>
      <c r="AY526" s="727"/>
      <c r="AZ526" s="728"/>
      <c r="BB526" s="641" t="str">
        <f>IF(BB524="","",VLOOKUP(BB524,KanckRef!$A$1:$G$300,4,FALSE))</f>
        <v/>
      </c>
      <c r="BC526" s="642"/>
      <c r="BD526" s="642"/>
      <c r="BE526" s="642"/>
      <c r="BF526" s="642"/>
      <c r="BG526" s="642"/>
      <c r="BH526" s="1033"/>
      <c r="BI526" s="753"/>
      <c r="BJ526" s="754"/>
      <c r="BK526" s="754"/>
      <c r="BL526" s="754"/>
      <c r="BM526" s="754"/>
      <c r="BN526" s="754"/>
      <c r="BO526" s="754"/>
      <c r="BP526" s="754"/>
      <c r="BQ526" s="754"/>
      <c r="BR526" s="754"/>
      <c r="BS526" s="754"/>
      <c r="BT526" s="754"/>
      <c r="BU526" s="754"/>
      <c r="BV526" s="754"/>
      <c r="BW526" s="754"/>
      <c r="BX526" s="754"/>
      <c r="BY526" s="754"/>
      <c r="BZ526" s="755"/>
      <c r="CB526" s="641" t="str">
        <f>IF(CB524="","",VLOOKUP(CB524,KanckRef!$A$1:$G$300,4,FALSE))</f>
        <v/>
      </c>
      <c r="CC526" s="642"/>
      <c r="CD526" s="642"/>
      <c r="CE526" s="642"/>
      <c r="CF526" s="642"/>
      <c r="CG526" s="642"/>
      <c r="CH526" s="1033"/>
      <c r="CI526" s="753"/>
      <c r="CJ526" s="754"/>
      <c r="CK526" s="754"/>
      <c r="CL526" s="754"/>
      <c r="CM526" s="754"/>
      <c r="CN526" s="754"/>
      <c r="CO526" s="754"/>
      <c r="CP526" s="754"/>
      <c r="CQ526" s="754"/>
      <c r="CR526" s="754"/>
      <c r="CS526" s="754"/>
      <c r="CT526" s="754"/>
      <c r="CU526" s="754"/>
      <c r="CV526" s="754"/>
      <c r="CW526" s="754"/>
      <c r="CX526" s="754"/>
      <c r="CY526" s="754"/>
      <c r="CZ526" s="755"/>
    </row>
    <row r="527" spans="1:104" x14ac:dyDescent="0.25">
      <c r="B527" s="1026" t="str">
        <f>IF(B524="","",VLOOKUP(B524,BoonRef!$A$2:$Z$900,23,FALSE))</f>
        <v/>
      </c>
      <c r="C527" s="727"/>
      <c r="D527" s="727"/>
      <c r="E527" s="727"/>
      <c r="F527" s="727"/>
      <c r="G527" s="727"/>
      <c r="H527" s="727"/>
      <c r="I527" s="727"/>
      <c r="J527" s="727"/>
      <c r="K527" s="727"/>
      <c r="L527" s="727"/>
      <c r="M527" s="727"/>
      <c r="N527" s="727"/>
      <c r="O527" s="727"/>
      <c r="P527" s="727"/>
      <c r="Q527" s="727"/>
      <c r="R527" s="727"/>
      <c r="S527" s="727"/>
      <c r="T527" s="727"/>
      <c r="U527" s="727"/>
      <c r="V527" s="727"/>
      <c r="W527" s="727"/>
      <c r="X527" s="727"/>
      <c r="Y527" s="727"/>
      <c r="Z527" s="728"/>
      <c r="AB527" s="1026" t="str">
        <f>IF(AB524="","",VLOOKUP(AB524,BoonRef!$A$2:$Z$900,23,FALSE))</f>
        <v/>
      </c>
      <c r="AC527" s="727"/>
      <c r="AD527" s="727"/>
      <c r="AE527" s="727"/>
      <c r="AF527" s="727"/>
      <c r="AG527" s="727"/>
      <c r="AH527" s="727"/>
      <c r="AI527" s="727"/>
      <c r="AJ527" s="727"/>
      <c r="AK527" s="727"/>
      <c r="AL527" s="727"/>
      <c r="AM527" s="727"/>
      <c r="AN527" s="727"/>
      <c r="AO527" s="727"/>
      <c r="AP527" s="727"/>
      <c r="AQ527" s="727"/>
      <c r="AR527" s="727"/>
      <c r="AS527" s="727"/>
      <c r="AT527" s="727"/>
      <c r="AU527" s="727"/>
      <c r="AV527" s="727"/>
      <c r="AW527" s="727"/>
      <c r="AX527" s="727"/>
      <c r="AY527" s="727"/>
      <c r="AZ527" s="728"/>
      <c r="BB527" s="635"/>
      <c r="BC527" s="636"/>
      <c r="BD527" s="636"/>
      <c r="BE527" s="636"/>
      <c r="BF527" s="636"/>
      <c r="BG527" s="636"/>
      <c r="BH527" s="1036"/>
      <c r="BI527" s="753"/>
      <c r="BJ527" s="754"/>
      <c r="BK527" s="754"/>
      <c r="BL527" s="754"/>
      <c r="BM527" s="754"/>
      <c r="BN527" s="754"/>
      <c r="BO527" s="754"/>
      <c r="BP527" s="754"/>
      <c r="BQ527" s="754"/>
      <c r="BR527" s="754"/>
      <c r="BS527" s="754"/>
      <c r="BT527" s="754"/>
      <c r="BU527" s="754"/>
      <c r="BV527" s="754"/>
      <c r="BW527" s="754"/>
      <c r="BX527" s="754"/>
      <c r="BY527" s="754"/>
      <c r="BZ527" s="755"/>
      <c r="CB527" s="635"/>
      <c r="CC527" s="636"/>
      <c r="CD527" s="636"/>
      <c r="CE527" s="636"/>
      <c r="CF527" s="636"/>
      <c r="CG527" s="636"/>
      <c r="CH527" s="1036"/>
      <c r="CI527" s="753"/>
      <c r="CJ527" s="754"/>
      <c r="CK527" s="754"/>
      <c r="CL527" s="754"/>
      <c r="CM527" s="754"/>
      <c r="CN527" s="754"/>
      <c r="CO527" s="754"/>
      <c r="CP527" s="754"/>
      <c r="CQ527" s="754"/>
      <c r="CR527" s="754"/>
      <c r="CS527" s="754"/>
      <c r="CT527" s="754"/>
      <c r="CU527" s="754"/>
      <c r="CV527" s="754"/>
      <c r="CW527" s="754"/>
      <c r="CX527" s="754"/>
      <c r="CY527" s="754"/>
      <c r="CZ527" s="755"/>
    </row>
    <row r="528" spans="1:104" ht="15.75" thickBot="1" x14ac:dyDescent="0.3">
      <c r="B528" s="1027"/>
      <c r="C528" s="865"/>
      <c r="D528" s="865"/>
      <c r="E528" s="865"/>
      <c r="F528" s="865"/>
      <c r="G528" s="865"/>
      <c r="H528" s="865"/>
      <c r="I528" s="865"/>
      <c r="J528" s="865"/>
      <c r="K528" s="865"/>
      <c r="L528" s="865"/>
      <c r="M528" s="865"/>
      <c r="N528" s="865"/>
      <c r="O528" s="865"/>
      <c r="P528" s="865"/>
      <c r="Q528" s="865"/>
      <c r="R528" s="865"/>
      <c r="S528" s="865"/>
      <c r="T528" s="865"/>
      <c r="U528" s="865"/>
      <c r="V528" s="865"/>
      <c r="W528" s="865"/>
      <c r="X528" s="865"/>
      <c r="Y528" s="865"/>
      <c r="Z528" s="921"/>
      <c r="AB528" s="1027"/>
      <c r="AC528" s="865"/>
      <c r="AD528" s="865"/>
      <c r="AE528" s="865"/>
      <c r="AF528" s="865"/>
      <c r="AG528" s="865"/>
      <c r="AH528" s="865"/>
      <c r="AI528" s="865"/>
      <c r="AJ528" s="865"/>
      <c r="AK528" s="865"/>
      <c r="AL528" s="865"/>
      <c r="AM528" s="865"/>
      <c r="AN528" s="865"/>
      <c r="AO528" s="865"/>
      <c r="AP528" s="865"/>
      <c r="AQ528" s="865"/>
      <c r="AR528" s="865"/>
      <c r="AS528" s="865"/>
      <c r="AT528" s="865"/>
      <c r="AU528" s="865"/>
      <c r="AV528" s="865"/>
      <c r="AW528" s="865"/>
      <c r="AX528" s="865"/>
      <c r="AY528" s="865"/>
      <c r="AZ528" s="921"/>
      <c r="BB528" s="644"/>
      <c r="BC528" s="645"/>
      <c r="BD528" s="645"/>
      <c r="BE528" s="645"/>
      <c r="BF528" s="645"/>
      <c r="BG528" s="645"/>
      <c r="BH528" s="1037"/>
      <c r="BI528" s="756"/>
      <c r="BJ528" s="757"/>
      <c r="BK528" s="757"/>
      <c r="BL528" s="757"/>
      <c r="BM528" s="757"/>
      <c r="BN528" s="757"/>
      <c r="BO528" s="757"/>
      <c r="BP528" s="757"/>
      <c r="BQ528" s="757"/>
      <c r="BR528" s="757"/>
      <c r="BS528" s="757"/>
      <c r="BT528" s="757"/>
      <c r="BU528" s="757"/>
      <c r="BV528" s="757"/>
      <c r="BW528" s="757"/>
      <c r="BX528" s="757"/>
      <c r="BY528" s="757"/>
      <c r="BZ528" s="758"/>
      <c r="CB528" s="644"/>
      <c r="CC528" s="645"/>
      <c r="CD528" s="645"/>
      <c r="CE528" s="645"/>
      <c r="CF528" s="645"/>
      <c r="CG528" s="645"/>
      <c r="CH528" s="1037"/>
      <c r="CI528" s="756"/>
      <c r="CJ528" s="757"/>
      <c r="CK528" s="757"/>
      <c r="CL528" s="757"/>
      <c r="CM528" s="757"/>
      <c r="CN528" s="757"/>
      <c r="CO528" s="757"/>
      <c r="CP528" s="757"/>
      <c r="CQ528" s="757"/>
      <c r="CR528" s="757"/>
      <c r="CS528" s="757"/>
      <c r="CT528" s="757"/>
      <c r="CU528" s="757"/>
      <c r="CV528" s="757"/>
      <c r="CW528" s="757"/>
      <c r="CX528" s="757"/>
      <c r="CY528" s="757"/>
      <c r="CZ528" s="758"/>
    </row>
    <row r="529" spans="1:104" x14ac:dyDescent="0.25">
      <c r="B529" s="1028" t="str">
        <f>IF(B530="","",VLOOKUP(B530,BoonRef!$A$2:$Z$900,2,FALSE))</f>
        <v/>
      </c>
      <c r="C529" s="725"/>
      <c r="D529" s="725"/>
      <c r="E529" s="725"/>
      <c r="F529" s="725"/>
      <c r="G529" s="725"/>
      <c r="H529" s="725"/>
      <c r="I529" s="725" t="str">
        <f>IF(B530="","",VLOOKUP(B530,BoonRef!$A$2:$Z$900,3,FALSE))</f>
        <v/>
      </c>
      <c r="J529" s="725"/>
      <c r="K529" s="725" t="str">
        <f>IF(B530="","",VLOOKUP(B530,DescRef!$A$2:$B$900,2,FALSE))</f>
        <v/>
      </c>
      <c r="L529" s="725"/>
      <c r="M529" s="725"/>
      <c r="N529" s="725"/>
      <c r="O529" s="725"/>
      <c r="P529" s="725"/>
      <c r="Q529" s="725"/>
      <c r="R529" s="725"/>
      <c r="S529" s="725"/>
      <c r="T529" s="725"/>
      <c r="U529" s="725"/>
      <c r="V529" s="725"/>
      <c r="W529" s="725"/>
      <c r="X529" s="725"/>
      <c r="Y529" s="725"/>
      <c r="Z529" s="726"/>
      <c r="AB529" s="1028" t="str">
        <f>IF(AB530="","",VLOOKUP(AB530,BoonRef!$A$2:$Z$900,2,FALSE))</f>
        <v/>
      </c>
      <c r="AC529" s="725"/>
      <c r="AD529" s="725"/>
      <c r="AE529" s="725"/>
      <c r="AF529" s="725"/>
      <c r="AG529" s="725"/>
      <c r="AH529" s="725"/>
      <c r="AI529" s="725" t="str">
        <f>IF(AB530="","",VLOOKUP(AB530,BoonRef!$A$2:$Z$900,3,FALSE))</f>
        <v/>
      </c>
      <c r="AJ529" s="725"/>
      <c r="AK529" s="725" t="str">
        <f>IF(AB530="","",VLOOKUP(AB530,DescRef!$A$2:$B$900,2,FALSE))</f>
        <v/>
      </c>
      <c r="AL529" s="725"/>
      <c r="AM529" s="725"/>
      <c r="AN529" s="725"/>
      <c r="AO529" s="725"/>
      <c r="AP529" s="725"/>
      <c r="AQ529" s="725"/>
      <c r="AR529" s="725"/>
      <c r="AS529" s="725"/>
      <c r="AT529" s="725"/>
      <c r="AU529" s="725"/>
      <c r="AV529" s="725"/>
      <c r="AW529" s="725"/>
      <c r="AX529" s="725"/>
      <c r="AY529" s="725"/>
      <c r="AZ529" s="726"/>
      <c r="BB529" s="1029" t="str">
        <f>IF(BB530="","",VLOOKUP(BB530,KanckRef!$A$1:$G$300,2,FALSE))</f>
        <v/>
      </c>
      <c r="BC529" s="1030"/>
      <c r="BD529" s="1030"/>
      <c r="BE529" s="1030"/>
      <c r="BF529" s="1031"/>
      <c r="BG529" s="1048" t="str">
        <f>IF(BB530="","",VLOOKUP(BB530,KanckRef!$A$1:$G$300,6,FALSE))</f>
        <v/>
      </c>
      <c r="BH529" s="1049"/>
      <c r="BI529" s="988" t="str">
        <f>IF(BB530="","",VLOOKUP(BB530,DescRef!$D$2:$E$300,2,FALSE))</f>
        <v/>
      </c>
      <c r="BJ529" s="795"/>
      <c r="BK529" s="795"/>
      <c r="BL529" s="795"/>
      <c r="BM529" s="795"/>
      <c r="BN529" s="795"/>
      <c r="BO529" s="795"/>
      <c r="BP529" s="795"/>
      <c r="BQ529" s="795"/>
      <c r="BR529" s="795"/>
      <c r="BS529" s="795"/>
      <c r="BT529" s="795"/>
      <c r="BU529" s="795"/>
      <c r="BV529" s="795"/>
      <c r="BW529" s="795"/>
      <c r="BX529" s="795"/>
      <c r="BY529" s="795"/>
      <c r="BZ529" s="796"/>
      <c r="CB529" s="1029" t="str">
        <f>IF(CB530="","",VLOOKUP(CB530,KanckRef!$A$1:$G$300,2,FALSE))</f>
        <v/>
      </c>
      <c r="CC529" s="1030"/>
      <c r="CD529" s="1030"/>
      <c r="CE529" s="1030"/>
      <c r="CF529" s="1031"/>
      <c r="CG529" s="1048" t="str">
        <f>IF(CB530="","",VLOOKUP(CB530,KanckRef!$A$1:$G$300,6,FALSE))</f>
        <v/>
      </c>
      <c r="CH529" s="1049"/>
      <c r="CI529" s="988" t="str">
        <f>IF(CB530="","",VLOOKUP(CB530,DescRef!$D$2:$E$300,2,FALSE))</f>
        <v/>
      </c>
      <c r="CJ529" s="795"/>
      <c r="CK529" s="795"/>
      <c r="CL529" s="795"/>
      <c r="CM529" s="795"/>
      <c r="CN529" s="795"/>
      <c r="CO529" s="795"/>
      <c r="CP529" s="795"/>
      <c r="CQ529" s="795"/>
      <c r="CR529" s="795"/>
      <c r="CS529" s="795"/>
      <c r="CT529" s="795"/>
      <c r="CU529" s="795"/>
      <c r="CV529" s="795"/>
      <c r="CW529" s="795"/>
      <c r="CX529" s="795"/>
      <c r="CY529" s="795"/>
      <c r="CZ529" s="796"/>
    </row>
    <row r="530" spans="1:104" ht="15" customHeight="1" x14ac:dyDescent="0.25">
      <c r="A530" s="15">
        <v>88</v>
      </c>
      <c r="B530" s="1026" t="str">
        <f>IF(A530&lt;'Purchased Boons'!$B$496,VLOOKUP(A530,'Purchased Boons'!$BF$2:$BG$900,2,FALSE),"")</f>
        <v/>
      </c>
      <c r="C530" s="727"/>
      <c r="D530" s="727"/>
      <c r="E530" s="727"/>
      <c r="F530" s="727"/>
      <c r="G530" s="727"/>
      <c r="H530" s="727"/>
      <c r="I530" s="727" t="str">
        <f>IF(B530="","",VLOOKUP(B530,BoonRef!$A$2:$Z$900,25,FALSE))</f>
        <v/>
      </c>
      <c r="J530" s="727"/>
      <c r="K530" s="727"/>
      <c r="L530" s="727"/>
      <c r="M530" s="727"/>
      <c r="N530" s="727"/>
      <c r="O530" s="727"/>
      <c r="P530" s="727"/>
      <c r="Q530" s="727"/>
      <c r="R530" s="727"/>
      <c r="S530" s="727"/>
      <c r="T530" s="727"/>
      <c r="U530" s="727"/>
      <c r="V530" s="727"/>
      <c r="W530" s="727"/>
      <c r="X530" s="727"/>
      <c r="Y530" s="727"/>
      <c r="Z530" s="728"/>
      <c r="AA530" s="15">
        <v>195</v>
      </c>
      <c r="AB530" s="1026" t="str">
        <f>IF(AA530&lt;'Purchased Boons'!$B$496,VLOOKUP(AA530,'Purchased Boons'!$BF$2:$BG$900,2,FALSE),"")</f>
        <v/>
      </c>
      <c r="AC530" s="727"/>
      <c r="AD530" s="727"/>
      <c r="AE530" s="727"/>
      <c r="AF530" s="727"/>
      <c r="AG530" s="727"/>
      <c r="AH530" s="727"/>
      <c r="AI530" s="727" t="str">
        <f>IF(AB530="","",VLOOKUP(AB530,BoonRef!$A$2:$Z$900,25,FALSE))</f>
        <v/>
      </c>
      <c r="AJ530" s="727"/>
      <c r="AK530" s="727"/>
      <c r="AL530" s="727"/>
      <c r="AM530" s="727"/>
      <c r="AN530" s="727"/>
      <c r="AO530" s="727"/>
      <c r="AP530" s="727"/>
      <c r="AQ530" s="727"/>
      <c r="AR530" s="727"/>
      <c r="AS530" s="727"/>
      <c r="AT530" s="727"/>
      <c r="AU530" s="727"/>
      <c r="AV530" s="727"/>
      <c r="AW530" s="727"/>
      <c r="AX530" s="727"/>
      <c r="AY530" s="727"/>
      <c r="AZ530" s="728"/>
      <c r="BA530" s="15">
        <v>88</v>
      </c>
      <c r="BB530" s="1038" t="str">
        <f>IF(BA530&lt;'Purchased Knacks'!A$192,VLOOKUP(BA530,'Purchased Knacks'!$A$4:$E$300,3,FALSE),"")</f>
        <v/>
      </c>
      <c r="BC530" s="1039"/>
      <c r="BD530" s="1039"/>
      <c r="BE530" s="1039"/>
      <c r="BF530" s="1040"/>
      <c r="BG530" s="1032" t="str">
        <f>IF(BB530="","",VLOOKUP(BB530,KanckRef!$A$1:$G$300,7,FALSE))</f>
        <v/>
      </c>
      <c r="BH530" s="1033"/>
      <c r="BI530" s="753"/>
      <c r="BJ530" s="754"/>
      <c r="BK530" s="754"/>
      <c r="BL530" s="754"/>
      <c r="BM530" s="754"/>
      <c r="BN530" s="754"/>
      <c r="BO530" s="754"/>
      <c r="BP530" s="754"/>
      <c r="BQ530" s="754"/>
      <c r="BR530" s="754"/>
      <c r="BS530" s="754"/>
      <c r="BT530" s="754"/>
      <c r="BU530" s="754"/>
      <c r="BV530" s="754"/>
      <c r="BW530" s="754"/>
      <c r="BX530" s="754"/>
      <c r="BY530" s="754"/>
      <c r="BZ530" s="755"/>
      <c r="CA530" s="15">
        <v>195</v>
      </c>
      <c r="CB530" s="1038" t="str">
        <f>IF(CA530&lt;'Purchased Knacks'!A$192,VLOOKUP(CA530,'Purchased Knacks'!$A$4:$E$300,3,FALSE),"")</f>
        <v/>
      </c>
      <c r="CC530" s="1039"/>
      <c r="CD530" s="1039"/>
      <c r="CE530" s="1039"/>
      <c r="CF530" s="1040"/>
      <c r="CG530" s="1032" t="str">
        <f>IF(CB530="","",VLOOKUP(CB530,KanckRef!$A$1:$G$300,7,FALSE))</f>
        <v/>
      </c>
      <c r="CH530" s="1033"/>
      <c r="CI530" s="753"/>
      <c r="CJ530" s="754"/>
      <c r="CK530" s="754"/>
      <c r="CL530" s="754"/>
      <c r="CM530" s="754"/>
      <c r="CN530" s="754"/>
      <c r="CO530" s="754"/>
      <c r="CP530" s="754"/>
      <c r="CQ530" s="754"/>
      <c r="CR530" s="754"/>
      <c r="CS530" s="754"/>
      <c r="CT530" s="754"/>
      <c r="CU530" s="754"/>
      <c r="CV530" s="754"/>
      <c r="CW530" s="754"/>
      <c r="CX530" s="754"/>
      <c r="CY530" s="754"/>
      <c r="CZ530" s="755"/>
    </row>
    <row r="531" spans="1:104" x14ac:dyDescent="0.25">
      <c r="B531" s="1026"/>
      <c r="C531" s="727"/>
      <c r="D531" s="727"/>
      <c r="E531" s="727"/>
      <c r="F531" s="727"/>
      <c r="G531" s="727"/>
      <c r="H531" s="727"/>
      <c r="I531" s="727" t="str">
        <f>IF(B530="","",VLOOKUP(B530,BoonRef!$A$2:$Z$900,26,FALSE))</f>
        <v/>
      </c>
      <c r="J531" s="727"/>
      <c r="K531" s="727"/>
      <c r="L531" s="727"/>
      <c r="M531" s="727"/>
      <c r="N531" s="727"/>
      <c r="O531" s="727"/>
      <c r="P531" s="727"/>
      <c r="Q531" s="727"/>
      <c r="R531" s="727"/>
      <c r="S531" s="727"/>
      <c r="T531" s="727"/>
      <c r="U531" s="727"/>
      <c r="V531" s="727"/>
      <c r="W531" s="727"/>
      <c r="X531" s="727"/>
      <c r="Y531" s="727"/>
      <c r="Z531" s="728"/>
      <c r="AB531" s="1026"/>
      <c r="AC531" s="727"/>
      <c r="AD531" s="727"/>
      <c r="AE531" s="727"/>
      <c r="AF531" s="727"/>
      <c r="AG531" s="727"/>
      <c r="AH531" s="727"/>
      <c r="AI531" s="727" t="str">
        <f>IF(AB530="","",VLOOKUP(AB530,BoonRef!$A$2:$Z$900,26,FALSE))</f>
        <v/>
      </c>
      <c r="AJ531" s="727"/>
      <c r="AK531" s="727"/>
      <c r="AL531" s="727"/>
      <c r="AM531" s="727"/>
      <c r="AN531" s="727"/>
      <c r="AO531" s="727"/>
      <c r="AP531" s="727"/>
      <c r="AQ531" s="727"/>
      <c r="AR531" s="727"/>
      <c r="AS531" s="727"/>
      <c r="AT531" s="727"/>
      <c r="AU531" s="727"/>
      <c r="AV531" s="727"/>
      <c r="AW531" s="727"/>
      <c r="AX531" s="727"/>
      <c r="AY531" s="727"/>
      <c r="AZ531" s="728"/>
      <c r="BB531" s="1041"/>
      <c r="BC531" s="1042"/>
      <c r="BD531" s="1042"/>
      <c r="BE531" s="1042"/>
      <c r="BF531" s="1043"/>
      <c r="BG531" s="1034"/>
      <c r="BH531" s="1035"/>
      <c r="BI531" s="753"/>
      <c r="BJ531" s="754"/>
      <c r="BK531" s="754"/>
      <c r="BL531" s="754"/>
      <c r="BM531" s="754"/>
      <c r="BN531" s="754"/>
      <c r="BO531" s="754"/>
      <c r="BP531" s="754"/>
      <c r="BQ531" s="754"/>
      <c r="BR531" s="754"/>
      <c r="BS531" s="754"/>
      <c r="BT531" s="754"/>
      <c r="BU531" s="754"/>
      <c r="BV531" s="754"/>
      <c r="BW531" s="754"/>
      <c r="BX531" s="754"/>
      <c r="BY531" s="754"/>
      <c r="BZ531" s="755"/>
      <c r="CB531" s="1041"/>
      <c r="CC531" s="1042"/>
      <c r="CD531" s="1042"/>
      <c r="CE531" s="1042"/>
      <c r="CF531" s="1043"/>
      <c r="CG531" s="1034"/>
      <c r="CH531" s="1035"/>
      <c r="CI531" s="753"/>
      <c r="CJ531" s="754"/>
      <c r="CK531" s="754"/>
      <c r="CL531" s="754"/>
      <c r="CM531" s="754"/>
      <c r="CN531" s="754"/>
      <c r="CO531" s="754"/>
      <c r="CP531" s="754"/>
      <c r="CQ531" s="754"/>
      <c r="CR531" s="754"/>
      <c r="CS531" s="754"/>
      <c r="CT531" s="754"/>
      <c r="CU531" s="754"/>
      <c r="CV531" s="754"/>
      <c r="CW531" s="754"/>
      <c r="CX531" s="754"/>
      <c r="CY531" s="754"/>
      <c r="CZ531" s="755"/>
    </row>
    <row r="532" spans="1:104" x14ac:dyDescent="0.25">
      <c r="B532" s="1026" t="str">
        <f>IF(B530="","",VLOOKUP(B530,BoonRef!$A$2:$Z$900,24,FALSE))</f>
        <v/>
      </c>
      <c r="C532" s="727"/>
      <c r="D532" s="727"/>
      <c r="E532" s="727"/>
      <c r="F532" s="727"/>
      <c r="G532" s="727"/>
      <c r="H532" s="727"/>
      <c r="I532" s="727"/>
      <c r="J532" s="727"/>
      <c r="K532" s="727"/>
      <c r="L532" s="727"/>
      <c r="M532" s="727"/>
      <c r="N532" s="727"/>
      <c r="O532" s="727"/>
      <c r="P532" s="727"/>
      <c r="Q532" s="727"/>
      <c r="R532" s="727"/>
      <c r="S532" s="727"/>
      <c r="T532" s="727"/>
      <c r="U532" s="727"/>
      <c r="V532" s="727"/>
      <c r="W532" s="727"/>
      <c r="X532" s="727"/>
      <c r="Y532" s="727"/>
      <c r="Z532" s="728"/>
      <c r="AB532" s="1026" t="str">
        <f>IF(AB530="","",VLOOKUP(AB530,BoonRef!$A$2:$Z$900,24,FALSE))</f>
        <v/>
      </c>
      <c r="AC532" s="727"/>
      <c r="AD532" s="727"/>
      <c r="AE532" s="727"/>
      <c r="AF532" s="727"/>
      <c r="AG532" s="727"/>
      <c r="AH532" s="727"/>
      <c r="AI532" s="727"/>
      <c r="AJ532" s="727"/>
      <c r="AK532" s="727"/>
      <c r="AL532" s="727"/>
      <c r="AM532" s="727"/>
      <c r="AN532" s="727"/>
      <c r="AO532" s="727"/>
      <c r="AP532" s="727"/>
      <c r="AQ532" s="727"/>
      <c r="AR532" s="727"/>
      <c r="AS532" s="727"/>
      <c r="AT532" s="727"/>
      <c r="AU532" s="727"/>
      <c r="AV532" s="727"/>
      <c r="AW532" s="727"/>
      <c r="AX532" s="727"/>
      <c r="AY532" s="727"/>
      <c r="AZ532" s="728"/>
      <c r="BB532" s="641" t="str">
        <f>IF(BB530="","",VLOOKUP(BB530,KanckRef!$A$1:$G$300,4,FALSE))</f>
        <v/>
      </c>
      <c r="BC532" s="642"/>
      <c r="BD532" s="642"/>
      <c r="BE532" s="642"/>
      <c r="BF532" s="642"/>
      <c r="BG532" s="642"/>
      <c r="BH532" s="1033"/>
      <c r="BI532" s="753"/>
      <c r="BJ532" s="754"/>
      <c r="BK532" s="754"/>
      <c r="BL532" s="754"/>
      <c r="BM532" s="754"/>
      <c r="BN532" s="754"/>
      <c r="BO532" s="754"/>
      <c r="BP532" s="754"/>
      <c r="BQ532" s="754"/>
      <c r="BR532" s="754"/>
      <c r="BS532" s="754"/>
      <c r="BT532" s="754"/>
      <c r="BU532" s="754"/>
      <c r="BV532" s="754"/>
      <c r="BW532" s="754"/>
      <c r="BX532" s="754"/>
      <c r="BY532" s="754"/>
      <c r="BZ532" s="755"/>
      <c r="CB532" s="641" t="str">
        <f>IF(CB530="","",VLOOKUP(CB530,KanckRef!$A$1:$G$300,4,FALSE))</f>
        <v/>
      </c>
      <c r="CC532" s="642"/>
      <c r="CD532" s="642"/>
      <c r="CE532" s="642"/>
      <c r="CF532" s="642"/>
      <c r="CG532" s="642"/>
      <c r="CH532" s="1033"/>
      <c r="CI532" s="753"/>
      <c r="CJ532" s="754"/>
      <c r="CK532" s="754"/>
      <c r="CL532" s="754"/>
      <c r="CM532" s="754"/>
      <c r="CN532" s="754"/>
      <c r="CO532" s="754"/>
      <c r="CP532" s="754"/>
      <c r="CQ532" s="754"/>
      <c r="CR532" s="754"/>
      <c r="CS532" s="754"/>
      <c r="CT532" s="754"/>
      <c r="CU532" s="754"/>
      <c r="CV532" s="754"/>
      <c r="CW532" s="754"/>
      <c r="CX532" s="754"/>
      <c r="CY532" s="754"/>
      <c r="CZ532" s="755"/>
    </row>
    <row r="533" spans="1:104" x14ac:dyDescent="0.25">
      <c r="B533" s="1026" t="str">
        <f>IF(B530="","",VLOOKUP(B530,BoonRef!$A$2:$Z$900,23,FALSE))</f>
        <v/>
      </c>
      <c r="C533" s="727"/>
      <c r="D533" s="727"/>
      <c r="E533" s="727"/>
      <c r="F533" s="727"/>
      <c r="G533" s="727"/>
      <c r="H533" s="727"/>
      <c r="I533" s="727"/>
      <c r="J533" s="727"/>
      <c r="K533" s="727"/>
      <c r="L533" s="727"/>
      <c r="M533" s="727"/>
      <c r="N533" s="727"/>
      <c r="O533" s="727"/>
      <c r="P533" s="727"/>
      <c r="Q533" s="727"/>
      <c r="R533" s="727"/>
      <c r="S533" s="727"/>
      <c r="T533" s="727"/>
      <c r="U533" s="727"/>
      <c r="V533" s="727"/>
      <c r="W533" s="727"/>
      <c r="X533" s="727"/>
      <c r="Y533" s="727"/>
      <c r="Z533" s="728"/>
      <c r="AB533" s="1026" t="str">
        <f>IF(AB530="","",VLOOKUP(AB530,BoonRef!$A$2:$Z$900,23,FALSE))</f>
        <v/>
      </c>
      <c r="AC533" s="727"/>
      <c r="AD533" s="727"/>
      <c r="AE533" s="727"/>
      <c r="AF533" s="727"/>
      <c r="AG533" s="727"/>
      <c r="AH533" s="727"/>
      <c r="AI533" s="727"/>
      <c r="AJ533" s="727"/>
      <c r="AK533" s="727"/>
      <c r="AL533" s="727"/>
      <c r="AM533" s="727"/>
      <c r="AN533" s="727"/>
      <c r="AO533" s="727"/>
      <c r="AP533" s="727"/>
      <c r="AQ533" s="727"/>
      <c r="AR533" s="727"/>
      <c r="AS533" s="727"/>
      <c r="AT533" s="727"/>
      <c r="AU533" s="727"/>
      <c r="AV533" s="727"/>
      <c r="AW533" s="727"/>
      <c r="AX533" s="727"/>
      <c r="AY533" s="727"/>
      <c r="AZ533" s="728"/>
      <c r="BB533" s="635"/>
      <c r="BC533" s="636"/>
      <c r="BD533" s="636"/>
      <c r="BE533" s="636"/>
      <c r="BF533" s="636"/>
      <c r="BG533" s="636"/>
      <c r="BH533" s="1036"/>
      <c r="BI533" s="753"/>
      <c r="BJ533" s="754"/>
      <c r="BK533" s="754"/>
      <c r="BL533" s="754"/>
      <c r="BM533" s="754"/>
      <c r="BN533" s="754"/>
      <c r="BO533" s="754"/>
      <c r="BP533" s="754"/>
      <c r="BQ533" s="754"/>
      <c r="BR533" s="754"/>
      <c r="BS533" s="754"/>
      <c r="BT533" s="754"/>
      <c r="BU533" s="754"/>
      <c r="BV533" s="754"/>
      <c r="BW533" s="754"/>
      <c r="BX533" s="754"/>
      <c r="BY533" s="754"/>
      <c r="BZ533" s="755"/>
      <c r="CB533" s="635"/>
      <c r="CC533" s="636"/>
      <c r="CD533" s="636"/>
      <c r="CE533" s="636"/>
      <c r="CF533" s="636"/>
      <c r="CG533" s="636"/>
      <c r="CH533" s="1036"/>
      <c r="CI533" s="753"/>
      <c r="CJ533" s="754"/>
      <c r="CK533" s="754"/>
      <c r="CL533" s="754"/>
      <c r="CM533" s="754"/>
      <c r="CN533" s="754"/>
      <c r="CO533" s="754"/>
      <c r="CP533" s="754"/>
      <c r="CQ533" s="754"/>
      <c r="CR533" s="754"/>
      <c r="CS533" s="754"/>
      <c r="CT533" s="754"/>
      <c r="CU533" s="754"/>
      <c r="CV533" s="754"/>
      <c r="CW533" s="754"/>
      <c r="CX533" s="754"/>
      <c r="CY533" s="754"/>
      <c r="CZ533" s="755"/>
    </row>
    <row r="534" spans="1:104" ht="15.75" thickBot="1" x14ac:dyDescent="0.3">
      <c r="B534" s="1027"/>
      <c r="C534" s="865"/>
      <c r="D534" s="865"/>
      <c r="E534" s="865"/>
      <c r="F534" s="865"/>
      <c r="G534" s="865"/>
      <c r="H534" s="865"/>
      <c r="I534" s="865"/>
      <c r="J534" s="865"/>
      <c r="K534" s="865"/>
      <c r="L534" s="865"/>
      <c r="M534" s="865"/>
      <c r="N534" s="865"/>
      <c r="O534" s="865"/>
      <c r="P534" s="865"/>
      <c r="Q534" s="865"/>
      <c r="R534" s="865"/>
      <c r="S534" s="865"/>
      <c r="T534" s="865"/>
      <c r="U534" s="865"/>
      <c r="V534" s="865"/>
      <c r="W534" s="865"/>
      <c r="X534" s="865"/>
      <c r="Y534" s="865"/>
      <c r="Z534" s="921"/>
      <c r="AB534" s="1027"/>
      <c r="AC534" s="865"/>
      <c r="AD534" s="865"/>
      <c r="AE534" s="865"/>
      <c r="AF534" s="865"/>
      <c r="AG534" s="865"/>
      <c r="AH534" s="865"/>
      <c r="AI534" s="865"/>
      <c r="AJ534" s="865"/>
      <c r="AK534" s="865"/>
      <c r="AL534" s="865"/>
      <c r="AM534" s="865"/>
      <c r="AN534" s="865"/>
      <c r="AO534" s="865"/>
      <c r="AP534" s="865"/>
      <c r="AQ534" s="865"/>
      <c r="AR534" s="865"/>
      <c r="AS534" s="865"/>
      <c r="AT534" s="865"/>
      <c r="AU534" s="865"/>
      <c r="AV534" s="865"/>
      <c r="AW534" s="865"/>
      <c r="AX534" s="865"/>
      <c r="AY534" s="865"/>
      <c r="AZ534" s="921"/>
      <c r="BB534" s="644"/>
      <c r="BC534" s="645"/>
      <c r="BD534" s="645"/>
      <c r="BE534" s="645"/>
      <c r="BF534" s="645"/>
      <c r="BG534" s="645"/>
      <c r="BH534" s="1037"/>
      <c r="BI534" s="756"/>
      <c r="BJ534" s="757"/>
      <c r="BK534" s="757"/>
      <c r="BL534" s="757"/>
      <c r="BM534" s="757"/>
      <c r="BN534" s="757"/>
      <c r="BO534" s="757"/>
      <c r="BP534" s="757"/>
      <c r="BQ534" s="757"/>
      <c r="BR534" s="757"/>
      <c r="BS534" s="757"/>
      <c r="BT534" s="757"/>
      <c r="BU534" s="757"/>
      <c r="BV534" s="757"/>
      <c r="BW534" s="757"/>
      <c r="BX534" s="757"/>
      <c r="BY534" s="757"/>
      <c r="BZ534" s="758"/>
      <c r="CB534" s="644"/>
      <c r="CC534" s="645"/>
      <c r="CD534" s="645"/>
      <c r="CE534" s="645"/>
      <c r="CF534" s="645"/>
      <c r="CG534" s="645"/>
      <c r="CH534" s="1037"/>
      <c r="CI534" s="756"/>
      <c r="CJ534" s="757"/>
      <c r="CK534" s="757"/>
      <c r="CL534" s="757"/>
      <c r="CM534" s="757"/>
      <c r="CN534" s="757"/>
      <c r="CO534" s="757"/>
      <c r="CP534" s="757"/>
      <c r="CQ534" s="757"/>
      <c r="CR534" s="757"/>
      <c r="CS534" s="757"/>
      <c r="CT534" s="757"/>
      <c r="CU534" s="757"/>
      <c r="CV534" s="757"/>
      <c r="CW534" s="757"/>
      <c r="CX534" s="757"/>
      <c r="CY534" s="757"/>
      <c r="CZ534" s="758"/>
    </row>
    <row r="535" spans="1:104" x14ac:dyDescent="0.25">
      <c r="B535" s="1028" t="str">
        <f>IF(B536="","",VLOOKUP(B536,BoonRef!$A$2:$Z$900,2,FALSE))</f>
        <v/>
      </c>
      <c r="C535" s="725"/>
      <c r="D535" s="725"/>
      <c r="E535" s="725"/>
      <c r="F535" s="725"/>
      <c r="G535" s="725"/>
      <c r="H535" s="725"/>
      <c r="I535" s="725" t="str">
        <f>IF(B536="","",VLOOKUP(B536,BoonRef!$A$2:$Z$900,3,FALSE))</f>
        <v/>
      </c>
      <c r="J535" s="725"/>
      <c r="K535" s="725" t="str">
        <f>IF(B536="","",VLOOKUP(B536,DescRef!$A$2:$B$900,2,FALSE))</f>
        <v/>
      </c>
      <c r="L535" s="725"/>
      <c r="M535" s="725"/>
      <c r="N535" s="725"/>
      <c r="O535" s="725"/>
      <c r="P535" s="725"/>
      <c r="Q535" s="725"/>
      <c r="R535" s="725"/>
      <c r="S535" s="725"/>
      <c r="T535" s="725"/>
      <c r="U535" s="725"/>
      <c r="V535" s="725"/>
      <c r="W535" s="725"/>
      <c r="X535" s="725"/>
      <c r="Y535" s="725"/>
      <c r="Z535" s="726"/>
      <c r="AB535" s="1028" t="str">
        <f>IF(AB536="","",VLOOKUP(AB536,BoonRef!$A$2:$Z$900,2,FALSE))</f>
        <v/>
      </c>
      <c r="AC535" s="725"/>
      <c r="AD535" s="725"/>
      <c r="AE535" s="725"/>
      <c r="AF535" s="725"/>
      <c r="AG535" s="725"/>
      <c r="AH535" s="725"/>
      <c r="AI535" s="725" t="str">
        <f>IF(AB536="","",VLOOKUP(AB536,BoonRef!$A$2:$Z$900,3,FALSE))</f>
        <v/>
      </c>
      <c r="AJ535" s="725"/>
      <c r="AK535" s="725" t="str">
        <f>IF(AB536="","",VLOOKUP(AB536,DescRef!$A$2:$B$900,2,FALSE))</f>
        <v/>
      </c>
      <c r="AL535" s="725"/>
      <c r="AM535" s="725"/>
      <c r="AN535" s="725"/>
      <c r="AO535" s="725"/>
      <c r="AP535" s="725"/>
      <c r="AQ535" s="725"/>
      <c r="AR535" s="725"/>
      <c r="AS535" s="725"/>
      <c r="AT535" s="725"/>
      <c r="AU535" s="725"/>
      <c r="AV535" s="725"/>
      <c r="AW535" s="725"/>
      <c r="AX535" s="725"/>
      <c r="AY535" s="725"/>
      <c r="AZ535" s="726"/>
      <c r="BB535" s="1029" t="str">
        <f>IF(BB536="","",VLOOKUP(BB536,KanckRef!$A$1:$G$300,2,FALSE))</f>
        <v/>
      </c>
      <c r="BC535" s="1030"/>
      <c r="BD535" s="1030"/>
      <c r="BE535" s="1030"/>
      <c r="BF535" s="1031"/>
      <c r="BG535" s="1048" t="str">
        <f>IF(BB536="","",VLOOKUP(BB536,KanckRef!$A$1:$G$300,6,FALSE))</f>
        <v/>
      </c>
      <c r="BH535" s="1049"/>
      <c r="BI535" s="988" t="str">
        <f>IF(BB536="","",VLOOKUP(BB536,DescRef!$D$2:$E$300,2,FALSE))</f>
        <v/>
      </c>
      <c r="BJ535" s="795"/>
      <c r="BK535" s="795"/>
      <c r="BL535" s="795"/>
      <c r="BM535" s="795"/>
      <c r="BN535" s="795"/>
      <c r="BO535" s="795"/>
      <c r="BP535" s="795"/>
      <c r="BQ535" s="795"/>
      <c r="BR535" s="795"/>
      <c r="BS535" s="795"/>
      <c r="BT535" s="795"/>
      <c r="BU535" s="795"/>
      <c r="BV535" s="795"/>
      <c r="BW535" s="795"/>
      <c r="BX535" s="795"/>
      <c r="BY535" s="795"/>
      <c r="BZ535" s="796"/>
      <c r="CB535" s="1029" t="str">
        <f>IF(CB536="","",VLOOKUP(CB536,KanckRef!$A$1:$G$300,2,FALSE))</f>
        <v/>
      </c>
      <c r="CC535" s="1030"/>
      <c r="CD535" s="1030"/>
      <c r="CE535" s="1030"/>
      <c r="CF535" s="1031"/>
      <c r="CG535" s="1048" t="str">
        <f>IF(CB536="","",VLOOKUP(CB536,KanckRef!$A$1:$G$300,6,FALSE))</f>
        <v/>
      </c>
      <c r="CH535" s="1049"/>
      <c r="CI535" s="988" t="str">
        <f>IF(CB536="","",VLOOKUP(CB536,DescRef!$D$2:$E$300,2,FALSE))</f>
        <v/>
      </c>
      <c r="CJ535" s="795"/>
      <c r="CK535" s="795"/>
      <c r="CL535" s="795"/>
      <c r="CM535" s="795"/>
      <c r="CN535" s="795"/>
      <c r="CO535" s="795"/>
      <c r="CP535" s="795"/>
      <c r="CQ535" s="795"/>
      <c r="CR535" s="795"/>
      <c r="CS535" s="795"/>
      <c r="CT535" s="795"/>
      <c r="CU535" s="795"/>
      <c r="CV535" s="795"/>
      <c r="CW535" s="795"/>
      <c r="CX535" s="795"/>
      <c r="CY535" s="795"/>
      <c r="CZ535" s="796"/>
    </row>
    <row r="536" spans="1:104" ht="15" customHeight="1" x14ac:dyDescent="0.25">
      <c r="A536" s="15">
        <v>89</v>
      </c>
      <c r="B536" s="1026" t="str">
        <f>IF(A536&lt;'Purchased Boons'!$B$496,VLOOKUP(A536,'Purchased Boons'!$BF$2:$BG$900,2,FALSE),"")</f>
        <v/>
      </c>
      <c r="C536" s="727"/>
      <c r="D536" s="727"/>
      <c r="E536" s="727"/>
      <c r="F536" s="727"/>
      <c r="G536" s="727"/>
      <c r="H536" s="727"/>
      <c r="I536" s="727" t="str">
        <f>IF(B536="","",VLOOKUP(B536,BoonRef!$A$2:$Z$900,25,FALSE))</f>
        <v/>
      </c>
      <c r="J536" s="727"/>
      <c r="K536" s="727"/>
      <c r="L536" s="727"/>
      <c r="M536" s="727"/>
      <c r="N536" s="727"/>
      <c r="O536" s="727"/>
      <c r="P536" s="727"/>
      <c r="Q536" s="727"/>
      <c r="R536" s="727"/>
      <c r="S536" s="727"/>
      <c r="T536" s="727"/>
      <c r="U536" s="727"/>
      <c r="V536" s="727"/>
      <c r="W536" s="727"/>
      <c r="X536" s="727"/>
      <c r="Y536" s="727"/>
      <c r="Z536" s="728"/>
      <c r="AA536" s="15">
        <v>196</v>
      </c>
      <c r="AB536" s="1026" t="str">
        <f>IF(AA536&lt;'Purchased Boons'!$B$496,VLOOKUP(AA536,'Purchased Boons'!$BF$2:$BG$900,2,FALSE),"")</f>
        <v/>
      </c>
      <c r="AC536" s="727"/>
      <c r="AD536" s="727"/>
      <c r="AE536" s="727"/>
      <c r="AF536" s="727"/>
      <c r="AG536" s="727"/>
      <c r="AH536" s="727"/>
      <c r="AI536" s="727" t="str">
        <f>IF(AB536="","",VLOOKUP(AB536,BoonRef!$A$2:$Z$900,25,FALSE))</f>
        <v/>
      </c>
      <c r="AJ536" s="727"/>
      <c r="AK536" s="727"/>
      <c r="AL536" s="727"/>
      <c r="AM536" s="727"/>
      <c r="AN536" s="727"/>
      <c r="AO536" s="727"/>
      <c r="AP536" s="727"/>
      <c r="AQ536" s="727"/>
      <c r="AR536" s="727"/>
      <c r="AS536" s="727"/>
      <c r="AT536" s="727"/>
      <c r="AU536" s="727"/>
      <c r="AV536" s="727"/>
      <c r="AW536" s="727"/>
      <c r="AX536" s="727"/>
      <c r="AY536" s="727"/>
      <c r="AZ536" s="728"/>
      <c r="BA536" s="15">
        <v>89</v>
      </c>
      <c r="BB536" s="1038" t="str">
        <f>IF(BA536&lt;'Purchased Knacks'!A$192,VLOOKUP(BA536,'Purchased Knacks'!$A$4:$E$300,3,FALSE),"")</f>
        <v/>
      </c>
      <c r="BC536" s="1039"/>
      <c r="BD536" s="1039"/>
      <c r="BE536" s="1039"/>
      <c r="BF536" s="1040"/>
      <c r="BG536" s="1032" t="str">
        <f>IF(BB536="","",VLOOKUP(BB536,KanckRef!$A$1:$G$300,7,FALSE))</f>
        <v/>
      </c>
      <c r="BH536" s="1033"/>
      <c r="BI536" s="753"/>
      <c r="BJ536" s="754"/>
      <c r="BK536" s="754"/>
      <c r="BL536" s="754"/>
      <c r="BM536" s="754"/>
      <c r="BN536" s="754"/>
      <c r="BO536" s="754"/>
      <c r="BP536" s="754"/>
      <c r="BQ536" s="754"/>
      <c r="BR536" s="754"/>
      <c r="BS536" s="754"/>
      <c r="BT536" s="754"/>
      <c r="BU536" s="754"/>
      <c r="BV536" s="754"/>
      <c r="BW536" s="754"/>
      <c r="BX536" s="754"/>
      <c r="BY536" s="754"/>
      <c r="BZ536" s="755"/>
      <c r="CA536" s="15">
        <v>196</v>
      </c>
      <c r="CB536" s="1038" t="str">
        <f>IF(CA536&lt;'Purchased Knacks'!A$192,VLOOKUP(CA536,'Purchased Knacks'!$A$4:$E$300,3,FALSE),"")</f>
        <v/>
      </c>
      <c r="CC536" s="1039"/>
      <c r="CD536" s="1039"/>
      <c r="CE536" s="1039"/>
      <c r="CF536" s="1040"/>
      <c r="CG536" s="1032" t="str">
        <f>IF(CB536="","",VLOOKUP(CB536,KanckRef!$A$1:$G$300,7,FALSE))</f>
        <v/>
      </c>
      <c r="CH536" s="1033"/>
      <c r="CI536" s="753"/>
      <c r="CJ536" s="754"/>
      <c r="CK536" s="754"/>
      <c r="CL536" s="754"/>
      <c r="CM536" s="754"/>
      <c r="CN536" s="754"/>
      <c r="CO536" s="754"/>
      <c r="CP536" s="754"/>
      <c r="CQ536" s="754"/>
      <c r="CR536" s="754"/>
      <c r="CS536" s="754"/>
      <c r="CT536" s="754"/>
      <c r="CU536" s="754"/>
      <c r="CV536" s="754"/>
      <c r="CW536" s="754"/>
      <c r="CX536" s="754"/>
      <c r="CY536" s="754"/>
      <c r="CZ536" s="755"/>
    </row>
    <row r="537" spans="1:104" x14ac:dyDescent="0.25">
      <c r="B537" s="1026"/>
      <c r="C537" s="727"/>
      <c r="D537" s="727"/>
      <c r="E537" s="727"/>
      <c r="F537" s="727"/>
      <c r="G537" s="727"/>
      <c r="H537" s="727"/>
      <c r="I537" s="727" t="str">
        <f>IF(B536="","",VLOOKUP(B536,BoonRef!$A$2:$Z$900,26,FALSE))</f>
        <v/>
      </c>
      <c r="J537" s="727"/>
      <c r="K537" s="727"/>
      <c r="L537" s="727"/>
      <c r="M537" s="727"/>
      <c r="N537" s="727"/>
      <c r="O537" s="727"/>
      <c r="P537" s="727"/>
      <c r="Q537" s="727"/>
      <c r="R537" s="727"/>
      <c r="S537" s="727"/>
      <c r="T537" s="727"/>
      <c r="U537" s="727"/>
      <c r="V537" s="727"/>
      <c r="W537" s="727"/>
      <c r="X537" s="727"/>
      <c r="Y537" s="727"/>
      <c r="Z537" s="728"/>
      <c r="AB537" s="1026"/>
      <c r="AC537" s="727"/>
      <c r="AD537" s="727"/>
      <c r="AE537" s="727"/>
      <c r="AF537" s="727"/>
      <c r="AG537" s="727"/>
      <c r="AH537" s="727"/>
      <c r="AI537" s="727" t="str">
        <f>IF(AB536="","",VLOOKUP(AB536,BoonRef!$A$2:$Z$900,26,FALSE))</f>
        <v/>
      </c>
      <c r="AJ537" s="727"/>
      <c r="AK537" s="727"/>
      <c r="AL537" s="727"/>
      <c r="AM537" s="727"/>
      <c r="AN537" s="727"/>
      <c r="AO537" s="727"/>
      <c r="AP537" s="727"/>
      <c r="AQ537" s="727"/>
      <c r="AR537" s="727"/>
      <c r="AS537" s="727"/>
      <c r="AT537" s="727"/>
      <c r="AU537" s="727"/>
      <c r="AV537" s="727"/>
      <c r="AW537" s="727"/>
      <c r="AX537" s="727"/>
      <c r="AY537" s="727"/>
      <c r="AZ537" s="728"/>
      <c r="BB537" s="1041"/>
      <c r="BC537" s="1042"/>
      <c r="BD537" s="1042"/>
      <c r="BE537" s="1042"/>
      <c r="BF537" s="1043"/>
      <c r="BG537" s="1034"/>
      <c r="BH537" s="1035"/>
      <c r="BI537" s="753"/>
      <c r="BJ537" s="754"/>
      <c r="BK537" s="754"/>
      <c r="BL537" s="754"/>
      <c r="BM537" s="754"/>
      <c r="BN537" s="754"/>
      <c r="BO537" s="754"/>
      <c r="BP537" s="754"/>
      <c r="BQ537" s="754"/>
      <c r="BR537" s="754"/>
      <c r="BS537" s="754"/>
      <c r="BT537" s="754"/>
      <c r="BU537" s="754"/>
      <c r="BV537" s="754"/>
      <c r="BW537" s="754"/>
      <c r="BX537" s="754"/>
      <c r="BY537" s="754"/>
      <c r="BZ537" s="755"/>
      <c r="CB537" s="1041"/>
      <c r="CC537" s="1042"/>
      <c r="CD537" s="1042"/>
      <c r="CE537" s="1042"/>
      <c r="CF537" s="1043"/>
      <c r="CG537" s="1034"/>
      <c r="CH537" s="1035"/>
      <c r="CI537" s="753"/>
      <c r="CJ537" s="754"/>
      <c r="CK537" s="754"/>
      <c r="CL537" s="754"/>
      <c r="CM537" s="754"/>
      <c r="CN537" s="754"/>
      <c r="CO537" s="754"/>
      <c r="CP537" s="754"/>
      <c r="CQ537" s="754"/>
      <c r="CR537" s="754"/>
      <c r="CS537" s="754"/>
      <c r="CT537" s="754"/>
      <c r="CU537" s="754"/>
      <c r="CV537" s="754"/>
      <c r="CW537" s="754"/>
      <c r="CX537" s="754"/>
      <c r="CY537" s="754"/>
      <c r="CZ537" s="755"/>
    </row>
    <row r="538" spans="1:104" x14ac:dyDescent="0.25">
      <c r="B538" s="1026" t="str">
        <f>IF(B536="","",VLOOKUP(B536,BoonRef!$A$2:$Z$900,24,FALSE))</f>
        <v/>
      </c>
      <c r="C538" s="727"/>
      <c r="D538" s="727"/>
      <c r="E538" s="727"/>
      <c r="F538" s="727"/>
      <c r="G538" s="727"/>
      <c r="H538" s="727"/>
      <c r="I538" s="727"/>
      <c r="J538" s="727"/>
      <c r="K538" s="727"/>
      <c r="L538" s="727"/>
      <c r="M538" s="727"/>
      <c r="N538" s="727"/>
      <c r="O538" s="727"/>
      <c r="P538" s="727"/>
      <c r="Q538" s="727"/>
      <c r="R538" s="727"/>
      <c r="S538" s="727"/>
      <c r="T538" s="727"/>
      <c r="U538" s="727"/>
      <c r="V538" s="727"/>
      <c r="W538" s="727"/>
      <c r="X538" s="727"/>
      <c r="Y538" s="727"/>
      <c r="Z538" s="728"/>
      <c r="AB538" s="1026" t="str">
        <f>IF(AB536="","",VLOOKUP(AB536,BoonRef!$A$2:$Z$900,24,FALSE))</f>
        <v/>
      </c>
      <c r="AC538" s="727"/>
      <c r="AD538" s="727"/>
      <c r="AE538" s="727"/>
      <c r="AF538" s="727"/>
      <c r="AG538" s="727"/>
      <c r="AH538" s="727"/>
      <c r="AI538" s="727"/>
      <c r="AJ538" s="727"/>
      <c r="AK538" s="727"/>
      <c r="AL538" s="727"/>
      <c r="AM538" s="727"/>
      <c r="AN538" s="727"/>
      <c r="AO538" s="727"/>
      <c r="AP538" s="727"/>
      <c r="AQ538" s="727"/>
      <c r="AR538" s="727"/>
      <c r="AS538" s="727"/>
      <c r="AT538" s="727"/>
      <c r="AU538" s="727"/>
      <c r="AV538" s="727"/>
      <c r="AW538" s="727"/>
      <c r="AX538" s="727"/>
      <c r="AY538" s="727"/>
      <c r="AZ538" s="728"/>
      <c r="BB538" s="641" t="str">
        <f>IF(BB536="","",VLOOKUP(BB536,KanckRef!$A$1:$G$300,4,FALSE))</f>
        <v/>
      </c>
      <c r="BC538" s="642"/>
      <c r="BD538" s="642"/>
      <c r="BE538" s="642"/>
      <c r="BF538" s="642"/>
      <c r="BG538" s="642"/>
      <c r="BH538" s="1033"/>
      <c r="BI538" s="753"/>
      <c r="BJ538" s="754"/>
      <c r="BK538" s="754"/>
      <c r="BL538" s="754"/>
      <c r="BM538" s="754"/>
      <c r="BN538" s="754"/>
      <c r="BO538" s="754"/>
      <c r="BP538" s="754"/>
      <c r="BQ538" s="754"/>
      <c r="BR538" s="754"/>
      <c r="BS538" s="754"/>
      <c r="BT538" s="754"/>
      <c r="BU538" s="754"/>
      <c r="BV538" s="754"/>
      <c r="BW538" s="754"/>
      <c r="BX538" s="754"/>
      <c r="BY538" s="754"/>
      <c r="BZ538" s="755"/>
      <c r="CB538" s="641" t="str">
        <f>IF(CB536="","",VLOOKUP(CB536,KanckRef!$A$1:$G$300,4,FALSE))</f>
        <v/>
      </c>
      <c r="CC538" s="642"/>
      <c r="CD538" s="642"/>
      <c r="CE538" s="642"/>
      <c r="CF538" s="642"/>
      <c r="CG538" s="642"/>
      <c r="CH538" s="1033"/>
      <c r="CI538" s="753"/>
      <c r="CJ538" s="754"/>
      <c r="CK538" s="754"/>
      <c r="CL538" s="754"/>
      <c r="CM538" s="754"/>
      <c r="CN538" s="754"/>
      <c r="CO538" s="754"/>
      <c r="CP538" s="754"/>
      <c r="CQ538" s="754"/>
      <c r="CR538" s="754"/>
      <c r="CS538" s="754"/>
      <c r="CT538" s="754"/>
      <c r="CU538" s="754"/>
      <c r="CV538" s="754"/>
      <c r="CW538" s="754"/>
      <c r="CX538" s="754"/>
      <c r="CY538" s="754"/>
      <c r="CZ538" s="755"/>
    </row>
    <row r="539" spans="1:104" x14ac:dyDescent="0.25">
      <c r="B539" s="1026" t="str">
        <f>IF(B536="","",VLOOKUP(B536,BoonRef!$A$2:$Z$900,23,FALSE))</f>
        <v/>
      </c>
      <c r="C539" s="727"/>
      <c r="D539" s="727"/>
      <c r="E539" s="727"/>
      <c r="F539" s="727"/>
      <c r="G539" s="727"/>
      <c r="H539" s="727"/>
      <c r="I539" s="727"/>
      <c r="J539" s="727"/>
      <c r="K539" s="727"/>
      <c r="L539" s="727"/>
      <c r="M539" s="727"/>
      <c r="N539" s="727"/>
      <c r="O539" s="727"/>
      <c r="P539" s="727"/>
      <c r="Q539" s="727"/>
      <c r="R539" s="727"/>
      <c r="S539" s="727"/>
      <c r="T539" s="727"/>
      <c r="U539" s="727"/>
      <c r="V539" s="727"/>
      <c r="W539" s="727"/>
      <c r="X539" s="727"/>
      <c r="Y539" s="727"/>
      <c r="Z539" s="728"/>
      <c r="AB539" s="1026" t="str">
        <f>IF(AB536="","",VLOOKUP(AB536,BoonRef!$A$2:$Z$900,23,FALSE))</f>
        <v/>
      </c>
      <c r="AC539" s="727"/>
      <c r="AD539" s="727"/>
      <c r="AE539" s="727"/>
      <c r="AF539" s="727"/>
      <c r="AG539" s="727"/>
      <c r="AH539" s="727"/>
      <c r="AI539" s="727"/>
      <c r="AJ539" s="727"/>
      <c r="AK539" s="727"/>
      <c r="AL539" s="727"/>
      <c r="AM539" s="727"/>
      <c r="AN539" s="727"/>
      <c r="AO539" s="727"/>
      <c r="AP539" s="727"/>
      <c r="AQ539" s="727"/>
      <c r="AR539" s="727"/>
      <c r="AS539" s="727"/>
      <c r="AT539" s="727"/>
      <c r="AU539" s="727"/>
      <c r="AV539" s="727"/>
      <c r="AW539" s="727"/>
      <c r="AX539" s="727"/>
      <c r="AY539" s="727"/>
      <c r="AZ539" s="728"/>
      <c r="BB539" s="635"/>
      <c r="BC539" s="636"/>
      <c r="BD539" s="636"/>
      <c r="BE539" s="636"/>
      <c r="BF539" s="636"/>
      <c r="BG539" s="636"/>
      <c r="BH539" s="1036"/>
      <c r="BI539" s="753"/>
      <c r="BJ539" s="754"/>
      <c r="BK539" s="754"/>
      <c r="BL539" s="754"/>
      <c r="BM539" s="754"/>
      <c r="BN539" s="754"/>
      <c r="BO539" s="754"/>
      <c r="BP539" s="754"/>
      <c r="BQ539" s="754"/>
      <c r="BR539" s="754"/>
      <c r="BS539" s="754"/>
      <c r="BT539" s="754"/>
      <c r="BU539" s="754"/>
      <c r="BV539" s="754"/>
      <c r="BW539" s="754"/>
      <c r="BX539" s="754"/>
      <c r="BY539" s="754"/>
      <c r="BZ539" s="755"/>
      <c r="CB539" s="635"/>
      <c r="CC539" s="636"/>
      <c r="CD539" s="636"/>
      <c r="CE539" s="636"/>
      <c r="CF539" s="636"/>
      <c r="CG539" s="636"/>
      <c r="CH539" s="1036"/>
      <c r="CI539" s="753"/>
      <c r="CJ539" s="754"/>
      <c r="CK539" s="754"/>
      <c r="CL539" s="754"/>
      <c r="CM539" s="754"/>
      <c r="CN539" s="754"/>
      <c r="CO539" s="754"/>
      <c r="CP539" s="754"/>
      <c r="CQ539" s="754"/>
      <c r="CR539" s="754"/>
      <c r="CS539" s="754"/>
      <c r="CT539" s="754"/>
      <c r="CU539" s="754"/>
      <c r="CV539" s="754"/>
      <c r="CW539" s="754"/>
      <c r="CX539" s="754"/>
      <c r="CY539" s="754"/>
      <c r="CZ539" s="755"/>
    </row>
    <row r="540" spans="1:104" ht="15.75" thickBot="1" x14ac:dyDescent="0.3">
      <c r="B540" s="1027"/>
      <c r="C540" s="865"/>
      <c r="D540" s="865"/>
      <c r="E540" s="865"/>
      <c r="F540" s="865"/>
      <c r="G540" s="865"/>
      <c r="H540" s="865"/>
      <c r="I540" s="865"/>
      <c r="J540" s="865"/>
      <c r="K540" s="865"/>
      <c r="L540" s="865"/>
      <c r="M540" s="865"/>
      <c r="N540" s="865"/>
      <c r="O540" s="865"/>
      <c r="P540" s="865"/>
      <c r="Q540" s="865"/>
      <c r="R540" s="865"/>
      <c r="S540" s="865"/>
      <c r="T540" s="865"/>
      <c r="U540" s="865"/>
      <c r="V540" s="865"/>
      <c r="W540" s="865"/>
      <c r="X540" s="865"/>
      <c r="Y540" s="865"/>
      <c r="Z540" s="921"/>
      <c r="AB540" s="1027"/>
      <c r="AC540" s="865"/>
      <c r="AD540" s="865"/>
      <c r="AE540" s="865"/>
      <c r="AF540" s="865"/>
      <c r="AG540" s="865"/>
      <c r="AH540" s="865"/>
      <c r="AI540" s="865"/>
      <c r="AJ540" s="865"/>
      <c r="AK540" s="865"/>
      <c r="AL540" s="865"/>
      <c r="AM540" s="865"/>
      <c r="AN540" s="865"/>
      <c r="AO540" s="865"/>
      <c r="AP540" s="865"/>
      <c r="AQ540" s="865"/>
      <c r="AR540" s="865"/>
      <c r="AS540" s="865"/>
      <c r="AT540" s="865"/>
      <c r="AU540" s="865"/>
      <c r="AV540" s="865"/>
      <c r="AW540" s="865"/>
      <c r="AX540" s="865"/>
      <c r="AY540" s="865"/>
      <c r="AZ540" s="921"/>
      <c r="BB540" s="644"/>
      <c r="BC540" s="645"/>
      <c r="BD540" s="645"/>
      <c r="BE540" s="645"/>
      <c r="BF540" s="645"/>
      <c r="BG540" s="645"/>
      <c r="BH540" s="1037"/>
      <c r="BI540" s="756"/>
      <c r="BJ540" s="757"/>
      <c r="BK540" s="757"/>
      <c r="BL540" s="757"/>
      <c r="BM540" s="757"/>
      <c r="BN540" s="757"/>
      <c r="BO540" s="757"/>
      <c r="BP540" s="757"/>
      <c r="BQ540" s="757"/>
      <c r="BR540" s="757"/>
      <c r="BS540" s="757"/>
      <c r="BT540" s="757"/>
      <c r="BU540" s="757"/>
      <c r="BV540" s="757"/>
      <c r="BW540" s="757"/>
      <c r="BX540" s="757"/>
      <c r="BY540" s="757"/>
      <c r="BZ540" s="758"/>
      <c r="CB540" s="644"/>
      <c r="CC540" s="645"/>
      <c r="CD540" s="645"/>
      <c r="CE540" s="645"/>
      <c r="CF540" s="645"/>
      <c r="CG540" s="645"/>
      <c r="CH540" s="1037"/>
      <c r="CI540" s="756"/>
      <c r="CJ540" s="757"/>
      <c r="CK540" s="757"/>
      <c r="CL540" s="757"/>
      <c r="CM540" s="757"/>
      <c r="CN540" s="757"/>
      <c r="CO540" s="757"/>
      <c r="CP540" s="757"/>
      <c r="CQ540" s="757"/>
      <c r="CR540" s="757"/>
      <c r="CS540" s="757"/>
      <c r="CT540" s="757"/>
      <c r="CU540" s="757"/>
      <c r="CV540" s="757"/>
      <c r="CW540" s="757"/>
      <c r="CX540" s="757"/>
      <c r="CY540" s="757"/>
      <c r="CZ540" s="758"/>
    </row>
    <row r="541" spans="1:104" x14ac:dyDescent="0.25">
      <c r="B541" s="1028" t="str">
        <f>IF(B542="","",VLOOKUP(B542,BoonRef!$A$2:$Z$900,2,FALSE))</f>
        <v/>
      </c>
      <c r="C541" s="725"/>
      <c r="D541" s="725"/>
      <c r="E541" s="725"/>
      <c r="F541" s="725"/>
      <c r="G541" s="725"/>
      <c r="H541" s="725"/>
      <c r="I541" s="725" t="str">
        <f>IF(B542="","",VLOOKUP(B542,BoonRef!$A$2:$Z$900,3,FALSE))</f>
        <v/>
      </c>
      <c r="J541" s="725"/>
      <c r="K541" s="725" t="str">
        <f>IF(B542="","",VLOOKUP(B542,DescRef!$A$2:$B$900,2,FALSE))</f>
        <v/>
      </c>
      <c r="L541" s="725"/>
      <c r="M541" s="725"/>
      <c r="N541" s="725"/>
      <c r="O541" s="725"/>
      <c r="P541" s="725"/>
      <c r="Q541" s="725"/>
      <c r="R541" s="725"/>
      <c r="S541" s="725"/>
      <c r="T541" s="725"/>
      <c r="U541" s="725"/>
      <c r="V541" s="725"/>
      <c r="W541" s="725"/>
      <c r="X541" s="725"/>
      <c r="Y541" s="725"/>
      <c r="Z541" s="726"/>
      <c r="AB541" s="1028" t="str">
        <f>IF(AB542="","",VLOOKUP(AB542,BoonRef!$A$2:$Z$900,2,FALSE))</f>
        <v/>
      </c>
      <c r="AC541" s="725"/>
      <c r="AD541" s="725"/>
      <c r="AE541" s="725"/>
      <c r="AF541" s="725"/>
      <c r="AG541" s="725"/>
      <c r="AH541" s="725"/>
      <c r="AI541" s="725" t="str">
        <f>IF(AB542="","",VLOOKUP(AB542,BoonRef!$A$2:$Z$900,3,FALSE))</f>
        <v/>
      </c>
      <c r="AJ541" s="725"/>
      <c r="AK541" s="725" t="str">
        <f>IF(AB542="","",VLOOKUP(AB542,DescRef!$A$2:$B$900,2,FALSE))</f>
        <v/>
      </c>
      <c r="AL541" s="725"/>
      <c r="AM541" s="725"/>
      <c r="AN541" s="725"/>
      <c r="AO541" s="725"/>
      <c r="AP541" s="725"/>
      <c r="AQ541" s="725"/>
      <c r="AR541" s="725"/>
      <c r="AS541" s="725"/>
      <c r="AT541" s="725"/>
      <c r="AU541" s="725"/>
      <c r="AV541" s="725"/>
      <c r="AW541" s="725"/>
      <c r="AX541" s="725"/>
      <c r="AY541" s="725"/>
      <c r="AZ541" s="726"/>
      <c r="BB541" s="1029" t="str">
        <f>IF(BB542="","",VLOOKUP(BB542,KanckRef!$A$1:$G$300,2,FALSE))</f>
        <v/>
      </c>
      <c r="BC541" s="1030"/>
      <c r="BD541" s="1030"/>
      <c r="BE541" s="1030"/>
      <c r="BF541" s="1031"/>
      <c r="BG541" s="1048" t="str">
        <f>IF(BB542="","",VLOOKUP(BB542,KanckRef!$A$1:$G$300,6,FALSE))</f>
        <v/>
      </c>
      <c r="BH541" s="1049"/>
      <c r="BI541" s="988" t="str">
        <f>IF(BB542="","",VLOOKUP(BB542,DescRef!$D$2:$E$300,2,FALSE))</f>
        <v/>
      </c>
      <c r="BJ541" s="795"/>
      <c r="BK541" s="795"/>
      <c r="BL541" s="795"/>
      <c r="BM541" s="795"/>
      <c r="BN541" s="795"/>
      <c r="BO541" s="795"/>
      <c r="BP541" s="795"/>
      <c r="BQ541" s="795"/>
      <c r="BR541" s="795"/>
      <c r="BS541" s="795"/>
      <c r="BT541" s="795"/>
      <c r="BU541" s="795"/>
      <c r="BV541" s="795"/>
      <c r="BW541" s="795"/>
      <c r="BX541" s="795"/>
      <c r="BY541" s="795"/>
      <c r="BZ541" s="796"/>
      <c r="CB541" s="1029" t="str">
        <f>IF(CB542="","",VLOOKUP(CB542,KanckRef!$A$1:$G$300,2,FALSE))</f>
        <v/>
      </c>
      <c r="CC541" s="1030"/>
      <c r="CD541" s="1030"/>
      <c r="CE541" s="1030"/>
      <c r="CF541" s="1031"/>
      <c r="CG541" s="1048" t="str">
        <f>IF(CB542="","",VLOOKUP(CB542,KanckRef!$A$1:$G$300,6,FALSE))</f>
        <v/>
      </c>
      <c r="CH541" s="1049"/>
      <c r="CI541" s="988" t="str">
        <f>IF(CB542="","",VLOOKUP(CB542,DescRef!$D$2:$E$300,2,FALSE))</f>
        <v/>
      </c>
      <c r="CJ541" s="795"/>
      <c r="CK541" s="795"/>
      <c r="CL541" s="795"/>
      <c r="CM541" s="795"/>
      <c r="CN541" s="795"/>
      <c r="CO541" s="795"/>
      <c r="CP541" s="795"/>
      <c r="CQ541" s="795"/>
      <c r="CR541" s="795"/>
      <c r="CS541" s="795"/>
      <c r="CT541" s="795"/>
      <c r="CU541" s="795"/>
      <c r="CV541" s="795"/>
      <c r="CW541" s="795"/>
      <c r="CX541" s="795"/>
      <c r="CY541" s="795"/>
      <c r="CZ541" s="796"/>
    </row>
    <row r="542" spans="1:104" ht="15" customHeight="1" x14ac:dyDescent="0.25">
      <c r="A542" s="15">
        <v>90</v>
      </c>
      <c r="B542" s="1026" t="str">
        <f>IF(A542&lt;'Purchased Boons'!$B$496,VLOOKUP(A542,'Purchased Boons'!$BF$2:$BG$900,2,FALSE),"")</f>
        <v/>
      </c>
      <c r="C542" s="727"/>
      <c r="D542" s="727"/>
      <c r="E542" s="727"/>
      <c r="F542" s="727"/>
      <c r="G542" s="727"/>
      <c r="H542" s="727"/>
      <c r="I542" s="727" t="str">
        <f>IF(B542="","",VLOOKUP(B542,BoonRef!$A$2:$Z$900,25,FALSE))</f>
        <v/>
      </c>
      <c r="J542" s="727"/>
      <c r="K542" s="727"/>
      <c r="L542" s="727"/>
      <c r="M542" s="727"/>
      <c r="N542" s="727"/>
      <c r="O542" s="727"/>
      <c r="P542" s="727"/>
      <c r="Q542" s="727"/>
      <c r="R542" s="727"/>
      <c r="S542" s="727"/>
      <c r="T542" s="727"/>
      <c r="U542" s="727"/>
      <c r="V542" s="727"/>
      <c r="W542" s="727"/>
      <c r="X542" s="727"/>
      <c r="Y542" s="727"/>
      <c r="Z542" s="728"/>
      <c r="AA542" s="15">
        <v>197</v>
      </c>
      <c r="AB542" s="1026" t="str">
        <f>IF(AA542&lt;'Purchased Boons'!$B$496,VLOOKUP(AA542,'Purchased Boons'!$BF$2:$BG$900,2,FALSE),"")</f>
        <v/>
      </c>
      <c r="AC542" s="727"/>
      <c r="AD542" s="727"/>
      <c r="AE542" s="727"/>
      <c r="AF542" s="727"/>
      <c r="AG542" s="727"/>
      <c r="AH542" s="727"/>
      <c r="AI542" s="727" t="str">
        <f>IF(AB542="","",VLOOKUP(AB542,BoonRef!$A$2:$Z$900,25,FALSE))</f>
        <v/>
      </c>
      <c r="AJ542" s="727"/>
      <c r="AK542" s="727"/>
      <c r="AL542" s="727"/>
      <c r="AM542" s="727"/>
      <c r="AN542" s="727"/>
      <c r="AO542" s="727"/>
      <c r="AP542" s="727"/>
      <c r="AQ542" s="727"/>
      <c r="AR542" s="727"/>
      <c r="AS542" s="727"/>
      <c r="AT542" s="727"/>
      <c r="AU542" s="727"/>
      <c r="AV542" s="727"/>
      <c r="AW542" s="727"/>
      <c r="AX542" s="727"/>
      <c r="AY542" s="727"/>
      <c r="AZ542" s="728"/>
      <c r="BA542" s="15">
        <v>90</v>
      </c>
      <c r="BB542" s="1038" t="str">
        <f>IF(BA542&lt;'Purchased Knacks'!A$192,VLOOKUP(BA542,'Purchased Knacks'!$A$4:$E$300,3,FALSE),"")</f>
        <v/>
      </c>
      <c r="BC542" s="1039"/>
      <c r="BD542" s="1039"/>
      <c r="BE542" s="1039"/>
      <c r="BF542" s="1040"/>
      <c r="BG542" s="1032" t="str">
        <f>IF(BB542="","",VLOOKUP(BB542,KanckRef!$A$1:$G$300,7,FALSE))</f>
        <v/>
      </c>
      <c r="BH542" s="1033"/>
      <c r="BI542" s="753"/>
      <c r="BJ542" s="754"/>
      <c r="BK542" s="754"/>
      <c r="BL542" s="754"/>
      <c r="BM542" s="754"/>
      <c r="BN542" s="754"/>
      <c r="BO542" s="754"/>
      <c r="BP542" s="754"/>
      <c r="BQ542" s="754"/>
      <c r="BR542" s="754"/>
      <c r="BS542" s="754"/>
      <c r="BT542" s="754"/>
      <c r="BU542" s="754"/>
      <c r="BV542" s="754"/>
      <c r="BW542" s="754"/>
      <c r="BX542" s="754"/>
      <c r="BY542" s="754"/>
      <c r="BZ542" s="755"/>
      <c r="CA542" s="15">
        <v>197</v>
      </c>
      <c r="CB542" s="1038" t="str">
        <f>IF(CA542&lt;'Purchased Knacks'!A$192,VLOOKUP(CA542,'Purchased Knacks'!$A$4:$E$300,3,FALSE),"")</f>
        <v/>
      </c>
      <c r="CC542" s="1039"/>
      <c r="CD542" s="1039"/>
      <c r="CE542" s="1039"/>
      <c r="CF542" s="1040"/>
      <c r="CG542" s="1032" t="str">
        <f>IF(CB542="","",VLOOKUP(CB542,KanckRef!$A$1:$G$300,7,FALSE))</f>
        <v/>
      </c>
      <c r="CH542" s="1033"/>
      <c r="CI542" s="753"/>
      <c r="CJ542" s="754"/>
      <c r="CK542" s="754"/>
      <c r="CL542" s="754"/>
      <c r="CM542" s="754"/>
      <c r="CN542" s="754"/>
      <c r="CO542" s="754"/>
      <c r="CP542" s="754"/>
      <c r="CQ542" s="754"/>
      <c r="CR542" s="754"/>
      <c r="CS542" s="754"/>
      <c r="CT542" s="754"/>
      <c r="CU542" s="754"/>
      <c r="CV542" s="754"/>
      <c r="CW542" s="754"/>
      <c r="CX542" s="754"/>
      <c r="CY542" s="754"/>
      <c r="CZ542" s="755"/>
    </row>
    <row r="543" spans="1:104" x14ac:dyDescent="0.25">
      <c r="B543" s="1026"/>
      <c r="C543" s="727"/>
      <c r="D543" s="727"/>
      <c r="E543" s="727"/>
      <c r="F543" s="727"/>
      <c r="G543" s="727"/>
      <c r="H543" s="727"/>
      <c r="I543" s="727" t="str">
        <f>IF(B542="","",VLOOKUP(B542,BoonRef!$A$2:$Z$900,26,FALSE))</f>
        <v/>
      </c>
      <c r="J543" s="727"/>
      <c r="K543" s="727"/>
      <c r="L543" s="727"/>
      <c r="M543" s="727"/>
      <c r="N543" s="727"/>
      <c r="O543" s="727"/>
      <c r="P543" s="727"/>
      <c r="Q543" s="727"/>
      <c r="R543" s="727"/>
      <c r="S543" s="727"/>
      <c r="T543" s="727"/>
      <c r="U543" s="727"/>
      <c r="V543" s="727"/>
      <c r="W543" s="727"/>
      <c r="X543" s="727"/>
      <c r="Y543" s="727"/>
      <c r="Z543" s="728"/>
      <c r="AB543" s="1026"/>
      <c r="AC543" s="727"/>
      <c r="AD543" s="727"/>
      <c r="AE543" s="727"/>
      <c r="AF543" s="727"/>
      <c r="AG543" s="727"/>
      <c r="AH543" s="727"/>
      <c r="AI543" s="727" t="str">
        <f>IF(AB542="","",VLOOKUP(AB542,BoonRef!$A$2:$Z$900,26,FALSE))</f>
        <v/>
      </c>
      <c r="AJ543" s="727"/>
      <c r="AK543" s="727"/>
      <c r="AL543" s="727"/>
      <c r="AM543" s="727"/>
      <c r="AN543" s="727"/>
      <c r="AO543" s="727"/>
      <c r="AP543" s="727"/>
      <c r="AQ543" s="727"/>
      <c r="AR543" s="727"/>
      <c r="AS543" s="727"/>
      <c r="AT543" s="727"/>
      <c r="AU543" s="727"/>
      <c r="AV543" s="727"/>
      <c r="AW543" s="727"/>
      <c r="AX543" s="727"/>
      <c r="AY543" s="727"/>
      <c r="AZ543" s="728"/>
      <c r="BB543" s="1041"/>
      <c r="BC543" s="1042"/>
      <c r="BD543" s="1042"/>
      <c r="BE543" s="1042"/>
      <c r="BF543" s="1043"/>
      <c r="BG543" s="1034"/>
      <c r="BH543" s="1035"/>
      <c r="BI543" s="753"/>
      <c r="BJ543" s="754"/>
      <c r="BK543" s="754"/>
      <c r="BL543" s="754"/>
      <c r="BM543" s="754"/>
      <c r="BN543" s="754"/>
      <c r="BO543" s="754"/>
      <c r="BP543" s="754"/>
      <c r="BQ543" s="754"/>
      <c r="BR543" s="754"/>
      <c r="BS543" s="754"/>
      <c r="BT543" s="754"/>
      <c r="BU543" s="754"/>
      <c r="BV543" s="754"/>
      <c r="BW543" s="754"/>
      <c r="BX543" s="754"/>
      <c r="BY543" s="754"/>
      <c r="BZ543" s="755"/>
      <c r="CB543" s="1041"/>
      <c r="CC543" s="1042"/>
      <c r="CD543" s="1042"/>
      <c r="CE543" s="1042"/>
      <c r="CF543" s="1043"/>
      <c r="CG543" s="1034"/>
      <c r="CH543" s="1035"/>
      <c r="CI543" s="753"/>
      <c r="CJ543" s="754"/>
      <c r="CK543" s="754"/>
      <c r="CL543" s="754"/>
      <c r="CM543" s="754"/>
      <c r="CN543" s="754"/>
      <c r="CO543" s="754"/>
      <c r="CP543" s="754"/>
      <c r="CQ543" s="754"/>
      <c r="CR543" s="754"/>
      <c r="CS543" s="754"/>
      <c r="CT543" s="754"/>
      <c r="CU543" s="754"/>
      <c r="CV543" s="754"/>
      <c r="CW543" s="754"/>
      <c r="CX543" s="754"/>
      <c r="CY543" s="754"/>
      <c r="CZ543" s="755"/>
    </row>
    <row r="544" spans="1:104" x14ac:dyDescent="0.25">
      <c r="B544" s="1026" t="str">
        <f>IF(B542="","",VLOOKUP(B542,BoonRef!$A$2:$Z$900,24,FALSE))</f>
        <v/>
      </c>
      <c r="C544" s="727"/>
      <c r="D544" s="727"/>
      <c r="E544" s="727"/>
      <c r="F544" s="727"/>
      <c r="G544" s="727"/>
      <c r="H544" s="727"/>
      <c r="I544" s="727"/>
      <c r="J544" s="727"/>
      <c r="K544" s="727"/>
      <c r="L544" s="727"/>
      <c r="M544" s="727"/>
      <c r="N544" s="727"/>
      <c r="O544" s="727"/>
      <c r="P544" s="727"/>
      <c r="Q544" s="727"/>
      <c r="R544" s="727"/>
      <c r="S544" s="727"/>
      <c r="T544" s="727"/>
      <c r="U544" s="727"/>
      <c r="V544" s="727"/>
      <c r="W544" s="727"/>
      <c r="X544" s="727"/>
      <c r="Y544" s="727"/>
      <c r="Z544" s="728"/>
      <c r="AB544" s="1026" t="str">
        <f>IF(AB542="","",VLOOKUP(AB542,BoonRef!$A$2:$Z$900,24,FALSE))</f>
        <v/>
      </c>
      <c r="AC544" s="727"/>
      <c r="AD544" s="727"/>
      <c r="AE544" s="727"/>
      <c r="AF544" s="727"/>
      <c r="AG544" s="727"/>
      <c r="AH544" s="727"/>
      <c r="AI544" s="727"/>
      <c r="AJ544" s="727"/>
      <c r="AK544" s="727"/>
      <c r="AL544" s="727"/>
      <c r="AM544" s="727"/>
      <c r="AN544" s="727"/>
      <c r="AO544" s="727"/>
      <c r="AP544" s="727"/>
      <c r="AQ544" s="727"/>
      <c r="AR544" s="727"/>
      <c r="AS544" s="727"/>
      <c r="AT544" s="727"/>
      <c r="AU544" s="727"/>
      <c r="AV544" s="727"/>
      <c r="AW544" s="727"/>
      <c r="AX544" s="727"/>
      <c r="AY544" s="727"/>
      <c r="AZ544" s="728"/>
      <c r="BB544" s="641" t="str">
        <f>IF(BB542="","",VLOOKUP(BB542,KanckRef!$A$1:$G$300,4,FALSE))</f>
        <v/>
      </c>
      <c r="BC544" s="642"/>
      <c r="BD544" s="642"/>
      <c r="BE544" s="642"/>
      <c r="BF544" s="642"/>
      <c r="BG544" s="642"/>
      <c r="BH544" s="1033"/>
      <c r="BI544" s="753"/>
      <c r="BJ544" s="754"/>
      <c r="BK544" s="754"/>
      <c r="BL544" s="754"/>
      <c r="BM544" s="754"/>
      <c r="BN544" s="754"/>
      <c r="BO544" s="754"/>
      <c r="BP544" s="754"/>
      <c r="BQ544" s="754"/>
      <c r="BR544" s="754"/>
      <c r="BS544" s="754"/>
      <c r="BT544" s="754"/>
      <c r="BU544" s="754"/>
      <c r="BV544" s="754"/>
      <c r="BW544" s="754"/>
      <c r="BX544" s="754"/>
      <c r="BY544" s="754"/>
      <c r="BZ544" s="755"/>
      <c r="CB544" s="641" t="str">
        <f>IF(CB542="","",VLOOKUP(CB542,KanckRef!$A$1:$G$300,4,FALSE))</f>
        <v/>
      </c>
      <c r="CC544" s="642"/>
      <c r="CD544" s="642"/>
      <c r="CE544" s="642"/>
      <c r="CF544" s="642"/>
      <c r="CG544" s="642"/>
      <c r="CH544" s="1033"/>
      <c r="CI544" s="753"/>
      <c r="CJ544" s="754"/>
      <c r="CK544" s="754"/>
      <c r="CL544" s="754"/>
      <c r="CM544" s="754"/>
      <c r="CN544" s="754"/>
      <c r="CO544" s="754"/>
      <c r="CP544" s="754"/>
      <c r="CQ544" s="754"/>
      <c r="CR544" s="754"/>
      <c r="CS544" s="754"/>
      <c r="CT544" s="754"/>
      <c r="CU544" s="754"/>
      <c r="CV544" s="754"/>
      <c r="CW544" s="754"/>
      <c r="CX544" s="754"/>
      <c r="CY544" s="754"/>
      <c r="CZ544" s="755"/>
    </row>
    <row r="545" spans="1:104" x14ac:dyDescent="0.25">
      <c r="B545" s="1026" t="str">
        <f>IF(B542="","",VLOOKUP(B542,BoonRef!$A$2:$Z$900,23,FALSE))</f>
        <v/>
      </c>
      <c r="C545" s="727"/>
      <c r="D545" s="727"/>
      <c r="E545" s="727"/>
      <c r="F545" s="727"/>
      <c r="G545" s="727"/>
      <c r="H545" s="727"/>
      <c r="I545" s="727"/>
      <c r="J545" s="727"/>
      <c r="K545" s="727"/>
      <c r="L545" s="727"/>
      <c r="M545" s="727"/>
      <c r="N545" s="727"/>
      <c r="O545" s="727"/>
      <c r="P545" s="727"/>
      <c r="Q545" s="727"/>
      <c r="R545" s="727"/>
      <c r="S545" s="727"/>
      <c r="T545" s="727"/>
      <c r="U545" s="727"/>
      <c r="V545" s="727"/>
      <c r="W545" s="727"/>
      <c r="X545" s="727"/>
      <c r="Y545" s="727"/>
      <c r="Z545" s="728"/>
      <c r="AB545" s="1026" t="str">
        <f>IF(AB542="","",VLOOKUP(AB542,BoonRef!$A$2:$Z$900,23,FALSE))</f>
        <v/>
      </c>
      <c r="AC545" s="727"/>
      <c r="AD545" s="727"/>
      <c r="AE545" s="727"/>
      <c r="AF545" s="727"/>
      <c r="AG545" s="727"/>
      <c r="AH545" s="727"/>
      <c r="AI545" s="727"/>
      <c r="AJ545" s="727"/>
      <c r="AK545" s="727"/>
      <c r="AL545" s="727"/>
      <c r="AM545" s="727"/>
      <c r="AN545" s="727"/>
      <c r="AO545" s="727"/>
      <c r="AP545" s="727"/>
      <c r="AQ545" s="727"/>
      <c r="AR545" s="727"/>
      <c r="AS545" s="727"/>
      <c r="AT545" s="727"/>
      <c r="AU545" s="727"/>
      <c r="AV545" s="727"/>
      <c r="AW545" s="727"/>
      <c r="AX545" s="727"/>
      <c r="AY545" s="727"/>
      <c r="AZ545" s="728"/>
      <c r="BB545" s="635"/>
      <c r="BC545" s="636"/>
      <c r="BD545" s="636"/>
      <c r="BE545" s="636"/>
      <c r="BF545" s="636"/>
      <c r="BG545" s="636"/>
      <c r="BH545" s="1036"/>
      <c r="BI545" s="753"/>
      <c r="BJ545" s="754"/>
      <c r="BK545" s="754"/>
      <c r="BL545" s="754"/>
      <c r="BM545" s="754"/>
      <c r="BN545" s="754"/>
      <c r="BO545" s="754"/>
      <c r="BP545" s="754"/>
      <c r="BQ545" s="754"/>
      <c r="BR545" s="754"/>
      <c r="BS545" s="754"/>
      <c r="BT545" s="754"/>
      <c r="BU545" s="754"/>
      <c r="BV545" s="754"/>
      <c r="BW545" s="754"/>
      <c r="BX545" s="754"/>
      <c r="BY545" s="754"/>
      <c r="BZ545" s="755"/>
      <c r="CB545" s="635"/>
      <c r="CC545" s="636"/>
      <c r="CD545" s="636"/>
      <c r="CE545" s="636"/>
      <c r="CF545" s="636"/>
      <c r="CG545" s="636"/>
      <c r="CH545" s="1036"/>
      <c r="CI545" s="753"/>
      <c r="CJ545" s="754"/>
      <c r="CK545" s="754"/>
      <c r="CL545" s="754"/>
      <c r="CM545" s="754"/>
      <c r="CN545" s="754"/>
      <c r="CO545" s="754"/>
      <c r="CP545" s="754"/>
      <c r="CQ545" s="754"/>
      <c r="CR545" s="754"/>
      <c r="CS545" s="754"/>
      <c r="CT545" s="754"/>
      <c r="CU545" s="754"/>
      <c r="CV545" s="754"/>
      <c r="CW545" s="754"/>
      <c r="CX545" s="754"/>
      <c r="CY545" s="754"/>
      <c r="CZ545" s="755"/>
    </row>
    <row r="546" spans="1:104" ht="15.75" thickBot="1" x14ac:dyDescent="0.3">
      <c r="B546" s="1027"/>
      <c r="C546" s="865"/>
      <c r="D546" s="865"/>
      <c r="E546" s="865"/>
      <c r="F546" s="865"/>
      <c r="G546" s="865"/>
      <c r="H546" s="865"/>
      <c r="I546" s="865"/>
      <c r="J546" s="865"/>
      <c r="K546" s="865"/>
      <c r="L546" s="865"/>
      <c r="M546" s="865"/>
      <c r="N546" s="865"/>
      <c r="O546" s="865"/>
      <c r="P546" s="865"/>
      <c r="Q546" s="865"/>
      <c r="R546" s="865"/>
      <c r="S546" s="865"/>
      <c r="T546" s="865"/>
      <c r="U546" s="865"/>
      <c r="V546" s="865"/>
      <c r="W546" s="865"/>
      <c r="X546" s="865"/>
      <c r="Y546" s="865"/>
      <c r="Z546" s="921"/>
      <c r="AB546" s="1027"/>
      <c r="AC546" s="865"/>
      <c r="AD546" s="865"/>
      <c r="AE546" s="865"/>
      <c r="AF546" s="865"/>
      <c r="AG546" s="865"/>
      <c r="AH546" s="865"/>
      <c r="AI546" s="865"/>
      <c r="AJ546" s="865"/>
      <c r="AK546" s="865"/>
      <c r="AL546" s="865"/>
      <c r="AM546" s="865"/>
      <c r="AN546" s="865"/>
      <c r="AO546" s="865"/>
      <c r="AP546" s="865"/>
      <c r="AQ546" s="865"/>
      <c r="AR546" s="865"/>
      <c r="AS546" s="865"/>
      <c r="AT546" s="865"/>
      <c r="AU546" s="865"/>
      <c r="AV546" s="865"/>
      <c r="AW546" s="865"/>
      <c r="AX546" s="865"/>
      <c r="AY546" s="865"/>
      <c r="AZ546" s="921"/>
      <c r="BB546" s="644"/>
      <c r="BC546" s="645"/>
      <c r="BD546" s="645"/>
      <c r="BE546" s="645"/>
      <c r="BF546" s="645"/>
      <c r="BG546" s="645"/>
      <c r="BH546" s="1037"/>
      <c r="BI546" s="756"/>
      <c r="BJ546" s="757"/>
      <c r="BK546" s="757"/>
      <c r="BL546" s="757"/>
      <c r="BM546" s="757"/>
      <c r="BN546" s="757"/>
      <c r="BO546" s="757"/>
      <c r="BP546" s="757"/>
      <c r="BQ546" s="757"/>
      <c r="BR546" s="757"/>
      <c r="BS546" s="757"/>
      <c r="BT546" s="757"/>
      <c r="BU546" s="757"/>
      <c r="BV546" s="757"/>
      <c r="BW546" s="757"/>
      <c r="BX546" s="757"/>
      <c r="BY546" s="757"/>
      <c r="BZ546" s="758"/>
      <c r="CB546" s="644"/>
      <c r="CC546" s="645"/>
      <c r="CD546" s="645"/>
      <c r="CE546" s="645"/>
      <c r="CF546" s="645"/>
      <c r="CG546" s="645"/>
      <c r="CH546" s="1037"/>
      <c r="CI546" s="756"/>
      <c r="CJ546" s="757"/>
      <c r="CK546" s="757"/>
      <c r="CL546" s="757"/>
      <c r="CM546" s="757"/>
      <c r="CN546" s="757"/>
      <c r="CO546" s="757"/>
      <c r="CP546" s="757"/>
      <c r="CQ546" s="757"/>
      <c r="CR546" s="757"/>
      <c r="CS546" s="757"/>
      <c r="CT546" s="757"/>
      <c r="CU546" s="757"/>
      <c r="CV546" s="757"/>
      <c r="CW546" s="757"/>
      <c r="CX546" s="757"/>
      <c r="CY546" s="757"/>
      <c r="CZ546" s="758"/>
    </row>
    <row r="547" spans="1:104" x14ac:dyDescent="0.25">
      <c r="B547" s="1028" t="str">
        <f>IF(B548="","",VLOOKUP(B548,BoonRef!$A$2:$Z$900,2,FALSE))</f>
        <v/>
      </c>
      <c r="C547" s="725"/>
      <c r="D547" s="725"/>
      <c r="E547" s="725"/>
      <c r="F547" s="725"/>
      <c r="G547" s="725"/>
      <c r="H547" s="725"/>
      <c r="I547" s="725" t="str">
        <f>IF(B548="","",VLOOKUP(B548,BoonRef!$A$2:$Z$900,3,FALSE))</f>
        <v/>
      </c>
      <c r="J547" s="725"/>
      <c r="K547" s="725" t="str">
        <f>IF(B548="","",VLOOKUP(B548,DescRef!$A$2:$B$900,2,FALSE))</f>
        <v/>
      </c>
      <c r="L547" s="725"/>
      <c r="M547" s="725"/>
      <c r="N547" s="725"/>
      <c r="O547" s="725"/>
      <c r="P547" s="725"/>
      <c r="Q547" s="725"/>
      <c r="R547" s="725"/>
      <c r="S547" s="725"/>
      <c r="T547" s="725"/>
      <c r="U547" s="725"/>
      <c r="V547" s="725"/>
      <c r="W547" s="725"/>
      <c r="X547" s="725"/>
      <c r="Y547" s="725"/>
      <c r="Z547" s="726"/>
      <c r="AB547" s="1028" t="str">
        <f>IF(AB548="","",VLOOKUP(AB548,BoonRef!$A$2:$Z$900,2,FALSE))</f>
        <v/>
      </c>
      <c r="AC547" s="725"/>
      <c r="AD547" s="725"/>
      <c r="AE547" s="725"/>
      <c r="AF547" s="725"/>
      <c r="AG547" s="725"/>
      <c r="AH547" s="725"/>
      <c r="AI547" s="725" t="str">
        <f>IF(AB548="","",VLOOKUP(AB548,BoonRef!$A$2:$Z$900,3,FALSE))</f>
        <v/>
      </c>
      <c r="AJ547" s="725"/>
      <c r="AK547" s="725" t="str">
        <f>IF(AB548="","",VLOOKUP(AB548,DescRef!$A$2:$B$900,2,FALSE))</f>
        <v/>
      </c>
      <c r="AL547" s="725"/>
      <c r="AM547" s="725"/>
      <c r="AN547" s="725"/>
      <c r="AO547" s="725"/>
      <c r="AP547" s="725"/>
      <c r="AQ547" s="725"/>
      <c r="AR547" s="725"/>
      <c r="AS547" s="725"/>
      <c r="AT547" s="725"/>
      <c r="AU547" s="725"/>
      <c r="AV547" s="725"/>
      <c r="AW547" s="725"/>
      <c r="AX547" s="725"/>
      <c r="AY547" s="725"/>
      <c r="AZ547" s="726"/>
      <c r="BB547" s="1029" t="str">
        <f>IF(BB548="","",VLOOKUP(BB548,KanckRef!$A$1:$G$300,2,FALSE))</f>
        <v/>
      </c>
      <c r="BC547" s="1030"/>
      <c r="BD547" s="1030"/>
      <c r="BE547" s="1030"/>
      <c r="BF547" s="1031"/>
      <c r="BG547" s="1048" t="str">
        <f>IF(BB548="","",VLOOKUP(BB548,KanckRef!$A$1:$G$300,6,FALSE))</f>
        <v/>
      </c>
      <c r="BH547" s="1049"/>
      <c r="BI547" s="988" t="str">
        <f>IF(BB548="","",VLOOKUP(BB548,DescRef!$D$2:$E$300,2,FALSE))</f>
        <v/>
      </c>
      <c r="BJ547" s="795"/>
      <c r="BK547" s="795"/>
      <c r="BL547" s="795"/>
      <c r="BM547" s="795"/>
      <c r="BN547" s="795"/>
      <c r="BO547" s="795"/>
      <c r="BP547" s="795"/>
      <c r="BQ547" s="795"/>
      <c r="BR547" s="795"/>
      <c r="BS547" s="795"/>
      <c r="BT547" s="795"/>
      <c r="BU547" s="795"/>
      <c r="BV547" s="795"/>
      <c r="BW547" s="795"/>
      <c r="BX547" s="795"/>
      <c r="BY547" s="795"/>
      <c r="BZ547" s="796"/>
      <c r="CB547" s="1029" t="str">
        <f>IF(CB548="","",VLOOKUP(CB548,KanckRef!$A$1:$G$300,2,FALSE))</f>
        <v/>
      </c>
      <c r="CC547" s="1030"/>
      <c r="CD547" s="1030"/>
      <c r="CE547" s="1030"/>
      <c r="CF547" s="1031"/>
      <c r="CG547" s="1048" t="str">
        <f>IF(CB548="","",VLOOKUP(CB548,KanckRef!$A$1:$G$300,6,FALSE))</f>
        <v/>
      </c>
      <c r="CH547" s="1049"/>
      <c r="CI547" s="988" t="str">
        <f>IF(CB548="","",VLOOKUP(CB548,DescRef!$D$2:$E$300,2,FALSE))</f>
        <v/>
      </c>
      <c r="CJ547" s="795"/>
      <c r="CK547" s="795"/>
      <c r="CL547" s="795"/>
      <c r="CM547" s="795"/>
      <c r="CN547" s="795"/>
      <c r="CO547" s="795"/>
      <c r="CP547" s="795"/>
      <c r="CQ547" s="795"/>
      <c r="CR547" s="795"/>
      <c r="CS547" s="795"/>
      <c r="CT547" s="795"/>
      <c r="CU547" s="795"/>
      <c r="CV547" s="795"/>
      <c r="CW547" s="795"/>
      <c r="CX547" s="795"/>
      <c r="CY547" s="795"/>
      <c r="CZ547" s="796"/>
    </row>
    <row r="548" spans="1:104" ht="15" customHeight="1" x14ac:dyDescent="0.25">
      <c r="A548" s="15">
        <v>91</v>
      </c>
      <c r="B548" s="1026" t="str">
        <f>IF(A548&lt;'Purchased Boons'!$B$496,VLOOKUP(A548,'Purchased Boons'!$BF$2:$BG$900,2,FALSE),"")</f>
        <v/>
      </c>
      <c r="C548" s="727"/>
      <c r="D548" s="727"/>
      <c r="E548" s="727"/>
      <c r="F548" s="727"/>
      <c r="G548" s="727"/>
      <c r="H548" s="727"/>
      <c r="I548" s="727" t="str">
        <f>IF(B548="","",VLOOKUP(B548,BoonRef!$A$2:$Z$900,25,FALSE))</f>
        <v/>
      </c>
      <c r="J548" s="727"/>
      <c r="K548" s="727"/>
      <c r="L548" s="727"/>
      <c r="M548" s="727"/>
      <c r="N548" s="727"/>
      <c r="O548" s="727"/>
      <c r="P548" s="727"/>
      <c r="Q548" s="727"/>
      <c r="R548" s="727"/>
      <c r="S548" s="727"/>
      <c r="T548" s="727"/>
      <c r="U548" s="727"/>
      <c r="V548" s="727"/>
      <c r="W548" s="727"/>
      <c r="X548" s="727"/>
      <c r="Y548" s="727"/>
      <c r="Z548" s="728"/>
      <c r="AA548" s="15">
        <v>198</v>
      </c>
      <c r="AB548" s="1026" t="str">
        <f>IF(AA548&lt;'Purchased Boons'!$B$496,VLOOKUP(AA548,'Purchased Boons'!$BF$2:$BG$900,2,FALSE),"")</f>
        <v/>
      </c>
      <c r="AC548" s="727"/>
      <c r="AD548" s="727"/>
      <c r="AE548" s="727"/>
      <c r="AF548" s="727"/>
      <c r="AG548" s="727"/>
      <c r="AH548" s="727"/>
      <c r="AI548" s="727" t="str">
        <f>IF(AB548="","",VLOOKUP(AB548,BoonRef!$A$2:$Z$900,25,FALSE))</f>
        <v/>
      </c>
      <c r="AJ548" s="727"/>
      <c r="AK548" s="727"/>
      <c r="AL548" s="727"/>
      <c r="AM548" s="727"/>
      <c r="AN548" s="727"/>
      <c r="AO548" s="727"/>
      <c r="AP548" s="727"/>
      <c r="AQ548" s="727"/>
      <c r="AR548" s="727"/>
      <c r="AS548" s="727"/>
      <c r="AT548" s="727"/>
      <c r="AU548" s="727"/>
      <c r="AV548" s="727"/>
      <c r="AW548" s="727"/>
      <c r="AX548" s="727"/>
      <c r="AY548" s="727"/>
      <c r="AZ548" s="728"/>
      <c r="BA548" s="15">
        <v>91</v>
      </c>
      <c r="BB548" s="1038" t="str">
        <f>IF(BA548&lt;'Purchased Knacks'!A$192,VLOOKUP(BA548,'Purchased Knacks'!$A$4:$E$300,3,FALSE),"")</f>
        <v/>
      </c>
      <c r="BC548" s="1039"/>
      <c r="BD548" s="1039"/>
      <c r="BE548" s="1039"/>
      <c r="BF548" s="1040"/>
      <c r="BG548" s="1032" t="str">
        <f>IF(BB548="","",VLOOKUP(BB548,KanckRef!$A$1:$G$300,7,FALSE))</f>
        <v/>
      </c>
      <c r="BH548" s="1033"/>
      <c r="BI548" s="753"/>
      <c r="BJ548" s="754"/>
      <c r="BK548" s="754"/>
      <c r="BL548" s="754"/>
      <c r="BM548" s="754"/>
      <c r="BN548" s="754"/>
      <c r="BO548" s="754"/>
      <c r="BP548" s="754"/>
      <c r="BQ548" s="754"/>
      <c r="BR548" s="754"/>
      <c r="BS548" s="754"/>
      <c r="BT548" s="754"/>
      <c r="BU548" s="754"/>
      <c r="BV548" s="754"/>
      <c r="BW548" s="754"/>
      <c r="BX548" s="754"/>
      <c r="BY548" s="754"/>
      <c r="BZ548" s="755"/>
      <c r="CA548" s="15">
        <v>198</v>
      </c>
      <c r="CB548" s="1038" t="str">
        <f>IF(CA548&lt;'Purchased Knacks'!A$192,VLOOKUP(CA548,'Purchased Knacks'!$A$4:$E$300,3,FALSE),"")</f>
        <v/>
      </c>
      <c r="CC548" s="1039"/>
      <c r="CD548" s="1039"/>
      <c r="CE548" s="1039"/>
      <c r="CF548" s="1040"/>
      <c r="CG548" s="1032" t="str">
        <f>IF(CB548="","",VLOOKUP(CB548,KanckRef!$A$1:$G$300,7,FALSE))</f>
        <v/>
      </c>
      <c r="CH548" s="1033"/>
      <c r="CI548" s="753"/>
      <c r="CJ548" s="754"/>
      <c r="CK548" s="754"/>
      <c r="CL548" s="754"/>
      <c r="CM548" s="754"/>
      <c r="CN548" s="754"/>
      <c r="CO548" s="754"/>
      <c r="CP548" s="754"/>
      <c r="CQ548" s="754"/>
      <c r="CR548" s="754"/>
      <c r="CS548" s="754"/>
      <c r="CT548" s="754"/>
      <c r="CU548" s="754"/>
      <c r="CV548" s="754"/>
      <c r="CW548" s="754"/>
      <c r="CX548" s="754"/>
      <c r="CY548" s="754"/>
      <c r="CZ548" s="755"/>
    </row>
    <row r="549" spans="1:104" x14ac:dyDescent="0.25">
      <c r="B549" s="1026"/>
      <c r="C549" s="727"/>
      <c r="D549" s="727"/>
      <c r="E549" s="727"/>
      <c r="F549" s="727"/>
      <c r="G549" s="727"/>
      <c r="H549" s="727"/>
      <c r="I549" s="727" t="str">
        <f>IF(B548="","",VLOOKUP(B548,BoonRef!$A$2:$Z$900,26,FALSE))</f>
        <v/>
      </c>
      <c r="J549" s="727"/>
      <c r="K549" s="727"/>
      <c r="L549" s="727"/>
      <c r="M549" s="727"/>
      <c r="N549" s="727"/>
      <c r="O549" s="727"/>
      <c r="P549" s="727"/>
      <c r="Q549" s="727"/>
      <c r="R549" s="727"/>
      <c r="S549" s="727"/>
      <c r="T549" s="727"/>
      <c r="U549" s="727"/>
      <c r="V549" s="727"/>
      <c r="W549" s="727"/>
      <c r="X549" s="727"/>
      <c r="Y549" s="727"/>
      <c r="Z549" s="728"/>
      <c r="AB549" s="1026"/>
      <c r="AC549" s="727"/>
      <c r="AD549" s="727"/>
      <c r="AE549" s="727"/>
      <c r="AF549" s="727"/>
      <c r="AG549" s="727"/>
      <c r="AH549" s="727"/>
      <c r="AI549" s="727" t="str">
        <f>IF(AB548="","",VLOOKUP(AB548,BoonRef!$A$2:$Z$900,26,FALSE))</f>
        <v/>
      </c>
      <c r="AJ549" s="727"/>
      <c r="AK549" s="727"/>
      <c r="AL549" s="727"/>
      <c r="AM549" s="727"/>
      <c r="AN549" s="727"/>
      <c r="AO549" s="727"/>
      <c r="AP549" s="727"/>
      <c r="AQ549" s="727"/>
      <c r="AR549" s="727"/>
      <c r="AS549" s="727"/>
      <c r="AT549" s="727"/>
      <c r="AU549" s="727"/>
      <c r="AV549" s="727"/>
      <c r="AW549" s="727"/>
      <c r="AX549" s="727"/>
      <c r="AY549" s="727"/>
      <c r="AZ549" s="728"/>
      <c r="BB549" s="1041"/>
      <c r="BC549" s="1042"/>
      <c r="BD549" s="1042"/>
      <c r="BE549" s="1042"/>
      <c r="BF549" s="1043"/>
      <c r="BG549" s="1034"/>
      <c r="BH549" s="1035"/>
      <c r="BI549" s="753"/>
      <c r="BJ549" s="754"/>
      <c r="BK549" s="754"/>
      <c r="BL549" s="754"/>
      <c r="BM549" s="754"/>
      <c r="BN549" s="754"/>
      <c r="BO549" s="754"/>
      <c r="BP549" s="754"/>
      <c r="BQ549" s="754"/>
      <c r="BR549" s="754"/>
      <c r="BS549" s="754"/>
      <c r="BT549" s="754"/>
      <c r="BU549" s="754"/>
      <c r="BV549" s="754"/>
      <c r="BW549" s="754"/>
      <c r="BX549" s="754"/>
      <c r="BY549" s="754"/>
      <c r="BZ549" s="755"/>
      <c r="CB549" s="1041"/>
      <c r="CC549" s="1042"/>
      <c r="CD549" s="1042"/>
      <c r="CE549" s="1042"/>
      <c r="CF549" s="1043"/>
      <c r="CG549" s="1034"/>
      <c r="CH549" s="1035"/>
      <c r="CI549" s="753"/>
      <c r="CJ549" s="754"/>
      <c r="CK549" s="754"/>
      <c r="CL549" s="754"/>
      <c r="CM549" s="754"/>
      <c r="CN549" s="754"/>
      <c r="CO549" s="754"/>
      <c r="CP549" s="754"/>
      <c r="CQ549" s="754"/>
      <c r="CR549" s="754"/>
      <c r="CS549" s="754"/>
      <c r="CT549" s="754"/>
      <c r="CU549" s="754"/>
      <c r="CV549" s="754"/>
      <c r="CW549" s="754"/>
      <c r="CX549" s="754"/>
      <c r="CY549" s="754"/>
      <c r="CZ549" s="755"/>
    </row>
    <row r="550" spans="1:104" x14ac:dyDescent="0.25">
      <c r="B550" s="1026" t="str">
        <f>IF(B548="","",VLOOKUP(B548,BoonRef!$A$2:$Z$900,24,FALSE))</f>
        <v/>
      </c>
      <c r="C550" s="727"/>
      <c r="D550" s="727"/>
      <c r="E550" s="727"/>
      <c r="F550" s="727"/>
      <c r="G550" s="727"/>
      <c r="H550" s="727"/>
      <c r="I550" s="727"/>
      <c r="J550" s="727"/>
      <c r="K550" s="727"/>
      <c r="L550" s="727"/>
      <c r="M550" s="727"/>
      <c r="N550" s="727"/>
      <c r="O550" s="727"/>
      <c r="P550" s="727"/>
      <c r="Q550" s="727"/>
      <c r="R550" s="727"/>
      <c r="S550" s="727"/>
      <c r="T550" s="727"/>
      <c r="U550" s="727"/>
      <c r="V550" s="727"/>
      <c r="W550" s="727"/>
      <c r="X550" s="727"/>
      <c r="Y550" s="727"/>
      <c r="Z550" s="728"/>
      <c r="AB550" s="1026" t="str">
        <f>IF(AB548="","",VLOOKUP(AB548,BoonRef!$A$2:$Z$900,24,FALSE))</f>
        <v/>
      </c>
      <c r="AC550" s="727"/>
      <c r="AD550" s="727"/>
      <c r="AE550" s="727"/>
      <c r="AF550" s="727"/>
      <c r="AG550" s="727"/>
      <c r="AH550" s="727"/>
      <c r="AI550" s="727"/>
      <c r="AJ550" s="727"/>
      <c r="AK550" s="727"/>
      <c r="AL550" s="727"/>
      <c r="AM550" s="727"/>
      <c r="AN550" s="727"/>
      <c r="AO550" s="727"/>
      <c r="AP550" s="727"/>
      <c r="AQ550" s="727"/>
      <c r="AR550" s="727"/>
      <c r="AS550" s="727"/>
      <c r="AT550" s="727"/>
      <c r="AU550" s="727"/>
      <c r="AV550" s="727"/>
      <c r="AW550" s="727"/>
      <c r="AX550" s="727"/>
      <c r="AY550" s="727"/>
      <c r="AZ550" s="728"/>
      <c r="BB550" s="641" t="str">
        <f>IF(BB548="","",VLOOKUP(BB548,KanckRef!$A$1:$G$300,4,FALSE))</f>
        <v/>
      </c>
      <c r="BC550" s="642"/>
      <c r="BD550" s="642"/>
      <c r="BE550" s="642"/>
      <c r="BF550" s="642"/>
      <c r="BG550" s="642"/>
      <c r="BH550" s="1033"/>
      <c r="BI550" s="753"/>
      <c r="BJ550" s="754"/>
      <c r="BK550" s="754"/>
      <c r="BL550" s="754"/>
      <c r="BM550" s="754"/>
      <c r="BN550" s="754"/>
      <c r="BO550" s="754"/>
      <c r="BP550" s="754"/>
      <c r="BQ550" s="754"/>
      <c r="BR550" s="754"/>
      <c r="BS550" s="754"/>
      <c r="BT550" s="754"/>
      <c r="BU550" s="754"/>
      <c r="BV550" s="754"/>
      <c r="BW550" s="754"/>
      <c r="BX550" s="754"/>
      <c r="BY550" s="754"/>
      <c r="BZ550" s="755"/>
      <c r="CB550" s="641" t="str">
        <f>IF(CB548="","",VLOOKUP(CB548,KanckRef!$A$1:$G$300,4,FALSE))</f>
        <v/>
      </c>
      <c r="CC550" s="642"/>
      <c r="CD550" s="642"/>
      <c r="CE550" s="642"/>
      <c r="CF550" s="642"/>
      <c r="CG550" s="642"/>
      <c r="CH550" s="1033"/>
      <c r="CI550" s="753"/>
      <c r="CJ550" s="754"/>
      <c r="CK550" s="754"/>
      <c r="CL550" s="754"/>
      <c r="CM550" s="754"/>
      <c r="CN550" s="754"/>
      <c r="CO550" s="754"/>
      <c r="CP550" s="754"/>
      <c r="CQ550" s="754"/>
      <c r="CR550" s="754"/>
      <c r="CS550" s="754"/>
      <c r="CT550" s="754"/>
      <c r="CU550" s="754"/>
      <c r="CV550" s="754"/>
      <c r="CW550" s="754"/>
      <c r="CX550" s="754"/>
      <c r="CY550" s="754"/>
      <c r="CZ550" s="755"/>
    </row>
    <row r="551" spans="1:104" x14ac:dyDescent="0.25">
      <c r="B551" s="1026" t="str">
        <f>IF(B548="","",VLOOKUP(B548,BoonRef!$A$2:$Z$900,23,FALSE))</f>
        <v/>
      </c>
      <c r="C551" s="727"/>
      <c r="D551" s="727"/>
      <c r="E551" s="727"/>
      <c r="F551" s="727"/>
      <c r="G551" s="727"/>
      <c r="H551" s="727"/>
      <c r="I551" s="727"/>
      <c r="J551" s="727"/>
      <c r="K551" s="727"/>
      <c r="L551" s="727"/>
      <c r="M551" s="727"/>
      <c r="N551" s="727"/>
      <c r="O551" s="727"/>
      <c r="P551" s="727"/>
      <c r="Q551" s="727"/>
      <c r="R551" s="727"/>
      <c r="S551" s="727"/>
      <c r="T551" s="727"/>
      <c r="U551" s="727"/>
      <c r="V551" s="727"/>
      <c r="W551" s="727"/>
      <c r="X551" s="727"/>
      <c r="Y551" s="727"/>
      <c r="Z551" s="728"/>
      <c r="AB551" s="1026" t="str">
        <f>IF(AB548="","",VLOOKUP(AB548,BoonRef!$A$2:$Z$900,23,FALSE))</f>
        <v/>
      </c>
      <c r="AC551" s="727"/>
      <c r="AD551" s="727"/>
      <c r="AE551" s="727"/>
      <c r="AF551" s="727"/>
      <c r="AG551" s="727"/>
      <c r="AH551" s="727"/>
      <c r="AI551" s="727"/>
      <c r="AJ551" s="727"/>
      <c r="AK551" s="727"/>
      <c r="AL551" s="727"/>
      <c r="AM551" s="727"/>
      <c r="AN551" s="727"/>
      <c r="AO551" s="727"/>
      <c r="AP551" s="727"/>
      <c r="AQ551" s="727"/>
      <c r="AR551" s="727"/>
      <c r="AS551" s="727"/>
      <c r="AT551" s="727"/>
      <c r="AU551" s="727"/>
      <c r="AV551" s="727"/>
      <c r="AW551" s="727"/>
      <c r="AX551" s="727"/>
      <c r="AY551" s="727"/>
      <c r="AZ551" s="728"/>
      <c r="BB551" s="635"/>
      <c r="BC551" s="636"/>
      <c r="BD551" s="636"/>
      <c r="BE551" s="636"/>
      <c r="BF551" s="636"/>
      <c r="BG551" s="636"/>
      <c r="BH551" s="1036"/>
      <c r="BI551" s="753"/>
      <c r="BJ551" s="754"/>
      <c r="BK551" s="754"/>
      <c r="BL551" s="754"/>
      <c r="BM551" s="754"/>
      <c r="BN551" s="754"/>
      <c r="BO551" s="754"/>
      <c r="BP551" s="754"/>
      <c r="BQ551" s="754"/>
      <c r="BR551" s="754"/>
      <c r="BS551" s="754"/>
      <c r="BT551" s="754"/>
      <c r="BU551" s="754"/>
      <c r="BV551" s="754"/>
      <c r="BW551" s="754"/>
      <c r="BX551" s="754"/>
      <c r="BY551" s="754"/>
      <c r="BZ551" s="755"/>
      <c r="CB551" s="635"/>
      <c r="CC551" s="636"/>
      <c r="CD551" s="636"/>
      <c r="CE551" s="636"/>
      <c r="CF551" s="636"/>
      <c r="CG551" s="636"/>
      <c r="CH551" s="1036"/>
      <c r="CI551" s="753"/>
      <c r="CJ551" s="754"/>
      <c r="CK551" s="754"/>
      <c r="CL551" s="754"/>
      <c r="CM551" s="754"/>
      <c r="CN551" s="754"/>
      <c r="CO551" s="754"/>
      <c r="CP551" s="754"/>
      <c r="CQ551" s="754"/>
      <c r="CR551" s="754"/>
      <c r="CS551" s="754"/>
      <c r="CT551" s="754"/>
      <c r="CU551" s="754"/>
      <c r="CV551" s="754"/>
      <c r="CW551" s="754"/>
      <c r="CX551" s="754"/>
      <c r="CY551" s="754"/>
      <c r="CZ551" s="755"/>
    </row>
    <row r="552" spans="1:104" ht="15.75" thickBot="1" x14ac:dyDescent="0.3">
      <c r="B552" s="1027"/>
      <c r="C552" s="865"/>
      <c r="D552" s="865"/>
      <c r="E552" s="865"/>
      <c r="F552" s="865"/>
      <c r="G552" s="865"/>
      <c r="H552" s="865"/>
      <c r="I552" s="865"/>
      <c r="J552" s="865"/>
      <c r="K552" s="865"/>
      <c r="L552" s="865"/>
      <c r="M552" s="865"/>
      <c r="N552" s="865"/>
      <c r="O552" s="865"/>
      <c r="P552" s="865"/>
      <c r="Q552" s="865"/>
      <c r="R552" s="865"/>
      <c r="S552" s="865"/>
      <c r="T552" s="865"/>
      <c r="U552" s="865"/>
      <c r="V552" s="865"/>
      <c r="W552" s="865"/>
      <c r="X552" s="865"/>
      <c r="Y552" s="865"/>
      <c r="Z552" s="921"/>
      <c r="AB552" s="1027"/>
      <c r="AC552" s="865"/>
      <c r="AD552" s="865"/>
      <c r="AE552" s="865"/>
      <c r="AF552" s="865"/>
      <c r="AG552" s="865"/>
      <c r="AH552" s="865"/>
      <c r="AI552" s="865"/>
      <c r="AJ552" s="865"/>
      <c r="AK552" s="865"/>
      <c r="AL552" s="865"/>
      <c r="AM552" s="865"/>
      <c r="AN552" s="865"/>
      <c r="AO552" s="865"/>
      <c r="AP552" s="865"/>
      <c r="AQ552" s="865"/>
      <c r="AR552" s="865"/>
      <c r="AS552" s="865"/>
      <c r="AT552" s="865"/>
      <c r="AU552" s="865"/>
      <c r="AV552" s="865"/>
      <c r="AW552" s="865"/>
      <c r="AX552" s="865"/>
      <c r="AY552" s="865"/>
      <c r="AZ552" s="921"/>
      <c r="BB552" s="644"/>
      <c r="BC552" s="645"/>
      <c r="BD552" s="645"/>
      <c r="BE552" s="645"/>
      <c r="BF552" s="645"/>
      <c r="BG552" s="645"/>
      <c r="BH552" s="1037"/>
      <c r="BI552" s="756"/>
      <c r="BJ552" s="757"/>
      <c r="BK552" s="757"/>
      <c r="BL552" s="757"/>
      <c r="BM552" s="757"/>
      <c r="BN552" s="757"/>
      <c r="BO552" s="757"/>
      <c r="BP552" s="757"/>
      <c r="BQ552" s="757"/>
      <c r="BR552" s="757"/>
      <c r="BS552" s="757"/>
      <c r="BT552" s="757"/>
      <c r="BU552" s="757"/>
      <c r="BV552" s="757"/>
      <c r="BW552" s="757"/>
      <c r="BX552" s="757"/>
      <c r="BY552" s="757"/>
      <c r="BZ552" s="758"/>
      <c r="CB552" s="644"/>
      <c r="CC552" s="645"/>
      <c r="CD552" s="645"/>
      <c r="CE552" s="645"/>
      <c r="CF552" s="645"/>
      <c r="CG552" s="645"/>
      <c r="CH552" s="1037"/>
      <c r="CI552" s="756"/>
      <c r="CJ552" s="757"/>
      <c r="CK552" s="757"/>
      <c r="CL552" s="757"/>
      <c r="CM552" s="757"/>
      <c r="CN552" s="757"/>
      <c r="CO552" s="757"/>
      <c r="CP552" s="757"/>
      <c r="CQ552" s="757"/>
      <c r="CR552" s="757"/>
      <c r="CS552" s="757"/>
      <c r="CT552" s="757"/>
      <c r="CU552" s="757"/>
      <c r="CV552" s="757"/>
      <c r="CW552" s="757"/>
      <c r="CX552" s="757"/>
      <c r="CY552" s="757"/>
      <c r="CZ552" s="758"/>
    </row>
    <row r="553" spans="1:104" x14ac:dyDescent="0.25">
      <c r="B553" s="1028" t="str">
        <f>IF(B554="","",VLOOKUP(B554,BoonRef!$A$2:$Z$900,2,FALSE))</f>
        <v/>
      </c>
      <c r="C553" s="725"/>
      <c r="D553" s="725"/>
      <c r="E553" s="725"/>
      <c r="F553" s="725"/>
      <c r="G553" s="725"/>
      <c r="H553" s="725"/>
      <c r="I553" s="725" t="str">
        <f>IF(B554="","",VLOOKUP(B554,BoonRef!$A$2:$Z$900,3,FALSE))</f>
        <v/>
      </c>
      <c r="J553" s="725"/>
      <c r="K553" s="725" t="str">
        <f>IF(B554="","",VLOOKUP(B554,DescRef!$A$2:$B$900,2,FALSE))</f>
        <v/>
      </c>
      <c r="L553" s="725"/>
      <c r="M553" s="725"/>
      <c r="N553" s="725"/>
      <c r="O553" s="725"/>
      <c r="P553" s="725"/>
      <c r="Q553" s="725"/>
      <c r="R553" s="725"/>
      <c r="S553" s="725"/>
      <c r="T553" s="725"/>
      <c r="U553" s="725"/>
      <c r="V553" s="725"/>
      <c r="W553" s="725"/>
      <c r="X553" s="725"/>
      <c r="Y553" s="725"/>
      <c r="Z553" s="726"/>
      <c r="AB553" s="1028" t="str">
        <f>IF(AB554="","",VLOOKUP(AB554,BoonRef!$A$2:$Z$900,2,FALSE))</f>
        <v/>
      </c>
      <c r="AC553" s="725"/>
      <c r="AD553" s="725"/>
      <c r="AE553" s="725"/>
      <c r="AF553" s="725"/>
      <c r="AG553" s="725"/>
      <c r="AH553" s="725"/>
      <c r="AI553" s="725" t="str">
        <f>IF(AB554="","",VLOOKUP(AB554,BoonRef!$A$2:$Z$900,3,FALSE))</f>
        <v/>
      </c>
      <c r="AJ553" s="725"/>
      <c r="AK553" s="725" t="str">
        <f>IF(AB554="","",VLOOKUP(AB554,DescRef!$A$2:$B$900,2,FALSE))</f>
        <v/>
      </c>
      <c r="AL553" s="725"/>
      <c r="AM553" s="725"/>
      <c r="AN553" s="725"/>
      <c r="AO553" s="725"/>
      <c r="AP553" s="725"/>
      <c r="AQ553" s="725"/>
      <c r="AR553" s="725"/>
      <c r="AS553" s="725"/>
      <c r="AT553" s="725"/>
      <c r="AU553" s="725"/>
      <c r="AV553" s="725"/>
      <c r="AW553" s="725"/>
      <c r="AX553" s="725"/>
      <c r="AY553" s="725"/>
      <c r="AZ553" s="726"/>
      <c r="BB553" s="1029" t="str">
        <f>IF(BB554="","",VLOOKUP(BB554,KanckRef!$A$1:$G$300,2,FALSE))</f>
        <v/>
      </c>
      <c r="BC553" s="1030"/>
      <c r="BD553" s="1030"/>
      <c r="BE553" s="1030"/>
      <c r="BF553" s="1031"/>
      <c r="BG553" s="1048" t="str">
        <f>IF(BB554="","",VLOOKUP(BB554,KanckRef!$A$1:$G$300,6,FALSE))</f>
        <v/>
      </c>
      <c r="BH553" s="1049"/>
      <c r="BI553" s="988" t="str">
        <f>IF(BB554="","",VLOOKUP(BB554,DescRef!$D$2:$E$300,2,FALSE))</f>
        <v/>
      </c>
      <c r="BJ553" s="795"/>
      <c r="BK553" s="795"/>
      <c r="BL553" s="795"/>
      <c r="BM553" s="795"/>
      <c r="BN553" s="795"/>
      <c r="BO553" s="795"/>
      <c r="BP553" s="795"/>
      <c r="BQ553" s="795"/>
      <c r="BR553" s="795"/>
      <c r="BS553" s="795"/>
      <c r="BT553" s="795"/>
      <c r="BU553" s="795"/>
      <c r="BV553" s="795"/>
      <c r="BW553" s="795"/>
      <c r="BX553" s="795"/>
      <c r="BY553" s="795"/>
      <c r="BZ553" s="796"/>
      <c r="CB553" s="1029" t="str">
        <f>IF(CB554="","",VLOOKUP(CB554,KanckRef!$A$1:$G$300,2,FALSE))</f>
        <v/>
      </c>
      <c r="CC553" s="1030"/>
      <c r="CD553" s="1030"/>
      <c r="CE553" s="1030"/>
      <c r="CF553" s="1031"/>
      <c r="CG553" s="1048" t="str">
        <f>IF(CB554="","",VLOOKUP(CB554,KanckRef!$A$1:$G$300,6,FALSE))</f>
        <v/>
      </c>
      <c r="CH553" s="1049"/>
      <c r="CI553" s="988" t="str">
        <f>IF(CB554="","",VLOOKUP(CB554,DescRef!$D$2:$E$300,2,FALSE))</f>
        <v/>
      </c>
      <c r="CJ553" s="795"/>
      <c r="CK553" s="795"/>
      <c r="CL553" s="795"/>
      <c r="CM553" s="795"/>
      <c r="CN553" s="795"/>
      <c r="CO553" s="795"/>
      <c r="CP553" s="795"/>
      <c r="CQ553" s="795"/>
      <c r="CR553" s="795"/>
      <c r="CS553" s="795"/>
      <c r="CT553" s="795"/>
      <c r="CU553" s="795"/>
      <c r="CV553" s="795"/>
      <c r="CW553" s="795"/>
      <c r="CX553" s="795"/>
      <c r="CY553" s="795"/>
      <c r="CZ553" s="796"/>
    </row>
    <row r="554" spans="1:104" ht="15" customHeight="1" x14ac:dyDescent="0.25">
      <c r="A554" s="15">
        <v>92</v>
      </c>
      <c r="B554" s="1026" t="str">
        <f>IF(A554&lt;'Purchased Boons'!$B$496,VLOOKUP(A554,'Purchased Boons'!$BF$2:$BG$900,2,FALSE),"")</f>
        <v/>
      </c>
      <c r="C554" s="727"/>
      <c r="D554" s="727"/>
      <c r="E554" s="727"/>
      <c r="F554" s="727"/>
      <c r="G554" s="727"/>
      <c r="H554" s="727"/>
      <c r="I554" s="727" t="str">
        <f>IF(B554="","",VLOOKUP(B554,BoonRef!$A$2:$Z$900,25,FALSE))</f>
        <v/>
      </c>
      <c r="J554" s="727"/>
      <c r="K554" s="727"/>
      <c r="L554" s="727"/>
      <c r="M554" s="727"/>
      <c r="N554" s="727"/>
      <c r="O554" s="727"/>
      <c r="P554" s="727"/>
      <c r="Q554" s="727"/>
      <c r="R554" s="727"/>
      <c r="S554" s="727"/>
      <c r="T554" s="727"/>
      <c r="U554" s="727"/>
      <c r="V554" s="727"/>
      <c r="W554" s="727"/>
      <c r="X554" s="727"/>
      <c r="Y554" s="727"/>
      <c r="Z554" s="728"/>
      <c r="AA554" s="15">
        <v>199</v>
      </c>
      <c r="AB554" s="1026" t="str">
        <f>IF(AA554&lt;'Purchased Boons'!$B$496,VLOOKUP(AA554,'Purchased Boons'!$BF$2:$BG$900,2,FALSE),"")</f>
        <v/>
      </c>
      <c r="AC554" s="727"/>
      <c r="AD554" s="727"/>
      <c r="AE554" s="727"/>
      <c r="AF554" s="727"/>
      <c r="AG554" s="727"/>
      <c r="AH554" s="727"/>
      <c r="AI554" s="727" t="str">
        <f>IF(AB554="","",VLOOKUP(AB554,BoonRef!$A$2:$Z$900,25,FALSE))</f>
        <v/>
      </c>
      <c r="AJ554" s="727"/>
      <c r="AK554" s="727"/>
      <c r="AL554" s="727"/>
      <c r="AM554" s="727"/>
      <c r="AN554" s="727"/>
      <c r="AO554" s="727"/>
      <c r="AP554" s="727"/>
      <c r="AQ554" s="727"/>
      <c r="AR554" s="727"/>
      <c r="AS554" s="727"/>
      <c r="AT554" s="727"/>
      <c r="AU554" s="727"/>
      <c r="AV554" s="727"/>
      <c r="AW554" s="727"/>
      <c r="AX554" s="727"/>
      <c r="AY554" s="727"/>
      <c r="AZ554" s="728"/>
      <c r="BA554" s="15">
        <v>92</v>
      </c>
      <c r="BB554" s="1038" t="str">
        <f>IF(BA554&lt;'Purchased Knacks'!A$192,VLOOKUP(BA554,'Purchased Knacks'!$A$4:$E$300,3,FALSE),"")</f>
        <v/>
      </c>
      <c r="BC554" s="1039"/>
      <c r="BD554" s="1039"/>
      <c r="BE554" s="1039"/>
      <c r="BF554" s="1040"/>
      <c r="BG554" s="1032" t="str">
        <f>IF(BB554="","",VLOOKUP(BB554,KanckRef!$A$1:$G$300,7,FALSE))</f>
        <v/>
      </c>
      <c r="BH554" s="1033"/>
      <c r="BI554" s="753"/>
      <c r="BJ554" s="754"/>
      <c r="BK554" s="754"/>
      <c r="BL554" s="754"/>
      <c r="BM554" s="754"/>
      <c r="BN554" s="754"/>
      <c r="BO554" s="754"/>
      <c r="BP554" s="754"/>
      <c r="BQ554" s="754"/>
      <c r="BR554" s="754"/>
      <c r="BS554" s="754"/>
      <c r="BT554" s="754"/>
      <c r="BU554" s="754"/>
      <c r="BV554" s="754"/>
      <c r="BW554" s="754"/>
      <c r="BX554" s="754"/>
      <c r="BY554" s="754"/>
      <c r="BZ554" s="755"/>
      <c r="CA554" s="15">
        <v>199</v>
      </c>
      <c r="CB554" s="1038" t="str">
        <f>IF(CA554&lt;'Purchased Knacks'!A$192,VLOOKUP(CA554,'Purchased Knacks'!$A$4:$E$300,3,FALSE),"")</f>
        <v/>
      </c>
      <c r="CC554" s="1039"/>
      <c r="CD554" s="1039"/>
      <c r="CE554" s="1039"/>
      <c r="CF554" s="1040"/>
      <c r="CG554" s="1032" t="str">
        <f>IF(CB554="","",VLOOKUP(CB554,KanckRef!$A$1:$G$300,7,FALSE))</f>
        <v/>
      </c>
      <c r="CH554" s="1033"/>
      <c r="CI554" s="753"/>
      <c r="CJ554" s="754"/>
      <c r="CK554" s="754"/>
      <c r="CL554" s="754"/>
      <c r="CM554" s="754"/>
      <c r="CN554" s="754"/>
      <c r="CO554" s="754"/>
      <c r="CP554" s="754"/>
      <c r="CQ554" s="754"/>
      <c r="CR554" s="754"/>
      <c r="CS554" s="754"/>
      <c r="CT554" s="754"/>
      <c r="CU554" s="754"/>
      <c r="CV554" s="754"/>
      <c r="CW554" s="754"/>
      <c r="CX554" s="754"/>
      <c r="CY554" s="754"/>
      <c r="CZ554" s="755"/>
    </row>
    <row r="555" spans="1:104" x14ac:dyDescent="0.25">
      <c r="B555" s="1026"/>
      <c r="C555" s="727"/>
      <c r="D555" s="727"/>
      <c r="E555" s="727"/>
      <c r="F555" s="727"/>
      <c r="G555" s="727"/>
      <c r="H555" s="727"/>
      <c r="I555" s="727" t="str">
        <f>IF(B554="","",VLOOKUP(B554,BoonRef!$A$2:$Z$900,26,FALSE))</f>
        <v/>
      </c>
      <c r="J555" s="727"/>
      <c r="K555" s="727"/>
      <c r="L555" s="727"/>
      <c r="M555" s="727"/>
      <c r="N555" s="727"/>
      <c r="O555" s="727"/>
      <c r="P555" s="727"/>
      <c r="Q555" s="727"/>
      <c r="R555" s="727"/>
      <c r="S555" s="727"/>
      <c r="T555" s="727"/>
      <c r="U555" s="727"/>
      <c r="V555" s="727"/>
      <c r="W555" s="727"/>
      <c r="X555" s="727"/>
      <c r="Y555" s="727"/>
      <c r="Z555" s="728"/>
      <c r="AB555" s="1026"/>
      <c r="AC555" s="727"/>
      <c r="AD555" s="727"/>
      <c r="AE555" s="727"/>
      <c r="AF555" s="727"/>
      <c r="AG555" s="727"/>
      <c r="AH555" s="727"/>
      <c r="AI555" s="727" t="str">
        <f>IF(AB554="","",VLOOKUP(AB554,BoonRef!$A$2:$Z$900,26,FALSE))</f>
        <v/>
      </c>
      <c r="AJ555" s="727"/>
      <c r="AK555" s="727"/>
      <c r="AL555" s="727"/>
      <c r="AM555" s="727"/>
      <c r="AN555" s="727"/>
      <c r="AO555" s="727"/>
      <c r="AP555" s="727"/>
      <c r="AQ555" s="727"/>
      <c r="AR555" s="727"/>
      <c r="AS555" s="727"/>
      <c r="AT555" s="727"/>
      <c r="AU555" s="727"/>
      <c r="AV555" s="727"/>
      <c r="AW555" s="727"/>
      <c r="AX555" s="727"/>
      <c r="AY555" s="727"/>
      <c r="AZ555" s="728"/>
      <c r="BB555" s="1041"/>
      <c r="BC555" s="1042"/>
      <c r="BD555" s="1042"/>
      <c r="BE555" s="1042"/>
      <c r="BF555" s="1043"/>
      <c r="BG555" s="1034"/>
      <c r="BH555" s="1035"/>
      <c r="BI555" s="753"/>
      <c r="BJ555" s="754"/>
      <c r="BK555" s="754"/>
      <c r="BL555" s="754"/>
      <c r="BM555" s="754"/>
      <c r="BN555" s="754"/>
      <c r="BO555" s="754"/>
      <c r="BP555" s="754"/>
      <c r="BQ555" s="754"/>
      <c r="BR555" s="754"/>
      <c r="BS555" s="754"/>
      <c r="BT555" s="754"/>
      <c r="BU555" s="754"/>
      <c r="BV555" s="754"/>
      <c r="BW555" s="754"/>
      <c r="BX555" s="754"/>
      <c r="BY555" s="754"/>
      <c r="BZ555" s="755"/>
      <c r="CB555" s="1041"/>
      <c r="CC555" s="1042"/>
      <c r="CD555" s="1042"/>
      <c r="CE555" s="1042"/>
      <c r="CF555" s="1043"/>
      <c r="CG555" s="1034"/>
      <c r="CH555" s="1035"/>
      <c r="CI555" s="753"/>
      <c r="CJ555" s="754"/>
      <c r="CK555" s="754"/>
      <c r="CL555" s="754"/>
      <c r="CM555" s="754"/>
      <c r="CN555" s="754"/>
      <c r="CO555" s="754"/>
      <c r="CP555" s="754"/>
      <c r="CQ555" s="754"/>
      <c r="CR555" s="754"/>
      <c r="CS555" s="754"/>
      <c r="CT555" s="754"/>
      <c r="CU555" s="754"/>
      <c r="CV555" s="754"/>
      <c r="CW555" s="754"/>
      <c r="CX555" s="754"/>
      <c r="CY555" s="754"/>
      <c r="CZ555" s="755"/>
    </row>
    <row r="556" spans="1:104" x14ac:dyDescent="0.25">
      <c r="B556" s="1026" t="str">
        <f>IF(B554="","",VLOOKUP(B554,BoonRef!$A$2:$Z$900,24,FALSE))</f>
        <v/>
      </c>
      <c r="C556" s="727"/>
      <c r="D556" s="727"/>
      <c r="E556" s="727"/>
      <c r="F556" s="727"/>
      <c r="G556" s="727"/>
      <c r="H556" s="727"/>
      <c r="I556" s="727"/>
      <c r="J556" s="727"/>
      <c r="K556" s="727"/>
      <c r="L556" s="727"/>
      <c r="M556" s="727"/>
      <c r="N556" s="727"/>
      <c r="O556" s="727"/>
      <c r="P556" s="727"/>
      <c r="Q556" s="727"/>
      <c r="R556" s="727"/>
      <c r="S556" s="727"/>
      <c r="T556" s="727"/>
      <c r="U556" s="727"/>
      <c r="V556" s="727"/>
      <c r="W556" s="727"/>
      <c r="X556" s="727"/>
      <c r="Y556" s="727"/>
      <c r="Z556" s="728"/>
      <c r="AB556" s="1026" t="str">
        <f>IF(AB554="","",VLOOKUP(AB554,BoonRef!$A$2:$Z$900,24,FALSE))</f>
        <v/>
      </c>
      <c r="AC556" s="727"/>
      <c r="AD556" s="727"/>
      <c r="AE556" s="727"/>
      <c r="AF556" s="727"/>
      <c r="AG556" s="727"/>
      <c r="AH556" s="727"/>
      <c r="AI556" s="727"/>
      <c r="AJ556" s="727"/>
      <c r="AK556" s="727"/>
      <c r="AL556" s="727"/>
      <c r="AM556" s="727"/>
      <c r="AN556" s="727"/>
      <c r="AO556" s="727"/>
      <c r="AP556" s="727"/>
      <c r="AQ556" s="727"/>
      <c r="AR556" s="727"/>
      <c r="AS556" s="727"/>
      <c r="AT556" s="727"/>
      <c r="AU556" s="727"/>
      <c r="AV556" s="727"/>
      <c r="AW556" s="727"/>
      <c r="AX556" s="727"/>
      <c r="AY556" s="727"/>
      <c r="AZ556" s="728"/>
      <c r="BB556" s="641" t="str">
        <f>IF(BB554="","",VLOOKUP(BB554,KanckRef!$A$1:$G$300,4,FALSE))</f>
        <v/>
      </c>
      <c r="BC556" s="642"/>
      <c r="BD556" s="642"/>
      <c r="BE556" s="642"/>
      <c r="BF556" s="642"/>
      <c r="BG556" s="642"/>
      <c r="BH556" s="1033"/>
      <c r="BI556" s="753"/>
      <c r="BJ556" s="754"/>
      <c r="BK556" s="754"/>
      <c r="BL556" s="754"/>
      <c r="BM556" s="754"/>
      <c r="BN556" s="754"/>
      <c r="BO556" s="754"/>
      <c r="BP556" s="754"/>
      <c r="BQ556" s="754"/>
      <c r="BR556" s="754"/>
      <c r="BS556" s="754"/>
      <c r="BT556" s="754"/>
      <c r="BU556" s="754"/>
      <c r="BV556" s="754"/>
      <c r="BW556" s="754"/>
      <c r="BX556" s="754"/>
      <c r="BY556" s="754"/>
      <c r="BZ556" s="755"/>
      <c r="CB556" s="641" t="str">
        <f>IF(CB554="","",VLOOKUP(CB554,KanckRef!$A$1:$G$300,4,FALSE))</f>
        <v/>
      </c>
      <c r="CC556" s="642"/>
      <c r="CD556" s="642"/>
      <c r="CE556" s="642"/>
      <c r="CF556" s="642"/>
      <c r="CG556" s="642"/>
      <c r="CH556" s="1033"/>
      <c r="CI556" s="753"/>
      <c r="CJ556" s="754"/>
      <c r="CK556" s="754"/>
      <c r="CL556" s="754"/>
      <c r="CM556" s="754"/>
      <c r="CN556" s="754"/>
      <c r="CO556" s="754"/>
      <c r="CP556" s="754"/>
      <c r="CQ556" s="754"/>
      <c r="CR556" s="754"/>
      <c r="CS556" s="754"/>
      <c r="CT556" s="754"/>
      <c r="CU556" s="754"/>
      <c r="CV556" s="754"/>
      <c r="CW556" s="754"/>
      <c r="CX556" s="754"/>
      <c r="CY556" s="754"/>
      <c r="CZ556" s="755"/>
    </row>
    <row r="557" spans="1:104" x14ac:dyDescent="0.25">
      <c r="B557" s="1026" t="str">
        <f>IF(B554="","",VLOOKUP(B554,BoonRef!$A$2:$Z$900,23,FALSE))</f>
        <v/>
      </c>
      <c r="C557" s="727"/>
      <c r="D557" s="727"/>
      <c r="E557" s="727"/>
      <c r="F557" s="727"/>
      <c r="G557" s="727"/>
      <c r="H557" s="727"/>
      <c r="I557" s="727"/>
      <c r="J557" s="727"/>
      <c r="K557" s="727"/>
      <c r="L557" s="727"/>
      <c r="M557" s="727"/>
      <c r="N557" s="727"/>
      <c r="O557" s="727"/>
      <c r="P557" s="727"/>
      <c r="Q557" s="727"/>
      <c r="R557" s="727"/>
      <c r="S557" s="727"/>
      <c r="T557" s="727"/>
      <c r="U557" s="727"/>
      <c r="V557" s="727"/>
      <c r="W557" s="727"/>
      <c r="X557" s="727"/>
      <c r="Y557" s="727"/>
      <c r="Z557" s="728"/>
      <c r="AB557" s="1026" t="str">
        <f>IF(AB554="","",VLOOKUP(AB554,BoonRef!$A$2:$Z$900,23,FALSE))</f>
        <v/>
      </c>
      <c r="AC557" s="727"/>
      <c r="AD557" s="727"/>
      <c r="AE557" s="727"/>
      <c r="AF557" s="727"/>
      <c r="AG557" s="727"/>
      <c r="AH557" s="727"/>
      <c r="AI557" s="727"/>
      <c r="AJ557" s="727"/>
      <c r="AK557" s="727"/>
      <c r="AL557" s="727"/>
      <c r="AM557" s="727"/>
      <c r="AN557" s="727"/>
      <c r="AO557" s="727"/>
      <c r="AP557" s="727"/>
      <c r="AQ557" s="727"/>
      <c r="AR557" s="727"/>
      <c r="AS557" s="727"/>
      <c r="AT557" s="727"/>
      <c r="AU557" s="727"/>
      <c r="AV557" s="727"/>
      <c r="AW557" s="727"/>
      <c r="AX557" s="727"/>
      <c r="AY557" s="727"/>
      <c r="AZ557" s="728"/>
      <c r="BB557" s="635"/>
      <c r="BC557" s="636"/>
      <c r="BD557" s="636"/>
      <c r="BE557" s="636"/>
      <c r="BF557" s="636"/>
      <c r="BG557" s="636"/>
      <c r="BH557" s="1036"/>
      <c r="BI557" s="753"/>
      <c r="BJ557" s="754"/>
      <c r="BK557" s="754"/>
      <c r="BL557" s="754"/>
      <c r="BM557" s="754"/>
      <c r="BN557" s="754"/>
      <c r="BO557" s="754"/>
      <c r="BP557" s="754"/>
      <c r="BQ557" s="754"/>
      <c r="BR557" s="754"/>
      <c r="BS557" s="754"/>
      <c r="BT557" s="754"/>
      <c r="BU557" s="754"/>
      <c r="BV557" s="754"/>
      <c r="BW557" s="754"/>
      <c r="BX557" s="754"/>
      <c r="BY557" s="754"/>
      <c r="BZ557" s="755"/>
      <c r="CB557" s="635"/>
      <c r="CC557" s="636"/>
      <c r="CD557" s="636"/>
      <c r="CE557" s="636"/>
      <c r="CF557" s="636"/>
      <c r="CG557" s="636"/>
      <c r="CH557" s="1036"/>
      <c r="CI557" s="753"/>
      <c r="CJ557" s="754"/>
      <c r="CK557" s="754"/>
      <c r="CL557" s="754"/>
      <c r="CM557" s="754"/>
      <c r="CN557" s="754"/>
      <c r="CO557" s="754"/>
      <c r="CP557" s="754"/>
      <c r="CQ557" s="754"/>
      <c r="CR557" s="754"/>
      <c r="CS557" s="754"/>
      <c r="CT557" s="754"/>
      <c r="CU557" s="754"/>
      <c r="CV557" s="754"/>
      <c r="CW557" s="754"/>
      <c r="CX557" s="754"/>
      <c r="CY557" s="754"/>
      <c r="CZ557" s="755"/>
    </row>
    <row r="558" spans="1:104" ht="15.75" thickBot="1" x14ac:dyDescent="0.3">
      <c r="B558" s="1027"/>
      <c r="C558" s="865"/>
      <c r="D558" s="865"/>
      <c r="E558" s="865"/>
      <c r="F558" s="865"/>
      <c r="G558" s="865"/>
      <c r="H558" s="865"/>
      <c r="I558" s="865"/>
      <c r="J558" s="865"/>
      <c r="K558" s="865"/>
      <c r="L558" s="865"/>
      <c r="M558" s="865"/>
      <c r="N558" s="865"/>
      <c r="O558" s="865"/>
      <c r="P558" s="865"/>
      <c r="Q558" s="865"/>
      <c r="R558" s="865"/>
      <c r="S558" s="865"/>
      <c r="T558" s="865"/>
      <c r="U558" s="865"/>
      <c r="V558" s="865"/>
      <c r="W558" s="865"/>
      <c r="X558" s="865"/>
      <c r="Y558" s="865"/>
      <c r="Z558" s="921"/>
      <c r="AB558" s="1027"/>
      <c r="AC558" s="865"/>
      <c r="AD558" s="865"/>
      <c r="AE558" s="865"/>
      <c r="AF558" s="865"/>
      <c r="AG558" s="865"/>
      <c r="AH558" s="865"/>
      <c r="AI558" s="865"/>
      <c r="AJ558" s="865"/>
      <c r="AK558" s="865"/>
      <c r="AL558" s="865"/>
      <c r="AM558" s="865"/>
      <c r="AN558" s="865"/>
      <c r="AO558" s="865"/>
      <c r="AP558" s="865"/>
      <c r="AQ558" s="865"/>
      <c r="AR558" s="865"/>
      <c r="AS558" s="865"/>
      <c r="AT558" s="865"/>
      <c r="AU558" s="865"/>
      <c r="AV558" s="865"/>
      <c r="AW558" s="865"/>
      <c r="AX558" s="865"/>
      <c r="AY558" s="865"/>
      <c r="AZ558" s="921"/>
      <c r="BB558" s="644"/>
      <c r="BC558" s="645"/>
      <c r="BD558" s="645"/>
      <c r="BE558" s="645"/>
      <c r="BF558" s="645"/>
      <c r="BG558" s="645"/>
      <c r="BH558" s="1037"/>
      <c r="BI558" s="756"/>
      <c r="BJ558" s="757"/>
      <c r="BK558" s="757"/>
      <c r="BL558" s="757"/>
      <c r="BM558" s="757"/>
      <c r="BN558" s="757"/>
      <c r="BO558" s="757"/>
      <c r="BP558" s="757"/>
      <c r="BQ558" s="757"/>
      <c r="BR558" s="757"/>
      <c r="BS558" s="757"/>
      <c r="BT558" s="757"/>
      <c r="BU558" s="757"/>
      <c r="BV558" s="757"/>
      <c r="BW558" s="757"/>
      <c r="BX558" s="757"/>
      <c r="BY558" s="757"/>
      <c r="BZ558" s="758"/>
      <c r="CB558" s="644"/>
      <c r="CC558" s="645"/>
      <c r="CD558" s="645"/>
      <c r="CE558" s="645"/>
      <c r="CF558" s="645"/>
      <c r="CG558" s="645"/>
      <c r="CH558" s="1037"/>
      <c r="CI558" s="756"/>
      <c r="CJ558" s="757"/>
      <c r="CK558" s="757"/>
      <c r="CL558" s="757"/>
      <c r="CM558" s="757"/>
      <c r="CN558" s="757"/>
      <c r="CO558" s="757"/>
      <c r="CP558" s="757"/>
      <c r="CQ558" s="757"/>
      <c r="CR558" s="757"/>
      <c r="CS558" s="757"/>
      <c r="CT558" s="757"/>
      <c r="CU558" s="757"/>
      <c r="CV558" s="757"/>
      <c r="CW558" s="757"/>
      <c r="CX558" s="757"/>
      <c r="CY558" s="757"/>
      <c r="CZ558" s="758"/>
    </row>
    <row r="559" spans="1:104" x14ac:dyDescent="0.25">
      <c r="B559" s="1028" t="str">
        <f>IF(B560="","",VLOOKUP(B560,BoonRef!$A$2:$Z$900,2,FALSE))</f>
        <v/>
      </c>
      <c r="C559" s="725"/>
      <c r="D559" s="725"/>
      <c r="E559" s="725"/>
      <c r="F559" s="725"/>
      <c r="G559" s="725"/>
      <c r="H559" s="725"/>
      <c r="I559" s="725" t="str">
        <f>IF(B560="","",VLOOKUP(B560,BoonRef!$A$2:$Z$900,3,FALSE))</f>
        <v/>
      </c>
      <c r="J559" s="725"/>
      <c r="K559" s="725" t="str">
        <f>IF(B560="","",VLOOKUP(B560,DescRef!$A$2:$B$900,2,FALSE))</f>
        <v/>
      </c>
      <c r="L559" s="725"/>
      <c r="M559" s="725"/>
      <c r="N559" s="725"/>
      <c r="O559" s="725"/>
      <c r="P559" s="725"/>
      <c r="Q559" s="725"/>
      <c r="R559" s="725"/>
      <c r="S559" s="725"/>
      <c r="T559" s="725"/>
      <c r="U559" s="725"/>
      <c r="V559" s="725"/>
      <c r="W559" s="725"/>
      <c r="X559" s="725"/>
      <c r="Y559" s="725"/>
      <c r="Z559" s="726"/>
      <c r="AB559" s="1028" t="str">
        <f>IF(AB560="","",VLOOKUP(AB560,BoonRef!$A$2:$Z$900,2,FALSE))</f>
        <v/>
      </c>
      <c r="AC559" s="725"/>
      <c r="AD559" s="725"/>
      <c r="AE559" s="725"/>
      <c r="AF559" s="725"/>
      <c r="AG559" s="725"/>
      <c r="AH559" s="725"/>
      <c r="AI559" s="725" t="str">
        <f>IF(AB560="","",VLOOKUP(AB560,BoonRef!$A$2:$Z$900,3,FALSE))</f>
        <v/>
      </c>
      <c r="AJ559" s="725"/>
      <c r="AK559" s="725" t="str">
        <f>IF(AB560="","",VLOOKUP(AB560,DescRef!$A$2:$B$900,2,FALSE))</f>
        <v/>
      </c>
      <c r="AL559" s="725"/>
      <c r="AM559" s="725"/>
      <c r="AN559" s="725"/>
      <c r="AO559" s="725"/>
      <c r="AP559" s="725"/>
      <c r="AQ559" s="725"/>
      <c r="AR559" s="725"/>
      <c r="AS559" s="725"/>
      <c r="AT559" s="725"/>
      <c r="AU559" s="725"/>
      <c r="AV559" s="725"/>
      <c r="AW559" s="725"/>
      <c r="AX559" s="725"/>
      <c r="AY559" s="725"/>
      <c r="AZ559" s="726"/>
      <c r="BB559" s="1029" t="str">
        <f>IF(BB560="","",VLOOKUP(BB560,KanckRef!$A$1:$G$300,2,FALSE))</f>
        <v/>
      </c>
      <c r="BC559" s="1030"/>
      <c r="BD559" s="1030"/>
      <c r="BE559" s="1030"/>
      <c r="BF559" s="1031"/>
      <c r="BG559" s="1048" t="str">
        <f>IF(BB560="","",VLOOKUP(BB560,KanckRef!$A$1:$G$300,6,FALSE))</f>
        <v/>
      </c>
      <c r="BH559" s="1049"/>
      <c r="BI559" s="988" t="str">
        <f>IF(BB560="","",VLOOKUP(BB560,DescRef!$D$2:$E$300,2,FALSE))</f>
        <v/>
      </c>
      <c r="BJ559" s="795"/>
      <c r="BK559" s="795"/>
      <c r="BL559" s="795"/>
      <c r="BM559" s="795"/>
      <c r="BN559" s="795"/>
      <c r="BO559" s="795"/>
      <c r="BP559" s="795"/>
      <c r="BQ559" s="795"/>
      <c r="BR559" s="795"/>
      <c r="BS559" s="795"/>
      <c r="BT559" s="795"/>
      <c r="BU559" s="795"/>
      <c r="BV559" s="795"/>
      <c r="BW559" s="795"/>
      <c r="BX559" s="795"/>
      <c r="BY559" s="795"/>
      <c r="BZ559" s="796"/>
      <c r="CB559" s="1029" t="str">
        <f>IF(CB560="","",VLOOKUP(CB560,KanckRef!$A$1:$G$300,2,FALSE))</f>
        <v/>
      </c>
      <c r="CC559" s="1030"/>
      <c r="CD559" s="1030"/>
      <c r="CE559" s="1030"/>
      <c r="CF559" s="1031"/>
      <c r="CG559" s="1048" t="str">
        <f>IF(CB560="","",VLOOKUP(CB560,KanckRef!$A$1:$G$300,6,FALSE))</f>
        <v/>
      </c>
      <c r="CH559" s="1049"/>
      <c r="CI559" s="988" t="str">
        <f>IF(CB560="","",VLOOKUP(CB560,DescRef!$D$2:$E$300,2,FALSE))</f>
        <v/>
      </c>
      <c r="CJ559" s="795"/>
      <c r="CK559" s="795"/>
      <c r="CL559" s="795"/>
      <c r="CM559" s="795"/>
      <c r="CN559" s="795"/>
      <c r="CO559" s="795"/>
      <c r="CP559" s="795"/>
      <c r="CQ559" s="795"/>
      <c r="CR559" s="795"/>
      <c r="CS559" s="795"/>
      <c r="CT559" s="795"/>
      <c r="CU559" s="795"/>
      <c r="CV559" s="795"/>
      <c r="CW559" s="795"/>
      <c r="CX559" s="795"/>
      <c r="CY559" s="795"/>
      <c r="CZ559" s="796"/>
    </row>
    <row r="560" spans="1:104" ht="15" customHeight="1" x14ac:dyDescent="0.25">
      <c r="A560" s="15">
        <v>93</v>
      </c>
      <c r="B560" s="1026" t="str">
        <f>IF(A560&lt;'Purchased Boons'!$B$496,VLOOKUP(A560,'Purchased Boons'!$BF$2:$BG$900,2,FALSE),"")</f>
        <v/>
      </c>
      <c r="C560" s="727"/>
      <c r="D560" s="727"/>
      <c r="E560" s="727"/>
      <c r="F560" s="727"/>
      <c r="G560" s="727"/>
      <c r="H560" s="727"/>
      <c r="I560" s="727" t="str">
        <f>IF(B560="","",VLOOKUP(B560,BoonRef!$A$2:$Z$900,25,FALSE))</f>
        <v/>
      </c>
      <c r="J560" s="727"/>
      <c r="K560" s="727"/>
      <c r="L560" s="727"/>
      <c r="M560" s="727"/>
      <c r="N560" s="727"/>
      <c r="O560" s="727"/>
      <c r="P560" s="727"/>
      <c r="Q560" s="727"/>
      <c r="R560" s="727"/>
      <c r="S560" s="727"/>
      <c r="T560" s="727"/>
      <c r="U560" s="727"/>
      <c r="V560" s="727"/>
      <c r="W560" s="727"/>
      <c r="X560" s="727"/>
      <c r="Y560" s="727"/>
      <c r="Z560" s="728"/>
      <c r="AA560" s="15">
        <v>200</v>
      </c>
      <c r="AB560" s="1026" t="str">
        <f>IF(AA560&lt;'Purchased Boons'!$B$496,VLOOKUP(AA560,'Purchased Boons'!$BF$2:$BG$900,2,FALSE),"")</f>
        <v/>
      </c>
      <c r="AC560" s="727"/>
      <c r="AD560" s="727"/>
      <c r="AE560" s="727"/>
      <c r="AF560" s="727"/>
      <c r="AG560" s="727"/>
      <c r="AH560" s="727"/>
      <c r="AI560" s="727" t="str">
        <f>IF(AB560="","",VLOOKUP(AB560,BoonRef!$A$2:$Z$900,25,FALSE))</f>
        <v/>
      </c>
      <c r="AJ560" s="727"/>
      <c r="AK560" s="727"/>
      <c r="AL560" s="727"/>
      <c r="AM560" s="727"/>
      <c r="AN560" s="727"/>
      <c r="AO560" s="727"/>
      <c r="AP560" s="727"/>
      <c r="AQ560" s="727"/>
      <c r="AR560" s="727"/>
      <c r="AS560" s="727"/>
      <c r="AT560" s="727"/>
      <c r="AU560" s="727"/>
      <c r="AV560" s="727"/>
      <c r="AW560" s="727"/>
      <c r="AX560" s="727"/>
      <c r="AY560" s="727"/>
      <c r="AZ560" s="728"/>
      <c r="BA560" s="15">
        <v>93</v>
      </c>
      <c r="BB560" s="1038" t="str">
        <f>IF(BA560&lt;'Purchased Knacks'!A$192,VLOOKUP(BA560,'Purchased Knacks'!$A$4:$E$300,3,FALSE),"")</f>
        <v/>
      </c>
      <c r="BC560" s="1039"/>
      <c r="BD560" s="1039"/>
      <c r="BE560" s="1039"/>
      <c r="BF560" s="1040"/>
      <c r="BG560" s="1032" t="str">
        <f>IF(BB560="","",VLOOKUP(BB560,KanckRef!$A$1:$G$300,7,FALSE))</f>
        <v/>
      </c>
      <c r="BH560" s="1033"/>
      <c r="BI560" s="753"/>
      <c r="BJ560" s="754"/>
      <c r="BK560" s="754"/>
      <c r="BL560" s="754"/>
      <c r="BM560" s="754"/>
      <c r="BN560" s="754"/>
      <c r="BO560" s="754"/>
      <c r="BP560" s="754"/>
      <c r="BQ560" s="754"/>
      <c r="BR560" s="754"/>
      <c r="BS560" s="754"/>
      <c r="BT560" s="754"/>
      <c r="BU560" s="754"/>
      <c r="BV560" s="754"/>
      <c r="BW560" s="754"/>
      <c r="BX560" s="754"/>
      <c r="BY560" s="754"/>
      <c r="BZ560" s="755"/>
      <c r="CA560" s="15">
        <v>200</v>
      </c>
      <c r="CB560" s="1038" t="str">
        <f>IF(CA560&lt;'Purchased Knacks'!A$192,VLOOKUP(CA560,'Purchased Knacks'!$A$4:$E$300,3,FALSE),"")</f>
        <v/>
      </c>
      <c r="CC560" s="1039"/>
      <c r="CD560" s="1039"/>
      <c r="CE560" s="1039"/>
      <c r="CF560" s="1040"/>
      <c r="CG560" s="1032" t="str">
        <f>IF(CB560="","",VLOOKUP(CB560,KanckRef!$A$1:$G$300,7,FALSE))</f>
        <v/>
      </c>
      <c r="CH560" s="1033"/>
      <c r="CI560" s="753"/>
      <c r="CJ560" s="754"/>
      <c r="CK560" s="754"/>
      <c r="CL560" s="754"/>
      <c r="CM560" s="754"/>
      <c r="CN560" s="754"/>
      <c r="CO560" s="754"/>
      <c r="CP560" s="754"/>
      <c r="CQ560" s="754"/>
      <c r="CR560" s="754"/>
      <c r="CS560" s="754"/>
      <c r="CT560" s="754"/>
      <c r="CU560" s="754"/>
      <c r="CV560" s="754"/>
      <c r="CW560" s="754"/>
      <c r="CX560" s="754"/>
      <c r="CY560" s="754"/>
      <c r="CZ560" s="755"/>
    </row>
    <row r="561" spans="1:104" x14ac:dyDescent="0.25">
      <c r="B561" s="1026"/>
      <c r="C561" s="727"/>
      <c r="D561" s="727"/>
      <c r="E561" s="727"/>
      <c r="F561" s="727"/>
      <c r="G561" s="727"/>
      <c r="H561" s="727"/>
      <c r="I561" s="727" t="str">
        <f>IF(B560="","",VLOOKUP(B560,BoonRef!$A$2:$Z$900,26,FALSE))</f>
        <v/>
      </c>
      <c r="J561" s="727"/>
      <c r="K561" s="727"/>
      <c r="L561" s="727"/>
      <c r="M561" s="727"/>
      <c r="N561" s="727"/>
      <c r="O561" s="727"/>
      <c r="P561" s="727"/>
      <c r="Q561" s="727"/>
      <c r="R561" s="727"/>
      <c r="S561" s="727"/>
      <c r="T561" s="727"/>
      <c r="U561" s="727"/>
      <c r="V561" s="727"/>
      <c r="W561" s="727"/>
      <c r="X561" s="727"/>
      <c r="Y561" s="727"/>
      <c r="Z561" s="728"/>
      <c r="AB561" s="1026"/>
      <c r="AC561" s="727"/>
      <c r="AD561" s="727"/>
      <c r="AE561" s="727"/>
      <c r="AF561" s="727"/>
      <c r="AG561" s="727"/>
      <c r="AH561" s="727"/>
      <c r="AI561" s="727" t="str">
        <f>IF(AB560="","",VLOOKUP(AB560,BoonRef!$A$2:$Z$900,26,FALSE))</f>
        <v/>
      </c>
      <c r="AJ561" s="727"/>
      <c r="AK561" s="727"/>
      <c r="AL561" s="727"/>
      <c r="AM561" s="727"/>
      <c r="AN561" s="727"/>
      <c r="AO561" s="727"/>
      <c r="AP561" s="727"/>
      <c r="AQ561" s="727"/>
      <c r="AR561" s="727"/>
      <c r="AS561" s="727"/>
      <c r="AT561" s="727"/>
      <c r="AU561" s="727"/>
      <c r="AV561" s="727"/>
      <c r="AW561" s="727"/>
      <c r="AX561" s="727"/>
      <c r="AY561" s="727"/>
      <c r="AZ561" s="728"/>
      <c r="BB561" s="1041"/>
      <c r="BC561" s="1042"/>
      <c r="BD561" s="1042"/>
      <c r="BE561" s="1042"/>
      <c r="BF561" s="1043"/>
      <c r="BG561" s="1034"/>
      <c r="BH561" s="1035"/>
      <c r="BI561" s="753"/>
      <c r="BJ561" s="754"/>
      <c r="BK561" s="754"/>
      <c r="BL561" s="754"/>
      <c r="BM561" s="754"/>
      <c r="BN561" s="754"/>
      <c r="BO561" s="754"/>
      <c r="BP561" s="754"/>
      <c r="BQ561" s="754"/>
      <c r="BR561" s="754"/>
      <c r="BS561" s="754"/>
      <c r="BT561" s="754"/>
      <c r="BU561" s="754"/>
      <c r="BV561" s="754"/>
      <c r="BW561" s="754"/>
      <c r="BX561" s="754"/>
      <c r="BY561" s="754"/>
      <c r="BZ561" s="755"/>
      <c r="CB561" s="1041"/>
      <c r="CC561" s="1042"/>
      <c r="CD561" s="1042"/>
      <c r="CE561" s="1042"/>
      <c r="CF561" s="1043"/>
      <c r="CG561" s="1034"/>
      <c r="CH561" s="1035"/>
      <c r="CI561" s="753"/>
      <c r="CJ561" s="754"/>
      <c r="CK561" s="754"/>
      <c r="CL561" s="754"/>
      <c r="CM561" s="754"/>
      <c r="CN561" s="754"/>
      <c r="CO561" s="754"/>
      <c r="CP561" s="754"/>
      <c r="CQ561" s="754"/>
      <c r="CR561" s="754"/>
      <c r="CS561" s="754"/>
      <c r="CT561" s="754"/>
      <c r="CU561" s="754"/>
      <c r="CV561" s="754"/>
      <c r="CW561" s="754"/>
      <c r="CX561" s="754"/>
      <c r="CY561" s="754"/>
      <c r="CZ561" s="755"/>
    </row>
    <row r="562" spans="1:104" x14ac:dyDescent="0.25">
      <c r="B562" s="1026" t="str">
        <f>IF(B560="","",VLOOKUP(B560,BoonRef!$A$2:$Z$900,24,FALSE))</f>
        <v/>
      </c>
      <c r="C562" s="727"/>
      <c r="D562" s="727"/>
      <c r="E562" s="727"/>
      <c r="F562" s="727"/>
      <c r="G562" s="727"/>
      <c r="H562" s="727"/>
      <c r="I562" s="727"/>
      <c r="J562" s="727"/>
      <c r="K562" s="727"/>
      <c r="L562" s="727"/>
      <c r="M562" s="727"/>
      <c r="N562" s="727"/>
      <c r="O562" s="727"/>
      <c r="P562" s="727"/>
      <c r="Q562" s="727"/>
      <c r="R562" s="727"/>
      <c r="S562" s="727"/>
      <c r="T562" s="727"/>
      <c r="U562" s="727"/>
      <c r="V562" s="727"/>
      <c r="W562" s="727"/>
      <c r="X562" s="727"/>
      <c r="Y562" s="727"/>
      <c r="Z562" s="728"/>
      <c r="AB562" s="1026" t="str">
        <f>IF(AB560="","",VLOOKUP(AB560,BoonRef!$A$2:$Z$900,24,FALSE))</f>
        <v/>
      </c>
      <c r="AC562" s="727"/>
      <c r="AD562" s="727"/>
      <c r="AE562" s="727"/>
      <c r="AF562" s="727"/>
      <c r="AG562" s="727"/>
      <c r="AH562" s="727"/>
      <c r="AI562" s="727"/>
      <c r="AJ562" s="727"/>
      <c r="AK562" s="727"/>
      <c r="AL562" s="727"/>
      <c r="AM562" s="727"/>
      <c r="AN562" s="727"/>
      <c r="AO562" s="727"/>
      <c r="AP562" s="727"/>
      <c r="AQ562" s="727"/>
      <c r="AR562" s="727"/>
      <c r="AS562" s="727"/>
      <c r="AT562" s="727"/>
      <c r="AU562" s="727"/>
      <c r="AV562" s="727"/>
      <c r="AW562" s="727"/>
      <c r="AX562" s="727"/>
      <c r="AY562" s="727"/>
      <c r="AZ562" s="728"/>
      <c r="BB562" s="641" t="str">
        <f>IF(BB560="","",VLOOKUP(BB560,KanckRef!$A$1:$G$300,4,FALSE))</f>
        <v/>
      </c>
      <c r="BC562" s="642"/>
      <c r="BD562" s="642"/>
      <c r="BE562" s="642"/>
      <c r="BF562" s="642"/>
      <c r="BG562" s="642"/>
      <c r="BH562" s="1033"/>
      <c r="BI562" s="753"/>
      <c r="BJ562" s="754"/>
      <c r="BK562" s="754"/>
      <c r="BL562" s="754"/>
      <c r="BM562" s="754"/>
      <c r="BN562" s="754"/>
      <c r="BO562" s="754"/>
      <c r="BP562" s="754"/>
      <c r="BQ562" s="754"/>
      <c r="BR562" s="754"/>
      <c r="BS562" s="754"/>
      <c r="BT562" s="754"/>
      <c r="BU562" s="754"/>
      <c r="BV562" s="754"/>
      <c r="BW562" s="754"/>
      <c r="BX562" s="754"/>
      <c r="BY562" s="754"/>
      <c r="BZ562" s="755"/>
      <c r="CB562" s="641" t="str">
        <f>IF(CB560="","",VLOOKUP(CB560,KanckRef!$A$1:$G$300,4,FALSE))</f>
        <v/>
      </c>
      <c r="CC562" s="642"/>
      <c r="CD562" s="642"/>
      <c r="CE562" s="642"/>
      <c r="CF562" s="642"/>
      <c r="CG562" s="642"/>
      <c r="CH562" s="1033"/>
      <c r="CI562" s="753"/>
      <c r="CJ562" s="754"/>
      <c r="CK562" s="754"/>
      <c r="CL562" s="754"/>
      <c r="CM562" s="754"/>
      <c r="CN562" s="754"/>
      <c r="CO562" s="754"/>
      <c r="CP562" s="754"/>
      <c r="CQ562" s="754"/>
      <c r="CR562" s="754"/>
      <c r="CS562" s="754"/>
      <c r="CT562" s="754"/>
      <c r="CU562" s="754"/>
      <c r="CV562" s="754"/>
      <c r="CW562" s="754"/>
      <c r="CX562" s="754"/>
      <c r="CY562" s="754"/>
      <c r="CZ562" s="755"/>
    </row>
    <row r="563" spans="1:104" x14ac:dyDescent="0.25">
      <c r="B563" s="1026" t="str">
        <f>IF(B560="","",VLOOKUP(B560,BoonRef!$A$2:$Z$900,23,FALSE))</f>
        <v/>
      </c>
      <c r="C563" s="727"/>
      <c r="D563" s="727"/>
      <c r="E563" s="727"/>
      <c r="F563" s="727"/>
      <c r="G563" s="727"/>
      <c r="H563" s="727"/>
      <c r="I563" s="727"/>
      <c r="J563" s="727"/>
      <c r="K563" s="727"/>
      <c r="L563" s="727"/>
      <c r="M563" s="727"/>
      <c r="N563" s="727"/>
      <c r="O563" s="727"/>
      <c r="P563" s="727"/>
      <c r="Q563" s="727"/>
      <c r="R563" s="727"/>
      <c r="S563" s="727"/>
      <c r="T563" s="727"/>
      <c r="U563" s="727"/>
      <c r="V563" s="727"/>
      <c r="W563" s="727"/>
      <c r="X563" s="727"/>
      <c r="Y563" s="727"/>
      <c r="Z563" s="728"/>
      <c r="AB563" s="1026" t="str">
        <f>IF(AB560="","",VLOOKUP(AB560,BoonRef!$A$2:$Z$900,23,FALSE))</f>
        <v/>
      </c>
      <c r="AC563" s="727"/>
      <c r="AD563" s="727"/>
      <c r="AE563" s="727"/>
      <c r="AF563" s="727"/>
      <c r="AG563" s="727"/>
      <c r="AH563" s="727"/>
      <c r="AI563" s="727"/>
      <c r="AJ563" s="727"/>
      <c r="AK563" s="727"/>
      <c r="AL563" s="727"/>
      <c r="AM563" s="727"/>
      <c r="AN563" s="727"/>
      <c r="AO563" s="727"/>
      <c r="AP563" s="727"/>
      <c r="AQ563" s="727"/>
      <c r="AR563" s="727"/>
      <c r="AS563" s="727"/>
      <c r="AT563" s="727"/>
      <c r="AU563" s="727"/>
      <c r="AV563" s="727"/>
      <c r="AW563" s="727"/>
      <c r="AX563" s="727"/>
      <c r="AY563" s="727"/>
      <c r="AZ563" s="728"/>
      <c r="BB563" s="635"/>
      <c r="BC563" s="636"/>
      <c r="BD563" s="636"/>
      <c r="BE563" s="636"/>
      <c r="BF563" s="636"/>
      <c r="BG563" s="636"/>
      <c r="BH563" s="1036"/>
      <c r="BI563" s="753"/>
      <c r="BJ563" s="754"/>
      <c r="BK563" s="754"/>
      <c r="BL563" s="754"/>
      <c r="BM563" s="754"/>
      <c r="BN563" s="754"/>
      <c r="BO563" s="754"/>
      <c r="BP563" s="754"/>
      <c r="BQ563" s="754"/>
      <c r="BR563" s="754"/>
      <c r="BS563" s="754"/>
      <c r="BT563" s="754"/>
      <c r="BU563" s="754"/>
      <c r="BV563" s="754"/>
      <c r="BW563" s="754"/>
      <c r="BX563" s="754"/>
      <c r="BY563" s="754"/>
      <c r="BZ563" s="755"/>
      <c r="CB563" s="635"/>
      <c r="CC563" s="636"/>
      <c r="CD563" s="636"/>
      <c r="CE563" s="636"/>
      <c r="CF563" s="636"/>
      <c r="CG563" s="636"/>
      <c r="CH563" s="1036"/>
      <c r="CI563" s="753"/>
      <c r="CJ563" s="754"/>
      <c r="CK563" s="754"/>
      <c r="CL563" s="754"/>
      <c r="CM563" s="754"/>
      <c r="CN563" s="754"/>
      <c r="CO563" s="754"/>
      <c r="CP563" s="754"/>
      <c r="CQ563" s="754"/>
      <c r="CR563" s="754"/>
      <c r="CS563" s="754"/>
      <c r="CT563" s="754"/>
      <c r="CU563" s="754"/>
      <c r="CV563" s="754"/>
      <c r="CW563" s="754"/>
      <c r="CX563" s="754"/>
      <c r="CY563" s="754"/>
      <c r="CZ563" s="755"/>
    </row>
    <row r="564" spans="1:104" ht="15.75" thickBot="1" x14ac:dyDescent="0.3">
      <c r="B564" s="1027"/>
      <c r="C564" s="865"/>
      <c r="D564" s="865"/>
      <c r="E564" s="865"/>
      <c r="F564" s="865"/>
      <c r="G564" s="865"/>
      <c r="H564" s="865"/>
      <c r="I564" s="865"/>
      <c r="J564" s="865"/>
      <c r="K564" s="865"/>
      <c r="L564" s="865"/>
      <c r="M564" s="865"/>
      <c r="N564" s="865"/>
      <c r="O564" s="865"/>
      <c r="P564" s="865"/>
      <c r="Q564" s="865"/>
      <c r="R564" s="865"/>
      <c r="S564" s="865"/>
      <c r="T564" s="865"/>
      <c r="U564" s="865"/>
      <c r="V564" s="865"/>
      <c r="W564" s="865"/>
      <c r="X564" s="865"/>
      <c r="Y564" s="865"/>
      <c r="Z564" s="921"/>
      <c r="AB564" s="1027"/>
      <c r="AC564" s="865"/>
      <c r="AD564" s="865"/>
      <c r="AE564" s="865"/>
      <c r="AF564" s="865"/>
      <c r="AG564" s="865"/>
      <c r="AH564" s="865"/>
      <c r="AI564" s="865"/>
      <c r="AJ564" s="865"/>
      <c r="AK564" s="865"/>
      <c r="AL564" s="865"/>
      <c r="AM564" s="865"/>
      <c r="AN564" s="865"/>
      <c r="AO564" s="865"/>
      <c r="AP564" s="865"/>
      <c r="AQ564" s="865"/>
      <c r="AR564" s="865"/>
      <c r="AS564" s="865"/>
      <c r="AT564" s="865"/>
      <c r="AU564" s="865"/>
      <c r="AV564" s="865"/>
      <c r="AW564" s="865"/>
      <c r="AX564" s="865"/>
      <c r="AY564" s="865"/>
      <c r="AZ564" s="921"/>
      <c r="BB564" s="644"/>
      <c r="BC564" s="645"/>
      <c r="BD564" s="645"/>
      <c r="BE564" s="645"/>
      <c r="BF564" s="645"/>
      <c r="BG564" s="645"/>
      <c r="BH564" s="1037"/>
      <c r="BI564" s="756"/>
      <c r="BJ564" s="757"/>
      <c r="BK564" s="757"/>
      <c r="BL564" s="757"/>
      <c r="BM564" s="757"/>
      <c r="BN564" s="757"/>
      <c r="BO564" s="757"/>
      <c r="BP564" s="757"/>
      <c r="BQ564" s="757"/>
      <c r="BR564" s="757"/>
      <c r="BS564" s="757"/>
      <c r="BT564" s="757"/>
      <c r="BU564" s="757"/>
      <c r="BV564" s="757"/>
      <c r="BW564" s="757"/>
      <c r="BX564" s="757"/>
      <c r="BY564" s="757"/>
      <c r="BZ564" s="758"/>
      <c r="CB564" s="644"/>
      <c r="CC564" s="645"/>
      <c r="CD564" s="645"/>
      <c r="CE564" s="645"/>
      <c r="CF564" s="645"/>
      <c r="CG564" s="645"/>
      <c r="CH564" s="1037"/>
      <c r="CI564" s="756"/>
      <c r="CJ564" s="757"/>
      <c r="CK564" s="757"/>
      <c r="CL564" s="757"/>
      <c r="CM564" s="757"/>
      <c r="CN564" s="757"/>
      <c r="CO564" s="757"/>
      <c r="CP564" s="757"/>
      <c r="CQ564" s="757"/>
      <c r="CR564" s="757"/>
      <c r="CS564" s="757"/>
      <c r="CT564" s="757"/>
      <c r="CU564" s="757"/>
      <c r="CV564" s="757"/>
      <c r="CW564" s="757"/>
      <c r="CX564" s="757"/>
      <c r="CY564" s="757"/>
      <c r="CZ564" s="758"/>
    </row>
    <row r="565" spans="1:104" x14ac:dyDescent="0.25">
      <c r="B565" s="1028" t="str">
        <f>IF(B566="","",VLOOKUP(B566,BoonRef!$A$2:$Z$900,2,FALSE))</f>
        <v/>
      </c>
      <c r="C565" s="725"/>
      <c r="D565" s="725"/>
      <c r="E565" s="725"/>
      <c r="F565" s="725"/>
      <c r="G565" s="725"/>
      <c r="H565" s="725"/>
      <c r="I565" s="725" t="str">
        <f>IF(B566="","",VLOOKUP(B566,BoonRef!$A$2:$Z$900,3,FALSE))</f>
        <v/>
      </c>
      <c r="J565" s="725"/>
      <c r="K565" s="725" t="str">
        <f>IF(B566="","",VLOOKUP(B566,DescRef!$A$2:$B$900,2,FALSE))</f>
        <v/>
      </c>
      <c r="L565" s="725"/>
      <c r="M565" s="725"/>
      <c r="N565" s="725"/>
      <c r="O565" s="725"/>
      <c r="P565" s="725"/>
      <c r="Q565" s="725"/>
      <c r="R565" s="725"/>
      <c r="S565" s="725"/>
      <c r="T565" s="725"/>
      <c r="U565" s="725"/>
      <c r="V565" s="725"/>
      <c r="W565" s="725"/>
      <c r="X565" s="725"/>
      <c r="Y565" s="725"/>
      <c r="Z565" s="726"/>
      <c r="AB565" s="1028" t="str">
        <f>IF(AB566="","",VLOOKUP(AB566,BoonRef!$A$2:$Z$900,2,FALSE))</f>
        <v/>
      </c>
      <c r="AC565" s="725"/>
      <c r="AD565" s="725"/>
      <c r="AE565" s="725"/>
      <c r="AF565" s="725"/>
      <c r="AG565" s="725"/>
      <c r="AH565" s="725"/>
      <c r="AI565" s="725" t="str">
        <f>IF(AB566="","",VLOOKUP(AB566,BoonRef!$A$2:$Z$900,3,FALSE))</f>
        <v/>
      </c>
      <c r="AJ565" s="725"/>
      <c r="AK565" s="725" t="str">
        <f>IF(AB566="","",VLOOKUP(AB566,DescRef!$A$2:$B$900,2,FALSE))</f>
        <v/>
      </c>
      <c r="AL565" s="725"/>
      <c r="AM565" s="725"/>
      <c r="AN565" s="725"/>
      <c r="AO565" s="725"/>
      <c r="AP565" s="725"/>
      <c r="AQ565" s="725"/>
      <c r="AR565" s="725"/>
      <c r="AS565" s="725"/>
      <c r="AT565" s="725"/>
      <c r="AU565" s="725"/>
      <c r="AV565" s="725"/>
      <c r="AW565" s="725"/>
      <c r="AX565" s="725"/>
      <c r="AY565" s="725"/>
      <c r="AZ565" s="726"/>
      <c r="BB565" s="1029" t="str">
        <f>IF(BB566="","",VLOOKUP(BB566,KanckRef!$A$1:$G$300,2,FALSE))</f>
        <v/>
      </c>
      <c r="BC565" s="1030"/>
      <c r="BD565" s="1030"/>
      <c r="BE565" s="1030"/>
      <c r="BF565" s="1031"/>
      <c r="BG565" s="1048" t="str">
        <f>IF(BB566="","",VLOOKUP(BB566,KanckRef!$A$1:$G$300,6,FALSE))</f>
        <v/>
      </c>
      <c r="BH565" s="1049"/>
      <c r="BI565" s="988" t="str">
        <f>IF(BB566="","",VLOOKUP(BB566,DescRef!$D$2:$E$300,2,FALSE))</f>
        <v/>
      </c>
      <c r="BJ565" s="795"/>
      <c r="BK565" s="795"/>
      <c r="BL565" s="795"/>
      <c r="BM565" s="795"/>
      <c r="BN565" s="795"/>
      <c r="BO565" s="795"/>
      <c r="BP565" s="795"/>
      <c r="BQ565" s="795"/>
      <c r="BR565" s="795"/>
      <c r="BS565" s="795"/>
      <c r="BT565" s="795"/>
      <c r="BU565" s="795"/>
      <c r="BV565" s="795"/>
      <c r="BW565" s="795"/>
      <c r="BX565" s="795"/>
      <c r="BY565" s="795"/>
      <c r="BZ565" s="796"/>
      <c r="CB565" s="1029" t="str">
        <f>IF(CB566="","",VLOOKUP(CB566,KanckRef!$A$1:$G$300,2,FALSE))</f>
        <v/>
      </c>
      <c r="CC565" s="1030"/>
      <c r="CD565" s="1030"/>
      <c r="CE565" s="1030"/>
      <c r="CF565" s="1031"/>
      <c r="CG565" s="1048" t="str">
        <f>IF(CB566="","",VLOOKUP(CB566,KanckRef!$A$1:$G$300,6,FALSE))</f>
        <v/>
      </c>
      <c r="CH565" s="1049"/>
      <c r="CI565" s="988" t="str">
        <f>IF(CB566="","",VLOOKUP(CB566,DescRef!$D$2:$E$300,2,FALSE))</f>
        <v/>
      </c>
      <c r="CJ565" s="795"/>
      <c r="CK565" s="795"/>
      <c r="CL565" s="795"/>
      <c r="CM565" s="795"/>
      <c r="CN565" s="795"/>
      <c r="CO565" s="795"/>
      <c r="CP565" s="795"/>
      <c r="CQ565" s="795"/>
      <c r="CR565" s="795"/>
      <c r="CS565" s="795"/>
      <c r="CT565" s="795"/>
      <c r="CU565" s="795"/>
      <c r="CV565" s="795"/>
      <c r="CW565" s="795"/>
      <c r="CX565" s="795"/>
      <c r="CY565" s="795"/>
      <c r="CZ565" s="796"/>
    </row>
    <row r="566" spans="1:104" ht="15" customHeight="1" x14ac:dyDescent="0.25">
      <c r="A566" s="15">
        <v>94</v>
      </c>
      <c r="B566" s="1026" t="str">
        <f>IF(A566&lt;'Purchased Boons'!$B$496,VLOOKUP(A566,'Purchased Boons'!$BF$2:$BG$900,2,FALSE),"")</f>
        <v/>
      </c>
      <c r="C566" s="727"/>
      <c r="D566" s="727"/>
      <c r="E566" s="727"/>
      <c r="F566" s="727"/>
      <c r="G566" s="727"/>
      <c r="H566" s="727"/>
      <c r="I566" s="727" t="str">
        <f>IF(B566="","",VLOOKUP(B566,BoonRef!$A$2:$Z$900,25,FALSE))</f>
        <v/>
      </c>
      <c r="J566" s="727"/>
      <c r="K566" s="727"/>
      <c r="L566" s="727"/>
      <c r="M566" s="727"/>
      <c r="N566" s="727"/>
      <c r="O566" s="727"/>
      <c r="P566" s="727"/>
      <c r="Q566" s="727"/>
      <c r="R566" s="727"/>
      <c r="S566" s="727"/>
      <c r="T566" s="727"/>
      <c r="U566" s="727"/>
      <c r="V566" s="727"/>
      <c r="W566" s="727"/>
      <c r="X566" s="727"/>
      <c r="Y566" s="727"/>
      <c r="Z566" s="728"/>
      <c r="AA566" s="15">
        <v>201</v>
      </c>
      <c r="AB566" s="1026" t="str">
        <f>IF(AA566&lt;'Purchased Boons'!$B$496,VLOOKUP(AA566,'Purchased Boons'!$BF$2:$BG$900,2,FALSE),"")</f>
        <v/>
      </c>
      <c r="AC566" s="727"/>
      <c r="AD566" s="727"/>
      <c r="AE566" s="727"/>
      <c r="AF566" s="727"/>
      <c r="AG566" s="727"/>
      <c r="AH566" s="727"/>
      <c r="AI566" s="727" t="str">
        <f>IF(AB566="","",VLOOKUP(AB566,BoonRef!$A$2:$Z$900,25,FALSE))</f>
        <v/>
      </c>
      <c r="AJ566" s="727"/>
      <c r="AK566" s="727"/>
      <c r="AL566" s="727"/>
      <c r="AM566" s="727"/>
      <c r="AN566" s="727"/>
      <c r="AO566" s="727"/>
      <c r="AP566" s="727"/>
      <c r="AQ566" s="727"/>
      <c r="AR566" s="727"/>
      <c r="AS566" s="727"/>
      <c r="AT566" s="727"/>
      <c r="AU566" s="727"/>
      <c r="AV566" s="727"/>
      <c r="AW566" s="727"/>
      <c r="AX566" s="727"/>
      <c r="AY566" s="727"/>
      <c r="AZ566" s="728"/>
      <c r="BA566" s="15">
        <v>94</v>
      </c>
      <c r="BB566" s="1038" t="str">
        <f>IF(BA566&lt;'Purchased Knacks'!A$192,VLOOKUP(BA566,'Purchased Knacks'!$A$4:$E$300,3,FALSE),"")</f>
        <v/>
      </c>
      <c r="BC566" s="1039"/>
      <c r="BD566" s="1039"/>
      <c r="BE566" s="1039"/>
      <c r="BF566" s="1040"/>
      <c r="BG566" s="1032" t="str">
        <f>IF(BB566="","",VLOOKUP(BB566,KanckRef!$A$1:$G$300,7,FALSE))</f>
        <v/>
      </c>
      <c r="BH566" s="1033"/>
      <c r="BI566" s="753"/>
      <c r="BJ566" s="754"/>
      <c r="BK566" s="754"/>
      <c r="BL566" s="754"/>
      <c r="BM566" s="754"/>
      <c r="BN566" s="754"/>
      <c r="BO566" s="754"/>
      <c r="BP566" s="754"/>
      <c r="BQ566" s="754"/>
      <c r="BR566" s="754"/>
      <c r="BS566" s="754"/>
      <c r="BT566" s="754"/>
      <c r="BU566" s="754"/>
      <c r="BV566" s="754"/>
      <c r="BW566" s="754"/>
      <c r="BX566" s="754"/>
      <c r="BY566" s="754"/>
      <c r="BZ566" s="755"/>
      <c r="CA566" s="15">
        <v>201</v>
      </c>
      <c r="CB566" s="1038" t="str">
        <f>IF(CA566&lt;'Purchased Knacks'!A$192,VLOOKUP(CA566,'Purchased Knacks'!$A$4:$E$300,3,FALSE),"")</f>
        <v/>
      </c>
      <c r="CC566" s="1039"/>
      <c r="CD566" s="1039"/>
      <c r="CE566" s="1039"/>
      <c r="CF566" s="1040"/>
      <c r="CG566" s="1032" t="str">
        <f>IF(CB566="","",VLOOKUP(CB566,KanckRef!$A$1:$G$300,7,FALSE))</f>
        <v/>
      </c>
      <c r="CH566" s="1033"/>
      <c r="CI566" s="753"/>
      <c r="CJ566" s="754"/>
      <c r="CK566" s="754"/>
      <c r="CL566" s="754"/>
      <c r="CM566" s="754"/>
      <c r="CN566" s="754"/>
      <c r="CO566" s="754"/>
      <c r="CP566" s="754"/>
      <c r="CQ566" s="754"/>
      <c r="CR566" s="754"/>
      <c r="CS566" s="754"/>
      <c r="CT566" s="754"/>
      <c r="CU566" s="754"/>
      <c r="CV566" s="754"/>
      <c r="CW566" s="754"/>
      <c r="CX566" s="754"/>
      <c r="CY566" s="754"/>
      <c r="CZ566" s="755"/>
    </row>
    <row r="567" spans="1:104" x14ac:dyDescent="0.25">
      <c r="B567" s="1026"/>
      <c r="C567" s="727"/>
      <c r="D567" s="727"/>
      <c r="E567" s="727"/>
      <c r="F567" s="727"/>
      <c r="G567" s="727"/>
      <c r="H567" s="727"/>
      <c r="I567" s="727" t="str">
        <f>IF(B566="","",VLOOKUP(B566,BoonRef!$A$2:$Z$900,26,FALSE))</f>
        <v/>
      </c>
      <c r="J567" s="727"/>
      <c r="K567" s="727"/>
      <c r="L567" s="727"/>
      <c r="M567" s="727"/>
      <c r="N567" s="727"/>
      <c r="O567" s="727"/>
      <c r="P567" s="727"/>
      <c r="Q567" s="727"/>
      <c r="R567" s="727"/>
      <c r="S567" s="727"/>
      <c r="T567" s="727"/>
      <c r="U567" s="727"/>
      <c r="V567" s="727"/>
      <c r="W567" s="727"/>
      <c r="X567" s="727"/>
      <c r="Y567" s="727"/>
      <c r="Z567" s="728"/>
      <c r="AB567" s="1026"/>
      <c r="AC567" s="727"/>
      <c r="AD567" s="727"/>
      <c r="AE567" s="727"/>
      <c r="AF567" s="727"/>
      <c r="AG567" s="727"/>
      <c r="AH567" s="727"/>
      <c r="AI567" s="727" t="str">
        <f>IF(AB566="","",VLOOKUP(AB566,BoonRef!$A$2:$Z$900,26,FALSE))</f>
        <v/>
      </c>
      <c r="AJ567" s="727"/>
      <c r="AK567" s="727"/>
      <c r="AL567" s="727"/>
      <c r="AM567" s="727"/>
      <c r="AN567" s="727"/>
      <c r="AO567" s="727"/>
      <c r="AP567" s="727"/>
      <c r="AQ567" s="727"/>
      <c r="AR567" s="727"/>
      <c r="AS567" s="727"/>
      <c r="AT567" s="727"/>
      <c r="AU567" s="727"/>
      <c r="AV567" s="727"/>
      <c r="AW567" s="727"/>
      <c r="AX567" s="727"/>
      <c r="AY567" s="727"/>
      <c r="AZ567" s="728"/>
      <c r="BB567" s="1041"/>
      <c r="BC567" s="1042"/>
      <c r="BD567" s="1042"/>
      <c r="BE567" s="1042"/>
      <c r="BF567" s="1043"/>
      <c r="BG567" s="1034"/>
      <c r="BH567" s="1035"/>
      <c r="BI567" s="753"/>
      <c r="BJ567" s="754"/>
      <c r="BK567" s="754"/>
      <c r="BL567" s="754"/>
      <c r="BM567" s="754"/>
      <c r="BN567" s="754"/>
      <c r="BO567" s="754"/>
      <c r="BP567" s="754"/>
      <c r="BQ567" s="754"/>
      <c r="BR567" s="754"/>
      <c r="BS567" s="754"/>
      <c r="BT567" s="754"/>
      <c r="BU567" s="754"/>
      <c r="BV567" s="754"/>
      <c r="BW567" s="754"/>
      <c r="BX567" s="754"/>
      <c r="BY567" s="754"/>
      <c r="BZ567" s="755"/>
      <c r="CB567" s="1041"/>
      <c r="CC567" s="1042"/>
      <c r="CD567" s="1042"/>
      <c r="CE567" s="1042"/>
      <c r="CF567" s="1043"/>
      <c r="CG567" s="1034"/>
      <c r="CH567" s="1035"/>
      <c r="CI567" s="753"/>
      <c r="CJ567" s="754"/>
      <c r="CK567" s="754"/>
      <c r="CL567" s="754"/>
      <c r="CM567" s="754"/>
      <c r="CN567" s="754"/>
      <c r="CO567" s="754"/>
      <c r="CP567" s="754"/>
      <c r="CQ567" s="754"/>
      <c r="CR567" s="754"/>
      <c r="CS567" s="754"/>
      <c r="CT567" s="754"/>
      <c r="CU567" s="754"/>
      <c r="CV567" s="754"/>
      <c r="CW567" s="754"/>
      <c r="CX567" s="754"/>
      <c r="CY567" s="754"/>
      <c r="CZ567" s="755"/>
    </row>
    <row r="568" spans="1:104" x14ac:dyDescent="0.25">
      <c r="B568" s="1026" t="str">
        <f>IF(B566="","",VLOOKUP(B566,BoonRef!$A$2:$Z$900,24,FALSE))</f>
        <v/>
      </c>
      <c r="C568" s="727"/>
      <c r="D568" s="727"/>
      <c r="E568" s="727"/>
      <c r="F568" s="727"/>
      <c r="G568" s="727"/>
      <c r="H568" s="727"/>
      <c r="I568" s="727"/>
      <c r="J568" s="727"/>
      <c r="K568" s="727"/>
      <c r="L568" s="727"/>
      <c r="M568" s="727"/>
      <c r="N568" s="727"/>
      <c r="O568" s="727"/>
      <c r="P568" s="727"/>
      <c r="Q568" s="727"/>
      <c r="R568" s="727"/>
      <c r="S568" s="727"/>
      <c r="T568" s="727"/>
      <c r="U568" s="727"/>
      <c r="V568" s="727"/>
      <c r="W568" s="727"/>
      <c r="X568" s="727"/>
      <c r="Y568" s="727"/>
      <c r="Z568" s="728"/>
      <c r="AB568" s="1026" t="str">
        <f>IF(AB566="","",VLOOKUP(AB566,BoonRef!$A$2:$Z$900,24,FALSE))</f>
        <v/>
      </c>
      <c r="AC568" s="727"/>
      <c r="AD568" s="727"/>
      <c r="AE568" s="727"/>
      <c r="AF568" s="727"/>
      <c r="AG568" s="727"/>
      <c r="AH568" s="727"/>
      <c r="AI568" s="727"/>
      <c r="AJ568" s="727"/>
      <c r="AK568" s="727"/>
      <c r="AL568" s="727"/>
      <c r="AM568" s="727"/>
      <c r="AN568" s="727"/>
      <c r="AO568" s="727"/>
      <c r="AP568" s="727"/>
      <c r="AQ568" s="727"/>
      <c r="AR568" s="727"/>
      <c r="AS568" s="727"/>
      <c r="AT568" s="727"/>
      <c r="AU568" s="727"/>
      <c r="AV568" s="727"/>
      <c r="AW568" s="727"/>
      <c r="AX568" s="727"/>
      <c r="AY568" s="727"/>
      <c r="AZ568" s="728"/>
      <c r="BB568" s="641" t="str">
        <f>IF(BB566="","",VLOOKUP(BB566,KanckRef!$A$1:$G$300,4,FALSE))</f>
        <v/>
      </c>
      <c r="BC568" s="642"/>
      <c r="BD568" s="642"/>
      <c r="BE568" s="642"/>
      <c r="BF568" s="642"/>
      <c r="BG568" s="642"/>
      <c r="BH568" s="1033"/>
      <c r="BI568" s="753"/>
      <c r="BJ568" s="754"/>
      <c r="BK568" s="754"/>
      <c r="BL568" s="754"/>
      <c r="BM568" s="754"/>
      <c r="BN568" s="754"/>
      <c r="BO568" s="754"/>
      <c r="BP568" s="754"/>
      <c r="BQ568" s="754"/>
      <c r="BR568" s="754"/>
      <c r="BS568" s="754"/>
      <c r="BT568" s="754"/>
      <c r="BU568" s="754"/>
      <c r="BV568" s="754"/>
      <c r="BW568" s="754"/>
      <c r="BX568" s="754"/>
      <c r="BY568" s="754"/>
      <c r="BZ568" s="755"/>
      <c r="CB568" s="641" t="str">
        <f>IF(CB566="","",VLOOKUP(CB566,KanckRef!$A$1:$G$300,4,FALSE))</f>
        <v/>
      </c>
      <c r="CC568" s="642"/>
      <c r="CD568" s="642"/>
      <c r="CE568" s="642"/>
      <c r="CF568" s="642"/>
      <c r="CG568" s="642"/>
      <c r="CH568" s="1033"/>
      <c r="CI568" s="753"/>
      <c r="CJ568" s="754"/>
      <c r="CK568" s="754"/>
      <c r="CL568" s="754"/>
      <c r="CM568" s="754"/>
      <c r="CN568" s="754"/>
      <c r="CO568" s="754"/>
      <c r="CP568" s="754"/>
      <c r="CQ568" s="754"/>
      <c r="CR568" s="754"/>
      <c r="CS568" s="754"/>
      <c r="CT568" s="754"/>
      <c r="CU568" s="754"/>
      <c r="CV568" s="754"/>
      <c r="CW568" s="754"/>
      <c r="CX568" s="754"/>
      <c r="CY568" s="754"/>
      <c r="CZ568" s="755"/>
    </row>
    <row r="569" spans="1:104" x14ac:dyDescent="0.25">
      <c r="B569" s="1026" t="str">
        <f>IF(B566="","",VLOOKUP(B566,BoonRef!$A$2:$Z$900,23,FALSE))</f>
        <v/>
      </c>
      <c r="C569" s="727"/>
      <c r="D569" s="727"/>
      <c r="E569" s="727"/>
      <c r="F569" s="727"/>
      <c r="G569" s="727"/>
      <c r="H569" s="727"/>
      <c r="I569" s="727"/>
      <c r="J569" s="727"/>
      <c r="K569" s="727"/>
      <c r="L569" s="727"/>
      <c r="M569" s="727"/>
      <c r="N569" s="727"/>
      <c r="O569" s="727"/>
      <c r="P569" s="727"/>
      <c r="Q569" s="727"/>
      <c r="R569" s="727"/>
      <c r="S569" s="727"/>
      <c r="T569" s="727"/>
      <c r="U569" s="727"/>
      <c r="V569" s="727"/>
      <c r="W569" s="727"/>
      <c r="X569" s="727"/>
      <c r="Y569" s="727"/>
      <c r="Z569" s="728"/>
      <c r="AB569" s="1026" t="str">
        <f>IF(AB566="","",VLOOKUP(AB566,BoonRef!$A$2:$Z$900,23,FALSE))</f>
        <v/>
      </c>
      <c r="AC569" s="727"/>
      <c r="AD569" s="727"/>
      <c r="AE569" s="727"/>
      <c r="AF569" s="727"/>
      <c r="AG569" s="727"/>
      <c r="AH569" s="727"/>
      <c r="AI569" s="727"/>
      <c r="AJ569" s="727"/>
      <c r="AK569" s="727"/>
      <c r="AL569" s="727"/>
      <c r="AM569" s="727"/>
      <c r="AN569" s="727"/>
      <c r="AO569" s="727"/>
      <c r="AP569" s="727"/>
      <c r="AQ569" s="727"/>
      <c r="AR569" s="727"/>
      <c r="AS569" s="727"/>
      <c r="AT569" s="727"/>
      <c r="AU569" s="727"/>
      <c r="AV569" s="727"/>
      <c r="AW569" s="727"/>
      <c r="AX569" s="727"/>
      <c r="AY569" s="727"/>
      <c r="AZ569" s="728"/>
      <c r="BB569" s="635"/>
      <c r="BC569" s="636"/>
      <c r="BD569" s="636"/>
      <c r="BE569" s="636"/>
      <c r="BF569" s="636"/>
      <c r="BG569" s="636"/>
      <c r="BH569" s="1036"/>
      <c r="BI569" s="753"/>
      <c r="BJ569" s="754"/>
      <c r="BK569" s="754"/>
      <c r="BL569" s="754"/>
      <c r="BM569" s="754"/>
      <c r="BN569" s="754"/>
      <c r="BO569" s="754"/>
      <c r="BP569" s="754"/>
      <c r="BQ569" s="754"/>
      <c r="BR569" s="754"/>
      <c r="BS569" s="754"/>
      <c r="BT569" s="754"/>
      <c r="BU569" s="754"/>
      <c r="BV569" s="754"/>
      <c r="BW569" s="754"/>
      <c r="BX569" s="754"/>
      <c r="BY569" s="754"/>
      <c r="BZ569" s="755"/>
      <c r="CB569" s="635"/>
      <c r="CC569" s="636"/>
      <c r="CD569" s="636"/>
      <c r="CE569" s="636"/>
      <c r="CF569" s="636"/>
      <c r="CG569" s="636"/>
      <c r="CH569" s="1036"/>
      <c r="CI569" s="753"/>
      <c r="CJ569" s="754"/>
      <c r="CK569" s="754"/>
      <c r="CL569" s="754"/>
      <c r="CM569" s="754"/>
      <c r="CN569" s="754"/>
      <c r="CO569" s="754"/>
      <c r="CP569" s="754"/>
      <c r="CQ569" s="754"/>
      <c r="CR569" s="754"/>
      <c r="CS569" s="754"/>
      <c r="CT569" s="754"/>
      <c r="CU569" s="754"/>
      <c r="CV569" s="754"/>
      <c r="CW569" s="754"/>
      <c r="CX569" s="754"/>
      <c r="CY569" s="754"/>
      <c r="CZ569" s="755"/>
    </row>
    <row r="570" spans="1:104" ht="15.75" thickBot="1" x14ac:dyDescent="0.3">
      <c r="B570" s="1027"/>
      <c r="C570" s="865"/>
      <c r="D570" s="865"/>
      <c r="E570" s="865"/>
      <c r="F570" s="865"/>
      <c r="G570" s="865"/>
      <c r="H570" s="865"/>
      <c r="I570" s="865"/>
      <c r="J570" s="865"/>
      <c r="K570" s="865"/>
      <c r="L570" s="865"/>
      <c r="M570" s="865"/>
      <c r="N570" s="865"/>
      <c r="O570" s="865"/>
      <c r="P570" s="865"/>
      <c r="Q570" s="865"/>
      <c r="R570" s="865"/>
      <c r="S570" s="865"/>
      <c r="T570" s="865"/>
      <c r="U570" s="865"/>
      <c r="V570" s="865"/>
      <c r="W570" s="865"/>
      <c r="X570" s="865"/>
      <c r="Y570" s="865"/>
      <c r="Z570" s="921"/>
      <c r="AB570" s="1027"/>
      <c r="AC570" s="865"/>
      <c r="AD570" s="865"/>
      <c r="AE570" s="865"/>
      <c r="AF570" s="865"/>
      <c r="AG570" s="865"/>
      <c r="AH570" s="865"/>
      <c r="AI570" s="865"/>
      <c r="AJ570" s="865"/>
      <c r="AK570" s="865"/>
      <c r="AL570" s="865"/>
      <c r="AM570" s="865"/>
      <c r="AN570" s="865"/>
      <c r="AO570" s="865"/>
      <c r="AP570" s="865"/>
      <c r="AQ570" s="865"/>
      <c r="AR570" s="865"/>
      <c r="AS570" s="865"/>
      <c r="AT570" s="865"/>
      <c r="AU570" s="865"/>
      <c r="AV570" s="865"/>
      <c r="AW570" s="865"/>
      <c r="AX570" s="865"/>
      <c r="AY570" s="865"/>
      <c r="AZ570" s="921"/>
      <c r="BB570" s="644"/>
      <c r="BC570" s="645"/>
      <c r="BD570" s="645"/>
      <c r="BE570" s="645"/>
      <c r="BF570" s="645"/>
      <c r="BG570" s="645"/>
      <c r="BH570" s="1037"/>
      <c r="BI570" s="756"/>
      <c r="BJ570" s="757"/>
      <c r="BK570" s="757"/>
      <c r="BL570" s="757"/>
      <c r="BM570" s="757"/>
      <c r="BN570" s="757"/>
      <c r="BO570" s="757"/>
      <c r="BP570" s="757"/>
      <c r="BQ570" s="757"/>
      <c r="BR570" s="757"/>
      <c r="BS570" s="757"/>
      <c r="BT570" s="757"/>
      <c r="BU570" s="757"/>
      <c r="BV570" s="757"/>
      <c r="BW570" s="757"/>
      <c r="BX570" s="757"/>
      <c r="BY570" s="757"/>
      <c r="BZ570" s="758"/>
      <c r="CB570" s="644"/>
      <c r="CC570" s="645"/>
      <c r="CD570" s="645"/>
      <c r="CE570" s="645"/>
      <c r="CF570" s="645"/>
      <c r="CG570" s="645"/>
      <c r="CH570" s="1037"/>
      <c r="CI570" s="756"/>
      <c r="CJ570" s="757"/>
      <c r="CK570" s="757"/>
      <c r="CL570" s="757"/>
      <c r="CM570" s="757"/>
      <c r="CN570" s="757"/>
      <c r="CO570" s="757"/>
      <c r="CP570" s="757"/>
      <c r="CQ570" s="757"/>
      <c r="CR570" s="757"/>
      <c r="CS570" s="757"/>
      <c r="CT570" s="757"/>
      <c r="CU570" s="757"/>
      <c r="CV570" s="757"/>
      <c r="CW570" s="757"/>
      <c r="CX570" s="757"/>
      <c r="CY570" s="757"/>
      <c r="CZ570" s="758"/>
    </row>
    <row r="571" spans="1:104" x14ac:dyDescent="0.25">
      <c r="B571" s="1028" t="str">
        <f>IF(B572="","",VLOOKUP(B572,BoonRef!$A$2:$Z$900,2,FALSE))</f>
        <v/>
      </c>
      <c r="C571" s="725"/>
      <c r="D571" s="725"/>
      <c r="E571" s="725"/>
      <c r="F571" s="725"/>
      <c r="G571" s="725"/>
      <c r="H571" s="725"/>
      <c r="I571" s="725" t="str">
        <f>IF(B572="","",VLOOKUP(B572,BoonRef!$A$2:$Z$900,3,FALSE))</f>
        <v/>
      </c>
      <c r="J571" s="725"/>
      <c r="K571" s="725" t="str">
        <f>IF(B572="","",VLOOKUP(B572,DescRef!$A$2:$B$900,2,FALSE))</f>
        <v/>
      </c>
      <c r="L571" s="725"/>
      <c r="M571" s="725"/>
      <c r="N571" s="725"/>
      <c r="O571" s="725"/>
      <c r="P571" s="725"/>
      <c r="Q571" s="725"/>
      <c r="R571" s="725"/>
      <c r="S571" s="725"/>
      <c r="T571" s="725"/>
      <c r="U571" s="725"/>
      <c r="V571" s="725"/>
      <c r="W571" s="725"/>
      <c r="X571" s="725"/>
      <c r="Y571" s="725"/>
      <c r="Z571" s="726"/>
      <c r="AB571" s="1028" t="str">
        <f>IF(AB572="","",VLOOKUP(AB572,BoonRef!$A$2:$Z$900,2,FALSE))</f>
        <v/>
      </c>
      <c r="AC571" s="725"/>
      <c r="AD571" s="725"/>
      <c r="AE571" s="725"/>
      <c r="AF571" s="725"/>
      <c r="AG571" s="725"/>
      <c r="AH571" s="725"/>
      <c r="AI571" s="725" t="str">
        <f>IF(AB572="","",VLOOKUP(AB572,BoonRef!$A$2:$Z$900,3,FALSE))</f>
        <v/>
      </c>
      <c r="AJ571" s="725"/>
      <c r="AK571" s="725" t="str">
        <f>IF(AB572="","",VLOOKUP(AB572,DescRef!$A$2:$B$900,2,FALSE))</f>
        <v/>
      </c>
      <c r="AL571" s="725"/>
      <c r="AM571" s="725"/>
      <c r="AN571" s="725"/>
      <c r="AO571" s="725"/>
      <c r="AP571" s="725"/>
      <c r="AQ571" s="725"/>
      <c r="AR571" s="725"/>
      <c r="AS571" s="725"/>
      <c r="AT571" s="725"/>
      <c r="AU571" s="725"/>
      <c r="AV571" s="725"/>
      <c r="AW571" s="725"/>
      <c r="AX571" s="725"/>
      <c r="AY571" s="725"/>
      <c r="AZ571" s="726"/>
      <c r="BB571" s="1029" t="str">
        <f>IF(BB572="","",VLOOKUP(BB572,KanckRef!$A$1:$G$300,2,FALSE))</f>
        <v/>
      </c>
      <c r="BC571" s="1030"/>
      <c r="BD571" s="1030"/>
      <c r="BE571" s="1030"/>
      <c r="BF571" s="1031"/>
      <c r="BG571" s="1048" t="str">
        <f>IF(BB572="","",VLOOKUP(BB572,KanckRef!$A$1:$G$300,6,FALSE))</f>
        <v/>
      </c>
      <c r="BH571" s="1049"/>
      <c r="BI571" s="988" t="str">
        <f>IF(BB572="","",VLOOKUP(BB572,DescRef!$D$2:$E$300,2,FALSE))</f>
        <v/>
      </c>
      <c r="BJ571" s="795"/>
      <c r="BK571" s="795"/>
      <c r="BL571" s="795"/>
      <c r="BM571" s="795"/>
      <c r="BN571" s="795"/>
      <c r="BO571" s="795"/>
      <c r="BP571" s="795"/>
      <c r="BQ571" s="795"/>
      <c r="BR571" s="795"/>
      <c r="BS571" s="795"/>
      <c r="BT571" s="795"/>
      <c r="BU571" s="795"/>
      <c r="BV571" s="795"/>
      <c r="BW571" s="795"/>
      <c r="BX571" s="795"/>
      <c r="BY571" s="795"/>
      <c r="BZ571" s="796"/>
      <c r="CB571" s="1029" t="str">
        <f>IF(CB572="","",VLOOKUP(CB572,KanckRef!$A$1:$G$300,2,FALSE))</f>
        <v/>
      </c>
      <c r="CC571" s="1030"/>
      <c r="CD571" s="1030"/>
      <c r="CE571" s="1030"/>
      <c r="CF571" s="1031"/>
      <c r="CG571" s="1048" t="str">
        <f>IF(CB572="","",VLOOKUP(CB572,KanckRef!$A$1:$G$300,6,FALSE))</f>
        <v/>
      </c>
      <c r="CH571" s="1049"/>
      <c r="CI571" s="988" t="str">
        <f>IF(CB572="","",VLOOKUP(CB572,DescRef!$D$2:$E$300,2,FALSE))</f>
        <v/>
      </c>
      <c r="CJ571" s="795"/>
      <c r="CK571" s="795"/>
      <c r="CL571" s="795"/>
      <c r="CM571" s="795"/>
      <c r="CN571" s="795"/>
      <c r="CO571" s="795"/>
      <c r="CP571" s="795"/>
      <c r="CQ571" s="795"/>
      <c r="CR571" s="795"/>
      <c r="CS571" s="795"/>
      <c r="CT571" s="795"/>
      <c r="CU571" s="795"/>
      <c r="CV571" s="795"/>
      <c r="CW571" s="795"/>
      <c r="CX571" s="795"/>
      <c r="CY571" s="795"/>
      <c r="CZ571" s="796"/>
    </row>
    <row r="572" spans="1:104" ht="15" customHeight="1" x14ac:dyDescent="0.25">
      <c r="A572" s="15">
        <v>95</v>
      </c>
      <c r="B572" s="1026" t="str">
        <f>IF(A572&lt;'Purchased Boons'!$B$496,VLOOKUP(A572,'Purchased Boons'!$BF$2:$BG$900,2,FALSE),"")</f>
        <v/>
      </c>
      <c r="C572" s="727"/>
      <c r="D572" s="727"/>
      <c r="E572" s="727"/>
      <c r="F572" s="727"/>
      <c r="G572" s="727"/>
      <c r="H572" s="727"/>
      <c r="I572" s="727" t="str">
        <f>IF(B572="","",VLOOKUP(B572,BoonRef!$A$2:$Z$900,25,FALSE))</f>
        <v/>
      </c>
      <c r="J572" s="727"/>
      <c r="K572" s="727"/>
      <c r="L572" s="727"/>
      <c r="M572" s="727"/>
      <c r="N572" s="727"/>
      <c r="O572" s="727"/>
      <c r="P572" s="727"/>
      <c r="Q572" s="727"/>
      <c r="R572" s="727"/>
      <c r="S572" s="727"/>
      <c r="T572" s="727"/>
      <c r="U572" s="727"/>
      <c r="V572" s="727"/>
      <c r="W572" s="727"/>
      <c r="X572" s="727"/>
      <c r="Y572" s="727"/>
      <c r="Z572" s="728"/>
      <c r="AA572" s="15">
        <v>202</v>
      </c>
      <c r="AB572" s="1026" t="str">
        <f>IF(AA572&lt;'Purchased Boons'!$B$496,VLOOKUP(AA572,'Purchased Boons'!$BF$2:$BG$900,2,FALSE),"")</f>
        <v/>
      </c>
      <c r="AC572" s="727"/>
      <c r="AD572" s="727"/>
      <c r="AE572" s="727"/>
      <c r="AF572" s="727"/>
      <c r="AG572" s="727"/>
      <c r="AH572" s="727"/>
      <c r="AI572" s="727" t="str">
        <f>IF(AB572="","",VLOOKUP(AB572,BoonRef!$A$2:$Z$900,25,FALSE))</f>
        <v/>
      </c>
      <c r="AJ572" s="727"/>
      <c r="AK572" s="727"/>
      <c r="AL572" s="727"/>
      <c r="AM572" s="727"/>
      <c r="AN572" s="727"/>
      <c r="AO572" s="727"/>
      <c r="AP572" s="727"/>
      <c r="AQ572" s="727"/>
      <c r="AR572" s="727"/>
      <c r="AS572" s="727"/>
      <c r="AT572" s="727"/>
      <c r="AU572" s="727"/>
      <c r="AV572" s="727"/>
      <c r="AW572" s="727"/>
      <c r="AX572" s="727"/>
      <c r="AY572" s="727"/>
      <c r="AZ572" s="728"/>
      <c r="BA572" s="15">
        <v>95</v>
      </c>
      <c r="BB572" s="1038" t="str">
        <f>IF(BA572&lt;'Purchased Knacks'!A$192,VLOOKUP(BA572,'Purchased Knacks'!$A$4:$E$300,3,FALSE),"")</f>
        <v/>
      </c>
      <c r="BC572" s="1039"/>
      <c r="BD572" s="1039"/>
      <c r="BE572" s="1039"/>
      <c r="BF572" s="1040"/>
      <c r="BG572" s="1032" t="str">
        <f>IF(BB572="","",VLOOKUP(BB572,KanckRef!$A$1:$G$300,7,FALSE))</f>
        <v/>
      </c>
      <c r="BH572" s="1033"/>
      <c r="BI572" s="753"/>
      <c r="BJ572" s="754"/>
      <c r="BK572" s="754"/>
      <c r="BL572" s="754"/>
      <c r="BM572" s="754"/>
      <c r="BN572" s="754"/>
      <c r="BO572" s="754"/>
      <c r="BP572" s="754"/>
      <c r="BQ572" s="754"/>
      <c r="BR572" s="754"/>
      <c r="BS572" s="754"/>
      <c r="BT572" s="754"/>
      <c r="BU572" s="754"/>
      <c r="BV572" s="754"/>
      <c r="BW572" s="754"/>
      <c r="BX572" s="754"/>
      <c r="BY572" s="754"/>
      <c r="BZ572" s="755"/>
      <c r="CA572" s="15">
        <v>202</v>
      </c>
      <c r="CB572" s="1038" t="str">
        <f>IF(CA572&lt;'Purchased Knacks'!A$192,VLOOKUP(CA572,'Purchased Knacks'!$A$4:$E$300,3,FALSE),"")</f>
        <v/>
      </c>
      <c r="CC572" s="1039"/>
      <c r="CD572" s="1039"/>
      <c r="CE572" s="1039"/>
      <c r="CF572" s="1040"/>
      <c r="CG572" s="1032" t="str">
        <f>IF(CB572="","",VLOOKUP(CB572,KanckRef!$A$1:$G$300,7,FALSE))</f>
        <v/>
      </c>
      <c r="CH572" s="1033"/>
      <c r="CI572" s="753"/>
      <c r="CJ572" s="754"/>
      <c r="CK572" s="754"/>
      <c r="CL572" s="754"/>
      <c r="CM572" s="754"/>
      <c r="CN572" s="754"/>
      <c r="CO572" s="754"/>
      <c r="CP572" s="754"/>
      <c r="CQ572" s="754"/>
      <c r="CR572" s="754"/>
      <c r="CS572" s="754"/>
      <c r="CT572" s="754"/>
      <c r="CU572" s="754"/>
      <c r="CV572" s="754"/>
      <c r="CW572" s="754"/>
      <c r="CX572" s="754"/>
      <c r="CY572" s="754"/>
      <c r="CZ572" s="755"/>
    </row>
    <row r="573" spans="1:104" x14ac:dyDescent="0.25">
      <c r="B573" s="1026"/>
      <c r="C573" s="727"/>
      <c r="D573" s="727"/>
      <c r="E573" s="727"/>
      <c r="F573" s="727"/>
      <c r="G573" s="727"/>
      <c r="H573" s="727"/>
      <c r="I573" s="727" t="str">
        <f>IF(B572="","",VLOOKUP(B572,BoonRef!$A$2:$Z$900,26,FALSE))</f>
        <v/>
      </c>
      <c r="J573" s="727"/>
      <c r="K573" s="727"/>
      <c r="L573" s="727"/>
      <c r="M573" s="727"/>
      <c r="N573" s="727"/>
      <c r="O573" s="727"/>
      <c r="P573" s="727"/>
      <c r="Q573" s="727"/>
      <c r="R573" s="727"/>
      <c r="S573" s="727"/>
      <c r="T573" s="727"/>
      <c r="U573" s="727"/>
      <c r="V573" s="727"/>
      <c r="W573" s="727"/>
      <c r="X573" s="727"/>
      <c r="Y573" s="727"/>
      <c r="Z573" s="728"/>
      <c r="AB573" s="1026"/>
      <c r="AC573" s="727"/>
      <c r="AD573" s="727"/>
      <c r="AE573" s="727"/>
      <c r="AF573" s="727"/>
      <c r="AG573" s="727"/>
      <c r="AH573" s="727"/>
      <c r="AI573" s="727" t="str">
        <f>IF(AB572="","",VLOOKUP(AB572,BoonRef!$A$2:$Z$900,26,FALSE))</f>
        <v/>
      </c>
      <c r="AJ573" s="727"/>
      <c r="AK573" s="727"/>
      <c r="AL573" s="727"/>
      <c r="AM573" s="727"/>
      <c r="AN573" s="727"/>
      <c r="AO573" s="727"/>
      <c r="AP573" s="727"/>
      <c r="AQ573" s="727"/>
      <c r="AR573" s="727"/>
      <c r="AS573" s="727"/>
      <c r="AT573" s="727"/>
      <c r="AU573" s="727"/>
      <c r="AV573" s="727"/>
      <c r="AW573" s="727"/>
      <c r="AX573" s="727"/>
      <c r="AY573" s="727"/>
      <c r="AZ573" s="728"/>
      <c r="BB573" s="1041"/>
      <c r="BC573" s="1042"/>
      <c r="BD573" s="1042"/>
      <c r="BE573" s="1042"/>
      <c r="BF573" s="1043"/>
      <c r="BG573" s="1034"/>
      <c r="BH573" s="1035"/>
      <c r="BI573" s="753"/>
      <c r="BJ573" s="754"/>
      <c r="BK573" s="754"/>
      <c r="BL573" s="754"/>
      <c r="BM573" s="754"/>
      <c r="BN573" s="754"/>
      <c r="BO573" s="754"/>
      <c r="BP573" s="754"/>
      <c r="BQ573" s="754"/>
      <c r="BR573" s="754"/>
      <c r="BS573" s="754"/>
      <c r="BT573" s="754"/>
      <c r="BU573" s="754"/>
      <c r="BV573" s="754"/>
      <c r="BW573" s="754"/>
      <c r="BX573" s="754"/>
      <c r="BY573" s="754"/>
      <c r="BZ573" s="755"/>
      <c r="CB573" s="1041"/>
      <c r="CC573" s="1042"/>
      <c r="CD573" s="1042"/>
      <c r="CE573" s="1042"/>
      <c r="CF573" s="1043"/>
      <c r="CG573" s="1034"/>
      <c r="CH573" s="1035"/>
      <c r="CI573" s="753"/>
      <c r="CJ573" s="754"/>
      <c r="CK573" s="754"/>
      <c r="CL573" s="754"/>
      <c r="CM573" s="754"/>
      <c r="CN573" s="754"/>
      <c r="CO573" s="754"/>
      <c r="CP573" s="754"/>
      <c r="CQ573" s="754"/>
      <c r="CR573" s="754"/>
      <c r="CS573" s="754"/>
      <c r="CT573" s="754"/>
      <c r="CU573" s="754"/>
      <c r="CV573" s="754"/>
      <c r="CW573" s="754"/>
      <c r="CX573" s="754"/>
      <c r="CY573" s="754"/>
      <c r="CZ573" s="755"/>
    </row>
    <row r="574" spans="1:104" x14ac:dyDescent="0.25">
      <c r="B574" s="1026" t="str">
        <f>IF(B572="","",VLOOKUP(B572,BoonRef!$A$2:$Z$900,24,FALSE))</f>
        <v/>
      </c>
      <c r="C574" s="727"/>
      <c r="D574" s="727"/>
      <c r="E574" s="727"/>
      <c r="F574" s="727"/>
      <c r="G574" s="727"/>
      <c r="H574" s="727"/>
      <c r="I574" s="727"/>
      <c r="J574" s="727"/>
      <c r="K574" s="727"/>
      <c r="L574" s="727"/>
      <c r="M574" s="727"/>
      <c r="N574" s="727"/>
      <c r="O574" s="727"/>
      <c r="P574" s="727"/>
      <c r="Q574" s="727"/>
      <c r="R574" s="727"/>
      <c r="S574" s="727"/>
      <c r="T574" s="727"/>
      <c r="U574" s="727"/>
      <c r="V574" s="727"/>
      <c r="W574" s="727"/>
      <c r="X574" s="727"/>
      <c r="Y574" s="727"/>
      <c r="Z574" s="728"/>
      <c r="AB574" s="1026" t="str">
        <f>IF(AB572="","",VLOOKUP(AB572,BoonRef!$A$2:$Z$900,24,FALSE))</f>
        <v/>
      </c>
      <c r="AC574" s="727"/>
      <c r="AD574" s="727"/>
      <c r="AE574" s="727"/>
      <c r="AF574" s="727"/>
      <c r="AG574" s="727"/>
      <c r="AH574" s="727"/>
      <c r="AI574" s="727"/>
      <c r="AJ574" s="727"/>
      <c r="AK574" s="727"/>
      <c r="AL574" s="727"/>
      <c r="AM574" s="727"/>
      <c r="AN574" s="727"/>
      <c r="AO574" s="727"/>
      <c r="AP574" s="727"/>
      <c r="AQ574" s="727"/>
      <c r="AR574" s="727"/>
      <c r="AS574" s="727"/>
      <c r="AT574" s="727"/>
      <c r="AU574" s="727"/>
      <c r="AV574" s="727"/>
      <c r="AW574" s="727"/>
      <c r="AX574" s="727"/>
      <c r="AY574" s="727"/>
      <c r="AZ574" s="728"/>
      <c r="BB574" s="641" t="str">
        <f>IF(BB572="","",VLOOKUP(BB572,KanckRef!$A$1:$G$300,4,FALSE))</f>
        <v/>
      </c>
      <c r="BC574" s="642"/>
      <c r="BD574" s="642"/>
      <c r="BE574" s="642"/>
      <c r="BF574" s="642"/>
      <c r="BG574" s="642"/>
      <c r="BH574" s="1033"/>
      <c r="BI574" s="753"/>
      <c r="BJ574" s="754"/>
      <c r="BK574" s="754"/>
      <c r="BL574" s="754"/>
      <c r="BM574" s="754"/>
      <c r="BN574" s="754"/>
      <c r="BO574" s="754"/>
      <c r="BP574" s="754"/>
      <c r="BQ574" s="754"/>
      <c r="BR574" s="754"/>
      <c r="BS574" s="754"/>
      <c r="BT574" s="754"/>
      <c r="BU574" s="754"/>
      <c r="BV574" s="754"/>
      <c r="BW574" s="754"/>
      <c r="BX574" s="754"/>
      <c r="BY574" s="754"/>
      <c r="BZ574" s="755"/>
      <c r="CB574" s="641" t="str">
        <f>IF(CB572="","",VLOOKUP(CB572,KanckRef!$A$1:$G$300,4,FALSE))</f>
        <v/>
      </c>
      <c r="CC574" s="642"/>
      <c r="CD574" s="642"/>
      <c r="CE574" s="642"/>
      <c r="CF574" s="642"/>
      <c r="CG574" s="642"/>
      <c r="CH574" s="1033"/>
      <c r="CI574" s="753"/>
      <c r="CJ574" s="754"/>
      <c r="CK574" s="754"/>
      <c r="CL574" s="754"/>
      <c r="CM574" s="754"/>
      <c r="CN574" s="754"/>
      <c r="CO574" s="754"/>
      <c r="CP574" s="754"/>
      <c r="CQ574" s="754"/>
      <c r="CR574" s="754"/>
      <c r="CS574" s="754"/>
      <c r="CT574" s="754"/>
      <c r="CU574" s="754"/>
      <c r="CV574" s="754"/>
      <c r="CW574" s="754"/>
      <c r="CX574" s="754"/>
      <c r="CY574" s="754"/>
      <c r="CZ574" s="755"/>
    </row>
    <row r="575" spans="1:104" x14ac:dyDescent="0.25">
      <c r="B575" s="1026" t="str">
        <f>IF(B572="","",VLOOKUP(B572,BoonRef!$A$2:$Z$900,23,FALSE))</f>
        <v/>
      </c>
      <c r="C575" s="727"/>
      <c r="D575" s="727"/>
      <c r="E575" s="727"/>
      <c r="F575" s="727"/>
      <c r="G575" s="727"/>
      <c r="H575" s="727"/>
      <c r="I575" s="727"/>
      <c r="J575" s="727"/>
      <c r="K575" s="727"/>
      <c r="L575" s="727"/>
      <c r="M575" s="727"/>
      <c r="N575" s="727"/>
      <c r="O575" s="727"/>
      <c r="P575" s="727"/>
      <c r="Q575" s="727"/>
      <c r="R575" s="727"/>
      <c r="S575" s="727"/>
      <c r="T575" s="727"/>
      <c r="U575" s="727"/>
      <c r="V575" s="727"/>
      <c r="W575" s="727"/>
      <c r="X575" s="727"/>
      <c r="Y575" s="727"/>
      <c r="Z575" s="728"/>
      <c r="AB575" s="1026" t="str">
        <f>IF(AB572="","",VLOOKUP(AB572,BoonRef!$A$2:$Z$900,23,FALSE))</f>
        <v/>
      </c>
      <c r="AC575" s="727"/>
      <c r="AD575" s="727"/>
      <c r="AE575" s="727"/>
      <c r="AF575" s="727"/>
      <c r="AG575" s="727"/>
      <c r="AH575" s="727"/>
      <c r="AI575" s="727"/>
      <c r="AJ575" s="727"/>
      <c r="AK575" s="727"/>
      <c r="AL575" s="727"/>
      <c r="AM575" s="727"/>
      <c r="AN575" s="727"/>
      <c r="AO575" s="727"/>
      <c r="AP575" s="727"/>
      <c r="AQ575" s="727"/>
      <c r="AR575" s="727"/>
      <c r="AS575" s="727"/>
      <c r="AT575" s="727"/>
      <c r="AU575" s="727"/>
      <c r="AV575" s="727"/>
      <c r="AW575" s="727"/>
      <c r="AX575" s="727"/>
      <c r="AY575" s="727"/>
      <c r="AZ575" s="728"/>
      <c r="BB575" s="635"/>
      <c r="BC575" s="636"/>
      <c r="BD575" s="636"/>
      <c r="BE575" s="636"/>
      <c r="BF575" s="636"/>
      <c r="BG575" s="636"/>
      <c r="BH575" s="1036"/>
      <c r="BI575" s="753"/>
      <c r="BJ575" s="754"/>
      <c r="BK575" s="754"/>
      <c r="BL575" s="754"/>
      <c r="BM575" s="754"/>
      <c r="BN575" s="754"/>
      <c r="BO575" s="754"/>
      <c r="BP575" s="754"/>
      <c r="BQ575" s="754"/>
      <c r="BR575" s="754"/>
      <c r="BS575" s="754"/>
      <c r="BT575" s="754"/>
      <c r="BU575" s="754"/>
      <c r="BV575" s="754"/>
      <c r="BW575" s="754"/>
      <c r="BX575" s="754"/>
      <c r="BY575" s="754"/>
      <c r="BZ575" s="755"/>
      <c r="CB575" s="635"/>
      <c r="CC575" s="636"/>
      <c r="CD575" s="636"/>
      <c r="CE575" s="636"/>
      <c r="CF575" s="636"/>
      <c r="CG575" s="636"/>
      <c r="CH575" s="1036"/>
      <c r="CI575" s="753"/>
      <c r="CJ575" s="754"/>
      <c r="CK575" s="754"/>
      <c r="CL575" s="754"/>
      <c r="CM575" s="754"/>
      <c r="CN575" s="754"/>
      <c r="CO575" s="754"/>
      <c r="CP575" s="754"/>
      <c r="CQ575" s="754"/>
      <c r="CR575" s="754"/>
      <c r="CS575" s="754"/>
      <c r="CT575" s="754"/>
      <c r="CU575" s="754"/>
      <c r="CV575" s="754"/>
      <c r="CW575" s="754"/>
      <c r="CX575" s="754"/>
      <c r="CY575" s="754"/>
      <c r="CZ575" s="755"/>
    </row>
    <row r="576" spans="1:104" ht="15.75" thickBot="1" x14ac:dyDescent="0.3">
      <c r="B576" s="1027"/>
      <c r="C576" s="865"/>
      <c r="D576" s="865"/>
      <c r="E576" s="865"/>
      <c r="F576" s="865"/>
      <c r="G576" s="865"/>
      <c r="H576" s="865"/>
      <c r="I576" s="865"/>
      <c r="J576" s="865"/>
      <c r="K576" s="865"/>
      <c r="L576" s="865"/>
      <c r="M576" s="865"/>
      <c r="N576" s="865"/>
      <c r="O576" s="865"/>
      <c r="P576" s="865"/>
      <c r="Q576" s="865"/>
      <c r="R576" s="865"/>
      <c r="S576" s="865"/>
      <c r="T576" s="865"/>
      <c r="U576" s="865"/>
      <c r="V576" s="865"/>
      <c r="W576" s="865"/>
      <c r="X576" s="865"/>
      <c r="Y576" s="865"/>
      <c r="Z576" s="921"/>
      <c r="AB576" s="1027"/>
      <c r="AC576" s="865"/>
      <c r="AD576" s="865"/>
      <c r="AE576" s="865"/>
      <c r="AF576" s="865"/>
      <c r="AG576" s="865"/>
      <c r="AH576" s="865"/>
      <c r="AI576" s="865"/>
      <c r="AJ576" s="865"/>
      <c r="AK576" s="865"/>
      <c r="AL576" s="865"/>
      <c r="AM576" s="865"/>
      <c r="AN576" s="865"/>
      <c r="AO576" s="865"/>
      <c r="AP576" s="865"/>
      <c r="AQ576" s="865"/>
      <c r="AR576" s="865"/>
      <c r="AS576" s="865"/>
      <c r="AT576" s="865"/>
      <c r="AU576" s="865"/>
      <c r="AV576" s="865"/>
      <c r="AW576" s="865"/>
      <c r="AX576" s="865"/>
      <c r="AY576" s="865"/>
      <c r="AZ576" s="921"/>
      <c r="BB576" s="644"/>
      <c r="BC576" s="645"/>
      <c r="BD576" s="645"/>
      <c r="BE576" s="645"/>
      <c r="BF576" s="645"/>
      <c r="BG576" s="645"/>
      <c r="BH576" s="1037"/>
      <c r="BI576" s="756"/>
      <c r="BJ576" s="757"/>
      <c r="BK576" s="757"/>
      <c r="BL576" s="757"/>
      <c r="BM576" s="757"/>
      <c r="BN576" s="757"/>
      <c r="BO576" s="757"/>
      <c r="BP576" s="757"/>
      <c r="BQ576" s="757"/>
      <c r="BR576" s="757"/>
      <c r="BS576" s="757"/>
      <c r="BT576" s="757"/>
      <c r="BU576" s="757"/>
      <c r="BV576" s="757"/>
      <c r="BW576" s="757"/>
      <c r="BX576" s="757"/>
      <c r="BY576" s="757"/>
      <c r="BZ576" s="758"/>
      <c r="CB576" s="644"/>
      <c r="CC576" s="645"/>
      <c r="CD576" s="645"/>
      <c r="CE576" s="645"/>
      <c r="CF576" s="645"/>
      <c r="CG576" s="645"/>
      <c r="CH576" s="1037"/>
      <c r="CI576" s="756"/>
      <c r="CJ576" s="757"/>
      <c r="CK576" s="757"/>
      <c r="CL576" s="757"/>
      <c r="CM576" s="757"/>
      <c r="CN576" s="757"/>
      <c r="CO576" s="757"/>
      <c r="CP576" s="757"/>
      <c r="CQ576" s="757"/>
      <c r="CR576" s="757"/>
      <c r="CS576" s="757"/>
      <c r="CT576" s="757"/>
      <c r="CU576" s="757"/>
      <c r="CV576" s="757"/>
      <c r="CW576" s="757"/>
      <c r="CX576" s="757"/>
      <c r="CY576" s="757"/>
      <c r="CZ576" s="758"/>
    </row>
    <row r="577" spans="1:104" x14ac:dyDescent="0.25">
      <c r="B577" s="1028" t="str">
        <f>IF(B578="","",VLOOKUP(B578,BoonRef!$A$2:$Z$900,2,FALSE))</f>
        <v/>
      </c>
      <c r="C577" s="725"/>
      <c r="D577" s="725"/>
      <c r="E577" s="725"/>
      <c r="F577" s="725"/>
      <c r="G577" s="725"/>
      <c r="H577" s="725"/>
      <c r="I577" s="725" t="str">
        <f>IF(B578="","",VLOOKUP(B578,BoonRef!$A$2:$Z$900,3,FALSE))</f>
        <v/>
      </c>
      <c r="J577" s="725"/>
      <c r="K577" s="725" t="str">
        <f>IF(B578="","",VLOOKUP(B578,DescRef!$A$2:$B$900,2,FALSE))</f>
        <v/>
      </c>
      <c r="L577" s="725"/>
      <c r="M577" s="725"/>
      <c r="N577" s="725"/>
      <c r="O577" s="725"/>
      <c r="P577" s="725"/>
      <c r="Q577" s="725"/>
      <c r="R577" s="725"/>
      <c r="S577" s="725"/>
      <c r="T577" s="725"/>
      <c r="U577" s="725"/>
      <c r="V577" s="725"/>
      <c r="W577" s="725"/>
      <c r="X577" s="725"/>
      <c r="Y577" s="725"/>
      <c r="Z577" s="726"/>
      <c r="AB577" s="1028" t="str">
        <f>IF(AB578="","",VLOOKUP(AB578,BoonRef!$A$2:$Z$900,2,FALSE))</f>
        <v/>
      </c>
      <c r="AC577" s="725"/>
      <c r="AD577" s="725"/>
      <c r="AE577" s="725"/>
      <c r="AF577" s="725"/>
      <c r="AG577" s="725"/>
      <c r="AH577" s="725"/>
      <c r="AI577" s="725" t="str">
        <f>IF(AB578="","",VLOOKUP(AB578,BoonRef!$A$2:$Z$900,3,FALSE))</f>
        <v/>
      </c>
      <c r="AJ577" s="725"/>
      <c r="AK577" s="725" t="str">
        <f>IF(AB578="","",VLOOKUP(AB578,DescRef!$A$2:$B$900,2,FALSE))</f>
        <v/>
      </c>
      <c r="AL577" s="725"/>
      <c r="AM577" s="725"/>
      <c r="AN577" s="725"/>
      <c r="AO577" s="725"/>
      <c r="AP577" s="725"/>
      <c r="AQ577" s="725"/>
      <c r="AR577" s="725"/>
      <c r="AS577" s="725"/>
      <c r="AT577" s="725"/>
      <c r="AU577" s="725"/>
      <c r="AV577" s="725"/>
      <c r="AW577" s="725"/>
      <c r="AX577" s="725"/>
      <c r="AY577" s="725"/>
      <c r="AZ577" s="726"/>
      <c r="BB577" s="1029" t="str">
        <f>IF(BB578="","",VLOOKUP(BB578,KanckRef!$A$1:$G$300,2,FALSE))</f>
        <v/>
      </c>
      <c r="BC577" s="1030"/>
      <c r="BD577" s="1030"/>
      <c r="BE577" s="1030"/>
      <c r="BF577" s="1031"/>
      <c r="BG577" s="1048" t="str">
        <f>IF(BB578="","",VLOOKUP(BB578,KanckRef!$A$1:$G$300,6,FALSE))</f>
        <v/>
      </c>
      <c r="BH577" s="1049"/>
      <c r="BI577" s="988" t="str">
        <f>IF(BB578="","",VLOOKUP(BB578,DescRef!$D$2:$E$300,2,FALSE))</f>
        <v/>
      </c>
      <c r="BJ577" s="795"/>
      <c r="BK577" s="795"/>
      <c r="BL577" s="795"/>
      <c r="BM577" s="795"/>
      <c r="BN577" s="795"/>
      <c r="BO577" s="795"/>
      <c r="BP577" s="795"/>
      <c r="BQ577" s="795"/>
      <c r="BR577" s="795"/>
      <c r="BS577" s="795"/>
      <c r="BT577" s="795"/>
      <c r="BU577" s="795"/>
      <c r="BV577" s="795"/>
      <c r="BW577" s="795"/>
      <c r="BX577" s="795"/>
      <c r="BY577" s="795"/>
      <c r="BZ577" s="796"/>
      <c r="CB577" s="1029" t="str">
        <f>IF(CB578="","",VLOOKUP(CB578,KanckRef!$A$1:$G$300,2,FALSE))</f>
        <v/>
      </c>
      <c r="CC577" s="1030"/>
      <c r="CD577" s="1030"/>
      <c r="CE577" s="1030"/>
      <c r="CF577" s="1031"/>
      <c r="CG577" s="1048" t="str">
        <f>IF(CB578="","",VLOOKUP(CB578,KanckRef!$A$1:$G$300,6,FALSE))</f>
        <v/>
      </c>
      <c r="CH577" s="1049"/>
      <c r="CI577" s="988" t="str">
        <f>IF(CB578="","",VLOOKUP(CB578,DescRef!$D$2:$E$300,2,FALSE))</f>
        <v/>
      </c>
      <c r="CJ577" s="795"/>
      <c r="CK577" s="795"/>
      <c r="CL577" s="795"/>
      <c r="CM577" s="795"/>
      <c r="CN577" s="795"/>
      <c r="CO577" s="795"/>
      <c r="CP577" s="795"/>
      <c r="CQ577" s="795"/>
      <c r="CR577" s="795"/>
      <c r="CS577" s="795"/>
      <c r="CT577" s="795"/>
      <c r="CU577" s="795"/>
      <c r="CV577" s="795"/>
      <c r="CW577" s="795"/>
      <c r="CX577" s="795"/>
      <c r="CY577" s="795"/>
      <c r="CZ577" s="796"/>
    </row>
    <row r="578" spans="1:104" ht="15" customHeight="1" x14ac:dyDescent="0.25">
      <c r="A578" s="15">
        <v>96</v>
      </c>
      <c r="B578" s="1026" t="str">
        <f>IF(A578&lt;'Purchased Boons'!$B$496,VLOOKUP(A578,'Purchased Boons'!$BF$2:$BG$900,2,FALSE),"")</f>
        <v/>
      </c>
      <c r="C578" s="727"/>
      <c r="D578" s="727"/>
      <c r="E578" s="727"/>
      <c r="F578" s="727"/>
      <c r="G578" s="727"/>
      <c r="H578" s="727"/>
      <c r="I578" s="727" t="str">
        <f>IF(B578="","",VLOOKUP(B578,BoonRef!$A$2:$Z$900,25,FALSE))</f>
        <v/>
      </c>
      <c r="J578" s="727"/>
      <c r="K578" s="727"/>
      <c r="L578" s="727"/>
      <c r="M578" s="727"/>
      <c r="N578" s="727"/>
      <c r="O578" s="727"/>
      <c r="P578" s="727"/>
      <c r="Q578" s="727"/>
      <c r="R578" s="727"/>
      <c r="S578" s="727"/>
      <c r="T578" s="727"/>
      <c r="U578" s="727"/>
      <c r="V578" s="727"/>
      <c r="W578" s="727"/>
      <c r="X578" s="727"/>
      <c r="Y578" s="727"/>
      <c r="Z578" s="728"/>
      <c r="AA578" s="15">
        <v>203</v>
      </c>
      <c r="AB578" s="1026" t="str">
        <f>IF(AA578&lt;'Purchased Boons'!$B$496,VLOOKUP(AA578,'Purchased Boons'!$BF$2:$BG$900,2,FALSE),"")</f>
        <v/>
      </c>
      <c r="AC578" s="727"/>
      <c r="AD578" s="727"/>
      <c r="AE578" s="727"/>
      <c r="AF578" s="727"/>
      <c r="AG578" s="727"/>
      <c r="AH578" s="727"/>
      <c r="AI578" s="727" t="str">
        <f>IF(AB578="","",VLOOKUP(AB578,BoonRef!$A$2:$Z$900,25,FALSE))</f>
        <v/>
      </c>
      <c r="AJ578" s="727"/>
      <c r="AK578" s="727"/>
      <c r="AL578" s="727"/>
      <c r="AM578" s="727"/>
      <c r="AN578" s="727"/>
      <c r="AO578" s="727"/>
      <c r="AP578" s="727"/>
      <c r="AQ578" s="727"/>
      <c r="AR578" s="727"/>
      <c r="AS578" s="727"/>
      <c r="AT578" s="727"/>
      <c r="AU578" s="727"/>
      <c r="AV578" s="727"/>
      <c r="AW578" s="727"/>
      <c r="AX578" s="727"/>
      <c r="AY578" s="727"/>
      <c r="AZ578" s="728"/>
      <c r="BA578" s="15">
        <v>96</v>
      </c>
      <c r="BB578" s="1038" t="str">
        <f>IF(BA578&lt;'Purchased Knacks'!A$192,VLOOKUP(BA578,'Purchased Knacks'!$A$4:$E$300,3,FALSE),"")</f>
        <v/>
      </c>
      <c r="BC578" s="1039"/>
      <c r="BD578" s="1039"/>
      <c r="BE578" s="1039"/>
      <c r="BF578" s="1040"/>
      <c r="BG578" s="1032" t="str">
        <f>IF(BB578="","",VLOOKUP(BB578,KanckRef!$A$1:$G$300,7,FALSE))</f>
        <v/>
      </c>
      <c r="BH578" s="1033"/>
      <c r="BI578" s="753"/>
      <c r="BJ578" s="754"/>
      <c r="BK578" s="754"/>
      <c r="BL578" s="754"/>
      <c r="BM578" s="754"/>
      <c r="BN578" s="754"/>
      <c r="BO578" s="754"/>
      <c r="BP578" s="754"/>
      <c r="BQ578" s="754"/>
      <c r="BR578" s="754"/>
      <c r="BS578" s="754"/>
      <c r="BT578" s="754"/>
      <c r="BU578" s="754"/>
      <c r="BV578" s="754"/>
      <c r="BW578" s="754"/>
      <c r="BX578" s="754"/>
      <c r="BY578" s="754"/>
      <c r="BZ578" s="755"/>
      <c r="CA578" s="15">
        <v>203</v>
      </c>
      <c r="CB578" s="1038" t="str">
        <f>IF(CA578&lt;'Purchased Knacks'!A$192,VLOOKUP(CA578,'Purchased Knacks'!$A$4:$E$300,3,FALSE),"")</f>
        <v/>
      </c>
      <c r="CC578" s="1039"/>
      <c r="CD578" s="1039"/>
      <c r="CE578" s="1039"/>
      <c r="CF578" s="1040"/>
      <c r="CG578" s="1032" t="str">
        <f>IF(CB578="","",VLOOKUP(CB578,KanckRef!$A$1:$G$300,7,FALSE))</f>
        <v/>
      </c>
      <c r="CH578" s="1033"/>
      <c r="CI578" s="753"/>
      <c r="CJ578" s="754"/>
      <c r="CK578" s="754"/>
      <c r="CL578" s="754"/>
      <c r="CM578" s="754"/>
      <c r="CN578" s="754"/>
      <c r="CO578" s="754"/>
      <c r="CP578" s="754"/>
      <c r="CQ578" s="754"/>
      <c r="CR578" s="754"/>
      <c r="CS578" s="754"/>
      <c r="CT578" s="754"/>
      <c r="CU578" s="754"/>
      <c r="CV578" s="754"/>
      <c r="CW578" s="754"/>
      <c r="CX578" s="754"/>
      <c r="CY578" s="754"/>
      <c r="CZ578" s="755"/>
    </row>
    <row r="579" spans="1:104" x14ac:dyDescent="0.25">
      <c r="B579" s="1026"/>
      <c r="C579" s="727"/>
      <c r="D579" s="727"/>
      <c r="E579" s="727"/>
      <c r="F579" s="727"/>
      <c r="G579" s="727"/>
      <c r="H579" s="727"/>
      <c r="I579" s="727" t="str">
        <f>IF(B578="","",VLOOKUP(B578,BoonRef!$A$2:$Z$900,26,FALSE))</f>
        <v/>
      </c>
      <c r="J579" s="727"/>
      <c r="K579" s="727"/>
      <c r="L579" s="727"/>
      <c r="M579" s="727"/>
      <c r="N579" s="727"/>
      <c r="O579" s="727"/>
      <c r="P579" s="727"/>
      <c r="Q579" s="727"/>
      <c r="R579" s="727"/>
      <c r="S579" s="727"/>
      <c r="T579" s="727"/>
      <c r="U579" s="727"/>
      <c r="V579" s="727"/>
      <c r="W579" s="727"/>
      <c r="X579" s="727"/>
      <c r="Y579" s="727"/>
      <c r="Z579" s="728"/>
      <c r="AB579" s="1026"/>
      <c r="AC579" s="727"/>
      <c r="AD579" s="727"/>
      <c r="AE579" s="727"/>
      <c r="AF579" s="727"/>
      <c r="AG579" s="727"/>
      <c r="AH579" s="727"/>
      <c r="AI579" s="727" t="str">
        <f>IF(AB578="","",VLOOKUP(AB578,BoonRef!$A$2:$Z$900,26,FALSE))</f>
        <v/>
      </c>
      <c r="AJ579" s="727"/>
      <c r="AK579" s="727"/>
      <c r="AL579" s="727"/>
      <c r="AM579" s="727"/>
      <c r="AN579" s="727"/>
      <c r="AO579" s="727"/>
      <c r="AP579" s="727"/>
      <c r="AQ579" s="727"/>
      <c r="AR579" s="727"/>
      <c r="AS579" s="727"/>
      <c r="AT579" s="727"/>
      <c r="AU579" s="727"/>
      <c r="AV579" s="727"/>
      <c r="AW579" s="727"/>
      <c r="AX579" s="727"/>
      <c r="AY579" s="727"/>
      <c r="AZ579" s="728"/>
      <c r="BB579" s="1041"/>
      <c r="BC579" s="1042"/>
      <c r="BD579" s="1042"/>
      <c r="BE579" s="1042"/>
      <c r="BF579" s="1043"/>
      <c r="BG579" s="1034"/>
      <c r="BH579" s="1035"/>
      <c r="BI579" s="753"/>
      <c r="BJ579" s="754"/>
      <c r="BK579" s="754"/>
      <c r="BL579" s="754"/>
      <c r="BM579" s="754"/>
      <c r="BN579" s="754"/>
      <c r="BO579" s="754"/>
      <c r="BP579" s="754"/>
      <c r="BQ579" s="754"/>
      <c r="BR579" s="754"/>
      <c r="BS579" s="754"/>
      <c r="BT579" s="754"/>
      <c r="BU579" s="754"/>
      <c r="BV579" s="754"/>
      <c r="BW579" s="754"/>
      <c r="BX579" s="754"/>
      <c r="BY579" s="754"/>
      <c r="BZ579" s="755"/>
      <c r="CB579" s="1041"/>
      <c r="CC579" s="1042"/>
      <c r="CD579" s="1042"/>
      <c r="CE579" s="1042"/>
      <c r="CF579" s="1043"/>
      <c r="CG579" s="1034"/>
      <c r="CH579" s="1035"/>
      <c r="CI579" s="753"/>
      <c r="CJ579" s="754"/>
      <c r="CK579" s="754"/>
      <c r="CL579" s="754"/>
      <c r="CM579" s="754"/>
      <c r="CN579" s="754"/>
      <c r="CO579" s="754"/>
      <c r="CP579" s="754"/>
      <c r="CQ579" s="754"/>
      <c r="CR579" s="754"/>
      <c r="CS579" s="754"/>
      <c r="CT579" s="754"/>
      <c r="CU579" s="754"/>
      <c r="CV579" s="754"/>
      <c r="CW579" s="754"/>
      <c r="CX579" s="754"/>
      <c r="CY579" s="754"/>
      <c r="CZ579" s="755"/>
    </row>
    <row r="580" spans="1:104" x14ac:dyDescent="0.25">
      <c r="B580" s="1026" t="str">
        <f>IF(B578="","",VLOOKUP(B578,BoonRef!$A$2:$Z$900,24,FALSE))</f>
        <v/>
      </c>
      <c r="C580" s="727"/>
      <c r="D580" s="727"/>
      <c r="E580" s="727"/>
      <c r="F580" s="727"/>
      <c r="G580" s="727"/>
      <c r="H580" s="727"/>
      <c r="I580" s="727"/>
      <c r="J580" s="727"/>
      <c r="K580" s="727"/>
      <c r="L580" s="727"/>
      <c r="M580" s="727"/>
      <c r="N580" s="727"/>
      <c r="O580" s="727"/>
      <c r="P580" s="727"/>
      <c r="Q580" s="727"/>
      <c r="R580" s="727"/>
      <c r="S580" s="727"/>
      <c r="T580" s="727"/>
      <c r="U580" s="727"/>
      <c r="V580" s="727"/>
      <c r="W580" s="727"/>
      <c r="X580" s="727"/>
      <c r="Y580" s="727"/>
      <c r="Z580" s="728"/>
      <c r="AB580" s="1026" t="str">
        <f>IF(AB578="","",VLOOKUP(AB578,BoonRef!$A$2:$Z$900,24,FALSE))</f>
        <v/>
      </c>
      <c r="AC580" s="727"/>
      <c r="AD580" s="727"/>
      <c r="AE580" s="727"/>
      <c r="AF580" s="727"/>
      <c r="AG580" s="727"/>
      <c r="AH580" s="727"/>
      <c r="AI580" s="727"/>
      <c r="AJ580" s="727"/>
      <c r="AK580" s="727"/>
      <c r="AL580" s="727"/>
      <c r="AM580" s="727"/>
      <c r="AN580" s="727"/>
      <c r="AO580" s="727"/>
      <c r="AP580" s="727"/>
      <c r="AQ580" s="727"/>
      <c r="AR580" s="727"/>
      <c r="AS580" s="727"/>
      <c r="AT580" s="727"/>
      <c r="AU580" s="727"/>
      <c r="AV580" s="727"/>
      <c r="AW580" s="727"/>
      <c r="AX580" s="727"/>
      <c r="AY580" s="727"/>
      <c r="AZ580" s="728"/>
      <c r="BB580" s="641" t="str">
        <f>IF(BB578="","",VLOOKUP(BB578,KanckRef!$A$1:$G$300,4,FALSE))</f>
        <v/>
      </c>
      <c r="BC580" s="642"/>
      <c r="BD580" s="642"/>
      <c r="BE580" s="642"/>
      <c r="BF580" s="642"/>
      <c r="BG580" s="642"/>
      <c r="BH580" s="1033"/>
      <c r="BI580" s="753"/>
      <c r="BJ580" s="754"/>
      <c r="BK580" s="754"/>
      <c r="BL580" s="754"/>
      <c r="BM580" s="754"/>
      <c r="BN580" s="754"/>
      <c r="BO580" s="754"/>
      <c r="BP580" s="754"/>
      <c r="BQ580" s="754"/>
      <c r="BR580" s="754"/>
      <c r="BS580" s="754"/>
      <c r="BT580" s="754"/>
      <c r="BU580" s="754"/>
      <c r="BV580" s="754"/>
      <c r="BW580" s="754"/>
      <c r="BX580" s="754"/>
      <c r="BY580" s="754"/>
      <c r="BZ580" s="755"/>
      <c r="CB580" s="641" t="str">
        <f>IF(CB578="","",VLOOKUP(CB578,KanckRef!$A$1:$G$300,4,FALSE))</f>
        <v/>
      </c>
      <c r="CC580" s="642"/>
      <c r="CD580" s="642"/>
      <c r="CE580" s="642"/>
      <c r="CF580" s="642"/>
      <c r="CG580" s="642"/>
      <c r="CH580" s="1033"/>
      <c r="CI580" s="753"/>
      <c r="CJ580" s="754"/>
      <c r="CK580" s="754"/>
      <c r="CL580" s="754"/>
      <c r="CM580" s="754"/>
      <c r="CN580" s="754"/>
      <c r="CO580" s="754"/>
      <c r="CP580" s="754"/>
      <c r="CQ580" s="754"/>
      <c r="CR580" s="754"/>
      <c r="CS580" s="754"/>
      <c r="CT580" s="754"/>
      <c r="CU580" s="754"/>
      <c r="CV580" s="754"/>
      <c r="CW580" s="754"/>
      <c r="CX580" s="754"/>
      <c r="CY580" s="754"/>
      <c r="CZ580" s="755"/>
    </row>
    <row r="581" spans="1:104" x14ac:dyDescent="0.25">
      <c r="B581" s="1026" t="str">
        <f>IF(B578="","",VLOOKUP(B578,BoonRef!$A$2:$Z$900,23,FALSE))</f>
        <v/>
      </c>
      <c r="C581" s="727"/>
      <c r="D581" s="727"/>
      <c r="E581" s="727"/>
      <c r="F581" s="727"/>
      <c r="G581" s="727"/>
      <c r="H581" s="727"/>
      <c r="I581" s="727"/>
      <c r="J581" s="727"/>
      <c r="K581" s="727"/>
      <c r="L581" s="727"/>
      <c r="M581" s="727"/>
      <c r="N581" s="727"/>
      <c r="O581" s="727"/>
      <c r="P581" s="727"/>
      <c r="Q581" s="727"/>
      <c r="R581" s="727"/>
      <c r="S581" s="727"/>
      <c r="T581" s="727"/>
      <c r="U581" s="727"/>
      <c r="V581" s="727"/>
      <c r="W581" s="727"/>
      <c r="X581" s="727"/>
      <c r="Y581" s="727"/>
      <c r="Z581" s="728"/>
      <c r="AB581" s="1026" t="str">
        <f>IF(AB578="","",VLOOKUP(AB578,BoonRef!$A$2:$Z$900,23,FALSE))</f>
        <v/>
      </c>
      <c r="AC581" s="727"/>
      <c r="AD581" s="727"/>
      <c r="AE581" s="727"/>
      <c r="AF581" s="727"/>
      <c r="AG581" s="727"/>
      <c r="AH581" s="727"/>
      <c r="AI581" s="727"/>
      <c r="AJ581" s="727"/>
      <c r="AK581" s="727"/>
      <c r="AL581" s="727"/>
      <c r="AM581" s="727"/>
      <c r="AN581" s="727"/>
      <c r="AO581" s="727"/>
      <c r="AP581" s="727"/>
      <c r="AQ581" s="727"/>
      <c r="AR581" s="727"/>
      <c r="AS581" s="727"/>
      <c r="AT581" s="727"/>
      <c r="AU581" s="727"/>
      <c r="AV581" s="727"/>
      <c r="AW581" s="727"/>
      <c r="AX581" s="727"/>
      <c r="AY581" s="727"/>
      <c r="AZ581" s="728"/>
      <c r="BB581" s="635"/>
      <c r="BC581" s="636"/>
      <c r="BD581" s="636"/>
      <c r="BE581" s="636"/>
      <c r="BF581" s="636"/>
      <c r="BG581" s="636"/>
      <c r="BH581" s="1036"/>
      <c r="BI581" s="753"/>
      <c r="BJ581" s="754"/>
      <c r="BK581" s="754"/>
      <c r="BL581" s="754"/>
      <c r="BM581" s="754"/>
      <c r="BN581" s="754"/>
      <c r="BO581" s="754"/>
      <c r="BP581" s="754"/>
      <c r="BQ581" s="754"/>
      <c r="BR581" s="754"/>
      <c r="BS581" s="754"/>
      <c r="BT581" s="754"/>
      <c r="BU581" s="754"/>
      <c r="BV581" s="754"/>
      <c r="BW581" s="754"/>
      <c r="BX581" s="754"/>
      <c r="BY581" s="754"/>
      <c r="BZ581" s="755"/>
      <c r="CB581" s="635"/>
      <c r="CC581" s="636"/>
      <c r="CD581" s="636"/>
      <c r="CE581" s="636"/>
      <c r="CF581" s="636"/>
      <c r="CG581" s="636"/>
      <c r="CH581" s="1036"/>
      <c r="CI581" s="753"/>
      <c r="CJ581" s="754"/>
      <c r="CK581" s="754"/>
      <c r="CL581" s="754"/>
      <c r="CM581" s="754"/>
      <c r="CN581" s="754"/>
      <c r="CO581" s="754"/>
      <c r="CP581" s="754"/>
      <c r="CQ581" s="754"/>
      <c r="CR581" s="754"/>
      <c r="CS581" s="754"/>
      <c r="CT581" s="754"/>
      <c r="CU581" s="754"/>
      <c r="CV581" s="754"/>
      <c r="CW581" s="754"/>
      <c r="CX581" s="754"/>
      <c r="CY581" s="754"/>
      <c r="CZ581" s="755"/>
    </row>
    <row r="582" spans="1:104" ht="15.75" thickBot="1" x14ac:dyDescent="0.3">
      <c r="B582" s="1027"/>
      <c r="C582" s="865"/>
      <c r="D582" s="865"/>
      <c r="E582" s="865"/>
      <c r="F582" s="865"/>
      <c r="G582" s="865"/>
      <c r="H582" s="865"/>
      <c r="I582" s="865"/>
      <c r="J582" s="865"/>
      <c r="K582" s="865"/>
      <c r="L582" s="865"/>
      <c r="M582" s="865"/>
      <c r="N582" s="865"/>
      <c r="O582" s="865"/>
      <c r="P582" s="865"/>
      <c r="Q582" s="865"/>
      <c r="R582" s="865"/>
      <c r="S582" s="865"/>
      <c r="T582" s="865"/>
      <c r="U582" s="865"/>
      <c r="V582" s="865"/>
      <c r="W582" s="865"/>
      <c r="X582" s="865"/>
      <c r="Y582" s="865"/>
      <c r="Z582" s="921"/>
      <c r="AB582" s="1027"/>
      <c r="AC582" s="865"/>
      <c r="AD582" s="865"/>
      <c r="AE582" s="865"/>
      <c r="AF582" s="865"/>
      <c r="AG582" s="865"/>
      <c r="AH582" s="865"/>
      <c r="AI582" s="865"/>
      <c r="AJ582" s="865"/>
      <c r="AK582" s="865"/>
      <c r="AL582" s="865"/>
      <c r="AM582" s="865"/>
      <c r="AN582" s="865"/>
      <c r="AO582" s="865"/>
      <c r="AP582" s="865"/>
      <c r="AQ582" s="865"/>
      <c r="AR582" s="865"/>
      <c r="AS582" s="865"/>
      <c r="AT582" s="865"/>
      <c r="AU582" s="865"/>
      <c r="AV582" s="865"/>
      <c r="AW582" s="865"/>
      <c r="AX582" s="865"/>
      <c r="AY582" s="865"/>
      <c r="AZ582" s="921"/>
      <c r="BB582" s="644"/>
      <c r="BC582" s="645"/>
      <c r="BD582" s="645"/>
      <c r="BE582" s="645"/>
      <c r="BF582" s="645"/>
      <c r="BG582" s="645"/>
      <c r="BH582" s="1037"/>
      <c r="BI582" s="756"/>
      <c r="BJ582" s="757"/>
      <c r="BK582" s="757"/>
      <c r="BL582" s="757"/>
      <c r="BM582" s="757"/>
      <c r="BN582" s="757"/>
      <c r="BO582" s="757"/>
      <c r="BP582" s="757"/>
      <c r="BQ582" s="757"/>
      <c r="BR582" s="757"/>
      <c r="BS582" s="757"/>
      <c r="BT582" s="757"/>
      <c r="BU582" s="757"/>
      <c r="BV582" s="757"/>
      <c r="BW582" s="757"/>
      <c r="BX582" s="757"/>
      <c r="BY582" s="757"/>
      <c r="BZ582" s="758"/>
      <c r="CB582" s="644"/>
      <c r="CC582" s="645"/>
      <c r="CD582" s="645"/>
      <c r="CE582" s="645"/>
      <c r="CF582" s="645"/>
      <c r="CG582" s="645"/>
      <c r="CH582" s="1037"/>
      <c r="CI582" s="756"/>
      <c r="CJ582" s="757"/>
      <c r="CK582" s="757"/>
      <c r="CL582" s="757"/>
      <c r="CM582" s="757"/>
      <c r="CN582" s="757"/>
      <c r="CO582" s="757"/>
      <c r="CP582" s="757"/>
      <c r="CQ582" s="757"/>
      <c r="CR582" s="757"/>
      <c r="CS582" s="757"/>
      <c r="CT582" s="757"/>
      <c r="CU582" s="757"/>
      <c r="CV582" s="757"/>
      <c r="CW582" s="757"/>
      <c r="CX582" s="757"/>
      <c r="CY582" s="757"/>
      <c r="CZ582" s="758"/>
    </row>
    <row r="583" spans="1:104" x14ac:dyDescent="0.25">
      <c r="B583" s="1028" t="str">
        <f>IF(B584="","",VLOOKUP(B584,BoonRef!$A$2:$Z$900,2,FALSE))</f>
        <v/>
      </c>
      <c r="C583" s="725"/>
      <c r="D583" s="725"/>
      <c r="E583" s="725"/>
      <c r="F583" s="725"/>
      <c r="G583" s="725"/>
      <c r="H583" s="725"/>
      <c r="I583" s="725" t="str">
        <f>IF(B584="","",VLOOKUP(B584,BoonRef!$A$2:$Z$900,3,FALSE))</f>
        <v/>
      </c>
      <c r="J583" s="725"/>
      <c r="K583" s="725" t="str">
        <f>IF(B584="","",VLOOKUP(B584,DescRef!$A$2:$B$900,2,FALSE))</f>
        <v/>
      </c>
      <c r="L583" s="725"/>
      <c r="M583" s="725"/>
      <c r="N583" s="725"/>
      <c r="O583" s="725"/>
      <c r="P583" s="725"/>
      <c r="Q583" s="725"/>
      <c r="R583" s="725"/>
      <c r="S583" s="725"/>
      <c r="T583" s="725"/>
      <c r="U583" s="725"/>
      <c r="V583" s="725"/>
      <c r="W583" s="725"/>
      <c r="X583" s="725"/>
      <c r="Y583" s="725"/>
      <c r="Z583" s="726"/>
      <c r="AB583" s="1028" t="str">
        <f>IF(AB584="","",VLOOKUP(AB584,BoonRef!$A$2:$Z$900,2,FALSE))</f>
        <v/>
      </c>
      <c r="AC583" s="725"/>
      <c r="AD583" s="725"/>
      <c r="AE583" s="725"/>
      <c r="AF583" s="725"/>
      <c r="AG583" s="725"/>
      <c r="AH583" s="725"/>
      <c r="AI583" s="725" t="str">
        <f>IF(AB584="","",VLOOKUP(AB584,BoonRef!$A$2:$Z$900,3,FALSE))</f>
        <v/>
      </c>
      <c r="AJ583" s="725"/>
      <c r="AK583" s="725" t="str">
        <f>IF(AB584="","",VLOOKUP(AB584,DescRef!$A$2:$B$900,2,FALSE))</f>
        <v/>
      </c>
      <c r="AL583" s="725"/>
      <c r="AM583" s="725"/>
      <c r="AN583" s="725"/>
      <c r="AO583" s="725"/>
      <c r="AP583" s="725"/>
      <c r="AQ583" s="725"/>
      <c r="AR583" s="725"/>
      <c r="AS583" s="725"/>
      <c r="AT583" s="725"/>
      <c r="AU583" s="725"/>
      <c r="AV583" s="725"/>
      <c r="AW583" s="725"/>
      <c r="AX583" s="725"/>
      <c r="AY583" s="725"/>
      <c r="AZ583" s="726"/>
      <c r="BB583" s="1029" t="str">
        <f>IF(BB584="","",VLOOKUP(BB584,KanckRef!$A$1:$G$300,2,FALSE))</f>
        <v/>
      </c>
      <c r="BC583" s="1030"/>
      <c r="BD583" s="1030"/>
      <c r="BE583" s="1030"/>
      <c r="BF583" s="1031"/>
      <c r="BG583" s="1048" t="str">
        <f>IF(BB584="","",VLOOKUP(BB584,KanckRef!$A$1:$G$300,6,FALSE))</f>
        <v/>
      </c>
      <c r="BH583" s="1049"/>
      <c r="BI583" s="988" t="str">
        <f>IF(BB584="","",VLOOKUP(BB584,DescRef!$D$2:$E$300,2,FALSE))</f>
        <v/>
      </c>
      <c r="BJ583" s="795"/>
      <c r="BK583" s="795"/>
      <c r="BL583" s="795"/>
      <c r="BM583" s="795"/>
      <c r="BN583" s="795"/>
      <c r="BO583" s="795"/>
      <c r="BP583" s="795"/>
      <c r="BQ583" s="795"/>
      <c r="BR583" s="795"/>
      <c r="BS583" s="795"/>
      <c r="BT583" s="795"/>
      <c r="BU583" s="795"/>
      <c r="BV583" s="795"/>
      <c r="BW583" s="795"/>
      <c r="BX583" s="795"/>
      <c r="BY583" s="795"/>
      <c r="BZ583" s="796"/>
      <c r="CB583" s="1029" t="str">
        <f>IF(CB584="","",VLOOKUP(CB584,KanckRef!$A$1:$G$300,2,FALSE))</f>
        <v/>
      </c>
      <c r="CC583" s="1030"/>
      <c r="CD583" s="1030"/>
      <c r="CE583" s="1030"/>
      <c r="CF583" s="1031"/>
      <c r="CG583" s="1048" t="str">
        <f>IF(CB584="","",VLOOKUP(CB584,KanckRef!$A$1:$G$300,6,FALSE))</f>
        <v/>
      </c>
      <c r="CH583" s="1049"/>
      <c r="CI583" s="988" t="str">
        <f>IF(CB584="","",VLOOKUP(CB584,DescRef!$D$2:$E$300,2,FALSE))</f>
        <v/>
      </c>
      <c r="CJ583" s="795"/>
      <c r="CK583" s="795"/>
      <c r="CL583" s="795"/>
      <c r="CM583" s="795"/>
      <c r="CN583" s="795"/>
      <c r="CO583" s="795"/>
      <c r="CP583" s="795"/>
      <c r="CQ583" s="795"/>
      <c r="CR583" s="795"/>
      <c r="CS583" s="795"/>
      <c r="CT583" s="795"/>
      <c r="CU583" s="795"/>
      <c r="CV583" s="795"/>
      <c r="CW583" s="795"/>
      <c r="CX583" s="795"/>
      <c r="CY583" s="795"/>
      <c r="CZ583" s="796"/>
    </row>
    <row r="584" spans="1:104" ht="15" customHeight="1" x14ac:dyDescent="0.25">
      <c r="A584" s="15">
        <v>97</v>
      </c>
      <c r="B584" s="1026" t="str">
        <f>IF(A584&lt;'Purchased Boons'!$B$496,VLOOKUP(A584,'Purchased Boons'!$BF$2:$BG$900,2,FALSE),"")</f>
        <v/>
      </c>
      <c r="C584" s="727"/>
      <c r="D584" s="727"/>
      <c r="E584" s="727"/>
      <c r="F584" s="727"/>
      <c r="G584" s="727"/>
      <c r="H584" s="727"/>
      <c r="I584" s="727" t="str">
        <f>IF(B584="","",VLOOKUP(B584,BoonRef!$A$2:$Z$900,25,FALSE))</f>
        <v/>
      </c>
      <c r="J584" s="727"/>
      <c r="K584" s="727"/>
      <c r="L584" s="727"/>
      <c r="M584" s="727"/>
      <c r="N584" s="727"/>
      <c r="O584" s="727"/>
      <c r="P584" s="727"/>
      <c r="Q584" s="727"/>
      <c r="R584" s="727"/>
      <c r="S584" s="727"/>
      <c r="T584" s="727"/>
      <c r="U584" s="727"/>
      <c r="V584" s="727"/>
      <c r="W584" s="727"/>
      <c r="X584" s="727"/>
      <c r="Y584" s="727"/>
      <c r="Z584" s="728"/>
      <c r="AA584" s="15">
        <v>204</v>
      </c>
      <c r="AB584" s="1026" t="str">
        <f>IF(AA584&lt;'Purchased Boons'!$B$496,VLOOKUP(AA584,'Purchased Boons'!$BF$2:$BG$900,2,FALSE),"")</f>
        <v/>
      </c>
      <c r="AC584" s="727"/>
      <c r="AD584" s="727"/>
      <c r="AE584" s="727"/>
      <c r="AF584" s="727"/>
      <c r="AG584" s="727"/>
      <c r="AH584" s="727"/>
      <c r="AI584" s="727" t="str">
        <f>IF(AB584="","",VLOOKUP(AB584,BoonRef!$A$2:$Z$900,25,FALSE))</f>
        <v/>
      </c>
      <c r="AJ584" s="727"/>
      <c r="AK584" s="727"/>
      <c r="AL584" s="727"/>
      <c r="AM584" s="727"/>
      <c r="AN584" s="727"/>
      <c r="AO584" s="727"/>
      <c r="AP584" s="727"/>
      <c r="AQ584" s="727"/>
      <c r="AR584" s="727"/>
      <c r="AS584" s="727"/>
      <c r="AT584" s="727"/>
      <c r="AU584" s="727"/>
      <c r="AV584" s="727"/>
      <c r="AW584" s="727"/>
      <c r="AX584" s="727"/>
      <c r="AY584" s="727"/>
      <c r="AZ584" s="728"/>
      <c r="BA584" s="15">
        <v>97</v>
      </c>
      <c r="BB584" s="1038" t="str">
        <f>IF(BA584&lt;'Purchased Knacks'!A$192,VLOOKUP(BA584,'Purchased Knacks'!$A$4:$E$300,3,FALSE),"")</f>
        <v/>
      </c>
      <c r="BC584" s="1039"/>
      <c r="BD584" s="1039"/>
      <c r="BE584" s="1039"/>
      <c r="BF584" s="1040"/>
      <c r="BG584" s="1032" t="str">
        <f>IF(BB584="","",VLOOKUP(BB584,KanckRef!$A$1:$G$300,7,FALSE))</f>
        <v/>
      </c>
      <c r="BH584" s="1033"/>
      <c r="BI584" s="753"/>
      <c r="BJ584" s="754"/>
      <c r="BK584" s="754"/>
      <c r="BL584" s="754"/>
      <c r="BM584" s="754"/>
      <c r="BN584" s="754"/>
      <c r="BO584" s="754"/>
      <c r="BP584" s="754"/>
      <c r="BQ584" s="754"/>
      <c r="BR584" s="754"/>
      <c r="BS584" s="754"/>
      <c r="BT584" s="754"/>
      <c r="BU584" s="754"/>
      <c r="BV584" s="754"/>
      <c r="BW584" s="754"/>
      <c r="BX584" s="754"/>
      <c r="BY584" s="754"/>
      <c r="BZ584" s="755"/>
      <c r="CA584" s="15">
        <v>204</v>
      </c>
      <c r="CB584" s="1038" t="str">
        <f>IF(CA584&lt;'Purchased Knacks'!A$192,VLOOKUP(CA584,'Purchased Knacks'!$A$4:$E$300,3,FALSE),"")</f>
        <v/>
      </c>
      <c r="CC584" s="1039"/>
      <c r="CD584" s="1039"/>
      <c r="CE584" s="1039"/>
      <c r="CF584" s="1040"/>
      <c r="CG584" s="1032" t="str">
        <f>IF(CB584="","",VLOOKUP(CB584,KanckRef!$A$1:$G$300,7,FALSE))</f>
        <v/>
      </c>
      <c r="CH584" s="1033"/>
      <c r="CI584" s="753"/>
      <c r="CJ584" s="754"/>
      <c r="CK584" s="754"/>
      <c r="CL584" s="754"/>
      <c r="CM584" s="754"/>
      <c r="CN584" s="754"/>
      <c r="CO584" s="754"/>
      <c r="CP584" s="754"/>
      <c r="CQ584" s="754"/>
      <c r="CR584" s="754"/>
      <c r="CS584" s="754"/>
      <c r="CT584" s="754"/>
      <c r="CU584" s="754"/>
      <c r="CV584" s="754"/>
      <c r="CW584" s="754"/>
      <c r="CX584" s="754"/>
      <c r="CY584" s="754"/>
      <c r="CZ584" s="755"/>
    </row>
    <row r="585" spans="1:104" x14ac:dyDescent="0.25">
      <c r="B585" s="1026"/>
      <c r="C585" s="727"/>
      <c r="D585" s="727"/>
      <c r="E585" s="727"/>
      <c r="F585" s="727"/>
      <c r="G585" s="727"/>
      <c r="H585" s="727"/>
      <c r="I585" s="727" t="str">
        <f>IF(B584="","",VLOOKUP(B584,BoonRef!$A$2:$Z$900,26,FALSE))</f>
        <v/>
      </c>
      <c r="J585" s="727"/>
      <c r="K585" s="727"/>
      <c r="L585" s="727"/>
      <c r="M585" s="727"/>
      <c r="N585" s="727"/>
      <c r="O585" s="727"/>
      <c r="P585" s="727"/>
      <c r="Q585" s="727"/>
      <c r="R585" s="727"/>
      <c r="S585" s="727"/>
      <c r="T585" s="727"/>
      <c r="U585" s="727"/>
      <c r="V585" s="727"/>
      <c r="W585" s="727"/>
      <c r="X585" s="727"/>
      <c r="Y585" s="727"/>
      <c r="Z585" s="728"/>
      <c r="AB585" s="1026"/>
      <c r="AC585" s="727"/>
      <c r="AD585" s="727"/>
      <c r="AE585" s="727"/>
      <c r="AF585" s="727"/>
      <c r="AG585" s="727"/>
      <c r="AH585" s="727"/>
      <c r="AI585" s="727" t="str">
        <f>IF(AB584="","",VLOOKUP(AB584,BoonRef!$A$2:$Z$900,26,FALSE))</f>
        <v/>
      </c>
      <c r="AJ585" s="727"/>
      <c r="AK585" s="727"/>
      <c r="AL585" s="727"/>
      <c r="AM585" s="727"/>
      <c r="AN585" s="727"/>
      <c r="AO585" s="727"/>
      <c r="AP585" s="727"/>
      <c r="AQ585" s="727"/>
      <c r="AR585" s="727"/>
      <c r="AS585" s="727"/>
      <c r="AT585" s="727"/>
      <c r="AU585" s="727"/>
      <c r="AV585" s="727"/>
      <c r="AW585" s="727"/>
      <c r="AX585" s="727"/>
      <c r="AY585" s="727"/>
      <c r="AZ585" s="728"/>
      <c r="BB585" s="1041"/>
      <c r="BC585" s="1042"/>
      <c r="BD585" s="1042"/>
      <c r="BE585" s="1042"/>
      <c r="BF585" s="1043"/>
      <c r="BG585" s="1034"/>
      <c r="BH585" s="1035"/>
      <c r="BI585" s="753"/>
      <c r="BJ585" s="754"/>
      <c r="BK585" s="754"/>
      <c r="BL585" s="754"/>
      <c r="BM585" s="754"/>
      <c r="BN585" s="754"/>
      <c r="BO585" s="754"/>
      <c r="BP585" s="754"/>
      <c r="BQ585" s="754"/>
      <c r="BR585" s="754"/>
      <c r="BS585" s="754"/>
      <c r="BT585" s="754"/>
      <c r="BU585" s="754"/>
      <c r="BV585" s="754"/>
      <c r="BW585" s="754"/>
      <c r="BX585" s="754"/>
      <c r="BY585" s="754"/>
      <c r="BZ585" s="755"/>
      <c r="CB585" s="1041"/>
      <c r="CC585" s="1042"/>
      <c r="CD585" s="1042"/>
      <c r="CE585" s="1042"/>
      <c r="CF585" s="1043"/>
      <c r="CG585" s="1034"/>
      <c r="CH585" s="1035"/>
      <c r="CI585" s="753"/>
      <c r="CJ585" s="754"/>
      <c r="CK585" s="754"/>
      <c r="CL585" s="754"/>
      <c r="CM585" s="754"/>
      <c r="CN585" s="754"/>
      <c r="CO585" s="754"/>
      <c r="CP585" s="754"/>
      <c r="CQ585" s="754"/>
      <c r="CR585" s="754"/>
      <c r="CS585" s="754"/>
      <c r="CT585" s="754"/>
      <c r="CU585" s="754"/>
      <c r="CV585" s="754"/>
      <c r="CW585" s="754"/>
      <c r="CX585" s="754"/>
      <c r="CY585" s="754"/>
      <c r="CZ585" s="755"/>
    </row>
    <row r="586" spans="1:104" x14ac:dyDescent="0.25">
      <c r="B586" s="1026" t="str">
        <f>IF(B584="","",VLOOKUP(B584,BoonRef!$A$2:$Z$900,24,FALSE))</f>
        <v/>
      </c>
      <c r="C586" s="727"/>
      <c r="D586" s="727"/>
      <c r="E586" s="727"/>
      <c r="F586" s="727"/>
      <c r="G586" s="727"/>
      <c r="H586" s="727"/>
      <c r="I586" s="727"/>
      <c r="J586" s="727"/>
      <c r="K586" s="727"/>
      <c r="L586" s="727"/>
      <c r="M586" s="727"/>
      <c r="N586" s="727"/>
      <c r="O586" s="727"/>
      <c r="P586" s="727"/>
      <c r="Q586" s="727"/>
      <c r="R586" s="727"/>
      <c r="S586" s="727"/>
      <c r="T586" s="727"/>
      <c r="U586" s="727"/>
      <c r="V586" s="727"/>
      <c r="W586" s="727"/>
      <c r="X586" s="727"/>
      <c r="Y586" s="727"/>
      <c r="Z586" s="728"/>
      <c r="AB586" s="1026" t="str">
        <f>IF(AB584="","",VLOOKUP(AB584,BoonRef!$A$2:$Z$900,24,FALSE))</f>
        <v/>
      </c>
      <c r="AC586" s="727"/>
      <c r="AD586" s="727"/>
      <c r="AE586" s="727"/>
      <c r="AF586" s="727"/>
      <c r="AG586" s="727"/>
      <c r="AH586" s="727"/>
      <c r="AI586" s="727"/>
      <c r="AJ586" s="727"/>
      <c r="AK586" s="727"/>
      <c r="AL586" s="727"/>
      <c r="AM586" s="727"/>
      <c r="AN586" s="727"/>
      <c r="AO586" s="727"/>
      <c r="AP586" s="727"/>
      <c r="AQ586" s="727"/>
      <c r="AR586" s="727"/>
      <c r="AS586" s="727"/>
      <c r="AT586" s="727"/>
      <c r="AU586" s="727"/>
      <c r="AV586" s="727"/>
      <c r="AW586" s="727"/>
      <c r="AX586" s="727"/>
      <c r="AY586" s="727"/>
      <c r="AZ586" s="728"/>
      <c r="BB586" s="641" t="str">
        <f>IF(BB584="","",VLOOKUP(BB584,KanckRef!$A$1:$G$300,4,FALSE))</f>
        <v/>
      </c>
      <c r="BC586" s="642"/>
      <c r="BD586" s="642"/>
      <c r="BE586" s="642"/>
      <c r="BF586" s="642"/>
      <c r="BG586" s="642"/>
      <c r="BH586" s="1033"/>
      <c r="BI586" s="753"/>
      <c r="BJ586" s="754"/>
      <c r="BK586" s="754"/>
      <c r="BL586" s="754"/>
      <c r="BM586" s="754"/>
      <c r="BN586" s="754"/>
      <c r="BO586" s="754"/>
      <c r="BP586" s="754"/>
      <c r="BQ586" s="754"/>
      <c r="BR586" s="754"/>
      <c r="BS586" s="754"/>
      <c r="BT586" s="754"/>
      <c r="BU586" s="754"/>
      <c r="BV586" s="754"/>
      <c r="BW586" s="754"/>
      <c r="BX586" s="754"/>
      <c r="BY586" s="754"/>
      <c r="BZ586" s="755"/>
      <c r="CB586" s="641" t="str">
        <f>IF(CB584="","",VLOOKUP(CB584,KanckRef!$A$1:$G$300,4,FALSE))</f>
        <v/>
      </c>
      <c r="CC586" s="642"/>
      <c r="CD586" s="642"/>
      <c r="CE586" s="642"/>
      <c r="CF586" s="642"/>
      <c r="CG586" s="642"/>
      <c r="CH586" s="1033"/>
      <c r="CI586" s="753"/>
      <c r="CJ586" s="754"/>
      <c r="CK586" s="754"/>
      <c r="CL586" s="754"/>
      <c r="CM586" s="754"/>
      <c r="CN586" s="754"/>
      <c r="CO586" s="754"/>
      <c r="CP586" s="754"/>
      <c r="CQ586" s="754"/>
      <c r="CR586" s="754"/>
      <c r="CS586" s="754"/>
      <c r="CT586" s="754"/>
      <c r="CU586" s="754"/>
      <c r="CV586" s="754"/>
      <c r="CW586" s="754"/>
      <c r="CX586" s="754"/>
      <c r="CY586" s="754"/>
      <c r="CZ586" s="755"/>
    </row>
    <row r="587" spans="1:104" x14ac:dyDescent="0.25">
      <c r="B587" s="1026" t="str">
        <f>IF(B584="","",VLOOKUP(B584,BoonRef!$A$2:$Z$900,23,FALSE))</f>
        <v/>
      </c>
      <c r="C587" s="727"/>
      <c r="D587" s="727"/>
      <c r="E587" s="727"/>
      <c r="F587" s="727"/>
      <c r="G587" s="727"/>
      <c r="H587" s="727"/>
      <c r="I587" s="727"/>
      <c r="J587" s="727"/>
      <c r="K587" s="727"/>
      <c r="L587" s="727"/>
      <c r="M587" s="727"/>
      <c r="N587" s="727"/>
      <c r="O587" s="727"/>
      <c r="P587" s="727"/>
      <c r="Q587" s="727"/>
      <c r="R587" s="727"/>
      <c r="S587" s="727"/>
      <c r="T587" s="727"/>
      <c r="U587" s="727"/>
      <c r="V587" s="727"/>
      <c r="W587" s="727"/>
      <c r="X587" s="727"/>
      <c r="Y587" s="727"/>
      <c r="Z587" s="728"/>
      <c r="AB587" s="1026" t="str">
        <f>IF(AB584="","",VLOOKUP(AB584,BoonRef!$A$2:$Z$900,23,FALSE))</f>
        <v/>
      </c>
      <c r="AC587" s="727"/>
      <c r="AD587" s="727"/>
      <c r="AE587" s="727"/>
      <c r="AF587" s="727"/>
      <c r="AG587" s="727"/>
      <c r="AH587" s="727"/>
      <c r="AI587" s="727"/>
      <c r="AJ587" s="727"/>
      <c r="AK587" s="727"/>
      <c r="AL587" s="727"/>
      <c r="AM587" s="727"/>
      <c r="AN587" s="727"/>
      <c r="AO587" s="727"/>
      <c r="AP587" s="727"/>
      <c r="AQ587" s="727"/>
      <c r="AR587" s="727"/>
      <c r="AS587" s="727"/>
      <c r="AT587" s="727"/>
      <c r="AU587" s="727"/>
      <c r="AV587" s="727"/>
      <c r="AW587" s="727"/>
      <c r="AX587" s="727"/>
      <c r="AY587" s="727"/>
      <c r="AZ587" s="728"/>
      <c r="BB587" s="635"/>
      <c r="BC587" s="636"/>
      <c r="BD587" s="636"/>
      <c r="BE587" s="636"/>
      <c r="BF587" s="636"/>
      <c r="BG587" s="636"/>
      <c r="BH587" s="1036"/>
      <c r="BI587" s="753"/>
      <c r="BJ587" s="754"/>
      <c r="BK587" s="754"/>
      <c r="BL587" s="754"/>
      <c r="BM587" s="754"/>
      <c r="BN587" s="754"/>
      <c r="BO587" s="754"/>
      <c r="BP587" s="754"/>
      <c r="BQ587" s="754"/>
      <c r="BR587" s="754"/>
      <c r="BS587" s="754"/>
      <c r="BT587" s="754"/>
      <c r="BU587" s="754"/>
      <c r="BV587" s="754"/>
      <c r="BW587" s="754"/>
      <c r="BX587" s="754"/>
      <c r="BY587" s="754"/>
      <c r="BZ587" s="755"/>
      <c r="CB587" s="635"/>
      <c r="CC587" s="636"/>
      <c r="CD587" s="636"/>
      <c r="CE587" s="636"/>
      <c r="CF587" s="636"/>
      <c r="CG587" s="636"/>
      <c r="CH587" s="1036"/>
      <c r="CI587" s="753"/>
      <c r="CJ587" s="754"/>
      <c r="CK587" s="754"/>
      <c r="CL587" s="754"/>
      <c r="CM587" s="754"/>
      <c r="CN587" s="754"/>
      <c r="CO587" s="754"/>
      <c r="CP587" s="754"/>
      <c r="CQ587" s="754"/>
      <c r="CR587" s="754"/>
      <c r="CS587" s="754"/>
      <c r="CT587" s="754"/>
      <c r="CU587" s="754"/>
      <c r="CV587" s="754"/>
      <c r="CW587" s="754"/>
      <c r="CX587" s="754"/>
      <c r="CY587" s="754"/>
      <c r="CZ587" s="755"/>
    </row>
    <row r="588" spans="1:104" ht="15.75" thickBot="1" x14ac:dyDescent="0.3">
      <c r="B588" s="1027"/>
      <c r="C588" s="865"/>
      <c r="D588" s="865"/>
      <c r="E588" s="865"/>
      <c r="F588" s="865"/>
      <c r="G588" s="865"/>
      <c r="H588" s="865"/>
      <c r="I588" s="865"/>
      <c r="J588" s="865"/>
      <c r="K588" s="865"/>
      <c r="L588" s="865"/>
      <c r="M588" s="865"/>
      <c r="N588" s="865"/>
      <c r="O588" s="865"/>
      <c r="P588" s="865"/>
      <c r="Q588" s="865"/>
      <c r="R588" s="865"/>
      <c r="S588" s="865"/>
      <c r="T588" s="865"/>
      <c r="U588" s="865"/>
      <c r="V588" s="865"/>
      <c r="W588" s="865"/>
      <c r="X588" s="865"/>
      <c r="Y588" s="865"/>
      <c r="Z588" s="921"/>
      <c r="AB588" s="1027"/>
      <c r="AC588" s="865"/>
      <c r="AD588" s="865"/>
      <c r="AE588" s="865"/>
      <c r="AF588" s="865"/>
      <c r="AG588" s="865"/>
      <c r="AH588" s="865"/>
      <c r="AI588" s="865"/>
      <c r="AJ588" s="865"/>
      <c r="AK588" s="865"/>
      <c r="AL588" s="865"/>
      <c r="AM588" s="865"/>
      <c r="AN588" s="865"/>
      <c r="AO588" s="865"/>
      <c r="AP588" s="865"/>
      <c r="AQ588" s="865"/>
      <c r="AR588" s="865"/>
      <c r="AS588" s="865"/>
      <c r="AT588" s="865"/>
      <c r="AU588" s="865"/>
      <c r="AV588" s="865"/>
      <c r="AW588" s="865"/>
      <c r="AX588" s="865"/>
      <c r="AY588" s="865"/>
      <c r="AZ588" s="921"/>
      <c r="BB588" s="644"/>
      <c r="BC588" s="645"/>
      <c r="BD588" s="645"/>
      <c r="BE588" s="645"/>
      <c r="BF588" s="645"/>
      <c r="BG588" s="645"/>
      <c r="BH588" s="1037"/>
      <c r="BI588" s="756"/>
      <c r="BJ588" s="757"/>
      <c r="BK588" s="757"/>
      <c r="BL588" s="757"/>
      <c r="BM588" s="757"/>
      <c r="BN588" s="757"/>
      <c r="BO588" s="757"/>
      <c r="BP588" s="757"/>
      <c r="BQ588" s="757"/>
      <c r="BR588" s="757"/>
      <c r="BS588" s="757"/>
      <c r="BT588" s="757"/>
      <c r="BU588" s="757"/>
      <c r="BV588" s="757"/>
      <c r="BW588" s="757"/>
      <c r="BX588" s="757"/>
      <c r="BY588" s="757"/>
      <c r="BZ588" s="758"/>
      <c r="CB588" s="644"/>
      <c r="CC588" s="645"/>
      <c r="CD588" s="645"/>
      <c r="CE588" s="645"/>
      <c r="CF588" s="645"/>
      <c r="CG588" s="645"/>
      <c r="CH588" s="1037"/>
      <c r="CI588" s="756"/>
      <c r="CJ588" s="757"/>
      <c r="CK588" s="757"/>
      <c r="CL588" s="757"/>
      <c r="CM588" s="757"/>
      <c r="CN588" s="757"/>
      <c r="CO588" s="757"/>
      <c r="CP588" s="757"/>
      <c r="CQ588" s="757"/>
      <c r="CR588" s="757"/>
      <c r="CS588" s="757"/>
      <c r="CT588" s="757"/>
      <c r="CU588" s="757"/>
      <c r="CV588" s="757"/>
      <c r="CW588" s="757"/>
      <c r="CX588" s="757"/>
      <c r="CY588" s="757"/>
      <c r="CZ588" s="758"/>
    </row>
    <row r="589" spans="1:104" x14ac:dyDescent="0.25">
      <c r="B589" s="1028" t="str">
        <f>IF(B590="","",VLOOKUP(B590,BoonRef!$A$2:$Z$900,2,FALSE))</f>
        <v/>
      </c>
      <c r="C589" s="725"/>
      <c r="D589" s="725"/>
      <c r="E589" s="725"/>
      <c r="F589" s="725"/>
      <c r="G589" s="725"/>
      <c r="H589" s="725"/>
      <c r="I589" s="725" t="str">
        <f>IF(B590="","",VLOOKUP(B590,BoonRef!$A$2:$Z$900,3,FALSE))</f>
        <v/>
      </c>
      <c r="J589" s="725"/>
      <c r="K589" s="725" t="str">
        <f>IF(B590="","",VLOOKUP(B590,DescRef!$A$2:$B$900,2,FALSE))</f>
        <v/>
      </c>
      <c r="L589" s="725"/>
      <c r="M589" s="725"/>
      <c r="N589" s="725"/>
      <c r="O589" s="725"/>
      <c r="P589" s="725"/>
      <c r="Q589" s="725"/>
      <c r="R589" s="725"/>
      <c r="S589" s="725"/>
      <c r="T589" s="725"/>
      <c r="U589" s="725"/>
      <c r="V589" s="725"/>
      <c r="W589" s="725"/>
      <c r="X589" s="725"/>
      <c r="Y589" s="725"/>
      <c r="Z589" s="726"/>
      <c r="AB589" s="1028" t="str">
        <f>IF(AB590="","",VLOOKUP(AB590,BoonRef!$A$2:$Z$900,2,FALSE))</f>
        <v/>
      </c>
      <c r="AC589" s="725"/>
      <c r="AD589" s="725"/>
      <c r="AE589" s="725"/>
      <c r="AF589" s="725"/>
      <c r="AG589" s="725"/>
      <c r="AH589" s="725"/>
      <c r="AI589" s="725" t="str">
        <f>IF(AB590="","",VLOOKUP(AB590,BoonRef!$A$2:$Z$900,3,FALSE))</f>
        <v/>
      </c>
      <c r="AJ589" s="725"/>
      <c r="AK589" s="725" t="str">
        <f>IF(AB590="","",VLOOKUP(AB590,DescRef!$A$2:$B$900,2,FALSE))</f>
        <v/>
      </c>
      <c r="AL589" s="725"/>
      <c r="AM589" s="725"/>
      <c r="AN589" s="725"/>
      <c r="AO589" s="725"/>
      <c r="AP589" s="725"/>
      <c r="AQ589" s="725"/>
      <c r="AR589" s="725"/>
      <c r="AS589" s="725"/>
      <c r="AT589" s="725"/>
      <c r="AU589" s="725"/>
      <c r="AV589" s="725"/>
      <c r="AW589" s="725"/>
      <c r="AX589" s="725"/>
      <c r="AY589" s="725"/>
      <c r="AZ589" s="726"/>
      <c r="BB589" s="1029" t="str">
        <f>IF(BB590="","",VLOOKUP(BB590,KanckRef!$A$1:$G$300,2,FALSE))</f>
        <v/>
      </c>
      <c r="BC589" s="1030"/>
      <c r="BD589" s="1030"/>
      <c r="BE589" s="1030"/>
      <c r="BF589" s="1031"/>
      <c r="BG589" s="1048" t="str">
        <f>IF(BB590="","",VLOOKUP(BB590,KanckRef!$A$1:$G$300,6,FALSE))</f>
        <v/>
      </c>
      <c r="BH589" s="1049"/>
      <c r="BI589" s="988" t="str">
        <f>IF(BB590="","",VLOOKUP(BB590,DescRef!$D$2:$E$300,2,FALSE))</f>
        <v/>
      </c>
      <c r="BJ589" s="795"/>
      <c r="BK589" s="795"/>
      <c r="BL589" s="795"/>
      <c r="BM589" s="795"/>
      <c r="BN589" s="795"/>
      <c r="BO589" s="795"/>
      <c r="BP589" s="795"/>
      <c r="BQ589" s="795"/>
      <c r="BR589" s="795"/>
      <c r="BS589" s="795"/>
      <c r="BT589" s="795"/>
      <c r="BU589" s="795"/>
      <c r="BV589" s="795"/>
      <c r="BW589" s="795"/>
      <c r="BX589" s="795"/>
      <c r="BY589" s="795"/>
      <c r="BZ589" s="796"/>
      <c r="CB589" s="1029" t="str">
        <f>IF(CB590="","",VLOOKUP(CB590,KanckRef!$A$1:$G$300,2,FALSE))</f>
        <v/>
      </c>
      <c r="CC589" s="1030"/>
      <c r="CD589" s="1030"/>
      <c r="CE589" s="1030"/>
      <c r="CF589" s="1031"/>
      <c r="CG589" s="1048" t="str">
        <f>IF(CB590="","",VLOOKUP(CB590,KanckRef!$A$1:$G$300,6,FALSE))</f>
        <v/>
      </c>
      <c r="CH589" s="1049"/>
      <c r="CI589" s="988" t="str">
        <f>IF(CB590="","",VLOOKUP(CB590,DescRef!$D$2:$E$300,2,FALSE))</f>
        <v/>
      </c>
      <c r="CJ589" s="795"/>
      <c r="CK589" s="795"/>
      <c r="CL589" s="795"/>
      <c r="CM589" s="795"/>
      <c r="CN589" s="795"/>
      <c r="CO589" s="795"/>
      <c r="CP589" s="795"/>
      <c r="CQ589" s="795"/>
      <c r="CR589" s="795"/>
      <c r="CS589" s="795"/>
      <c r="CT589" s="795"/>
      <c r="CU589" s="795"/>
      <c r="CV589" s="795"/>
      <c r="CW589" s="795"/>
      <c r="CX589" s="795"/>
      <c r="CY589" s="795"/>
      <c r="CZ589" s="796"/>
    </row>
    <row r="590" spans="1:104" ht="15" customHeight="1" x14ac:dyDescent="0.25">
      <c r="A590" s="15">
        <v>98</v>
      </c>
      <c r="B590" s="1026" t="str">
        <f>IF(A590&lt;'Purchased Boons'!$B$496,VLOOKUP(A590,'Purchased Boons'!$BF$2:$BG$900,2,FALSE),"")</f>
        <v/>
      </c>
      <c r="C590" s="727"/>
      <c r="D590" s="727"/>
      <c r="E590" s="727"/>
      <c r="F590" s="727"/>
      <c r="G590" s="727"/>
      <c r="H590" s="727"/>
      <c r="I590" s="727" t="str">
        <f>IF(B590="","",VLOOKUP(B590,BoonRef!$A$2:$Z$900,25,FALSE))</f>
        <v/>
      </c>
      <c r="J590" s="727"/>
      <c r="K590" s="727"/>
      <c r="L590" s="727"/>
      <c r="M590" s="727"/>
      <c r="N590" s="727"/>
      <c r="O590" s="727"/>
      <c r="P590" s="727"/>
      <c r="Q590" s="727"/>
      <c r="R590" s="727"/>
      <c r="S590" s="727"/>
      <c r="T590" s="727"/>
      <c r="U590" s="727"/>
      <c r="V590" s="727"/>
      <c r="W590" s="727"/>
      <c r="X590" s="727"/>
      <c r="Y590" s="727"/>
      <c r="Z590" s="728"/>
      <c r="AA590" s="15">
        <v>205</v>
      </c>
      <c r="AB590" s="1026" t="str">
        <f>IF(AA590&lt;'Purchased Boons'!$B$496,VLOOKUP(AA590,'Purchased Boons'!$BF$2:$BG$900,2,FALSE),"")</f>
        <v/>
      </c>
      <c r="AC590" s="727"/>
      <c r="AD590" s="727"/>
      <c r="AE590" s="727"/>
      <c r="AF590" s="727"/>
      <c r="AG590" s="727"/>
      <c r="AH590" s="727"/>
      <c r="AI590" s="727" t="str">
        <f>IF(AB590="","",VLOOKUP(AB590,BoonRef!$A$2:$Z$900,25,FALSE))</f>
        <v/>
      </c>
      <c r="AJ590" s="727"/>
      <c r="AK590" s="727"/>
      <c r="AL590" s="727"/>
      <c r="AM590" s="727"/>
      <c r="AN590" s="727"/>
      <c r="AO590" s="727"/>
      <c r="AP590" s="727"/>
      <c r="AQ590" s="727"/>
      <c r="AR590" s="727"/>
      <c r="AS590" s="727"/>
      <c r="AT590" s="727"/>
      <c r="AU590" s="727"/>
      <c r="AV590" s="727"/>
      <c r="AW590" s="727"/>
      <c r="AX590" s="727"/>
      <c r="AY590" s="727"/>
      <c r="AZ590" s="728"/>
      <c r="BA590" s="15">
        <v>98</v>
      </c>
      <c r="BB590" s="1038" t="str">
        <f>IF(BA590&lt;'Purchased Knacks'!A$192,VLOOKUP(BA590,'Purchased Knacks'!$A$4:$E$300,3,FALSE),"")</f>
        <v/>
      </c>
      <c r="BC590" s="1039"/>
      <c r="BD590" s="1039"/>
      <c r="BE590" s="1039"/>
      <c r="BF590" s="1040"/>
      <c r="BG590" s="1032" t="str">
        <f>IF(BB590="","",VLOOKUP(BB590,KanckRef!$A$1:$G$300,7,FALSE))</f>
        <v/>
      </c>
      <c r="BH590" s="1033"/>
      <c r="BI590" s="753"/>
      <c r="BJ590" s="754"/>
      <c r="BK590" s="754"/>
      <c r="BL590" s="754"/>
      <c r="BM590" s="754"/>
      <c r="BN590" s="754"/>
      <c r="BO590" s="754"/>
      <c r="BP590" s="754"/>
      <c r="BQ590" s="754"/>
      <c r="BR590" s="754"/>
      <c r="BS590" s="754"/>
      <c r="BT590" s="754"/>
      <c r="BU590" s="754"/>
      <c r="BV590" s="754"/>
      <c r="BW590" s="754"/>
      <c r="BX590" s="754"/>
      <c r="BY590" s="754"/>
      <c r="BZ590" s="755"/>
      <c r="CA590" s="15">
        <v>205</v>
      </c>
      <c r="CB590" s="1038" t="str">
        <f>IF(CA590&lt;'Purchased Knacks'!A$192,VLOOKUP(CA590,'Purchased Knacks'!$A$4:$E$300,3,FALSE),"")</f>
        <v/>
      </c>
      <c r="CC590" s="1039"/>
      <c r="CD590" s="1039"/>
      <c r="CE590" s="1039"/>
      <c r="CF590" s="1040"/>
      <c r="CG590" s="1032" t="str">
        <f>IF(CB590="","",VLOOKUP(CB590,KanckRef!$A$1:$G$300,7,FALSE))</f>
        <v/>
      </c>
      <c r="CH590" s="1033"/>
      <c r="CI590" s="753"/>
      <c r="CJ590" s="754"/>
      <c r="CK590" s="754"/>
      <c r="CL590" s="754"/>
      <c r="CM590" s="754"/>
      <c r="CN590" s="754"/>
      <c r="CO590" s="754"/>
      <c r="CP590" s="754"/>
      <c r="CQ590" s="754"/>
      <c r="CR590" s="754"/>
      <c r="CS590" s="754"/>
      <c r="CT590" s="754"/>
      <c r="CU590" s="754"/>
      <c r="CV590" s="754"/>
      <c r="CW590" s="754"/>
      <c r="CX590" s="754"/>
      <c r="CY590" s="754"/>
      <c r="CZ590" s="755"/>
    </row>
    <row r="591" spans="1:104" x14ac:dyDescent="0.25">
      <c r="B591" s="1026"/>
      <c r="C591" s="727"/>
      <c r="D591" s="727"/>
      <c r="E591" s="727"/>
      <c r="F591" s="727"/>
      <c r="G591" s="727"/>
      <c r="H591" s="727"/>
      <c r="I591" s="727" t="str">
        <f>IF(B590="","",VLOOKUP(B590,BoonRef!$A$2:$Z$900,26,FALSE))</f>
        <v/>
      </c>
      <c r="J591" s="727"/>
      <c r="K591" s="727"/>
      <c r="L591" s="727"/>
      <c r="M591" s="727"/>
      <c r="N591" s="727"/>
      <c r="O591" s="727"/>
      <c r="P591" s="727"/>
      <c r="Q591" s="727"/>
      <c r="R591" s="727"/>
      <c r="S591" s="727"/>
      <c r="T591" s="727"/>
      <c r="U591" s="727"/>
      <c r="V591" s="727"/>
      <c r="W591" s="727"/>
      <c r="X591" s="727"/>
      <c r="Y591" s="727"/>
      <c r="Z591" s="728"/>
      <c r="AB591" s="1026"/>
      <c r="AC591" s="727"/>
      <c r="AD591" s="727"/>
      <c r="AE591" s="727"/>
      <c r="AF591" s="727"/>
      <c r="AG591" s="727"/>
      <c r="AH591" s="727"/>
      <c r="AI591" s="727" t="str">
        <f>IF(AB590="","",VLOOKUP(AB590,BoonRef!$A$2:$Z$900,26,FALSE))</f>
        <v/>
      </c>
      <c r="AJ591" s="727"/>
      <c r="AK591" s="727"/>
      <c r="AL591" s="727"/>
      <c r="AM591" s="727"/>
      <c r="AN591" s="727"/>
      <c r="AO591" s="727"/>
      <c r="AP591" s="727"/>
      <c r="AQ591" s="727"/>
      <c r="AR591" s="727"/>
      <c r="AS591" s="727"/>
      <c r="AT591" s="727"/>
      <c r="AU591" s="727"/>
      <c r="AV591" s="727"/>
      <c r="AW591" s="727"/>
      <c r="AX591" s="727"/>
      <c r="AY591" s="727"/>
      <c r="AZ591" s="728"/>
      <c r="BB591" s="1041"/>
      <c r="BC591" s="1042"/>
      <c r="BD591" s="1042"/>
      <c r="BE591" s="1042"/>
      <c r="BF591" s="1043"/>
      <c r="BG591" s="1034"/>
      <c r="BH591" s="1035"/>
      <c r="BI591" s="753"/>
      <c r="BJ591" s="754"/>
      <c r="BK591" s="754"/>
      <c r="BL591" s="754"/>
      <c r="BM591" s="754"/>
      <c r="BN591" s="754"/>
      <c r="BO591" s="754"/>
      <c r="BP591" s="754"/>
      <c r="BQ591" s="754"/>
      <c r="BR591" s="754"/>
      <c r="BS591" s="754"/>
      <c r="BT591" s="754"/>
      <c r="BU591" s="754"/>
      <c r="BV591" s="754"/>
      <c r="BW591" s="754"/>
      <c r="BX591" s="754"/>
      <c r="BY591" s="754"/>
      <c r="BZ591" s="755"/>
      <c r="CB591" s="1041"/>
      <c r="CC591" s="1042"/>
      <c r="CD591" s="1042"/>
      <c r="CE591" s="1042"/>
      <c r="CF591" s="1043"/>
      <c r="CG591" s="1034"/>
      <c r="CH591" s="1035"/>
      <c r="CI591" s="753"/>
      <c r="CJ591" s="754"/>
      <c r="CK591" s="754"/>
      <c r="CL591" s="754"/>
      <c r="CM591" s="754"/>
      <c r="CN591" s="754"/>
      <c r="CO591" s="754"/>
      <c r="CP591" s="754"/>
      <c r="CQ591" s="754"/>
      <c r="CR591" s="754"/>
      <c r="CS591" s="754"/>
      <c r="CT591" s="754"/>
      <c r="CU591" s="754"/>
      <c r="CV591" s="754"/>
      <c r="CW591" s="754"/>
      <c r="CX591" s="754"/>
      <c r="CY591" s="754"/>
      <c r="CZ591" s="755"/>
    </row>
    <row r="592" spans="1:104" x14ac:dyDescent="0.25">
      <c r="B592" s="1026" t="str">
        <f>IF(B590="","",VLOOKUP(B590,BoonRef!$A$2:$Z$900,24,FALSE))</f>
        <v/>
      </c>
      <c r="C592" s="727"/>
      <c r="D592" s="727"/>
      <c r="E592" s="727"/>
      <c r="F592" s="727"/>
      <c r="G592" s="727"/>
      <c r="H592" s="727"/>
      <c r="I592" s="727"/>
      <c r="J592" s="727"/>
      <c r="K592" s="727"/>
      <c r="L592" s="727"/>
      <c r="M592" s="727"/>
      <c r="N592" s="727"/>
      <c r="O592" s="727"/>
      <c r="P592" s="727"/>
      <c r="Q592" s="727"/>
      <c r="R592" s="727"/>
      <c r="S592" s="727"/>
      <c r="T592" s="727"/>
      <c r="U592" s="727"/>
      <c r="V592" s="727"/>
      <c r="W592" s="727"/>
      <c r="X592" s="727"/>
      <c r="Y592" s="727"/>
      <c r="Z592" s="728"/>
      <c r="AB592" s="1026" t="str">
        <f>IF(AB590="","",VLOOKUP(AB590,BoonRef!$A$2:$Z$900,24,FALSE))</f>
        <v/>
      </c>
      <c r="AC592" s="727"/>
      <c r="AD592" s="727"/>
      <c r="AE592" s="727"/>
      <c r="AF592" s="727"/>
      <c r="AG592" s="727"/>
      <c r="AH592" s="727"/>
      <c r="AI592" s="727"/>
      <c r="AJ592" s="727"/>
      <c r="AK592" s="727"/>
      <c r="AL592" s="727"/>
      <c r="AM592" s="727"/>
      <c r="AN592" s="727"/>
      <c r="AO592" s="727"/>
      <c r="AP592" s="727"/>
      <c r="AQ592" s="727"/>
      <c r="AR592" s="727"/>
      <c r="AS592" s="727"/>
      <c r="AT592" s="727"/>
      <c r="AU592" s="727"/>
      <c r="AV592" s="727"/>
      <c r="AW592" s="727"/>
      <c r="AX592" s="727"/>
      <c r="AY592" s="727"/>
      <c r="AZ592" s="728"/>
      <c r="BB592" s="641" t="str">
        <f>IF(BB590="","",VLOOKUP(BB590,KanckRef!$A$1:$G$300,4,FALSE))</f>
        <v/>
      </c>
      <c r="BC592" s="642"/>
      <c r="BD592" s="642"/>
      <c r="BE592" s="642"/>
      <c r="BF592" s="642"/>
      <c r="BG592" s="642"/>
      <c r="BH592" s="1033"/>
      <c r="BI592" s="753"/>
      <c r="BJ592" s="754"/>
      <c r="BK592" s="754"/>
      <c r="BL592" s="754"/>
      <c r="BM592" s="754"/>
      <c r="BN592" s="754"/>
      <c r="BO592" s="754"/>
      <c r="BP592" s="754"/>
      <c r="BQ592" s="754"/>
      <c r="BR592" s="754"/>
      <c r="BS592" s="754"/>
      <c r="BT592" s="754"/>
      <c r="BU592" s="754"/>
      <c r="BV592" s="754"/>
      <c r="BW592" s="754"/>
      <c r="BX592" s="754"/>
      <c r="BY592" s="754"/>
      <c r="BZ592" s="755"/>
      <c r="CB592" s="641" t="str">
        <f>IF(CB590="","",VLOOKUP(CB590,KanckRef!$A$1:$G$300,4,FALSE))</f>
        <v/>
      </c>
      <c r="CC592" s="642"/>
      <c r="CD592" s="642"/>
      <c r="CE592" s="642"/>
      <c r="CF592" s="642"/>
      <c r="CG592" s="642"/>
      <c r="CH592" s="1033"/>
      <c r="CI592" s="753"/>
      <c r="CJ592" s="754"/>
      <c r="CK592" s="754"/>
      <c r="CL592" s="754"/>
      <c r="CM592" s="754"/>
      <c r="CN592" s="754"/>
      <c r="CO592" s="754"/>
      <c r="CP592" s="754"/>
      <c r="CQ592" s="754"/>
      <c r="CR592" s="754"/>
      <c r="CS592" s="754"/>
      <c r="CT592" s="754"/>
      <c r="CU592" s="754"/>
      <c r="CV592" s="754"/>
      <c r="CW592" s="754"/>
      <c r="CX592" s="754"/>
      <c r="CY592" s="754"/>
      <c r="CZ592" s="755"/>
    </row>
    <row r="593" spans="1:104" x14ac:dyDescent="0.25">
      <c r="B593" s="1026" t="str">
        <f>IF(B590="","",VLOOKUP(B590,BoonRef!$A$2:$Z$900,23,FALSE))</f>
        <v/>
      </c>
      <c r="C593" s="727"/>
      <c r="D593" s="727"/>
      <c r="E593" s="727"/>
      <c r="F593" s="727"/>
      <c r="G593" s="727"/>
      <c r="H593" s="727"/>
      <c r="I593" s="727"/>
      <c r="J593" s="727"/>
      <c r="K593" s="727"/>
      <c r="L593" s="727"/>
      <c r="M593" s="727"/>
      <c r="N593" s="727"/>
      <c r="O593" s="727"/>
      <c r="P593" s="727"/>
      <c r="Q593" s="727"/>
      <c r="R593" s="727"/>
      <c r="S593" s="727"/>
      <c r="T593" s="727"/>
      <c r="U593" s="727"/>
      <c r="V593" s="727"/>
      <c r="W593" s="727"/>
      <c r="X593" s="727"/>
      <c r="Y593" s="727"/>
      <c r="Z593" s="728"/>
      <c r="AB593" s="1026" t="str">
        <f>IF(AB590="","",VLOOKUP(AB590,BoonRef!$A$2:$Z$900,23,FALSE))</f>
        <v/>
      </c>
      <c r="AC593" s="727"/>
      <c r="AD593" s="727"/>
      <c r="AE593" s="727"/>
      <c r="AF593" s="727"/>
      <c r="AG593" s="727"/>
      <c r="AH593" s="727"/>
      <c r="AI593" s="727"/>
      <c r="AJ593" s="727"/>
      <c r="AK593" s="727"/>
      <c r="AL593" s="727"/>
      <c r="AM593" s="727"/>
      <c r="AN593" s="727"/>
      <c r="AO593" s="727"/>
      <c r="AP593" s="727"/>
      <c r="AQ593" s="727"/>
      <c r="AR593" s="727"/>
      <c r="AS593" s="727"/>
      <c r="AT593" s="727"/>
      <c r="AU593" s="727"/>
      <c r="AV593" s="727"/>
      <c r="AW593" s="727"/>
      <c r="AX593" s="727"/>
      <c r="AY593" s="727"/>
      <c r="AZ593" s="728"/>
      <c r="BB593" s="635"/>
      <c r="BC593" s="636"/>
      <c r="BD593" s="636"/>
      <c r="BE593" s="636"/>
      <c r="BF593" s="636"/>
      <c r="BG593" s="636"/>
      <c r="BH593" s="1036"/>
      <c r="BI593" s="753"/>
      <c r="BJ593" s="754"/>
      <c r="BK593" s="754"/>
      <c r="BL593" s="754"/>
      <c r="BM593" s="754"/>
      <c r="BN593" s="754"/>
      <c r="BO593" s="754"/>
      <c r="BP593" s="754"/>
      <c r="BQ593" s="754"/>
      <c r="BR593" s="754"/>
      <c r="BS593" s="754"/>
      <c r="BT593" s="754"/>
      <c r="BU593" s="754"/>
      <c r="BV593" s="754"/>
      <c r="BW593" s="754"/>
      <c r="BX593" s="754"/>
      <c r="BY593" s="754"/>
      <c r="BZ593" s="755"/>
      <c r="CB593" s="635"/>
      <c r="CC593" s="636"/>
      <c r="CD593" s="636"/>
      <c r="CE593" s="636"/>
      <c r="CF593" s="636"/>
      <c r="CG593" s="636"/>
      <c r="CH593" s="1036"/>
      <c r="CI593" s="753"/>
      <c r="CJ593" s="754"/>
      <c r="CK593" s="754"/>
      <c r="CL593" s="754"/>
      <c r="CM593" s="754"/>
      <c r="CN593" s="754"/>
      <c r="CO593" s="754"/>
      <c r="CP593" s="754"/>
      <c r="CQ593" s="754"/>
      <c r="CR593" s="754"/>
      <c r="CS593" s="754"/>
      <c r="CT593" s="754"/>
      <c r="CU593" s="754"/>
      <c r="CV593" s="754"/>
      <c r="CW593" s="754"/>
      <c r="CX593" s="754"/>
      <c r="CY593" s="754"/>
      <c r="CZ593" s="755"/>
    </row>
    <row r="594" spans="1:104" ht="15.75" thickBot="1" x14ac:dyDescent="0.3">
      <c r="B594" s="1027"/>
      <c r="C594" s="865"/>
      <c r="D594" s="865"/>
      <c r="E594" s="865"/>
      <c r="F594" s="865"/>
      <c r="G594" s="865"/>
      <c r="H594" s="865"/>
      <c r="I594" s="865"/>
      <c r="J594" s="865"/>
      <c r="K594" s="865"/>
      <c r="L594" s="865"/>
      <c r="M594" s="865"/>
      <c r="N594" s="865"/>
      <c r="O594" s="865"/>
      <c r="P594" s="865"/>
      <c r="Q594" s="865"/>
      <c r="R594" s="865"/>
      <c r="S594" s="865"/>
      <c r="T594" s="865"/>
      <c r="U594" s="865"/>
      <c r="V594" s="865"/>
      <c r="W594" s="865"/>
      <c r="X594" s="865"/>
      <c r="Y594" s="865"/>
      <c r="Z594" s="921"/>
      <c r="AB594" s="1027"/>
      <c r="AC594" s="865"/>
      <c r="AD594" s="865"/>
      <c r="AE594" s="865"/>
      <c r="AF594" s="865"/>
      <c r="AG594" s="865"/>
      <c r="AH594" s="865"/>
      <c r="AI594" s="865"/>
      <c r="AJ594" s="865"/>
      <c r="AK594" s="865"/>
      <c r="AL594" s="865"/>
      <c r="AM594" s="865"/>
      <c r="AN594" s="865"/>
      <c r="AO594" s="865"/>
      <c r="AP594" s="865"/>
      <c r="AQ594" s="865"/>
      <c r="AR594" s="865"/>
      <c r="AS594" s="865"/>
      <c r="AT594" s="865"/>
      <c r="AU594" s="865"/>
      <c r="AV594" s="865"/>
      <c r="AW594" s="865"/>
      <c r="AX594" s="865"/>
      <c r="AY594" s="865"/>
      <c r="AZ594" s="921"/>
      <c r="BB594" s="644"/>
      <c r="BC594" s="645"/>
      <c r="BD594" s="645"/>
      <c r="BE594" s="645"/>
      <c r="BF594" s="645"/>
      <c r="BG594" s="645"/>
      <c r="BH594" s="1037"/>
      <c r="BI594" s="756"/>
      <c r="BJ594" s="757"/>
      <c r="BK594" s="757"/>
      <c r="BL594" s="757"/>
      <c r="BM594" s="757"/>
      <c r="BN594" s="757"/>
      <c r="BO594" s="757"/>
      <c r="BP594" s="757"/>
      <c r="BQ594" s="757"/>
      <c r="BR594" s="757"/>
      <c r="BS594" s="757"/>
      <c r="BT594" s="757"/>
      <c r="BU594" s="757"/>
      <c r="BV594" s="757"/>
      <c r="BW594" s="757"/>
      <c r="BX594" s="757"/>
      <c r="BY594" s="757"/>
      <c r="BZ594" s="758"/>
      <c r="CB594" s="644"/>
      <c r="CC594" s="645"/>
      <c r="CD594" s="645"/>
      <c r="CE594" s="645"/>
      <c r="CF594" s="645"/>
      <c r="CG594" s="645"/>
      <c r="CH594" s="1037"/>
      <c r="CI594" s="756"/>
      <c r="CJ594" s="757"/>
      <c r="CK594" s="757"/>
      <c r="CL594" s="757"/>
      <c r="CM594" s="757"/>
      <c r="CN594" s="757"/>
      <c r="CO594" s="757"/>
      <c r="CP594" s="757"/>
      <c r="CQ594" s="757"/>
      <c r="CR594" s="757"/>
      <c r="CS594" s="757"/>
      <c r="CT594" s="757"/>
      <c r="CU594" s="757"/>
      <c r="CV594" s="757"/>
      <c r="CW594" s="757"/>
      <c r="CX594" s="757"/>
      <c r="CY594" s="757"/>
      <c r="CZ594" s="758"/>
    </row>
    <row r="595" spans="1:104" x14ac:dyDescent="0.25">
      <c r="B595" s="1028" t="str">
        <f>IF(B596="","",VLOOKUP(B596,BoonRef!$A$2:$Z$900,2,FALSE))</f>
        <v/>
      </c>
      <c r="C595" s="725"/>
      <c r="D595" s="725"/>
      <c r="E595" s="725"/>
      <c r="F595" s="725"/>
      <c r="G595" s="725"/>
      <c r="H595" s="725"/>
      <c r="I595" s="725" t="str">
        <f>IF(B596="","",VLOOKUP(B596,BoonRef!$A$2:$Z$900,3,FALSE))</f>
        <v/>
      </c>
      <c r="J595" s="725"/>
      <c r="K595" s="725" t="str">
        <f>IF(B596="","",VLOOKUP(B596,DescRef!$A$2:$B$900,2,FALSE))</f>
        <v/>
      </c>
      <c r="L595" s="725"/>
      <c r="M595" s="725"/>
      <c r="N595" s="725"/>
      <c r="O595" s="725"/>
      <c r="P595" s="725"/>
      <c r="Q595" s="725"/>
      <c r="R595" s="725"/>
      <c r="S595" s="725"/>
      <c r="T595" s="725"/>
      <c r="U595" s="725"/>
      <c r="V595" s="725"/>
      <c r="W595" s="725"/>
      <c r="X595" s="725"/>
      <c r="Y595" s="725"/>
      <c r="Z595" s="726"/>
      <c r="AB595" s="1028" t="str">
        <f>IF(AB596="","",VLOOKUP(AB596,BoonRef!$A$2:$Z$900,2,FALSE))</f>
        <v/>
      </c>
      <c r="AC595" s="725"/>
      <c r="AD595" s="725"/>
      <c r="AE595" s="725"/>
      <c r="AF595" s="725"/>
      <c r="AG595" s="725"/>
      <c r="AH595" s="725"/>
      <c r="AI595" s="725" t="str">
        <f>IF(AB596="","",VLOOKUP(AB596,BoonRef!$A$2:$Z$900,3,FALSE))</f>
        <v/>
      </c>
      <c r="AJ595" s="725"/>
      <c r="AK595" s="725" t="str">
        <f>IF(AB596="","",VLOOKUP(AB596,DescRef!$A$2:$B$900,2,FALSE))</f>
        <v/>
      </c>
      <c r="AL595" s="725"/>
      <c r="AM595" s="725"/>
      <c r="AN595" s="725"/>
      <c r="AO595" s="725"/>
      <c r="AP595" s="725"/>
      <c r="AQ595" s="725"/>
      <c r="AR595" s="725"/>
      <c r="AS595" s="725"/>
      <c r="AT595" s="725"/>
      <c r="AU595" s="725"/>
      <c r="AV595" s="725"/>
      <c r="AW595" s="725"/>
      <c r="AX595" s="725"/>
      <c r="AY595" s="725"/>
      <c r="AZ595" s="726"/>
      <c r="BB595" s="1029" t="str">
        <f>IF(BB596="","",VLOOKUP(BB596,KanckRef!$A$1:$G$300,2,FALSE))</f>
        <v/>
      </c>
      <c r="BC595" s="1030"/>
      <c r="BD595" s="1030"/>
      <c r="BE595" s="1030"/>
      <c r="BF595" s="1031"/>
      <c r="BG595" s="1048" t="str">
        <f>IF(BB596="","",VLOOKUP(BB596,KanckRef!$A$1:$G$300,6,FALSE))</f>
        <v/>
      </c>
      <c r="BH595" s="1049"/>
      <c r="BI595" s="988" t="str">
        <f>IF(BB596="","",VLOOKUP(BB596,DescRef!$D$2:$E$300,2,FALSE))</f>
        <v/>
      </c>
      <c r="BJ595" s="795"/>
      <c r="BK595" s="795"/>
      <c r="BL595" s="795"/>
      <c r="BM595" s="795"/>
      <c r="BN595" s="795"/>
      <c r="BO595" s="795"/>
      <c r="BP595" s="795"/>
      <c r="BQ595" s="795"/>
      <c r="BR595" s="795"/>
      <c r="BS595" s="795"/>
      <c r="BT595" s="795"/>
      <c r="BU595" s="795"/>
      <c r="BV595" s="795"/>
      <c r="BW595" s="795"/>
      <c r="BX595" s="795"/>
      <c r="BY595" s="795"/>
      <c r="BZ595" s="796"/>
      <c r="CB595" s="1029" t="str">
        <f>IF(CB596="","",VLOOKUP(CB596,KanckRef!$A$1:$G$300,2,FALSE))</f>
        <v/>
      </c>
      <c r="CC595" s="1030"/>
      <c r="CD595" s="1030"/>
      <c r="CE595" s="1030"/>
      <c r="CF595" s="1031"/>
      <c r="CG595" s="1048" t="str">
        <f>IF(CB596="","",VLOOKUP(CB596,KanckRef!$A$1:$G$300,6,FALSE))</f>
        <v/>
      </c>
      <c r="CH595" s="1049"/>
      <c r="CI595" s="988" t="str">
        <f>IF(CB596="","",VLOOKUP(CB596,DescRef!$D$2:$E$300,2,FALSE))</f>
        <v/>
      </c>
      <c r="CJ595" s="795"/>
      <c r="CK595" s="795"/>
      <c r="CL595" s="795"/>
      <c r="CM595" s="795"/>
      <c r="CN595" s="795"/>
      <c r="CO595" s="795"/>
      <c r="CP595" s="795"/>
      <c r="CQ595" s="795"/>
      <c r="CR595" s="795"/>
      <c r="CS595" s="795"/>
      <c r="CT595" s="795"/>
      <c r="CU595" s="795"/>
      <c r="CV595" s="795"/>
      <c r="CW595" s="795"/>
      <c r="CX595" s="795"/>
      <c r="CY595" s="795"/>
      <c r="CZ595" s="796"/>
    </row>
    <row r="596" spans="1:104" ht="15" customHeight="1" x14ac:dyDescent="0.25">
      <c r="A596" s="15">
        <v>99</v>
      </c>
      <c r="B596" s="1026" t="str">
        <f>IF(A596&lt;'Purchased Boons'!$B$496,VLOOKUP(A596,'Purchased Boons'!$BF$2:$BG$900,2,FALSE),"")</f>
        <v/>
      </c>
      <c r="C596" s="727"/>
      <c r="D596" s="727"/>
      <c r="E596" s="727"/>
      <c r="F596" s="727"/>
      <c r="G596" s="727"/>
      <c r="H596" s="727"/>
      <c r="I596" s="727" t="str">
        <f>IF(B596="","",VLOOKUP(B596,BoonRef!$A$2:$Z$900,25,FALSE))</f>
        <v/>
      </c>
      <c r="J596" s="727"/>
      <c r="K596" s="727"/>
      <c r="L596" s="727"/>
      <c r="M596" s="727"/>
      <c r="N596" s="727"/>
      <c r="O596" s="727"/>
      <c r="P596" s="727"/>
      <c r="Q596" s="727"/>
      <c r="R596" s="727"/>
      <c r="S596" s="727"/>
      <c r="T596" s="727"/>
      <c r="U596" s="727"/>
      <c r="V596" s="727"/>
      <c r="W596" s="727"/>
      <c r="X596" s="727"/>
      <c r="Y596" s="727"/>
      <c r="Z596" s="728"/>
      <c r="AA596" s="15">
        <v>206</v>
      </c>
      <c r="AB596" s="1026" t="str">
        <f>IF(AA596&lt;'Purchased Boons'!$B$496,VLOOKUP(AA596,'Purchased Boons'!$BF$2:$BG$900,2,FALSE),"")</f>
        <v/>
      </c>
      <c r="AC596" s="727"/>
      <c r="AD596" s="727"/>
      <c r="AE596" s="727"/>
      <c r="AF596" s="727"/>
      <c r="AG596" s="727"/>
      <c r="AH596" s="727"/>
      <c r="AI596" s="727" t="str">
        <f>IF(AB596="","",VLOOKUP(AB596,BoonRef!$A$2:$Z$900,25,FALSE))</f>
        <v/>
      </c>
      <c r="AJ596" s="727"/>
      <c r="AK596" s="727"/>
      <c r="AL596" s="727"/>
      <c r="AM596" s="727"/>
      <c r="AN596" s="727"/>
      <c r="AO596" s="727"/>
      <c r="AP596" s="727"/>
      <c r="AQ596" s="727"/>
      <c r="AR596" s="727"/>
      <c r="AS596" s="727"/>
      <c r="AT596" s="727"/>
      <c r="AU596" s="727"/>
      <c r="AV596" s="727"/>
      <c r="AW596" s="727"/>
      <c r="AX596" s="727"/>
      <c r="AY596" s="727"/>
      <c r="AZ596" s="728"/>
      <c r="BA596" s="15">
        <v>99</v>
      </c>
      <c r="BB596" s="1038" t="str">
        <f>IF(BA596&lt;'Purchased Knacks'!A$192,VLOOKUP(BA596,'Purchased Knacks'!$A$4:$E$300,3,FALSE),"")</f>
        <v/>
      </c>
      <c r="BC596" s="1039"/>
      <c r="BD596" s="1039"/>
      <c r="BE596" s="1039"/>
      <c r="BF596" s="1040"/>
      <c r="BG596" s="1032" t="str">
        <f>IF(BB596="","",VLOOKUP(BB596,KanckRef!$A$1:$G$300,7,FALSE))</f>
        <v/>
      </c>
      <c r="BH596" s="1033"/>
      <c r="BI596" s="753"/>
      <c r="BJ596" s="754"/>
      <c r="BK596" s="754"/>
      <c r="BL596" s="754"/>
      <c r="BM596" s="754"/>
      <c r="BN596" s="754"/>
      <c r="BO596" s="754"/>
      <c r="BP596" s="754"/>
      <c r="BQ596" s="754"/>
      <c r="BR596" s="754"/>
      <c r="BS596" s="754"/>
      <c r="BT596" s="754"/>
      <c r="BU596" s="754"/>
      <c r="BV596" s="754"/>
      <c r="BW596" s="754"/>
      <c r="BX596" s="754"/>
      <c r="BY596" s="754"/>
      <c r="BZ596" s="755"/>
      <c r="CA596" s="15">
        <v>206</v>
      </c>
      <c r="CB596" s="1038" t="str">
        <f>IF(CA596&lt;'Purchased Knacks'!A$192,VLOOKUP(CA596,'Purchased Knacks'!$A$4:$E$300,3,FALSE),"")</f>
        <v/>
      </c>
      <c r="CC596" s="1039"/>
      <c r="CD596" s="1039"/>
      <c r="CE596" s="1039"/>
      <c r="CF596" s="1040"/>
      <c r="CG596" s="1032" t="str">
        <f>IF(CB596="","",VLOOKUP(CB596,KanckRef!$A$1:$G$300,7,FALSE))</f>
        <v/>
      </c>
      <c r="CH596" s="1033"/>
      <c r="CI596" s="753"/>
      <c r="CJ596" s="754"/>
      <c r="CK596" s="754"/>
      <c r="CL596" s="754"/>
      <c r="CM596" s="754"/>
      <c r="CN596" s="754"/>
      <c r="CO596" s="754"/>
      <c r="CP596" s="754"/>
      <c r="CQ596" s="754"/>
      <c r="CR596" s="754"/>
      <c r="CS596" s="754"/>
      <c r="CT596" s="754"/>
      <c r="CU596" s="754"/>
      <c r="CV596" s="754"/>
      <c r="CW596" s="754"/>
      <c r="CX596" s="754"/>
      <c r="CY596" s="754"/>
      <c r="CZ596" s="755"/>
    </row>
    <row r="597" spans="1:104" x14ac:dyDescent="0.25">
      <c r="B597" s="1026"/>
      <c r="C597" s="727"/>
      <c r="D597" s="727"/>
      <c r="E597" s="727"/>
      <c r="F597" s="727"/>
      <c r="G597" s="727"/>
      <c r="H597" s="727"/>
      <c r="I597" s="727" t="str">
        <f>IF(B596="","",VLOOKUP(B596,BoonRef!$A$2:$Z$900,26,FALSE))</f>
        <v/>
      </c>
      <c r="J597" s="727"/>
      <c r="K597" s="727"/>
      <c r="L597" s="727"/>
      <c r="M597" s="727"/>
      <c r="N597" s="727"/>
      <c r="O597" s="727"/>
      <c r="P597" s="727"/>
      <c r="Q597" s="727"/>
      <c r="R597" s="727"/>
      <c r="S597" s="727"/>
      <c r="T597" s="727"/>
      <c r="U597" s="727"/>
      <c r="V597" s="727"/>
      <c r="W597" s="727"/>
      <c r="X597" s="727"/>
      <c r="Y597" s="727"/>
      <c r="Z597" s="728"/>
      <c r="AB597" s="1026"/>
      <c r="AC597" s="727"/>
      <c r="AD597" s="727"/>
      <c r="AE597" s="727"/>
      <c r="AF597" s="727"/>
      <c r="AG597" s="727"/>
      <c r="AH597" s="727"/>
      <c r="AI597" s="727" t="str">
        <f>IF(AB596="","",VLOOKUP(AB596,BoonRef!$A$2:$Z$900,26,FALSE))</f>
        <v/>
      </c>
      <c r="AJ597" s="727"/>
      <c r="AK597" s="727"/>
      <c r="AL597" s="727"/>
      <c r="AM597" s="727"/>
      <c r="AN597" s="727"/>
      <c r="AO597" s="727"/>
      <c r="AP597" s="727"/>
      <c r="AQ597" s="727"/>
      <c r="AR597" s="727"/>
      <c r="AS597" s="727"/>
      <c r="AT597" s="727"/>
      <c r="AU597" s="727"/>
      <c r="AV597" s="727"/>
      <c r="AW597" s="727"/>
      <c r="AX597" s="727"/>
      <c r="AY597" s="727"/>
      <c r="AZ597" s="728"/>
      <c r="BB597" s="1041"/>
      <c r="BC597" s="1042"/>
      <c r="BD597" s="1042"/>
      <c r="BE597" s="1042"/>
      <c r="BF597" s="1043"/>
      <c r="BG597" s="1034"/>
      <c r="BH597" s="1035"/>
      <c r="BI597" s="753"/>
      <c r="BJ597" s="754"/>
      <c r="BK597" s="754"/>
      <c r="BL597" s="754"/>
      <c r="BM597" s="754"/>
      <c r="BN597" s="754"/>
      <c r="BO597" s="754"/>
      <c r="BP597" s="754"/>
      <c r="BQ597" s="754"/>
      <c r="BR597" s="754"/>
      <c r="BS597" s="754"/>
      <c r="BT597" s="754"/>
      <c r="BU597" s="754"/>
      <c r="BV597" s="754"/>
      <c r="BW597" s="754"/>
      <c r="BX597" s="754"/>
      <c r="BY597" s="754"/>
      <c r="BZ597" s="755"/>
      <c r="CB597" s="1041"/>
      <c r="CC597" s="1042"/>
      <c r="CD597" s="1042"/>
      <c r="CE597" s="1042"/>
      <c r="CF597" s="1043"/>
      <c r="CG597" s="1034"/>
      <c r="CH597" s="1035"/>
      <c r="CI597" s="753"/>
      <c r="CJ597" s="754"/>
      <c r="CK597" s="754"/>
      <c r="CL597" s="754"/>
      <c r="CM597" s="754"/>
      <c r="CN597" s="754"/>
      <c r="CO597" s="754"/>
      <c r="CP597" s="754"/>
      <c r="CQ597" s="754"/>
      <c r="CR597" s="754"/>
      <c r="CS597" s="754"/>
      <c r="CT597" s="754"/>
      <c r="CU597" s="754"/>
      <c r="CV597" s="754"/>
      <c r="CW597" s="754"/>
      <c r="CX597" s="754"/>
      <c r="CY597" s="754"/>
      <c r="CZ597" s="755"/>
    </row>
    <row r="598" spans="1:104" x14ac:dyDescent="0.25">
      <c r="B598" s="1026" t="str">
        <f>IF(B596="","",VLOOKUP(B596,BoonRef!$A$2:$Z$900,24,FALSE))</f>
        <v/>
      </c>
      <c r="C598" s="727"/>
      <c r="D598" s="727"/>
      <c r="E598" s="727"/>
      <c r="F598" s="727"/>
      <c r="G598" s="727"/>
      <c r="H598" s="727"/>
      <c r="I598" s="727"/>
      <c r="J598" s="727"/>
      <c r="K598" s="727"/>
      <c r="L598" s="727"/>
      <c r="M598" s="727"/>
      <c r="N598" s="727"/>
      <c r="O598" s="727"/>
      <c r="P598" s="727"/>
      <c r="Q598" s="727"/>
      <c r="R598" s="727"/>
      <c r="S598" s="727"/>
      <c r="T598" s="727"/>
      <c r="U598" s="727"/>
      <c r="V598" s="727"/>
      <c r="W598" s="727"/>
      <c r="X598" s="727"/>
      <c r="Y598" s="727"/>
      <c r="Z598" s="728"/>
      <c r="AB598" s="1026" t="str">
        <f>IF(AB596="","",VLOOKUP(AB596,BoonRef!$A$2:$Z$900,24,FALSE))</f>
        <v/>
      </c>
      <c r="AC598" s="727"/>
      <c r="AD598" s="727"/>
      <c r="AE598" s="727"/>
      <c r="AF598" s="727"/>
      <c r="AG598" s="727"/>
      <c r="AH598" s="727"/>
      <c r="AI598" s="727"/>
      <c r="AJ598" s="727"/>
      <c r="AK598" s="727"/>
      <c r="AL598" s="727"/>
      <c r="AM598" s="727"/>
      <c r="AN598" s="727"/>
      <c r="AO598" s="727"/>
      <c r="AP598" s="727"/>
      <c r="AQ598" s="727"/>
      <c r="AR598" s="727"/>
      <c r="AS598" s="727"/>
      <c r="AT598" s="727"/>
      <c r="AU598" s="727"/>
      <c r="AV598" s="727"/>
      <c r="AW598" s="727"/>
      <c r="AX598" s="727"/>
      <c r="AY598" s="727"/>
      <c r="AZ598" s="728"/>
      <c r="BB598" s="641" t="str">
        <f>IF(BB596="","",VLOOKUP(BB596,KanckRef!$A$1:$G$300,4,FALSE))</f>
        <v/>
      </c>
      <c r="BC598" s="642"/>
      <c r="BD598" s="642"/>
      <c r="BE598" s="642"/>
      <c r="BF598" s="642"/>
      <c r="BG598" s="642"/>
      <c r="BH598" s="1033"/>
      <c r="BI598" s="753"/>
      <c r="BJ598" s="754"/>
      <c r="BK598" s="754"/>
      <c r="BL598" s="754"/>
      <c r="BM598" s="754"/>
      <c r="BN598" s="754"/>
      <c r="BO598" s="754"/>
      <c r="BP598" s="754"/>
      <c r="BQ598" s="754"/>
      <c r="BR598" s="754"/>
      <c r="BS598" s="754"/>
      <c r="BT598" s="754"/>
      <c r="BU598" s="754"/>
      <c r="BV598" s="754"/>
      <c r="BW598" s="754"/>
      <c r="BX598" s="754"/>
      <c r="BY598" s="754"/>
      <c r="BZ598" s="755"/>
      <c r="CB598" s="641" t="str">
        <f>IF(CB596="","",VLOOKUP(CB596,KanckRef!$A$1:$G$300,4,FALSE))</f>
        <v/>
      </c>
      <c r="CC598" s="642"/>
      <c r="CD598" s="642"/>
      <c r="CE598" s="642"/>
      <c r="CF598" s="642"/>
      <c r="CG598" s="642"/>
      <c r="CH598" s="1033"/>
      <c r="CI598" s="753"/>
      <c r="CJ598" s="754"/>
      <c r="CK598" s="754"/>
      <c r="CL598" s="754"/>
      <c r="CM598" s="754"/>
      <c r="CN598" s="754"/>
      <c r="CO598" s="754"/>
      <c r="CP598" s="754"/>
      <c r="CQ598" s="754"/>
      <c r="CR598" s="754"/>
      <c r="CS598" s="754"/>
      <c r="CT598" s="754"/>
      <c r="CU598" s="754"/>
      <c r="CV598" s="754"/>
      <c r="CW598" s="754"/>
      <c r="CX598" s="754"/>
      <c r="CY598" s="754"/>
      <c r="CZ598" s="755"/>
    </row>
    <row r="599" spans="1:104" x14ac:dyDescent="0.25">
      <c r="B599" s="1026" t="str">
        <f>IF(B596="","",VLOOKUP(B596,BoonRef!$A$2:$Z$900,23,FALSE))</f>
        <v/>
      </c>
      <c r="C599" s="727"/>
      <c r="D599" s="727"/>
      <c r="E599" s="727"/>
      <c r="F599" s="727"/>
      <c r="G599" s="727"/>
      <c r="H599" s="727"/>
      <c r="I599" s="727"/>
      <c r="J599" s="727"/>
      <c r="K599" s="727"/>
      <c r="L599" s="727"/>
      <c r="M599" s="727"/>
      <c r="N599" s="727"/>
      <c r="O599" s="727"/>
      <c r="P599" s="727"/>
      <c r="Q599" s="727"/>
      <c r="R599" s="727"/>
      <c r="S599" s="727"/>
      <c r="T599" s="727"/>
      <c r="U599" s="727"/>
      <c r="V599" s="727"/>
      <c r="W599" s="727"/>
      <c r="X599" s="727"/>
      <c r="Y599" s="727"/>
      <c r="Z599" s="728"/>
      <c r="AB599" s="1026" t="str">
        <f>IF(AB596="","",VLOOKUP(AB596,BoonRef!$A$2:$Z$900,23,FALSE))</f>
        <v/>
      </c>
      <c r="AC599" s="727"/>
      <c r="AD599" s="727"/>
      <c r="AE599" s="727"/>
      <c r="AF599" s="727"/>
      <c r="AG599" s="727"/>
      <c r="AH599" s="727"/>
      <c r="AI599" s="727"/>
      <c r="AJ599" s="727"/>
      <c r="AK599" s="727"/>
      <c r="AL599" s="727"/>
      <c r="AM599" s="727"/>
      <c r="AN599" s="727"/>
      <c r="AO599" s="727"/>
      <c r="AP599" s="727"/>
      <c r="AQ599" s="727"/>
      <c r="AR599" s="727"/>
      <c r="AS599" s="727"/>
      <c r="AT599" s="727"/>
      <c r="AU599" s="727"/>
      <c r="AV599" s="727"/>
      <c r="AW599" s="727"/>
      <c r="AX599" s="727"/>
      <c r="AY599" s="727"/>
      <c r="AZ599" s="728"/>
      <c r="BB599" s="635"/>
      <c r="BC599" s="636"/>
      <c r="BD599" s="636"/>
      <c r="BE599" s="636"/>
      <c r="BF599" s="636"/>
      <c r="BG599" s="636"/>
      <c r="BH599" s="1036"/>
      <c r="BI599" s="753"/>
      <c r="BJ599" s="754"/>
      <c r="BK599" s="754"/>
      <c r="BL599" s="754"/>
      <c r="BM599" s="754"/>
      <c r="BN599" s="754"/>
      <c r="BO599" s="754"/>
      <c r="BP599" s="754"/>
      <c r="BQ599" s="754"/>
      <c r="BR599" s="754"/>
      <c r="BS599" s="754"/>
      <c r="BT599" s="754"/>
      <c r="BU599" s="754"/>
      <c r="BV599" s="754"/>
      <c r="BW599" s="754"/>
      <c r="BX599" s="754"/>
      <c r="BY599" s="754"/>
      <c r="BZ599" s="755"/>
      <c r="CB599" s="635"/>
      <c r="CC599" s="636"/>
      <c r="CD599" s="636"/>
      <c r="CE599" s="636"/>
      <c r="CF599" s="636"/>
      <c r="CG599" s="636"/>
      <c r="CH599" s="1036"/>
      <c r="CI599" s="753"/>
      <c r="CJ599" s="754"/>
      <c r="CK599" s="754"/>
      <c r="CL599" s="754"/>
      <c r="CM599" s="754"/>
      <c r="CN599" s="754"/>
      <c r="CO599" s="754"/>
      <c r="CP599" s="754"/>
      <c r="CQ599" s="754"/>
      <c r="CR599" s="754"/>
      <c r="CS599" s="754"/>
      <c r="CT599" s="754"/>
      <c r="CU599" s="754"/>
      <c r="CV599" s="754"/>
      <c r="CW599" s="754"/>
      <c r="CX599" s="754"/>
      <c r="CY599" s="754"/>
      <c r="CZ599" s="755"/>
    </row>
    <row r="600" spans="1:104" ht="15.75" thickBot="1" x14ac:dyDescent="0.3">
      <c r="B600" s="1027"/>
      <c r="C600" s="865"/>
      <c r="D600" s="865"/>
      <c r="E600" s="865"/>
      <c r="F600" s="865"/>
      <c r="G600" s="865"/>
      <c r="H600" s="865"/>
      <c r="I600" s="865"/>
      <c r="J600" s="865"/>
      <c r="K600" s="865"/>
      <c r="L600" s="865"/>
      <c r="M600" s="865"/>
      <c r="N600" s="865"/>
      <c r="O600" s="865"/>
      <c r="P600" s="865"/>
      <c r="Q600" s="865"/>
      <c r="R600" s="865"/>
      <c r="S600" s="865"/>
      <c r="T600" s="865"/>
      <c r="U600" s="865"/>
      <c r="V600" s="865"/>
      <c r="W600" s="865"/>
      <c r="X600" s="865"/>
      <c r="Y600" s="865"/>
      <c r="Z600" s="921"/>
      <c r="AB600" s="1027"/>
      <c r="AC600" s="865"/>
      <c r="AD600" s="865"/>
      <c r="AE600" s="865"/>
      <c r="AF600" s="865"/>
      <c r="AG600" s="865"/>
      <c r="AH600" s="865"/>
      <c r="AI600" s="865"/>
      <c r="AJ600" s="865"/>
      <c r="AK600" s="865"/>
      <c r="AL600" s="865"/>
      <c r="AM600" s="865"/>
      <c r="AN600" s="865"/>
      <c r="AO600" s="865"/>
      <c r="AP600" s="865"/>
      <c r="AQ600" s="865"/>
      <c r="AR600" s="865"/>
      <c r="AS600" s="865"/>
      <c r="AT600" s="865"/>
      <c r="AU600" s="865"/>
      <c r="AV600" s="865"/>
      <c r="AW600" s="865"/>
      <c r="AX600" s="865"/>
      <c r="AY600" s="865"/>
      <c r="AZ600" s="921"/>
      <c r="BB600" s="644"/>
      <c r="BC600" s="645"/>
      <c r="BD600" s="645"/>
      <c r="BE600" s="645"/>
      <c r="BF600" s="645"/>
      <c r="BG600" s="645"/>
      <c r="BH600" s="1037"/>
      <c r="BI600" s="756"/>
      <c r="BJ600" s="757"/>
      <c r="BK600" s="757"/>
      <c r="BL600" s="757"/>
      <c r="BM600" s="757"/>
      <c r="BN600" s="757"/>
      <c r="BO600" s="757"/>
      <c r="BP600" s="757"/>
      <c r="BQ600" s="757"/>
      <c r="BR600" s="757"/>
      <c r="BS600" s="757"/>
      <c r="BT600" s="757"/>
      <c r="BU600" s="757"/>
      <c r="BV600" s="757"/>
      <c r="BW600" s="757"/>
      <c r="BX600" s="757"/>
      <c r="BY600" s="757"/>
      <c r="BZ600" s="758"/>
      <c r="CB600" s="644"/>
      <c r="CC600" s="645"/>
      <c r="CD600" s="645"/>
      <c r="CE600" s="645"/>
      <c r="CF600" s="645"/>
      <c r="CG600" s="645"/>
      <c r="CH600" s="1037"/>
      <c r="CI600" s="756"/>
      <c r="CJ600" s="757"/>
      <c r="CK600" s="757"/>
      <c r="CL600" s="757"/>
      <c r="CM600" s="757"/>
      <c r="CN600" s="757"/>
      <c r="CO600" s="757"/>
      <c r="CP600" s="757"/>
      <c r="CQ600" s="757"/>
      <c r="CR600" s="757"/>
      <c r="CS600" s="757"/>
      <c r="CT600" s="757"/>
      <c r="CU600" s="757"/>
      <c r="CV600" s="757"/>
      <c r="CW600" s="757"/>
      <c r="CX600" s="757"/>
      <c r="CY600" s="757"/>
      <c r="CZ600" s="758"/>
    </row>
    <row r="601" spans="1:104" x14ac:dyDescent="0.25">
      <c r="B601" s="1028" t="str">
        <f>IF(B602="","",VLOOKUP(B602,BoonRef!$A$2:$Z$900,2,FALSE))</f>
        <v/>
      </c>
      <c r="C601" s="725"/>
      <c r="D601" s="725"/>
      <c r="E601" s="725"/>
      <c r="F601" s="725"/>
      <c r="G601" s="725"/>
      <c r="H601" s="725"/>
      <c r="I601" s="725" t="str">
        <f>IF(B602="","",VLOOKUP(B602,BoonRef!$A$2:$Z$900,3,FALSE))</f>
        <v/>
      </c>
      <c r="J601" s="725"/>
      <c r="K601" s="725" t="str">
        <f>IF(B602="","",VLOOKUP(B602,DescRef!$A$2:$B$900,2,FALSE))</f>
        <v/>
      </c>
      <c r="L601" s="725"/>
      <c r="M601" s="725"/>
      <c r="N601" s="725"/>
      <c r="O601" s="725"/>
      <c r="P601" s="725"/>
      <c r="Q601" s="725"/>
      <c r="R601" s="725"/>
      <c r="S601" s="725"/>
      <c r="T601" s="725"/>
      <c r="U601" s="725"/>
      <c r="V601" s="725"/>
      <c r="W601" s="725"/>
      <c r="X601" s="725"/>
      <c r="Y601" s="725"/>
      <c r="Z601" s="726"/>
      <c r="AB601" s="1028" t="str">
        <f>IF(AB602="","",VLOOKUP(AB602,BoonRef!$A$2:$Z$900,2,FALSE))</f>
        <v/>
      </c>
      <c r="AC601" s="725"/>
      <c r="AD601" s="725"/>
      <c r="AE601" s="725"/>
      <c r="AF601" s="725"/>
      <c r="AG601" s="725"/>
      <c r="AH601" s="725"/>
      <c r="AI601" s="725" t="str">
        <f>IF(AB602="","",VLOOKUP(AB602,BoonRef!$A$2:$Z$900,3,FALSE))</f>
        <v/>
      </c>
      <c r="AJ601" s="725"/>
      <c r="AK601" s="725" t="str">
        <f>IF(AB602="","",VLOOKUP(AB602,DescRef!$A$2:$B$900,2,FALSE))</f>
        <v/>
      </c>
      <c r="AL601" s="725"/>
      <c r="AM601" s="725"/>
      <c r="AN601" s="725"/>
      <c r="AO601" s="725"/>
      <c r="AP601" s="725"/>
      <c r="AQ601" s="725"/>
      <c r="AR601" s="725"/>
      <c r="AS601" s="725"/>
      <c r="AT601" s="725"/>
      <c r="AU601" s="725"/>
      <c r="AV601" s="725"/>
      <c r="AW601" s="725"/>
      <c r="AX601" s="725"/>
      <c r="AY601" s="725"/>
      <c r="AZ601" s="726"/>
      <c r="BB601" s="1029" t="str">
        <f>IF(BB602="","",VLOOKUP(BB602,KanckRef!$A$1:$G$300,2,FALSE))</f>
        <v/>
      </c>
      <c r="BC601" s="1030"/>
      <c r="BD601" s="1030"/>
      <c r="BE601" s="1030"/>
      <c r="BF601" s="1031"/>
      <c r="BG601" s="1048" t="str">
        <f>IF(BB602="","",VLOOKUP(BB602,KanckRef!$A$1:$G$300,6,FALSE))</f>
        <v/>
      </c>
      <c r="BH601" s="1049"/>
      <c r="BI601" s="988" t="str">
        <f>IF(BB602="","",VLOOKUP(BB602,DescRef!$D$2:$E$300,2,FALSE))</f>
        <v/>
      </c>
      <c r="BJ601" s="795"/>
      <c r="BK601" s="795"/>
      <c r="BL601" s="795"/>
      <c r="BM601" s="795"/>
      <c r="BN601" s="795"/>
      <c r="BO601" s="795"/>
      <c r="BP601" s="795"/>
      <c r="BQ601" s="795"/>
      <c r="BR601" s="795"/>
      <c r="BS601" s="795"/>
      <c r="BT601" s="795"/>
      <c r="BU601" s="795"/>
      <c r="BV601" s="795"/>
      <c r="BW601" s="795"/>
      <c r="BX601" s="795"/>
      <c r="BY601" s="795"/>
      <c r="BZ601" s="796"/>
      <c r="CB601" s="1029" t="str">
        <f>IF(CB602="","",VLOOKUP(CB602,KanckRef!$A$1:$G$300,2,FALSE))</f>
        <v/>
      </c>
      <c r="CC601" s="1030"/>
      <c r="CD601" s="1030"/>
      <c r="CE601" s="1030"/>
      <c r="CF601" s="1031"/>
      <c r="CG601" s="1048" t="str">
        <f>IF(CB602="","",VLOOKUP(CB602,KanckRef!$A$1:$G$300,6,FALSE))</f>
        <v/>
      </c>
      <c r="CH601" s="1049"/>
      <c r="CI601" s="988" t="str">
        <f>IF(CB602="","",VLOOKUP(CB602,DescRef!$D$2:$E$300,2,FALSE))</f>
        <v/>
      </c>
      <c r="CJ601" s="795"/>
      <c r="CK601" s="795"/>
      <c r="CL601" s="795"/>
      <c r="CM601" s="795"/>
      <c r="CN601" s="795"/>
      <c r="CO601" s="795"/>
      <c r="CP601" s="795"/>
      <c r="CQ601" s="795"/>
      <c r="CR601" s="795"/>
      <c r="CS601" s="795"/>
      <c r="CT601" s="795"/>
      <c r="CU601" s="795"/>
      <c r="CV601" s="795"/>
      <c r="CW601" s="795"/>
      <c r="CX601" s="795"/>
      <c r="CY601" s="795"/>
      <c r="CZ601" s="796"/>
    </row>
    <row r="602" spans="1:104" ht="15" customHeight="1" x14ac:dyDescent="0.25">
      <c r="A602" s="15">
        <v>100</v>
      </c>
      <c r="B602" s="1026" t="str">
        <f>IF(A602&lt;'Purchased Boons'!$B$496,VLOOKUP(A602,'Purchased Boons'!$BF$2:$BG$900,2,FALSE),"")</f>
        <v/>
      </c>
      <c r="C602" s="727"/>
      <c r="D602" s="727"/>
      <c r="E602" s="727"/>
      <c r="F602" s="727"/>
      <c r="G602" s="727"/>
      <c r="H602" s="727"/>
      <c r="I602" s="727" t="str">
        <f>IF(B602="","",VLOOKUP(B602,BoonRef!$A$2:$Z$900,25,FALSE))</f>
        <v/>
      </c>
      <c r="J602" s="727"/>
      <c r="K602" s="727"/>
      <c r="L602" s="727"/>
      <c r="M602" s="727"/>
      <c r="N602" s="727"/>
      <c r="O602" s="727"/>
      <c r="P602" s="727"/>
      <c r="Q602" s="727"/>
      <c r="R602" s="727"/>
      <c r="S602" s="727"/>
      <c r="T602" s="727"/>
      <c r="U602" s="727"/>
      <c r="V602" s="727"/>
      <c r="W602" s="727"/>
      <c r="X602" s="727"/>
      <c r="Y602" s="727"/>
      <c r="Z602" s="728"/>
      <c r="AA602" s="15">
        <v>207</v>
      </c>
      <c r="AB602" s="1026" t="str">
        <f>IF(AA602&lt;'Purchased Boons'!$B$496,VLOOKUP(AA602,'Purchased Boons'!$BF$2:$BG$900,2,FALSE),"")</f>
        <v/>
      </c>
      <c r="AC602" s="727"/>
      <c r="AD602" s="727"/>
      <c r="AE602" s="727"/>
      <c r="AF602" s="727"/>
      <c r="AG602" s="727"/>
      <c r="AH602" s="727"/>
      <c r="AI602" s="727" t="str">
        <f>IF(AB602="","",VLOOKUP(AB602,BoonRef!$A$2:$Z$900,25,FALSE))</f>
        <v/>
      </c>
      <c r="AJ602" s="727"/>
      <c r="AK602" s="727"/>
      <c r="AL602" s="727"/>
      <c r="AM602" s="727"/>
      <c r="AN602" s="727"/>
      <c r="AO602" s="727"/>
      <c r="AP602" s="727"/>
      <c r="AQ602" s="727"/>
      <c r="AR602" s="727"/>
      <c r="AS602" s="727"/>
      <c r="AT602" s="727"/>
      <c r="AU602" s="727"/>
      <c r="AV602" s="727"/>
      <c r="AW602" s="727"/>
      <c r="AX602" s="727"/>
      <c r="AY602" s="727"/>
      <c r="AZ602" s="728"/>
      <c r="BA602" s="15">
        <v>100</v>
      </c>
      <c r="BB602" s="1038" t="str">
        <f>IF(BA602&lt;'Purchased Knacks'!A$192,VLOOKUP(BA602,'Purchased Knacks'!$A$4:$E$300,3,FALSE),"")</f>
        <v/>
      </c>
      <c r="BC602" s="1039"/>
      <c r="BD602" s="1039"/>
      <c r="BE602" s="1039"/>
      <c r="BF602" s="1040"/>
      <c r="BG602" s="1032" t="str">
        <f>IF(BB602="","",VLOOKUP(BB602,KanckRef!$A$1:$G$300,7,FALSE))</f>
        <v/>
      </c>
      <c r="BH602" s="1033"/>
      <c r="BI602" s="753"/>
      <c r="BJ602" s="754"/>
      <c r="BK602" s="754"/>
      <c r="BL602" s="754"/>
      <c r="BM602" s="754"/>
      <c r="BN602" s="754"/>
      <c r="BO602" s="754"/>
      <c r="BP602" s="754"/>
      <c r="BQ602" s="754"/>
      <c r="BR602" s="754"/>
      <c r="BS602" s="754"/>
      <c r="BT602" s="754"/>
      <c r="BU602" s="754"/>
      <c r="BV602" s="754"/>
      <c r="BW602" s="754"/>
      <c r="BX602" s="754"/>
      <c r="BY602" s="754"/>
      <c r="BZ602" s="755"/>
      <c r="CA602" s="15">
        <v>207</v>
      </c>
      <c r="CB602" s="1038" t="str">
        <f>IF(CA602&lt;'Purchased Knacks'!A$192,VLOOKUP(CA602,'Purchased Knacks'!$A$4:$E$300,3,FALSE),"")</f>
        <v/>
      </c>
      <c r="CC602" s="1039"/>
      <c r="CD602" s="1039"/>
      <c r="CE602" s="1039"/>
      <c r="CF602" s="1040"/>
      <c r="CG602" s="1032" t="str">
        <f>IF(CB602="","",VLOOKUP(CB602,KanckRef!$A$1:$G$300,7,FALSE))</f>
        <v/>
      </c>
      <c r="CH602" s="1033"/>
      <c r="CI602" s="753"/>
      <c r="CJ602" s="754"/>
      <c r="CK602" s="754"/>
      <c r="CL602" s="754"/>
      <c r="CM602" s="754"/>
      <c r="CN602" s="754"/>
      <c r="CO602" s="754"/>
      <c r="CP602" s="754"/>
      <c r="CQ602" s="754"/>
      <c r="CR602" s="754"/>
      <c r="CS602" s="754"/>
      <c r="CT602" s="754"/>
      <c r="CU602" s="754"/>
      <c r="CV602" s="754"/>
      <c r="CW602" s="754"/>
      <c r="CX602" s="754"/>
      <c r="CY602" s="754"/>
      <c r="CZ602" s="755"/>
    </row>
    <row r="603" spans="1:104" x14ac:dyDescent="0.25">
      <c r="B603" s="1026"/>
      <c r="C603" s="727"/>
      <c r="D603" s="727"/>
      <c r="E603" s="727"/>
      <c r="F603" s="727"/>
      <c r="G603" s="727"/>
      <c r="H603" s="727"/>
      <c r="I603" s="727" t="str">
        <f>IF(B602="","",VLOOKUP(B602,BoonRef!$A$2:$Z$900,26,FALSE))</f>
        <v/>
      </c>
      <c r="J603" s="727"/>
      <c r="K603" s="727"/>
      <c r="L603" s="727"/>
      <c r="M603" s="727"/>
      <c r="N603" s="727"/>
      <c r="O603" s="727"/>
      <c r="P603" s="727"/>
      <c r="Q603" s="727"/>
      <c r="R603" s="727"/>
      <c r="S603" s="727"/>
      <c r="T603" s="727"/>
      <c r="U603" s="727"/>
      <c r="V603" s="727"/>
      <c r="W603" s="727"/>
      <c r="X603" s="727"/>
      <c r="Y603" s="727"/>
      <c r="Z603" s="728"/>
      <c r="AB603" s="1026"/>
      <c r="AC603" s="727"/>
      <c r="AD603" s="727"/>
      <c r="AE603" s="727"/>
      <c r="AF603" s="727"/>
      <c r="AG603" s="727"/>
      <c r="AH603" s="727"/>
      <c r="AI603" s="727" t="str">
        <f>IF(AB602="","",VLOOKUP(AB602,BoonRef!$A$2:$Z$900,26,FALSE))</f>
        <v/>
      </c>
      <c r="AJ603" s="727"/>
      <c r="AK603" s="727"/>
      <c r="AL603" s="727"/>
      <c r="AM603" s="727"/>
      <c r="AN603" s="727"/>
      <c r="AO603" s="727"/>
      <c r="AP603" s="727"/>
      <c r="AQ603" s="727"/>
      <c r="AR603" s="727"/>
      <c r="AS603" s="727"/>
      <c r="AT603" s="727"/>
      <c r="AU603" s="727"/>
      <c r="AV603" s="727"/>
      <c r="AW603" s="727"/>
      <c r="AX603" s="727"/>
      <c r="AY603" s="727"/>
      <c r="AZ603" s="728"/>
      <c r="BB603" s="1041"/>
      <c r="BC603" s="1042"/>
      <c r="BD603" s="1042"/>
      <c r="BE603" s="1042"/>
      <c r="BF603" s="1043"/>
      <c r="BG603" s="1034"/>
      <c r="BH603" s="1035"/>
      <c r="BI603" s="753"/>
      <c r="BJ603" s="754"/>
      <c r="BK603" s="754"/>
      <c r="BL603" s="754"/>
      <c r="BM603" s="754"/>
      <c r="BN603" s="754"/>
      <c r="BO603" s="754"/>
      <c r="BP603" s="754"/>
      <c r="BQ603" s="754"/>
      <c r="BR603" s="754"/>
      <c r="BS603" s="754"/>
      <c r="BT603" s="754"/>
      <c r="BU603" s="754"/>
      <c r="BV603" s="754"/>
      <c r="BW603" s="754"/>
      <c r="BX603" s="754"/>
      <c r="BY603" s="754"/>
      <c r="BZ603" s="755"/>
      <c r="CB603" s="1041"/>
      <c r="CC603" s="1042"/>
      <c r="CD603" s="1042"/>
      <c r="CE603" s="1042"/>
      <c r="CF603" s="1043"/>
      <c r="CG603" s="1034"/>
      <c r="CH603" s="1035"/>
      <c r="CI603" s="753"/>
      <c r="CJ603" s="754"/>
      <c r="CK603" s="754"/>
      <c r="CL603" s="754"/>
      <c r="CM603" s="754"/>
      <c r="CN603" s="754"/>
      <c r="CO603" s="754"/>
      <c r="CP603" s="754"/>
      <c r="CQ603" s="754"/>
      <c r="CR603" s="754"/>
      <c r="CS603" s="754"/>
      <c r="CT603" s="754"/>
      <c r="CU603" s="754"/>
      <c r="CV603" s="754"/>
      <c r="CW603" s="754"/>
      <c r="CX603" s="754"/>
      <c r="CY603" s="754"/>
      <c r="CZ603" s="755"/>
    </row>
    <row r="604" spans="1:104" x14ac:dyDescent="0.25">
      <c r="B604" s="1026" t="str">
        <f>IF(B602="","",VLOOKUP(B602,BoonRef!$A$2:$Z$900,24,FALSE))</f>
        <v/>
      </c>
      <c r="C604" s="727"/>
      <c r="D604" s="727"/>
      <c r="E604" s="727"/>
      <c r="F604" s="727"/>
      <c r="G604" s="727"/>
      <c r="H604" s="727"/>
      <c r="I604" s="727"/>
      <c r="J604" s="727"/>
      <c r="K604" s="727"/>
      <c r="L604" s="727"/>
      <c r="M604" s="727"/>
      <c r="N604" s="727"/>
      <c r="O604" s="727"/>
      <c r="P604" s="727"/>
      <c r="Q604" s="727"/>
      <c r="R604" s="727"/>
      <c r="S604" s="727"/>
      <c r="T604" s="727"/>
      <c r="U604" s="727"/>
      <c r="V604" s="727"/>
      <c r="W604" s="727"/>
      <c r="X604" s="727"/>
      <c r="Y604" s="727"/>
      <c r="Z604" s="728"/>
      <c r="AB604" s="1026" t="str">
        <f>IF(AB602="","",VLOOKUP(AB602,BoonRef!$A$2:$Z$900,24,FALSE))</f>
        <v/>
      </c>
      <c r="AC604" s="727"/>
      <c r="AD604" s="727"/>
      <c r="AE604" s="727"/>
      <c r="AF604" s="727"/>
      <c r="AG604" s="727"/>
      <c r="AH604" s="727"/>
      <c r="AI604" s="727"/>
      <c r="AJ604" s="727"/>
      <c r="AK604" s="727"/>
      <c r="AL604" s="727"/>
      <c r="AM604" s="727"/>
      <c r="AN604" s="727"/>
      <c r="AO604" s="727"/>
      <c r="AP604" s="727"/>
      <c r="AQ604" s="727"/>
      <c r="AR604" s="727"/>
      <c r="AS604" s="727"/>
      <c r="AT604" s="727"/>
      <c r="AU604" s="727"/>
      <c r="AV604" s="727"/>
      <c r="AW604" s="727"/>
      <c r="AX604" s="727"/>
      <c r="AY604" s="727"/>
      <c r="AZ604" s="728"/>
      <c r="BB604" s="641" t="str">
        <f>IF(BB602="","",VLOOKUP(BB602,KanckRef!$A$1:$G$300,4,FALSE))</f>
        <v/>
      </c>
      <c r="BC604" s="642"/>
      <c r="BD604" s="642"/>
      <c r="BE604" s="642"/>
      <c r="BF604" s="642"/>
      <c r="BG604" s="642"/>
      <c r="BH604" s="1033"/>
      <c r="BI604" s="753"/>
      <c r="BJ604" s="754"/>
      <c r="BK604" s="754"/>
      <c r="BL604" s="754"/>
      <c r="BM604" s="754"/>
      <c r="BN604" s="754"/>
      <c r="BO604" s="754"/>
      <c r="BP604" s="754"/>
      <c r="BQ604" s="754"/>
      <c r="BR604" s="754"/>
      <c r="BS604" s="754"/>
      <c r="BT604" s="754"/>
      <c r="BU604" s="754"/>
      <c r="BV604" s="754"/>
      <c r="BW604" s="754"/>
      <c r="BX604" s="754"/>
      <c r="BY604" s="754"/>
      <c r="BZ604" s="755"/>
      <c r="CB604" s="641" t="str">
        <f>IF(CB602="","",VLOOKUP(CB602,KanckRef!$A$1:$G$300,4,FALSE))</f>
        <v/>
      </c>
      <c r="CC604" s="642"/>
      <c r="CD604" s="642"/>
      <c r="CE604" s="642"/>
      <c r="CF604" s="642"/>
      <c r="CG604" s="642"/>
      <c r="CH604" s="1033"/>
      <c r="CI604" s="753"/>
      <c r="CJ604" s="754"/>
      <c r="CK604" s="754"/>
      <c r="CL604" s="754"/>
      <c r="CM604" s="754"/>
      <c r="CN604" s="754"/>
      <c r="CO604" s="754"/>
      <c r="CP604" s="754"/>
      <c r="CQ604" s="754"/>
      <c r="CR604" s="754"/>
      <c r="CS604" s="754"/>
      <c r="CT604" s="754"/>
      <c r="CU604" s="754"/>
      <c r="CV604" s="754"/>
      <c r="CW604" s="754"/>
      <c r="CX604" s="754"/>
      <c r="CY604" s="754"/>
      <c r="CZ604" s="755"/>
    </row>
    <row r="605" spans="1:104" x14ac:dyDescent="0.25">
      <c r="B605" s="1026" t="str">
        <f>IF(B602="","",VLOOKUP(B602,BoonRef!$A$2:$Z$900,23,FALSE))</f>
        <v/>
      </c>
      <c r="C605" s="727"/>
      <c r="D605" s="727"/>
      <c r="E605" s="727"/>
      <c r="F605" s="727"/>
      <c r="G605" s="727"/>
      <c r="H605" s="727"/>
      <c r="I605" s="727"/>
      <c r="J605" s="727"/>
      <c r="K605" s="727"/>
      <c r="L605" s="727"/>
      <c r="M605" s="727"/>
      <c r="N605" s="727"/>
      <c r="O605" s="727"/>
      <c r="P605" s="727"/>
      <c r="Q605" s="727"/>
      <c r="R605" s="727"/>
      <c r="S605" s="727"/>
      <c r="T605" s="727"/>
      <c r="U605" s="727"/>
      <c r="V605" s="727"/>
      <c r="W605" s="727"/>
      <c r="X605" s="727"/>
      <c r="Y605" s="727"/>
      <c r="Z605" s="728"/>
      <c r="AB605" s="1026" t="str">
        <f>IF(AB602="","",VLOOKUP(AB602,BoonRef!$A$2:$Z$900,23,FALSE))</f>
        <v/>
      </c>
      <c r="AC605" s="727"/>
      <c r="AD605" s="727"/>
      <c r="AE605" s="727"/>
      <c r="AF605" s="727"/>
      <c r="AG605" s="727"/>
      <c r="AH605" s="727"/>
      <c r="AI605" s="727"/>
      <c r="AJ605" s="727"/>
      <c r="AK605" s="727"/>
      <c r="AL605" s="727"/>
      <c r="AM605" s="727"/>
      <c r="AN605" s="727"/>
      <c r="AO605" s="727"/>
      <c r="AP605" s="727"/>
      <c r="AQ605" s="727"/>
      <c r="AR605" s="727"/>
      <c r="AS605" s="727"/>
      <c r="AT605" s="727"/>
      <c r="AU605" s="727"/>
      <c r="AV605" s="727"/>
      <c r="AW605" s="727"/>
      <c r="AX605" s="727"/>
      <c r="AY605" s="727"/>
      <c r="AZ605" s="728"/>
      <c r="BB605" s="635"/>
      <c r="BC605" s="636"/>
      <c r="BD605" s="636"/>
      <c r="BE605" s="636"/>
      <c r="BF605" s="636"/>
      <c r="BG605" s="636"/>
      <c r="BH605" s="1036"/>
      <c r="BI605" s="753"/>
      <c r="BJ605" s="754"/>
      <c r="BK605" s="754"/>
      <c r="BL605" s="754"/>
      <c r="BM605" s="754"/>
      <c r="BN605" s="754"/>
      <c r="BO605" s="754"/>
      <c r="BP605" s="754"/>
      <c r="BQ605" s="754"/>
      <c r="BR605" s="754"/>
      <c r="BS605" s="754"/>
      <c r="BT605" s="754"/>
      <c r="BU605" s="754"/>
      <c r="BV605" s="754"/>
      <c r="BW605" s="754"/>
      <c r="BX605" s="754"/>
      <c r="BY605" s="754"/>
      <c r="BZ605" s="755"/>
      <c r="CB605" s="635"/>
      <c r="CC605" s="636"/>
      <c r="CD605" s="636"/>
      <c r="CE605" s="636"/>
      <c r="CF605" s="636"/>
      <c r="CG605" s="636"/>
      <c r="CH605" s="1036"/>
      <c r="CI605" s="753"/>
      <c r="CJ605" s="754"/>
      <c r="CK605" s="754"/>
      <c r="CL605" s="754"/>
      <c r="CM605" s="754"/>
      <c r="CN605" s="754"/>
      <c r="CO605" s="754"/>
      <c r="CP605" s="754"/>
      <c r="CQ605" s="754"/>
      <c r="CR605" s="754"/>
      <c r="CS605" s="754"/>
      <c r="CT605" s="754"/>
      <c r="CU605" s="754"/>
      <c r="CV605" s="754"/>
      <c r="CW605" s="754"/>
      <c r="CX605" s="754"/>
      <c r="CY605" s="754"/>
      <c r="CZ605" s="755"/>
    </row>
    <row r="606" spans="1:104" ht="15.75" thickBot="1" x14ac:dyDescent="0.3">
      <c r="B606" s="1027"/>
      <c r="C606" s="865"/>
      <c r="D606" s="865"/>
      <c r="E606" s="865"/>
      <c r="F606" s="865"/>
      <c r="G606" s="865"/>
      <c r="H606" s="865"/>
      <c r="I606" s="865"/>
      <c r="J606" s="865"/>
      <c r="K606" s="865"/>
      <c r="L606" s="865"/>
      <c r="M606" s="865"/>
      <c r="N606" s="865"/>
      <c r="O606" s="865"/>
      <c r="P606" s="865"/>
      <c r="Q606" s="865"/>
      <c r="R606" s="865"/>
      <c r="S606" s="865"/>
      <c r="T606" s="865"/>
      <c r="U606" s="865"/>
      <c r="V606" s="865"/>
      <c r="W606" s="865"/>
      <c r="X606" s="865"/>
      <c r="Y606" s="865"/>
      <c r="Z606" s="921"/>
      <c r="AB606" s="1027"/>
      <c r="AC606" s="865"/>
      <c r="AD606" s="865"/>
      <c r="AE606" s="865"/>
      <c r="AF606" s="865"/>
      <c r="AG606" s="865"/>
      <c r="AH606" s="865"/>
      <c r="AI606" s="865"/>
      <c r="AJ606" s="865"/>
      <c r="AK606" s="865"/>
      <c r="AL606" s="865"/>
      <c r="AM606" s="865"/>
      <c r="AN606" s="865"/>
      <c r="AO606" s="865"/>
      <c r="AP606" s="865"/>
      <c r="AQ606" s="865"/>
      <c r="AR606" s="865"/>
      <c r="AS606" s="865"/>
      <c r="AT606" s="865"/>
      <c r="AU606" s="865"/>
      <c r="AV606" s="865"/>
      <c r="AW606" s="865"/>
      <c r="AX606" s="865"/>
      <c r="AY606" s="865"/>
      <c r="AZ606" s="921"/>
      <c r="BB606" s="644"/>
      <c r="BC606" s="645"/>
      <c r="BD606" s="645"/>
      <c r="BE606" s="645"/>
      <c r="BF606" s="645"/>
      <c r="BG606" s="645"/>
      <c r="BH606" s="1037"/>
      <c r="BI606" s="756"/>
      <c r="BJ606" s="757"/>
      <c r="BK606" s="757"/>
      <c r="BL606" s="757"/>
      <c r="BM606" s="757"/>
      <c r="BN606" s="757"/>
      <c r="BO606" s="757"/>
      <c r="BP606" s="757"/>
      <c r="BQ606" s="757"/>
      <c r="BR606" s="757"/>
      <c r="BS606" s="757"/>
      <c r="BT606" s="757"/>
      <c r="BU606" s="757"/>
      <c r="BV606" s="757"/>
      <c r="BW606" s="757"/>
      <c r="BX606" s="757"/>
      <c r="BY606" s="757"/>
      <c r="BZ606" s="758"/>
      <c r="CB606" s="644"/>
      <c r="CC606" s="645"/>
      <c r="CD606" s="645"/>
      <c r="CE606" s="645"/>
      <c r="CF606" s="645"/>
      <c r="CG606" s="645"/>
      <c r="CH606" s="1037"/>
      <c r="CI606" s="756"/>
      <c r="CJ606" s="757"/>
      <c r="CK606" s="757"/>
      <c r="CL606" s="757"/>
      <c r="CM606" s="757"/>
      <c r="CN606" s="757"/>
      <c r="CO606" s="757"/>
      <c r="CP606" s="757"/>
      <c r="CQ606" s="757"/>
      <c r="CR606" s="757"/>
      <c r="CS606" s="757"/>
      <c r="CT606" s="757"/>
      <c r="CU606" s="757"/>
      <c r="CV606" s="757"/>
      <c r="CW606" s="757"/>
      <c r="CX606" s="757"/>
      <c r="CY606" s="757"/>
      <c r="CZ606" s="758"/>
    </row>
    <row r="607" spans="1:104" x14ac:dyDescent="0.25">
      <c r="B607" s="1028" t="str">
        <f>IF(B608="","",VLOOKUP(B608,BoonRef!$A$2:$Z$900,2,FALSE))</f>
        <v/>
      </c>
      <c r="C607" s="725"/>
      <c r="D607" s="725"/>
      <c r="E607" s="725"/>
      <c r="F607" s="725"/>
      <c r="G607" s="725"/>
      <c r="H607" s="725"/>
      <c r="I607" s="725" t="str">
        <f>IF(B608="","",VLOOKUP(B608,BoonRef!$A$2:$Z$900,3,FALSE))</f>
        <v/>
      </c>
      <c r="J607" s="725"/>
      <c r="K607" s="725" t="str">
        <f>IF(B608="","",VLOOKUP(B608,DescRef!$A$2:$B$900,2,FALSE))</f>
        <v/>
      </c>
      <c r="L607" s="725"/>
      <c r="M607" s="725"/>
      <c r="N607" s="725"/>
      <c r="O607" s="725"/>
      <c r="P607" s="725"/>
      <c r="Q607" s="725"/>
      <c r="R607" s="725"/>
      <c r="S607" s="725"/>
      <c r="T607" s="725"/>
      <c r="U607" s="725"/>
      <c r="V607" s="725"/>
      <c r="W607" s="725"/>
      <c r="X607" s="725"/>
      <c r="Y607" s="725"/>
      <c r="Z607" s="726"/>
      <c r="AB607" s="1028" t="str">
        <f>IF(AB608="","",VLOOKUP(AB608,BoonRef!$A$2:$Z$900,2,FALSE))</f>
        <v/>
      </c>
      <c r="AC607" s="725"/>
      <c r="AD607" s="725"/>
      <c r="AE607" s="725"/>
      <c r="AF607" s="725"/>
      <c r="AG607" s="725"/>
      <c r="AH607" s="725"/>
      <c r="AI607" s="725" t="str">
        <f>IF(AB608="","",VLOOKUP(AB608,BoonRef!$A$2:$Z$900,3,FALSE))</f>
        <v/>
      </c>
      <c r="AJ607" s="725"/>
      <c r="AK607" s="725" t="str">
        <f>IF(AB608="","",VLOOKUP(AB608,DescRef!$A$2:$B$900,2,FALSE))</f>
        <v/>
      </c>
      <c r="AL607" s="725"/>
      <c r="AM607" s="725"/>
      <c r="AN607" s="725"/>
      <c r="AO607" s="725"/>
      <c r="AP607" s="725"/>
      <c r="AQ607" s="725"/>
      <c r="AR607" s="725"/>
      <c r="AS607" s="725"/>
      <c r="AT607" s="725"/>
      <c r="AU607" s="725"/>
      <c r="AV607" s="725"/>
      <c r="AW607" s="725"/>
      <c r="AX607" s="725"/>
      <c r="AY607" s="725"/>
      <c r="AZ607" s="726"/>
      <c r="BB607" s="1029" t="str">
        <f>IF(BB608="","",VLOOKUP(BB608,KanckRef!$A$1:$G$300,2,FALSE))</f>
        <v/>
      </c>
      <c r="BC607" s="1030"/>
      <c r="BD607" s="1030"/>
      <c r="BE607" s="1030"/>
      <c r="BF607" s="1031"/>
      <c r="BG607" s="1048" t="str">
        <f>IF(BB608="","",VLOOKUP(BB608,KanckRef!$A$1:$G$300,6,FALSE))</f>
        <v/>
      </c>
      <c r="BH607" s="1049"/>
      <c r="BI607" s="988" t="str">
        <f>IF(BB608="","",VLOOKUP(BB608,DescRef!$D$2:$E$300,2,FALSE))</f>
        <v/>
      </c>
      <c r="BJ607" s="795"/>
      <c r="BK607" s="795"/>
      <c r="BL607" s="795"/>
      <c r="BM607" s="795"/>
      <c r="BN607" s="795"/>
      <c r="BO607" s="795"/>
      <c r="BP607" s="795"/>
      <c r="BQ607" s="795"/>
      <c r="BR607" s="795"/>
      <c r="BS607" s="795"/>
      <c r="BT607" s="795"/>
      <c r="BU607" s="795"/>
      <c r="BV607" s="795"/>
      <c r="BW607" s="795"/>
      <c r="BX607" s="795"/>
      <c r="BY607" s="795"/>
      <c r="BZ607" s="796"/>
      <c r="CB607" s="1029" t="str">
        <f>IF(CB608="","",VLOOKUP(CB608,KanckRef!$A$1:$G$300,2,FALSE))</f>
        <v/>
      </c>
      <c r="CC607" s="1030"/>
      <c r="CD607" s="1030"/>
      <c r="CE607" s="1030"/>
      <c r="CF607" s="1031"/>
      <c r="CG607" s="1048" t="str">
        <f>IF(CB608="","",VLOOKUP(CB608,KanckRef!$A$1:$G$300,6,FALSE))</f>
        <v/>
      </c>
      <c r="CH607" s="1049"/>
      <c r="CI607" s="988" t="str">
        <f>IF(CB608="","",VLOOKUP(CB608,DescRef!$D$2:$E$300,2,FALSE))</f>
        <v/>
      </c>
      <c r="CJ607" s="795"/>
      <c r="CK607" s="795"/>
      <c r="CL607" s="795"/>
      <c r="CM607" s="795"/>
      <c r="CN607" s="795"/>
      <c r="CO607" s="795"/>
      <c r="CP607" s="795"/>
      <c r="CQ607" s="795"/>
      <c r="CR607" s="795"/>
      <c r="CS607" s="795"/>
      <c r="CT607" s="795"/>
      <c r="CU607" s="795"/>
      <c r="CV607" s="795"/>
      <c r="CW607" s="795"/>
      <c r="CX607" s="795"/>
      <c r="CY607" s="795"/>
      <c r="CZ607" s="796"/>
    </row>
    <row r="608" spans="1:104" ht="15" customHeight="1" x14ac:dyDescent="0.25">
      <c r="A608" s="15">
        <v>101</v>
      </c>
      <c r="B608" s="1026" t="str">
        <f>IF(A608&lt;'Purchased Boons'!$B$496,VLOOKUP(A608,'Purchased Boons'!$BF$2:$BG$900,2,FALSE),"")</f>
        <v/>
      </c>
      <c r="C608" s="727"/>
      <c r="D608" s="727"/>
      <c r="E608" s="727"/>
      <c r="F608" s="727"/>
      <c r="G608" s="727"/>
      <c r="H608" s="727"/>
      <c r="I608" s="727" t="str">
        <f>IF(B608="","",VLOOKUP(B608,BoonRef!$A$2:$Z$900,25,FALSE))</f>
        <v/>
      </c>
      <c r="J608" s="727"/>
      <c r="K608" s="727"/>
      <c r="L608" s="727"/>
      <c r="M608" s="727"/>
      <c r="N608" s="727"/>
      <c r="O608" s="727"/>
      <c r="P608" s="727"/>
      <c r="Q608" s="727"/>
      <c r="R608" s="727"/>
      <c r="S608" s="727"/>
      <c r="T608" s="727"/>
      <c r="U608" s="727"/>
      <c r="V608" s="727"/>
      <c r="W608" s="727"/>
      <c r="X608" s="727"/>
      <c r="Y608" s="727"/>
      <c r="Z608" s="728"/>
      <c r="AA608" s="15">
        <v>208</v>
      </c>
      <c r="AB608" s="1026" t="str">
        <f>IF(AA608&lt;'Purchased Boons'!$B$496,VLOOKUP(AA608,'Purchased Boons'!$BF$2:$BG$900,2,FALSE),"")</f>
        <v/>
      </c>
      <c r="AC608" s="727"/>
      <c r="AD608" s="727"/>
      <c r="AE608" s="727"/>
      <c r="AF608" s="727"/>
      <c r="AG608" s="727"/>
      <c r="AH608" s="727"/>
      <c r="AI608" s="727" t="str">
        <f>IF(AB608="","",VLOOKUP(AB608,BoonRef!$A$2:$Z$900,25,FALSE))</f>
        <v/>
      </c>
      <c r="AJ608" s="727"/>
      <c r="AK608" s="727"/>
      <c r="AL608" s="727"/>
      <c r="AM608" s="727"/>
      <c r="AN608" s="727"/>
      <c r="AO608" s="727"/>
      <c r="AP608" s="727"/>
      <c r="AQ608" s="727"/>
      <c r="AR608" s="727"/>
      <c r="AS608" s="727"/>
      <c r="AT608" s="727"/>
      <c r="AU608" s="727"/>
      <c r="AV608" s="727"/>
      <c r="AW608" s="727"/>
      <c r="AX608" s="727"/>
      <c r="AY608" s="727"/>
      <c r="AZ608" s="728"/>
      <c r="BA608" s="15">
        <v>101</v>
      </c>
      <c r="BB608" s="1038" t="str">
        <f>IF(BA608&lt;'Purchased Knacks'!A$192,VLOOKUP(BA608,'Purchased Knacks'!$A$4:$E$300,3,FALSE),"")</f>
        <v/>
      </c>
      <c r="BC608" s="1039"/>
      <c r="BD608" s="1039"/>
      <c r="BE608" s="1039"/>
      <c r="BF608" s="1040"/>
      <c r="BG608" s="1032" t="str">
        <f>IF(BB608="","",VLOOKUP(BB608,KanckRef!$A$1:$G$300,7,FALSE))</f>
        <v/>
      </c>
      <c r="BH608" s="1033"/>
      <c r="BI608" s="753"/>
      <c r="BJ608" s="754"/>
      <c r="BK608" s="754"/>
      <c r="BL608" s="754"/>
      <c r="BM608" s="754"/>
      <c r="BN608" s="754"/>
      <c r="BO608" s="754"/>
      <c r="BP608" s="754"/>
      <c r="BQ608" s="754"/>
      <c r="BR608" s="754"/>
      <c r="BS608" s="754"/>
      <c r="BT608" s="754"/>
      <c r="BU608" s="754"/>
      <c r="BV608" s="754"/>
      <c r="BW608" s="754"/>
      <c r="BX608" s="754"/>
      <c r="BY608" s="754"/>
      <c r="BZ608" s="755"/>
      <c r="CA608" s="15">
        <v>208</v>
      </c>
      <c r="CB608" s="1038" t="str">
        <f>IF(CA608&lt;'Purchased Knacks'!A$192,VLOOKUP(CA608,'Purchased Knacks'!$A$4:$E$300,3,FALSE),"")</f>
        <v/>
      </c>
      <c r="CC608" s="1039"/>
      <c r="CD608" s="1039"/>
      <c r="CE608" s="1039"/>
      <c r="CF608" s="1040"/>
      <c r="CG608" s="1032" t="str">
        <f>IF(CB608="","",VLOOKUP(CB608,KanckRef!$A$1:$G$300,7,FALSE))</f>
        <v/>
      </c>
      <c r="CH608" s="1033"/>
      <c r="CI608" s="753"/>
      <c r="CJ608" s="754"/>
      <c r="CK608" s="754"/>
      <c r="CL608" s="754"/>
      <c r="CM608" s="754"/>
      <c r="CN608" s="754"/>
      <c r="CO608" s="754"/>
      <c r="CP608" s="754"/>
      <c r="CQ608" s="754"/>
      <c r="CR608" s="754"/>
      <c r="CS608" s="754"/>
      <c r="CT608" s="754"/>
      <c r="CU608" s="754"/>
      <c r="CV608" s="754"/>
      <c r="CW608" s="754"/>
      <c r="CX608" s="754"/>
      <c r="CY608" s="754"/>
      <c r="CZ608" s="755"/>
    </row>
    <row r="609" spans="1:104" x14ac:dyDescent="0.25">
      <c r="B609" s="1026"/>
      <c r="C609" s="727"/>
      <c r="D609" s="727"/>
      <c r="E609" s="727"/>
      <c r="F609" s="727"/>
      <c r="G609" s="727"/>
      <c r="H609" s="727"/>
      <c r="I609" s="727" t="str">
        <f>IF(B608="","",VLOOKUP(B608,BoonRef!$A$2:$Z$900,26,FALSE))</f>
        <v/>
      </c>
      <c r="J609" s="727"/>
      <c r="K609" s="727"/>
      <c r="L609" s="727"/>
      <c r="M609" s="727"/>
      <c r="N609" s="727"/>
      <c r="O609" s="727"/>
      <c r="P609" s="727"/>
      <c r="Q609" s="727"/>
      <c r="R609" s="727"/>
      <c r="S609" s="727"/>
      <c r="T609" s="727"/>
      <c r="U609" s="727"/>
      <c r="V609" s="727"/>
      <c r="W609" s="727"/>
      <c r="X609" s="727"/>
      <c r="Y609" s="727"/>
      <c r="Z609" s="728"/>
      <c r="AB609" s="1026"/>
      <c r="AC609" s="727"/>
      <c r="AD609" s="727"/>
      <c r="AE609" s="727"/>
      <c r="AF609" s="727"/>
      <c r="AG609" s="727"/>
      <c r="AH609" s="727"/>
      <c r="AI609" s="727" t="str">
        <f>IF(AB608="","",VLOOKUP(AB608,BoonRef!$A$2:$Z$900,26,FALSE))</f>
        <v/>
      </c>
      <c r="AJ609" s="727"/>
      <c r="AK609" s="727"/>
      <c r="AL609" s="727"/>
      <c r="AM609" s="727"/>
      <c r="AN609" s="727"/>
      <c r="AO609" s="727"/>
      <c r="AP609" s="727"/>
      <c r="AQ609" s="727"/>
      <c r="AR609" s="727"/>
      <c r="AS609" s="727"/>
      <c r="AT609" s="727"/>
      <c r="AU609" s="727"/>
      <c r="AV609" s="727"/>
      <c r="AW609" s="727"/>
      <c r="AX609" s="727"/>
      <c r="AY609" s="727"/>
      <c r="AZ609" s="728"/>
      <c r="BB609" s="1041"/>
      <c r="BC609" s="1042"/>
      <c r="BD609" s="1042"/>
      <c r="BE609" s="1042"/>
      <c r="BF609" s="1043"/>
      <c r="BG609" s="1034"/>
      <c r="BH609" s="1035"/>
      <c r="BI609" s="753"/>
      <c r="BJ609" s="754"/>
      <c r="BK609" s="754"/>
      <c r="BL609" s="754"/>
      <c r="BM609" s="754"/>
      <c r="BN609" s="754"/>
      <c r="BO609" s="754"/>
      <c r="BP609" s="754"/>
      <c r="BQ609" s="754"/>
      <c r="BR609" s="754"/>
      <c r="BS609" s="754"/>
      <c r="BT609" s="754"/>
      <c r="BU609" s="754"/>
      <c r="BV609" s="754"/>
      <c r="BW609" s="754"/>
      <c r="BX609" s="754"/>
      <c r="BY609" s="754"/>
      <c r="BZ609" s="755"/>
      <c r="CB609" s="1041"/>
      <c r="CC609" s="1042"/>
      <c r="CD609" s="1042"/>
      <c r="CE609" s="1042"/>
      <c r="CF609" s="1043"/>
      <c r="CG609" s="1034"/>
      <c r="CH609" s="1035"/>
      <c r="CI609" s="753"/>
      <c r="CJ609" s="754"/>
      <c r="CK609" s="754"/>
      <c r="CL609" s="754"/>
      <c r="CM609" s="754"/>
      <c r="CN609" s="754"/>
      <c r="CO609" s="754"/>
      <c r="CP609" s="754"/>
      <c r="CQ609" s="754"/>
      <c r="CR609" s="754"/>
      <c r="CS609" s="754"/>
      <c r="CT609" s="754"/>
      <c r="CU609" s="754"/>
      <c r="CV609" s="754"/>
      <c r="CW609" s="754"/>
      <c r="CX609" s="754"/>
      <c r="CY609" s="754"/>
      <c r="CZ609" s="755"/>
    </row>
    <row r="610" spans="1:104" x14ac:dyDescent="0.25">
      <c r="B610" s="1026" t="str">
        <f>IF(B608="","",VLOOKUP(B608,BoonRef!$A$2:$Z$900,24,FALSE))</f>
        <v/>
      </c>
      <c r="C610" s="727"/>
      <c r="D610" s="727"/>
      <c r="E610" s="727"/>
      <c r="F610" s="727"/>
      <c r="G610" s="727"/>
      <c r="H610" s="727"/>
      <c r="I610" s="727"/>
      <c r="J610" s="727"/>
      <c r="K610" s="727"/>
      <c r="L610" s="727"/>
      <c r="M610" s="727"/>
      <c r="N610" s="727"/>
      <c r="O610" s="727"/>
      <c r="P610" s="727"/>
      <c r="Q610" s="727"/>
      <c r="R610" s="727"/>
      <c r="S610" s="727"/>
      <c r="T610" s="727"/>
      <c r="U610" s="727"/>
      <c r="V610" s="727"/>
      <c r="W610" s="727"/>
      <c r="X610" s="727"/>
      <c r="Y610" s="727"/>
      <c r="Z610" s="728"/>
      <c r="AB610" s="1026" t="str">
        <f>IF(AB608="","",VLOOKUP(AB608,BoonRef!$A$2:$Z$900,24,FALSE))</f>
        <v/>
      </c>
      <c r="AC610" s="727"/>
      <c r="AD610" s="727"/>
      <c r="AE610" s="727"/>
      <c r="AF610" s="727"/>
      <c r="AG610" s="727"/>
      <c r="AH610" s="727"/>
      <c r="AI610" s="727"/>
      <c r="AJ610" s="727"/>
      <c r="AK610" s="727"/>
      <c r="AL610" s="727"/>
      <c r="AM610" s="727"/>
      <c r="AN610" s="727"/>
      <c r="AO610" s="727"/>
      <c r="AP610" s="727"/>
      <c r="AQ610" s="727"/>
      <c r="AR610" s="727"/>
      <c r="AS610" s="727"/>
      <c r="AT610" s="727"/>
      <c r="AU610" s="727"/>
      <c r="AV610" s="727"/>
      <c r="AW610" s="727"/>
      <c r="AX610" s="727"/>
      <c r="AY610" s="727"/>
      <c r="AZ610" s="728"/>
      <c r="BB610" s="641" t="str">
        <f>IF(BB608="","",VLOOKUP(BB608,KanckRef!$A$1:$G$300,4,FALSE))</f>
        <v/>
      </c>
      <c r="BC610" s="642"/>
      <c r="BD610" s="642"/>
      <c r="BE610" s="642"/>
      <c r="BF610" s="642"/>
      <c r="BG610" s="642"/>
      <c r="BH610" s="1033"/>
      <c r="BI610" s="753"/>
      <c r="BJ610" s="754"/>
      <c r="BK610" s="754"/>
      <c r="BL610" s="754"/>
      <c r="BM610" s="754"/>
      <c r="BN610" s="754"/>
      <c r="BO610" s="754"/>
      <c r="BP610" s="754"/>
      <c r="BQ610" s="754"/>
      <c r="BR610" s="754"/>
      <c r="BS610" s="754"/>
      <c r="BT610" s="754"/>
      <c r="BU610" s="754"/>
      <c r="BV610" s="754"/>
      <c r="BW610" s="754"/>
      <c r="BX610" s="754"/>
      <c r="BY610" s="754"/>
      <c r="BZ610" s="755"/>
      <c r="CB610" s="641" t="str">
        <f>IF(CB608="","",VLOOKUP(CB608,KanckRef!$A$1:$G$300,4,FALSE))</f>
        <v/>
      </c>
      <c r="CC610" s="642"/>
      <c r="CD610" s="642"/>
      <c r="CE610" s="642"/>
      <c r="CF610" s="642"/>
      <c r="CG610" s="642"/>
      <c r="CH610" s="1033"/>
      <c r="CI610" s="753"/>
      <c r="CJ610" s="754"/>
      <c r="CK610" s="754"/>
      <c r="CL610" s="754"/>
      <c r="CM610" s="754"/>
      <c r="CN610" s="754"/>
      <c r="CO610" s="754"/>
      <c r="CP610" s="754"/>
      <c r="CQ610" s="754"/>
      <c r="CR610" s="754"/>
      <c r="CS610" s="754"/>
      <c r="CT610" s="754"/>
      <c r="CU610" s="754"/>
      <c r="CV610" s="754"/>
      <c r="CW610" s="754"/>
      <c r="CX610" s="754"/>
      <c r="CY610" s="754"/>
      <c r="CZ610" s="755"/>
    </row>
    <row r="611" spans="1:104" x14ac:dyDescent="0.25">
      <c r="B611" s="1026" t="str">
        <f>IF(B608="","",VLOOKUP(B608,BoonRef!$A$2:$Z$900,23,FALSE))</f>
        <v/>
      </c>
      <c r="C611" s="727"/>
      <c r="D611" s="727"/>
      <c r="E611" s="727"/>
      <c r="F611" s="727"/>
      <c r="G611" s="727"/>
      <c r="H611" s="727"/>
      <c r="I611" s="727"/>
      <c r="J611" s="727"/>
      <c r="K611" s="727"/>
      <c r="L611" s="727"/>
      <c r="M611" s="727"/>
      <c r="N611" s="727"/>
      <c r="O611" s="727"/>
      <c r="P611" s="727"/>
      <c r="Q611" s="727"/>
      <c r="R611" s="727"/>
      <c r="S611" s="727"/>
      <c r="T611" s="727"/>
      <c r="U611" s="727"/>
      <c r="V611" s="727"/>
      <c r="W611" s="727"/>
      <c r="X611" s="727"/>
      <c r="Y611" s="727"/>
      <c r="Z611" s="728"/>
      <c r="AB611" s="1026" t="str">
        <f>IF(AB608="","",VLOOKUP(AB608,BoonRef!$A$2:$Z$900,23,FALSE))</f>
        <v/>
      </c>
      <c r="AC611" s="727"/>
      <c r="AD611" s="727"/>
      <c r="AE611" s="727"/>
      <c r="AF611" s="727"/>
      <c r="AG611" s="727"/>
      <c r="AH611" s="727"/>
      <c r="AI611" s="727"/>
      <c r="AJ611" s="727"/>
      <c r="AK611" s="727"/>
      <c r="AL611" s="727"/>
      <c r="AM611" s="727"/>
      <c r="AN611" s="727"/>
      <c r="AO611" s="727"/>
      <c r="AP611" s="727"/>
      <c r="AQ611" s="727"/>
      <c r="AR611" s="727"/>
      <c r="AS611" s="727"/>
      <c r="AT611" s="727"/>
      <c r="AU611" s="727"/>
      <c r="AV611" s="727"/>
      <c r="AW611" s="727"/>
      <c r="AX611" s="727"/>
      <c r="AY611" s="727"/>
      <c r="AZ611" s="728"/>
      <c r="BB611" s="635"/>
      <c r="BC611" s="636"/>
      <c r="BD611" s="636"/>
      <c r="BE611" s="636"/>
      <c r="BF611" s="636"/>
      <c r="BG611" s="636"/>
      <c r="BH611" s="1036"/>
      <c r="BI611" s="753"/>
      <c r="BJ611" s="754"/>
      <c r="BK611" s="754"/>
      <c r="BL611" s="754"/>
      <c r="BM611" s="754"/>
      <c r="BN611" s="754"/>
      <c r="BO611" s="754"/>
      <c r="BP611" s="754"/>
      <c r="BQ611" s="754"/>
      <c r="BR611" s="754"/>
      <c r="BS611" s="754"/>
      <c r="BT611" s="754"/>
      <c r="BU611" s="754"/>
      <c r="BV611" s="754"/>
      <c r="BW611" s="754"/>
      <c r="BX611" s="754"/>
      <c r="BY611" s="754"/>
      <c r="BZ611" s="755"/>
      <c r="CB611" s="635"/>
      <c r="CC611" s="636"/>
      <c r="CD611" s="636"/>
      <c r="CE611" s="636"/>
      <c r="CF611" s="636"/>
      <c r="CG611" s="636"/>
      <c r="CH611" s="1036"/>
      <c r="CI611" s="753"/>
      <c r="CJ611" s="754"/>
      <c r="CK611" s="754"/>
      <c r="CL611" s="754"/>
      <c r="CM611" s="754"/>
      <c r="CN611" s="754"/>
      <c r="CO611" s="754"/>
      <c r="CP611" s="754"/>
      <c r="CQ611" s="754"/>
      <c r="CR611" s="754"/>
      <c r="CS611" s="754"/>
      <c r="CT611" s="754"/>
      <c r="CU611" s="754"/>
      <c r="CV611" s="754"/>
      <c r="CW611" s="754"/>
      <c r="CX611" s="754"/>
      <c r="CY611" s="754"/>
      <c r="CZ611" s="755"/>
    </row>
    <row r="612" spans="1:104" ht="15.75" thickBot="1" x14ac:dyDescent="0.3">
      <c r="B612" s="1027"/>
      <c r="C612" s="865"/>
      <c r="D612" s="865"/>
      <c r="E612" s="865"/>
      <c r="F612" s="865"/>
      <c r="G612" s="865"/>
      <c r="H612" s="865"/>
      <c r="I612" s="865"/>
      <c r="J612" s="865"/>
      <c r="K612" s="865"/>
      <c r="L612" s="865"/>
      <c r="M612" s="865"/>
      <c r="N612" s="865"/>
      <c r="O612" s="865"/>
      <c r="P612" s="865"/>
      <c r="Q612" s="865"/>
      <c r="R612" s="865"/>
      <c r="S612" s="865"/>
      <c r="T612" s="865"/>
      <c r="U612" s="865"/>
      <c r="V612" s="865"/>
      <c r="W612" s="865"/>
      <c r="X612" s="865"/>
      <c r="Y612" s="865"/>
      <c r="Z612" s="921"/>
      <c r="AB612" s="1027"/>
      <c r="AC612" s="865"/>
      <c r="AD612" s="865"/>
      <c r="AE612" s="865"/>
      <c r="AF612" s="865"/>
      <c r="AG612" s="865"/>
      <c r="AH612" s="865"/>
      <c r="AI612" s="865"/>
      <c r="AJ612" s="865"/>
      <c r="AK612" s="865"/>
      <c r="AL612" s="865"/>
      <c r="AM612" s="865"/>
      <c r="AN612" s="865"/>
      <c r="AO612" s="865"/>
      <c r="AP612" s="865"/>
      <c r="AQ612" s="865"/>
      <c r="AR612" s="865"/>
      <c r="AS612" s="865"/>
      <c r="AT612" s="865"/>
      <c r="AU612" s="865"/>
      <c r="AV612" s="865"/>
      <c r="AW612" s="865"/>
      <c r="AX612" s="865"/>
      <c r="AY612" s="865"/>
      <c r="AZ612" s="921"/>
      <c r="BB612" s="644"/>
      <c r="BC612" s="645"/>
      <c r="BD612" s="645"/>
      <c r="BE612" s="645"/>
      <c r="BF612" s="645"/>
      <c r="BG612" s="645"/>
      <c r="BH612" s="1037"/>
      <c r="BI612" s="756"/>
      <c r="BJ612" s="757"/>
      <c r="BK612" s="757"/>
      <c r="BL612" s="757"/>
      <c r="BM612" s="757"/>
      <c r="BN612" s="757"/>
      <c r="BO612" s="757"/>
      <c r="BP612" s="757"/>
      <c r="BQ612" s="757"/>
      <c r="BR612" s="757"/>
      <c r="BS612" s="757"/>
      <c r="BT612" s="757"/>
      <c r="BU612" s="757"/>
      <c r="BV612" s="757"/>
      <c r="BW612" s="757"/>
      <c r="BX612" s="757"/>
      <c r="BY612" s="757"/>
      <c r="BZ612" s="758"/>
      <c r="CB612" s="644"/>
      <c r="CC612" s="645"/>
      <c r="CD612" s="645"/>
      <c r="CE612" s="645"/>
      <c r="CF612" s="645"/>
      <c r="CG612" s="645"/>
      <c r="CH612" s="1037"/>
      <c r="CI612" s="756"/>
      <c r="CJ612" s="757"/>
      <c r="CK612" s="757"/>
      <c r="CL612" s="757"/>
      <c r="CM612" s="757"/>
      <c r="CN612" s="757"/>
      <c r="CO612" s="757"/>
      <c r="CP612" s="757"/>
      <c r="CQ612" s="757"/>
      <c r="CR612" s="757"/>
      <c r="CS612" s="757"/>
      <c r="CT612" s="757"/>
      <c r="CU612" s="757"/>
      <c r="CV612" s="757"/>
      <c r="CW612" s="757"/>
      <c r="CX612" s="757"/>
      <c r="CY612" s="757"/>
      <c r="CZ612" s="758"/>
    </row>
    <row r="613" spans="1:104" x14ac:dyDescent="0.25">
      <c r="B613" s="1028" t="str">
        <f>IF(B614="","",VLOOKUP(B614,BoonRef!$A$2:$Z$900,2,FALSE))</f>
        <v/>
      </c>
      <c r="C613" s="725"/>
      <c r="D613" s="725"/>
      <c r="E613" s="725"/>
      <c r="F613" s="725"/>
      <c r="G613" s="725"/>
      <c r="H613" s="725"/>
      <c r="I613" s="725" t="str">
        <f>IF(B614="","",VLOOKUP(B614,BoonRef!$A$2:$Z$900,3,FALSE))</f>
        <v/>
      </c>
      <c r="J613" s="725"/>
      <c r="K613" s="725" t="str">
        <f>IF(B614="","",VLOOKUP(B614,DescRef!$A$2:$B$900,2,FALSE))</f>
        <v/>
      </c>
      <c r="L613" s="725"/>
      <c r="M613" s="725"/>
      <c r="N613" s="725"/>
      <c r="O613" s="725"/>
      <c r="P613" s="725"/>
      <c r="Q613" s="725"/>
      <c r="R613" s="725"/>
      <c r="S613" s="725"/>
      <c r="T613" s="725"/>
      <c r="U613" s="725"/>
      <c r="V613" s="725"/>
      <c r="W613" s="725"/>
      <c r="X613" s="725"/>
      <c r="Y613" s="725"/>
      <c r="Z613" s="726"/>
      <c r="AB613" s="1028" t="str">
        <f>IF(AB614="","",VLOOKUP(AB614,BoonRef!$A$2:$Z$900,2,FALSE))</f>
        <v/>
      </c>
      <c r="AC613" s="725"/>
      <c r="AD613" s="725"/>
      <c r="AE613" s="725"/>
      <c r="AF613" s="725"/>
      <c r="AG613" s="725"/>
      <c r="AH613" s="725"/>
      <c r="AI613" s="725" t="str">
        <f>IF(AB614="","",VLOOKUP(AB614,BoonRef!$A$2:$Z$900,3,FALSE))</f>
        <v/>
      </c>
      <c r="AJ613" s="725"/>
      <c r="AK613" s="725" t="str">
        <f>IF(AB614="","",VLOOKUP(AB614,DescRef!$A$2:$B$900,2,FALSE))</f>
        <v/>
      </c>
      <c r="AL613" s="725"/>
      <c r="AM613" s="725"/>
      <c r="AN613" s="725"/>
      <c r="AO613" s="725"/>
      <c r="AP613" s="725"/>
      <c r="AQ613" s="725"/>
      <c r="AR613" s="725"/>
      <c r="AS613" s="725"/>
      <c r="AT613" s="725"/>
      <c r="AU613" s="725"/>
      <c r="AV613" s="725"/>
      <c r="AW613" s="725"/>
      <c r="AX613" s="725"/>
      <c r="AY613" s="725"/>
      <c r="AZ613" s="726"/>
      <c r="BB613" s="1029" t="str">
        <f>IF(BB614="","",VLOOKUP(BB614,KanckRef!$A$1:$G$300,2,FALSE))</f>
        <v/>
      </c>
      <c r="BC613" s="1030"/>
      <c r="BD613" s="1030"/>
      <c r="BE613" s="1030"/>
      <c r="BF613" s="1031"/>
      <c r="BG613" s="1048" t="str">
        <f>IF(BB614="","",VLOOKUP(BB614,KanckRef!$A$1:$G$300,6,FALSE))</f>
        <v/>
      </c>
      <c r="BH613" s="1049"/>
      <c r="BI613" s="988" t="str">
        <f>IF(BB614="","",VLOOKUP(BB614,DescRef!$D$2:$E$300,2,FALSE))</f>
        <v/>
      </c>
      <c r="BJ613" s="795"/>
      <c r="BK613" s="795"/>
      <c r="BL613" s="795"/>
      <c r="BM613" s="795"/>
      <c r="BN613" s="795"/>
      <c r="BO613" s="795"/>
      <c r="BP613" s="795"/>
      <c r="BQ613" s="795"/>
      <c r="BR613" s="795"/>
      <c r="BS613" s="795"/>
      <c r="BT613" s="795"/>
      <c r="BU613" s="795"/>
      <c r="BV613" s="795"/>
      <c r="BW613" s="795"/>
      <c r="BX613" s="795"/>
      <c r="BY613" s="795"/>
      <c r="BZ613" s="796"/>
      <c r="CB613" s="1029" t="str">
        <f>IF(CB614="","",VLOOKUP(CB614,KanckRef!$A$1:$G$300,2,FALSE))</f>
        <v/>
      </c>
      <c r="CC613" s="1030"/>
      <c r="CD613" s="1030"/>
      <c r="CE613" s="1030"/>
      <c r="CF613" s="1031"/>
      <c r="CG613" s="1048" t="str">
        <f>IF(CB614="","",VLOOKUP(CB614,KanckRef!$A$1:$G$300,6,FALSE))</f>
        <v/>
      </c>
      <c r="CH613" s="1049"/>
      <c r="CI613" s="988" t="str">
        <f>IF(CB614="","",VLOOKUP(CB614,DescRef!$D$2:$E$300,2,FALSE))</f>
        <v/>
      </c>
      <c r="CJ613" s="795"/>
      <c r="CK613" s="795"/>
      <c r="CL613" s="795"/>
      <c r="CM613" s="795"/>
      <c r="CN613" s="795"/>
      <c r="CO613" s="795"/>
      <c r="CP613" s="795"/>
      <c r="CQ613" s="795"/>
      <c r="CR613" s="795"/>
      <c r="CS613" s="795"/>
      <c r="CT613" s="795"/>
      <c r="CU613" s="795"/>
      <c r="CV613" s="795"/>
      <c r="CW613" s="795"/>
      <c r="CX613" s="795"/>
      <c r="CY613" s="795"/>
      <c r="CZ613" s="796"/>
    </row>
    <row r="614" spans="1:104" ht="15" customHeight="1" x14ac:dyDescent="0.25">
      <c r="A614" s="15">
        <v>102</v>
      </c>
      <c r="B614" s="1026" t="str">
        <f>IF(A614&lt;'Purchased Boons'!$B$496,VLOOKUP(A614,'Purchased Boons'!$BF$2:$BG$900,2,FALSE),"")</f>
        <v/>
      </c>
      <c r="C614" s="727"/>
      <c r="D614" s="727"/>
      <c r="E614" s="727"/>
      <c r="F614" s="727"/>
      <c r="G614" s="727"/>
      <c r="H614" s="727"/>
      <c r="I614" s="727" t="str">
        <f>IF(B614="","",VLOOKUP(B614,BoonRef!$A$2:$Z$900,25,FALSE))</f>
        <v/>
      </c>
      <c r="J614" s="727"/>
      <c r="K614" s="727"/>
      <c r="L614" s="727"/>
      <c r="M614" s="727"/>
      <c r="N614" s="727"/>
      <c r="O614" s="727"/>
      <c r="P614" s="727"/>
      <c r="Q614" s="727"/>
      <c r="R614" s="727"/>
      <c r="S614" s="727"/>
      <c r="T614" s="727"/>
      <c r="U614" s="727"/>
      <c r="V614" s="727"/>
      <c r="W614" s="727"/>
      <c r="X614" s="727"/>
      <c r="Y614" s="727"/>
      <c r="Z614" s="728"/>
      <c r="AA614" s="15">
        <v>209</v>
      </c>
      <c r="AB614" s="1026" t="str">
        <f>IF(AA614&lt;'Purchased Boons'!$B$496,VLOOKUP(AA614,'Purchased Boons'!$BF$2:$BG$900,2,FALSE),"")</f>
        <v/>
      </c>
      <c r="AC614" s="727"/>
      <c r="AD614" s="727"/>
      <c r="AE614" s="727"/>
      <c r="AF614" s="727"/>
      <c r="AG614" s="727"/>
      <c r="AH614" s="727"/>
      <c r="AI614" s="727" t="str">
        <f>IF(AB614="","",VLOOKUP(AB614,BoonRef!$A$2:$Z$900,25,FALSE))</f>
        <v/>
      </c>
      <c r="AJ614" s="727"/>
      <c r="AK614" s="727"/>
      <c r="AL614" s="727"/>
      <c r="AM614" s="727"/>
      <c r="AN614" s="727"/>
      <c r="AO614" s="727"/>
      <c r="AP614" s="727"/>
      <c r="AQ614" s="727"/>
      <c r="AR614" s="727"/>
      <c r="AS614" s="727"/>
      <c r="AT614" s="727"/>
      <c r="AU614" s="727"/>
      <c r="AV614" s="727"/>
      <c r="AW614" s="727"/>
      <c r="AX614" s="727"/>
      <c r="AY614" s="727"/>
      <c r="AZ614" s="728"/>
      <c r="BA614" s="15">
        <v>102</v>
      </c>
      <c r="BB614" s="1038" t="str">
        <f>IF(BA614&lt;'Purchased Knacks'!A$192,VLOOKUP(BA614,'Purchased Knacks'!$A$4:$E$300,3,FALSE),"")</f>
        <v/>
      </c>
      <c r="BC614" s="1039"/>
      <c r="BD614" s="1039"/>
      <c r="BE614" s="1039"/>
      <c r="BF614" s="1040"/>
      <c r="BG614" s="1032" t="str">
        <f>IF(BB614="","",VLOOKUP(BB614,KanckRef!$A$1:$G$300,7,FALSE))</f>
        <v/>
      </c>
      <c r="BH614" s="1033"/>
      <c r="BI614" s="753"/>
      <c r="BJ614" s="754"/>
      <c r="BK614" s="754"/>
      <c r="BL614" s="754"/>
      <c r="BM614" s="754"/>
      <c r="BN614" s="754"/>
      <c r="BO614" s="754"/>
      <c r="BP614" s="754"/>
      <c r="BQ614" s="754"/>
      <c r="BR614" s="754"/>
      <c r="BS614" s="754"/>
      <c r="BT614" s="754"/>
      <c r="BU614" s="754"/>
      <c r="BV614" s="754"/>
      <c r="BW614" s="754"/>
      <c r="BX614" s="754"/>
      <c r="BY614" s="754"/>
      <c r="BZ614" s="755"/>
      <c r="CA614" s="15">
        <v>209</v>
      </c>
      <c r="CB614" s="1038" t="str">
        <f>IF(CA614&lt;'Purchased Knacks'!A$192,VLOOKUP(CA614,'Purchased Knacks'!$A$4:$E$300,3,FALSE),"")</f>
        <v/>
      </c>
      <c r="CC614" s="1039"/>
      <c r="CD614" s="1039"/>
      <c r="CE614" s="1039"/>
      <c r="CF614" s="1040"/>
      <c r="CG614" s="1032" t="str">
        <f>IF(CB614="","",VLOOKUP(CB614,KanckRef!$A$1:$G$300,7,FALSE))</f>
        <v/>
      </c>
      <c r="CH614" s="1033"/>
      <c r="CI614" s="753"/>
      <c r="CJ614" s="754"/>
      <c r="CK614" s="754"/>
      <c r="CL614" s="754"/>
      <c r="CM614" s="754"/>
      <c r="CN614" s="754"/>
      <c r="CO614" s="754"/>
      <c r="CP614" s="754"/>
      <c r="CQ614" s="754"/>
      <c r="CR614" s="754"/>
      <c r="CS614" s="754"/>
      <c r="CT614" s="754"/>
      <c r="CU614" s="754"/>
      <c r="CV614" s="754"/>
      <c r="CW614" s="754"/>
      <c r="CX614" s="754"/>
      <c r="CY614" s="754"/>
      <c r="CZ614" s="755"/>
    </row>
    <row r="615" spans="1:104" x14ac:dyDescent="0.25">
      <c r="B615" s="1026"/>
      <c r="C615" s="727"/>
      <c r="D615" s="727"/>
      <c r="E615" s="727"/>
      <c r="F615" s="727"/>
      <c r="G615" s="727"/>
      <c r="H615" s="727"/>
      <c r="I615" s="727" t="str">
        <f>IF(B614="","",VLOOKUP(B614,BoonRef!$A$2:$Z$900,26,FALSE))</f>
        <v/>
      </c>
      <c r="J615" s="727"/>
      <c r="K615" s="727"/>
      <c r="L615" s="727"/>
      <c r="M615" s="727"/>
      <c r="N615" s="727"/>
      <c r="O615" s="727"/>
      <c r="P615" s="727"/>
      <c r="Q615" s="727"/>
      <c r="R615" s="727"/>
      <c r="S615" s="727"/>
      <c r="T615" s="727"/>
      <c r="U615" s="727"/>
      <c r="V615" s="727"/>
      <c r="W615" s="727"/>
      <c r="X615" s="727"/>
      <c r="Y615" s="727"/>
      <c r="Z615" s="728"/>
      <c r="AB615" s="1026"/>
      <c r="AC615" s="727"/>
      <c r="AD615" s="727"/>
      <c r="AE615" s="727"/>
      <c r="AF615" s="727"/>
      <c r="AG615" s="727"/>
      <c r="AH615" s="727"/>
      <c r="AI615" s="727" t="str">
        <f>IF(AB614="","",VLOOKUP(AB614,BoonRef!$A$2:$Z$900,26,FALSE))</f>
        <v/>
      </c>
      <c r="AJ615" s="727"/>
      <c r="AK615" s="727"/>
      <c r="AL615" s="727"/>
      <c r="AM615" s="727"/>
      <c r="AN615" s="727"/>
      <c r="AO615" s="727"/>
      <c r="AP615" s="727"/>
      <c r="AQ615" s="727"/>
      <c r="AR615" s="727"/>
      <c r="AS615" s="727"/>
      <c r="AT615" s="727"/>
      <c r="AU615" s="727"/>
      <c r="AV615" s="727"/>
      <c r="AW615" s="727"/>
      <c r="AX615" s="727"/>
      <c r="AY615" s="727"/>
      <c r="AZ615" s="728"/>
      <c r="BB615" s="1041"/>
      <c r="BC615" s="1042"/>
      <c r="BD615" s="1042"/>
      <c r="BE615" s="1042"/>
      <c r="BF615" s="1043"/>
      <c r="BG615" s="1034"/>
      <c r="BH615" s="1035"/>
      <c r="BI615" s="753"/>
      <c r="BJ615" s="754"/>
      <c r="BK615" s="754"/>
      <c r="BL615" s="754"/>
      <c r="BM615" s="754"/>
      <c r="BN615" s="754"/>
      <c r="BO615" s="754"/>
      <c r="BP615" s="754"/>
      <c r="BQ615" s="754"/>
      <c r="BR615" s="754"/>
      <c r="BS615" s="754"/>
      <c r="BT615" s="754"/>
      <c r="BU615" s="754"/>
      <c r="BV615" s="754"/>
      <c r="BW615" s="754"/>
      <c r="BX615" s="754"/>
      <c r="BY615" s="754"/>
      <c r="BZ615" s="755"/>
      <c r="CB615" s="1041"/>
      <c r="CC615" s="1042"/>
      <c r="CD615" s="1042"/>
      <c r="CE615" s="1042"/>
      <c r="CF615" s="1043"/>
      <c r="CG615" s="1034"/>
      <c r="CH615" s="1035"/>
      <c r="CI615" s="753"/>
      <c r="CJ615" s="754"/>
      <c r="CK615" s="754"/>
      <c r="CL615" s="754"/>
      <c r="CM615" s="754"/>
      <c r="CN615" s="754"/>
      <c r="CO615" s="754"/>
      <c r="CP615" s="754"/>
      <c r="CQ615" s="754"/>
      <c r="CR615" s="754"/>
      <c r="CS615" s="754"/>
      <c r="CT615" s="754"/>
      <c r="CU615" s="754"/>
      <c r="CV615" s="754"/>
      <c r="CW615" s="754"/>
      <c r="CX615" s="754"/>
      <c r="CY615" s="754"/>
      <c r="CZ615" s="755"/>
    </row>
    <row r="616" spans="1:104" x14ac:dyDescent="0.25">
      <c r="B616" s="1026" t="str">
        <f>IF(B614="","",VLOOKUP(B614,BoonRef!$A$2:$Z$900,24,FALSE))</f>
        <v/>
      </c>
      <c r="C616" s="727"/>
      <c r="D616" s="727"/>
      <c r="E616" s="727"/>
      <c r="F616" s="727"/>
      <c r="G616" s="727"/>
      <c r="H616" s="727"/>
      <c r="I616" s="727"/>
      <c r="J616" s="727"/>
      <c r="K616" s="727"/>
      <c r="L616" s="727"/>
      <c r="M616" s="727"/>
      <c r="N616" s="727"/>
      <c r="O616" s="727"/>
      <c r="P616" s="727"/>
      <c r="Q616" s="727"/>
      <c r="R616" s="727"/>
      <c r="S616" s="727"/>
      <c r="T616" s="727"/>
      <c r="U616" s="727"/>
      <c r="V616" s="727"/>
      <c r="W616" s="727"/>
      <c r="X616" s="727"/>
      <c r="Y616" s="727"/>
      <c r="Z616" s="728"/>
      <c r="AB616" s="1026" t="str">
        <f>IF(AB614="","",VLOOKUP(AB614,BoonRef!$A$2:$Z$900,24,FALSE))</f>
        <v/>
      </c>
      <c r="AC616" s="727"/>
      <c r="AD616" s="727"/>
      <c r="AE616" s="727"/>
      <c r="AF616" s="727"/>
      <c r="AG616" s="727"/>
      <c r="AH616" s="727"/>
      <c r="AI616" s="727"/>
      <c r="AJ616" s="727"/>
      <c r="AK616" s="727"/>
      <c r="AL616" s="727"/>
      <c r="AM616" s="727"/>
      <c r="AN616" s="727"/>
      <c r="AO616" s="727"/>
      <c r="AP616" s="727"/>
      <c r="AQ616" s="727"/>
      <c r="AR616" s="727"/>
      <c r="AS616" s="727"/>
      <c r="AT616" s="727"/>
      <c r="AU616" s="727"/>
      <c r="AV616" s="727"/>
      <c r="AW616" s="727"/>
      <c r="AX616" s="727"/>
      <c r="AY616" s="727"/>
      <c r="AZ616" s="728"/>
      <c r="BB616" s="641" t="str">
        <f>IF(BB614="","",VLOOKUP(BB614,KanckRef!$A$1:$G$300,4,FALSE))</f>
        <v/>
      </c>
      <c r="BC616" s="642"/>
      <c r="BD616" s="642"/>
      <c r="BE616" s="642"/>
      <c r="BF616" s="642"/>
      <c r="BG616" s="642"/>
      <c r="BH616" s="1033"/>
      <c r="BI616" s="753"/>
      <c r="BJ616" s="754"/>
      <c r="BK616" s="754"/>
      <c r="BL616" s="754"/>
      <c r="BM616" s="754"/>
      <c r="BN616" s="754"/>
      <c r="BO616" s="754"/>
      <c r="BP616" s="754"/>
      <c r="BQ616" s="754"/>
      <c r="BR616" s="754"/>
      <c r="BS616" s="754"/>
      <c r="BT616" s="754"/>
      <c r="BU616" s="754"/>
      <c r="BV616" s="754"/>
      <c r="BW616" s="754"/>
      <c r="BX616" s="754"/>
      <c r="BY616" s="754"/>
      <c r="BZ616" s="755"/>
      <c r="CB616" s="641" t="str">
        <f>IF(CB614="","",VLOOKUP(CB614,KanckRef!$A$1:$G$300,4,FALSE))</f>
        <v/>
      </c>
      <c r="CC616" s="642"/>
      <c r="CD616" s="642"/>
      <c r="CE616" s="642"/>
      <c r="CF616" s="642"/>
      <c r="CG616" s="642"/>
      <c r="CH616" s="1033"/>
      <c r="CI616" s="753"/>
      <c r="CJ616" s="754"/>
      <c r="CK616" s="754"/>
      <c r="CL616" s="754"/>
      <c r="CM616" s="754"/>
      <c r="CN616" s="754"/>
      <c r="CO616" s="754"/>
      <c r="CP616" s="754"/>
      <c r="CQ616" s="754"/>
      <c r="CR616" s="754"/>
      <c r="CS616" s="754"/>
      <c r="CT616" s="754"/>
      <c r="CU616" s="754"/>
      <c r="CV616" s="754"/>
      <c r="CW616" s="754"/>
      <c r="CX616" s="754"/>
      <c r="CY616" s="754"/>
      <c r="CZ616" s="755"/>
    </row>
    <row r="617" spans="1:104" x14ac:dyDescent="0.25">
      <c r="B617" s="1026" t="str">
        <f>IF(B614="","",VLOOKUP(B614,BoonRef!$A$2:$Z$900,23,FALSE))</f>
        <v/>
      </c>
      <c r="C617" s="727"/>
      <c r="D617" s="727"/>
      <c r="E617" s="727"/>
      <c r="F617" s="727"/>
      <c r="G617" s="727"/>
      <c r="H617" s="727"/>
      <c r="I617" s="727"/>
      <c r="J617" s="727"/>
      <c r="K617" s="727"/>
      <c r="L617" s="727"/>
      <c r="M617" s="727"/>
      <c r="N617" s="727"/>
      <c r="O617" s="727"/>
      <c r="P617" s="727"/>
      <c r="Q617" s="727"/>
      <c r="R617" s="727"/>
      <c r="S617" s="727"/>
      <c r="T617" s="727"/>
      <c r="U617" s="727"/>
      <c r="V617" s="727"/>
      <c r="W617" s="727"/>
      <c r="X617" s="727"/>
      <c r="Y617" s="727"/>
      <c r="Z617" s="728"/>
      <c r="AB617" s="1026" t="str">
        <f>IF(AB614="","",VLOOKUP(AB614,BoonRef!$A$2:$Z$900,23,FALSE))</f>
        <v/>
      </c>
      <c r="AC617" s="727"/>
      <c r="AD617" s="727"/>
      <c r="AE617" s="727"/>
      <c r="AF617" s="727"/>
      <c r="AG617" s="727"/>
      <c r="AH617" s="727"/>
      <c r="AI617" s="727"/>
      <c r="AJ617" s="727"/>
      <c r="AK617" s="727"/>
      <c r="AL617" s="727"/>
      <c r="AM617" s="727"/>
      <c r="AN617" s="727"/>
      <c r="AO617" s="727"/>
      <c r="AP617" s="727"/>
      <c r="AQ617" s="727"/>
      <c r="AR617" s="727"/>
      <c r="AS617" s="727"/>
      <c r="AT617" s="727"/>
      <c r="AU617" s="727"/>
      <c r="AV617" s="727"/>
      <c r="AW617" s="727"/>
      <c r="AX617" s="727"/>
      <c r="AY617" s="727"/>
      <c r="AZ617" s="728"/>
      <c r="BB617" s="635"/>
      <c r="BC617" s="636"/>
      <c r="BD617" s="636"/>
      <c r="BE617" s="636"/>
      <c r="BF617" s="636"/>
      <c r="BG617" s="636"/>
      <c r="BH617" s="1036"/>
      <c r="BI617" s="753"/>
      <c r="BJ617" s="754"/>
      <c r="BK617" s="754"/>
      <c r="BL617" s="754"/>
      <c r="BM617" s="754"/>
      <c r="BN617" s="754"/>
      <c r="BO617" s="754"/>
      <c r="BP617" s="754"/>
      <c r="BQ617" s="754"/>
      <c r="BR617" s="754"/>
      <c r="BS617" s="754"/>
      <c r="BT617" s="754"/>
      <c r="BU617" s="754"/>
      <c r="BV617" s="754"/>
      <c r="BW617" s="754"/>
      <c r="BX617" s="754"/>
      <c r="BY617" s="754"/>
      <c r="BZ617" s="755"/>
      <c r="CB617" s="635"/>
      <c r="CC617" s="636"/>
      <c r="CD617" s="636"/>
      <c r="CE617" s="636"/>
      <c r="CF617" s="636"/>
      <c r="CG617" s="636"/>
      <c r="CH617" s="1036"/>
      <c r="CI617" s="753"/>
      <c r="CJ617" s="754"/>
      <c r="CK617" s="754"/>
      <c r="CL617" s="754"/>
      <c r="CM617" s="754"/>
      <c r="CN617" s="754"/>
      <c r="CO617" s="754"/>
      <c r="CP617" s="754"/>
      <c r="CQ617" s="754"/>
      <c r="CR617" s="754"/>
      <c r="CS617" s="754"/>
      <c r="CT617" s="754"/>
      <c r="CU617" s="754"/>
      <c r="CV617" s="754"/>
      <c r="CW617" s="754"/>
      <c r="CX617" s="754"/>
      <c r="CY617" s="754"/>
      <c r="CZ617" s="755"/>
    </row>
    <row r="618" spans="1:104" ht="15.75" thickBot="1" x14ac:dyDescent="0.3">
      <c r="B618" s="1027"/>
      <c r="C618" s="865"/>
      <c r="D618" s="865"/>
      <c r="E618" s="865"/>
      <c r="F618" s="865"/>
      <c r="G618" s="865"/>
      <c r="H618" s="865"/>
      <c r="I618" s="865"/>
      <c r="J618" s="865"/>
      <c r="K618" s="865"/>
      <c r="L618" s="865"/>
      <c r="M618" s="865"/>
      <c r="N618" s="865"/>
      <c r="O618" s="865"/>
      <c r="P618" s="865"/>
      <c r="Q618" s="865"/>
      <c r="R618" s="865"/>
      <c r="S618" s="865"/>
      <c r="T618" s="865"/>
      <c r="U618" s="865"/>
      <c r="V618" s="865"/>
      <c r="W618" s="865"/>
      <c r="X618" s="865"/>
      <c r="Y618" s="865"/>
      <c r="Z618" s="921"/>
      <c r="AB618" s="1027"/>
      <c r="AC618" s="865"/>
      <c r="AD618" s="865"/>
      <c r="AE618" s="865"/>
      <c r="AF618" s="865"/>
      <c r="AG618" s="865"/>
      <c r="AH618" s="865"/>
      <c r="AI618" s="865"/>
      <c r="AJ618" s="865"/>
      <c r="AK618" s="865"/>
      <c r="AL618" s="865"/>
      <c r="AM618" s="865"/>
      <c r="AN618" s="865"/>
      <c r="AO618" s="865"/>
      <c r="AP618" s="865"/>
      <c r="AQ618" s="865"/>
      <c r="AR618" s="865"/>
      <c r="AS618" s="865"/>
      <c r="AT618" s="865"/>
      <c r="AU618" s="865"/>
      <c r="AV618" s="865"/>
      <c r="AW618" s="865"/>
      <c r="AX618" s="865"/>
      <c r="AY618" s="865"/>
      <c r="AZ618" s="921"/>
      <c r="BB618" s="644"/>
      <c r="BC618" s="645"/>
      <c r="BD618" s="645"/>
      <c r="BE618" s="645"/>
      <c r="BF618" s="645"/>
      <c r="BG618" s="645"/>
      <c r="BH618" s="1037"/>
      <c r="BI618" s="756"/>
      <c r="BJ618" s="757"/>
      <c r="BK618" s="757"/>
      <c r="BL618" s="757"/>
      <c r="BM618" s="757"/>
      <c r="BN618" s="757"/>
      <c r="BO618" s="757"/>
      <c r="BP618" s="757"/>
      <c r="BQ618" s="757"/>
      <c r="BR618" s="757"/>
      <c r="BS618" s="757"/>
      <c r="BT618" s="757"/>
      <c r="BU618" s="757"/>
      <c r="BV618" s="757"/>
      <c r="BW618" s="757"/>
      <c r="BX618" s="757"/>
      <c r="BY618" s="757"/>
      <c r="BZ618" s="758"/>
      <c r="CB618" s="644"/>
      <c r="CC618" s="645"/>
      <c r="CD618" s="645"/>
      <c r="CE618" s="645"/>
      <c r="CF618" s="645"/>
      <c r="CG618" s="645"/>
      <c r="CH618" s="1037"/>
      <c r="CI618" s="756"/>
      <c r="CJ618" s="757"/>
      <c r="CK618" s="757"/>
      <c r="CL618" s="757"/>
      <c r="CM618" s="757"/>
      <c r="CN618" s="757"/>
      <c r="CO618" s="757"/>
      <c r="CP618" s="757"/>
      <c r="CQ618" s="757"/>
      <c r="CR618" s="757"/>
      <c r="CS618" s="757"/>
      <c r="CT618" s="757"/>
      <c r="CU618" s="757"/>
      <c r="CV618" s="757"/>
      <c r="CW618" s="757"/>
      <c r="CX618" s="757"/>
      <c r="CY618" s="757"/>
      <c r="CZ618" s="758"/>
    </row>
    <row r="619" spans="1:104" x14ac:dyDescent="0.25">
      <c r="B619" s="1028" t="str">
        <f>IF(B620="","",VLOOKUP(B620,BoonRef!$A$2:$Z$900,2,FALSE))</f>
        <v/>
      </c>
      <c r="C619" s="725"/>
      <c r="D619" s="725"/>
      <c r="E619" s="725"/>
      <c r="F619" s="725"/>
      <c r="G619" s="725"/>
      <c r="H619" s="725"/>
      <c r="I619" s="725" t="str">
        <f>IF(B620="","",VLOOKUP(B620,BoonRef!$A$2:$Z$900,3,FALSE))</f>
        <v/>
      </c>
      <c r="J619" s="725"/>
      <c r="K619" s="725" t="str">
        <f>IF(B620="","",VLOOKUP(B620,DescRef!$A$2:$B$900,2,FALSE))</f>
        <v/>
      </c>
      <c r="L619" s="725"/>
      <c r="M619" s="725"/>
      <c r="N619" s="725"/>
      <c r="O619" s="725"/>
      <c r="P619" s="725"/>
      <c r="Q619" s="725"/>
      <c r="R619" s="725"/>
      <c r="S619" s="725"/>
      <c r="T619" s="725"/>
      <c r="U619" s="725"/>
      <c r="V619" s="725"/>
      <c r="W619" s="725"/>
      <c r="X619" s="725"/>
      <c r="Y619" s="725"/>
      <c r="Z619" s="726"/>
      <c r="AB619" s="1028" t="str">
        <f>IF(AB620="","",VLOOKUP(AB620,BoonRef!$A$2:$Z$900,2,FALSE))</f>
        <v/>
      </c>
      <c r="AC619" s="725"/>
      <c r="AD619" s="725"/>
      <c r="AE619" s="725"/>
      <c r="AF619" s="725"/>
      <c r="AG619" s="725"/>
      <c r="AH619" s="725"/>
      <c r="AI619" s="725" t="str">
        <f>IF(AB620="","",VLOOKUP(AB620,BoonRef!$A$2:$Z$900,3,FALSE))</f>
        <v/>
      </c>
      <c r="AJ619" s="725"/>
      <c r="AK619" s="725" t="str">
        <f>IF(AB620="","",VLOOKUP(AB620,DescRef!$A$2:$B$900,2,FALSE))</f>
        <v/>
      </c>
      <c r="AL619" s="725"/>
      <c r="AM619" s="725"/>
      <c r="AN619" s="725"/>
      <c r="AO619" s="725"/>
      <c r="AP619" s="725"/>
      <c r="AQ619" s="725"/>
      <c r="AR619" s="725"/>
      <c r="AS619" s="725"/>
      <c r="AT619" s="725"/>
      <c r="AU619" s="725"/>
      <c r="AV619" s="725"/>
      <c r="AW619" s="725"/>
      <c r="AX619" s="725"/>
      <c r="AY619" s="725"/>
      <c r="AZ619" s="726"/>
      <c r="BB619" s="1029" t="str">
        <f>IF(BB620="","",VLOOKUP(BB620,KanckRef!$A$1:$G$300,2,FALSE))</f>
        <v/>
      </c>
      <c r="BC619" s="1030"/>
      <c r="BD619" s="1030"/>
      <c r="BE619" s="1030"/>
      <c r="BF619" s="1031"/>
      <c r="BG619" s="1048" t="str">
        <f>IF(BB620="","",VLOOKUP(BB620,KanckRef!$A$1:$G$300,6,FALSE))</f>
        <v/>
      </c>
      <c r="BH619" s="1049"/>
      <c r="BI619" s="988" t="str">
        <f>IF(BB620="","",VLOOKUP(BB620,DescRef!$D$2:$E$300,2,FALSE))</f>
        <v/>
      </c>
      <c r="BJ619" s="795"/>
      <c r="BK619" s="795"/>
      <c r="BL619" s="795"/>
      <c r="BM619" s="795"/>
      <c r="BN619" s="795"/>
      <c r="BO619" s="795"/>
      <c r="BP619" s="795"/>
      <c r="BQ619" s="795"/>
      <c r="BR619" s="795"/>
      <c r="BS619" s="795"/>
      <c r="BT619" s="795"/>
      <c r="BU619" s="795"/>
      <c r="BV619" s="795"/>
      <c r="BW619" s="795"/>
      <c r="BX619" s="795"/>
      <c r="BY619" s="795"/>
      <c r="BZ619" s="796"/>
      <c r="CB619" s="1029" t="str">
        <f>IF(CB620="","",VLOOKUP(CB620,KanckRef!$A$1:$G$300,2,FALSE))</f>
        <v/>
      </c>
      <c r="CC619" s="1030"/>
      <c r="CD619" s="1030"/>
      <c r="CE619" s="1030"/>
      <c r="CF619" s="1031"/>
      <c r="CG619" s="1048" t="str">
        <f>IF(CB620="","",VLOOKUP(CB620,KanckRef!$A$1:$G$300,6,FALSE))</f>
        <v/>
      </c>
      <c r="CH619" s="1049"/>
      <c r="CI619" s="988" t="str">
        <f>IF(CB620="","",VLOOKUP(CB620,DescRef!$D$2:$E$300,2,FALSE))</f>
        <v/>
      </c>
      <c r="CJ619" s="795"/>
      <c r="CK619" s="795"/>
      <c r="CL619" s="795"/>
      <c r="CM619" s="795"/>
      <c r="CN619" s="795"/>
      <c r="CO619" s="795"/>
      <c r="CP619" s="795"/>
      <c r="CQ619" s="795"/>
      <c r="CR619" s="795"/>
      <c r="CS619" s="795"/>
      <c r="CT619" s="795"/>
      <c r="CU619" s="795"/>
      <c r="CV619" s="795"/>
      <c r="CW619" s="795"/>
      <c r="CX619" s="795"/>
      <c r="CY619" s="795"/>
      <c r="CZ619" s="796"/>
    </row>
    <row r="620" spans="1:104" ht="15" customHeight="1" x14ac:dyDescent="0.25">
      <c r="A620" s="15">
        <v>103</v>
      </c>
      <c r="B620" s="1026" t="str">
        <f>IF(A620&lt;'Purchased Boons'!$B$496,VLOOKUP(A620,'Purchased Boons'!$BF$2:$BG$900,2,FALSE),"")</f>
        <v/>
      </c>
      <c r="C620" s="727"/>
      <c r="D620" s="727"/>
      <c r="E620" s="727"/>
      <c r="F620" s="727"/>
      <c r="G620" s="727"/>
      <c r="H620" s="727"/>
      <c r="I620" s="727" t="str">
        <f>IF(B620="","",VLOOKUP(B620,BoonRef!$A$2:$Z$900,25,FALSE))</f>
        <v/>
      </c>
      <c r="J620" s="727"/>
      <c r="K620" s="727"/>
      <c r="L620" s="727"/>
      <c r="M620" s="727"/>
      <c r="N620" s="727"/>
      <c r="O620" s="727"/>
      <c r="P620" s="727"/>
      <c r="Q620" s="727"/>
      <c r="R620" s="727"/>
      <c r="S620" s="727"/>
      <c r="T620" s="727"/>
      <c r="U620" s="727"/>
      <c r="V620" s="727"/>
      <c r="W620" s="727"/>
      <c r="X620" s="727"/>
      <c r="Y620" s="727"/>
      <c r="Z620" s="728"/>
      <c r="AA620" s="15">
        <v>210</v>
      </c>
      <c r="AB620" s="1026" t="str">
        <f>IF(AA620&lt;'Purchased Boons'!$B$496,VLOOKUP(AA620,'Purchased Boons'!$BF$2:$BG$900,2,FALSE),"")</f>
        <v/>
      </c>
      <c r="AC620" s="727"/>
      <c r="AD620" s="727"/>
      <c r="AE620" s="727"/>
      <c r="AF620" s="727"/>
      <c r="AG620" s="727"/>
      <c r="AH620" s="727"/>
      <c r="AI620" s="727" t="str">
        <f>IF(AB620="","",VLOOKUP(AB620,BoonRef!$A$2:$Z$900,25,FALSE))</f>
        <v/>
      </c>
      <c r="AJ620" s="727"/>
      <c r="AK620" s="727"/>
      <c r="AL620" s="727"/>
      <c r="AM620" s="727"/>
      <c r="AN620" s="727"/>
      <c r="AO620" s="727"/>
      <c r="AP620" s="727"/>
      <c r="AQ620" s="727"/>
      <c r="AR620" s="727"/>
      <c r="AS620" s="727"/>
      <c r="AT620" s="727"/>
      <c r="AU620" s="727"/>
      <c r="AV620" s="727"/>
      <c r="AW620" s="727"/>
      <c r="AX620" s="727"/>
      <c r="AY620" s="727"/>
      <c r="AZ620" s="728"/>
      <c r="BA620" s="15">
        <v>103</v>
      </c>
      <c r="BB620" s="1038" t="str">
        <f>IF(BA620&lt;'Purchased Knacks'!A$192,VLOOKUP(BA620,'Purchased Knacks'!$A$4:$E$300,3,FALSE),"")</f>
        <v/>
      </c>
      <c r="BC620" s="1039"/>
      <c r="BD620" s="1039"/>
      <c r="BE620" s="1039"/>
      <c r="BF620" s="1040"/>
      <c r="BG620" s="1032" t="str">
        <f>IF(BB620="","",VLOOKUP(BB620,KanckRef!$A$1:$G$300,7,FALSE))</f>
        <v/>
      </c>
      <c r="BH620" s="1033"/>
      <c r="BI620" s="753"/>
      <c r="BJ620" s="754"/>
      <c r="BK620" s="754"/>
      <c r="BL620" s="754"/>
      <c r="BM620" s="754"/>
      <c r="BN620" s="754"/>
      <c r="BO620" s="754"/>
      <c r="BP620" s="754"/>
      <c r="BQ620" s="754"/>
      <c r="BR620" s="754"/>
      <c r="BS620" s="754"/>
      <c r="BT620" s="754"/>
      <c r="BU620" s="754"/>
      <c r="BV620" s="754"/>
      <c r="BW620" s="754"/>
      <c r="BX620" s="754"/>
      <c r="BY620" s="754"/>
      <c r="BZ620" s="755"/>
      <c r="CA620" s="15">
        <v>210</v>
      </c>
      <c r="CB620" s="1038" t="str">
        <f>IF(CA620&lt;'Purchased Knacks'!A$192,VLOOKUP(CA620,'Purchased Knacks'!$A$4:$E$300,3,FALSE),"")</f>
        <v/>
      </c>
      <c r="CC620" s="1039"/>
      <c r="CD620" s="1039"/>
      <c r="CE620" s="1039"/>
      <c r="CF620" s="1040"/>
      <c r="CG620" s="1032" t="str">
        <f>IF(CB620="","",VLOOKUP(CB620,KanckRef!$A$1:$G$300,7,FALSE))</f>
        <v/>
      </c>
      <c r="CH620" s="1033"/>
      <c r="CI620" s="753"/>
      <c r="CJ620" s="754"/>
      <c r="CK620" s="754"/>
      <c r="CL620" s="754"/>
      <c r="CM620" s="754"/>
      <c r="CN620" s="754"/>
      <c r="CO620" s="754"/>
      <c r="CP620" s="754"/>
      <c r="CQ620" s="754"/>
      <c r="CR620" s="754"/>
      <c r="CS620" s="754"/>
      <c r="CT620" s="754"/>
      <c r="CU620" s="754"/>
      <c r="CV620" s="754"/>
      <c r="CW620" s="754"/>
      <c r="CX620" s="754"/>
      <c r="CY620" s="754"/>
      <c r="CZ620" s="755"/>
    </row>
    <row r="621" spans="1:104" x14ac:dyDescent="0.25">
      <c r="B621" s="1026"/>
      <c r="C621" s="727"/>
      <c r="D621" s="727"/>
      <c r="E621" s="727"/>
      <c r="F621" s="727"/>
      <c r="G621" s="727"/>
      <c r="H621" s="727"/>
      <c r="I621" s="727" t="str">
        <f>IF(B620="","",VLOOKUP(B620,BoonRef!$A$2:$Z$900,26,FALSE))</f>
        <v/>
      </c>
      <c r="J621" s="727"/>
      <c r="K621" s="727"/>
      <c r="L621" s="727"/>
      <c r="M621" s="727"/>
      <c r="N621" s="727"/>
      <c r="O621" s="727"/>
      <c r="P621" s="727"/>
      <c r="Q621" s="727"/>
      <c r="R621" s="727"/>
      <c r="S621" s="727"/>
      <c r="T621" s="727"/>
      <c r="U621" s="727"/>
      <c r="V621" s="727"/>
      <c r="W621" s="727"/>
      <c r="X621" s="727"/>
      <c r="Y621" s="727"/>
      <c r="Z621" s="728"/>
      <c r="AB621" s="1026"/>
      <c r="AC621" s="727"/>
      <c r="AD621" s="727"/>
      <c r="AE621" s="727"/>
      <c r="AF621" s="727"/>
      <c r="AG621" s="727"/>
      <c r="AH621" s="727"/>
      <c r="AI621" s="727" t="str">
        <f>IF(AB620="","",VLOOKUP(AB620,BoonRef!$A$2:$Z$900,26,FALSE))</f>
        <v/>
      </c>
      <c r="AJ621" s="727"/>
      <c r="AK621" s="727"/>
      <c r="AL621" s="727"/>
      <c r="AM621" s="727"/>
      <c r="AN621" s="727"/>
      <c r="AO621" s="727"/>
      <c r="AP621" s="727"/>
      <c r="AQ621" s="727"/>
      <c r="AR621" s="727"/>
      <c r="AS621" s="727"/>
      <c r="AT621" s="727"/>
      <c r="AU621" s="727"/>
      <c r="AV621" s="727"/>
      <c r="AW621" s="727"/>
      <c r="AX621" s="727"/>
      <c r="AY621" s="727"/>
      <c r="AZ621" s="728"/>
      <c r="BB621" s="1041"/>
      <c r="BC621" s="1042"/>
      <c r="BD621" s="1042"/>
      <c r="BE621" s="1042"/>
      <c r="BF621" s="1043"/>
      <c r="BG621" s="1034"/>
      <c r="BH621" s="1035"/>
      <c r="BI621" s="753"/>
      <c r="BJ621" s="754"/>
      <c r="BK621" s="754"/>
      <c r="BL621" s="754"/>
      <c r="BM621" s="754"/>
      <c r="BN621" s="754"/>
      <c r="BO621" s="754"/>
      <c r="BP621" s="754"/>
      <c r="BQ621" s="754"/>
      <c r="BR621" s="754"/>
      <c r="BS621" s="754"/>
      <c r="BT621" s="754"/>
      <c r="BU621" s="754"/>
      <c r="BV621" s="754"/>
      <c r="BW621" s="754"/>
      <c r="BX621" s="754"/>
      <c r="BY621" s="754"/>
      <c r="BZ621" s="755"/>
      <c r="CB621" s="1041"/>
      <c r="CC621" s="1042"/>
      <c r="CD621" s="1042"/>
      <c r="CE621" s="1042"/>
      <c r="CF621" s="1043"/>
      <c r="CG621" s="1034"/>
      <c r="CH621" s="1035"/>
      <c r="CI621" s="753"/>
      <c r="CJ621" s="754"/>
      <c r="CK621" s="754"/>
      <c r="CL621" s="754"/>
      <c r="CM621" s="754"/>
      <c r="CN621" s="754"/>
      <c r="CO621" s="754"/>
      <c r="CP621" s="754"/>
      <c r="CQ621" s="754"/>
      <c r="CR621" s="754"/>
      <c r="CS621" s="754"/>
      <c r="CT621" s="754"/>
      <c r="CU621" s="754"/>
      <c r="CV621" s="754"/>
      <c r="CW621" s="754"/>
      <c r="CX621" s="754"/>
      <c r="CY621" s="754"/>
      <c r="CZ621" s="755"/>
    </row>
    <row r="622" spans="1:104" x14ac:dyDescent="0.25">
      <c r="B622" s="1026" t="str">
        <f>IF(B620="","",VLOOKUP(B620,BoonRef!$A$2:$Z$900,24,FALSE))</f>
        <v/>
      </c>
      <c r="C622" s="727"/>
      <c r="D622" s="727"/>
      <c r="E622" s="727"/>
      <c r="F622" s="727"/>
      <c r="G622" s="727"/>
      <c r="H622" s="727"/>
      <c r="I622" s="727"/>
      <c r="J622" s="727"/>
      <c r="K622" s="727"/>
      <c r="L622" s="727"/>
      <c r="M622" s="727"/>
      <c r="N622" s="727"/>
      <c r="O622" s="727"/>
      <c r="P622" s="727"/>
      <c r="Q622" s="727"/>
      <c r="R622" s="727"/>
      <c r="S622" s="727"/>
      <c r="T622" s="727"/>
      <c r="U622" s="727"/>
      <c r="V622" s="727"/>
      <c r="W622" s="727"/>
      <c r="X622" s="727"/>
      <c r="Y622" s="727"/>
      <c r="Z622" s="728"/>
      <c r="AB622" s="1026" t="str">
        <f>IF(AB620="","",VLOOKUP(AB620,BoonRef!$A$2:$Z$900,24,FALSE))</f>
        <v/>
      </c>
      <c r="AC622" s="727"/>
      <c r="AD622" s="727"/>
      <c r="AE622" s="727"/>
      <c r="AF622" s="727"/>
      <c r="AG622" s="727"/>
      <c r="AH622" s="727"/>
      <c r="AI622" s="727"/>
      <c r="AJ622" s="727"/>
      <c r="AK622" s="727"/>
      <c r="AL622" s="727"/>
      <c r="AM622" s="727"/>
      <c r="AN622" s="727"/>
      <c r="AO622" s="727"/>
      <c r="AP622" s="727"/>
      <c r="AQ622" s="727"/>
      <c r="AR622" s="727"/>
      <c r="AS622" s="727"/>
      <c r="AT622" s="727"/>
      <c r="AU622" s="727"/>
      <c r="AV622" s="727"/>
      <c r="AW622" s="727"/>
      <c r="AX622" s="727"/>
      <c r="AY622" s="727"/>
      <c r="AZ622" s="728"/>
      <c r="BB622" s="641" t="str">
        <f>IF(BB620="","",VLOOKUP(BB620,KanckRef!$A$1:$G$300,4,FALSE))</f>
        <v/>
      </c>
      <c r="BC622" s="642"/>
      <c r="BD622" s="642"/>
      <c r="BE622" s="642"/>
      <c r="BF622" s="642"/>
      <c r="BG622" s="642"/>
      <c r="BH622" s="1033"/>
      <c r="BI622" s="753"/>
      <c r="BJ622" s="754"/>
      <c r="BK622" s="754"/>
      <c r="BL622" s="754"/>
      <c r="BM622" s="754"/>
      <c r="BN622" s="754"/>
      <c r="BO622" s="754"/>
      <c r="BP622" s="754"/>
      <c r="BQ622" s="754"/>
      <c r="BR622" s="754"/>
      <c r="BS622" s="754"/>
      <c r="BT622" s="754"/>
      <c r="BU622" s="754"/>
      <c r="BV622" s="754"/>
      <c r="BW622" s="754"/>
      <c r="BX622" s="754"/>
      <c r="BY622" s="754"/>
      <c r="BZ622" s="755"/>
      <c r="CB622" s="641" t="str">
        <f>IF(CB620="","",VLOOKUP(CB620,KanckRef!$A$1:$G$300,4,FALSE))</f>
        <v/>
      </c>
      <c r="CC622" s="642"/>
      <c r="CD622" s="642"/>
      <c r="CE622" s="642"/>
      <c r="CF622" s="642"/>
      <c r="CG622" s="642"/>
      <c r="CH622" s="1033"/>
      <c r="CI622" s="753"/>
      <c r="CJ622" s="754"/>
      <c r="CK622" s="754"/>
      <c r="CL622" s="754"/>
      <c r="CM622" s="754"/>
      <c r="CN622" s="754"/>
      <c r="CO622" s="754"/>
      <c r="CP622" s="754"/>
      <c r="CQ622" s="754"/>
      <c r="CR622" s="754"/>
      <c r="CS622" s="754"/>
      <c r="CT622" s="754"/>
      <c r="CU622" s="754"/>
      <c r="CV622" s="754"/>
      <c r="CW622" s="754"/>
      <c r="CX622" s="754"/>
      <c r="CY622" s="754"/>
      <c r="CZ622" s="755"/>
    </row>
    <row r="623" spans="1:104" x14ac:dyDescent="0.25">
      <c r="B623" s="1026" t="str">
        <f>IF(B620="","",VLOOKUP(B620,BoonRef!$A$2:$Z$900,23,FALSE))</f>
        <v/>
      </c>
      <c r="C623" s="727"/>
      <c r="D623" s="727"/>
      <c r="E623" s="727"/>
      <c r="F623" s="727"/>
      <c r="G623" s="727"/>
      <c r="H623" s="727"/>
      <c r="I623" s="727"/>
      <c r="J623" s="727"/>
      <c r="K623" s="727"/>
      <c r="L623" s="727"/>
      <c r="M623" s="727"/>
      <c r="N623" s="727"/>
      <c r="O623" s="727"/>
      <c r="P623" s="727"/>
      <c r="Q623" s="727"/>
      <c r="R623" s="727"/>
      <c r="S623" s="727"/>
      <c r="T623" s="727"/>
      <c r="U623" s="727"/>
      <c r="V623" s="727"/>
      <c r="W623" s="727"/>
      <c r="X623" s="727"/>
      <c r="Y623" s="727"/>
      <c r="Z623" s="728"/>
      <c r="AB623" s="1026" t="str">
        <f>IF(AB620="","",VLOOKUP(AB620,BoonRef!$A$2:$Z$900,23,FALSE))</f>
        <v/>
      </c>
      <c r="AC623" s="727"/>
      <c r="AD623" s="727"/>
      <c r="AE623" s="727"/>
      <c r="AF623" s="727"/>
      <c r="AG623" s="727"/>
      <c r="AH623" s="727"/>
      <c r="AI623" s="727"/>
      <c r="AJ623" s="727"/>
      <c r="AK623" s="727"/>
      <c r="AL623" s="727"/>
      <c r="AM623" s="727"/>
      <c r="AN623" s="727"/>
      <c r="AO623" s="727"/>
      <c r="AP623" s="727"/>
      <c r="AQ623" s="727"/>
      <c r="AR623" s="727"/>
      <c r="AS623" s="727"/>
      <c r="AT623" s="727"/>
      <c r="AU623" s="727"/>
      <c r="AV623" s="727"/>
      <c r="AW623" s="727"/>
      <c r="AX623" s="727"/>
      <c r="AY623" s="727"/>
      <c r="AZ623" s="728"/>
      <c r="BB623" s="635"/>
      <c r="BC623" s="636"/>
      <c r="BD623" s="636"/>
      <c r="BE623" s="636"/>
      <c r="BF623" s="636"/>
      <c r="BG623" s="636"/>
      <c r="BH623" s="1036"/>
      <c r="BI623" s="753"/>
      <c r="BJ623" s="754"/>
      <c r="BK623" s="754"/>
      <c r="BL623" s="754"/>
      <c r="BM623" s="754"/>
      <c r="BN623" s="754"/>
      <c r="BO623" s="754"/>
      <c r="BP623" s="754"/>
      <c r="BQ623" s="754"/>
      <c r="BR623" s="754"/>
      <c r="BS623" s="754"/>
      <c r="BT623" s="754"/>
      <c r="BU623" s="754"/>
      <c r="BV623" s="754"/>
      <c r="BW623" s="754"/>
      <c r="BX623" s="754"/>
      <c r="BY623" s="754"/>
      <c r="BZ623" s="755"/>
      <c r="CB623" s="635"/>
      <c r="CC623" s="636"/>
      <c r="CD623" s="636"/>
      <c r="CE623" s="636"/>
      <c r="CF623" s="636"/>
      <c r="CG623" s="636"/>
      <c r="CH623" s="1036"/>
      <c r="CI623" s="753"/>
      <c r="CJ623" s="754"/>
      <c r="CK623" s="754"/>
      <c r="CL623" s="754"/>
      <c r="CM623" s="754"/>
      <c r="CN623" s="754"/>
      <c r="CO623" s="754"/>
      <c r="CP623" s="754"/>
      <c r="CQ623" s="754"/>
      <c r="CR623" s="754"/>
      <c r="CS623" s="754"/>
      <c r="CT623" s="754"/>
      <c r="CU623" s="754"/>
      <c r="CV623" s="754"/>
      <c r="CW623" s="754"/>
      <c r="CX623" s="754"/>
      <c r="CY623" s="754"/>
      <c r="CZ623" s="755"/>
    </row>
    <row r="624" spans="1:104" ht="15.75" thickBot="1" x14ac:dyDescent="0.3">
      <c r="B624" s="1027"/>
      <c r="C624" s="865"/>
      <c r="D624" s="865"/>
      <c r="E624" s="865"/>
      <c r="F624" s="865"/>
      <c r="G624" s="865"/>
      <c r="H624" s="865"/>
      <c r="I624" s="865"/>
      <c r="J624" s="865"/>
      <c r="K624" s="865"/>
      <c r="L624" s="865"/>
      <c r="M624" s="865"/>
      <c r="N624" s="865"/>
      <c r="O624" s="865"/>
      <c r="P624" s="865"/>
      <c r="Q624" s="865"/>
      <c r="R624" s="865"/>
      <c r="S624" s="865"/>
      <c r="T624" s="865"/>
      <c r="U624" s="865"/>
      <c r="V624" s="865"/>
      <c r="W624" s="865"/>
      <c r="X624" s="865"/>
      <c r="Y624" s="865"/>
      <c r="Z624" s="921"/>
      <c r="AB624" s="1027"/>
      <c r="AC624" s="865"/>
      <c r="AD624" s="865"/>
      <c r="AE624" s="865"/>
      <c r="AF624" s="865"/>
      <c r="AG624" s="865"/>
      <c r="AH624" s="865"/>
      <c r="AI624" s="865"/>
      <c r="AJ624" s="865"/>
      <c r="AK624" s="865"/>
      <c r="AL624" s="865"/>
      <c r="AM624" s="865"/>
      <c r="AN624" s="865"/>
      <c r="AO624" s="865"/>
      <c r="AP624" s="865"/>
      <c r="AQ624" s="865"/>
      <c r="AR624" s="865"/>
      <c r="AS624" s="865"/>
      <c r="AT624" s="865"/>
      <c r="AU624" s="865"/>
      <c r="AV624" s="865"/>
      <c r="AW624" s="865"/>
      <c r="AX624" s="865"/>
      <c r="AY624" s="865"/>
      <c r="AZ624" s="921"/>
      <c r="BB624" s="644"/>
      <c r="BC624" s="645"/>
      <c r="BD624" s="645"/>
      <c r="BE624" s="645"/>
      <c r="BF624" s="645"/>
      <c r="BG624" s="645"/>
      <c r="BH624" s="1037"/>
      <c r="BI624" s="756"/>
      <c r="BJ624" s="757"/>
      <c r="BK624" s="757"/>
      <c r="BL624" s="757"/>
      <c r="BM624" s="757"/>
      <c r="BN624" s="757"/>
      <c r="BO624" s="757"/>
      <c r="BP624" s="757"/>
      <c r="BQ624" s="757"/>
      <c r="BR624" s="757"/>
      <c r="BS624" s="757"/>
      <c r="BT624" s="757"/>
      <c r="BU624" s="757"/>
      <c r="BV624" s="757"/>
      <c r="BW624" s="757"/>
      <c r="BX624" s="757"/>
      <c r="BY624" s="757"/>
      <c r="BZ624" s="758"/>
      <c r="CB624" s="644"/>
      <c r="CC624" s="645"/>
      <c r="CD624" s="645"/>
      <c r="CE624" s="645"/>
      <c r="CF624" s="645"/>
      <c r="CG624" s="645"/>
      <c r="CH624" s="1037"/>
      <c r="CI624" s="756"/>
      <c r="CJ624" s="757"/>
      <c r="CK624" s="757"/>
      <c r="CL624" s="757"/>
      <c r="CM624" s="757"/>
      <c r="CN624" s="757"/>
      <c r="CO624" s="757"/>
      <c r="CP624" s="757"/>
      <c r="CQ624" s="757"/>
      <c r="CR624" s="757"/>
      <c r="CS624" s="757"/>
      <c r="CT624" s="757"/>
      <c r="CU624" s="757"/>
      <c r="CV624" s="757"/>
      <c r="CW624" s="757"/>
      <c r="CX624" s="757"/>
      <c r="CY624" s="757"/>
      <c r="CZ624" s="758"/>
    </row>
    <row r="625" spans="1:104" x14ac:dyDescent="0.25">
      <c r="B625" s="1028" t="str">
        <f>IF(B626="","",VLOOKUP(B626,BoonRef!$A$2:$Z$900,2,FALSE))</f>
        <v/>
      </c>
      <c r="C625" s="725"/>
      <c r="D625" s="725"/>
      <c r="E625" s="725"/>
      <c r="F625" s="725"/>
      <c r="G625" s="725"/>
      <c r="H625" s="725"/>
      <c r="I625" s="725" t="str">
        <f>IF(B626="","",VLOOKUP(B626,BoonRef!$A$2:$Z$900,3,FALSE))</f>
        <v/>
      </c>
      <c r="J625" s="725"/>
      <c r="K625" s="725" t="str">
        <f>IF(B626="","",VLOOKUP(B626,DescRef!$A$2:$B$900,2,FALSE))</f>
        <v/>
      </c>
      <c r="L625" s="725"/>
      <c r="M625" s="725"/>
      <c r="N625" s="725"/>
      <c r="O625" s="725"/>
      <c r="P625" s="725"/>
      <c r="Q625" s="725"/>
      <c r="R625" s="725"/>
      <c r="S625" s="725"/>
      <c r="T625" s="725"/>
      <c r="U625" s="725"/>
      <c r="V625" s="725"/>
      <c r="W625" s="725"/>
      <c r="X625" s="725"/>
      <c r="Y625" s="725"/>
      <c r="Z625" s="726"/>
      <c r="AB625" s="1028" t="str">
        <f>IF(AB626="","",VLOOKUP(AB626,BoonRef!$A$2:$Z$900,2,FALSE))</f>
        <v/>
      </c>
      <c r="AC625" s="725"/>
      <c r="AD625" s="725"/>
      <c r="AE625" s="725"/>
      <c r="AF625" s="725"/>
      <c r="AG625" s="725"/>
      <c r="AH625" s="725"/>
      <c r="AI625" s="725" t="str">
        <f>IF(AB626="","",VLOOKUP(AB626,BoonRef!$A$2:$Z$900,3,FALSE))</f>
        <v/>
      </c>
      <c r="AJ625" s="725"/>
      <c r="AK625" s="725" t="str">
        <f>IF(AB626="","",VLOOKUP(AB626,DescRef!$A$2:$B$900,2,FALSE))</f>
        <v/>
      </c>
      <c r="AL625" s="725"/>
      <c r="AM625" s="725"/>
      <c r="AN625" s="725"/>
      <c r="AO625" s="725"/>
      <c r="AP625" s="725"/>
      <c r="AQ625" s="725"/>
      <c r="AR625" s="725"/>
      <c r="AS625" s="725"/>
      <c r="AT625" s="725"/>
      <c r="AU625" s="725"/>
      <c r="AV625" s="725"/>
      <c r="AW625" s="725"/>
      <c r="AX625" s="725"/>
      <c r="AY625" s="725"/>
      <c r="AZ625" s="726"/>
      <c r="BB625" s="1029" t="str">
        <f>IF(BB626="","",VLOOKUP(BB626,KanckRef!$A$1:$G$300,2,FALSE))</f>
        <v/>
      </c>
      <c r="BC625" s="1030"/>
      <c r="BD625" s="1030"/>
      <c r="BE625" s="1030"/>
      <c r="BF625" s="1031"/>
      <c r="BG625" s="1048" t="str">
        <f>IF(BB626="","",VLOOKUP(BB626,KanckRef!$A$1:$G$300,6,FALSE))</f>
        <v/>
      </c>
      <c r="BH625" s="1049"/>
      <c r="BI625" s="988" t="str">
        <f>IF(BB626="","",VLOOKUP(BB626,DescRef!$D$2:$E$300,2,FALSE))</f>
        <v/>
      </c>
      <c r="BJ625" s="795"/>
      <c r="BK625" s="795"/>
      <c r="BL625" s="795"/>
      <c r="BM625" s="795"/>
      <c r="BN625" s="795"/>
      <c r="BO625" s="795"/>
      <c r="BP625" s="795"/>
      <c r="BQ625" s="795"/>
      <c r="BR625" s="795"/>
      <c r="BS625" s="795"/>
      <c r="BT625" s="795"/>
      <c r="BU625" s="795"/>
      <c r="BV625" s="795"/>
      <c r="BW625" s="795"/>
      <c r="BX625" s="795"/>
      <c r="BY625" s="795"/>
      <c r="BZ625" s="796"/>
      <c r="CB625" s="1029" t="str">
        <f>IF(CB626="","",VLOOKUP(CB626,KanckRef!$A$1:$G$300,2,FALSE))</f>
        <v/>
      </c>
      <c r="CC625" s="1030"/>
      <c r="CD625" s="1030"/>
      <c r="CE625" s="1030"/>
      <c r="CF625" s="1031"/>
      <c r="CG625" s="1048" t="str">
        <f>IF(CB626="","",VLOOKUP(CB626,KanckRef!$A$1:$G$300,6,FALSE))</f>
        <v/>
      </c>
      <c r="CH625" s="1049"/>
      <c r="CI625" s="988" t="str">
        <f>IF(CB626="","",VLOOKUP(CB626,DescRef!$D$2:$E$300,2,FALSE))</f>
        <v/>
      </c>
      <c r="CJ625" s="795"/>
      <c r="CK625" s="795"/>
      <c r="CL625" s="795"/>
      <c r="CM625" s="795"/>
      <c r="CN625" s="795"/>
      <c r="CO625" s="795"/>
      <c r="CP625" s="795"/>
      <c r="CQ625" s="795"/>
      <c r="CR625" s="795"/>
      <c r="CS625" s="795"/>
      <c r="CT625" s="795"/>
      <c r="CU625" s="795"/>
      <c r="CV625" s="795"/>
      <c r="CW625" s="795"/>
      <c r="CX625" s="795"/>
      <c r="CY625" s="795"/>
      <c r="CZ625" s="796"/>
    </row>
    <row r="626" spans="1:104" ht="15" customHeight="1" x14ac:dyDescent="0.25">
      <c r="A626" s="15">
        <v>104</v>
      </c>
      <c r="B626" s="1026" t="str">
        <f>IF(A626&lt;'Purchased Boons'!$B$496,VLOOKUP(A626,'Purchased Boons'!$BF$2:$BG$900,2,FALSE),"")</f>
        <v/>
      </c>
      <c r="C626" s="727"/>
      <c r="D626" s="727"/>
      <c r="E626" s="727"/>
      <c r="F626" s="727"/>
      <c r="G626" s="727"/>
      <c r="H626" s="727"/>
      <c r="I626" s="727" t="str">
        <f>IF(B626="","",VLOOKUP(B626,BoonRef!$A$2:$Z$900,25,FALSE))</f>
        <v/>
      </c>
      <c r="J626" s="727"/>
      <c r="K626" s="727"/>
      <c r="L626" s="727"/>
      <c r="M626" s="727"/>
      <c r="N626" s="727"/>
      <c r="O626" s="727"/>
      <c r="P626" s="727"/>
      <c r="Q626" s="727"/>
      <c r="R626" s="727"/>
      <c r="S626" s="727"/>
      <c r="T626" s="727"/>
      <c r="U626" s="727"/>
      <c r="V626" s="727"/>
      <c r="W626" s="727"/>
      <c r="X626" s="727"/>
      <c r="Y626" s="727"/>
      <c r="Z626" s="728"/>
      <c r="AA626" s="15">
        <v>211</v>
      </c>
      <c r="AB626" s="1026" t="str">
        <f>IF(AA626&lt;'Purchased Boons'!$B$496,VLOOKUP(AA626,'Purchased Boons'!$BF$2:$BG$900,2,FALSE),"")</f>
        <v/>
      </c>
      <c r="AC626" s="727"/>
      <c r="AD626" s="727"/>
      <c r="AE626" s="727"/>
      <c r="AF626" s="727"/>
      <c r="AG626" s="727"/>
      <c r="AH626" s="727"/>
      <c r="AI626" s="727" t="str">
        <f>IF(AB626="","",VLOOKUP(AB626,BoonRef!$A$2:$Z$900,25,FALSE))</f>
        <v/>
      </c>
      <c r="AJ626" s="727"/>
      <c r="AK626" s="727"/>
      <c r="AL626" s="727"/>
      <c r="AM626" s="727"/>
      <c r="AN626" s="727"/>
      <c r="AO626" s="727"/>
      <c r="AP626" s="727"/>
      <c r="AQ626" s="727"/>
      <c r="AR626" s="727"/>
      <c r="AS626" s="727"/>
      <c r="AT626" s="727"/>
      <c r="AU626" s="727"/>
      <c r="AV626" s="727"/>
      <c r="AW626" s="727"/>
      <c r="AX626" s="727"/>
      <c r="AY626" s="727"/>
      <c r="AZ626" s="728"/>
      <c r="BA626" s="15">
        <v>104</v>
      </c>
      <c r="BB626" s="1038" t="str">
        <f>IF(BA626&lt;'Purchased Knacks'!A$192,VLOOKUP(BA626,'Purchased Knacks'!$A$4:$E$300,3,FALSE),"")</f>
        <v/>
      </c>
      <c r="BC626" s="1039"/>
      <c r="BD626" s="1039"/>
      <c r="BE626" s="1039"/>
      <c r="BF626" s="1040"/>
      <c r="BG626" s="1032" t="str">
        <f>IF(BB626="","",VLOOKUP(BB626,KanckRef!$A$1:$G$300,7,FALSE))</f>
        <v/>
      </c>
      <c r="BH626" s="1033"/>
      <c r="BI626" s="753"/>
      <c r="BJ626" s="754"/>
      <c r="BK626" s="754"/>
      <c r="BL626" s="754"/>
      <c r="BM626" s="754"/>
      <c r="BN626" s="754"/>
      <c r="BO626" s="754"/>
      <c r="BP626" s="754"/>
      <c r="BQ626" s="754"/>
      <c r="BR626" s="754"/>
      <c r="BS626" s="754"/>
      <c r="BT626" s="754"/>
      <c r="BU626" s="754"/>
      <c r="BV626" s="754"/>
      <c r="BW626" s="754"/>
      <c r="BX626" s="754"/>
      <c r="BY626" s="754"/>
      <c r="BZ626" s="755"/>
      <c r="CA626" s="15">
        <v>211</v>
      </c>
      <c r="CB626" s="1038" t="str">
        <f>IF(CA626&lt;'Purchased Knacks'!A$192,VLOOKUP(CA626,'Purchased Knacks'!$A$4:$E$300,3,FALSE),"")</f>
        <v/>
      </c>
      <c r="CC626" s="1039"/>
      <c r="CD626" s="1039"/>
      <c r="CE626" s="1039"/>
      <c r="CF626" s="1040"/>
      <c r="CG626" s="1032" t="str">
        <f>IF(CB626="","",VLOOKUP(CB626,KanckRef!$A$1:$G$300,7,FALSE))</f>
        <v/>
      </c>
      <c r="CH626" s="1033"/>
      <c r="CI626" s="753"/>
      <c r="CJ626" s="754"/>
      <c r="CK626" s="754"/>
      <c r="CL626" s="754"/>
      <c r="CM626" s="754"/>
      <c r="CN626" s="754"/>
      <c r="CO626" s="754"/>
      <c r="CP626" s="754"/>
      <c r="CQ626" s="754"/>
      <c r="CR626" s="754"/>
      <c r="CS626" s="754"/>
      <c r="CT626" s="754"/>
      <c r="CU626" s="754"/>
      <c r="CV626" s="754"/>
      <c r="CW626" s="754"/>
      <c r="CX626" s="754"/>
      <c r="CY626" s="754"/>
      <c r="CZ626" s="755"/>
    </row>
    <row r="627" spans="1:104" x14ac:dyDescent="0.25">
      <c r="B627" s="1026"/>
      <c r="C627" s="727"/>
      <c r="D627" s="727"/>
      <c r="E627" s="727"/>
      <c r="F627" s="727"/>
      <c r="G627" s="727"/>
      <c r="H627" s="727"/>
      <c r="I627" s="727" t="str">
        <f>IF(B626="","",VLOOKUP(B626,BoonRef!$A$2:$Z$900,26,FALSE))</f>
        <v/>
      </c>
      <c r="J627" s="727"/>
      <c r="K627" s="727"/>
      <c r="L627" s="727"/>
      <c r="M627" s="727"/>
      <c r="N627" s="727"/>
      <c r="O627" s="727"/>
      <c r="P627" s="727"/>
      <c r="Q627" s="727"/>
      <c r="R627" s="727"/>
      <c r="S627" s="727"/>
      <c r="T627" s="727"/>
      <c r="U627" s="727"/>
      <c r="V627" s="727"/>
      <c r="W627" s="727"/>
      <c r="X627" s="727"/>
      <c r="Y627" s="727"/>
      <c r="Z627" s="728"/>
      <c r="AB627" s="1026"/>
      <c r="AC627" s="727"/>
      <c r="AD627" s="727"/>
      <c r="AE627" s="727"/>
      <c r="AF627" s="727"/>
      <c r="AG627" s="727"/>
      <c r="AH627" s="727"/>
      <c r="AI627" s="727" t="str">
        <f>IF(AB626="","",VLOOKUP(AB626,BoonRef!$A$2:$Z$900,26,FALSE))</f>
        <v/>
      </c>
      <c r="AJ627" s="727"/>
      <c r="AK627" s="727"/>
      <c r="AL627" s="727"/>
      <c r="AM627" s="727"/>
      <c r="AN627" s="727"/>
      <c r="AO627" s="727"/>
      <c r="AP627" s="727"/>
      <c r="AQ627" s="727"/>
      <c r="AR627" s="727"/>
      <c r="AS627" s="727"/>
      <c r="AT627" s="727"/>
      <c r="AU627" s="727"/>
      <c r="AV627" s="727"/>
      <c r="AW627" s="727"/>
      <c r="AX627" s="727"/>
      <c r="AY627" s="727"/>
      <c r="AZ627" s="728"/>
      <c r="BB627" s="1041"/>
      <c r="BC627" s="1042"/>
      <c r="BD627" s="1042"/>
      <c r="BE627" s="1042"/>
      <c r="BF627" s="1043"/>
      <c r="BG627" s="1034"/>
      <c r="BH627" s="1035"/>
      <c r="BI627" s="753"/>
      <c r="BJ627" s="754"/>
      <c r="BK627" s="754"/>
      <c r="BL627" s="754"/>
      <c r="BM627" s="754"/>
      <c r="BN627" s="754"/>
      <c r="BO627" s="754"/>
      <c r="BP627" s="754"/>
      <c r="BQ627" s="754"/>
      <c r="BR627" s="754"/>
      <c r="BS627" s="754"/>
      <c r="BT627" s="754"/>
      <c r="BU627" s="754"/>
      <c r="BV627" s="754"/>
      <c r="BW627" s="754"/>
      <c r="BX627" s="754"/>
      <c r="BY627" s="754"/>
      <c r="BZ627" s="755"/>
      <c r="CB627" s="1041"/>
      <c r="CC627" s="1042"/>
      <c r="CD627" s="1042"/>
      <c r="CE627" s="1042"/>
      <c r="CF627" s="1043"/>
      <c r="CG627" s="1034"/>
      <c r="CH627" s="1035"/>
      <c r="CI627" s="753"/>
      <c r="CJ627" s="754"/>
      <c r="CK627" s="754"/>
      <c r="CL627" s="754"/>
      <c r="CM627" s="754"/>
      <c r="CN627" s="754"/>
      <c r="CO627" s="754"/>
      <c r="CP627" s="754"/>
      <c r="CQ627" s="754"/>
      <c r="CR627" s="754"/>
      <c r="CS627" s="754"/>
      <c r="CT627" s="754"/>
      <c r="CU627" s="754"/>
      <c r="CV627" s="754"/>
      <c r="CW627" s="754"/>
      <c r="CX627" s="754"/>
      <c r="CY627" s="754"/>
      <c r="CZ627" s="755"/>
    </row>
    <row r="628" spans="1:104" x14ac:dyDescent="0.25">
      <c r="B628" s="1026" t="str">
        <f>IF(B626="","",VLOOKUP(B626,BoonRef!$A$2:$Z$900,24,FALSE))</f>
        <v/>
      </c>
      <c r="C628" s="727"/>
      <c r="D628" s="727"/>
      <c r="E628" s="727"/>
      <c r="F628" s="727"/>
      <c r="G628" s="727"/>
      <c r="H628" s="727"/>
      <c r="I628" s="727"/>
      <c r="J628" s="727"/>
      <c r="K628" s="727"/>
      <c r="L628" s="727"/>
      <c r="M628" s="727"/>
      <c r="N628" s="727"/>
      <c r="O628" s="727"/>
      <c r="P628" s="727"/>
      <c r="Q628" s="727"/>
      <c r="R628" s="727"/>
      <c r="S628" s="727"/>
      <c r="T628" s="727"/>
      <c r="U628" s="727"/>
      <c r="V628" s="727"/>
      <c r="W628" s="727"/>
      <c r="X628" s="727"/>
      <c r="Y628" s="727"/>
      <c r="Z628" s="728"/>
      <c r="AB628" s="1026" t="str">
        <f>IF(AB626="","",VLOOKUP(AB626,BoonRef!$A$2:$Z$900,24,FALSE))</f>
        <v/>
      </c>
      <c r="AC628" s="727"/>
      <c r="AD628" s="727"/>
      <c r="AE628" s="727"/>
      <c r="AF628" s="727"/>
      <c r="AG628" s="727"/>
      <c r="AH628" s="727"/>
      <c r="AI628" s="727"/>
      <c r="AJ628" s="727"/>
      <c r="AK628" s="727"/>
      <c r="AL628" s="727"/>
      <c r="AM628" s="727"/>
      <c r="AN628" s="727"/>
      <c r="AO628" s="727"/>
      <c r="AP628" s="727"/>
      <c r="AQ628" s="727"/>
      <c r="AR628" s="727"/>
      <c r="AS628" s="727"/>
      <c r="AT628" s="727"/>
      <c r="AU628" s="727"/>
      <c r="AV628" s="727"/>
      <c r="AW628" s="727"/>
      <c r="AX628" s="727"/>
      <c r="AY628" s="727"/>
      <c r="AZ628" s="728"/>
      <c r="BB628" s="641" t="str">
        <f>IF(BB626="","",VLOOKUP(BB626,KanckRef!$A$1:$G$300,4,FALSE))</f>
        <v/>
      </c>
      <c r="BC628" s="642"/>
      <c r="BD628" s="642"/>
      <c r="BE628" s="642"/>
      <c r="BF628" s="642"/>
      <c r="BG628" s="642"/>
      <c r="BH628" s="1033"/>
      <c r="BI628" s="753"/>
      <c r="BJ628" s="754"/>
      <c r="BK628" s="754"/>
      <c r="BL628" s="754"/>
      <c r="BM628" s="754"/>
      <c r="BN628" s="754"/>
      <c r="BO628" s="754"/>
      <c r="BP628" s="754"/>
      <c r="BQ628" s="754"/>
      <c r="BR628" s="754"/>
      <c r="BS628" s="754"/>
      <c r="BT628" s="754"/>
      <c r="BU628" s="754"/>
      <c r="BV628" s="754"/>
      <c r="BW628" s="754"/>
      <c r="BX628" s="754"/>
      <c r="BY628" s="754"/>
      <c r="BZ628" s="755"/>
      <c r="CB628" s="641" t="str">
        <f>IF(CB626="","",VLOOKUP(CB626,KanckRef!$A$1:$G$300,4,FALSE))</f>
        <v/>
      </c>
      <c r="CC628" s="642"/>
      <c r="CD628" s="642"/>
      <c r="CE628" s="642"/>
      <c r="CF628" s="642"/>
      <c r="CG628" s="642"/>
      <c r="CH628" s="1033"/>
      <c r="CI628" s="753"/>
      <c r="CJ628" s="754"/>
      <c r="CK628" s="754"/>
      <c r="CL628" s="754"/>
      <c r="CM628" s="754"/>
      <c r="CN628" s="754"/>
      <c r="CO628" s="754"/>
      <c r="CP628" s="754"/>
      <c r="CQ628" s="754"/>
      <c r="CR628" s="754"/>
      <c r="CS628" s="754"/>
      <c r="CT628" s="754"/>
      <c r="CU628" s="754"/>
      <c r="CV628" s="754"/>
      <c r="CW628" s="754"/>
      <c r="CX628" s="754"/>
      <c r="CY628" s="754"/>
      <c r="CZ628" s="755"/>
    </row>
    <row r="629" spans="1:104" x14ac:dyDescent="0.25">
      <c r="B629" s="1026" t="str">
        <f>IF(B626="","",VLOOKUP(B626,BoonRef!$A$2:$Z$900,23,FALSE))</f>
        <v/>
      </c>
      <c r="C629" s="727"/>
      <c r="D629" s="727"/>
      <c r="E629" s="727"/>
      <c r="F629" s="727"/>
      <c r="G629" s="727"/>
      <c r="H629" s="727"/>
      <c r="I629" s="727"/>
      <c r="J629" s="727"/>
      <c r="K629" s="727"/>
      <c r="L629" s="727"/>
      <c r="M629" s="727"/>
      <c r="N629" s="727"/>
      <c r="O629" s="727"/>
      <c r="P629" s="727"/>
      <c r="Q629" s="727"/>
      <c r="R629" s="727"/>
      <c r="S629" s="727"/>
      <c r="T629" s="727"/>
      <c r="U629" s="727"/>
      <c r="V629" s="727"/>
      <c r="W629" s="727"/>
      <c r="X629" s="727"/>
      <c r="Y629" s="727"/>
      <c r="Z629" s="728"/>
      <c r="AB629" s="1026" t="str">
        <f>IF(AB626="","",VLOOKUP(AB626,BoonRef!$A$2:$Z$900,23,FALSE))</f>
        <v/>
      </c>
      <c r="AC629" s="727"/>
      <c r="AD629" s="727"/>
      <c r="AE629" s="727"/>
      <c r="AF629" s="727"/>
      <c r="AG629" s="727"/>
      <c r="AH629" s="727"/>
      <c r="AI629" s="727"/>
      <c r="AJ629" s="727"/>
      <c r="AK629" s="727"/>
      <c r="AL629" s="727"/>
      <c r="AM629" s="727"/>
      <c r="AN629" s="727"/>
      <c r="AO629" s="727"/>
      <c r="AP629" s="727"/>
      <c r="AQ629" s="727"/>
      <c r="AR629" s="727"/>
      <c r="AS629" s="727"/>
      <c r="AT629" s="727"/>
      <c r="AU629" s="727"/>
      <c r="AV629" s="727"/>
      <c r="AW629" s="727"/>
      <c r="AX629" s="727"/>
      <c r="AY629" s="727"/>
      <c r="AZ629" s="728"/>
      <c r="BB629" s="635"/>
      <c r="BC629" s="636"/>
      <c r="BD629" s="636"/>
      <c r="BE629" s="636"/>
      <c r="BF629" s="636"/>
      <c r="BG629" s="636"/>
      <c r="BH629" s="1036"/>
      <c r="BI629" s="753"/>
      <c r="BJ629" s="754"/>
      <c r="BK629" s="754"/>
      <c r="BL629" s="754"/>
      <c r="BM629" s="754"/>
      <c r="BN629" s="754"/>
      <c r="BO629" s="754"/>
      <c r="BP629" s="754"/>
      <c r="BQ629" s="754"/>
      <c r="BR629" s="754"/>
      <c r="BS629" s="754"/>
      <c r="BT629" s="754"/>
      <c r="BU629" s="754"/>
      <c r="BV629" s="754"/>
      <c r="BW629" s="754"/>
      <c r="BX629" s="754"/>
      <c r="BY629" s="754"/>
      <c r="BZ629" s="755"/>
      <c r="CB629" s="635"/>
      <c r="CC629" s="636"/>
      <c r="CD629" s="636"/>
      <c r="CE629" s="636"/>
      <c r="CF629" s="636"/>
      <c r="CG629" s="636"/>
      <c r="CH629" s="1036"/>
      <c r="CI629" s="753"/>
      <c r="CJ629" s="754"/>
      <c r="CK629" s="754"/>
      <c r="CL629" s="754"/>
      <c r="CM629" s="754"/>
      <c r="CN629" s="754"/>
      <c r="CO629" s="754"/>
      <c r="CP629" s="754"/>
      <c r="CQ629" s="754"/>
      <c r="CR629" s="754"/>
      <c r="CS629" s="754"/>
      <c r="CT629" s="754"/>
      <c r="CU629" s="754"/>
      <c r="CV629" s="754"/>
      <c r="CW629" s="754"/>
      <c r="CX629" s="754"/>
      <c r="CY629" s="754"/>
      <c r="CZ629" s="755"/>
    </row>
    <row r="630" spans="1:104" ht="15.75" thickBot="1" x14ac:dyDescent="0.3">
      <c r="B630" s="1027"/>
      <c r="C630" s="865"/>
      <c r="D630" s="865"/>
      <c r="E630" s="865"/>
      <c r="F630" s="865"/>
      <c r="G630" s="865"/>
      <c r="H630" s="865"/>
      <c r="I630" s="865"/>
      <c r="J630" s="865"/>
      <c r="K630" s="865"/>
      <c r="L630" s="865"/>
      <c r="M630" s="865"/>
      <c r="N630" s="865"/>
      <c r="O630" s="865"/>
      <c r="P630" s="865"/>
      <c r="Q630" s="865"/>
      <c r="R630" s="865"/>
      <c r="S630" s="865"/>
      <c r="T630" s="865"/>
      <c r="U630" s="865"/>
      <c r="V630" s="865"/>
      <c r="W630" s="865"/>
      <c r="X630" s="865"/>
      <c r="Y630" s="865"/>
      <c r="Z630" s="921"/>
      <c r="AB630" s="1027"/>
      <c r="AC630" s="865"/>
      <c r="AD630" s="865"/>
      <c r="AE630" s="865"/>
      <c r="AF630" s="865"/>
      <c r="AG630" s="865"/>
      <c r="AH630" s="865"/>
      <c r="AI630" s="865"/>
      <c r="AJ630" s="865"/>
      <c r="AK630" s="865"/>
      <c r="AL630" s="865"/>
      <c r="AM630" s="865"/>
      <c r="AN630" s="865"/>
      <c r="AO630" s="865"/>
      <c r="AP630" s="865"/>
      <c r="AQ630" s="865"/>
      <c r="AR630" s="865"/>
      <c r="AS630" s="865"/>
      <c r="AT630" s="865"/>
      <c r="AU630" s="865"/>
      <c r="AV630" s="865"/>
      <c r="AW630" s="865"/>
      <c r="AX630" s="865"/>
      <c r="AY630" s="865"/>
      <c r="AZ630" s="921"/>
      <c r="BB630" s="644"/>
      <c r="BC630" s="645"/>
      <c r="BD630" s="645"/>
      <c r="BE630" s="645"/>
      <c r="BF630" s="645"/>
      <c r="BG630" s="645"/>
      <c r="BH630" s="1037"/>
      <c r="BI630" s="756"/>
      <c r="BJ630" s="757"/>
      <c r="BK630" s="757"/>
      <c r="BL630" s="757"/>
      <c r="BM630" s="757"/>
      <c r="BN630" s="757"/>
      <c r="BO630" s="757"/>
      <c r="BP630" s="757"/>
      <c r="BQ630" s="757"/>
      <c r="BR630" s="757"/>
      <c r="BS630" s="757"/>
      <c r="BT630" s="757"/>
      <c r="BU630" s="757"/>
      <c r="BV630" s="757"/>
      <c r="BW630" s="757"/>
      <c r="BX630" s="757"/>
      <c r="BY630" s="757"/>
      <c r="BZ630" s="758"/>
      <c r="CB630" s="644"/>
      <c r="CC630" s="645"/>
      <c r="CD630" s="645"/>
      <c r="CE630" s="645"/>
      <c r="CF630" s="645"/>
      <c r="CG630" s="645"/>
      <c r="CH630" s="1037"/>
      <c r="CI630" s="756"/>
      <c r="CJ630" s="757"/>
      <c r="CK630" s="757"/>
      <c r="CL630" s="757"/>
      <c r="CM630" s="757"/>
      <c r="CN630" s="757"/>
      <c r="CO630" s="757"/>
      <c r="CP630" s="757"/>
      <c r="CQ630" s="757"/>
      <c r="CR630" s="757"/>
      <c r="CS630" s="757"/>
      <c r="CT630" s="757"/>
      <c r="CU630" s="757"/>
      <c r="CV630" s="757"/>
      <c r="CW630" s="757"/>
      <c r="CX630" s="757"/>
      <c r="CY630" s="757"/>
      <c r="CZ630" s="758"/>
    </row>
    <row r="631" spans="1:104" x14ac:dyDescent="0.25">
      <c r="B631" s="1028" t="str">
        <f>IF(B632="","",VLOOKUP(B632,BoonRef!$A$2:$Z$900,2,FALSE))</f>
        <v/>
      </c>
      <c r="C631" s="725"/>
      <c r="D631" s="725"/>
      <c r="E631" s="725"/>
      <c r="F631" s="725"/>
      <c r="G631" s="725"/>
      <c r="H631" s="725"/>
      <c r="I631" s="725" t="str">
        <f>IF(B632="","",VLOOKUP(B632,BoonRef!$A$2:$Z$900,3,FALSE))</f>
        <v/>
      </c>
      <c r="J631" s="725"/>
      <c r="K631" s="725" t="str">
        <f>IF(B632="","",VLOOKUP(B632,DescRef!$A$2:$B$900,2,FALSE))</f>
        <v/>
      </c>
      <c r="L631" s="725"/>
      <c r="M631" s="725"/>
      <c r="N631" s="725"/>
      <c r="O631" s="725"/>
      <c r="P631" s="725"/>
      <c r="Q631" s="725"/>
      <c r="R631" s="725"/>
      <c r="S631" s="725"/>
      <c r="T631" s="725"/>
      <c r="U631" s="725"/>
      <c r="V631" s="725"/>
      <c r="W631" s="725"/>
      <c r="X631" s="725"/>
      <c r="Y631" s="725"/>
      <c r="Z631" s="726"/>
      <c r="AB631" s="1028" t="str">
        <f>IF(AB632="","",VLOOKUP(AB632,BoonRef!$A$2:$Z$900,2,FALSE))</f>
        <v/>
      </c>
      <c r="AC631" s="725"/>
      <c r="AD631" s="725"/>
      <c r="AE631" s="725"/>
      <c r="AF631" s="725"/>
      <c r="AG631" s="725"/>
      <c r="AH631" s="725"/>
      <c r="AI631" s="725" t="str">
        <f>IF(AB632="","",VLOOKUP(AB632,BoonRef!$A$2:$Z$900,3,FALSE))</f>
        <v/>
      </c>
      <c r="AJ631" s="725"/>
      <c r="AK631" s="725" t="str">
        <f>IF(AB632="","",VLOOKUP(AB632,DescRef!$A$2:$B$900,2,FALSE))</f>
        <v/>
      </c>
      <c r="AL631" s="725"/>
      <c r="AM631" s="725"/>
      <c r="AN631" s="725"/>
      <c r="AO631" s="725"/>
      <c r="AP631" s="725"/>
      <c r="AQ631" s="725"/>
      <c r="AR631" s="725"/>
      <c r="AS631" s="725"/>
      <c r="AT631" s="725"/>
      <c r="AU631" s="725"/>
      <c r="AV631" s="725"/>
      <c r="AW631" s="725"/>
      <c r="AX631" s="725"/>
      <c r="AY631" s="725"/>
      <c r="AZ631" s="726"/>
      <c r="BB631" s="1029" t="str">
        <f>IF(BB632="","",VLOOKUP(BB632,KanckRef!$A$1:$G$300,2,FALSE))</f>
        <v/>
      </c>
      <c r="BC631" s="1030"/>
      <c r="BD631" s="1030"/>
      <c r="BE631" s="1030"/>
      <c r="BF631" s="1031"/>
      <c r="BG631" s="1048" t="str">
        <f>IF(BB632="","",VLOOKUP(BB632,KanckRef!$A$1:$G$300,6,FALSE))</f>
        <v/>
      </c>
      <c r="BH631" s="1049"/>
      <c r="BI631" s="988" t="str">
        <f>IF(BB632="","",VLOOKUP(BB632,DescRef!$D$2:$E$300,2,FALSE))</f>
        <v/>
      </c>
      <c r="BJ631" s="795"/>
      <c r="BK631" s="795"/>
      <c r="BL631" s="795"/>
      <c r="BM631" s="795"/>
      <c r="BN631" s="795"/>
      <c r="BO631" s="795"/>
      <c r="BP631" s="795"/>
      <c r="BQ631" s="795"/>
      <c r="BR631" s="795"/>
      <c r="BS631" s="795"/>
      <c r="BT631" s="795"/>
      <c r="BU631" s="795"/>
      <c r="BV631" s="795"/>
      <c r="BW631" s="795"/>
      <c r="BX631" s="795"/>
      <c r="BY631" s="795"/>
      <c r="BZ631" s="796"/>
      <c r="CB631" s="1029" t="str">
        <f>IF(CB632="","",VLOOKUP(CB632,KanckRef!$A$1:$G$300,2,FALSE))</f>
        <v/>
      </c>
      <c r="CC631" s="1030"/>
      <c r="CD631" s="1030"/>
      <c r="CE631" s="1030"/>
      <c r="CF631" s="1031"/>
      <c r="CG631" s="1048" t="str">
        <f>IF(CB632="","",VLOOKUP(CB632,KanckRef!$A$1:$G$300,6,FALSE))</f>
        <v/>
      </c>
      <c r="CH631" s="1049"/>
      <c r="CI631" s="988" t="str">
        <f>IF(CB632="","",VLOOKUP(CB632,DescRef!$D$2:$E$300,2,FALSE))</f>
        <v/>
      </c>
      <c r="CJ631" s="795"/>
      <c r="CK631" s="795"/>
      <c r="CL631" s="795"/>
      <c r="CM631" s="795"/>
      <c r="CN631" s="795"/>
      <c r="CO631" s="795"/>
      <c r="CP631" s="795"/>
      <c r="CQ631" s="795"/>
      <c r="CR631" s="795"/>
      <c r="CS631" s="795"/>
      <c r="CT631" s="795"/>
      <c r="CU631" s="795"/>
      <c r="CV631" s="795"/>
      <c r="CW631" s="795"/>
      <c r="CX631" s="795"/>
      <c r="CY631" s="795"/>
      <c r="CZ631" s="796"/>
    </row>
    <row r="632" spans="1:104" ht="15" customHeight="1" x14ac:dyDescent="0.25">
      <c r="A632" s="15">
        <v>105</v>
      </c>
      <c r="B632" s="1026" t="str">
        <f>IF(A632&lt;'Purchased Boons'!$B$496,VLOOKUP(A632,'Purchased Boons'!$BF$2:$BG$900,2,FALSE),"")</f>
        <v/>
      </c>
      <c r="C632" s="727"/>
      <c r="D632" s="727"/>
      <c r="E632" s="727"/>
      <c r="F632" s="727"/>
      <c r="G632" s="727"/>
      <c r="H632" s="727"/>
      <c r="I632" s="727" t="str">
        <f>IF(B632="","",VLOOKUP(B632,BoonRef!$A$2:$Z$900,25,FALSE))</f>
        <v/>
      </c>
      <c r="J632" s="727"/>
      <c r="K632" s="727"/>
      <c r="L632" s="727"/>
      <c r="M632" s="727"/>
      <c r="N632" s="727"/>
      <c r="O632" s="727"/>
      <c r="P632" s="727"/>
      <c r="Q632" s="727"/>
      <c r="R632" s="727"/>
      <c r="S632" s="727"/>
      <c r="T632" s="727"/>
      <c r="U632" s="727"/>
      <c r="V632" s="727"/>
      <c r="W632" s="727"/>
      <c r="X632" s="727"/>
      <c r="Y632" s="727"/>
      <c r="Z632" s="728"/>
      <c r="AA632" s="15">
        <v>212</v>
      </c>
      <c r="AB632" s="1026" t="str">
        <f>IF(AA632&lt;'Purchased Boons'!$B$496,VLOOKUP(AA632,'Purchased Boons'!$BF$2:$BG$900,2,FALSE),"")</f>
        <v/>
      </c>
      <c r="AC632" s="727"/>
      <c r="AD632" s="727"/>
      <c r="AE632" s="727"/>
      <c r="AF632" s="727"/>
      <c r="AG632" s="727"/>
      <c r="AH632" s="727"/>
      <c r="AI632" s="727" t="str">
        <f>IF(AB632="","",VLOOKUP(AB632,BoonRef!$A$2:$Z$900,25,FALSE))</f>
        <v/>
      </c>
      <c r="AJ632" s="727"/>
      <c r="AK632" s="727"/>
      <c r="AL632" s="727"/>
      <c r="AM632" s="727"/>
      <c r="AN632" s="727"/>
      <c r="AO632" s="727"/>
      <c r="AP632" s="727"/>
      <c r="AQ632" s="727"/>
      <c r="AR632" s="727"/>
      <c r="AS632" s="727"/>
      <c r="AT632" s="727"/>
      <c r="AU632" s="727"/>
      <c r="AV632" s="727"/>
      <c r="AW632" s="727"/>
      <c r="AX632" s="727"/>
      <c r="AY632" s="727"/>
      <c r="AZ632" s="728"/>
      <c r="BA632" s="15">
        <v>105</v>
      </c>
      <c r="BB632" s="1038" t="str">
        <f>IF(BA632&lt;'Purchased Knacks'!A$192,VLOOKUP(BA632,'Purchased Knacks'!$A$4:$E$300,3,FALSE),"")</f>
        <v/>
      </c>
      <c r="BC632" s="1039"/>
      <c r="BD632" s="1039"/>
      <c r="BE632" s="1039"/>
      <c r="BF632" s="1040"/>
      <c r="BG632" s="1032" t="str">
        <f>IF(BB632="","",VLOOKUP(BB632,KanckRef!$A$1:$G$300,7,FALSE))</f>
        <v/>
      </c>
      <c r="BH632" s="1033"/>
      <c r="BI632" s="753"/>
      <c r="BJ632" s="754"/>
      <c r="BK632" s="754"/>
      <c r="BL632" s="754"/>
      <c r="BM632" s="754"/>
      <c r="BN632" s="754"/>
      <c r="BO632" s="754"/>
      <c r="BP632" s="754"/>
      <c r="BQ632" s="754"/>
      <c r="BR632" s="754"/>
      <c r="BS632" s="754"/>
      <c r="BT632" s="754"/>
      <c r="BU632" s="754"/>
      <c r="BV632" s="754"/>
      <c r="BW632" s="754"/>
      <c r="BX632" s="754"/>
      <c r="BY632" s="754"/>
      <c r="BZ632" s="755"/>
      <c r="CA632" s="15">
        <v>212</v>
      </c>
      <c r="CB632" s="1038" t="str">
        <f>IF(CA632&lt;'Purchased Knacks'!A$192,VLOOKUP(CA632,'Purchased Knacks'!$A$4:$E$300,3,FALSE),"")</f>
        <v/>
      </c>
      <c r="CC632" s="1039"/>
      <c r="CD632" s="1039"/>
      <c r="CE632" s="1039"/>
      <c r="CF632" s="1040"/>
      <c r="CG632" s="1032" t="str">
        <f>IF(CB632="","",VLOOKUP(CB632,KanckRef!$A$1:$G$300,7,FALSE))</f>
        <v/>
      </c>
      <c r="CH632" s="1033"/>
      <c r="CI632" s="753"/>
      <c r="CJ632" s="754"/>
      <c r="CK632" s="754"/>
      <c r="CL632" s="754"/>
      <c r="CM632" s="754"/>
      <c r="CN632" s="754"/>
      <c r="CO632" s="754"/>
      <c r="CP632" s="754"/>
      <c r="CQ632" s="754"/>
      <c r="CR632" s="754"/>
      <c r="CS632" s="754"/>
      <c r="CT632" s="754"/>
      <c r="CU632" s="754"/>
      <c r="CV632" s="754"/>
      <c r="CW632" s="754"/>
      <c r="CX632" s="754"/>
      <c r="CY632" s="754"/>
      <c r="CZ632" s="755"/>
    </row>
    <row r="633" spans="1:104" x14ac:dyDescent="0.25">
      <c r="B633" s="1026"/>
      <c r="C633" s="727"/>
      <c r="D633" s="727"/>
      <c r="E633" s="727"/>
      <c r="F633" s="727"/>
      <c r="G633" s="727"/>
      <c r="H633" s="727"/>
      <c r="I633" s="727" t="str">
        <f>IF(B632="","",VLOOKUP(B632,BoonRef!$A$2:$Z$900,26,FALSE))</f>
        <v/>
      </c>
      <c r="J633" s="727"/>
      <c r="K633" s="727"/>
      <c r="L633" s="727"/>
      <c r="M633" s="727"/>
      <c r="N633" s="727"/>
      <c r="O633" s="727"/>
      <c r="P633" s="727"/>
      <c r="Q633" s="727"/>
      <c r="R633" s="727"/>
      <c r="S633" s="727"/>
      <c r="T633" s="727"/>
      <c r="U633" s="727"/>
      <c r="V633" s="727"/>
      <c r="W633" s="727"/>
      <c r="X633" s="727"/>
      <c r="Y633" s="727"/>
      <c r="Z633" s="728"/>
      <c r="AB633" s="1026"/>
      <c r="AC633" s="727"/>
      <c r="AD633" s="727"/>
      <c r="AE633" s="727"/>
      <c r="AF633" s="727"/>
      <c r="AG633" s="727"/>
      <c r="AH633" s="727"/>
      <c r="AI633" s="727" t="str">
        <f>IF(AB632="","",VLOOKUP(AB632,BoonRef!$A$2:$Z$900,26,FALSE))</f>
        <v/>
      </c>
      <c r="AJ633" s="727"/>
      <c r="AK633" s="727"/>
      <c r="AL633" s="727"/>
      <c r="AM633" s="727"/>
      <c r="AN633" s="727"/>
      <c r="AO633" s="727"/>
      <c r="AP633" s="727"/>
      <c r="AQ633" s="727"/>
      <c r="AR633" s="727"/>
      <c r="AS633" s="727"/>
      <c r="AT633" s="727"/>
      <c r="AU633" s="727"/>
      <c r="AV633" s="727"/>
      <c r="AW633" s="727"/>
      <c r="AX633" s="727"/>
      <c r="AY633" s="727"/>
      <c r="AZ633" s="728"/>
      <c r="BB633" s="1041"/>
      <c r="BC633" s="1042"/>
      <c r="BD633" s="1042"/>
      <c r="BE633" s="1042"/>
      <c r="BF633" s="1043"/>
      <c r="BG633" s="1034"/>
      <c r="BH633" s="1035"/>
      <c r="BI633" s="753"/>
      <c r="BJ633" s="754"/>
      <c r="BK633" s="754"/>
      <c r="BL633" s="754"/>
      <c r="BM633" s="754"/>
      <c r="BN633" s="754"/>
      <c r="BO633" s="754"/>
      <c r="BP633" s="754"/>
      <c r="BQ633" s="754"/>
      <c r="BR633" s="754"/>
      <c r="BS633" s="754"/>
      <c r="BT633" s="754"/>
      <c r="BU633" s="754"/>
      <c r="BV633" s="754"/>
      <c r="BW633" s="754"/>
      <c r="BX633" s="754"/>
      <c r="BY633" s="754"/>
      <c r="BZ633" s="755"/>
      <c r="CB633" s="1041"/>
      <c r="CC633" s="1042"/>
      <c r="CD633" s="1042"/>
      <c r="CE633" s="1042"/>
      <c r="CF633" s="1043"/>
      <c r="CG633" s="1034"/>
      <c r="CH633" s="1035"/>
      <c r="CI633" s="753"/>
      <c r="CJ633" s="754"/>
      <c r="CK633" s="754"/>
      <c r="CL633" s="754"/>
      <c r="CM633" s="754"/>
      <c r="CN633" s="754"/>
      <c r="CO633" s="754"/>
      <c r="CP633" s="754"/>
      <c r="CQ633" s="754"/>
      <c r="CR633" s="754"/>
      <c r="CS633" s="754"/>
      <c r="CT633" s="754"/>
      <c r="CU633" s="754"/>
      <c r="CV633" s="754"/>
      <c r="CW633" s="754"/>
      <c r="CX633" s="754"/>
      <c r="CY633" s="754"/>
      <c r="CZ633" s="755"/>
    </row>
    <row r="634" spans="1:104" x14ac:dyDescent="0.25">
      <c r="B634" s="1026" t="str">
        <f>IF(B632="","",VLOOKUP(B632,BoonRef!$A$2:$Z$900,24,FALSE))</f>
        <v/>
      </c>
      <c r="C634" s="727"/>
      <c r="D634" s="727"/>
      <c r="E634" s="727"/>
      <c r="F634" s="727"/>
      <c r="G634" s="727"/>
      <c r="H634" s="727"/>
      <c r="I634" s="727"/>
      <c r="J634" s="727"/>
      <c r="K634" s="727"/>
      <c r="L634" s="727"/>
      <c r="M634" s="727"/>
      <c r="N634" s="727"/>
      <c r="O634" s="727"/>
      <c r="P634" s="727"/>
      <c r="Q634" s="727"/>
      <c r="R634" s="727"/>
      <c r="S634" s="727"/>
      <c r="T634" s="727"/>
      <c r="U634" s="727"/>
      <c r="V634" s="727"/>
      <c r="W634" s="727"/>
      <c r="X634" s="727"/>
      <c r="Y634" s="727"/>
      <c r="Z634" s="728"/>
      <c r="AB634" s="1026" t="str">
        <f>IF(AB632="","",VLOOKUP(AB632,BoonRef!$A$2:$Z$900,24,FALSE))</f>
        <v/>
      </c>
      <c r="AC634" s="727"/>
      <c r="AD634" s="727"/>
      <c r="AE634" s="727"/>
      <c r="AF634" s="727"/>
      <c r="AG634" s="727"/>
      <c r="AH634" s="727"/>
      <c r="AI634" s="727"/>
      <c r="AJ634" s="727"/>
      <c r="AK634" s="727"/>
      <c r="AL634" s="727"/>
      <c r="AM634" s="727"/>
      <c r="AN634" s="727"/>
      <c r="AO634" s="727"/>
      <c r="AP634" s="727"/>
      <c r="AQ634" s="727"/>
      <c r="AR634" s="727"/>
      <c r="AS634" s="727"/>
      <c r="AT634" s="727"/>
      <c r="AU634" s="727"/>
      <c r="AV634" s="727"/>
      <c r="AW634" s="727"/>
      <c r="AX634" s="727"/>
      <c r="AY634" s="727"/>
      <c r="AZ634" s="728"/>
      <c r="BB634" s="641" t="str">
        <f>IF(BB632="","",VLOOKUP(BB632,KanckRef!$A$1:$G$300,4,FALSE))</f>
        <v/>
      </c>
      <c r="BC634" s="642"/>
      <c r="BD634" s="642"/>
      <c r="BE634" s="642"/>
      <c r="BF634" s="642"/>
      <c r="BG634" s="642"/>
      <c r="BH634" s="1033"/>
      <c r="BI634" s="753"/>
      <c r="BJ634" s="754"/>
      <c r="BK634" s="754"/>
      <c r="BL634" s="754"/>
      <c r="BM634" s="754"/>
      <c r="BN634" s="754"/>
      <c r="BO634" s="754"/>
      <c r="BP634" s="754"/>
      <c r="BQ634" s="754"/>
      <c r="BR634" s="754"/>
      <c r="BS634" s="754"/>
      <c r="BT634" s="754"/>
      <c r="BU634" s="754"/>
      <c r="BV634" s="754"/>
      <c r="BW634" s="754"/>
      <c r="BX634" s="754"/>
      <c r="BY634" s="754"/>
      <c r="BZ634" s="755"/>
      <c r="CB634" s="641" t="str">
        <f>IF(CB632="","",VLOOKUP(CB632,KanckRef!$A$1:$G$300,4,FALSE))</f>
        <v/>
      </c>
      <c r="CC634" s="642"/>
      <c r="CD634" s="642"/>
      <c r="CE634" s="642"/>
      <c r="CF634" s="642"/>
      <c r="CG634" s="642"/>
      <c r="CH634" s="1033"/>
      <c r="CI634" s="753"/>
      <c r="CJ634" s="754"/>
      <c r="CK634" s="754"/>
      <c r="CL634" s="754"/>
      <c r="CM634" s="754"/>
      <c r="CN634" s="754"/>
      <c r="CO634" s="754"/>
      <c r="CP634" s="754"/>
      <c r="CQ634" s="754"/>
      <c r="CR634" s="754"/>
      <c r="CS634" s="754"/>
      <c r="CT634" s="754"/>
      <c r="CU634" s="754"/>
      <c r="CV634" s="754"/>
      <c r="CW634" s="754"/>
      <c r="CX634" s="754"/>
      <c r="CY634" s="754"/>
      <c r="CZ634" s="755"/>
    </row>
    <row r="635" spans="1:104" x14ac:dyDescent="0.25">
      <c r="B635" s="1026" t="str">
        <f>IF(B632="","",VLOOKUP(B632,BoonRef!$A$2:$Z$900,23,FALSE))</f>
        <v/>
      </c>
      <c r="C635" s="727"/>
      <c r="D635" s="727"/>
      <c r="E635" s="727"/>
      <c r="F635" s="727"/>
      <c r="G635" s="727"/>
      <c r="H635" s="727"/>
      <c r="I635" s="727"/>
      <c r="J635" s="727"/>
      <c r="K635" s="727"/>
      <c r="L635" s="727"/>
      <c r="M635" s="727"/>
      <c r="N635" s="727"/>
      <c r="O635" s="727"/>
      <c r="P635" s="727"/>
      <c r="Q635" s="727"/>
      <c r="R635" s="727"/>
      <c r="S635" s="727"/>
      <c r="T635" s="727"/>
      <c r="U635" s="727"/>
      <c r="V635" s="727"/>
      <c r="W635" s="727"/>
      <c r="X635" s="727"/>
      <c r="Y635" s="727"/>
      <c r="Z635" s="728"/>
      <c r="AB635" s="1026" t="str">
        <f>IF(AB632="","",VLOOKUP(AB632,BoonRef!$A$2:$Z$900,23,FALSE))</f>
        <v/>
      </c>
      <c r="AC635" s="727"/>
      <c r="AD635" s="727"/>
      <c r="AE635" s="727"/>
      <c r="AF635" s="727"/>
      <c r="AG635" s="727"/>
      <c r="AH635" s="727"/>
      <c r="AI635" s="727"/>
      <c r="AJ635" s="727"/>
      <c r="AK635" s="727"/>
      <c r="AL635" s="727"/>
      <c r="AM635" s="727"/>
      <c r="AN635" s="727"/>
      <c r="AO635" s="727"/>
      <c r="AP635" s="727"/>
      <c r="AQ635" s="727"/>
      <c r="AR635" s="727"/>
      <c r="AS635" s="727"/>
      <c r="AT635" s="727"/>
      <c r="AU635" s="727"/>
      <c r="AV635" s="727"/>
      <c r="AW635" s="727"/>
      <c r="AX635" s="727"/>
      <c r="AY635" s="727"/>
      <c r="AZ635" s="728"/>
      <c r="BB635" s="635"/>
      <c r="BC635" s="636"/>
      <c r="BD635" s="636"/>
      <c r="BE635" s="636"/>
      <c r="BF635" s="636"/>
      <c r="BG635" s="636"/>
      <c r="BH635" s="1036"/>
      <c r="BI635" s="753"/>
      <c r="BJ635" s="754"/>
      <c r="BK635" s="754"/>
      <c r="BL635" s="754"/>
      <c r="BM635" s="754"/>
      <c r="BN635" s="754"/>
      <c r="BO635" s="754"/>
      <c r="BP635" s="754"/>
      <c r="BQ635" s="754"/>
      <c r="BR635" s="754"/>
      <c r="BS635" s="754"/>
      <c r="BT635" s="754"/>
      <c r="BU635" s="754"/>
      <c r="BV635" s="754"/>
      <c r="BW635" s="754"/>
      <c r="BX635" s="754"/>
      <c r="BY635" s="754"/>
      <c r="BZ635" s="755"/>
      <c r="CB635" s="635"/>
      <c r="CC635" s="636"/>
      <c r="CD635" s="636"/>
      <c r="CE635" s="636"/>
      <c r="CF635" s="636"/>
      <c r="CG635" s="636"/>
      <c r="CH635" s="1036"/>
      <c r="CI635" s="753"/>
      <c r="CJ635" s="754"/>
      <c r="CK635" s="754"/>
      <c r="CL635" s="754"/>
      <c r="CM635" s="754"/>
      <c r="CN635" s="754"/>
      <c r="CO635" s="754"/>
      <c r="CP635" s="754"/>
      <c r="CQ635" s="754"/>
      <c r="CR635" s="754"/>
      <c r="CS635" s="754"/>
      <c r="CT635" s="754"/>
      <c r="CU635" s="754"/>
      <c r="CV635" s="754"/>
      <c r="CW635" s="754"/>
      <c r="CX635" s="754"/>
      <c r="CY635" s="754"/>
      <c r="CZ635" s="755"/>
    </row>
    <row r="636" spans="1:104" ht="15.75" thickBot="1" x14ac:dyDescent="0.3">
      <c r="B636" s="1027"/>
      <c r="C636" s="865"/>
      <c r="D636" s="865"/>
      <c r="E636" s="865"/>
      <c r="F636" s="865"/>
      <c r="G636" s="865"/>
      <c r="H636" s="865"/>
      <c r="I636" s="865"/>
      <c r="J636" s="865"/>
      <c r="K636" s="865"/>
      <c r="L636" s="865"/>
      <c r="M636" s="865"/>
      <c r="N636" s="865"/>
      <c r="O636" s="865"/>
      <c r="P636" s="865"/>
      <c r="Q636" s="865"/>
      <c r="R636" s="865"/>
      <c r="S636" s="865"/>
      <c r="T636" s="865"/>
      <c r="U636" s="865"/>
      <c r="V636" s="865"/>
      <c r="W636" s="865"/>
      <c r="X636" s="865"/>
      <c r="Y636" s="865"/>
      <c r="Z636" s="921"/>
      <c r="AB636" s="1027"/>
      <c r="AC636" s="865"/>
      <c r="AD636" s="865"/>
      <c r="AE636" s="865"/>
      <c r="AF636" s="865"/>
      <c r="AG636" s="865"/>
      <c r="AH636" s="865"/>
      <c r="AI636" s="865"/>
      <c r="AJ636" s="865"/>
      <c r="AK636" s="865"/>
      <c r="AL636" s="865"/>
      <c r="AM636" s="865"/>
      <c r="AN636" s="865"/>
      <c r="AO636" s="865"/>
      <c r="AP636" s="865"/>
      <c r="AQ636" s="865"/>
      <c r="AR636" s="865"/>
      <c r="AS636" s="865"/>
      <c r="AT636" s="865"/>
      <c r="AU636" s="865"/>
      <c r="AV636" s="865"/>
      <c r="AW636" s="865"/>
      <c r="AX636" s="865"/>
      <c r="AY636" s="865"/>
      <c r="AZ636" s="921"/>
      <c r="BB636" s="644"/>
      <c r="BC636" s="645"/>
      <c r="BD636" s="645"/>
      <c r="BE636" s="645"/>
      <c r="BF636" s="645"/>
      <c r="BG636" s="645"/>
      <c r="BH636" s="1037"/>
      <c r="BI636" s="756"/>
      <c r="BJ636" s="757"/>
      <c r="BK636" s="757"/>
      <c r="BL636" s="757"/>
      <c r="BM636" s="757"/>
      <c r="BN636" s="757"/>
      <c r="BO636" s="757"/>
      <c r="BP636" s="757"/>
      <c r="BQ636" s="757"/>
      <c r="BR636" s="757"/>
      <c r="BS636" s="757"/>
      <c r="BT636" s="757"/>
      <c r="BU636" s="757"/>
      <c r="BV636" s="757"/>
      <c r="BW636" s="757"/>
      <c r="BX636" s="757"/>
      <c r="BY636" s="757"/>
      <c r="BZ636" s="758"/>
      <c r="CB636" s="644"/>
      <c r="CC636" s="645"/>
      <c r="CD636" s="645"/>
      <c r="CE636" s="645"/>
      <c r="CF636" s="645"/>
      <c r="CG636" s="645"/>
      <c r="CH636" s="1037"/>
      <c r="CI636" s="756"/>
      <c r="CJ636" s="757"/>
      <c r="CK636" s="757"/>
      <c r="CL636" s="757"/>
      <c r="CM636" s="757"/>
      <c r="CN636" s="757"/>
      <c r="CO636" s="757"/>
      <c r="CP636" s="757"/>
      <c r="CQ636" s="757"/>
      <c r="CR636" s="757"/>
      <c r="CS636" s="757"/>
      <c r="CT636" s="757"/>
      <c r="CU636" s="757"/>
      <c r="CV636" s="757"/>
      <c r="CW636" s="757"/>
      <c r="CX636" s="757"/>
      <c r="CY636" s="757"/>
      <c r="CZ636" s="758"/>
    </row>
    <row r="637" spans="1:104" x14ac:dyDescent="0.25">
      <c r="B637" s="1028" t="str">
        <f>IF(B638="","",VLOOKUP(B638,BoonRef!$A$2:$Z$900,2,FALSE))</f>
        <v/>
      </c>
      <c r="C637" s="725"/>
      <c r="D637" s="725"/>
      <c r="E637" s="725"/>
      <c r="F637" s="725"/>
      <c r="G637" s="725"/>
      <c r="H637" s="725"/>
      <c r="I637" s="725" t="str">
        <f>IF(B638="","",VLOOKUP(B638,BoonRef!$A$2:$Z$900,3,FALSE))</f>
        <v/>
      </c>
      <c r="J637" s="725"/>
      <c r="K637" s="725" t="str">
        <f>IF(B638="","",VLOOKUP(B638,DescRef!$A$2:$B$900,2,FALSE))</f>
        <v/>
      </c>
      <c r="L637" s="725"/>
      <c r="M637" s="725"/>
      <c r="N637" s="725"/>
      <c r="O637" s="725"/>
      <c r="P637" s="725"/>
      <c r="Q637" s="725"/>
      <c r="R637" s="725"/>
      <c r="S637" s="725"/>
      <c r="T637" s="725"/>
      <c r="U637" s="725"/>
      <c r="V637" s="725"/>
      <c r="W637" s="725"/>
      <c r="X637" s="725"/>
      <c r="Y637" s="725"/>
      <c r="Z637" s="726"/>
      <c r="AB637" s="1028" t="str">
        <f>IF(AB638="","",VLOOKUP(AB638,BoonRef!$A$2:$Z$900,2,FALSE))</f>
        <v/>
      </c>
      <c r="AC637" s="725"/>
      <c r="AD637" s="725"/>
      <c r="AE637" s="725"/>
      <c r="AF637" s="725"/>
      <c r="AG637" s="725"/>
      <c r="AH637" s="725"/>
      <c r="AI637" s="725" t="str">
        <f>IF(AB638="","",VLOOKUP(AB638,BoonRef!$A$2:$Z$900,3,FALSE))</f>
        <v/>
      </c>
      <c r="AJ637" s="725"/>
      <c r="AK637" s="725" t="str">
        <f>IF(AB638="","",VLOOKUP(AB638,DescRef!$A$2:$B$900,2,FALSE))</f>
        <v/>
      </c>
      <c r="AL637" s="725"/>
      <c r="AM637" s="725"/>
      <c r="AN637" s="725"/>
      <c r="AO637" s="725"/>
      <c r="AP637" s="725"/>
      <c r="AQ637" s="725"/>
      <c r="AR637" s="725"/>
      <c r="AS637" s="725"/>
      <c r="AT637" s="725"/>
      <c r="AU637" s="725"/>
      <c r="AV637" s="725"/>
      <c r="AW637" s="725"/>
      <c r="AX637" s="725"/>
      <c r="AY637" s="725"/>
      <c r="AZ637" s="726"/>
      <c r="BB637" s="1029" t="str">
        <f>IF(BB638="","",VLOOKUP(BB638,KanckRef!$A$1:$G$300,2,FALSE))</f>
        <v/>
      </c>
      <c r="BC637" s="1030"/>
      <c r="BD637" s="1030"/>
      <c r="BE637" s="1030"/>
      <c r="BF637" s="1031"/>
      <c r="BG637" s="1048" t="str">
        <f>IF(BB638="","",VLOOKUP(BB638,KanckRef!$A$1:$G$300,6,FALSE))</f>
        <v/>
      </c>
      <c r="BH637" s="1049"/>
      <c r="BI637" s="988" t="str">
        <f>IF(BB638="","",VLOOKUP(BB638,DescRef!$D$2:$E$300,2,FALSE))</f>
        <v/>
      </c>
      <c r="BJ637" s="795"/>
      <c r="BK637" s="795"/>
      <c r="BL637" s="795"/>
      <c r="BM637" s="795"/>
      <c r="BN637" s="795"/>
      <c r="BO637" s="795"/>
      <c r="BP637" s="795"/>
      <c r="BQ637" s="795"/>
      <c r="BR637" s="795"/>
      <c r="BS637" s="795"/>
      <c r="BT637" s="795"/>
      <c r="BU637" s="795"/>
      <c r="BV637" s="795"/>
      <c r="BW637" s="795"/>
      <c r="BX637" s="795"/>
      <c r="BY637" s="795"/>
      <c r="BZ637" s="796"/>
      <c r="CB637" s="1029" t="str">
        <f>IF(CB638="","",VLOOKUP(CB638,KanckRef!$A$1:$G$300,2,FALSE))</f>
        <v/>
      </c>
      <c r="CC637" s="1030"/>
      <c r="CD637" s="1030"/>
      <c r="CE637" s="1030"/>
      <c r="CF637" s="1031"/>
      <c r="CG637" s="1048" t="str">
        <f>IF(CB638="","",VLOOKUP(CB638,KanckRef!$A$1:$G$300,6,FALSE))</f>
        <v/>
      </c>
      <c r="CH637" s="1049"/>
      <c r="CI637" s="988" t="str">
        <f>IF(CB638="","",VLOOKUP(CB638,DescRef!$D$2:$E$300,2,FALSE))</f>
        <v/>
      </c>
      <c r="CJ637" s="795"/>
      <c r="CK637" s="795"/>
      <c r="CL637" s="795"/>
      <c r="CM637" s="795"/>
      <c r="CN637" s="795"/>
      <c r="CO637" s="795"/>
      <c r="CP637" s="795"/>
      <c r="CQ637" s="795"/>
      <c r="CR637" s="795"/>
      <c r="CS637" s="795"/>
      <c r="CT637" s="795"/>
      <c r="CU637" s="795"/>
      <c r="CV637" s="795"/>
      <c r="CW637" s="795"/>
      <c r="CX637" s="795"/>
      <c r="CY637" s="795"/>
      <c r="CZ637" s="796"/>
    </row>
    <row r="638" spans="1:104" ht="15" customHeight="1" x14ac:dyDescent="0.25">
      <c r="A638" s="15">
        <v>106</v>
      </c>
      <c r="B638" s="1026" t="str">
        <f>IF(A638&lt;'Purchased Boons'!$B$496,VLOOKUP(A638,'Purchased Boons'!$BF$2:$BG$900,2,FALSE),"")</f>
        <v/>
      </c>
      <c r="C638" s="727"/>
      <c r="D638" s="727"/>
      <c r="E638" s="727"/>
      <c r="F638" s="727"/>
      <c r="G638" s="727"/>
      <c r="H638" s="727"/>
      <c r="I638" s="727" t="str">
        <f>IF(B638="","",VLOOKUP(B638,BoonRef!$A$2:$Z$900,25,FALSE))</f>
        <v/>
      </c>
      <c r="J638" s="727"/>
      <c r="K638" s="727"/>
      <c r="L638" s="727"/>
      <c r="M638" s="727"/>
      <c r="N638" s="727"/>
      <c r="O638" s="727"/>
      <c r="P638" s="727"/>
      <c r="Q638" s="727"/>
      <c r="R638" s="727"/>
      <c r="S638" s="727"/>
      <c r="T638" s="727"/>
      <c r="U638" s="727"/>
      <c r="V638" s="727"/>
      <c r="W638" s="727"/>
      <c r="X638" s="727"/>
      <c r="Y638" s="727"/>
      <c r="Z638" s="728"/>
      <c r="AA638" s="15">
        <v>213</v>
      </c>
      <c r="AB638" s="1026" t="str">
        <f>IF(AA638&lt;'Purchased Boons'!$B$496,VLOOKUP(AA638,'Purchased Boons'!$BF$2:$BG$900,2,FALSE),"")</f>
        <v/>
      </c>
      <c r="AC638" s="727"/>
      <c r="AD638" s="727"/>
      <c r="AE638" s="727"/>
      <c r="AF638" s="727"/>
      <c r="AG638" s="727"/>
      <c r="AH638" s="727"/>
      <c r="AI638" s="727" t="str">
        <f>IF(AB638="","",VLOOKUP(AB638,BoonRef!$A$2:$Z$900,25,FALSE))</f>
        <v/>
      </c>
      <c r="AJ638" s="727"/>
      <c r="AK638" s="727"/>
      <c r="AL638" s="727"/>
      <c r="AM638" s="727"/>
      <c r="AN638" s="727"/>
      <c r="AO638" s="727"/>
      <c r="AP638" s="727"/>
      <c r="AQ638" s="727"/>
      <c r="AR638" s="727"/>
      <c r="AS638" s="727"/>
      <c r="AT638" s="727"/>
      <c r="AU638" s="727"/>
      <c r="AV638" s="727"/>
      <c r="AW638" s="727"/>
      <c r="AX638" s="727"/>
      <c r="AY638" s="727"/>
      <c r="AZ638" s="728"/>
      <c r="BA638" s="15">
        <v>106</v>
      </c>
      <c r="BB638" s="1038" t="str">
        <f>IF(BA638&lt;'Purchased Knacks'!A$192,VLOOKUP(BA638,'Purchased Knacks'!$A$4:$E$300,3,FALSE),"")</f>
        <v/>
      </c>
      <c r="BC638" s="1039"/>
      <c r="BD638" s="1039"/>
      <c r="BE638" s="1039"/>
      <c r="BF638" s="1040"/>
      <c r="BG638" s="1032" t="str">
        <f>IF(BB638="","",VLOOKUP(BB638,KanckRef!$A$1:$G$300,7,FALSE))</f>
        <v/>
      </c>
      <c r="BH638" s="1033"/>
      <c r="BI638" s="753"/>
      <c r="BJ638" s="754"/>
      <c r="BK638" s="754"/>
      <c r="BL638" s="754"/>
      <c r="BM638" s="754"/>
      <c r="BN638" s="754"/>
      <c r="BO638" s="754"/>
      <c r="BP638" s="754"/>
      <c r="BQ638" s="754"/>
      <c r="BR638" s="754"/>
      <c r="BS638" s="754"/>
      <c r="BT638" s="754"/>
      <c r="BU638" s="754"/>
      <c r="BV638" s="754"/>
      <c r="BW638" s="754"/>
      <c r="BX638" s="754"/>
      <c r="BY638" s="754"/>
      <c r="BZ638" s="755"/>
      <c r="CA638" s="15">
        <v>213</v>
      </c>
      <c r="CB638" s="1038" t="str">
        <f>IF(CA638&lt;'Purchased Knacks'!A$192,VLOOKUP(CA638,'Purchased Knacks'!$A$4:$E$300,3,FALSE),"")</f>
        <v/>
      </c>
      <c r="CC638" s="1039"/>
      <c r="CD638" s="1039"/>
      <c r="CE638" s="1039"/>
      <c r="CF638" s="1040"/>
      <c r="CG638" s="1032" t="str">
        <f>IF(CB638="","",VLOOKUP(CB638,KanckRef!$A$1:$G$300,7,FALSE))</f>
        <v/>
      </c>
      <c r="CH638" s="1033"/>
      <c r="CI638" s="753"/>
      <c r="CJ638" s="754"/>
      <c r="CK638" s="754"/>
      <c r="CL638" s="754"/>
      <c r="CM638" s="754"/>
      <c r="CN638" s="754"/>
      <c r="CO638" s="754"/>
      <c r="CP638" s="754"/>
      <c r="CQ638" s="754"/>
      <c r="CR638" s="754"/>
      <c r="CS638" s="754"/>
      <c r="CT638" s="754"/>
      <c r="CU638" s="754"/>
      <c r="CV638" s="754"/>
      <c r="CW638" s="754"/>
      <c r="CX638" s="754"/>
      <c r="CY638" s="754"/>
      <c r="CZ638" s="755"/>
    </row>
    <row r="639" spans="1:104" x14ac:dyDescent="0.25">
      <c r="B639" s="1026"/>
      <c r="C639" s="727"/>
      <c r="D639" s="727"/>
      <c r="E639" s="727"/>
      <c r="F639" s="727"/>
      <c r="G639" s="727"/>
      <c r="H639" s="727"/>
      <c r="I639" s="727" t="str">
        <f>IF(B638="","",VLOOKUP(B638,BoonRef!$A$2:$Z$900,26,FALSE))</f>
        <v/>
      </c>
      <c r="J639" s="727"/>
      <c r="K639" s="727"/>
      <c r="L639" s="727"/>
      <c r="M639" s="727"/>
      <c r="N639" s="727"/>
      <c r="O639" s="727"/>
      <c r="P639" s="727"/>
      <c r="Q639" s="727"/>
      <c r="R639" s="727"/>
      <c r="S639" s="727"/>
      <c r="T639" s="727"/>
      <c r="U639" s="727"/>
      <c r="V639" s="727"/>
      <c r="W639" s="727"/>
      <c r="X639" s="727"/>
      <c r="Y639" s="727"/>
      <c r="Z639" s="728"/>
      <c r="AB639" s="1026"/>
      <c r="AC639" s="727"/>
      <c r="AD639" s="727"/>
      <c r="AE639" s="727"/>
      <c r="AF639" s="727"/>
      <c r="AG639" s="727"/>
      <c r="AH639" s="727"/>
      <c r="AI639" s="727" t="str">
        <f>IF(AB638="","",VLOOKUP(AB638,BoonRef!$A$2:$Z$900,26,FALSE))</f>
        <v/>
      </c>
      <c r="AJ639" s="727"/>
      <c r="AK639" s="727"/>
      <c r="AL639" s="727"/>
      <c r="AM639" s="727"/>
      <c r="AN639" s="727"/>
      <c r="AO639" s="727"/>
      <c r="AP639" s="727"/>
      <c r="AQ639" s="727"/>
      <c r="AR639" s="727"/>
      <c r="AS639" s="727"/>
      <c r="AT639" s="727"/>
      <c r="AU639" s="727"/>
      <c r="AV639" s="727"/>
      <c r="AW639" s="727"/>
      <c r="AX639" s="727"/>
      <c r="AY639" s="727"/>
      <c r="AZ639" s="728"/>
      <c r="BB639" s="1041"/>
      <c r="BC639" s="1042"/>
      <c r="BD639" s="1042"/>
      <c r="BE639" s="1042"/>
      <c r="BF639" s="1043"/>
      <c r="BG639" s="1034"/>
      <c r="BH639" s="1035"/>
      <c r="BI639" s="753"/>
      <c r="BJ639" s="754"/>
      <c r="BK639" s="754"/>
      <c r="BL639" s="754"/>
      <c r="BM639" s="754"/>
      <c r="BN639" s="754"/>
      <c r="BO639" s="754"/>
      <c r="BP639" s="754"/>
      <c r="BQ639" s="754"/>
      <c r="BR639" s="754"/>
      <c r="BS639" s="754"/>
      <c r="BT639" s="754"/>
      <c r="BU639" s="754"/>
      <c r="BV639" s="754"/>
      <c r="BW639" s="754"/>
      <c r="BX639" s="754"/>
      <c r="BY639" s="754"/>
      <c r="BZ639" s="755"/>
      <c r="CB639" s="1041"/>
      <c r="CC639" s="1042"/>
      <c r="CD639" s="1042"/>
      <c r="CE639" s="1042"/>
      <c r="CF639" s="1043"/>
      <c r="CG639" s="1034"/>
      <c r="CH639" s="1035"/>
      <c r="CI639" s="753"/>
      <c r="CJ639" s="754"/>
      <c r="CK639" s="754"/>
      <c r="CL639" s="754"/>
      <c r="CM639" s="754"/>
      <c r="CN639" s="754"/>
      <c r="CO639" s="754"/>
      <c r="CP639" s="754"/>
      <c r="CQ639" s="754"/>
      <c r="CR639" s="754"/>
      <c r="CS639" s="754"/>
      <c r="CT639" s="754"/>
      <c r="CU639" s="754"/>
      <c r="CV639" s="754"/>
      <c r="CW639" s="754"/>
      <c r="CX639" s="754"/>
      <c r="CY639" s="754"/>
      <c r="CZ639" s="755"/>
    </row>
    <row r="640" spans="1:104" x14ac:dyDescent="0.25">
      <c r="B640" s="1026" t="str">
        <f>IF(B638="","",VLOOKUP(B638,BoonRef!$A$2:$Z$900,24,FALSE))</f>
        <v/>
      </c>
      <c r="C640" s="727"/>
      <c r="D640" s="727"/>
      <c r="E640" s="727"/>
      <c r="F640" s="727"/>
      <c r="G640" s="727"/>
      <c r="H640" s="727"/>
      <c r="I640" s="727"/>
      <c r="J640" s="727"/>
      <c r="K640" s="727"/>
      <c r="L640" s="727"/>
      <c r="M640" s="727"/>
      <c r="N640" s="727"/>
      <c r="O640" s="727"/>
      <c r="P640" s="727"/>
      <c r="Q640" s="727"/>
      <c r="R640" s="727"/>
      <c r="S640" s="727"/>
      <c r="T640" s="727"/>
      <c r="U640" s="727"/>
      <c r="V640" s="727"/>
      <c r="W640" s="727"/>
      <c r="X640" s="727"/>
      <c r="Y640" s="727"/>
      <c r="Z640" s="728"/>
      <c r="AB640" s="1026" t="str">
        <f>IF(AB638="","",VLOOKUP(AB638,BoonRef!$A$2:$Z$900,24,FALSE))</f>
        <v/>
      </c>
      <c r="AC640" s="727"/>
      <c r="AD640" s="727"/>
      <c r="AE640" s="727"/>
      <c r="AF640" s="727"/>
      <c r="AG640" s="727"/>
      <c r="AH640" s="727"/>
      <c r="AI640" s="727"/>
      <c r="AJ640" s="727"/>
      <c r="AK640" s="727"/>
      <c r="AL640" s="727"/>
      <c r="AM640" s="727"/>
      <c r="AN640" s="727"/>
      <c r="AO640" s="727"/>
      <c r="AP640" s="727"/>
      <c r="AQ640" s="727"/>
      <c r="AR640" s="727"/>
      <c r="AS640" s="727"/>
      <c r="AT640" s="727"/>
      <c r="AU640" s="727"/>
      <c r="AV640" s="727"/>
      <c r="AW640" s="727"/>
      <c r="AX640" s="727"/>
      <c r="AY640" s="727"/>
      <c r="AZ640" s="728"/>
      <c r="BB640" s="641" t="str">
        <f>IF(BB638="","",VLOOKUP(BB638,KanckRef!$A$1:$G$300,4,FALSE))</f>
        <v/>
      </c>
      <c r="BC640" s="642"/>
      <c r="BD640" s="642"/>
      <c r="BE640" s="642"/>
      <c r="BF640" s="642"/>
      <c r="BG640" s="642"/>
      <c r="BH640" s="1033"/>
      <c r="BI640" s="753"/>
      <c r="BJ640" s="754"/>
      <c r="BK640" s="754"/>
      <c r="BL640" s="754"/>
      <c r="BM640" s="754"/>
      <c r="BN640" s="754"/>
      <c r="BO640" s="754"/>
      <c r="BP640" s="754"/>
      <c r="BQ640" s="754"/>
      <c r="BR640" s="754"/>
      <c r="BS640" s="754"/>
      <c r="BT640" s="754"/>
      <c r="BU640" s="754"/>
      <c r="BV640" s="754"/>
      <c r="BW640" s="754"/>
      <c r="BX640" s="754"/>
      <c r="BY640" s="754"/>
      <c r="BZ640" s="755"/>
      <c r="CB640" s="641" t="str">
        <f>IF(CB638="","",VLOOKUP(CB638,KanckRef!$A$1:$G$300,4,FALSE))</f>
        <v/>
      </c>
      <c r="CC640" s="642"/>
      <c r="CD640" s="642"/>
      <c r="CE640" s="642"/>
      <c r="CF640" s="642"/>
      <c r="CG640" s="642"/>
      <c r="CH640" s="1033"/>
      <c r="CI640" s="753"/>
      <c r="CJ640" s="754"/>
      <c r="CK640" s="754"/>
      <c r="CL640" s="754"/>
      <c r="CM640" s="754"/>
      <c r="CN640" s="754"/>
      <c r="CO640" s="754"/>
      <c r="CP640" s="754"/>
      <c r="CQ640" s="754"/>
      <c r="CR640" s="754"/>
      <c r="CS640" s="754"/>
      <c r="CT640" s="754"/>
      <c r="CU640" s="754"/>
      <c r="CV640" s="754"/>
      <c r="CW640" s="754"/>
      <c r="CX640" s="754"/>
      <c r="CY640" s="754"/>
      <c r="CZ640" s="755"/>
    </row>
    <row r="641" spans="1:104" x14ac:dyDescent="0.25">
      <c r="B641" s="1026" t="str">
        <f>IF(B638="","",VLOOKUP(B638,BoonRef!$A$2:$Z$900,23,FALSE))</f>
        <v/>
      </c>
      <c r="C641" s="727"/>
      <c r="D641" s="727"/>
      <c r="E641" s="727"/>
      <c r="F641" s="727"/>
      <c r="G641" s="727"/>
      <c r="H641" s="727"/>
      <c r="I641" s="727"/>
      <c r="J641" s="727"/>
      <c r="K641" s="727"/>
      <c r="L641" s="727"/>
      <c r="M641" s="727"/>
      <c r="N641" s="727"/>
      <c r="O641" s="727"/>
      <c r="P641" s="727"/>
      <c r="Q641" s="727"/>
      <c r="R641" s="727"/>
      <c r="S641" s="727"/>
      <c r="T641" s="727"/>
      <c r="U641" s="727"/>
      <c r="V641" s="727"/>
      <c r="W641" s="727"/>
      <c r="X641" s="727"/>
      <c r="Y641" s="727"/>
      <c r="Z641" s="728"/>
      <c r="AB641" s="1026" t="str">
        <f>IF(AB638="","",VLOOKUP(AB638,BoonRef!$A$2:$Z$900,23,FALSE))</f>
        <v/>
      </c>
      <c r="AC641" s="727"/>
      <c r="AD641" s="727"/>
      <c r="AE641" s="727"/>
      <c r="AF641" s="727"/>
      <c r="AG641" s="727"/>
      <c r="AH641" s="727"/>
      <c r="AI641" s="727"/>
      <c r="AJ641" s="727"/>
      <c r="AK641" s="727"/>
      <c r="AL641" s="727"/>
      <c r="AM641" s="727"/>
      <c r="AN641" s="727"/>
      <c r="AO641" s="727"/>
      <c r="AP641" s="727"/>
      <c r="AQ641" s="727"/>
      <c r="AR641" s="727"/>
      <c r="AS641" s="727"/>
      <c r="AT641" s="727"/>
      <c r="AU641" s="727"/>
      <c r="AV641" s="727"/>
      <c r="AW641" s="727"/>
      <c r="AX641" s="727"/>
      <c r="AY641" s="727"/>
      <c r="AZ641" s="728"/>
      <c r="BB641" s="635"/>
      <c r="BC641" s="636"/>
      <c r="BD641" s="636"/>
      <c r="BE641" s="636"/>
      <c r="BF641" s="636"/>
      <c r="BG641" s="636"/>
      <c r="BH641" s="1036"/>
      <c r="BI641" s="753"/>
      <c r="BJ641" s="754"/>
      <c r="BK641" s="754"/>
      <c r="BL641" s="754"/>
      <c r="BM641" s="754"/>
      <c r="BN641" s="754"/>
      <c r="BO641" s="754"/>
      <c r="BP641" s="754"/>
      <c r="BQ641" s="754"/>
      <c r="BR641" s="754"/>
      <c r="BS641" s="754"/>
      <c r="BT641" s="754"/>
      <c r="BU641" s="754"/>
      <c r="BV641" s="754"/>
      <c r="BW641" s="754"/>
      <c r="BX641" s="754"/>
      <c r="BY641" s="754"/>
      <c r="BZ641" s="755"/>
      <c r="CB641" s="635"/>
      <c r="CC641" s="636"/>
      <c r="CD641" s="636"/>
      <c r="CE641" s="636"/>
      <c r="CF641" s="636"/>
      <c r="CG641" s="636"/>
      <c r="CH641" s="1036"/>
      <c r="CI641" s="753"/>
      <c r="CJ641" s="754"/>
      <c r="CK641" s="754"/>
      <c r="CL641" s="754"/>
      <c r="CM641" s="754"/>
      <c r="CN641" s="754"/>
      <c r="CO641" s="754"/>
      <c r="CP641" s="754"/>
      <c r="CQ641" s="754"/>
      <c r="CR641" s="754"/>
      <c r="CS641" s="754"/>
      <c r="CT641" s="754"/>
      <c r="CU641" s="754"/>
      <c r="CV641" s="754"/>
      <c r="CW641" s="754"/>
      <c r="CX641" s="754"/>
      <c r="CY641" s="754"/>
      <c r="CZ641" s="755"/>
    </row>
    <row r="642" spans="1:104" ht="15.75" thickBot="1" x14ac:dyDescent="0.3">
      <c r="B642" s="1027"/>
      <c r="C642" s="865"/>
      <c r="D642" s="865"/>
      <c r="E642" s="865"/>
      <c r="F642" s="865"/>
      <c r="G642" s="865"/>
      <c r="H642" s="865"/>
      <c r="I642" s="865"/>
      <c r="J642" s="865"/>
      <c r="K642" s="865"/>
      <c r="L642" s="865"/>
      <c r="M642" s="865"/>
      <c r="N642" s="865"/>
      <c r="O642" s="865"/>
      <c r="P642" s="865"/>
      <c r="Q642" s="865"/>
      <c r="R642" s="865"/>
      <c r="S642" s="865"/>
      <c r="T642" s="865"/>
      <c r="U642" s="865"/>
      <c r="V642" s="865"/>
      <c r="W642" s="865"/>
      <c r="X642" s="865"/>
      <c r="Y642" s="865"/>
      <c r="Z642" s="921"/>
      <c r="AB642" s="1027"/>
      <c r="AC642" s="865"/>
      <c r="AD642" s="865"/>
      <c r="AE642" s="865"/>
      <c r="AF642" s="865"/>
      <c r="AG642" s="865"/>
      <c r="AH642" s="865"/>
      <c r="AI642" s="865"/>
      <c r="AJ642" s="865"/>
      <c r="AK642" s="865"/>
      <c r="AL642" s="865"/>
      <c r="AM642" s="865"/>
      <c r="AN642" s="865"/>
      <c r="AO642" s="865"/>
      <c r="AP642" s="865"/>
      <c r="AQ642" s="865"/>
      <c r="AR642" s="865"/>
      <c r="AS642" s="865"/>
      <c r="AT642" s="865"/>
      <c r="AU642" s="865"/>
      <c r="AV642" s="865"/>
      <c r="AW642" s="865"/>
      <c r="AX642" s="865"/>
      <c r="AY642" s="865"/>
      <c r="AZ642" s="921"/>
      <c r="BB642" s="644"/>
      <c r="BC642" s="645"/>
      <c r="BD642" s="645"/>
      <c r="BE642" s="645"/>
      <c r="BF642" s="645"/>
      <c r="BG642" s="645"/>
      <c r="BH642" s="1037"/>
      <c r="BI642" s="756"/>
      <c r="BJ642" s="757"/>
      <c r="BK642" s="757"/>
      <c r="BL642" s="757"/>
      <c r="BM642" s="757"/>
      <c r="BN642" s="757"/>
      <c r="BO642" s="757"/>
      <c r="BP642" s="757"/>
      <c r="BQ642" s="757"/>
      <c r="BR642" s="757"/>
      <c r="BS642" s="757"/>
      <c r="BT642" s="757"/>
      <c r="BU642" s="757"/>
      <c r="BV642" s="757"/>
      <c r="BW642" s="757"/>
      <c r="BX642" s="757"/>
      <c r="BY642" s="757"/>
      <c r="BZ642" s="758"/>
      <c r="CB642" s="644"/>
      <c r="CC642" s="645"/>
      <c r="CD642" s="645"/>
      <c r="CE642" s="645"/>
      <c r="CF642" s="645"/>
      <c r="CG642" s="645"/>
      <c r="CH642" s="1037"/>
      <c r="CI642" s="756"/>
      <c r="CJ642" s="757"/>
      <c r="CK642" s="757"/>
      <c r="CL642" s="757"/>
      <c r="CM642" s="757"/>
      <c r="CN642" s="757"/>
      <c r="CO642" s="757"/>
      <c r="CP642" s="757"/>
      <c r="CQ642" s="757"/>
      <c r="CR642" s="757"/>
      <c r="CS642" s="757"/>
      <c r="CT642" s="757"/>
      <c r="CU642" s="757"/>
      <c r="CV642" s="757"/>
      <c r="CW642" s="757"/>
      <c r="CX642" s="757"/>
      <c r="CY642" s="757"/>
      <c r="CZ642" s="758"/>
    </row>
    <row r="643" spans="1:104" x14ac:dyDescent="0.25">
      <c r="B643" s="1028" t="str">
        <f>IF(B644="","",VLOOKUP(B644,BoonRef!$A$2:$Z$900,2,FALSE))</f>
        <v/>
      </c>
      <c r="C643" s="725"/>
      <c r="D643" s="725"/>
      <c r="E643" s="725"/>
      <c r="F643" s="725"/>
      <c r="G643" s="725"/>
      <c r="H643" s="725"/>
      <c r="I643" s="725" t="str">
        <f>IF(B644="","",VLOOKUP(B644,BoonRef!$A$2:$Z$900,3,FALSE))</f>
        <v/>
      </c>
      <c r="J643" s="725"/>
      <c r="K643" s="725" t="str">
        <f>IF(B644="","",VLOOKUP(B644,DescRef!$A$2:$B$900,2,FALSE))</f>
        <v/>
      </c>
      <c r="L643" s="725"/>
      <c r="M643" s="725"/>
      <c r="N643" s="725"/>
      <c r="O643" s="725"/>
      <c r="P643" s="725"/>
      <c r="Q643" s="725"/>
      <c r="R643" s="725"/>
      <c r="S643" s="725"/>
      <c r="T643" s="725"/>
      <c r="U643" s="725"/>
      <c r="V643" s="725"/>
      <c r="W643" s="725"/>
      <c r="X643" s="725"/>
      <c r="Y643" s="725"/>
      <c r="Z643" s="726"/>
      <c r="AB643" s="1028" t="str">
        <f>IF(AB644="","",VLOOKUP(AB644,BoonRef!$A$2:$Z$900,2,FALSE))</f>
        <v/>
      </c>
      <c r="AC643" s="725"/>
      <c r="AD643" s="725"/>
      <c r="AE643" s="725"/>
      <c r="AF643" s="725"/>
      <c r="AG643" s="725"/>
      <c r="AH643" s="725"/>
      <c r="AI643" s="725" t="str">
        <f>IF(AB644="","",VLOOKUP(AB644,BoonRef!$A$2:$Z$900,3,FALSE))</f>
        <v/>
      </c>
      <c r="AJ643" s="725"/>
      <c r="AK643" s="725" t="str">
        <f>IF(AB644="","",VLOOKUP(AB644,DescRef!$A$2:$B$900,2,FALSE))</f>
        <v/>
      </c>
      <c r="AL643" s="725"/>
      <c r="AM643" s="725"/>
      <c r="AN643" s="725"/>
      <c r="AO643" s="725"/>
      <c r="AP643" s="725"/>
      <c r="AQ643" s="725"/>
      <c r="AR643" s="725"/>
      <c r="AS643" s="725"/>
      <c r="AT643" s="725"/>
      <c r="AU643" s="725"/>
      <c r="AV643" s="725"/>
      <c r="AW643" s="725"/>
      <c r="AX643" s="725"/>
      <c r="AY643" s="725"/>
      <c r="AZ643" s="726"/>
      <c r="BB643" s="1029" t="str">
        <f>IF(BB644="","",VLOOKUP(BB644,KanckRef!$A$1:$G$300,2,FALSE))</f>
        <v/>
      </c>
      <c r="BC643" s="1030"/>
      <c r="BD643" s="1030"/>
      <c r="BE643" s="1030"/>
      <c r="BF643" s="1031"/>
      <c r="BG643" s="1048" t="str">
        <f>IF(BB644="","",VLOOKUP(BB644,KanckRef!$A$1:$G$300,6,FALSE))</f>
        <v/>
      </c>
      <c r="BH643" s="1049"/>
      <c r="BI643" s="988" t="str">
        <f>IF(BB644="","",VLOOKUP(BB644,DescRef!$D$2:$E$300,2,FALSE))</f>
        <v/>
      </c>
      <c r="BJ643" s="795"/>
      <c r="BK643" s="795"/>
      <c r="BL643" s="795"/>
      <c r="BM643" s="795"/>
      <c r="BN643" s="795"/>
      <c r="BO643" s="795"/>
      <c r="BP643" s="795"/>
      <c r="BQ643" s="795"/>
      <c r="BR643" s="795"/>
      <c r="BS643" s="795"/>
      <c r="BT643" s="795"/>
      <c r="BU643" s="795"/>
      <c r="BV643" s="795"/>
      <c r="BW643" s="795"/>
      <c r="BX643" s="795"/>
      <c r="BY643" s="795"/>
      <c r="BZ643" s="796"/>
      <c r="CB643" s="1029" t="str">
        <f>IF(CB644="","",VLOOKUP(CB644,KanckRef!$A$1:$G$300,2,FALSE))</f>
        <v/>
      </c>
      <c r="CC643" s="1030"/>
      <c r="CD643" s="1030"/>
      <c r="CE643" s="1030"/>
      <c r="CF643" s="1031"/>
      <c r="CG643" s="1048" t="str">
        <f>IF(CB644="","",VLOOKUP(CB644,KanckRef!$A$1:$G$300,6,FALSE))</f>
        <v/>
      </c>
      <c r="CH643" s="1049"/>
      <c r="CI643" s="988" t="str">
        <f>IF(CB644="","",VLOOKUP(CB644,DescRef!$D$2:$E$300,2,FALSE))</f>
        <v/>
      </c>
      <c r="CJ643" s="795"/>
      <c r="CK643" s="795"/>
      <c r="CL643" s="795"/>
      <c r="CM643" s="795"/>
      <c r="CN643" s="795"/>
      <c r="CO643" s="795"/>
      <c r="CP643" s="795"/>
      <c r="CQ643" s="795"/>
      <c r="CR643" s="795"/>
      <c r="CS643" s="795"/>
      <c r="CT643" s="795"/>
      <c r="CU643" s="795"/>
      <c r="CV643" s="795"/>
      <c r="CW643" s="795"/>
      <c r="CX643" s="795"/>
      <c r="CY643" s="795"/>
      <c r="CZ643" s="796"/>
    </row>
    <row r="644" spans="1:104" ht="15" customHeight="1" x14ac:dyDescent="0.25">
      <c r="A644" s="15">
        <v>107</v>
      </c>
      <c r="B644" s="1026" t="str">
        <f>IF(A644&lt;'Purchased Boons'!$B$496,VLOOKUP(A644,'Purchased Boons'!$BF$2:$BG$900,2,FALSE),"")</f>
        <v/>
      </c>
      <c r="C644" s="727"/>
      <c r="D644" s="727"/>
      <c r="E644" s="727"/>
      <c r="F644" s="727"/>
      <c r="G644" s="727"/>
      <c r="H644" s="727"/>
      <c r="I644" s="727" t="str">
        <f>IF(B644="","",VLOOKUP(B644,BoonRef!$A$2:$Z$900,25,FALSE))</f>
        <v/>
      </c>
      <c r="J644" s="727"/>
      <c r="K644" s="727"/>
      <c r="L644" s="727"/>
      <c r="M644" s="727"/>
      <c r="N644" s="727"/>
      <c r="O644" s="727"/>
      <c r="P644" s="727"/>
      <c r="Q644" s="727"/>
      <c r="R644" s="727"/>
      <c r="S644" s="727"/>
      <c r="T644" s="727"/>
      <c r="U644" s="727"/>
      <c r="V644" s="727"/>
      <c r="W644" s="727"/>
      <c r="X644" s="727"/>
      <c r="Y644" s="727"/>
      <c r="Z644" s="728"/>
      <c r="AA644" s="15">
        <v>214</v>
      </c>
      <c r="AB644" s="1026" t="str">
        <f>IF(AA644&lt;'Purchased Boons'!$B$496,VLOOKUP(AA644,'Purchased Boons'!$BF$2:$BG$900,2,FALSE),"")</f>
        <v/>
      </c>
      <c r="AC644" s="727"/>
      <c r="AD644" s="727"/>
      <c r="AE644" s="727"/>
      <c r="AF644" s="727"/>
      <c r="AG644" s="727"/>
      <c r="AH644" s="727"/>
      <c r="AI644" s="727" t="str">
        <f>IF(AB644="","",VLOOKUP(AB644,BoonRef!$A$2:$Z$900,25,FALSE))</f>
        <v/>
      </c>
      <c r="AJ644" s="727"/>
      <c r="AK644" s="727"/>
      <c r="AL644" s="727"/>
      <c r="AM644" s="727"/>
      <c r="AN644" s="727"/>
      <c r="AO644" s="727"/>
      <c r="AP644" s="727"/>
      <c r="AQ644" s="727"/>
      <c r="AR644" s="727"/>
      <c r="AS644" s="727"/>
      <c r="AT644" s="727"/>
      <c r="AU644" s="727"/>
      <c r="AV644" s="727"/>
      <c r="AW644" s="727"/>
      <c r="AX644" s="727"/>
      <c r="AY644" s="727"/>
      <c r="AZ644" s="728"/>
      <c r="BA644" s="15">
        <v>107</v>
      </c>
      <c r="BB644" s="1038" t="str">
        <f>IF(BA644&lt;'Purchased Knacks'!A$192,VLOOKUP(BA644,'Purchased Knacks'!$A$4:$E$300,3,FALSE),"")</f>
        <v/>
      </c>
      <c r="BC644" s="1039"/>
      <c r="BD644" s="1039"/>
      <c r="BE644" s="1039"/>
      <c r="BF644" s="1040"/>
      <c r="BG644" s="1032" t="str">
        <f>IF(BB644="","",VLOOKUP(BB644,KanckRef!$A$1:$G$300,7,FALSE))</f>
        <v/>
      </c>
      <c r="BH644" s="1033"/>
      <c r="BI644" s="753"/>
      <c r="BJ644" s="754"/>
      <c r="BK644" s="754"/>
      <c r="BL644" s="754"/>
      <c r="BM644" s="754"/>
      <c r="BN644" s="754"/>
      <c r="BO644" s="754"/>
      <c r="BP644" s="754"/>
      <c r="BQ644" s="754"/>
      <c r="BR644" s="754"/>
      <c r="BS644" s="754"/>
      <c r="BT644" s="754"/>
      <c r="BU644" s="754"/>
      <c r="BV644" s="754"/>
      <c r="BW644" s="754"/>
      <c r="BX644" s="754"/>
      <c r="BY644" s="754"/>
      <c r="BZ644" s="755"/>
      <c r="CA644" s="15">
        <v>214</v>
      </c>
      <c r="CB644" s="1038" t="str">
        <f>IF(CA644&lt;'Purchased Knacks'!A$192,VLOOKUP(CA644,'Purchased Knacks'!$A$4:$E$300,3,FALSE),"")</f>
        <v/>
      </c>
      <c r="CC644" s="1039"/>
      <c r="CD644" s="1039"/>
      <c r="CE644" s="1039"/>
      <c r="CF644" s="1040"/>
      <c r="CG644" s="1032" t="str">
        <f>IF(CB644="","",VLOOKUP(CB644,KanckRef!$A$1:$G$300,7,FALSE))</f>
        <v/>
      </c>
      <c r="CH644" s="1033"/>
      <c r="CI644" s="753"/>
      <c r="CJ644" s="754"/>
      <c r="CK644" s="754"/>
      <c r="CL644" s="754"/>
      <c r="CM644" s="754"/>
      <c r="CN644" s="754"/>
      <c r="CO644" s="754"/>
      <c r="CP644" s="754"/>
      <c r="CQ644" s="754"/>
      <c r="CR644" s="754"/>
      <c r="CS644" s="754"/>
      <c r="CT644" s="754"/>
      <c r="CU644" s="754"/>
      <c r="CV644" s="754"/>
      <c r="CW644" s="754"/>
      <c r="CX644" s="754"/>
      <c r="CY644" s="754"/>
      <c r="CZ644" s="755"/>
    </row>
    <row r="645" spans="1:104" x14ac:dyDescent="0.25">
      <c r="B645" s="1026"/>
      <c r="C645" s="727"/>
      <c r="D645" s="727"/>
      <c r="E645" s="727"/>
      <c r="F645" s="727"/>
      <c r="G645" s="727"/>
      <c r="H645" s="727"/>
      <c r="I645" s="727" t="str">
        <f>IF(B644="","",VLOOKUP(B644,BoonRef!$A$2:$Z$900,26,FALSE))</f>
        <v/>
      </c>
      <c r="J645" s="727"/>
      <c r="K645" s="727"/>
      <c r="L645" s="727"/>
      <c r="M645" s="727"/>
      <c r="N645" s="727"/>
      <c r="O645" s="727"/>
      <c r="P645" s="727"/>
      <c r="Q645" s="727"/>
      <c r="R645" s="727"/>
      <c r="S645" s="727"/>
      <c r="T645" s="727"/>
      <c r="U645" s="727"/>
      <c r="V645" s="727"/>
      <c r="W645" s="727"/>
      <c r="X645" s="727"/>
      <c r="Y645" s="727"/>
      <c r="Z645" s="728"/>
      <c r="AB645" s="1026"/>
      <c r="AC645" s="727"/>
      <c r="AD645" s="727"/>
      <c r="AE645" s="727"/>
      <c r="AF645" s="727"/>
      <c r="AG645" s="727"/>
      <c r="AH645" s="727"/>
      <c r="AI645" s="727" t="str">
        <f>IF(AB644="","",VLOOKUP(AB644,BoonRef!$A$2:$Z$900,26,FALSE))</f>
        <v/>
      </c>
      <c r="AJ645" s="727"/>
      <c r="AK645" s="727"/>
      <c r="AL645" s="727"/>
      <c r="AM645" s="727"/>
      <c r="AN645" s="727"/>
      <c r="AO645" s="727"/>
      <c r="AP645" s="727"/>
      <c r="AQ645" s="727"/>
      <c r="AR645" s="727"/>
      <c r="AS645" s="727"/>
      <c r="AT645" s="727"/>
      <c r="AU645" s="727"/>
      <c r="AV645" s="727"/>
      <c r="AW645" s="727"/>
      <c r="AX645" s="727"/>
      <c r="AY645" s="727"/>
      <c r="AZ645" s="728"/>
      <c r="BB645" s="1041"/>
      <c r="BC645" s="1042"/>
      <c r="BD645" s="1042"/>
      <c r="BE645" s="1042"/>
      <c r="BF645" s="1043"/>
      <c r="BG645" s="1034"/>
      <c r="BH645" s="1035"/>
      <c r="BI645" s="753"/>
      <c r="BJ645" s="754"/>
      <c r="BK645" s="754"/>
      <c r="BL645" s="754"/>
      <c r="BM645" s="754"/>
      <c r="BN645" s="754"/>
      <c r="BO645" s="754"/>
      <c r="BP645" s="754"/>
      <c r="BQ645" s="754"/>
      <c r="BR645" s="754"/>
      <c r="BS645" s="754"/>
      <c r="BT645" s="754"/>
      <c r="BU645" s="754"/>
      <c r="BV645" s="754"/>
      <c r="BW645" s="754"/>
      <c r="BX645" s="754"/>
      <c r="BY645" s="754"/>
      <c r="BZ645" s="755"/>
      <c r="CB645" s="1041"/>
      <c r="CC645" s="1042"/>
      <c r="CD645" s="1042"/>
      <c r="CE645" s="1042"/>
      <c r="CF645" s="1043"/>
      <c r="CG645" s="1034"/>
      <c r="CH645" s="1035"/>
      <c r="CI645" s="753"/>
      <c r="CJ645" s="754"/>
      <c r="CK645" s="754"/>
      <c r="CL645" s="754"/>
      <c r="CM645" s="754"/>
      <c r="CN645" s="754"/>
      <c r="CO645" s="754"/>
      <c r="CP645" s="754"/>
      <c r="CQ645" s="754"/>
      <c r="CR645" s="754"/>
      <c r="CS645" s="754"/>
      <c r="CT645" s="754"/>
      <c r="CU645" s="754"/>
      <c r="CV645" s="754"/>
      <c r="CW645" s="754"/>
      <c r="CX645" s="754"/>
      <c r="CY645" s="754"/>
      <c r="CZ645" s="755"/>
    </row>
    <row r="646" spans="1:104" x14ac:dyDescent="0.25">
      <c r="B646" s="1026" t="str">
        <f>IF(B644="","",VLOOKUP(B644,BoonRef!$A$2:$Z$900,24,FALSE))</f>
        <v/>
      </c>
      <c r="C646" s="727"/>
      <c r="D646" s="727"/>
      <c r="E646" s="727"/>
      <c r="F646" s="727"/>
      <c r="G646" s="727"/>
      <c r="H646" s="727"/>
      <c r="I646" s="727"/>
      <c r="J646" s="727"/>
      <c r="K646" s="727"/>
      <c r="L646" s="727"/>
      <c r="M646" s="727"/>
      <c r="N646" s="727"/>
      <c r="O646" s="727"/>
      <c r="P646" s="727"/>
      <c r="Q646" s="727"/>
      <c r="R646" s="727"/>
      <c r="S646" s="727"/>
      <c r="T646" s="727"/>
      <c r="U646" s="727"/>
      <c r="V646" s="727"/>
      <c r="W646" s="727"/>
      <c r="X646" s="727"/>
      <c r="Y646" s="727"/>
      <c r="Z646" s="728"/>
      <c r="AB646" s="1026" t="str">
        <f>IF(AB644="","",VLOOKUP(AB644,BoonRef!$A$2:$Z$900,24,FALSE))</f>
        <v/>
      </c>
      <c r="AC646" s="727"/>
      <c r="AD646" s="727"/>
      <c r="AE646" s="727"/>
      <c r="AF646" s="727"/>
      <c r="AG646" s="727"/>
      <c r="AH646" s="727"/>
      <c r="AI646" s="727"/>
      <c r="AJ646" s="727"/>
      <c r="AK646" s="727"/>
      <c r="AL646" s="727"/>
      <c r="AM646" s="727"/>
      <c r="AN646" s="727"/>
      <c r="AO646" s="727"/>
      <c r="AP646" s="727"/>
      <c r="AQ646" s="727"/>
      <c r="AR646" s="727"/>
      <c r="AS646" s="727"/>
      <c r="AT646" s="727"/>
      <c r="AU646" s="727"/>
      <c r="AV646" s="727"/>
      <c r="AW646" s="727"/>
      <c r="AX646" s="727"/>
      <c r="AY646" s="727"/>
      <c r="AZ646" s="728"/>
      <c r="BB646" s="641" t="str">
        <f>IF(BB644="","",VLOOKUP(BB644,KanckRef!$A$1:$G$300,4,FALSE))</f>
        <v/>
      </c>
      <c r="BC646" s="642"/>
      <c r="BD646" s="642"/>
      <c r="BE646" s="642"/>
      <c r="BF646" s="642"/>
      <c r="BG646" s="642"/>
      <c r="BH646" s="1033"/>
      <c r="BI646" s="753"/>
      <c r="BJ646" s="754"/>
      <c r="BK646" s="754"/>
      <c r="BL646" s="754"/>
      <c r="BM646" s="754"/>
      <c r="BN646" s="754"/>
      <c r="BO646" s="754"/>
      <c r="BP646" s="754"/>
      <c r="BQ646" s="754"/>
      <c r="BR646" s="754"/>
      <c r="BS646" s="754"/>
      <c r="BT646" s="754"/>
      <c r="BU646" s="754"/>
      <c r="BV646" s="754"/>
      <c r="BW646" s="754"/>
      <c r="BX646" s="754"/>
      <c r="BY646" s="754"/>
      <c r="BZ646" s="755"/>
      <c r="CB646" s="641" t="str">
        <f>IF(CB644="","",VLOOKUP(CB644,KanckRef!$A$1:$G$300,4,FALSE))</f>
        <v/>
      </c>
      <c r="CC646" s="642"/>
      <c r="CD646" s="642"/>
      <c r="CE646" s="642"/>
      <c r="CF646" s="642"/>
      <c r="CG646" s="642"/>
      <c r="CH646" s="1033"/>
      <c r="CI646" s="753"/>
      <c r="CJ646" s="754"/>
      <c r="CK646" s="754"/>
      <c r="CL646" s="754"/>
      <c r="CM646" s="754"/>
      <c r="CN646" s="754"/>
      <c r="CO646" s="754"/>
      <c r="CP646" s="754"/>
      <c r="CQ646" s="754"/>
      <c r="CR646" s="754"/>
      <c r="CS646" s="754"/>
      <c r="CT646" s="754"/>
      <c r="CU646" s="754"/>
      <c r="CV646" s="754"/>
      <c r="CW646" s="754"/>
      <c r="CX646" s="754"/>
      <c r="CY646" s="754"/>
      <c r="CZ646" s="755"/>
    </row>
    <row r="647" spans="1:104" x14ac:dyDescent="0.25">
      <c r="B647" s="1026" t="str">
        <f>IF(B644="","",VLOOKUP(B644,BoonRef!$A$2:$Z$900,23,FALSE))</f>
        <v/>
      </c>
      <c r="C647" s="727"/>
      <c r="D647" s="727"/>
      <c r="E647" s="727"/>
      <c r="F647" s="727"/>
      <c r="G647" s="727"/>
      <c r="H647" s="727"/>
      <c r="I647" s="727"/>
      <c r="J647" s="727"/>
      <c r="K647" s="727"/>
      <c r="L647" s="727"/>
      <c r="M647" s="727"/>
      <c r="N647" s="727"/>
      <c r="O647" s="727"/>
      <c r="P647" s="727"/>
      <c r="Q647" s="727"/>
      <c r="R647" s="727"/>
      <c r="S647" s="727"/>
      <c r="T647" s="727"/>
      <c r="U647" s="727"/>
      <c r="V647" s="727"/>
      <c r="W647" s="727"/>
      <c r="X647" s="727"/>
      <c r="Y647" s="727"/>
      <c r="Z647" s="728"/>
      <c r="AB647" s="1026" t="str">
        <f>IF(AB644="","",VLOOKUP(AB644,BoonRef!$A$2:$Z$900,23,FALSE))</f>
        <v/>
      </c>
      <c r="AC647" s="727"/>
      <c r="AD647" s="727"/>
      <c r="AE647" s="727"/>
      <c r="AF647" s="727"/>
      <c r="AG647" s="727"/>
      <c r="AH647" s="727"/>
      <c r="AI647" s="727"/>
      <c r="AJ647" s="727"/>
      <c r="AK647" s="727"/>
      <c r="AL647" s="727"/>
      <c r="AM647" s="727"/>
      <c r="AN647" s="727"/>
      <c r="AO647" s="727"/>
      <c r="AP647" s="727"/>
      <c r="AQ647" s="727"/>
      <c r="AR647" s="727"/>
      <c r="AS647" s="727"/>
      <c r="AT647" s="727"/>
      <c r="AU647" s="727"/>
      <c r="AV647" s="727"/>
      <c r="AW647" s="727"/>
      <c r="AX647" s="727"/>
      <c r="AY647" s="727"/>
      <c r="AZ647" s="728"/>
      <c r="BB647" s="635"/>
      <c r="BC647" s="636"/>
      <c r="BD647" s="636"/>
      <c r="BE647" s="636"/>
      <c r="BF647" s="636"/>
      <c r="BG647" s="636"/>
      <c r="BH647" s="1036"/>
      <c r="BI647" s="753"/>
      <c r="BJ647" s="754"/>
      <c r="BK647" s="754"/>
      <c r="BL647" s="754"/>
      <c r="BM647" s="754"/>
      <c r="BN647" s="754"/>
      <c r="BO647" s="754"/>
      <c r="BP647" s="754"/>
      <c r="BQ647" s="754"/>
      <c r="BR647" s="754"/>
      <c r="BS647" s="754"/>
      <c r="BT647" s="754"/>
      <c r="BU647" s="754"/>
      <c r="BV647" s="754"/>
      <c r="BW647" s="754"/>
      <c r="BX647" s="754"/>
      <c r="BY647" s="754"/>
      <c r="BZ647" s="755"/>
      <c r="CB647" s="635"/>
      <c r="CC647" s="636"/>
      <c r="CD647" s="636"/>
      <c r="CE647" s="636"/>
      <c r="CF647" s="636"/>
      <c r="CG647" s="636"/>
      <c r="CH647" s="1036"/>
      <c r="CI647" s="753"/>
      <c r="CJ647" s="754"/>
      <c r="CK647" s="754"/>
      <c r="CL647" s="754"/>
      <c r="CM647" s="754"/>
      <c r="CN647" s="754"/>
      <c r="CO647" s="754"/>
      <c r="CP647" s="754"/>
      <c r="CQ647" s="754"/>
      <c r="CR647" s="754"/>
      <c r="CS647" s="754"/>
      <c r="CT647" s="754"/>
      <c r="CU647" s="754"/>
      <c r="CV647" s="754"/>
      <c r="CW647" s="754"/>
      <c r="CX647" s="754"/>
      <c r="CY647" s="754"/>
      <c r="CZ647" s="755"/>
    </row>
    <row r="648" spans="1:104" ht="15.75" thickBot="1" x14ac:dyDescent="0.3">
      <c r="B648" s="1027"/>
      <c r="C648" s="865"/>
      <c r="D648" s="865"/>
      <c r="E648" s="865"/>
      <c r="F648" s="865"/>
      <c r="G648" s="865"/>
      <c r="H648" s="865"/>
      <c r="I648" s="865"/>
      <c r="J648" s="865"/>
      <c r="K648" s="865"/>
      <c r="L648" s="865"/>
      <c r="M648" s="865"/>
      <c r="N648" s="865"/>
      <c r="O648" s="865"/>
      <c r="P648" s="865"/>
      <c r="Q648" s="865"/>
      <c r="R648" s="865"/>
      <c r="S648" s="865"/>
      <c r="T648" s="865"/>
      <c r="U648" s="865"/>
      <c r="V648" s="865"/>
      <c r="W648" s="865"/>
      <c r="X648" s="865"/>
      <c r="Y648" s="865"/>
      <c r="Z648" s="921"/>
      <c r="AB648" s="1027"/>
      <c r="AC648" s="865"/>
      <c r="AD648" s="865"/>
      <c r="AE648" s="865"/>
      <c r="AF648" s="865"/>
      <c r="AG648" s="865"/>
      <c r="AH648" s="865"/>
      <c r="AI648" s="865"/>
      <c r="AJ648" s="865"/>
      <c r="AK648" s="865"/>
      <c r="AL648" s="865"/>
      <c r="AM648" s="865"/>
      <c r="AN648" s="865"/>
      <c r="AO648" s="865"/>
      <c r="AP648" s="865"/>
      <c r="AQ648" s="865"/>
      <c r="AR648" s="865"/>
      <c r="AS648" s="865"/>
      <c r="AT648" s="865"/>
      <c r="AU648" s="865"/>
      <c r="AV648" s="865"/>
      <c r="AW648" s="865"/>
      <c r="AX648" s="865"/>
      <c r="AY648" s="865"/>
      <c r="AZ648" s="921"/>
      <c r="BB648" s="644"/>
      <c r="BC648" s="645"/>
      <c r="BD648" s="645"/>
      <c r="BE648" s="645"/>
      <c r="BF648" s="645"/>
      <c r="BG648" s="645"/>
      <c r="BH648" s="1037"/>
      <c r="BI648" s="756"/>
      <c r="BJ648" s="757"/>
      <c r="BK648" s="757"/>
      <c r="BL648" s="757"/>
      <c r="BM648" s="757"/>
      <c r="BN648" s="757"/>
      <c r="BO648" s="757"/>
      <c r="BP648" s="757"/>
      <c r="BQ648" s="757"/>
      <c r="BR648" s="757"/>
      <c r="BS648" s="757"/>
      <c r="BT648" s="757"/>
      <c r="BU648" s="757"/>
      <c r="BV648" s="757"/>
      <c r="BW648" s="757"/>
      <c r="BX648" s="757"/>
      <c r="BY648" s="757"/>
      <c r="BZ648" s="758"/>
      <c r="CB648" s="644"/>
      <c r="CC648" s="645"/>
      <c r="CD648" s="645"/>
      <c r="CE648" s="645"/>
      <c r="CF648" s="645"/>
      <c r="CG648" s="645"/>
      <c r="CH648" s="1037"/>
      <c r="CI648" s="756"/>
      <c r="CJ648" s="757"/>
      <c r="CK648" s="757"/>
      <c r="CL648" s="757"/>
      <c r="CM648" s="757"/>
      <c r="CN648" s="757"/>
      <c r="CO648" s="757"/>
      <c r="CP648" s="757"/>
      <c r="CQ648" s="757"/>
      <c r="CR648" s="757"/>
      <c r="CS648" s="757"/>
      <c r="CT648" s="757"/>
      <c r="CU648" s="757"/>
      <c r="CV648" s="757"/>
      <c r="CW648" s="757"/>
      <c r="CX648" s="757"/>
      <c r="CY648" s="757"/>
      <c r="CZ648" s="758"/>
    </row>
  </sheetData>
  <sheetProtection password="E9C2" sheet="1" objects="1" scenarios="1" selectLockedCells="1"/>
  <sortState ref="K16:Z129">
    <sortCondition ref="K118"/>
  </sortState>
  <mergeCells count="3024">
    <mergeCell ref="CB595:CF595"/>
    <mergeCell ref="CG595:CH595"/>
    <mergeCell ref="CI595:CZ600"/>
    <mergeCell ref="CB596:CF597"/>
    <mergeCell ref="CG596:CH597"/>
    <mergeCell ref="CB598:CH600"/>
    <mergeCell ref="CB601:CF601"/>
    <mergeCell ref="CG601:CH601"/>
    <mergeCell ref="CI601:CZ606"/>
    <mergeCell ref="CB602:CF603"/>
    <mergeCell ref="CG602:CH603"/>
    <mergeCell ref="CB604:CH606"/>
    <mergeCell ref="CI619:CZ624"/>
    <mergeCell ref="CB620:CF621"/>
    <mergeCell ref="CG620:CH621"/>
    <mergeCell ref="CB622:CH624"/>
    <mergeCell ref="CB625:CF625"/>
    <mergeCell ref="CG625:CH625"/>
    <mergeCell ref="CI625:CZ630"/>
    <mergeCell ref="CB626:CF627"/>
    <mergeCell ref="CG626:CH627"/>
    <mergeCell ref="CB628:CH630"/>
    <mergeCell ref="CB589:CF589"/>
    <mergeCell ref="CG589:CH589"/>
    <mergeCell ref="CI589:CZ594"/>
    <mergeCell ref="CB590:CF591"/>
    <mergeCell ref="CG590:CH591"/>
    <mergeCell ref="CB592:CH594"/>
    <mergeCell ref="CB577:CF577"/>
    <mergeCell ref="CG577:CH577"/>
    <mergeCell ref="CI577:CZ582"/>
    <mergeCell ref="CB578:CF579"/>
    <mergeCell ref="CG578:CH579"/>
    <mergeCell ref="CB580:CH582"/>
    <mergeCell ref="CB583:CF583"/>
    <mergeCell ref="CG583:CH583"/>
    <mergeCell ref="CB571:CF571"/>
    <mergeCell ref="CG571:CH571"/>
    <mergeCell ref="CI571:CZ576"/>
    <mergeCell ref="CB572:CF573"/>
    <mergeCell ref="CG572:CH573"/>
    <mergeCell ref="CB574:CH576"/>
    <mergeCell ref="CB499:CF499"/>
    <mergeCell ref="CG499:CH499"/>
    <mergeCell ref="CI499:CZ504"/>
    <mergeCell ref="CB500:CF501"/>
    <mergeCell ref="CG500:CH501"/>
    <mergeCell ref="CB502:CH504"/>
    <mergeCell ref="CG566:CH567"/>
    <mergeCell ref="CB568:CH570"/>
    <mergeCell ref="CI583:CZ588"/>
    <mergeCell ref="CB584:CF585"/>
    <mergeCell ref="CG584:CH585"/>
    <mergeCell ref="CB586:CH588"/>
    <mergeCell ref="CB541:CF541"/>
    <mergeCell ref="CG541:CH541"/>
    <mergeCell ref="CI541:CZ546"/>
    <mergeCell ref="CB542:CF543"/>
    <mergeCell ref="CG542:CH543"/>
    <mergeCell ref="CB544:CH546"/>
    <mergeCell ref="CB547:CF547"/>
    <mergeCell ref="CG547:CH547"/>
    <mergeCell ref="CI547:CZ552"/>
    <mergeCell ref="CB548:CF549"/>
    <mergeCell ref="CG548:CH549"/>
    <mergeCell ref="CB550:CH552"/>
    <mergeCell ref="CB553:CF553"/>
    <mergeCell ref="CG553:CH553"/>
    <mergeCell ref="CI553:CZ558"/>
    <mergeCell ref="CB554:CF555"/>
    <mergeCell ref="CG554:CH555"/>
    <mergeCell ref="CB556:CH558"/>
    <mergeCell ref="CB559:CF559"/>
    <mergeCell ref="CG559:CH559"/>
    <mergeCell ref="CB463:CF463"/>
    <mergeCell ref="CG463:CH463"/>
    <mergeCell ref="CB487:CF487"/>
    <mergeCell ref="CG487:CH487"/>
    <mergeCell ref="CI487:CZ492"/>
    <mergeCell ref="CB488:CF489"/>
    <mergeCell ref="CG488:CH489"/>
    <mergeCell ref="CB490:CH492"/>
    <mergeCell ref="CB493:CF493"/>
    <mergeCell ref="CG493:CH493"/>
    <mergeCell ref="CI493:CZ498"/>
    <mergeCell ref="CB494:CF495"/>
    <mergeCell ref="CG494:CH495"/>
    <mergeCell ref="CB496:CH498"/>
    <mergeCell ref="CI511:CZ516"/>
    <mergeCell ref="CB512:CF513"/>
    <mergeCell ref="CG512:CH513"/>
    <mergeCell ref="CB514:CH516"/>
    <mergeCell ref="CI475:CZ480"/>
    <mergeCell ref="CB476:CF477"/>
    <mergeCell ref="CG476:CH477"/>
    <mergeCell ref="CB478:CH480"/>
    <mergeCell ref="CB481:CF481"/>
    <mergeCell ref="CG481:CH481"/>
    <mergeCell ref="CI481:CZ486"/>
    <mergeCell ref="CB482:CF483"/>
    <mergeCell ref="CG482:CH483"/>
    <mergeCell ref="CB484:CH486"/>
    <mergeCell ref="CB469:CF469"/>
    <mergeCell ref="CG469:CH469"/>
    <mergeCell ref="CI469:CZ474"/>
    <mergeCell ref="CB470:CF471"/>
    <mergeCell ref="CG470:CH471"/>
    <mergeCell ref="CB472:CH474"/>
    <mergeCell ref="CB475:CF475"/>
    <mergeCell ref="CG475:CH475"/>
    <mergeCell ref="CB379:CF379"/>
    <mergeCell ref="CG379:CH379"/>
    <mergeCell ref="CI379:CZ384"/>
    <mergeCell ref="CB380:CF381"/>
    <mergeCell ref="CG380:CH381"/>
    <mergeCell ref="CB382:CH384"/>
    <mergeCell ref="CB385:CF385"/>
    <mergeCell ref="CG385:CH385"/>
    <mergeCell ref="CI385:CZ390"/>
    <mergeCell ref="CB386:CF387"/>
    <mergeCell ref="CG386:CH387"/>
    <mergeCell ref="CB388:CH390"/>
    <mergeCell ref="CI403:CZ408"/>
    <mergeCell ref="CB404:CF405"/>
    <mergeCell ref="CG404:CH405"/>
    <mergeCell ref="CB406:CH408"/>
    <mergeCell ref="CB409:CF409"/>
    <mergeCell ref="CG409:CH409"/>
    <mergeCell ref="CI409:CZ414"/>
    <mergeCell ref="CB410:CF411"/>
    <mergeCell ref="CG410:CH411"/>
    <mergeCell ref="CB412:CH414"/>
    <mergeCell ref="CB391:CF391"/>
    <mergeCell ref="CG391:CH391"/>
    <mergeCell ref="CI391:CZ396"/>
    <mergeCell ref="CB392:CF393"/>
    <mergeCell ref="CG392:CH393"/>
    <mergeCell ref="CB394:CH396"/>
    <mergeCell ref="CB373:CF373"/>
    <mergeCell ref="CG373:CH373"/>
    <mergeCell ref="CI373:CZ378"/>
    <mergeCell ref="CB374:CF375"/>
    <mergeCell ref="CG374:CH375"/>
    <mergeCell ref="CB376:CH378"/>
    <mergeCell ref="CB361:CF361"/>
    <mergeCell ref="CG361:CH361"/>
    <mergeCell ref="CI361:CZ366"/>
    <mergeCell ref="CB362:CF363"/>
    <mergeCell ref="CG362:CH363"/>
    <mergeCell ref="CB364:CH366"/>
    <mergeCell ref="CB367:CF367"/>
    <mergeCell ref="CG367:CH367"/>
    <mergeCell ref="CB355:CF355"/>
    <mergeCell ref="CG355:CH355"/>
    <mergeCell ref="CI355:CZ360"/>
    <mergeCell ref="CB356:CF357"/>
    <mergeCell ref="CG356:CH357"/>
    <mergeCell ref="CB358:CH360"/>
    <mergeCell ref="CG350:CH351"/>
    <mergeCell ref="CB352:CH354"/>
    <mergeCell ref="CI367:CZ372"/>
    <mergeCell ref="CB368:CF369"/>
    <mergeCell ref="CG368:CH369"/>
    <mergeCell ref="CB370:CH372"/>
    <mergeCell ref="CB319:CF319"/>
    <mergeCell ref="CG319:CH319"/>
    <mergeCell ref="CI319:CZ324"/>
    <mergeCell ref="CB320:CF321"/>
    <mergeCell ref="CG320:CH321"/>
    <mergeCell ref="CB322:CH324"/>
    <mergeCell ref="CB289:CF289"/>
    <mergeCell ref="CG289:CH289"/>
    <mergeCell ref="CI289:CZ294"/>
    <mergeCell ref="CB290:CF291"/>
    <mergeCell ref="CG290:CH291"/>
    <mergeCell ref="CB292:CH294"/>
    <mergeCell ref="CB295:CF295"/>
    <mergeCell ref="CG295:CH295"/>
    <mergeCell ref="CG296:CH297"/>
    <mergeCell ref="CB298:CH300"/>
    <mergeCell ref="CB313:CF313"/>
    <mergeCell ref="CG313:CH313"/>
    <mergeCell ref="CI313:CZ318"/>
    <mergeCell ref="CB314:CF315"/>
    <mergeCell ref="CG314:CH315"/>
    <mergeCell ref="CB316:CH318"/>
    <mergeCell ref="CI259:CZ264"/>
    <mergeCell ref="CB260:CF261"/>
    <mergeCell ref="CG260:CH261"/>
    <mergeCell ref="CB262:CH264"/>
    <mergeCell ref="CB265:CF265"/>
    <mergeCell ref="CG265:CH265"/>
    <mergeCell ref="CI265:CZ270"/>
    <mergeCell ref="CB266:CF267"/>
    <mergeCell ref="CG266:CH267"/>
    <mergeCell ref="CB268:CH270"/>
    <mergeCell ref="CB253:CF253"/>
    <mergeCell ref="CG253:CH253"/>
    <mergeCell ref="CI253:CZ258"/>
    <mergeCell ref="CB254:CF255"/>
    <mergeCell ref="CB301:CF301"/>
    <mergeCell ref="CG301:CH301"/>
    <mergeCell ref="CI301:CZ306"/>
    <mergeCell ref="CB302:CF303"/>
    <mergeCell ref="CG302:CH303"/>
    <mergeCell ref="CB304:CH306"/>
    <mergeCell ref="CB283:CF283"/>
    <mergeCell ref="CG283:CH283"/>
    <mergeCell ref="CI283:CZ288"/>
    <mergeCell ref="CB284:CF285"/>
    <mergeCell ref="CG284:CH285"/>
    <mergeCell ref="CB286:CH288"/>
    <mergeCell ref="CG254:CH255"/>
    <mergeCell ref="CB256:CH258"/>
    <mergeCell ref="CB259:CF259"/>
    <mergeCell ref="CG259:CH259"/>
    <mergeCell ref="CB169:CF169"/>
    <mergeCell ref="CG169:CH169"/>
    <mergeCell ref="CI169:CZ174"/>
    <mergeCell ref="CB170:CF171"/>
    <mergeCell ref="CG170:CH171"/>
    <mergeCell ref="CB172:CH174"/>
    <mergeCell ref="CI187:CZ192"/>
    <mergeCell ref="CB188:CF189"/>
    <mergeCell ref="CG188:CH189"/>
    <mergeCell ref="CB190:CH192"/>
    <mergeCell ref="CB193:CF193"/>
    <mergeCell ref="CG193:CH193"/>
    <mergeCell ref="CI193:CZ198"/>
    <mergeCell ref="CB194:CF195"/>
    <mergeCell ref="CG194:CH195"/>
    <mergeCell ref="CB196:CH198"/>
    <mergeCell ref="CB199:CF199"/>
    <mergeCell ref="CG199:CH199"/>
    <mergeCell ref="CI199:CZ204"/>
    <mergeCell ref="CB200:CF201"/>
    <mergeCell ref="CG200:CH201"/>
    <mergeCell ref="CB202:CH204"/>
    <mergeCell ref="CB175:CF175"/>
    <mergeCell ref="CG175:CH175"/>
    <mergeCell ref="CI175:CZ180"/>
    <mergeCell ref="CB176:CF177"/>
    <mergeCell ref="CG176:CH177"/>
    <mergeCell ref="CB178:CH180"/>
    <mergeCell ref="CB181:CF181"/>
    <mergeCell ref="CG181:CH181"/>
    <mergeCell ref="CI181:CZ186"/>
    <mergeCell ref="CB182:CF183"/>
    <mergeCell ref="CG134:CH135"/>
    <mergeCell ref="CB136:CH138"/>
    <mergeCell ref="CI151:CZ156"/>
    <mergeCell ref="CB152:CF153"/>
    <mergeCell ref="CG152:CH153"/>
    <mergeCell ref="CB154:CH156"/>
    <mergeCell ref="CB157:CF157"/>
    <mergeCell ref="CG157:CH157"/>
    <mergeCell ref="CI157:CZ162"/>
    <mergeCell ref="CB158:CF159"/>
    <mergeCell ref="CG158:CH159"/>
    <mergeCell ref="CB160:CH162"/>
    <mergeCell ref="CB163:CF163"/>
    <mergeCell ref="CG163:CH163"/>
    <mergeCell ref="CI163:CZ168"/>
    <mergeCell ref="CB164:CF165"/>
    <mergeCell ref="CG164:CH165"/>
    <mergeCell ref="CB166:CH168"/>
    <mergeCell ref="CB145:CF145"/>
    <mergeCell ref="CG145:CH145"/>
    <mergeCell ref="CI145:CZ150"/>
    <mergeCell ref="CB146:CF147"/>
    <mergeCell ref="CG146:CH147"/>
    <mergeCell ref="CB148:CH150"/>
    <mergeCell ref="CB151:CF151"/>
    <mergeCell ref="CG151:CH151"/>
    <mergeCell ref="CB139:CF139"/>
    <mergeCell ref="CG139:CH139"/>
    <mergeCell ref="CI139:CZ144"/>
    <mergeCell ref="CB140:CF141"/>
    <mergeCell ref="CG140:CH141"/>
    <mergeCell ref="CB142:CH144"/>
    <mergeCell ref="CG98:CH99"/>
    <mergeCell ref="CB100:CH102"/>
    <mergeCell ref="CI115:CZ120"/>
    <mergeCell ref="CB116:CF117"/>
    <mergeCell ref="CG116:CH117"/>
    <mergeCell ref="CB118:CH120"/>
    <mergeCell ref="CB121:CF121"/>
    <mergeCell ref="CG121:CH121"/>
    <mergeCell ref="CI121:CZ126"/>
    <mergeCell ref="CB122:CF123"/>
    <mergeCell ref="CG122:CH123"/>
    <mergeCell ref="CB124:CH126"/>
    <mergeCell ref="CB109:CF109"/>
    <mergeCell ref="CG109:CH109"/>
    <mergeCell ref="CI109:CZ114"/>
    <mergeCell ref="CB110:CF111"/>
    <mergeCell ref="CG110:CH111"/>
    <mergeCell ref="CB112:CH114"/>
    <mergeCell ref="CB115:CF115"/>
    <mergeCell ref="CG115:CH115"/>
    <mergeCell ref="CB103:CF103"/>
    <mergeCell ref="CG103:CH103"/>
    <mergeCell ref="CI103:CZ108"/>
    <mergeCell ref="CB104:CF105"/>
    <mergeCell ref="CG104:CH105"/>
    <mergeCell ref="CB106:CH108"/>
    <mergeCell ref="CI43:CZ48"/>
    <mergeCell ref="CB44:CF45"/>
    <mergeCell ref="CG44:CH45"/>
    <mergeCell ref="CB46:CH48"/>
    <mergeCell ref="CB49:CF49"/>
    <mergeCell ref="CG49:CH49"/>
    <mergeCell ref="CI49:CZ54"/>
    <mergeCell ref="CB50:CF51"/>
    <mergeCell ref="CG50:CH51"/>
    <mergeCell ref="CB52:CH54"/>
    <mergeCell ref="CB55:CF55"/>
    <mergeCell ref="CG55:CH55"/>
    <mergeCell ref="CI55:CZ60"/>
    <mergeCell ref="CB56:CF57"/>
    <mergeCell ref="CG56:CH57"/>
    <mergeCell ref="CB58:CH60"/>
    <mergeCell ref="CB61:CF61"/>
    <mergeCell ref="CG61:CH61"/>
    <mergeCell ref="CI61:CZ66"/>
    <mergeCell ref="CB62:CF63"/>
    <mergeCell ref="CG62:CH63"/>
    <mergeCell ref="CB64:CH66"/>
    <mergeCell ref="CB19:CF19"/>
    <mergeCell ref="CG19:CH19"/>
    <mergeCell ref="CI19:CZ24"/>
    <mergeCell ref="CB20:CF21"/>
    <mergeCell ref="CG20:CH21"/>
    <mergeCell ref="CB22:CH24"/>
    <mergeCell ref="CB25:CF25"/>
    <mergeCell ref="CG25:CH25"/>
    <mergeCell ref="CI25:CZ30"/>
    <mergeCell ref="CB26:CF27"/>
    <mergeCell ref="CG26:CH27"/>
    <mergeCell ref="CB28:CH30"/>
    <mergeCell ref="CB31:CF31"/>
    <mergeCell ref="CG31:CH31"/>
    <mergeCell ref="CI31:CZ36"/>
    <mergeCell ref="CB32:CF33"/>
    <mergeCell ref="CG32:CH33"/>
    <mergeCell ref="CB34:CH36"/>
    <mergeCell ref="CB1:CF1"/>
    <mergeCell ref="CG1:CH1"/>
    <mergeCell ref="CI1:CZ6"/>
    <mergeCell ref="CB2:CF3"/>
    <mergeCell ref="CG2:CH3"/>
    <mergeCell ref="CB4:CH6"/>
    <mergeCell ref="CB7:CF7"/>
    <mergeCell ref="CG7:CH7"/>
    <mergeCell ref="CI7:CZ12"/>
    <mergeCell ref="CB8:CF9"/>
    <mergeCell ref="CG8:CH9"/>
    <mergeCell ref="CB10:CH12"/>
    <mergeCell ref="CB13:CF13"/>
    <mergeCell ref="CG13:CH13"/>
    <mergeCell ref="CI13:CZ18"/>
    <mergeCell ref="CB14:CF15"/>
    <mergeCell ref="CG14:CH15"/>
    <mergeCell ref="CB16:CH18"/>
    <mergeCell ref="CB643:CF643"/>
    <mergeCell ref="CG643:CH643"/>
    <mergeCell ref="CI643:CZ648"/>
    <mergeCell ref="CB644:CF645"/>
    <mergeCell ref="CG644:CH645"/>
    <mergeCell ref="CB646:CH648"/>
    <mergeCell ref="CB613:CF613"/>
    <mergeCell ref="CG613:CH613"/>
    <mergeCell ref="CI613:CZ618"/>
    <mergeCell ref="CB614:CF615"/>
    <mergeCell ref="CG614:CH615"/>
    <mergeCell ref="CB616:CH618"/>
    <mergeCell ref="CB619:CF619"/>
    <mergeCell ref="CG619:CH619"/>
    <mergeCell ref="CB607:CF607"/>
    <mergeCell ref="CG607:CH607"/>
    <mergeCell ref="CI607:CZ612"/>
    <mergeCell ref="CB608:CF609"/>
    <mergeCell ref="CG608:CH609"/>
    <mergeCell ref="CB610:CH612"/>
    <mergeCell ref="CB631:CF631"/>
    <mergeCell ref="CG631:CH631"/>
    <mergeCell ref="CI631:CZ636"/>
    <mergeCell ref="CB632:CF633"/>
    <mergeCell ref="CG632:CH633"/>
    <mergeCell ref="CB634:CH636"/>
    <mergeCell ref="CB637:CF637"/>
    <mergeCell ref="CG637:CH637"/>
    <mergeCell ref="CI637:CZ642"/>
    <mergeCell ref="CB638:CF639"/>
    <mergeCell ref="CG638:CH639"/>
    <mergeCell ref="CB640:CH642"/>
    <mergeCell ref="CI559:CZ564"/>
    <mergeCell ref="CB560:CF561"/>
    <mergeCell ref="CG560:CH561"/>
    <mergeCell ref="CB562:CH564"/>
    <mergeCell ref="CB565:CF565"/>
    <mergeCell ref="CG565:CH565"/>
    <mergeCell ref="CI565:CZ570"/>
    <mergeCell ref="CB566:CF567"/>
    <mergeCell ref="CB535:CF535"/>
    <mergeCell ref="CG535:CH535"/>
    <mergeCell ref="CI535:CZ540"/>
    <mergeCell ref="CB536:CF537"/>
    <mergeCell ref="CG536:CH537"/>
    <mergeCell ref="CB538:CH540"/>
    <mergeCell ref="CB505:CF505"/>
    <mergeCell ref="CG505:CH505"/>
    <mergeCell ref="CI505:CZ510"/>
    <mergeCell ref="CB506:CF507"/>
    <mergeCell ref="CG506:CH507"/>
    <mergeCell ref="CB508:CH510"/>
    <mergeCell ref="CB511:CF511"/>
    <mergeCell ref="CG511:CH511"/>
    <mergeCell ref="CB523:CF523"/>
    <mergeCell ref="CG523:CH523"/>
    <mergeCell ref="CI523:CZ528"/>
    <mergeCell ref="CB524:CF525"/>
    <mergeCell ref="CG524:CH525"/>
    <mergeCell ref="CB526:CH528"/>
    <mergeCell ref="CB529:CF529"/>
    <mergeCell ref="CG529:CH529"/>
    <mergeCell ref="CI529:CZ534"/>
    <mergeCell ref="CB530:CF531"/>
    <mergeCell ref="CG530:CH531"/>
    <mergeCell ref="CB532:CH534"/>
    <mergeCell ref="CB517:CF517"/>
    <mergeCell ref="CG517:CH517"/>
    <mergeCell ref="CI517:CZ522"/>
    <mergeCell ref="CB518:CF519"/>
    <mergeCell ref="CG518:CH519"/>
    <mergeCell ref="CB520:CH522"/>
    <mergeCell ref="CI463:CZ468"/>
    <mergeCell ref="CB464:CF465"/>
    <mergeCell ref="CG464:CH465"/>
    <mergeCell ref="CB466:CH468"/>
    <mergeCell ref="CB433:CF433"/>
    <mergeCell ref="CG433:CH433"/>
    <mergeCell ref="CI433:CZ438"/>
    <mergeCell ref="CB434:CF435"/>
    <mergeCell ref="CG434:CH435"/>
    <mergeCell ref="CB436:CH438"/>
    <mergeCell ref="CB439:CF439"/>
    <mergeCell ref="CG439:CH439"/>
    <mergeCell ref="CI439:CZ444"/>
    <mergeCell ref="CB440:CF441"/>
    <mergeCell ref="CG440:CH441"/>
    <mergeCell ref="CB442:CH444"/>
    <mergeCell ref="CB445:CF445"/>
    <mergeCell ref="CG445:CH445"/>
    <mergeCell ref="CI445:CZ450"/>
    <mergeCell ref="CB446:CF447"/>
    <mergeCell ref="CG446:CH447"/>
    <mergeCell ref="CB448:CH450"/>
    <mergeCell ref="CB451:CF451"/>
    <mergeCell ref="CG451:CH451"/>
    <mergeCell ref="CI451:CZ456"/>
    <mergeCell ref="CB452:CF453"/>
    <mergeCell ref="CG452:CH453"/>
    <mergeCell ref="CB454:CH456"/>
    <mergeCell ref="CB457:CF457"/>
    <mergeCell ref="CG457:CH457"/>
    <mergeCell ref="CI457:CZ462"/>
    <mergeCell ref="CB458:CF459"/>
    <mergeCell ref="CI427:CZ432"/>
    <mergeCell ref="CB428:CF429"/>
    <mergeCell ref="CG428:CH429"/>
    <mergeCell ref="CB430:CH432"/>
    <mergeCell ref="CB397:CF397"/>
    <mergeCell ref="CG397:CH397"/>
    <mergeCell ref="CI397:CZ402"/>
    <mergeCell ref="CB398:CF399"/>
    <mergeCell ref="CG398:CH399"/>
    <mergeCell ref="CB400:CH402"/>
    <mergeCell ref="CB403:CF403"/>
    <mergeCell ref="CG403:CH403"/>
    <mergeCell ref="CB415:CF415"/>
    <mergeCell ref="CG415:CH415"/>
    <mergeCell ref="CI415:CZ420"/>
    <mergeCell ref="CB416:CF417"/>
    <mergeCell ref="CG416:CH417"/>
    <mergeCell ref="CB418:CH420"/>
    <mergeCell ref="CB421:CF421"/>
    <mergeCell ref="CG421:CH421"/>
    <mergeCell ref="CI421:CZ426"/>
    <mergeCell ref="CB422:CF423"/>
    <mergeCell ref="CG422:CH423"/>
    <mergeCell ref="CB424:CH426"/>
    <mergeCell ref="CG458:CH459"/>
    <mergeCell ref="CB460:CH462"/>
    <mergeCell ref="CB325:CF325"/>
    <mergeCell ref="CG325:CH325"/>
    <mergeCell ref="CI325:CZ330"/>
    <mergeCell ref="CB326:CF327"/>
    <mergeCell ref="CG326:CH327"/>
    <mergeCell ref="CB328:CH330"/>
    <mergeCell ref="CB331:CF331"/>
    <mergeCell ref="CG331:CH331"/>
    <mergeCell ref="CI331:CZ336"/>
    <mergeCell ref="CB332:CF333"/>
    <mergeCell ref="CG332:CH333"/>
    <mergeCell ref="CB334:CH336"/>
    <mergeCell ref="CB337:CF337"/>
    <mergeCell ref="CG337:CH337"/>
    <mergeCell ref="CI337:CZ342"/>
    <mergeCell ref="CB338:CF339"/>
    <mergeCell ref="CG338:CH339"/>
    <mergeCell ref="CB340:CH342"/>
    <mergeCell ref="CB343:CF343"/>
    <mergeCell ref="CG343:CH343"/>
    <mergeCell ref="CI343:CZ348"/>
    <mergeCell ref="CB344:CF345"/>
    <mergeCell ref="CG344:CH345"/>
    <mergeCell ref="CB346:CH348"/>
    <mergeCell ref="CB349:CF349"/>
    <mergeCell ref="CG349:CH349"/>
    <mergeCell ref="CI349:CZ354"/>
    <mergeCell ref="CB350:CF351"/>
    <mergeCell ref="CB427:CF427"/>
    <mergeCell ref="CG427:CH427"/>
    <mergeCell ref="CB223:CF223"/>
    <mergeCell ref="CG223:CH223"/>
    <mergeCell ref="CI223:CZ228"/>
    <mergeCell ref="CB224:CF225"/>
    <mergeCell ref="CG224:CH225"/>
    <mergeCell ref="CB226:CH228"/>
    <mergeCell ref="CB229:CF229"/>
    <mergeCell ref="CG229:CH229"/>
    <mergeCell ref="CI229:CZ234"/>
    <mergeCell ref="CB230:CF231"/>
    <mergeCell ref="CB247:CF247"/>
    <mergeCell ref="CG247:CH247"/>
    <mergeCell ref="CG236:CH237"/>
    <mergeCell ref="CB238:CH240"/>
    <mergeCell ref="CB241:CF241"/>
    <mergeCell ref="CG241:CH241"/>
    <mergeCell ref="CI241:CZ246"/>
    <mergeCell ref="CB242:CF243"/>
    <mergeCell ref="CG212:CH213"/>
    <mergeCell ref="CB214:CH216"/>
    <mergeCell ref="CB307:CF307"/>
    <mergeCell ref="CG307:CH307"/>
    <mergeCell ref="CI307:CZ312"/>
    <mergeCell ref="CB308:CF309"/>
    <mergeCell ref="CG308:CH309"/>
    <mergeCell ref="CB310:CH312"/>
    <mergeCell ref="CB271:CF271"/>
    <mergeCell ref="CG271:CH271"/>
    <mergeCell ref="CI271:CZ276"/>
    <mergeCell ref="CB272:CF273"/>
    <mergeCell ref="CG272:CH273"/>
    <mergeCell ref="CB274:CH276"/>
    <mergeCell ref="CB277:CF277"/>
    <mergeCell ref="CG277:CH277"/>
    <mergeCell ref="CI277:CZ282"/>
    <mergeCell ref="CB278:CF279"/>
    <mergeCell ref="CG278:CH279"/>
    <mergeCell ref="CB280:CH282"/>
    <mergeCell ref="CI295:CZ300"/>
    <mergeCell ref="CB296:CF297"/>
    <mergeCell ref="CI247:CZ252"/>
    <mergeCell ref="CB248:CF249"/>
    <mergeCell ref="CG248:CH249"/>
    <mergeCell ref="CB250:CH252"/>
    <mergeCell ref="CB217:CF217"/>
    <mergeCell ref="CG217:CH217"/>
    <mergeCell ref="CI217:CZ222"/>
    <mergeCell ref="CB218:CF219"/>
    <mergeCell ref="CG218:CH219"/>
    <mergeCell ref="CB220:CH222"/>
    <mergeCell ref="CG182:CH183"/>
    <mergeCell ref="CB184:CH186"/>
    <mergeCell ref="CB187:CF187"/>
    <mergeCell ref="CG187:CH187"/>
    <mergeCell ref="CB205:CF205"/>
    <mergeCell ref="CG205:CH205"/>
    <mergeCell ref="CI205:CZ210"/>
    <mergeCell ref="CB206:CF207"/>
    <mergeCell ref="CG206:CH207"/>
    <mergeCell ref="CB208:CH210"/>
    <mergeCell ref="CG242:CH243"/>
    <mergeCell ref="CB244:CH246"/>
    <mergeCell ref="CB127:CF127"/>
    <mergeCell ref="CG127:CH127"/>
    <mergeCell ref="CI127:CZ132"/>
    <mergeCell ref="CB128:CF129"/>
    <mergeCell ref="CG128:CH129"/>
    <mergeCell ref="CB130:CH132"/>
    <mergeCell ref="CB133:CF133"/>
    <mergeCell ref="CG133:CH133"/>
    <mergeCell ref="CI133:CZ138"/>
    <mergeCell ref="CB134:CF135"/>
    <mergeCell ref="CG230:CH231"/>
    <mergeCell ref="CB232:CH234"/>
    <mergeCell ref="CB235:CF235"/>
    <mergeCell ref="CG235:CH235"/>
    <mergeCell ref="CI235:CZ240"/>
    <mergeCell ref="CB236:CF237"/>
    <mergeCell ref="CB211:CF211"/>
    <mergeCell ref="CG211:CH211"/>
    <mergeCell ref="CI211:CZ216"/>
    <mergeCell ref="CB212:CF213"/>
    <mergeCell ref="CB73:CF73"/>
    <mergeCell ref="CG73:CH73"/>
    <mergeCell ref="CI73:CZ78"/>
    <mergeCell ref="CB74:CF75"/>
    <mergeCell ref="CG74:CH75"/>
    <mergeCell ref="CB76:CH78"/>
    <mergeCell ref="CB79:CF79"/>
    <mergeCell ref="CG79:CH79"/>
    <mergeCell ref="CI91:CZ96"/>
    <mergeCell ref="CB92:CF93"/>
    <mergeCell ref="CG92:CH93"/>
    <mergeCell ref="CB94:CH96"/>
    <mergeCell ref="CB97:CF97"/>
    <mergeCell ref="CG97:CH97"/>
    <mergeCell ref="CI97:CZ102"/>
    <mergeCell ref="CB98:CF99"/>
    <mergeCell ref="CB67:CF67"/>
    <mergeCell ref="CG67:CH67"/>
    <mergeCell ref="CI67:CZ72"/>
    <mergeCell ref="CB68:CF69"/>
    <mergeCell ref="CG68:CH69"/>
    <mergeCell ref="CB70:CH72"/>
    <mergeCell ref="CI79:CZ84"/>
    <mergeCell ref="CB80:CF81"/>
    <mergeCell ref="CG80:CH81"/>
    <mergeCell ref="CB82:CH84"/>
    <mergeCell ref="CB85:CF85"/>
    <mergeCell ref="CG85:CH85"/>
    <mergeCell ref="CI85:CZ90"/>
    <mergeCell ref="CB86:CF87"/>
    <mergeCell ref="CG86:CH87"/>
    <mergeCell ref="CB88:CH90"/>
    <mergeCell ref="CB91:CF91"/>
    <mergeCell ref="CG91:CH91"/>
    <mergeCell ref="CB37:CF37"/>
    <mergeCell ref="CG37:CH37"/>
    <mergeCell ref="CI37:CZ42"/>
    <mergeCell ref="CB38:CF39"/>
    <mergeCell ref="CG38:CH39"/>
    <mergeCell ref="CB40:CH42"/>
    <mergeCell ref="CB43:CF43"/>
    <mergeCell ref="CG43:CH43"/>
    <mergeCell ref="AB19:AH19"/>
    <mergeCell ref="AI19:AJ19"/>
    <mergeCell ref="AB1:AH1"/>
    <mergeCell ref="AI1:AJ1"/>
    <mergeCell ref="AK1:AZ6"/>
    <mergeCell ref="AB2:AH3"/>
    <mergeCell ref="AI2:AJ2"/>
    <mergeCell ref="AI3:AJ3"/>
    <mergeCell ref="AB4:AJ4"/>
    <mergeCell ref="AB5:AJ6"/>
    <mergeCell ref="AB7:AH7"/>
    <mergeCell ref="AI7:AJ7"/>
    <mergeCell ref="AK7:AZ12"/>
    <mergeCell ref="AB8:AH9"/>
    <mergeCell ref="AI8:AJ8"/>
    <mergeCell ref="AI9:AJ9"/>
    <mergeCell ref="AB10:AJ10"/>
    <mergeCell ref="AB11:AJ12"/>
    <mergeCell ref="AB13:AH13"/>
    <mergeCell ref="AI13:AJ13"/>
    <mergeCell ref="AK13:AZ18"/>
    <mergeCell ref="AB14:AH15"/>
    <mergeCell ref="AI14:AJ14"/>
    <mergeCell ref="AI15:AJ15"/>
    <mergeCell ref="AB622:AJ622"/>
    <mergeCell ref="AB623:AJ624"/>
    <mergeCell ref="AB625:AH625"/>
    <mergeCell ref="AI625:AJ625"/>
    <mergeCell ref="AK625:AZ630"/>
    <mergeCell ref="AB626:AH627"/>
    <mergeCell ref="AI626:AJ626"/>
    <mergeCell ref="AI627:AJ627"/>
    <mergeCell ref="AB628:AJ628"/>
    <mergeCell ref="AB629:AJ630"/>
    <mergeCell ref="AB16:AJ16"/>
    <mergeCell ref="AB17:AJ18"/>
    <mergeCell ref="AB631:AH631"/>
    <mergeCell ref="AI631:AJ631"/>
    <mergeCell ref="AK631:AZ636"/>
    <mergeCell ref="AB632:AH633"/>
    <mergeCell ref="AI632:AJ632"/>
    <mergeCell ref="AI633:AJ633"/>
    <mergeCell ref="AB634:AJ634"/>
    <mergeCell ref="AB635:AJ636"/>
    <mergeCell ref="AI596:AJ596"/>
    <mergeCell ref="AI597:AJ597"/>
    <mergeCell ref="AB598:AJ598"/>
    <mergeCell ref="AB599:AJ600"/>
    <mergeCell ref="AB601:AH601"/>
    <mergeCell ref="AI601:AJ601"/>
    <mergeCell ref="AK601:AZ606"/>
    <mergeCell ref="AB602:AH603"/>
    <mergeCell ref="AI602:AJ602"/>
    <mergeCell ref="AI603:AJ603"/>
    <mergeCell ref="AB589:AH589"/>
    <mergeCell ref="AI589:AJ589"/>
    <mergeCell ref="AK589:AZ594"/>
    <mergeCell ref="AB590:AH591"/>
    <mergeCell ref="AI590:AJ590"/>
    <mergeCell ref="AI591:AJ591"/>
    <mergeCell ref="AB592:AJ592"/>
    <mergeCell ref="AB593:AJ594"/>
    <mergeCell ref="AB643:AH643"/>
    <mergeCell ref="AI643:AJ643"/>
    <mergeCell ref="AK643:AZ648"/>
    <mergeCell ref="AB644:AH645"/>
    <mergeCell ref="AI644:AJ644"/>
    <mergeCell ref="AI645:AJ645"/>
    <mergeCell ref="AB646:AJ646"/>
    <mergeCell ref="AB647:AJ648"/>
    <mergeCell ref="AB613:AH613"/>
    <mergeCell ref="AI613:AJ613"/>
    <mergeCell ref="AK613:AZ618"/>
    <mergeCell ref="AB614:AH615"/>
    <mergeCell ref="AI614:AJ614"/>
    <mergeCell ref="AI615:AJ615"/>
    <mergeCell ref="AB616:AJ616"/>
    <mergeCell ref="AB617:AJ618"/>
    <mergeCell ref="AB619:AH619"/>
    <mergeCell ref="AI619:AJ619"/>
    <mergeCell ref="AB565:AH565"/>
    <mergeCell ref="AI565:AJ565"/>
    <mergeCell ref="AK565:AZ570"/>
    <mergeCell ref="AB566:AH567"/>
    <mergeCell ref="AI566:AJ566"/>
    <mergeCell ref="AI567:AJ567"/>
    <mergeCell ref="AB568:AJ568"/>
    <mergeCell ref="AB569:AJ570"/>
    <mergeCell ref="AB571:AH571"/>
    <mergeCell ref="AI571:AJ571"/>
    <mergeCell ref="AK571:AZ576"/>
    <mergeCell ref="AB572:AH573"/>
    <mergeCell ref="AI572:AJ572"/>
    <mergeCell ref="AI573:AJ573"/>
    <mergeCell ref="AB574:AJ574"/>
    <mergeCell ref="AB575:AJ576"/>
    <mergeCell ref="AK607:AZ612"/>
    <mergeCell ref="AB608:AH609"/>
    <mergeCell ref="AI608:AJ608"/>
    <mergeCell ref="AI609:AJ609"/>
    <mergeCell ref="AB610:AJ610"/>
    <mergeCell ref="AB611:AJ612"/>
    <mergeCell ref="AB577:AH577"/>
    <mergeCell ref="AI577:AJ577"/>
    <mergeCell ref="AK577:AZ582"/>
    <mergeCell ref="AB578:AH579"/>
    <mergeCell ref="AI578:AJ578"/>
    <mergeCell ref="AI579:AJ579"/>
    <mergeCell ref="AB580:AJ580"/>
    <mergeCell ref="AB581:AJ582"/>
    <mergeCell ref="AB583:AH583"/>
    <mergeCell ref="AI583:AJ583"/>
    <mergeCell ref="AK547:AZ552"/>
    <mergeCell ref="AB548:AH549"/>
    <mergeCell ref="AI548:AJ548"/>
    <mergeCell ref="AI549:AJ549"/>
    <mergeCell ref="AB550:AJ550"/>
    <mergeCell ref="AB551:AJ552"/>
    <mergeCell ref="AB553:AH553"/>
    <mergeCell ref="AI553:AJ553"/>
    <mergeCell ref="AK553:AZ558"/>
    <mergeCell ref="AB554:AH555"/>
    <mergeCell ref="AI554:AJ554"/>
    <mergeCell ref="AI555:AJ555"/>
    <mergeCell ref="AB556:AJ556"/>
    <mergeCell ref="AB557:AJ558"/>
    <mergeCell ref="AB559:AH559"/>
    <mergeCell ref="AI559:AJ559"/>
    <mergeCell ref="AK559:AZ564"/>
    <mergeCell ref="AB560:AH561"/>
    <mergeCell ref="AI560:AJ560"/>
    <mergeCell ref="AI561:AJ561"/>
    <mergeCell ref="AB562:AJ562"/>
    <mergeCell ref="AB563:AJ564"/>
    <mergeCell ref="AK583:AZ588"/>
    <mergeCell ref="AB584:AH585"/>
    <mergeCell ref="AI584:AJ584"/>
    <mergeCell ref="AI585:AJ585"/>
    <mergeCell ref="AB586:AJ586"/>
    <mergeCell ref="AB587:AJ588"/>
    <mergeCell ref="AB529:AH529"/>
    <mergeCell ref="AI529:AJ529"/>
    <mergeCell ref="AK529:AZ534"/>
    <mergeCell ref="AB530:AH531"/>
    <mergeCell ref="AI530:AJ530"/>
    <mergeCell ref="AI531:AJ531"/>
    <mergeCell ref="AB532:AJ532"/>
    <mergeCell ref="AB533:AJ534"/>
    <mergeCell ref="AB535:AH535"/>
    <mergeCell ref="AI535:AJ535"/>
    <mergeCell ref="AK535:AZ540"/>
    <mergeCell ref="AB536:AH537"/>
    <mergeCell ref="AI536:AJ536"/>
    <mergeCell ref="AI537:AJ537"/>
    <mergeCell ref="AB538:AJ538"/>
    <mergeCell ref="AB539:AJ540"/>
    <mergeCell ref="AB541:AH541"/>
    <mergeCell ref="AI541:AJ541"/>
    <mergeCell ref="AK541:AZ546"/>
    <mergeCell ref="AB542:AH543"/>
    <mergeCell ref="AI542:AJ542"/>
    <mergeCell ref="AI543:AJ543"/>
    <mergeCell ref="AB544:AJ544"/>
    <mergeCell ref="AB545:AJ546"/>
    <mergeCell ref="AB547:AH547"/>
    <mergeCell ref="AI547:AJ547"/>
    <mergeCell ref="AB511:AH511"/>
    <mergeCell ref="AI511:AJ511"/>
    <mergeCell ref="AK511:AZ516"/>
    <mergeCell ref="AB512:AH513"/>
    <mergeCell ref="AI512:AJ512"/>
    <mergeCell ref="AI513:AJ513"/>
    <mergeCell ref="AB514:AJ514"/>
    <mergeCell ref="AB515:AJ516"/>
    <mergeCell ref="AB517:AH517"/>
    <mergeCell ref="AI517:AJ517"/>
    <mergeCell ref="AK517:AZ522"/>
    <mergeCell ref="AB518:AH519"/>
    <mergeCell ref="AI518:AJ518"/>
    <mergeCell ref="AI519:AJ519"/>
    <mergeCell ref="AB520:AJ520"/>
    <mergeCell ref="AB521:AJ522"/>
    <mergeCell ref="AB523:AH523"/>
    <mergeCell ref="AI523:AJ523"/>
    <mergeCell ref="AK523:AZ528"/>
    <mergeCell ref="AB524:AH525"/>
    <mergeCell ref="AI524:AJ524"/>
    <mergeCell ref="AI525:AJ525"/>
    <mergeCell ref="AB526:AJ526"/>
    <mergeCell ref="AB527:AJ528"/>
    <mergeCell ref="AB493:AH493"/>
    <mergeCell ref="AI493:AJ493"/>
    <mergeCell ref="AK493:AZ498"/>
    <mergeCell ref="AB494:AH495"/>
    <mergeCell ref="AI494:AJ494"/>
    <mergeCell ref="AI495:AJ495"/>
    <mergeCell ref="AB496:AJ496"/>
    <mergeCell ref="AB497:AJ498"/>
    <mergeCell ref="AB499:AH499"/>
    <mergeCell ref="AI499:AJ499"/>
    <mergeCell ref="AK499:AZ504"/>
    <mergeCell ref="AB500:AH501"/>
    <mergeCell ref="AI500:AJ500"/>
    <mergeCell ref="AI501:AJ501"/>
    <mergeCell ref="AB502:AJ502"/>
    <mergeCell ref="AB503:AJ504"/>
    <mergeCell ref="AB505:AH505"/>
    <mergeCell ref="AI505:AJ505"/>
    <mergeCell ref="AK505:AZ510"/>
    <mergeCell ref="AB506:AH507"/>
    <mergeCell ref="AI506:AJ506"/>
    <mergeCell ref="AI507:AJ507"/>
    <mergeCell ref="AB508:AJ508"/>
    <mergeCell ref="AB509:AJ510"/>
    <mergeCell ref="AB475:AH475"/>
    <mergeCell ref="AI475:AJ475"/>
    <mergeCell ref="AK475:AZ480"/>
    <mergeCell ref="AB476:AH477"/>
    <mergeCell ref="AI476:AJ476"/>
    <mergeCell ref="AI477:AJ477"/>
    <mergeCell ref="AB478:AJ478"/>
    <mergeCell ref="AB479:AJ480"/>
    <mergeCell ref="AB481:AH481"/>
    <mergeCell ref="AI481:AJ481"/>
    <mergeCell ref="AK481:AZ486"/>
    <mergeCell ref="AB482:AH483"/>
    <mergeCell ref="AI482:AJ482"/>
    <mergeCell ref="AI483:AJ483"/>
    <mergeCell ref="AB484:AJ484"/>
    <mergeCell ref="AB485:AJ486"/>
    <mergeCell ref="AB487:AH487"/>
    <mergeCell ref="AI487:AJ487"/>
    <mergeCell ref="AK487:AZ492"/>
    <mergeCell ref="AB488:AH489"/>
    <mergeCell ref="AI488:AJ488"/>
    <mergeCell ref="AI489:AJ489"/>
    <mergeCell ref="AB490:AJ490"/>
    <mergeCell ref="AB491:AJ492"/>
    <mergeCell ref="AB457:AH457"/>
    <mergeCell ref="AI457:AJ457"/>
    <mergeCell ref="AK457:AZ462"/>
    <mergeCell ref="AB458:AH459"/>
    <mergeCell ref="AI458:AJ458"/>
    <mergeCell ref="AI459:AJ459"/>
    <mergeCell ref="AB460:AJ460"/>
    <mergeCell ref="AB461:AJ462"/>
    <mergeCell ref="AB463:AH463"/>
    <mergeCell ref="AI463:AJ463"/>
    <mergeCell ref="AK463:AZ468"/>
    <mergeCell ref="AB464:AH465"/>
    <mergeCell ref="AI464:AJ464"/>
    <mergeCell ref="AI465:AJ465"/>
    <mergeCell ref="AB466:AJ466"/>
    <mergeCell ref="AB467:AJ468"/>
    <mergeCell ref="AB469:AH469"/>
    <mergeCell ref="AI469:AJ469"/>
    <mergeCell ref="AK469:AZ474"/>
    <mergeCell ref="AB470:AH471"/>
    <mergeCell ref="AI470:AJ470"/>
    <mergeCell ref="AI471:AJ471"/>
    <mergeCell ref="AB472:AJ472"/>
    <mergeCell ref="AB473:AJ474"/>
    <mergeCell ref="AB439:AH439"/>
    <mergeCell ref="AI439:AJ439"/>
    <mergeCell ref="AK439:AZ444"/>
    <mergeCell ref="AB440:AH441"/>
    <mergeCell ref="AI440:AJ440"/>
    <mergeCell ref="AI441:AJ441"/>
    <mergeCell ref="AB442:AJ442"/>
    <mergeCell ref="AB443:AJ444"/>
    <mergeCell ref="AB445:AH445"/>
    <mergeCell ref="AI445:AJ445"/>
    <mergeCell ref="AK445:AZ450"/>
    <mergeCell ref="AB446:AH447"/>
    <mergeCell ref="AI446:AJ446"/>
    <mergeCell ref="AI447:AJ447"/>
    <mergeCell ref="AB448:AJ448"/>
    <mergeCell ref="AB449:AJ450"/>
    <mergeCell ref="AB451:AH451"/>
    <mergeCell ref="AI451:AJ451"/>
    <mergeCell ref="AK451:AZ456"/>
    <mergeCell ref="AB452:AH453"/>
    <mergeCell ref="AI452:AJ452"/>
    <mergeCell ref="AI453:AJ453"/>
    <mergeCell ref="AB454:AJ454"/>
    <mergeCell ref="AB455:AJ456"/>
    <mergeCell ref="AB421:AH421"/>
    <mergeCell ref="AI421:AJ421"/>
    <mergeCell ref="AK421:AZ426"/>
    <mergeCell ref="AB422:AH423"/>
    <mergeCell ref="AI422:AJ422"/>
    <mergeCell ref="AI423:AJ423"/>
    <mergeCell ref="AB424:AJ424"/>
    <mergeCell ref="AB425:AJ426"/>
    <mergeCell ref="AB427:AH427"/>
    <mergeCell ref="AI427:AJ427"/>
    <mergeCell ref="AK427:AZ432"/>
    <mergeCell ref="AB428:AH429"/>
    <mergeCell ref="AI428:AJ428"/>
    <mergeCell ref="AI429:AJ429"/>
    <mergeCell ref="AB430:AJ430"/>
    <mergeCell ref="AB431:AJ432"/>
    <mergeCell ref="AB433:AH433"/>
    <mergeCell ref="AI433:AJ433"/>
    <mergeCell ref="AK433:AZ438"/>
    <mergeCell ref="AB434:AH435"/>
    <mergeCell ref="AI434:AJ434"/>
    <mergeCell ref="AI435:AJ435"/>
    <mergeCell ref="AB436:AJ436"/>
    <mergeCell ref="AB437:AJ438"/>
    <mergeCell ref="AB403:AH403"/>
    <mergeCell ref="AI403:AJ403"/>
    <mergeCell ref="AK403:AZ408"/>
    <mergeCell ref="AB404:AH405"/>
    <mergeCell ref="AI404:AJ404"/>
    <mergeCell ref="AI405:AJ405"/>
    <mergeCell ref="AB406:AJ406"/>
    <mergeCell ref="AB407:AJ408"/>
    <mergeCell ref="AB409:AH409"/>
    <mergeCell ref="AI409:AJ409"/>
    <mergeCell ref="AK409:AZ414"/>
    <mergeCell ref="AB410:AH411"/>
    <mergeCell ref="AI410:AJ410"/>
    <mergeCell ref="AI411:AJ411"/>
    <mergeCell ref="AB412:AJ412"/>
    <mergeCell ref="AB413:AJ414"/>
    <mergeCell ref="AB415:AH415"/>
    <mergeCell ref="AI415:AJ415"/>
    <mergeCell ref="AK415:AZ420"/>
    <mergeCell ref="AB416:AH417"/>
    <mergeCell ref="AI416:AJ416"/>
    <mergeCell ref="AI417:AJ417"/>
    <mergeCell ref="AB418:AJ418"/>
    <mergeCell ref="AB419:AJ420"/>
    <mergeCell ref="AB385:AH385"/>
    <mergeCell ref="AI385:AJ385"/>
    <mergeCell ref="AK385:AZ390"/>
    <mergeCell ref="AB386:AH387"/>
    <mergeCell ref="AI386:AJ386"/>
    <mergeCell ref="AI387:AJ387"/>
    <mergeCell ref="AB388:AJ388"/>
    <mergeCell ref="AB389:AJ390"/>
    <mergeCell ref="AB391:AH391"/>
    <mergeCell ref="AI391:AJ391"/>
    <mergeCell ref="AK391:AZ396"/>
    <mergeCell ref="AB392:AH393"/>
    <mergeCell ref="AI392:AJ392"/>
    <mergeCell ref="AI393:AJ393"/>
    <mergeCell ref="AB394:AJ394"/>
    <mergeCell ref="AB395:AJ396"/>
    <mergeCell ref="AB397:AH397"/>
    <mergeCell ref="AI397:AJ397"/>
    <mergeCell ref="AK397:AZ402"/>
    <mergeCell ref="AB398:AH399"/>
    <mergeCell ref="AI398:AJ398"/>
    <mergeCell ref="AI399:AJ399"/>
    <mergeCell ref="AB400:AJ400"/>
    <mergeCell ref="AB401:AJ402"/>
    <mergeCell ref="AB367:AH367"/>
    <mergeCell ref="AI367:AJ367"/>
    <mergeCell ref="AK367:AZ372"/>
    <mergeCell ref="AB368:AH369"/>
    <mergeCell ref="AI368:AJ368"/>
    <mergeCell ref="AI369:AJ369"/>
    <mergeCell ref="AB370:AJ370"/>
    <mergeCell ref="AB371:AJ372"/>
    <mergeCell ref="AB373:AH373"/>
    <mergeCell ref="AI373:AJ373"/>
    <mergeCell ref="AK373:AZ378"/>
    <mergeCell ref="AB374:AH375"/>
    <mergeCell ref="AI374:AJ374"/>
    <mergeCell ref="AI375:AJ375"/>
    <mergeCell ref="AB376:AJ376"/>
    <mergeCell ref="AB377:AJ378"/>
    <mergeCell ref="AB379:AH379"/>
    <mergeCell ref="AI379:AJ379"/>
    <mergeCell ref="AK379:AZ384"/>
    <mergeCell ref="AB380:AH381"/>
    <mergeCell ref="AI380:AJ380"/>
    <mergeCell ref="AI381:AJ381"/>
    <mergeCell ref="AB382:AJ382"/>
    <mergeCell ref="AB383:AJ384"/>
    <mergeCell ref="AB349:AH349"/>
    <mergeCell ref="AI349:AJ349"/>
    <mergeCell ref="AK349:AZ354"/>
    <mergeCell ref="AB350:AH351"/>
    <mergeCell ref="AI350:AJ350"/>
    <mergeCell ref="AI351:AJ351"/>
    <mergeCell ref="AB352:AJ352"/>
    <mergeCell ref="AB353:AJ354"/>
    <mergeCell ref="AB355:AH355"/>
    <mergeCell ref="AI355:AJ355"/>
    <mergeCell ref="AK355:AZ360"/>
    <mergeCell ref="AB356:AH357"/>
    <mergeCell ref="AI356:AJ356"/>
    <mergeCell ref="AI357:AJ357"/>
    <mergeCell ref="AB358:AJ358"/>
    <mergeCell ref="AB359:AJ360"/>
    <mergeCell ref="AI361:AJ361"/>
    <mergeCell ref="AK361:AZ366"/>
    <mergeCell ref="AB362:AH363"/>
    <mergeCell ref="AI362:AJ362"/>
    <mergeCell ref="AI363:AJ363"/>
    <mergeCell ref="AB364:AJ364"/>
    <mergeCell ref="AB365:AJ366"/>
    <mergeCell ref="AI333:AJ333"/>
    <mergeCell ref="AB334:AJ334"/>
    <mergeCell ref="AB335:AJ336"/>
    <mergeCell ref="AB337:AH337"/>
    <mergeCell ref="AI337:AJ337"/>
    <mergeCell ref="AK337:AZ342"/>
    <mergeCell ref="AB338:AH339"/>
    <mergeCell ref="AI338:AJ338"/>
    <mergeCell ref="AI339:AJ339"/>
    <mergeCell ref="AB340:AJ340"/>
    <mergeCell ref="AB341:AJ342"/>
    <mergeCell ref="AB343:AH343"/>
    <mergeCell ref="AI343:AJ343"/>
    <mergeCell ref="AK343:AZ348"/>
    <mergeCell ref="AB344:AH345"/>
    <mergeCell ref="AI344:AJ344"/>
    <mergeCell ref="AI345:AJ345"/>
    <mergeCell ref="AB346:AJ346"/>
    <mergeCell ref="AB347:AJ348"/>
    <mergeCell ref="AB307:AH307"/>
    <mergeCell ref="AI307:AJ307"/>
    <mergeCell ref="AK307:AZ312"/>
    <mergeCell ref="AB308:AH309"/>
    <mergeCell ref="AI308:AJ308"/>
    <mergeCell ref="AI309:AJ309"/>
    <mergeCell ref="AB310:AJ310"/>
    <mergeCell ref="AB311:AJ312"/>
    <mergeCell ref="AB313:AH313"/>
    <mergeCell ref="AI313:AJ313"/>
    <mergeCell ref="AK313:AZ318"/>
    <mergeCell ref="AB314:AH315"/>
    <mergeCell ref="AI314:AJ314"/>
    <mergeCell ref="AI315:AJ315"/>
    <mergeCell ref="AB316:AJ316"/>
    <mergeCell ref="AB317:AJ318"/>
    <mergeCell ref="AB319:AH319"/>
    <mergeCell ref="AI319:AJ319"/>
    <mergeCell ref="AK319:AZ324"/>
    <mergeCell ref="AB320:AH321"/>
    <mergeCell ref="AI320:AJ320"/>
    <mergeCell ref="AI321:AJ321"/>
    <mergeCell ref="AB322:AJ322"/>
    <mergeCell ref="AB323:AJ324"/>
    <mergeCell ref="AI291:AJ291"/>
    <mergeCell ref="AB292:AJ292"/>
    <mergeCell ref="AB293:AJ294"/>
    <mergeCell ref="AB295:AH295"/>
    <mergeCell ref="AI295:AJ295"/>
    <mergeCell ref="AK295:AZ300"/>
    <mergeCell ref="AB296:AH297"/>
    <mergeCell ref="AI296:AJ296"/>
    <mergeCell ref="AI297:AJ297"/>
    <mergeCell ref="AB298:AJ298"/>
    <mergeCell ref="AB299:AJ300"/>
    <mergeCell ref="AB301:AH301"/>
    <mergeCell ref="AI301:AJ301"/>
    <mergeCell ref="AK301:AZ306"/>
    <mergeCell ref="AB302:AH303"/>
    <mergeCell ref="AI302:AJ302"/>
    <mergeCell ref="AI303:AJ303"/>
    <mergeCell ref="AB304:AJ304"/>
    <mergeCell ref="AB305:AJ306"/>
    <mergeCell ref="AI261:AJ261"/>
    <mergeCell ref="AB262:AJ262"/>
    <mergeCell ref="AB263:AJ264"/>
    <mergeCell ref="AB265:AH265"/>
    <mergeCell ref="AI265:AJ265"/>
    <mergeCell ref="AK265:AZ270"/>
    <mergeCell ref="AB266:AH267"/>
    <mergeCell ref="AI266:AJ266"/>
    <mergeCell ref="AI267:AJ267"/>
    <mergeCell ref="AB268:AJ268"/>
    <mergeCell ref="AB269:AJ270"/>
    <mergeCell ref="AB272:AH273"/>
    <mergeCell ref="AI272:AJ272"/>
    <mergeCell ref="AI273:AJ273"/>
    <mergeCell ref="AB274:AJ274"/>
    <mergeCell ref="AB275:AJ276"/>
    <mergeCell ref="AB277:AH277"/>
    <mergeCell ref="AI277:AJ277"/>
    <mergeCell ref="AK277:AZ282"/>
    <mergeCell ref="AB278:AH279"/>
    <mergeCell ref="AI278:AJ278"/>
    <mergeCell ref="AI279:AJ279"/>
    <mergeCell ref="AB280:AJ280"/>
    <mergeCell ref="AB281:AJ282"/>
    <mergeCell ref="AB235:AH235"/>
    <mergeCell ref="AI235:AJ235"/>
    <mergeCell ref="AK235:AZ240"/>
    <mergeCell ref="AB236:AH237"/>
    <mergeCell ref="AI236:AJ236"/>
    <mergeCell ref="AI237:AJ237"/>
    <mergeCell ref="AB238:AJ238"/>
    <mergeCell ref="AB239:AJ240"/>
    <mergeCell ref="AB241:AH241"/>
    <mergeCell ref="AI241:AJ241"/>
    <mergeCell ref="AK241:AZ246"/>
    <mergeCell ref="AB242:AH243"/>
    <mergeCell ref="AI242:AJ242"/>
    <mergeCell ref="AI243:AJ243"/>
    <mergeCell ref="AB244:AJ244"/>
    <mergeCell ref="AB245:AJ246"/>
    <mergeCell ref="AB247:AH247"/>
    <mergeCell ref="AI247:AJ247"/>
    <mergeCell ref="AK247:AZ252"/>
    <mergeCell ref="AB248:AH249"/>
    <mergeCell ref="AI248:AJ248"/>
    <mergeCell ref="AI249:AJ249"/>
    <mergeCell ref="AB250:AJ250"/>
    <mergeCell ref="AB251:AJ252"/>
    <mergeCell ref="AB217:AH217"/>
    <mergeCell ref="AI217:AJ217"/>
    <mergeCell ref="AK217:AZ222"/>
    <mergeCell ref="AB218:AH219"/>
    <mergeCell ref="AI218:AJ218"/>
    <mergeCell ref="AI219:AJ219"/>
    <mergeCell ref="AB220:AJ220"/>
    <mergeCell ref="AB221:AJ222"/>
    <mergeCell ref="AB223:AH223"/>
    <mergeCell ref="AI223:AJ223"/>
    <mergeCell ref="AK223:AZ228"/>
    <mergeCell ref="AB224:AH225"/>
    <mergeCell ref="AI224:AJ224"/>
    <mergeCell ref="AI225:AJ225"/>
    <mergeCell ref="AB226:AJ226"/>
    <mergeCell ref="AB227:AJ228"/>
    <mergeCell ref="AB229:AH229"/>
    <mergeCell ref="AI229:AJ229"/>
    <mergeCell ref="AK229:AZ234"/>
    <mergeCell ref="AB230:AH231"/>
    <mergeCell ref="AI230:AJ230"/>
    <mergeCell ref="AI231:AJ231"/>
    <mergeCell ref="AB232:AJ232"/>
    <mergeCell ref="AB233:AJ234"/>
    <mergeCell ref="AB203:AJ204"/>
    <mergeCell ref="AB205:AH205"/>
    <mergeCell ref="AI205:AJ205"/>
    <mergeCell ref="AK205:AZ210"/>
    <mergeCell ref="AB206:AH207"/>
    <mergeCell ref="AI206:AJ206"/>
    <mergeCell ref="AI207:AJ207"/>
    <mergeCell ref="AB208:AJ208"/>
    <mergeCell ref="AB209:AJ210"/>
    <mergeCell ref="AB211:AH211"/>
    <mergeCell ref="AI211:AJ211"/>
    <mergeCell ref="AK211:AZ216"/>
    <mergeCell ref="AB212:AH213"/>
    <mergeCell ref="AI212:AJ212"/>
    <mergeCell ref="AI213:AJ213"/>
    <mergeCell ref="AB214:AJ214"/>
    <mergeCell ref="AB215:AJ216"/>
    <mergeCell ref="AB181:AH181"/>
    <mergeCell ref="AI181:AJ181"/>
    <mergeCell ref="AK181:AZ186"/>
    <mergeCell ref="AB182:AH183"/>
    <mergeCell ref="AI182:AJ182"/>
    <mergeCell ref="AI183:AJ183"/>
    <mergeCell ref="AB184:AJ184"/>
    <mergeCell ref="AB185:AJ186"/>
    <mergeCell ref="AB187:AH187"/>
    <mergeCell ref="AI187:AJ187"/>
    <mergeCell ref="AK187:AZ192"/>
    <mergeCell ref="AB188:AH189"/>
    <mergeCell ref="AI188:AJ188"/>
    <mergeCell ref="AI189:AJ189"/>
    <mergeCell ref="AB190:AJ190"/>
    <mergeCell ref="AB191:AJ192"/>
    <mergeCell ref="AB193:AH193"/>
    <mergeCell ref="AI193:AJ193"/>
    <mergeCell ref="AK193:AZ198"/>
    <mergeCell ref="AB194:AH195"/>
    <mergeCell ref="AI194:AJ194"/>
    <mergeCell ref="AI195:AJ195"/>
    <mergeCell ref="AB196:AJ196"/>
    <mergeCell ref="AB197:AJ198"/>
    <mergeCell ref="AI164:AJ164"/>
    <mergeCell ref="AI165:AJ165"/>
    <mergeCell ref="AB166:AJ166"/>
    <mergeCell ref="AB167:AJ168"/>
    <mergeCell ref="AB169:AH169"/>
    <mergeCell ref="AI169:AJ169"/>
    <mergeCell ref="AK169:AZ174"/>
    <mergeCell ref="AB170:AH171"/>
    <mergeCell ref="AI170:AJ170"/>
    <mergeCell ref="AI171:AJ171"/>
    <mergeCell ref="AB172:AJ172"/>
    <mergeCell ref="AB173:AJ174"/>
    <mergeCell ref="AB175:AH175"/>
    <mergeCell ref="AI175:AJ175"/>
    <mergeCell ref="AK175:AZ180"/>
    <mergeCell ref="AB176:AH177"/>
    <mergeCell ref="AI176:AJ176"/>
    <mergeCell ref="AI177:AJ177"/>
    <mergeCell ref="AB178:AJ178"/>
    <mergeCell ref="AB179:AJ180"/>
    <mergeCell ref="AB145:AH145"/>
    <mergeCell ref="AI145:AJ145"/>
    <mergeCell ref="AK145:AZ150"/>
    <mergeCell ref="AB146:AH147"/>
    <mergeCell ref="AI146:AJ146"/>
    <mergeCell ref="AI147:AJ147"/>
    <mergeCell ref="AB148:AJ148"/>
    <mergeCell ref="AB149:AJ150"/>
    <mergeCell ref="AB151:AH151"/>
    <mergeCell ref="AI151:AJ151"/>
    <mergeCell ref="AK151:AZ156"/>
    <mergeCell ref="AB152:AH153"/>
    <mergeCell ref="AI152:AJ152"/>
    <mergeCell ref="AI153:AJ153"/>
    <mergeCell ref="AB154:AJ154"/>
    <mergeCell ref="AB155:AJ156"/>
    <mergeCell ref="AB157:AH157"/>
    <mergeCell ref="AI157:AJ157"/>
    <mergeCell ref="AK157:AZ162"/>
    <mergeCell ref="AB158:AH159"/>
    <mergeCell ref="AI158:AJ158"/>
    <mergeCell ref="AI159:AJ159"/>
    <mergeCell ref="AB160:AJ160"/>
    <mergeCell ref="AB161:AJ162"/>
    <mergeCell ref="AB127:AH127"/>
    <mergeCell ref="AI127:AJ127"/>
    <mergeCell ref="AK127:AZ132"/>
    <mergeCell ref="AB128:AH129"/>
    <mergeCell ref="AI128:AJ128"/>
    <mergeCell ref="AI129:AJ129"/>
    <mergeCell ref="AB130:AJ130"/>
    <mergeCell ref="AB131:AJ132"/>
    <mergeCell ref="AB133:AH133"/>
    <mergeCell ref="AI133:AJ133"/>
    <mergeCell ref="AK133:AZ138"/>
    <mergeCell ref="AB134:AH135"/>
    <mergeCell ref="AI134:AJ134"/>
    <mergeCell ref="AI135:AJ135"/>
    <mergeCell ref="AB136:AJ136"/>
    <mergeCell ref="AB137:AJ138"/>
    <mergeCell ref="AB139:AH139"/>
    <mergeCell ref="AI139:AJ139"/>
    <mergeCell ref="AK139:AZ144"/>
    <mergeCell ref="AB140:AH141"/>
    <mergeCell ref="AI140:AJ140"/>
    <mergeCell ref="AI141:AJ141"/>
    <mergeCell ref="AB142:AJ142"/>
    <mergeCell ref="AB143:AJ144"/>
    <mergeCell ref="AB109:AH109"/>
    <mergeCell ref="AI109:AJ109"/>
    <mergeCell ref="AK109:AZ114"/>
    <mergeCell ref="AB110:AH111"/>
    <mergeCell ref="AI110:AJ110"/>
    <mergeCell ref="AI111:AJ111"/>
    <mergeCell ref="AB112:AJ112"/>
    <mergeCell ref="AB113:AJ114"/>
    <mergeCell ref="AB115:AH115"/>
    <mergeCell ref="AI115:AJ115"/>
    <mergeCell ref="AK115:AZ120"/>
    <mergeCell ref="AB116:AH117"/>
    <mergeCell ref="AI116:AJ116"/>
    <mergeCell ref="AI117:AJ117"/>
    <mergeCell ref="AB118:AJ118"/>
    <mergeCell ref="AB119:AJ120"/>
    <mergeCell ref="AB121:AH121"/>
    <mergeCell ref="AI121:AJ121"/>
    <mergeCell ref="AK121:AZ126"/>
    <mergeCell ref="AB122:AH123"/>
    <mergeCell ref="AI122:AJ122"/>
    <mergeCell ref="AI123:AJ123"/>
    <mergeCell ref="AB124:AJ124"/>
    <mergeCell ref="AB125:AJ126"/>
    <mergeCell ref="AB91:AH91"/>
    <mergeCell ref="AI91:AJ91"/>
    <mergeCell ref="AK91:AZ96"/>
    <mergeCell ref="AB92:AH93"/>
    <mergeCell ref="AI92:AJ92"/>
    <mergeCell ref="AI93:AJ93"/>
    <mergeCell ref="AB94:AJ94"/>
    <mergeCell ref="AB95:AJ96"/>
    <mergeCell ref="AB97:AH97"/>
    <mergeCell ref="AI97:AJ97"/>
    <mergeCell ref="AK97:AZ102"/>
    <mergeCell ref="AB98:AH99"/>
    <mergeCell ref="AI98:AJ98"/>
    <mergeCell ref="AI99:AJ99"/>
    <mergeCell ref="AB100:AJ100"/>
    <mergeCell ref="AB101:AJ102"/>
    <mergeCell ref="AB103:AH103"/>
    <mergeCell ref="AI103:AJ103"/>
    <mergeCell ref="AK103:AZ108"/>
    <mergeCell ref="AB104:AH105"/>
    <mergeCell ref="AI104:AJ104"/>
    <mergeCell ref="AI105:AJ105"/>
    <mergeCell ref="AB106:AJ106"/>
    <mergeCell ref="AB107:AJ108"/>
    <mergeCell ref="AB73:AH73"/>
    <mergeCell ref="AI73:AJ73"/>
    <mergeCell ref="AK73:AZ78"/>
    <mergeCell ref="AB74:AH75"/>
    <mergeCell ref="AI74:AJ74"/>
    <mergeCell ref="AI75:AJ75"/>
    <mergeCell ref="AB76:AJ76"/>
    <mergeCell ref="AB77:AJ78"/>
    <mergeCell ref="AB79:AH79"/>
    <mergeCell ref="AI79:AJ79"/>
    <mergeCell ref="AK79:AZ84"/>
    <mergeCell ref="AB80:AH81"/>
    <mergeCell ref="AI80:AJ80"/>
    <mergeCell ref="AI81:AJ81"/>
    <mergeCell ref="AB82:AJ82"/>
    <mergeCell ref="AB83:AJ84"/>
    <mergeCell ref="AB85:AH85"/>
    <mergeCell ref="AI85:AJ85"/>
    <mergeCell ref="AK85:AZ90"/>
    <mergeCell ref="AB86:AH87"/>
    <mergeCell ref="AI86:AJ86"/>
    <mergeCell ref="AI87:AJ87"/>
    <mergeCell ref="AB88:AJ88"/>
    <mergeCell ref="AB89:AJ90"/>
    <mergeCell ref="AB55:AH55"/>
    <mergeCell ref="AI55:AJ55"/>
    <mergeCell ref="AK55:AZ60"/>
    <mergeCell ref="AB56:AH57"/>
    <mergeCell ref="AI56:AJ56"/>
    <mergeCell ref="AI57:AJ57"/>
    <mergeCell ref="AB58:AJ58"/>
    <mergeCell ref="AB59:AJ60"/>
    <mergeCell ref="AB61:AH61"/>
    <mergeCell ref="AI61:AJ61"/>
    <mergeCell ref="AK61:AZ66"/>
    <mergeCell ref="AB62:AH63"/>
    <mergeCell ref="AI62:AJ62"/>
    <mergeCell ref="AI63:AJ63"/>
    <mergeCell ref="AB64:AJ64"/>
    <mergeCell ref="AB65:AJ66"/>
    <mergeCell ref="AB67:AH67"/>
    <mergeCell ref="AI67:AJ67"/>
    <mergeCell ref="AK67:AZ72"/>
    <mergeCell ref="AB68:AH69"/>
    <mergeCell ref="AI68:AJ68"/>
    <mergeCell ref="AI69:AJ69"/>
    <mergeCell ref="AB70:AJ70"/>
    <mergeCell ref="AB71:AJ72"/>
    <mergeCell ref="AB40:AJ40"/>
    <mergeCell ref="AB41:AJ42"/>
    <mergeCell ref="AB43:AH43"/>
    <mergeCell ref="AI43:AJ43"/>
    <mergeCell ref="AK43:AZ48"/>
    <mergeCell ref="AB44:AH45"/>
    <mergeCell ref="AI44:AJ44"/>
    <mergeCell ref="AI45:AJ45"/>
    <mergeCell ref="AB46:AJ46"/>
    <mergeCell ref="AB47:AJ48"/>
    <mergeCell ref="AB49:AH49"/>
    <mergeCell ref="AI49:AJ49"/>
    <mergeCell ref="AK49:AZ54"/>
    <mergeCell ref="AB50:AH51"/>
    <mergeCell ref="AI50:AJ50"/>
    <mergeCell ref="AI51:AJ51"/>
    <mergeCell ref="AB52:AJ52"/>
    <mergeCell ref="AB53:AJ54"/>
    <mergeCell ref="BB643:BF643"/>
    <mergeCell ref="BG643:BH643"/>
    <mergeCell ref="BI643:BZ648"/>
    <mergeCell ref="BB644:BF645"/>
    <mergeCell ref="BG644:BH645"/>
    <mergeCell ref="BB646:BH648"/>
    <mergeCell ref="B643:H643"/>
    <mergeCell ref="I643:J643"/>
    <mergeCell ref="K643:Z648"/>
    <mergeCell ref="BB637:BF637"/>
    <mergeCell ref="BG637:BH637"/>
    <mergeCell ref="BI637:BZ642"/>
    <mergeCell ref="B644:H645"/>
    <mergeCell ref="I644:J644"/>
    <mergeCell ref="BB638:BF639"/>
    <mergeCell ref="BG638:BH639"/>
    <mergeCell ref="I645:J645"/>
    <mergeCell ref="B646:J646"/>
    <mergeCell ref="BB640:BH642"/>
    <mergeCell ref="B647:J648"/>
    <mergeCell ref="AB637:AH637"/>
    <mergeCell ref="AI637:AJ637"/>
    <mergeCell ref="AK637:AZ642"/>
    <mergeCell ref="AB638:AH639"/>
    <mergeCell ref="AI638:AJ638"/>
    <mergeCell ref="AI639:AJ639"/>
    <mergeCell ref="AB640:AJ640"/>
    <mergeCell ref="AB641:AJ642"/>
    <mergeCell ref="B631:H631"/>
    <mergeCell ref="I631:J631"/>
    <mergeCell ref="K631:Z636"/>
    <mergeCell ref="BB625:BF625"/>
    <mergeCell ref="BG625:BH625"/>
    <mergeCell ref="BI625:BZ630"/>
    <mergeCell ref="B632:H633"/>
    <mergeCell ref="I632:J632"/>
    <mergeCell ref="BB626:BF627"/>
    <mergeCell ref="BG626:BH627"/>
    <mergeCell ref="I633:J633"/>
    <mergeCell ref="B634:J634"/>
    <mergeCell ref="BB628:BH630"/>
    <mergeCell ref="B635:J636"/>
    <mergeCell ref="B637:H637"/>
    <mergeCell ref="I637:J637"/>
    <mergeCell ref="K637:Z642"/>
    <mergeCell ref="BB631:BF631"/>
    <mergeCell ref="BG631:BH631"/>
    <mergeCell ref="BI631:BZ636"/>
    <mergeCell ref="B638:H639"/>
    <mergeCell ref="I638:J638"/>
    <mergeCell ref="BB632:BF633"/>
    <mergeCell ref="BG632:BH633"/>
    <mergeCell ref="I639:J639"/>
    <mergeCell ref="B640:J640"/>
    <mergeCell ref="BB634:BH636"/>
    <mergeCell ref="B641:J642"/>
    <mergeCell ref="B619:H619"/>
    <mergeCell ref="I619:J619"/>
    <mergeCell ref="K619:Z624"/>
    <mergeCell ref="BB613:BF613"/>
    <mergeCell ref="BG613:BH613"/>
    <mergeCell ref="BI613:BZ618"/>
    <mergeCell ref="B620:H621"/>
    <mergeCell ref="I620:J620"/>
    <mergeCell ref="BB614:BF615"/>
    <mergeCell ref="BG614:BH615"/>
    <mergeCell ref="I621:J621"/>
    <mergeCell ref="B622:J622"/>
    <mergeCell ref="BB616:BH618"/>
    <mergeCell ref="B623:J624"/>
    <mergeCell ref="B625:H625"/>
    <mergeCell ref="I625:J625"/>
    <mergeCell ref="K625:Z630"/>
    <mergeCell ref="BB619:BF619"/>
    <mergeCell ref="BG619:BH619"/>
    <mergeCell ref="BI619:BZ624"/>
    <mergeCell ref="B626:H627"/>
    <mergeCell ref="I626:J626"/>
    <mergeCell ref="BB620:BF621"/>
    <mergeCell ref="BG620:BH621"/>
    <mergeCell ref="I627:J627"/>
    <mergeCell ref="B628:J628"/>
    <mergeCell ref="BB622:BH624"/>
    <mergeCell ref="B629:J630"/>
    <mergeCell ref="AK619:AZ624"/>
    <mergeCell ref="AB620:AH621"/>
    <mergeCell ref="AI620:AJ620"/>
    <mergeCell ref="AI621:AJ621"/>
    <mergeCell ref="B607:H607"/>
    <mergeCell ref="I607:J607"/>
    <mergeCell ref="K607:Z612"/>
    <mergeCell ref="BB601:BF601"/>
    <mergeCell ref="BG601:BH601"/>
    <mergeCell ref="BI601:BZ606"/>
    <mergeCell ref="B608:H609"/>
    <mergeCell ref="I608:J608"/>
    <mergeCell ref="BB602:BF603"/>
    <mergeCell ref="BG602:BH603"/>
    <mergeCell ref="I609:J609"/>
    <mergeCell ref="B610:J610"/>
    <mergeCell ref="BB604:BH606"/>
    <mergeCell ref="B611:J612"/>
    <mergeCell ref="B613:H613"/>
    <mergeCell ref="I613:J613"/>
    <mergeCell ref="K613:Z618"/>
    <mergeCell ref="BB607:BF607"/>
    <mergeCell ref="BG607:BH607"/>
    <mergeCell ref="BI607:BZ612"/>
    <mergeCell ref="B614:H615"/>
    <mergeCell ref="I614:J614"/>
    <mergeCell ref="BB608:BF609"/>
    <mergeCell ref="BG608:BH609"/>
    <mergeCell ref="I615:J615"/>
    <mergeCell ref="B616:J616"/>
    <mergeCell ref="BB610:BH612"/>
    <mergeCell ref="B617:J618"/>
    <mergeCell ref="AB607:AH607"/>
    <mergeCell ref="AI607:AJ607"/>
    <mergeCell ref="AB604:AJ604"/>
    <mergeCell ref="AB605:AJ606"/>
    <mergeCell ref="B589:H589"/>
    <mergeCell ref="I589:J589"/>
    <mergeCell ref="K589:Z594"/>
    <mergeCell ref="B590:H591"/>
    <mergeCell ref="I590:J590"/>
    <mergeCell ref="I591:J591"/>
    <mergeCell ref="B592:J592"/>
    <mergeCell ref="B593:J594"/>
    <mergeCell ref="B595:H595"/>
    <mergeCell ref="I595:J595"/>
    <mergeCell ref="K595:Z600"/>
    <mergeCell ref="B596:H597"/>
    <mergeCell ref="I596:J596"/>
    <mergeCell ref="I597:J597"/>
    <mergeCell ref="B598:J598"/>
    <mergeCell ref="B599:J600"/>
    <mergeCell ref="B601:H601"/>
    <mergeCell ref="I601:J601"/>
    <mergeCell ref="K601:Z606"/>
    <mergeCell ref="B602:H603"/>
    <mergeCell ref="I602:J602"/>
    <mergeCell ref="I603:J603"/>
    <mergeCell ref="B604:J604"/>
    <mergeCell ref="B605:J606"/>
    <mergeCell ref="BB583:BF583"/>
    <mergeCell ref="BG583:BH583"/>
    <mergeCell ref="AB595:AH595"/>
    <mergeCell ref="AI595:AJ595"/>
    <mergeCell ref="AK595:AZ600"/>
    <mergeCell ref="AB596:AH597"/>
    <mergeCell ref="B571:H571"/>
    <mergeCell ref="I571:J571"/>
    <mergeCell ref="K571:Z576"/>
    <mergeCell ref="B572:H573"/>
    <mergeCell ref="I572:J572"/>
    <mergeCell ref="I573:J573"/>
    <mergeCell ref="B574:J574"/>
    <mergeCell ref="B575:J576"/>
    <mergeCell ref="B577:H577"/>
    <mergeCell ref="I577:J577"/>
    <mergeCell ref="K577:Z582"/>
    <mergeCell ref="B578:H579"/>
    <mergeCell ref="I578:J578"/>
    <mergeCell ref="I579:J579"/>
    <mergeCell ref="B580:J580"/>
    <mergeCell ref="B581:J582"/>
    <mergeCell ref="B583:H583"/>
    <mergeCell ref="I583:J583"/>
    <mergeCell ref="K583:Z588"/>
    <mergeCell ref="B584:H585"/>
    <mergeCell ref="I584:J584"/>
    <mergeCell ref="I585:J585"/>
    <mergeCell ref="B586:J586"/>
    <mergeCell ref="B587:J588"/>
    <mergeCell ref="BG578:BH579"/>
    <mergeCell ref="BB580:BH582"/>
    <mergeCell ref="B553:H553"/>
    <mergeCell ref="I553:J553"/>
    <mergeCell ref="K553:Z558"/>
    <mergeCell ref="B554:H555"/>
    <mergeCell ref="I554:J554"/>
    <mergeCell ref="I555:J555"/>
    <mergeCell ref="B556:J556"/>
    <mergeCell ref="B557:J558"/>
    <mergeCell ref="B559:H559"/>
    <mergeCell ref="I559:J559"/>
    <mergeCell ref="K559:Z564"/>
    <mergeCell ref="B560:H561"/>
    <mergeCell ref="I560:J560"/>
    <mergeCell ref="I561:J561"/>
    <mergeCell ref="B562:J562"/>
    <mergeCell ref="B563:J564"/>
    <mergeCell ref="B565:H565"/>
    <mergeCell ref="I565:J565"/>
    <mergeCell ref="K565:Z570"/>
    <mergeCell ref="B566:H567"/>
    <mergeCell ref="I566:J566"/>
    <mergeCell ref="I567:J567"/>
    <mergeCell ref="B568:J568"/>
    <mergeCell ref="B569:J570"/>
    <mergeCell ref="B535:H535"/>
    <mergeCell ref="I535:J535"/>
    <mergeCell ref="K535:Z540"/>
    <mergeCell ref="B536:H537"/>
    <mergeCell ref="I536:J536"/>
    <mergeCell ref="I537:J537"/>
    <mergeCell ref="B538:J538"/>
    <mergeCell ref="B539:J540"/>
    <mergeCell ref="B541:H541"/>
    <mergeCell ref="I541:J541"/>
    <mergeCell ref="K541:Z546"/>
    <mergeCell ref="B542:H543"/>
    <mergeCell ref="I542:J542"/>
    <mergeCell ref="I543:J543"/>
    <mergeCell ref="B544:J544"/>
    <mergeCell ref="B545:J546"/>
    <mergeCell ref="B547:H547"/>
    <mergeCell ref="I547:J547"/>
    <mergeCell ref="K547:Z552"/>
    <mergeCell ref="B548:H549"/>
    <mergeCell ref="I548:J548"/>
    <mergeCell ref="I549:J549"/>
    <mergeCell ref="B550:J550"/>
    <mergeCell ref="B551:J552"/>
    <mergeCell ref="B517:H517"/>
    <mergeCell ref="I517:J517"/>
    <mergeCell ref="K517:Z522"/>
    <mergeCell ref="B518:H519"/>
    <mergeCell ref="I518:J518"/>
    <mergeCell ref="I519:J519"/>
    <mergeCell ref="B520:J520"/>
    <mergeCell ref="B521:J522"/>
    <mergeCell ref="B523:H523"/>
    <mergeCell ref="I523:J523"/>
    <mergeCell ref="K523:Z528"/>
    <mergeCell ref="B524:H525"/>
    <mergeCell ref="I524:J524"/>
    <mergeCell ref="I525:J525"/>
    <mergeCell ref="B526:J526"/>
    <mergeCell ref="B527:J528"/>
    <mergeCell ref="B529:H529"/>
    <mergeCell ref="I529:J529"/>
    <mergeCell ref="K529:Z534"/>
    <mergeCell ref="B530:H531"/>
    <mergeCell ref="I530:J530"/>
    <mergeCell ref="I531:J531"/>
    <mergeCell ref="B532:J532"/>
    <mergeCell ref="B533:J534"/>
    <mergeCell ref="B499:H499"/>
    <mergeCell ref="I499:J499"/>
    <mergeCell ref="K499:Z504"/>
    <mergeCell ref="B500:H501"/>
    <mergeCell ref="I500:J500"/>
    <mergeCell ref="I501:J501"/>
    <mergeCell ref="B502:J502"/>
    <mergeCell ref="B503:J504"/>
    <mergeCell ref="B505:H505"/>
    <mergeCell ref="I505:J505"/>
    <mergeCell ref="K505:Z510"/>
    <mergeCell ref="B506:H507"/>
    <mergeCell ref="I506:J506"/>
    <mergeCell ref="I507:J507"/>
    <mergeCell ref="B508:J508"/>
    <mergeCell ref="B509:J510"/>
    <mergeCell ref="B511:H511"/>
    <mergeCell ref="I511:J511"/>
    <mergeCell ref="K511:Z516"/>
    <mergeCell ref="B512:H513"/>
    <mergeCell ref="I512:J512"/>
    <mergeCell ref="I513:J513"/>
    <mergeCell ref="B514:J514"/>
    <mergeCell ref="B515:J516"/>
    <mergeCell ref="B481:H481"/>
    <mergeCell ref="I481:J481"/>
    <mergeCell ref="K481:Z486"/>
    <mergeCell ref="B482:H483"/>
    <mergeCell ref="I482:J482"/>
    <mergeCell ref="I483:J483"/>
    <mergeCell ref="B484:J484"/>
    <mergeCell ref="B485:J486"/>
    <mergeCell ref="B487:H487"/>
    <mergeCell ref="I487:J487"/>
    <mergeCell ref="K487:Z492"/>
    <mergeCell ref="B488:H489"/>
    <mergeCell ref="I488:J488"/>
    <mergeCell ref="I489:J489"/>
    <mergeCell ref="B490:J490"/>
    <mergeCell ref="B491:J492"/>
    <mergeCell ref="B493:H493"/>
    <mergeCell ref="I493:J493"/>
    <mergeCell ref="K493:Z498"/>
    <mergeCell ref="B494:H495"/>
    <mergeCell ref="I494:J494"/>
    <mergeCell ref="I495:J495"/>
    <mergeCell ref="B496:J496"/>
    <mergeCell ref="B497:J498"/>
    <mergeCell ref="B463:H463"/>
    <mergeCell ref="I463:J463"/>
    <mergeCell ref="K463:Z468"/>
    <mergeCell ref="B464:H465"/>
    <mergeCell ref="I464:J464"/>
    <mergeCell ref="I465:J465"/>
    <mergeCell ref="B466:J466"/>
    <mergeCell ref="B467:J468"/>
    <mergeCell ref="B469:H469"/>
    <mergeCell ref="I469:J469"/>
    <mergeCell ref="K469:Z474"/>
    <mergeCell ref="B470:H471"/>
    <mergeCell ref="I470:J470"/>
    <mergeCell ref="I471:J471"/>
    <mergeCell ref="B472:J472"/>
    <mergeCell ref="B473:J474"/>
    <mergeCell ref="B475:H475"/>
    <mergeCell ref="I475:J475"/>
    <mergeCell ref="K475:Z480"/>
    <mergeCell ref="B476:H477"/>
    <mergeCell ref="I476:J476"/>
    <mergeCell ref="I477:J477"/>
    <mergeCell ref="B478:J478"/>
    <mergeCell ref="B479:J480"/>
    <mergeCell ref="B445:H445"/>
    <mergeCell ref="I445:J445"/>
    <mergeCell ref="K445:Z450"/>
    <mergeCell ref="B446:H447"/>
    <mergeCell ref="I446:J446"/>
    <mergeCell ref="I447:J447"/>
    <mergeCell ref="B448:J448"/>
    <mergeCell ref="B449:J450"/>
    <mergeCell ref="B451:H451"/>
    <mergeCell ref="I451:J451"/>
    <mergeCell ref="K451:Z456"/>
    <mergeCell ref="B452:H453"/>
    <mergeCell ref="I452:J452"/>
    <mergeCell ref="I453:J453"/>
    <mergeCell ref="B454:J454"/>
    <mergeCell ref="B455:J456"/>
    <mergeCell ref="B457:H457"/>
    <mergeCell ref="I457:J457"/>
    <mergeCell ref="K457:Z462"/>
    <mergeCell ref="B458:H459"/>
    <mergeCell ref="I458:J458"/>
    <mergeCell ref="I459:J459"/>
    <mergeCell ref="B460:J460"/>
    <mergeCell ref="B461:J462"/>
    <mergeCell ref="B427:H427"/>
    <mergeCell ref="I427:J427"/>
    <mergeCell ref="K427:Z432"/>
    <mergeCell ref="B428:H429"/>
    <mergeCell ref="I428:J428"/>
    <mergeCell ref="I429:J429"/>
    <mergeCell ref="B430:J430"/>
    <mergeCell ref="B431:J432"/>
    <mergeCell ref="B433:H433"/>
    <mergeCell ref="I433:J433"/>
    <mergeCell ref="K433:Z438"/>
    <mergeCell ref="B434:H435"/>
    <mergeCell ref="I434:J434"/>
    <mergeCell ref="I435:J435"/>
    <mergeCell ref="B436:J436"/>
    <mergeCell ref="B437:J438"/>
    <mergeCell ref="B439:H439"/>
    <mergeCell ref="I439:J439"/>
    <mergeCell ref="K439:Z444"/>
    <mergeCell ref="B440:H441"/>
    <mergeCell ref="I440:J440"/>
    <mergeCell ref="I441:J441"/>
    <mergeCell ref="B442:J442"/>
    <mergeCell ref="B443:J444"/>
    <mergeCell ref="B409:H409"/>
    <mergeCell ref="I409:J409"/>
    <mergeCell ref="K409:Z414"/>
    <mergeCell ref="B410:H411"/>
    <mergeCell ref="I410:J410"/>
    <mergeCell ref="I411:J411"/>
    <mergeCell ref="B412:J412"/>
    <mergeCell ref="B413:J414"/>
    <mergeCell ref="B415:H415"/>
    <mergeCell ref="I415:J415"/>
    <mergeCell ref="K415:Z420"/>
    <mergeCell ref="B416:H417"/>
    <mergeCell ref="I416:J416"/>
    <mergeCell ref="I417:J417"/>
    <mergeCell ref="B418:J418"/>
    <mergeCell ref="B419:J420"/>
    <mergeCell ref="B421:H421"/>
    <mergeCell ref="I421:J421"/>
    <mergeCell ref="K421:Z426"/>
    <mergeCell ref="B422:H423"/>
    <mergeCell ref="I422:J422"/>
    <mergeCell ref="I423:J423"/>
    <mergeCell ref="B424:J424"/>
    <mergeCell ref="B425:J426"/>
    <mergeCell ref="B391:H391"/>
    <mergeCell ref="I391:J391"/>
    <mergeCell ref="K391:Z396"/>
    <mergeCell ref="B392:H393"/>
    <mergeCell ref="I392:J392"/>
    <mergeCell ref="I393:J393"/>
    <mergeCell ref="B394:J394"/>
    <mergeCell ref="B395:J396"/>
    <mergeCell ref="B397:H397"/>
    <mergeCell ref="I397:J397"/>
    <mergeCell ref="K397:Z402"/>
    <mergeCell ref="B398:H399"/>
    <mergeCell ref="I398:J398"/>
    <mergeCell ref="I399:J399"/>
    <mergeCell ref="B400:J400"/>
    <mergeCell ref="B401:J402"/>
    <mergeCell ref="B403:H403"/>
    <mergeCell ref="I403:J403"/>
    <mergeCell ref="K403:Z408"/>
    <mergeCell ref="B404:H405"/>
    <mergeCell ref="I404:J404"/>
    <mergeCell ref="I405:J405"/>
    <mergeCell ref="B406:J406"/>
    <mergeCell ref="B407:J408"/>
    <mergeCell ref="BI583:BZ588"/>
    <mergeCell ref="BB584:BF585"/>
    <mergeCell ref="BG584:BH585"/>
    <mergeCell ref="BB586:BH588"/>
    <mergeCell ref="BB589:BF589"/>
    <mergeCell ref="BG589:BH589"/>
    <mergeCell ref="BI589:BZ594"/>
    <mergeCell ref="BB590:BF591"/>
    <mergeCell ref="BG590:BH591"/>
    <mergeCell ref="BB592:BH594"/>
    <mergeCell ref="BB595:BF595"/>
    <mergeCell ref="BG595:BH595"/>
    <mergeCell ref="BI595:BZ600"/>
    <mergeCell ref="BB596:BF597"/>
    <mergeCell ref="BG596:BH597"/>
    <mergeCell ref="BB598:BH600"/>
    <mergeCell ref="BB565:BF565"/>
    <mergeCell ref="BG565:BH565"/>
    <mergeCell ref="BI565:BZ570"/>
    <mergeCell ref="BB566:BF567"/>
    <mergeCell ref="BG566:BH567"/>
    <mergeCell ref="BB568:BH570"/>
    <mergeCell ref="BB571:BF571"/>
    <mergeCell ref="BG571:BH571"/>
    <mergeCell ref="BI571:BZ576"/>
    <mergeCell ref="BB572:BF573"/>
    <mergeCell ref="BG572:BH573"/>
    <mergeCell ref="BB574:BH576"/>
    <mergeCell ref="BB577:BF577"/>
    <mergeCell ref="BG577:BH577"/>
    <mergeCell ref="BI577:BZ582"/>
    <mergeCell ref="BB578:BF579"/>
    <mergeCell ref="BB547:BF547"/>
    <mergeCell ref="BG547:BH547"/>
    <mergeCell ref="BI547:BZ552"/>
    <mergeCell ref="BB548:BF549"/>
    <mergeCell ref="BG548:BH549"/>
    <mergeCell ref="BB550:BH552"/>
    <mergeCell ref="BB553:BF553"/>
    <mergeCell ref="BG553:BH553"/>
    <mergeCell ref="BI553:BZ558"/>
    <mergeCell ref="BB554:BF555"/>
    <mergeCell ref="BG554:BH555"/>
    <mergeCell ref="BB556:BH558"/>
    <mergeCell ref="BB559:BF559"/>
    <mergeCell ref="BG559:BH559"/>
    <mergeCell ref="BI559:BZ564"/>
    <mergeCell ref="BB560:BF561"/>
    <mergeCell ref="BG560:BH561"/>
    <mergeCell ref="BB562:BH564"/>
    <mergeCell ref="BB529:BF529"/>
    <mergeCell ref="BG529:BH529"/>
    <mergeCell ref="BI529:BZ534"/>
    <mergeCell ref="BB530:BF531"/>
    <mergeCell ref="BG530:BH531"/>
    <mergeCell ref="BB532:BH534"/>
    <mergeCell ref="BB535:BF535"/>
    <mergeCell ref="BG535:BH535"/>
    <mergeCell ref="BI535:BZ540"/>
    <mergeCell ref="BB536:BF537"/>
    <mergeCell ref="BG536:BH537"/>
    <mergeCell ref="BB538:BH540"/>
    <mergeCell ref="BB541:BF541"/>
    <mergeCell ref="BG541:BH541"/>
    <mergeCell ref="BI541:BZ546"/>
    <mergeCell ref="BB542:BF543"/>
    <mergeCell ref="BG542:BH543"/>
    <mergeCell ref="BB544:BH546"/>
    <mergeCell ref="BB511:BF511"/>
    <mergeCell ref="BG511:BH511"/>
    <mergeCell ref="BI511:BZ516"/>
    <mergeCell ref="BB512:BF513"/>
    <mergeCell ref="BG512:BH513"/>
    <mergeCell ref="BB514:BH516"/>
    <mergeCell ref="BB517:BF517"/>
    <mergeCell ref="BG517:BH517"/>
    <mergeCell ref="BI517:BZ522"/>
    <mergeCell ref="BB518:BF519"/>
    <mergeCell ref="BG518:BH519"/>
    <mergeCell ref="BB520:BH522"/>
    <mergeCell ref="BB523:BF523"/>
    <mergeCell ref="BG523:BH523"/>
    <mergeCell ref="BI523:BZ528"/>
    <mergeCell ref="BB524:BF525"/>
    <mergeCell ref="BG524:BH525"/>
    <mergeCell ref="BB526:BH528"/>
    <mergeCell ref="BB493:BF493"/>
    <mergeCell ref="BG493:BH493"/>
    <mergeCell ref="BI493:BZ498"/>
    <mergeCell ref="BB494:BF495"/>
    <mergeCell ref="BG494:BH495"/>
    <mergeCell ref="BB496:BH498"/>
    <mergeCell ref="BB499:BF499"/>
    <mergeCell ref="BG499:BH499"/>
    <mergeCell ref="BI499:BZ504"/>
    <mergeCell ref="BB500:BF501"/>
    <mergeCell ref="BG500:BH501"/>
    <mergeCell ref="BB502:BH504"/>
    <mergeCell ref="BB505:BF505"/>
    <mergeCell ref="BG505:BH505"/>
    <mergeCell ref="BI505:BZ510"/>
    <mergeCell ref="BB506:BF507"/>
    <mergeCell ref="BG506:BH507"/>
    <mergeCell ref="BB508:BH510"/>
    <mergeCell ref="BB475:BF475"/>
    <mergeCell ref="BG475:BH475"/>
    <mergeCell ref="BI475:BZ480"/>
    <mergeCell ref="BB476:BF477"/>
    <mergeCell ref="BG476:BH477"/>
    <mergeCell ref="BB478:BH480"/>
    <mergeCell ref="BB481:BF481"/>
    <mergeCell ref="BG481:BH481"/>
    <mergeCell ref="BI481:BZ486"/>
    <mergeCell ref="BB482:BF483"/>
    <mergeCell ref="BG482:BH483"/>
    <mergeCell ref="BB484:BH486"/>
    <mergeCell ref="BB487:BF487"/>
    <mergeCell ref="BG487:BH487"/>
    <mergeCell ref="BI487:BZ492"/>
    <mergeCell ref="BB488:BF489"/>
    <mergeCell ref="BG488:BH489"/>
    <mergeCell ref="BB490:BH492"/>
    <mergeCell ref="BB457:BF457"/>
    <mergeCell ref="BG457:BH457"/>
    <mergeCell ref="BI457:BZ462"/>
    <mergeCell ref="BB458:BF459"/>
    <mergeCell ref="BG458:BH459"/>
    <mergeCell ref="BB460:BH462"/>
    <mergeCell ref="BB463:BF463"/>
    <mergeCell ref="BG463:BH463"/>
    <mergeCell ref="BI463:BZ468"/>
    <mergeCell ref="BB464:BF465"/>
    <mergeCell ref="BG464:BH465"/>
    <mergeCell ref="BB466:BH468"/>
    <mergeCell ref="BB469:BF469"/>
    <mergeCell ref="BG469:BH469"/>
    <mergeCell ref="BI469:BZ474"/>
    <mergeCell ref="BB470:BF471"/>
    <mergeCell ref="BG470:BH471"/>
    <mergeCell ref="BB472:BH474"/>
    <mergeCell ref="BB439:BF439"/>
    <mergeCell ref="BG439:BH439"/>
    <mergeCell ref="BI439:BZ444"/>
    <mergeCell ref="BB440:BF441"/>
    <mergeCell ref="BG440:BH441"/>
    <mergeCell ref="BB442:BH444"/>
    <mergeCell ref="BB445:BF445"/>
    <mergeCell ref="BG445:BH445"/>
    <mergeCell ref="BI445:BZ450"/>
    <mergeCell ref="BB446:BF447"/>
    <mergeCell ref="BG446:BH447"/>
    <mergeCell ref="BB448:BH450"/>
    <mergeCell ref="BB451:BF451"/>
    <mergeCell ref="BG451:BH451"/>
    <mergeCell ref="BI451:BZ456"/>
    <mergeCell ref="BB452:BF453"/>
    <mergeCell ref="BG452:BH453"/>
    <mergeCell ref="BB454:BH456"/>
    <mergeCell ref="BB421:BF421"/>
    <mergeCell ref="BG421:BH421"/>
    <mergeCell ref="BI421:BZ426"/>
    <mergeCell ref="BB422:BF423"/>
    <mergeCell ref="BG422:BH423"/>
    <mergeCell ref="BB424:BH426"/>
    <mergeCell ref="BB427:BF427"/>
    <mergeCell ref="BG427:BH427"/>
    <mergeCell ref="BI427:BZ432"/>
    <mergeCell ref="BB428:BF429"/>
    <mergeCell ref="BG428:BH429"/>
    <mergeCell ref="BB430:BH432"/>
    <mergeCell ref="BB433:BF433"/>
    <mergeCell ref="BG433:BH433"/>
    <mergeCell ref="BI433:BZ438"/>
    <mergeCell ref="BB434:BF435"/>
    <mergeCell ref="BG434:BH435"/>
    <mergeCell ref="BB436:BH438"/>
    <mergeCell ref="BB403:BF403"/>
    <mergeCell ref="BG403:BH403"/>
    <mergeCell ref="BI403:BZ408"/>
    <mergeCell ref="BB404:BF405"/>
    <mergeCell ref="BG404:BH405"/>
    <mergeCell ref="BB406:BH408"/>
    <mergeCell ref="BB409:BF409"/>
    <mergeCell ref="BG409:BH409"/>
    <mergeCell ref="BI409:BZ414"/>
    <mergeCell ref="BB410:BF411"/>
    <mergeCell ref="BG410:BH411"/>
    <mergeCell ref="BB412:BH414"/>
    <mergeCell ref="BB415:BF415"/>
    <mergeCell ref="BG415:BH415"/>
    <mergeCell ref="BI415:BZ420"/>
    <mergeCell ref="BB416:BF417"/>
    <mergeCell ref="BG416:BH417"/>
    <mergeCell ref="BB418:BH420"/>
    <mergeCell ref="BB385:BF385"/>
    <mergeCell ref="BG385:BH385"/>
    <mergeCell ref="BI385:BZ390"/>
    <mergeCell ref="BB386:BF387"/>
    <mergeCell ref="BG386:BH387"/>
    <mergeCell ref="BB388:BH390"/>
    <mergeCell ref="BB391:BF391"/>
    <mergeCell ref="BG391:BH391"/>
    <mergeCell ref="BI391:BZ396"/>
    <mergeCell ref="BB392:BF393"/>
    <mergeCell ref="BG392:BH393"/>
    <mergeCell ref="BB394:BH396"/>
    <mergeCell ref="BB397:BF397"/>
    <mergeCell ref="BG397:BH397"/>
    <mergeCell ref="BI397:BZ402"/>
    <mergeCell ref="BB398:BF399"/>
    <mergeCell ref="BG398:BH399"/>
    <mergeCell ref="BB400:BH402"/>
    <mergeCell ref="BI1:BZ6"/>
    <mergeCell ref="I381:J381"/>
    <mergeCell ref="B382:J382"/>
    <mergeCell ref="BB376:BH378"/>
    <mergeCell ref="K385:Z390"/>
    <mergeCell ref="BI379:BZ384"/>
    <mergeCell ref="B388:J388"/>
    <mergeCell ref="BB382:BH384"/>
    <mergeCell ref="B389:J390"/>
    <mergeCell ref="B367:H367"/>
    <mergeCell ref="I367:J367"/>
    <mergeCell ref="K367:Z372"/>
    <mergeCell ref="BB361:BF361"/>
    <mergeCell ref="BI361:BZ366"/>
    <mergeCell ref="B368:H369"/>
    <mergeCell ref="I368:J368"/>
    <mergeCell ref="BB362:BF363"/>
    <mergeCell ref="BG362:BH363"/>
    <mergeCell ref="I369:J369"/>
    <mergeCell ref="B370:J370"/>
    <mergeCell ref="BB364:BH366"/>
    <mergeCell ref="B371:J372"/>
    <mergeCell ref="B373:H373"/>
    <mergeCell ref="K373:Z378"/>
    <mergeCell ref="BB367:BF367"/>
    <mergeCell ref="BG367:BH367"/>
    <mergeCell ref="BI367:BZ372"/>
    <mergeCell ref="B374:H375"/>
    <mergeCell ref="BB368:BF369"/>
    <mergeCell ref="BG368:BH369"/>
    <mergeCell ref="I375:J375"/>
    <mergeCell ref="BB370:BH372"/>
    <mergeCell ref="B377:J378"/>
    <mergeCell ref="BI349:BZ354"/>
    <mergeCell ref="B356:H357"/>
    <mergeCell ref="I356:J356"/>
    <mergeCell ref="BB350:BF351"/>
    <mergeCell ref="BG350:BH351"/>
    <mergeCell ref="B358:J358"/>
    <mergeCell ref="BB352:BH354"/>
    <mergeCell ref="B359:J360"/>
    <mergeCell ref="B361:H361"/>
    <mergeCell ref="I361:J361"/>
    <mergeCell ref="K361:Z366"/>
    <mergeCell ref="BB355:BF355"/>
    <mergeCell ref="BG355:BH355"/>
    <mergeCell ref="BI355:BZ360"/>
    <mergeCell ref="B362:H363"/>
    <mergeCell ref="BB356:BF357"/>
    <mergeCell ref="BG356:BH357"/>
    <mergeCell ref="B364:J364"/>
    <mergeCell ref="BB358:BH360"/>
    <mergeCell ref="B365:J366"/>
    <mergeCell ref="K355:Z360"/>
    <mergeCell ref="BB349:BF349"/>
    <mergeCell ref="BG349:BH349"/>
    <mergeCell ref="B376:J376"/>
    <mergeCell ref="I374:J374"/>
    <mergeCell ref="I373:J373"/>
    <mergeCell ref="I357:J357"/>
    <mergeCell ref="B355:H355"/>
    <mergeCell ref="I355:J355"/>
    <mergeCell ref="BG361:BH361"/>
    <mergeCell ref="AB361:AH361"/>
    <mergeCell ref="B334:J334"/>
    <mergeCell ref="BB328:BH330"/>
    <mergeCell ref="B335:J336"/>
    <mergeCell ref="K337:Z342"/>
    <mergeCell ref="BI331:BZ336"/>
    <mergeCell ref="BB334:BH336"/>
    <mergeCell ref="I331:J331"/>
    <mergeCell ref="BB331:BF331"/>
    <mergeCell ref="BG331:BH331"/>
    <mergeCell ref="BB332:BF333"/>
    <mergeCell ref="BG332:BH333"/>
    <mergeCell ref="B338:H339"/>
    <mergeCell ref="I339:J339"/>
    <mergeCell ref="I333:J333"/>
    <mergeCell ref="I338:J338"/>
    <mergeCell ref="B340:J340"/>
    <mergeCell ref="B331:H331"/>
    <mergeCell ref="K331:Z336"/>
    <mergeCell ref="I332:J332"/>
    <mergeCell ref="B337:H337"/>
    <mergeCell ref="I337:J337"/>
    <mergeCell ref="AK325:AZ330"/>
    <mergeCell ref="AB326:AH327"/>
    <mergeCell ref="AI326:AJ326"/>
    <mergeCell ref="AI327:AJ327"/>
    <mergeCell ref="AB328:AJ328"/>
    <mergeCell ref="AB329:AJ330"/>
    <mergeCell ref="AB331:AH331"/>
    <mergeCell ref="AI331:AJ331"/>
    <mergeCell ref="AK331:AZ336"/>
    <mergeCell ref="AB332:AH333"/>
    <mergeCell ref="AI332:AJ332"/>
    <mergeCell ref="BG283:BH283"/>
    <mergeCell ref="B290:H291"/>
    <mergeCell ref="I290:J290"/>
    <mergeCell ref="BB284:BF285"/>
    <mergeCell ref="BG284:BH285"/>
    <mergeCell ref="I291:J291"/>
    <mergeCell ref="B292:J292"/>
    <mergeCell ref="BB286:BH288"/>
    <mergeCell ref="I289:J289"/>
    <mergeCell ref="I295:J295"/>
    <mergeCell ref="I296:J296"/>
    <mergeCell ref="B299:J300"/>
    <mergeCell ref="B293:J294"/>
    <mergeCell ref="BI313:BZ318"/>
    <mergeCell ref="BI325:BZ330"/>
    <mergeCell ref="B332:H333"/>
    <mergeCell ref="BB326:BF327"/>
    <mergeCell ref="BG326:BH327"/>
    <mergeCell ref="BB325:BF325"/>
    <mergeCell ref="BG325:BH325"/>
    <mergeCell ref="AB325:AH325"/>
    <mergeCell ref="AI325:AJ325"/>
    <mergeCell ref="AB283:AH283"/>
    <mergeCell ref="AI283:AJ283"/>
    <mergeCell ref="AK283:AZ288"/>
    <mergeCell ref="AB284:AH285"/>
    <mergeCell ref="AI284:AJ284"/>
    <mergeCell ref="AI285:AJ285"/>
    <mergeCell ref="AB286:AJ286"/>
    <mergeCell ref="AB287:AJ288"/>
    <mergeCell ref="AB290:AH291"/>
    <mergeCell ref="AI290:AJ290"/>
    <mergeCell ref="BI223:BZ228"/>
    <mergeCell ref="B230:H231"/>
    <mergeCell ref="BB241:BF241"/>
    <mergeCell ref="BG241:BH241"/>
    <mergeCell ref="BB242:BF243"/>
    <mergeCell ref="BG242:BH243"/>
    <mergeCell ref="B320:H321"/>
    <mergeCell ref="I320:J320"/>
    <mergeCell ref="BB314:BF315"/>
    <mergeCell ref="BG314:BH315"/>
    <mergeCell ref="I321:J321"/>
    <mergeCell ref="B322:J322"/>
    <mergeCell ref="I297:J297"/>
    <mergeCell ref="B289:H289"/>
    <mergeCell ref="K289:Z294"/>
    <mergeCell ref="BI283:BZ288"/>
    <mergeCell ref="BB289:BF289"/>
    <mergeCell ref="BB316:BH318"/>
    <mergeCell ref="AB289:AH289"/>
    <mergeCell ref="AI289:AJ289"/>
    <mergeCell ref="AK289:AZ294"/>
    <mergeCell ref="BG254:BH255"/>
    <mergeCell ref="I261:J261"/>
    <mergeCell ref="BI289:BZ294"/>
    <mergeCell ref="B296:H297"/>
    <mergeCell ref="BB290:BF291"/>
    <mergeCell ref="BG290:BH291"/>
    <mergeCell ref="B298:J298"/>
    <mergeCell ref="BB292:BH294"/>
    <mergeCell ref="K301:Z306"/>
    <mergeCell ref="BI295:BZ300"/>
    <mergeCell ref="B304:J304"/>
    <mergeCell ref="BI235:BZ240"/>
    <mergeCell ref="B242:H243"/>
    <mergeCell ref="BB236:BF237"/>
    <mergeCell ref="BG236:BH237"/>
    <mergeCell ref="B244:J244"/>
    <mergeCell ref="BB238:BH240"/>
    <mergeCell ref="B245:J246"/>
    <mergeCell ref="BG229:BH229"/>
    <mergeCell ref="BI229:BZ234"/>
    <mergeCell ref="B236:H237"/>
    <mergeCell ref="I236:J236"/>
    <mergeCell ref="BB230:BF231"/>
    <mergeCell ref="BG230:BH231"/>
    <mergeCell ref="BB322:BH324"/>
    <mergeCell ref="BI241:BZ246"/>
    <mergeCell ref="BB244:BH246"/>
    <mergeCell ref="B251:J252"/>
    <mergeCell ref="BI247:BZ252"/>
    <mergeCell ref="B254:H255"/>
    <mergeCell ref="BB248:BF249"/>
    <mergeCell ref="BG248:BH249"/>
    <mergeCell ref="I255:J255"/>
    <mergeCell ref="BB250:BH252"/>
    <mergeCell ref="BB298:BH300"/>
    <mergeCell ref="B305:J306"/>
    <mergeCell ref="B307:H307"/>
    <mergeCell ref="K307:Z312"/>
    <mergeCell ref="BI301:BZ306"/>
    <mergeCell ref="BI265:BZ270"/>
    <mergeCell ref="BI307:BZ312"/>
    <mergeCell ref="B314:H315"/>
    <mergeCell ref="BB283:BF283"/>
    <mergeCell ref="B329:J330"/>
    <mergeCell ref="I283:J283"/>
    <mergeCell ref="B286:J286"/>
    <mergeCell ref="BG277:BH277"/>
    <mergeCell ref="BG289:BH289"/>
    <mergeCell ref="B283:H283"/>
    <mergeCell ref="K283:Z288"/>
    <mergeCell ref="BB277:BF277"/>
    <mergeCell ref="B269:J270"/>
    <mergeCell ref="B271:H271"/>
    <mergeCell ref="I271:J271"/>
    <mergeCell ref="K271:Z276"/>
    <mergeCell ref="BB265:BF265"/>
    <mergeCell ref="BG265:BH265"/>
    <mergeCell ref="I308:J308"/>
    <mergeCell ref="B308:H309"/>
    <mergeCell ref="B310:J310"/>
    <mergeCell ref="BB304:BH306"/>
    <mergeCell ref="B302:H303"/>
    <mergeCell ref="BB296:BF297"/>
    <mergeCell ref="BG296:BH297"/>
    <mergeCell ref="B311:J312"/>
    <mergeCell ref="BG278:BH279"/>
    <mergeCell ref="I285:J285"/>
    <mergeCell ref="BB280:BH282"/>
    <mergeCell ref="B287:J288"/>
    <mergeCell ref="B295:H295"/>
    <mergeCell ref="K295:Z300"/>
    <mergeCell ref="AB271:AH271"/>
    <mergeCell ref="AI271:AJ271"/>
    <mergeCell ref="AK271:AZ276"/>
    <mergeCell ref="B272:H273"/>
    <mergeCell ref="BB202:BH204"/>
    <mergeCell ref="B209:J210"/>
    <mergeCell ref="I205:J205"/>
    <mergeCell ref="B238:J238"/>
    <mergeCell ref="B229:H229"/>
    <mergeCell ref="K229:Z234"/>
    <mergeCell ref="BB223:BF223"/>
    <mergeCell ref="BG223:BH223"/>
    <mergeCell ref="BB224:BF225"/>
    <mergeCell ref="BG224:BH225"/>
    <mergeCell ref="B232:J232"/>
    <mergeCell ref="BB226:BH228"/>
    <mergeCell ref="B200:H201"/>
    <mergeCell ref="I200:J200"/>
    <mergeCell ref="BB194:BF195"/>
    <mergeCell ref="BG194:BH195"/>
    <mergeCell ref="I201:J201"/>
    <mergeCell ref="B202:J202"/>
    <mergeCell ref="BB196:BH198"/>
    <mergeCell ref="B203:J204"/>
    <mergeCell ref="B235:H235"/>
    <mergeCell ref="I235:J235"/>
    <mergeCell ref="K235:Z240"/>
    <mergeCell ref="BB229:BF229"/>
    <mergeCell ref="AB199:AH199"/>
    <mergeCell ref="AI199:AJ199"/>
    <mergeCell ref="AK199:AZ204"/>
    <mergeCell ref="AB200:AH201"/>
    <mergeCell ref="I218:J218"/>
    <mergeCell ref="I223:J223"/>
    <mergeCell ref="BG235:BH235"/>
    <mergeCell ref="AB202:AJ202"/>
    <mergeCell ref="B140:H141"/>
    <mergeCell ref="BB134:BF135"/>
    <mergeCell ref="BG134:BH135"/>
    <mergeCell ref="B142:J142"/>
    <mergeCell ref="BB136:BH138"/>
    <mergeCell ref="BB127:BF127"/>
    <mergeCell ref="BG127:BH127"/>
    <mergeCell ref="I141:J141"/>
    <mergeCell ref="K175:Z180"/>
    <mergeCell ref="BI169:BZ174"/>
    <mergeCell ref="B178:J178"/>
    <mergeCell ref="BB172:BH174"/>
    <mergeCell ref="B179:J180"/>
    <mergeCell ref="BI163:BZ168"/>
    <mergeCell ref="B170:H171"/>
    <mergeCell ref="BB164:BF165"/>
    <mergeCell ref="BG164:BH165"/>
    <mergeCell ref="B160:J160"/>
    <mergeCell ref="BB169:BF169"/>
    <mergeCell ref="BG169:BH169"/>
    <mergeCell ref="B157:H157"/>
    <mergeCell ref="I157:J157"/>
    <mergeCell ref="BB151:BF151"/>
    <mergeCell ref="BG151:BH151"/>
    <mergeCell ref="K151:Z156"/>
    <mergeCell ref="BB145:BF145"/>
    <mergeCell ref="B145:H145"/>
    <mergeCell ref="I145:J145"/>
    <mergeCell ref="I152:J152"/>
    <mergeCell ref="BG145:BH145"/>
    <mergeCell ref="I147:J147"/>
    <mergeCell ref="BI145:BZ150"/>
    <mergeCell ref="B131:J132"/>
    <mergeCell ref="B121:H121"/>
    <mergeCell ref="K121:Z126"/>
    <mergeCell ref="BB115:BF115"/>
    <mergeCell ref="BG115:BH115"/>
    <mergeCell ref="BB116:BF117"/>
    <mergeCell ref="I128:J128"/>
    <mergeCell ref="I123:J123"/>
    <mergeCell ref="I133:J133"/>
    <mergeCell ref="K157:Z162"/>
    <mergeCell ref="BI151:BZ156"/>
    <mergeCell ref="BB154:BH156"/>
    <mergeCell ref="B161:J162"/>
    <mergeCell ref="B163:H163"/>
    <mergeCell ref="K163:Z168"/>
    <mergeCell ref="BB157:BF157"/>
    <mergeCell ref="BG157:BH157"/>
    <mergeCell ref="BI157:BZ162"/>
    <mergeCell ref="B164:H165"/>
    <mergeCell ref="BB158:BF159"/>
    <mergeCell ref="BG158:BH159"/>
    <mergeCell ref="I165:J165"/>
    <mergeCell ref="BB160:BH162"/>
    <mergeCell ref="B167:J168"/>
    <mergeCell ref="BI127:BZ132"/>
    <mergeCell ref="BB130:BH132"/>
    <mergeCell ref="B137:J138"/>
    <mergeCell ref="B139:H139"/>
    <mergeCell ref="K139:Z144"/>
    <mergeCell ref="BB133:BF133"/>
    <mergeCell ref="BG133:BH133"/>
    <mergeCell ref="BI133:BZ138"/>
    <mergeCell ref="B43:H43"/>
    <mergeCell ref="K43:Z48"/>
    <mergeCell ref="BB37:BF37"/>
    <mergeCell ref="BG37:BH37"/>
    <mergeCell ref="BI37:BZ42"/>
    <mergeCell ref="B44:H45"/>
    <mergeCell ref="BB38:BF39"/>
    <mergeCell ref="BG38:BH39"/>
    <mergeCell ref="I45:J45"/>
    <mergeCell ref="BB40:BH42"/>
    <mergeCell ref="K49:Z54"/>
    <mergeCell ref="BI43:BZ48"/>
    <mergeCell ref="B52:J52"/>
    <mergeCell ref="BB46:BH48"/>
    <mergeCell ref="B47:J48"/>
    <mergeCell ref="B49:H49"/>
    <mergeCell ref="BB43:BF43"/>
    <mergeCell ref="BG43:BH43"/>
    <mergeCell ref="B50:H51"/>
    <mergeCell ref="I50:J50"/>
    <mergeCell ref="BB44:BF45"/>
    <mergeCell ref="BG44:BH45"/>
    <mergeCell ref="I51:J51"/>
    <mergeCell ref="I44:J44"/>
    <mergeCell ref="I49:J49"/>
    <mergeCell ref="I43:J43"/>
    <mergeCell ref="B53:J54"/>
    <mergeCell ref="B46:J46"/>
    <mergeCell ref="AB37:AH37"/>
    <mergeCell ref="AI37:AJ37"/>
    <mergeCell ref="AK37:AZ42"/>
    <mergeCell ref="AB38:AH39"/>
    <mergeCell ref="B20:H21"/>
    <mergeCell ref="I20:J20"/>
    <mergeCell ref="BB20:BF21"/>
    <mergeCell ref="BG20:BH21"/>
    <mergeCell ref="B22:J22"/>
    <mergeCell ref="BB22:BH24"/>
    <mergeCell ref="B10:J10"/>
    <mergeCell ref="B17:J18"/>
    <mergeCell ref="B11:J12"/>
    <mergeCell ref="I14:J14"/>
    <mergeCell ref="I15:J15"/>
    <mergeCell ref="K13:Z18"/>
    <mergeCell ref="BB10:BH12"/>
    <mergeCell ref="I8:J8"/>
    <mergeCell ref="BG7:BH7"/>
    <mergeCell ref="B41:J42"/>
    <mergeCell ref="B40:J40"/>
    <mergeCell ref="AK19:AZ24"/>
    <mergeCell ref="AB20:AH21"/>
    <mergeCell ref="AI20:AJ20"/>
    <mergeCell ref="AI21:AJ21"/>
    <mergeCell ref="AB22:AJ22"/>
    <mergeCell ref="AB23:AJ24"/>
    <mergeCell ref="AB25:AH25"/>
    <mergeCell ref="AI25:AJ25"/>
    <mergeCell ref="AK25:AZ30"/>
    <mergeCell ref="AB26:AH27"/>
    <mergeCell ref="AI26:AJ26"/>
    <mergeCell ref="AI27:AJ27"/>
    <mergeCell ref="AB28:AJ28"/>
    <mergeCell ref="BB34:BH36"/>
    <mergeCell ref="K37:Z42"/>
    <mergeCell ref="B385:H385"/>
    <mergeCell ref="I385:J385"/>
    <mergeCell ref="BB379:BF379"/>
    <mergeCell ref="BG379:BH379"/>
    <mergeCell ref="B386:H387"/>
    <mergeCell ref="I386:J386"/>
    <mergeCell ref="BB380:BF381"/>
    <mergeCell ref="BG380:BH381"/>
    <mergeCell ref="I380:J380"/>
    <mergeCell ref="B383:J384"/>
    <mergeCell ref="B379:H379"/>
    <mergeCell ref="K379:Z384"/>
    <mergeCell ref="BB373:BF373"/>
    <mergeCell ref="BG373:BH373"/>
    <mergeCell ref="K343:Z348"/>
    <mergeCell ref="BI7:BZ12"/>
    <mergeCell ref="B13:H13"/>
    <mergeCell ref="I13:J13"/>
    <mergeCell ref="BB13:BF13"/>
    <mergeCell ref="BG13:BH13"/>
    <mergeCell ref="BI13:BZ18"/>
    <mergeCell ref="B14:H15"/>
    <mergeCell ref="BB14:BF15"/>
    <mergeCell ref="BG14:BH15"/>
    <mergeCell ref="B16:J16"/>
    <mergeCell ref="BB16:BH18"/>
    <mergeCell ref="B19:H19"/>
    <mergeCell ref="I19:J19"/>
    <mergeCell ref="K19:Z24"/>
    <mergeCell ref="BB19:BF19"/>
    <mergeCell ref="BG19:BH19"/>
    <mergeCell ref="BI19:BZ24"/>
    <mergeCell ref="BI373:BZ378"/>
    <mergeCell ref="B380:H381"/>
    <mergeCell ref="BB374:BF375"/>
    <mergeCell ref="BG374:BH375"/>
    <mergeCell ref="I387:J387"/>
    <mergeCell ref="BI319:BZ324"/>
    <mergeCell ref="B326:H327"/>
    <mergeCell ref="I326:J326"/>
    <mergeCell ref="I350:J350"/>
    <mergeCell ref="I351:J351"/>
    <mergeCell ref="K349:Z354"/>
    <mergeCell ref="BB343:BF343"/>
    <mergeCell ref="BG343:BH343"/>
    <mergeCell ref="B341:J342"/>
    <mergeCell ref="B343:H343"/>
    <mergeCell ref="BB337:BF337"/>
    <mergeCell ref="BG337:BH337"/>
    <mergeCell ref="B344:H345"/>
    <mergeCell ref="BB338:BF339"/>
    <mergeCell ref="BG338:BH339"/>
    <mergeCell ref="I345:J345"/>
    <mergeCell ref="B349:H349"/>
    <mergeCell ref="BI343:BZ348"/>
    <mergeCell ref="B350:H351"/>
    <mergeCell ref="BB344:BF345"/>
    <mergeCell ref="BG344:BH345"/>
    <mergeCell ref="B352:J352"/>
    <mergeCell ref="BB346:BH348"/>
    <mergeCell ref="I344:J344"/>
    <mergeCell ref="I349:J349"/>
    <mergeCell ref="I343:J343"/>
    <mergeCell ref="B346:J346"/>
    <mergeCell ref="BI337:BZ342"/>
    <mergeCell ref="BB340:BH342"/>
    <mergeCell ref="B347:J348"/>
    <mergeCell ref="I284:J284"/>
    <mergeCell ref="BI277:BZ282"/>
    <mergeCell ref="B284:H285"/>
    <mergeCell ref="BB278:BF279"/>
    <mergeCell ref="I273:J273"/>
    <mergeCell ref="K265:Z270"/>
    <mergeCell ref="BB259:BF259"/>
    <mergeCell ref="BG259:BH259"/>
    <mergeCell ref="BI259:BZ264"/>
    <mergeCell ref="B266:H267"/>
    <mergeCell ref="BB260:BF261"/>
    <mergeCell ref="BG260:BH261"/>
    <mergeCell ref="B268:J268"/>
    <mergeCell ref="BB262:BH264"/>
    <mergeCell ref="K277:Z282"/>
    <mergeCell ref="BI271:BZ276"/>
    <mergeCell ref="BB274:BH276"/>
    <mergeCell ref="B281:J282"/>
    <mergeCell ref="I267:J267"/>
    <mergeCell ref="B265:H265"/>
    <mergeCell ref="I327:J327"/>
    <mergeCell ref="B325:H325"/>
    <mergeCell ref="I325:J325"/>
    <mergeCell ref="K325:Z330"/>
    <mergeCell ref="BB319:BF319"/>
    <mergeCell ref="BG319:BH319"/>
    <mergeCell ref="BB320:BF321"/>
    <mergeCell ref="BG320:BH321"/>
    <mergeCell ref="B328:J328"/>
    <mergeCell ref="BB266:BF267"/>
    <mergeCell ref="BG266:BH267"/>
    <mergeCell ref="B274:J274"/>
    <mergeCell ref="BB268:BH270"/>
    <mergeCell ref="B275:J276"/>
    <mergeCell ref="B253:H253"/>
    <mergeCell ref="K253:Z258"/>
    <mergeCell ref="BB256:BH258"/>
    <mergeCell ref="K259:Z264"/>
    <mergeCell ref="B259:H259"/>
    <mergeCell ref="BB253:BF253"/>
    <mergeCell ref="BG253:BH253"/>
    <mergeCell ref="B260:H261"/>
    <mergeCell ref="I260:J260"/>
    <mergeCell ref="BB254:BF255"/>
    <mergeCell ref="BI253:BZ258"/>
    <mergeCell ref="B262:J262"/>
    <mergeCell ref="I265:J265"/>
    <mergeCell ref="B257:J258"/>
    <mergeCell ref="AB253:AH253"/>
    <mergeCell ref="AI253:AJ253"/>
    <mergeCell ref="AK253:AZ258"/>
    <mergeCell ref="AB254:AH255"/>
    <mergeCell ref="AI254:AJ254"/>
    <mergeCell ref="AI255:AJ255"/>
    <mergeCell ref="AB256:AJ256"/>
    <mergeCell ref="AB257:AJ258"/>
    <mergeCell ref="AB259:AH259"/>
    <mergeCell ref="AI259:AJ259"/>
    <mergeCell ref="AK259:AZ264"/>
    <mergeCell ref="AB260:AH261"/>
    <mergeCell ref="AI260:AJ260"/>
    <mergeCell ref="BB188:BF189"/>
    <mergeCell ref="BG188:BH189"/>
    <mergeCell ref="I231:J231"/>
    <mergeCell ref="B214:J214"/>
    <mergeCell ref="I230:J230"/>
    <mergeCell ref="I211:J211"/>
    <mergeCell ref="B215:J216"/>
    <mergeCell ref="I225:J225"/>
    <mergeCell ref="B227:J228"/>
    <mergeCell ref="B211:H211"/>
    <mergeCell ref="K211:Z216"/>
    <mergeCell ref="BB205:BF205"/>
    <mergeCell ref="BG205:BH205"/>
    <mergeCell ref="BI205:BZ210"/>
    <mergeCell ref="B212:H213"/>
    <mergeCell ref="BB206:BF207"/>
    <mergeCell ref="BI211:BZ216"/>
    <mergeCell ref="BB214:BH216"/>
    <mergeCell ref="B221:J222"/>
    <mergeCell ref="B223:H223"/>
    <mergeCell ref="K223:Z228"/>
    <mergeCell ref="BB217:BF217"/>
    <mergeCell ref="BG217:BH217"/>
    <mergeCell ref="BI217:BZ222"/>
    <mergeCell ref="BG212:BH213"/>
    <mergeCell ref="I219:J219"/>
    <mergeCell ref="B205:H205"/>
    <mergeCell ref="K205:Z210"/>
    <mergeCell ref="BI199:BZ204"/>
    <mergeCell ref="B206:H207"/>
    <mergeCell ref="BI193:BZ198"/>
    <mergeCell ref="B208:J208"/>
    <mergeCell ref="B152:H153"/>
    <mergeCell ref="BB146:BF147"/>
    <mergeCell ref="BG146:BH147"/>
    <mergeCell ref="B154:J154"/>
    <mergeCell ref="BB148:BH150"/>
    <mergeCell ref="B155:J156"/>
    <mergeCell ref="BB170:BF171"/>
    <mergeCell ref="BG170:BH171"/>
    <mergeCell ref="B185:J186"/>
    <mergeCell ref="K187:Z192"/>
    <mergeCell ref="BI181:BZ186"/>
    <mergeCell ref="BB184:BH186"/>
    <mergeCell ref="B191:J192"/>
    <mergeCell ref="B193:H193"/>
    <mergeCell ref="B181:H181"/>
    <mergeCell ref="I181:J181"/>
    <mergeCell ref="K181:Z186"/>
    <mergeCell ref="BB175:BF175"/>
    <mergeCell ref="BG175:BH175"/>
    <mergeCell ref="BI175:BZ180"/>
    <mergeCell ref="BB166:BH168"/>
    <mergeCell ref="BG176:BH177"/>
    <mergeCell ref="B184:J184"/>
    <mergeCell ref="BB178:BH180"/>
    <mergeCell ref="K193:Z198"/>
    <mergeCell ref="BB187:BF187"/>
    <mergeCell ref="BG187:BH187"/>
    <mergeCell ref="BI187:BZ192"/>
    <mergeCell ref="AB163:AH163"/>
    <mergeCell ref="AI163:AJ163"/>
    <mergeCell ref="AK163:AZ168"/>
    <mergeCell ref="AB164:AH165"/>
    <mergeCell ref="BI139:BZ144"/>
    <mergeCell ref="B146:H147"/>
    <mergeCell ref="I146:J146"/>
    <mergeCell ref="BB140:BF141"/>
    <mergeCell ref="BG140:BH141"/>
    <mergeCell ref="B148:J148"/>
    <mergeCell ref="BB142:BH144"/>
    <mergeCell ref="B149:J150"/>
    <mergeCell ref="BI67:BZ72"/>
    <mergeCell ref="B74:H75"/>
    <mergeCell ref="BB68:BF69"/>
    <mergeCell ref="BG68:BH69"/>
    <mergeCell ref="I75:J75"/>
    <mergeCell ref="BB70:BH72"/>
    <mergeCell ref="B77:J78"/>
    <mergeCell ref="I74:J74"/>
    <mergeCell ref="K85:Z90"/>
    <mergeCell ref="BB79:BF79"/>
    <mergeCell ref="BI91:BZ96"/>
    <mergeCell ref="BB94:BH96"/>
    <mergeCell ref="BG85:BH85"/>
    <mergeCell ref="B92:H93"/>
    <mergeCell ref="BB86:BF87"/>
    <mergeCell ref="BG86:BH87"/>
    <mergeCell ref="B101:J102"/>
    <mergeCell ref="I85:J85"/>
    <mergeCell ref="I86:J86"/>
    <mergeCell ref="B89:J90"/>
    <mergeCell ref="B91:H91"/>
    <mergeCell ref="I91:J91"/>
    <mergeCell ref="B133:H133"/>
    <mergeCell ref="B143:J144"/>
    <mergeCell ref="BI121:BZ126"/>
    <mergeCell ref="BI85:BZ90"/>
    <mergeCell ref="B94:J94"/>
    <mergeCell ref="BB88:BH90"/>
    <mergeCell ref="B95:J96"/>
    <mergeCell ref="K79:Z84"/>
    <mergeCell ref="B110:H111"/>
    <mergeCell ref="B103:H103"/>
    <mergeCell ref="I110:J110"/>
    <mergeCell ref="BB104:BF105"/>
    <mergeCell ref="BG104:BH105"/>
    <mergeCell ref="I111:J111"/>
    <mergeCell ref="B112:J112"/>
    <mergeCell ref="BB106:BH108"/>
    <mergeCell ref="B64:J64"/>
    <mergeCell ref="BB58:BH60"/>
    <mergeCell ref="B65:J66"/>
    <mergeCell ref="K67:Z72"/>
    <mergeCell ref="BI61:BZ66"/>
    <mergeCell ref="BI55:BZ60"/>
    <mergeCell ref="BI73:BZ78"/>
    <mergeCell ref="BB61:BF61"/>
    <mergeCell ref="BG61:BH61"/>
    <mergeCell ref="BB62:BF63"/>
    <mergeCell ref="BG62:BH63"/>
    <mergeCell ref="BB85:BF85"/>
    <mergeCell ref="BG73:BH73"/>
    <mergeCell ref="BB64:BH66"/>
    <mergeCell ref="B73:H73"/>
    <mergeCell ref="K73:Z78"/>
    <mergeCell ref="BB67:BF67"/>
    <mergeCell ref="BI115:BZ120"/>
    <mergeCell ref="BG67:BH67"/>
    <mergeCell ref="K97:Z102"/>
    <mergeCell ref="B176:H177"/>
    <mergeCell ref="I176:J176"/>
    <mergeCell ref="B151:H151"/>
    <mergeCell ref="I151:J151"/>
    <mergeCell ref="I177:J177"/>
    <mergeCell ref="B122:H123"/>
    <mergeCell ref="B188:H189"/>
    <mergeCell ref="B62:H63"/>
    <mergeCell ref="BB56:BF57"/>
    <mergeCell ref="BG56:BH57"/>
    <mergeCell ref="I105:J105"/>
    <mergeCell ref="K103:Z108"/>
    <mergeCell ref="BB97:BF97"/>
    <mergeCell ref="BG97:BH97"/>
    <mergeCell ref="BI97:BZ102"/>
    <mergeCell ref="B104:H105"/>
    <mergeCell ref="BB98:BF99"/>
    <mergeCell ref="BG98:BH99"/>
    <mergeCell ref="BB100:BH102"/>
    <mergeCell ref="B107:J108"/>
    <mergeCell ref="B109:H109"/>
    <mergeCell ref="K109:Z114"/>
    <mergeCell ref="BB103:BF103"/>
    <mergeCell ref="BG103:BH103"/>
    <mergeCell ref="BG79:BH79"/>
    <mergeCell ref="BI79:BZ84"/>
    <mergeCell ref="B86:H87"/>
    <mergeCell ref="BB80:BF81"/>
    <mergeCell ref="BG80:BH81"/>
    <mergeCell ref="B88:J88"/>
    <mergeCell ref="BB74:BF75"/>
    <mergeCell ref="B175:H175"/>
    <mergeCell ref="I175:J175"/>
    <mergeCell ref="I171:J171"/>
    <mergeCell ref="B172:J172"/>
    <mergeCell ref="B130:J130"/>
    <mergeCell ref="B136:J136"/>
    <mergeCell ref="B79:H79"/>
    <mergeCell ref="B80:H81"/>
    <mergeCell ref="I80:J80"/>
    <mergeCell ref="B59:J60"/>
    <mergeCell ref="B56:H57"/>
    <mergeCell ref="B58:J58"/>
    <mergeCell ref="B61:H61"/>
    <mergeCell ref="I61:J61"/>
    <mergeCell ref="B70:J70"/>
    <mergeCell ref="B76:J76"/>
    <mergeCell ref="I56:J56"/>
    <mergeCell ref="B158:H159"/>
    <mergeCell ref="B67:H67"/>
    <mergeCell ref="I67:J67"/>
    <mergeCell ref="B116:H117"/>
    <mergeCell ref="I116:J116"/>
    <mergeCell ref="B115:H115"/>
    <mergeCell ref="B68:H69"/>
    <mergeCell ref="I69:J69"/>
    <mergeCell ref="B106:J106"/>
    <mergeCell ref="I103:J103"/>
    <mergeCell ref="I104:J104"/>
    <mergeCell ref="I79:J79"/>
    <mergeCell ref="I73:J73"/>
    <mergeCell ref="B85:H85"/>
    <mergeCell ref="B71:J72"/>
    <mergeCell ref="I55:J55"/>
    <mergeCell ref="I81:J81"/>
    <mergeCell ref="B82:J82"/>
    <mergeCell ref="I63:J63"/>
    <mergeCell ref="I314:J314"/>
    <mergeCell ref="I319:J319"/>
    <mergeCell ref="I313:J313"/>
    <mergeCell ref="B316:J316"/>
    <mergeCell ref="BI31:BZ36"/>
    <mergeCell ref="B32:H33"/>
    <mergeCell ref="BB32:BF33"/>
    <mergeCell ref="BG32:BH33"/>
    <mergeCell ref="I21:J21"/>
    <mergeCell ref="B25:H25"/>
    <mergeCell ref="I25:J25"/>
    <mergeCell ref="K25:Z30"/>
    <mergeCell ref="BB25:BF25"/>
    <mergeCell ref="BG25:BH25"/>
    <mergeCell ref="BI25:BZ30"/>
    <mergeCell ref="B26:H27"/>
    <mergeCell ref="I26:J26"/>
    <mergeCell ref="B28:J28"/>
    <mergeCell ref="B29:J30"/>
    <mergeCell ref="B31:H31"/>
    <mergeCell ref="I31:J31"/>
    <mergeCell ref="B34:J34"/>
    <mergeCell ref="B35:J36"/>
    <mergeCell ref="BB295:BF295"/>
    <mergeCell ref="BG295:BH295"/>
    <mergeCell ref="B301:H301"/>
    <mergeCell ref="BB82:BH84"/>
    <mergeCell ref="K55:Z60"/>
    <mergeCell ref="BB49:BF49"/>
    <mergeCell ref="BG49:BH49"/>
    <mergeCell ref="BI49:BZ54"/>
    <mergeCell ref="BB50:BF51"/>
    <mergeCell ref="BG50:BH51"/>
    <mergeCell ref="BB52:BH54"/>
    <mergeCell ref="K61:Z66"/>
    <mergeCell ref="BB55:BF55"/>
    <mergeCell ref="BG55:BH55"/>
    <mergeCell ref="I57:J57"/>
    <mergeCell ref="I62:J62"/>
    <mergeCell ref="I301:J301"/>
    <mergeCell ref="B313:H313"/>
    <mergeCell ref="BB308:BF309"/>
    <mergeCell ref="BG308:BH309"/>
    <mergeCell ref="B263:J264"/>
    <mergeCell ref="I272:J272"/>
    <mergeCell ref="I266:J266"/>
    <mergeCell ref="I254:J254"/>
    <mergeCell ref="I259:J259"/>
    <mergeCell ref="B256:J256"/>
    <mergeCell ref="BG206:BH207"/>
    <mergeCell ref="BB208:BH210"/>
    <mergeCell ref="K217:Z222"/>
    <mergeCell ref="I199:J199"/>
    <mergeCell ref="B187:H187"/>
    <mergeCell ref="I187:J187"/>
    <mergeCell ref="BB181:BF181"/>
    <mergeCell ref="BG181:BH181"/>
    <mergeCell ref="B55:H55"/>
    <mergeCell ref="I68:J68"/>
    <mergeCell ref="I121:J121"/>
    <mergeCell ref="B323:J324"/>
    <mergeCell ref="BB310:BH312"/>
    <mergeCell ref="B317:J318"/>
    <mergeCell ref="B319:H319"/>
    <mergeCell ref="K319:Z324"/>
    <mergeCell ref="BB313:BF313"/>
    <mergeCell ref="BG313:BH313"/>
    <mergeCell ref="K313:Z318"/>
    <mergeCell ref="BB307:BF307"/>
    <mergeCell ref="BG307:BH307"/>
    <mergeCell ref="B277:H277"/>
    <mergeCell ref="I277:J277"/>
    <mergeCell ref="BB271:BF271"/>
    <mergeCell ref="BG271:BH271"/>
    <mergeCell ref="B278:H279"/>
    <mergeCell ref="BB272:BF273"/>
    <mergeCell ref="BG272:BH273"/>
    <mergeCell ref="I279:J279"/>
    <mergeCell ref="I278:J278"/>
    <mergeCell ref="B280:J280"/>
    <mergeCell ref="I315:J315"/>
    <mergeCell ref="I302:J302"/>
    <mergeCell ref="I307:J307"/>
    <mergeCell ref="BB301:BF301"/>
    <mergeCell ref="BG301:BH301"/>
    <mergeCell ref="BB302:BF303"/>
    <mergeCell ref="BG302:BH303"/>
    <mergeCell ref="I309:J309"/>
    <mergeCell ref="I303:J303"/>
    <mergeCell ref="B182:H183"/>
    <mergeCell ref="BB247:BF247"/>
    <mergeCell ref="B250:J250"/>
    <mergeCell ref="B190:J190"/>
    <mergeCell ref="B196:J196"/>
    <mergeCell ref="B224:H225"/>
    <mergeCell ref="BB218:BF219"/>
    <mergeCell ref="BG218:BH219"/>
    <mergeCell ref="BB220:BH222"/>
    <mergeCell ref="B220:J220"/>
    <mergeCell ref="B226:J226"/>
    <mergeCell ref="BG247:BH247"/>
    <mergeCell ref="B217:H217"/>
    <mergeCell ref="I217:J217"/>
    <mergeCell ref="BB211:BF211"/>
    <mergeCell ref="BG211:BH211"/>
    <mergeCell ref="B218:H219"/>
    <mergeCell ref="BB212:BF213"/>
    <mergeCell ref="B194:H195"/>
    <mergeCell ref="BB199:BF199"/>
    <mergeCell ref="BG199:BH199"/>
    <mergeCell ref="I224:J224"/>
    <mergeCell ref="BB232:BH234"/>
    <mergeCell ref="B239:J240"/>
    <mergeCell ref="B241:H241"/>
    <mergeCell ref="I241:J241"/>
    <mergeCell ref="K241:Z246"/>
    <mergeCell ref="BB235:BF235"/>
    <mergeCell ref="K247:Z252"/>
    <mergeCell ref="I206:J206"/>
    <mergeCell ref="BB200:BF201"/>
    <mergeCell ref="BG200:BH201"/>
    <mergeCell ref="AI200:AJ200"/>
    <mergeCell ref="AI201:AJ201"/>
    <mergeCell ref="BG109:BH109"/>
    <mergeCell ref="K133:Z138"/>
    <mergeCell ref="B166:J166"/>
    <mergeCell ref="B134:H135"/>
    <mergeCell ref="BB128:BF129"/>
    <mergeCell ref="BG128:BH129"/>
    <mergeCell ref="I135:J135"/>
    <mergeCell ref="I140:J140"/>
    <mergeCell ref="BG182:BH183"/>
    <mergeCell ref="I189:J189"/>
    <mergeCell ref="I188:J188"/>
    <mergeCell ref="I195:J195"/>
    <mergeCell ref="BB190:BH192"/>
    <mergeCell ref="B197:J198"/>
    <mergeCell ref="B199:H199"/>
    <mergeCell ref="K199:Z204"/>
    <mergeCell ref="BB193:BF193"/>
    <mergeCell ref="BG193:BH193"/>
    <mergeCell ref="BB182:BF183"/>
    <mergeCell ref="BB176:BF177"/>
    <mergeCell ref="I134:J134"/>
    <mergeCell ref="BB110:BF111"/>
    <mergeCell ref="BG110:BH111"/>
    <mergeCell ref="B118:J118"/>
    <mergeCell ref="BB112:BH114"/>
    <mergeCell ref="B119:J120"/>
    <mergeCell ref="BG116:BH117"/>
    <mergeCell ref="B124:J124"/>
    <mergeCell ref="BB118:BH120"/>
    <mergeCell ref="B125:J126"/>
    <mergeCell ref="K127:Z132"/>
    <mergeCell ref="BB124:BH126"/>
    <mergeCell ref="B2:H3"/>
    <mergeCell ref="I1:J1"/>
    <mergeCell ref="B7:H7"/>
    <mergeCell ref="B8:H9"/>
    <mergeCell ref="I7:J7"/>
    <mergeCell ref="I3:J3"/>
    <mergeCell ref="I2:J2"/>
    <mergeCell ref="I9:J9"/>
    <mergeCell ref="B173:J174"/>
    <mergeCell ref="B169:H169"/>
    <mergeCell ref="K169:Z174"/>
    <mergeCell ref="BB163:BF163"/>
    <mergeCell ref="BG163:BH163"/>
    <mergeCell ref="I139:J139"/>
    <mergeCell ref="I87:J87"/>
    <mergeCell ref="B127:H127"/>
    <mergeCell ref="I127:J127"/>
    <mergeCell ref="BB121:BF121"/>
    <mergeCell ref="BG121:BH121"/>
    <mergeCell ref="B128:H129"/>
    <mergeCell ref="BB122:BF123"/>
    <mergeCell ref="BG122:BH123"/>
    <mergeCell ref="I129:J129"/>
    <mergeCell ref="B113:J114"/>
    <mergeCell ref="I122:J122"/>
    <mergeCell ref="K145:Z150"/>
    <mergeCell ref="BB139:BF139"/>
    <mergeCell ref="BG139:BH139"/>
    <mergeCell ref="K91:Z96"/>
    <mergeCell ref="I115:J115"/>
    <mergeCell ref="K115:Z120"/>
    <mergeCell ref="BB109:BF109"/>
    <mergeCell ref="B23:J24"/>
    <mergeCell ref="I32:J32"/>
    <mergeCell ref="B37:H37"/>
    <mergeCell ref="I37:J37"/>
    <mergeCell ref="B38:H39"/>
    <mergeCell ref="I39:J39"/>
    <mergeCell ref="I33:J33"/>
    <mergeCell ref="I38:J38"/>
    <mergeCell ref="BB26:BF27"/>
    <mergeCell ref="BG26:BH27"/>
    <mergeCell ref="BB28:BH30"/>
    <mergeCell ref="I27:J27"/>
    <mergeCell ref="K31:Z36"/>
    <mergeCell ref="BB31:BF31"/>
    <mergeCell ref="BG31:BH31"/>
    <mergeCell ref="AB29:AJ30"/>
    <mergeCell ref="AB31:AH31"/>
    <mergeCell ref="AI31:AJ31"/>
    <mergeCell ref="AK31:AZ36"/>
    <mergeCell ref="AB32:AH33"/>
    <mergeCell ref="AI32:AJ32"/>
    <mergeCell ref="AI33:AJ33"/>
    <mergeCell ref="AB34:AJ34"/>
    <mergeCell ref="AB35:AJ36"/>
    <mergeCell ref="AI38:AJ38"/>
    <mergeCell ref="AI39:AJ39"/>
    <mergeCell ref="BB8:BF9"/>
    <mergeCell ref="BG1:BH1"/>
    <mergeCell ref="BG2:BH3"/>
    <mergeCell ref="BB1:BF1"/>
    <mergeCell ref="BB2:BF3"/>
    <mergeCell ref="B1:H1"/>
    <mergeCell ref="B4:J4"/>
    <mergeCell ref="I194:J194"/>
    <mergeCell ref="I182:J182"/>
    <mergeCell ref="I109:J109"/>
    <mergeCell ref="I117:J117"/>
    <mergeCell ref="B97:H97"/>
    <mergeCell ref="I97:J97"/>
    <mergeCell ref="BB91:BF91"/>
    <mergeCell ref="BG91:BH91"/>
    <mergeCell ref="B98:H99"/>
    <mergeCell ref="BB92:BF93"/>
    <mergeCell ref="BG92:BH93"/>
    <mergeCell ref="I99:J99"/>
    <mergeCell ref="I93:J93"/>
    <mergeCell ref="B100:J100"/>
    <mergeCell ref="I153:J153"/>
    <mergeCell ref="I163:J163"/>
    <mergeCell ref="I158:J158"/>
    <mergeCell ref="I183:J183"/>
    <mergeCell ref="I98:J98"/>
    <mergeCell ref="I193:J193"/>
    <mergeCell ref="B83:J84"/>
    <mergeCell ref="I92:J92"/>
    <mergeCell ref="BB4:BH6"/>
    <mergeCell ref="B5:J6"/>
    <mergeCell ref="K1:Z6"/>
    <mergeCell ref="BI103:BZ108"/>
    <mergeCell ref="BI109:BZ114"/>
    <mergeCell ref="K7:Z12"/>
    <mergeCell ref="I379:J379"/>
    <mergeCell ref="I237:J237"/>
    <mergeCell ref="B353:J354"/>
    <mergeCell ref="I362:J362"/>
    <mergeCell ref="I363:J363"/>
    <mergeCell ref="I229:J229"/>
    <mergeCell ref="I207:J207"/>
    <mergeCell ref="I212:J212"/>
    <mergeCell ref="I213:J213"/>
    <mergeCell ref="I243:J243"/>
    <mergeCell ref="I248:J248"/>
    <mergeCell ref="I253:J253"/>
    <mergeCell ref="B247:H247"/>
    <mergeCell ref="I247:J247"/>
    <mergeCell ref="B248:H249"/>
    <mergeCell ref="B233:J234"/>
    <mergeCell ref="I242:J242"/>
    <mergeCell ref="I249:J249"/>
    <mergeCell ref="BB73:BF73"/>
    <mergeCell ref="BG74:BH75"/>
    <mergeCell ref="BB76:BH78"/>
    <mergeCell ref="BB152:BF153"/>
    <mergeCell ref="BG152:BH153"/>
    <mergeCell ref="I159:J159"/>
    <mergeCell ref="I169:J169"/>
    <mergeCell ref="I164:J164"/>
    <mergeCell ref="I170:J170"/>
    <mergeCell ref="BB7:BF7"/>
    <mergeCell ref="BG8:BH9"/>
  </mergeCells>
  <pageMargins left="0.7" right="0.7" top="0.75" bottom="0.75" header="0.3" footer="0.3"/>
  <pageSetup scale="86" orientation="portrait" horizontalDpi="300" verticalDpi="300" r:id="rId1"/>
  <rowBreaks count="8" manualBreakCount="8">
    <brk id="54" max="16383" man="1"/>
    <brk id="108" max="16383" man="1"/>
    <brk id="162" max="16383" man="1"/>
    <brk id="216" max="16383" man="1"/>
    <brk id="270" max="16383" man="1"/>
    <brk id="324" max="16383" man="1"/>
    <brk id="378" max="16383" man="1"/>
    <brk id="432" max="16383" man="1"/>
  </rowBreaks>
  <colBreaks count="4" manualBreakCount="4">
    <brk id="26" max="1048575" man="1"/>
    <brk id="53" max="1048575" man="1"/>
    <brk id="27" max="1048575" man="1"/>
    <brk id="7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sheetPr>
  <dimension ref="A1:AX96"/>
  <sheetViews>
    <sheetView view="pageBreakPreview" zoomScaleNormal="100" zoomScaleSheetLayoutView="100" workbookViewId="0">
      <selection activeCell="D1" sqref="D1:M1"/>
    </sheetView>
  </sheetViews>
  <sheetFormatPr defaultRowHeight="15" x14ac:dyDescent="0.25"/>
  <cols>
    <col min="1" max="50" width="3.7109375" style="210" customWidth="1"/>
    <col min="51" max="16384" width="9.140625" style="210"/>
  </cols>
  <sheetData>
    <row r="1" spans="1:50" ht="15" customHeight="1" x14ac:dyDescent="0.25">
      <c r="A1" s="1028" t="s">
        <v>75</v>
      </c>
      <c r="B1" s="725"/>
      <c r="C1" s="725"/>
      <c r="D1" s="1073"/>
      <c r="E1" s="1073"/>
      <c r="F1" s="1073"/>
      <c r="G1" s="1073"/>
      <c r="H1" s="1073"/>
      <c r="I1" s="1073"/>
      <c r="J1" s="1073"/>
      <c r="K1" s="1073"/>
      <c r="L1" s="1073"/>
      <c r="M1" s="1073"/>
      <c r="N1" s="725" t="s">
        <v>892</v>
      </c>
      <c r="O1" s="725"/>
      <c r="P1" s="725" t="str">
        <f>IF(D3="","",VLOOKUP(D3,CFRef!$A$2:$BV$192,4,FALSE))</f>
        <v/>
      </c>
      <c r="Q1" s="725"/>
      <c r="R1" s="725" t="s">
        <v>895</v>
      </c>
      <c r="S1" s="725"/>
      <c r="T1" s="725" t="str">
        <f>IF(D3="","",VLOOKUP(D3,CFRef!$A$2:$BV$192,7,FALSE))</f>
        <v/>
      </c>
      <c r="U1" s="725"/>
      <c r="V1" s="725" t="s">
        <v>898</v>
      </c>
      <c r="W1" s="725"/>
      <c r="X1" s="725" t="str">
        <f>IF(D3="","",VLOOKUP(D3,CFRef!$A$2:$BV$192,10,FALSE))</f>
        <v/>
      </c>
      <c r="Y1" s="726"/>
      <c r="Z1" s="1028" t="s">
        <v>75</v>
      </c>
      <c r="AA1" s="725"/>
      <c r="AB1" s="725"/>
      <c r="AC1" s="1073"/>
      <c r="AD1" s="1073"/>
      <c r="AE1" s="1073"/>
      <c r="AF1" s="1073"/>
      <c r="AG1" s="1073"/>
      <c r="AH1" s="1073"/>
      <c r="AI1" s="1073"/>
      <c r="AJ1" s="1073"/>
      <c r="AK1" s="1073"/>
      <c r="AL1" s="1073"/>
      <c r="AM1" s="725" t="s">
        <v>892</v>
      </c>
      <c r="AN1" s="725"/>
      <c r="AO1" s="725" t="str">
        <f>IF(AC3="","",VLOOKUP(AC3,CFRef!$A$2:$BV$192,4,FALSE))</f>
        <v/>
      </c>
      <c r="AP1" s="725"/>
      <c r="AQ1" s="725" t="s">
        <v>895</v>
      </c>
      <c r="AR1" s="725"/>
      <c r="AS1" s="725" t="str">
        <f>IF(AC3="","",VLOOKUP(AC3,CFRef!$A$2:$BV$192,7,FALSE))</f>
        <v/>
      </c>
      <c r="AT1" s="725"/>
      <c r="AU1" s="725" t="s">
        <v>898</v>
      </c>
      <c r="AV1" s="725"/>
      <c r="AW1" s="725" t="str">
        <f>IF(AC3="","",VLOOKUP(AC3,CFRef!$A$2:$BV$192,10,FALSE))</f>
        <v/>
      </c>
      <c r="AX1" s="726"/>
    </row>
    <row r="2" spans="1:50" ht="15" customHeight="1" x14ac:dyDescent="0.25">
      <c r="A2" s="1026" t="s">
        <v>0</v>
      </c>
      <c r="B2" s="727"/>
      <c r="C2" s="727"/>
      <c r="D2" s="1074"/>
      <c r="E2" s="1074"/>
      <c r="F2" s="1074"/>
      <c r="G2" s="1074"/>
      <c r="H2" s="1074"/>
      <c r="I2" s="1074"/>
      <c r="J2" s="1074"/>
      <c r="K2" s="1074"/>
      <c r="L2" s="1074"/>
      <c r="M2" s="1074"/>
      <c r="N2" s="727" t="s">
        <v>893</v>
      </c>
      <c r="O2" s="727" t="s">
        <v>893</v>
      </c>
      <c r="P2" s="727" t="str">
        <f>IF(D3="","",VLOOKUP(D3,CFRef!$A$2:$BV$192,5,FALSE))</f>
        <v/>
      </c>
      <c r="Q2" s="727"/>
      <c r="R2" s="727" t="s">
        <v>896</v>
      </c>
      <c r="S2" s="727"/>
      <c r="T2" s="727" t="str">
        <f>IF(D3="","",VLOOKUP(D3,CFRef!$A$2:$BV$192,8,FALSE))</f>
        <v/>
      </c>
      <c r="U2" s="727"/>
      <c r="V2" s="727" t="s">
        <v>899</v>
      </c>
      <c r="W2" s="727"/>
      <c r="X2" s="727" t="str">
        <f>IF(D3="","",VLOOKUP(D3,CFRef!$A$2:$BV$192,11,FALSE))</f>
        <v/>
      </c>
      <c r="Y2" s="728"/>
      <c r="Z2" s="1026" t="s">
        <v>0</v>
      </c>
      <c r="AA2" s="727"/>
      <c r="AB2" s="727"/>
      <c r="AC2" s="1074"/>
      <c r="AD2" s="1074"/>
      <c r="AE2" s="1074"/>
      <c r="AF2" s="1074"/>
      <c r="AG2" s="1074"/>
      <c r="AH2" s="1074"/>
      <c r="AI2" s="1074"/>
      <c r="AJ2" s="1074"/>
      <c r="AK2" s="1074"/>
      <c r="AL2" s="1074"/>
      <c r="AM2" s="727" t="s">
        <v>893</v>
      </c>
      <c r="AN2" s="727" t="s">
        <v>893</v>
      </c>
      <c r="AO2" s="727" t="str">
        <f>IF(AC3="","",VLOOKUP(AC3,CFRef!$A$2:$BV$192,5,FALSE))</f>
        <v/>
      </c>
      <c r="AP2" s="727"/>
      <c r="AQ2" s="727" t="s">
        <v>896</v>
      </c>
      <c r="AR2" s="727"/>
      <c r="AS2" s="727" t="str">
        <f>IF(AC3="","",VLOOKUP(AC3,CFRef!$A$2:$BV$192,8,FALSE))</f>
        <v/>
      </c>
      <c r="AT2" s="727"/>
      <c r="AU2" s="727" t="s">
        <v>899</v>
      </c>
      <c r="AV2" s="727"/>
      <c r="AW2" s="727" t="str">
        <f>IF(AC3="","",VLOOKUP(AC3,CFRef!$A$2:$BV$192,11,FALSE))</f>
        <v/>
      </c>
      <c r="AX2" s="728"/>
    </row>
    <row r="3" spans="1:50" ht="15" customHeight="1" x14ac:dyDescent="0.25">
      <c r="A3" s="1026" t="s">
        <v>77</v>
      </c>
      <c r="B3" s="727"/>
      <c r="C3" s="727"/>
      <c r="D3" s="1074"/>
      <c r="E3" s="1074"/>
      <c r="F3" s="1074"/>
      <c r="G3" s="1074"/>
      <c r="H3" s="1074"/>
      <c r="I3" s="1074"/>
      <c r="J3" s="1074"/>
      <c r="K3" s="1074"/>
      <c r="L3" s="1074"/>
      <c r="M3" s="1074"/>
      <c r="N3" s="727" t="s">
        <v>894</v>
      </c>
      <c r="O3" s="727"/>
      <c r="P3" s="727" t="str">
        <f>IF(D3="","",VLOOKUP(D3,CFRef!$A$2:$BV$192,6,FALSE))</f>
        <v/>
      </c>
      <c r="Q3" s="727"/>
      <c r="R3" s="727" t="s">
        <v>897</v>
      </c>
      <c r="S3" s="727"/>
      <c r="T3" s="727" t="str">
        <f>IF(D3="","",VLOOKUP(D3,CFRef!$A$2:$BV$192,9,FALSE))</f>
        <v/>
      </c>
      <c r="U3" s="727"/>
      <c r="V3" s="727" t="s">
        <v>900</v>
      </c>
      <c r="W3" s="727"/>
      <c r="X3" s="727" t="str">
        <f>IF(D3="","",VLOOKUP(D3,CFRef!$A$2:$BV$192,12,FALSE))</f>
        <v/>
      </c>
      <c r="Y3" s="728"/>
      <c r="Z3" s="1026" t="s">
        <v>77</v>
      </c>
      <c r="AA3" s="727"/>
      <c r="AB3" s="727"/>
      <c r="AC3" s="1074" t="s">
        <v>3601</v>
      </c>
      <c r="AD3" s="1074"/>
      <c r="AE3" s="1074"/>
      <c r="AF3" s="1074"/>
      <c r="AG3" s="1074"/>
      <c r="AH3" s="1074"/>
      <c r="AI3" s="1074"/>
      <c r="AJ3" s="1074"/>
      <c r="AK3" s="1074"/>
      <c r="AL3" s="1074"/>
      <c r="AM3" s="727" t="s">
        <v>894</v>
      </c>
      <c r="AN3" s="727"/>
      <c r="AO3" s="727" t="str">
        <f>IF(AC3="","",VLOOKUP(AC3,CFRef!$A$2:$BV$192,6,FALSE))</f>
        <v/>
      </c>
      <c r="AP3" s="727"/>
      <c r="AQ3" s="727" t="s">
        <v>897</v>
      </c>
      <c r="AR3" s="727"/>
      <c r="AS3" s="727" t="str">
        <f>IF(AC3="","",VLOOKUP(AC3,CFRef!$A$2:$BV$192,9,FALSE))</f>
        <v/>
      </c>
      <c r="AT3" s="727"/>
      <c r="AU3" s="727" t="s">
        <v>900</v>
      </c>
      <c r="AV3" s="727"/>
      <c r="AW3" s="727" t="str">
        <f>IF(AC3="","",VLOOKUP(AC3,CFRef!$A$2:$BV$192,12,FALSE))</f>
        <v/>
      </c>
      <c r="AX3" s="728"/>
    </row>
    <row r="4" spans="1:50" ht="15" customHeight="1" x14ac:dyDescent="0.25">
      <c r="A4" s="1026" t="s">
        <v>31</v>
      </c>
      <c r="B4" s="727"/>
      <c r="C4" s="727"/>
      <c r="D4" s="727"/>
      <c r="E4" s="727"/>
      <c r="F4" s="727"/>
      <c r="G4" s="727" t="s">
        <v>903</v>
      </c>
      <c r="H4" s="727"/>
      <c r="I4" s="727"/>
      <c r="J4" s="727"/>
      <c r="K4" s="727"/>
      <c r="L4" s="727"/>
      <c r="M4" s="727" t="s">
        <v>69</v>
      </c>
      <c r="N4" s="727"/>
      <c r="O4" s="727"/>
      <c r="P4" s="727"/>
      <c r="Q4" s="727"/>
      <c r="R4" s="727"/>
      <c r="S4" s="727"/>
      <c r="T4" s="727"/>
      <c r="U4" s="727"/>
      <c r="V4" s="727"/>
      <c r="W4" s="727"/>
      <c r="X4" s="727"/>
      <c r="Y4" s="728"/>
      <c r="Z4" s="1026" t="s">
        <v>31</v>
      </c>
      <c r="AA4" s="727"/>
      <c r="AB4" s="727"/>
      <c r="AC4" s="727"/>
      <c r="AD4" s="727"/>
      <c r="AE4" s="727"/>
      <c r="AF4" s="727" t="s">
        <v>903</v>
      </c>
      <c r="AG4" s="727"/>
      <c r="AH4" s="727"/>
      <c r="AI4" s="727"/>
      <c r="AJ4" s="727"/>
      <c r="AK4" s="727"/>
      <c r="AL4" s="727" t="s">
        <v>69</v>
      </c>
      <c r="AM4" s="727"/>
      <c r="AN4" s="727"/>
      <c r="AO4" s="727"/>
      <c r="AP4" s="727"/>
      <c r="AQ4" s="727"/>
      <c r="AR4" s="727"/>
      <c r="AS4" s="727"/>
      <c r="AT4" s="727"/>
      <c r="AU4" s="727"/>
      <c r="AV4" s="727"/>
      <c r="AW4" s="727"/>
      <c r="AX4" s="728"/>
    </row>
    <row r="5" spans="1:50" ht="15" customHeight="1" x14ac:dyDescent="0.25">
      <c r="A5" s="1026" t="str">
        <f>IF(D3="","",VLOOKUP(D3,CFRef!$A$2:$BV$192,21,FALSE))</f>
        <v/>
      </c>
      <c r="B5" s="727"/>
      <c r="C5" s="727"/>
      <c r="D5" s="727"/>
      <c r="E5" s="727" t="str">
        <f>IF(D3="","",VLOOKUP(D3,CFRef!$A$2:$BV$192,22,FALSE))</f>
        <v/>
      </c>
      <c r="F5" s="727"/>
      <c r="G5" s="727" t="s">
        <v>88</v>
      </c>
      <c r="H5" s="727"/>
      <c r="I5" s="727"/>
      <c r="J5" s="727"/>
      <c r="K5" s="727" t="str">
        <f>IF(D3="","",VLOOKUP(D3,CFRef!$A$2:$BV$192,18,FALSE))</f>
        <v/>
      </c>
      <c r="L5" s="727"/>
      <c r="M5" s="727" t="str">
        <f>IF(D3="","",VLOOKUP(D3,CFRef!$A$2:$BV$192,30,FALSE))</f>
        <v/>
      </c>
      <c r="N5" s="727"/>
      <c r="O5" s="727"/>
      <c r="P5" s="727"/>
      <c r="Q5" s="727"/>
      <c r="R5" s="727"/>
      <c r="S5" s="727"/>
      <c r="T5" s="727"/>
      <c r="U5" s="727"/>
      <c r="V5" s="727"/>
      <c r="W5" s="727"/>
      <c r="X5" s="727"/>
      <c r="Y5" s="728"/>
      <c r="Z5" s="1026" t="str">
        <f>IF(AC3="","",VLOOKUP(AC3,CFRef!$A$2:$BV$192,21,FALSE))</f>
        <v/>
      </c>
      <c r="AA5" s="727"/>
      <c r="AB5" s="727"/>
      <c r="AC5" s="727"/>
      <c r="AD5" s="727" t="str">
        <f>IF(AC3="","",VLOOKUP(AC3,CFRef!$A$2:$BV$192,22,FALSE))</f>
        <v/>
      </c>
      <c r="AE5" s="727"/>
      <c r="AF5" s="727" t="s">
        <v>88</v>
      </c>
      <c r="AG5" s="727"/>
      <c r="AH5" s="727"/>
      <c r="AI5" s="727"/>
      <c r="AJ5" s="727" t="str">
        <f>IF(AC3="","",VLOOKUP(AC3,CFRef!$A$2:$BV$192,18,FALSE))</f>
        <v/>
      </c>
      <c r="AK5" s="727"/>
      <c r="AL5" s="727" t="str">
        <f>IF(AC3="","",VLOOKUP(AC3,CFRef!$A$2:$BV$192,30,FALSE))</f>
        <v/>
      </c>
      <c r="AM5" s="727"/>
      <c r="AN5" s="727"/>
      <c r="AO5" s="727"/>
      <c r="AP5" s="727"/>
      <c r="AQ5" s="727"/>
      <c r="AR5" s="727"/>
      <c r="AS5" s="727"/>
      <c r="AT5" s="727"/>
      <c r="AU5" s="727"/>
      <c r="AV5" s="727"/>
      <c r="AW5" s="727"/>
      <c r="AX5" s="728"/>
    </row>
    <row r="6" spans="1:50" ht="15" customHeight="1" x14ac:dyDescent="0.25">
      <c r="A6" s="1026" t="str">
        <f>IF(D3="","",VLOOKUP(D3,CFRef!$A$2:$BV$192,23,FALSE))</f>
        <v/>
      </c>
      <c r="B6" s="727"/>
      <c r="C6" s="727"/>
      <c r="D6" s="727"/>
      <c r="E6" s="727" t="str">
        <f>IF(D3="","",VLOOKUP(D3,CFRef!$A$2:$BV$192,24,FALSE))</f>
        <v/>
      </c>
      <c r="F6" s="727"/>
      <c r="G6" s="727" t="s">
        <v>89</v>
      </c>
      <c r="H6" s="727"/>
      <c r="I6" s="727"/>
      <c r="J6" s="727"/>
      <c r="K6" s="727" t="str">
        <f>IF(D3="","",VLOOKUP(D3,CFRef!$A$2:$BV$192,19,FALSE))</f>
        <v/>
      </c>
      <c r="L6" s="727"/>
      <c r="M6" s="727"/>
      <c r="N6" s="727"/>
      <c r="O6" s="727"/>
      <c r="P6" s="727"/>
      <c r="Q6" s="727"/>
      <c r="R6" s="727"/>
      <c r="S6" s="727"/>
      <c r="T6" s="727"/>
      <c r="U6" s="727"/>
      <c r="V6" s="727"/>
      <c r="W6" s="727"/>
      <c r="X6" s="727"/>
      <c r="Y6" s="728"/>
      <c r="Z6" s="1026" t="str">
        <f>IF(AC3="","",VLOOKUP(AC3,CFRef!$A$2:$BV$192,23,FALSE))</f>
        <v/>
      </c>
      <c r="AA6" s="727"/>
      <c r="AB6" s="727"/>
      <c r="AC6" s="727"/>
      <c r="AD6" s="727" t="str">
        <f>IF(AC3="","",VLOOKUP(AC3,CFRef!$A$2:$BV$192,24,FALSE))</f>
        <v/>
      </c>
      <c r="AE6" s="727"/>
      <c r="AF6" s="727" t="s">
        <v>89</v>
      </c>
      <c r="AG6" s="727"/>
      <c r="AH6" s="727"/>
      <c r="AI6" s="727"/>
      <c r="AJ6" s="727" t="str">
        <f>IF(AC3="","",VLOOKUP(AC3,CFRef!$A$2:$BV$192,19,FALSE))</f>
        <v/>
      </c>
      <c r="AK6" s="727"/>
      <c r="AL6" s="727"/>
      <c r="AM6" s="727"/>
      <c r="AN6" s="727"/>
      <c r="AO6" s="727"/>
      <c r="AP6" s="727"/>
      <c r="AQ6" s="727"/>
      <c r="AR6" s="727"/>
      <c r="AS6" s="727"/>
      <c r="AT6" s="727"/>
      <c r="AU6" s="727"/>
      <c r="AV6" s="727"/>
      <c r="AW6" s="727"/>
      <c r="AX6" s="728"/>
    </row>
    <row r="7" spans="1:50" ht="15" customHeight="1" x14ac:dyDescent="0.25">
      <c r="A7" s="1026" t="str">
        <f>IF(D3="","",VLOOKUP(D3,CFRef!$A$2:$BV$192,25,FALSE))</f>
        <v/>
      </c>
      <c r="B7" s="727"/>
      <c r="C7" s="727"/>
      <c r="D7" s="727"/>
      <c r="E7" s="727" t="str">
        <f>IF(D3="","",VLOOKUP(D3,CFRef!$A$2:$BV$192,26,FALSE))</f>
        <v/>
      </c>
      <c r="F7" s="727"/>
      <c r="G7" s="727" t="s">
        <v>90</v>
      </c>
      <c r="H7" s="727"/>
      <c r="I7" s="727"/>
      <c r="J7" s="727"/>
      <c r="K7" s="727" t="str">
        <f>IF(D3="","",VLOOKUP(D3,CFRef!$A$2:$BV$192,20,FALSE))</f>
        <v/>
      </c>
      <c r="L7" s="727"/>
      <c r="M7" s="727"/>
      <c r="N7" s="727"/>
      <c r="O7" s="727"/>
      <c r="P7" s="727"/>
      <c r="Q7" s="727"/>
      <c r="R7" s="727"/>
      <c r="S7" s="727"/>
      <c r="T7" s="727"/>
      <c r="U7" s="727"/>
      <c r="V7" s="727"/>
      <c r="W7" s="727"/>
      <c r="X7" s="727"/>
      <c r="Y7" s="728"/>
      <c r="Z7" s="1026" t="str">
        <f>IF(AC3="","",VLOOKUP(AC3,CFRef!$A$2:$BV$192,25,FALSE))</f>
        <v/>
      </c>
      <c r="AA7" s="727"/>
      <c r="AB7" s="727"/>
      <c r="AC7" s="727"/>
      <c r="AD7" s="727" t="str">
        <f>IF(AC3="","",VLOOKUP(AC3,CFRef!$A$2:$BV$192,26,FALSE))</f>
        <v/>
      </c>
      <c r="AE7" s="727"/>
      <c r="AF7" s="727" t="s">
        <v>90</v>
      </c>
      <c r="AG7" s="727"/>
      <c r="AH7" s="727"/>
      <c r="AI7" s="727"/>
      <c r="AJ7" s="727" t="str">
        <f>IF(AC3="","",VLOOKUP(AC3,CFRef!$A$2:$BV$192,20,FALSE))</f>
        <v/>
      </c>
      <c r="AK7" s="727"/>
      <c r="AL7" s="727"/>
      <c r="AM7" s="727"/>
      <c r="AN7" s="727"/>
      <c r="AO7" s="727"/>
      <c r="AP7" s="727"/>
      <c r="AQ7" s="727"/>
      <c r="AR7" s="727"/>
      <c r="AS7" s="727"/>
      <c r="AT7" s="727"/>
      <c r="AU7" s="727"/>
      <c r="AV7" s="727"/>
      <c r="AW7" s="727"/>
      <c r="AX7" s="728"/>
    </row>
    <row r="8" spans="1:50" ht="15" customHeight="1" x14ac:dyDescent="0.25">
      <c r="A8" s="1026" t="str">
        <f>IF(D3="","",VLOOKUP(D3,CFRef!$A$2:$BV$192,27,FALSE))</f>
        <v/>
      </c>
      <c r="B8" s="727"/>
      <c r="C8" s="727"/>
      <c r="D8" s="727"/>
      <c r="E8" s="727" t="str">
        <f>IF(D3="","",VLOOKUP(D3,CFRef!$A$2:$BV$192,28,FALSE))</f>
        <v/>
      </c>
      <c r="F8" s="727"/>
      <c r="G8" s="727" t="s">
        <v>93</v>
      </c>
      <c r="H8" s="727"/>
      <c r="I8" s="727"/>
      <c r="J8" s="727"/>
      <c r="K8" s="727" t="str">
        <f>IF(D3="","",VLOOKUP(D3,CFRef!$A$2:$BV$192,15,FALSE))</f>
        <v/>
      </c>
      <c r="L8" s="727"/>
      <c r="M8" s="727"/>
      <c r="N8" s="727"/>
      <c r="O8" s="727"/>
      <c r="P8" s="727"/>
      <c r="Q8" s="727"/>
      <c r="R8" s="727"/>
      <c r="S8" s="727"/>
      <c r="T8" s="727"/>
      <c r="U8" s="727"/>
      <c r="V8" s="727"/>
      <c r="W8" s="727"/>
      <c r="X8" s="727"/>
      <c r="Y8" s="728"/>
      <c r="Z8" s="1026" t="str">
        <f>IF(AC3="","",VLOOKUP(AC3,CFRef!$A$2:$BV$192,27,FALSE))</f>
        <v/>
      </c>
      <c r="AA8" s="727"/>
      <c r="AB8" s="727"/>
      <c r="AC8" s="727"/>
      <c r="AD8" s="727" t="str">
        <f>IF(AC3="","",VLOOKUP(AC3,CFRef!$A$2:$BV$192,28,FALSE))</f>
        <v/>
      </c>
      <c r="AE8" s="727"/>
      <c r="AF8" s="727" t="s">
        <v>93</v>
      </c>
      <c r="AG8" s="727"/>
      <c r="AH8" s="727"/>
      <c r="AI8" s="727"/>
      <c r="AJ8" s="727" t="str">
        <f>IF(AC3="","",VLOOKUP(AC3,CFRef!$A$2:$BV$192,15,FALSE))</f>
        <v/>
      </c>
      <c r="AK8" s="727"/>
      <c r="AL8" s="727"/>
      <c r="AM8" s="727"/>
      <c r="AN8" s="727"/>
      <c r="AO8" s="727"/>
      <c r="AP8" s="727"/>
      <c r="AQ8" s="727"/>
      <c r="AR8" s="727"/>
      <c r="AS8" s="727"/>
      <c r="AT8" s="727"/>
      <c r="AU8" s="727"/>
      <c r="AV8" s="727"/>
      <c r="AW8" s="727"/>
      <c r="AX8" s="728"/>
    </row>
    <row r="9" spans="1:50" ht="15" customHeight="1" x14ac:dyDescent="0.25">
      <c r="A9" s="1026" t="s">
        <v>901</v>
      </c>
      <c r="B9" s="727"/>
      <c r="C9" s="727"/>
      <c r="D9" s="727"/>
      <c r="E9" s="727" t="str">
        <f>IF(D3="","",VLOOKUP(D3,CFRef!$A$2:$BV$192,16,FALSE))</f>
        <v/>
      </c>
      <c r="F9" s="727"/>
      <c r="G9" s="727" t="s">
        <v>95</v>
      </c>
      <c r="H9" s="727"/>
      <c r="I9" s="727"/>
      <c r="J9" s="727"/>
      <c r="K9" s="727" t="str">
        <f>IF(D3="","",VLOOKUP(D3,CFRef!$A$2:$BV$192,17,FALSE))</f>
        <v/>
      </c>
      <c r="L9" s="727"/>
      <c r="M9" s="727"/>
      <c r="N9" s="727"/>
      <c r="O9" s="727"/>
      <c r="P9" s="727"/>
      <c r="Q9" s="727"/>
      <c r="R9" s="727"/>
      <c r="S9" s="727"/>
      <c r="T9" s="727"/>
      <c r="U9" s="727"/>
      <c r="V9" s="727"/>
      <c r="W9" s="727"/>
      <c r="X9" s="727"/>
      <c r="Y9" s="728"/>
      <c r="Z9" s="1026" t="s">
        <v>901</v>
      </c>
      <c r="AA9" s="727"/>
      <c r="AB9" s="727"/>
      <c r="AC9" s="727"/>
      <c r="AD9" s="727" t="str">
        <f>IF(AC3="","",VLOOKUP(AC3,CFRef!$A$2:$BV$192,16,FALSE))</f>
        <v/>
      </c>
      <c r="AE9" s="727"/>
      <c r="AF9" s="727" t="s">
        <v>95</v>
      </c>
      <c r="AG9" s="727"/>
      <c r="AH9" s="727"/>
      <c r="AI9" s="727"/>
      <c r="AJ9" s="727" t="str">
        <f>IF(AC3="","",VLOOKUP(AC3,CFRef!$A$2:$BV$192,17,FALSE))</f>
        <v/>
      </c>
      <c r="AK9" s="727"/>
      <c r="AL9" s="727"/>
      <c r="AM9" s="727"/>
      <c r="AN9" s="727"/>
      <c r="AO9" s="727"/>
      <c r="AP9" s="727"/>
      <c r="AQ9" s="727"/>
      <c r="AR9" s="727"/>
      <c r="AS9" s="727"/>
      <c r="AT9" s="727"/>
      <c r="AU9" s="727"/>
      <c r="AV9" s="727"/>
      <c r="AW9" s="727"/>
      <c r="AX9" s="728"/>
    </row>
    <row r="10" spans="1:50" ht="15" customHeight="1" x14ac:dyDescent="0.25">
      <c r="A10" s="1026" t="s">
        <v>60</v>
      </c>
      <c r="B10" s="727"/>
      <c r="C10" s="727"/>
      <c r="D10" s="727"/>
      <c r="E10" s="727" t="str">
        <f>IF(D3="","",VLOOKUP(D3,CFRef!$A$2:$BV$192,13,FALSE))</f>
        <v/>
      </c>
      <c r="F10" s="727"/>
      <c r="G10" s="727" t="s">
        <v>902</v>
      </c>
      <c r="H10" s="727"/>
      <c r="I10" s="727"/>
      <c r="J10" s="727"/>
      <c r="K10" s="727" t="str">
        <f>IF(D3="","",VLOOKUP(D3,CFRef!$A$2:$BV$192,14,FALSE))</f>
        <v/>
      </c>
      <c r="L10" s="727"/>
      <c r="M10" s="727" t="s">
        <v>751</v>
      </c>
      <c r="N10" s="727"/>
      <c r="O10" s="727"/>
      <c r="P10" s="727"/>
      <c r="Q10" s="1075" t="str">
        <f>IF(D3="","",VLOOKUP(D3,CFRef!$A$2:$BV$192,29,FALSE))</f>
        <v/>
      </c>
      <c r="R10" s="727"/>
      <c r="S10" s="727"/>
      <c r="T10" s="727"/>
      <c r="U10" s="727"/>
      <c r="V10" s="727"/>
      <c r="W10" s="727"/>
      <c r="X10" s="727"/>
      <c r="Y10" s="728"/>
      <c r="Z10" s="1026" t="s">
        <v>60</v>
      </c>
      <c r="AA10" s="727"/>
      <c r="AB10" s="727"/>
      <c r="AC10" s="727"/>
      <c r="AD10" s="727" t="str">
        <f>IF(AC3="","",VLOOKUP(AC3,CFRef!$A$2:$BV$192,13,FALSE))</f>
        <v/>
      </c>
      <c r="AE10" s="727"/>
      <c r="AF10" s="727" t="s">
        <v>902</v>
      </c>
      <c r="AG10" s="727"/>
      <c r="AH10" s="727"/>
      <c r="AI10" s="727"/>
      <c r="AJ10" s="727" t="str">
        <f>IF(AC3="","",VLOOKUP(AC3,CFRef!$A$2:$BV$192,14,FALSE))</f>
        <v/>
      </c>
      <c r="AK10" s="727"/>
      <c r="AL10" s="727" t="s">
        <v>751</v>
      </c>
      <c r="AM10" s="727"/>
      <c r="AN10" s="727"/>
      <c r="AO10" s="727"/>
      <c r="AP10" s="1075" t="str">
        <f>IF(AC3="","",VLOOKUP(AC3,CFRef!$A$2:$BV$192,29,FALSE))</f>
        <v/>
      </c>
      <c r="AQ10" s="727"/>
      <c r="AR10" s="727"/>
      <c r="AS10" s="727"/>
      <c r="AT10" s="727"/>
      <c r="AU10" s="727"/>
      <c r="AV10" s="727"/>
      <c r="AW10" s="727"/>
      <c r="AX10" s="728"/>
    </row>
    <row r="11" spans="1:50" ht="15" customHeight="1" x14ac:dyDescent="0.25">
      <c r="A11" s="1026" t="s">
        <v>904</v>
      </c>
      <c r="B11" s="727"/>
      <c r="C11" s="727"/>
      <c r="D11" s="727"/>
      <c r="E11" s="727"/>
      <c r="F11" s="727"/>
      <c r="G11" s="727"/>
      <c r="H11" s="727"/>
      <c r="I11" s="727"/>
      <c r="J11" s="727"/>
      <c r="K11" s="727"/>
      <c r="L11" s="727"/>
      <c r="M11" s="727" t="s">
        <v>117</v>
      </c>
      <c r="N11" s="727"/>
      <c r="O11" s="727"/>
      <c r="P11" s="727" t="s">
        <v>118</v>
      </c>
      <c r="Q11" s="727"/>
      <c r="R11" s="727"/>
      <c r="S11" s="727" t="s">
        <v>905</v>
      </c>
      <c r="T11" s="727"/>
      <c r="U11" s="727"/>
      <c r="V11" s="727" t="s">
        <v>124</v>
      </c>
      <c r="W11" s="727"/>
      <c r="X11" s="727" t="s">
        <v>121</v>
      </c>
      <c r="Y11" s="728"/>
      <c r="Z11" s="1026" t="s">
        <v>904</v>
      </c>
      <c r="AA11" s="727"/>
      <c r="AB11" s="727"/>
      <c r="AC11" s="727"/>
      <c r="AD11" s="727"/>
      <c r="AE11" s="727"/>
      <c r="AF11" s="727"/>
      <c r="AG11" s="727"/>
      <c r="AH11" s="727"/>
      <c r="AI11" s="727"/>
      <c r="AJ11" s="727"/>
      <c r="AK11" s="727"/>
      <c r="AL11" s="727" t="s">
        <v>117</v>
      </c>
      <c r="AM11" s="727"/>
      <c r="AN11" s="727"/>
      <c r="AO11" s="727" t="s">
        <v>118</v>
      </c>
      <c r="AP11" s="727"/>
      <c r="AQ11" s="727"/>
      <c r="AR11" s="727" t="s">
        <v>905</v>
      </c>
      <c r="AS11" s="727"/>
      <c r="AT11" s="727"/>
      <c r="AU11" s="727" t="s">
        <v>124</v>
      </c>
      <c r="AV11" s="727"/>
      <c r="AW11" s="727" t="s">
        <v>121</v>
      </c>
      <c r="AX11" s="728"/>
    </row>
    <row r="12" spans="1:50" x14ac:dyDescent="0.25">
      <c r="A12" s="1026" t="str">
        <f>IF(D3="","",VLOOKUP(D3,CFRef!$A$2:$BV$192,33,FALSE))</f>
        <v/>
      </c>
      <c r="B12" s="727"/>
      <c r="C12" s="727"/>
      <c r="D12" s="727"/>
      <c r="E12" s="727"/>
      <c r="F12" s="727"/>
      <c r="G12" s="727"/>
      <c r="H12" s="727"/>
      <c r="I12" s="727"/>
      <c r="J12" s="727"/>
      <c r="K12" s="727"/>
      <c r="L12" s="727"/>
      <c r="M12" s="727" t="str">
        <f>IF(D3="","",VLOOKUP(D3,CFRef!$A$2:$BV$192,34,FALSE))</f>
        <v/>
      </c>
      <c r="N12" s="727"/>
      <c r="O12" s="727"/>
      <c r="P12" s="727" t="str">
        <f>IF(D3="","",VLOOKUP(D3,CFRef!$A$2:$BV$192,35,FALSE))</f>
        <v/>
      </c>
      <c r="Q12" s="727"/>
      <c r="R12" s="727"/>
      <c r="S12" s="1075" t="str">
        <f>IF(D3="","",VLOOKUP(D3,CFRef!$A$2:$BV$192,36,FALSE))</f>
        <v/>
      </c>
      <c r="T12" s="727"/>
      <c r="U12" s="727"/>
      <c r="V12" s="727" t="str">
        <f>IF(D3="","",VLOOKUP(D3,CFRef!$A$2:$BV$192,37,FALSE))</f>
        <v/>
      </c>
      <c r="W12" s="727"/>
      <c r="X12" s="727" t="str">
        <f>IF(D3="","",VLOOKUP(D3,CFRef!$A$2:$BV$192,38,FALSE))</f>
        <v/>
      </c>
      <c r="Y12" s="728"/>
      <c r="Z12" s="1026" t="str">
        <f>IF(AC3="","",VLOOKUP(AC3,CFRef!$A$2:$BV$192,33,FALSE))</f>
        <v/>
      </c>
      <c r="AA12" s="727"/>
      <c r="AB12" s="727"/>
      <c r="AC12" s="727"/>
      <c r="AD12" s="727"/>
      <c r="AE12" s="727"/>
      <c r="AF12" s="727"/>
      <c r="AG12" s="727"/>
      <c r="AH12" s="727"/>
      <c r="AI12" s="727"/>
      <c r="AJ12" s="727"/>
      <c r="AK12" s="727"/>
      <c r="AL12" s="727" t="str">
        <f>IF(AC3="","",VLOOKUP(AC3,CFRef!$A$2:$BV$192,34,FALSE))</f>
        <v/>
      </c>
      <c r="AM12" s="727"/>
      <c r="AN12" s="727"/>
      <c r="AO12" s="727" t="str">
        <f>IF(AC3="","",VLOOKUP(AC3,CFRef!$A$2:$BV$192,35,FALSE))</f>
        <v/>
      </c>
      <c r="AP12" s="727"/>
      <c r="AQ12" s="727"/>
      <c r="AR12" s="1075" t="str">
        <f>IF(AC3="","",VLOOKUP(AC3,CFRef!$A$2:$BV$192,36,FALSE))</f>
        <v/>
      </c>
      <c r="AS12" s="727"/>
      <c r="AT12" s="727"/>
      <c r="AU12" s="727" t="str">
        <f>IF(AC3="","",VLOOKUP(AC3,CFRef!$A$2:$BV$192,37,FALSE))</f>
        <v/>
      </c>
      <c r="AV12" s="727"/>
      <c r="AW12" s="727" t="str">
        <f>IF(AC3="","",VLOOKUP(AC3,CFRef!$A$2:$BV$192,38,FALSE))</f>
        <v/>
      </c>
      <c r="AX12" s="728"/>
    </row>
    <row r="13" spans="1:50" x14ac:dyDescent="0.25">
      <c r="A13" s="1026" t="str">
        <f>IF(D3="","",VLOOKUP(D3,CFRef!$A$2:$BV$192,39,FALSE))</f>
        <v/>
      </c>
      <c r="B13" s="727"/>
      <c r="C13" s="727"/>
      <c r="D13" s="727"/>
      <c r="E13" s="727"/>
      <c r="F13" s="727"/>
      <c r="G13" s="727"/>
      <c r="H13" s="727"/>
      <c r="I13" s="727"/>
      <c r="J13" s="727"/>
      <c r="K13" s="727"/>
      <c r="L13" s="727"/>
      <c r="M13" s="727" t="str">
        <f>IF(D3="","",VLOOKUP(D3,CFRef!$A$2:$BV$192,40,FALSE))</f>
        <v/>
      </c>
      <c r="N13" s="727"/>
      <c r="O13" s="727"/>
      <c r="P13" s="727" t="str">
        <f>IF(D3="","",VLOOKUP(D3,CFRef!$A$2:$BV$192,41,FALSE))</f>
        <v/>
      </c>
      <c r="Q13" s="727"/>
      <c r="R13" s="727"/>
      <c r="S13" s="1075" t="str">
        <f>IF(D3="","",VLOOKUP(D3,CFRef!$A$2:$BV$192,42,FALSE))</f>
        <v/>
      </c>
      <c r="T13" s="727"/>
      <c r="U13" s="727"/>
      <c r="V13" s="727" t="str">
        <f>IF(D3="","",VLOOKUP(D3,CFRef!$A$2:$BV$192,43,FALSE))</f>
        <v/>
      </c>
      <c r="W13" s="727"/>
      <c r="X13" s="727" t="str">
        <f>IF(D3="","",VLOOKUP(D3,CFRef!$A$2:$BV$192,44,FALSE))</f>
        <v/>
      </c>
      <c r="Y13" s="728"/>
      <c r="Z13" s="1026" t="str">
        <f>IF(AC3="","",VLOOKUP(AC3,CFRef!$A$2:$BV$192,39,FALSE))</f>
        <v/>
      </c>
      <c r="AA13" s="727"/>
      <c r="AB13" s="727"/>
      <c r="AC13" s="727"/>
      <c r="AD13" s="727"/>
      <c r="AE13" s="727"/>
      <c r="AF13" s="727"/>
      <c r="AG13" s="727"/>
      <c r="AH13" s="727"/>
      <c r="AI13" s="727"/>
      <c r="AJ13" s="727"/>
      <c r="AK13" s="727"/>
      <c r="AL13" s="727" t="str">
        <f>IF(AC3="","",VLOOKUP(AC3,CFRef!$A$2:$BV$192,40,FALSE))</f>
        <v/>
      </c>
      <c r="AM13" s="727"/>
      <c r="AN13" s="727"/>
      <c r="AO13" s="727" t="str">
        <f>IF(AC3="","",VLOOKUP(AC3,CFRef!$A$2:$BV$192,41,FALSE))</f>
        <v/>
      </c>
      <c r="AP13" s="727"/>
      <c r="AQ13" s="727"/>
      <c r="AR13" s="1075" t="str">
        <f>IF(AC3="","",VLOOKUP(AC3,CFRef!$A$2:$BV$192,42,FALSE))</f>
        <v/>
      </c>
      <c r="AS13" s="727"/>
      <c r="AT13" s="727"/>
      <c r="AU13" s="727" t="str">
        <f>IF(AC3="","",VLOOKUP(AC3,CFRef!$A$2:$BV$192,43,FALSE))</f>
        <v/>
      </c>
      <c r="AV13" s="727"/>
      <c r="AW13" s="727" t="str">
        <f>IF(AC3="","",VLOOKUP(AC3,CFRef!$A$2:$BV$192,44,FALSE))</f>
        <v/>
      </c>
      <c r="AX13" s="728"/>
    </row>
    <row r="14" spans="1:50" x14ac:dyDescent="0.25">
      <c r="A14" s="1026" t="str">
        <f>IF(D3="","",VLOOKUP(D3,CFRef!$A$2:$BV$192,45,FALSE))</f>
        <v/>
      </c>
      <c r="B14" s="727"/>
      <c r="C14" s="727"/>
      <c r="D14" s="727"/>
      <c r="E14" s="727"/>
      <c r="F14" s="727"/>
      <c r="G14" s="727"/>
      <c r="H14" s="727"/>
      <c r="I14" s="727"/>
      <c r="J14" s="727"/>
      <c r="K14" s="727"/>
      <c r="L14" s="727"/>
      <c r="M14" s="727" t="str">
        <f>IF(D3="","",VLOOKUP(D3,CFRef!$A$2:$BV$192,46,FALSE))</f>
        <v/>
      </c>
      <c r="N14" s="727"/>
      <c r="O14" s="727"/>
      <c r="P14" s="727" t="str">
        <f>IF(D3="","",VLOOKUP(D3,CFRef!$A$2:$BV$192,47,FALSE))</f>
        <v/>
      </c>
      <c r="Q14" s="727"/>
      <c r="R14" s="727"/>
      <c r="S14" s="1075" t="str">
        <f>IF(D3="","",VLOOKUP(D3,CFRef!$A$2:$BV$192,48,FALSE))</f>
        <v/>
      </c>
      <c r="T14" s="727"/>
      <c r="U14" s="727"/>
      <c r="V14" s="727" t="str">
        <f>IF(D3="","",VLOOKUP(D3,CFRef!$A$2:$BV$192,49,FALSE))</f>
        <v/>
      </c>
      <c r="W14" s="727"/>
      <c r="X14" s="727" t="str">
        <f>IF(D3="","",VLOOKUP(D3,CFRef!$A$2:$BV$192,50,FALSE))</f>
        <v/>
      </c>
      <c r="Y14" s="728"/>
      <c r="Z14" s="1026" t="str">
        <f>IF(AC3="","",VLOOKUP(AC3,CFRef!$A$2:$BV$192,45,FALSE))</f>
        <v/>
      </c>
      <c r="AA14" s="727"/>
      <c r="AB14" s="727"/>
      <c r="AC14" s="727"/>
      <c r="AD14" s="727"/>
      <c r="AE14" s="727"/>
      <c r="AF14" s="727"/>
      <c r="AG14" s="727"/>
      <c r="AH14" s="727"/>
      <c r="AI14" s="727"/>
      <c r="AJ14" s="727"/>
      <c r="AK14" s="727"/>
      <c r="AL14" s="727" t="str">
        <f>IF(AC3="","",VLOOKUP(AC3,CFRef!$A$2:$BV$192,46,FALSE))</f>
        <v/>
      </c>
      <c r="AM14" s="727"/>
      <c r="AN14" s="727"/>
      <c r="AO14" s="727" t="str">
        <f>IF(AC3="","",VLOOKUP(AC3,CFRef!$A$2:$BV$192,47,FALSE))</f>
        <v/>
      </c>
      <c r="AP14" s="727"/>
      <c r="AQ14" s="727"/>
      <c r="AR14" s="1075" t="str">
        <f>IF(AC3="","",VLOOKUP(AC3,CFRef!$A$2:$BV$192,48,FALSE))</f>
        <v/>
      </c>
      <c r="AS14" s="727"/>
      <c r="AT14" s="727"/>
      <c r="AU14" s="727" t="str">
        <f>IF(AC3="","",VLOOKUP(AC3,CFRef!$A$2:$BV$192,49,FALSE))</f>
        <v/>
      </c>
      <c r="AV14" s="727"/>
      <c r="AW14" s="727" t="str">
        <f>IF(AC3="","",VLOOKUP(AC3,CFRef!$A$2:$BV$192,50,FALSE))</f>
        <v/>
      </c>
      <c r="AX14" s="728"/>
    </row>
    <row r="15" spans="1:50" x14ac:dyDescent="0.25">
      <c r="A15" s="1026" t="str">
        <f>IF(D3="","",VLOOKUP(D3,CFRef!$A$2:$BV$192,51,FALSE))</f>
        <v/>
      </c>
      <c r="B15" s="727"/>
      <c r="C15" s="727"/>
      <c r="D15" s="727"/>
      <c r="E15" s="727"/>
      <c r="F15" s="727"/>
      <c r="G15" s="727"/>
      <c r="H15" s="727"/>
      <c r="I15" s="727"/>
      <c r="J15" s="727"/>
      <c r="K15" s="727"/>
      <c r="L15" s="727"/>
      <c r="M15" s="727" t="str">
        <f>IF(D3="","",VLOOKUP(D3,CFRef!$A$2:$BV$192,52,FALSE))</f>
        <v/>
      </c>
      <c r="N15" s="727"/>
      <c r="O15" s="727"/>
      <c r="P15" s="727" t="str">
        <f>IF(D3="","",VLOOKUP(D3,CFRef!$A$2:$BV$192,53,FALSE))</f>
        <v/>
      </c>
      <c r="Q15" s="727"/>
      <c r="R15" s="727"/>
      <c r="S15" s="1075" t="str">
        <f>IF(D3="","",VLOOKUP(D3,CFRef!$A$2:$BV$192,54,FALSE))</f>
        <v/>
      </c>
      <c r="T15" s="727"/>
      <c r="U15" s="727"/>
      <c r="V15" s="727" t="str">
        <f>IF(D3="","",VLOOKUP(D3,CFRef!$A$2:$BV$192,55,FALSE))</f>
        <v/>
      </c>
      <c r="W15" s="727"/>
      <c r="X15" s="727" t="str">
        <f>IF(D3="","",VLOOKUP(D3,CFRef!$A$2:$BV$192,56,FALSE))</f>
        <v/>
      </c>
      <c r="Y15" s="728"/>
      <c r="Z15" s="1026" t="str">
        <f>IF(AC3="","",VLOOKUP(AC3,CFRef!$A$2:$BV$192,51,FALSE))</f>
        <v/>
      </c>
      <c r="AA15" s="727"/>
      <c r="AB15" s="727"/>
      <c r="AC15" s="727"/>
      <c r="AD15" s="727"/>
      <c r="AE15" s="727"/>
      <c r="AF15" s="727"/>
      <c r="AG15" s="727"/>
      <c r="AH15" s="727"/>
      <c r="AI15" s="727"/>
      <c r="AJ15" s="727"/>
      <c r="AK15" s="727"/>
      <c r="AL15" s="727" t="str">
        <f>IF(AC3="","",VLOOKUP(AC3,CFRef!$A$2:$BV$192,52,FALSE))</f>
        <v/>
      </c>
      <c r="AM15" s="727"/>
      <c r="AN15" s="727"/>
      <c r="AO15" s="727" t="str">
        <f>IF(AC3="","",VLOOKUP(AC3,CFRef!$A$2:$BV$192,53,FALSE))</f>
        <v/>
      </c>
      <c r="AP15" s="727"/>
      <c r="AQ15" s="727"/>
      <c r="AR15" s="1075" t="str">
        <f>IF(AC3="","",VLOOKUP(AC3,CFRef!$A$2:$BV$192,54,FALSE))</f>
        <v/>
      </c>
      <c r="AS15" s="727"/>
      <c r="AT15" s="727"/>
      <c r="AU15" s="727" t="str">
        <f>IF(AC3="","",VLOOKUP(AC3,CFRef!$A$2:$BV$192,55,FALSE))</f>
        <v/>
      </c>
      <c r="AV15" s="727"/>
      <c r="AW15" s="727" t="str">
        <f>IF(AC3="","",VLOOKUP(AC3,CFRef!$A$2:$BV$192,56,FALSE))</f>
        <v/>
      </c>
      <c r="AX15" s="728"/>
    </row>
    <row r="16" spans="1:50" x14ac:dyDescent="0.25">
      <c r="A16" s="1026" t="str">
        <f>IF(D3="","",VLOOKUP(D3,CFRef!$A$2:$BV$192,57,FALSE))</f>
        <v/>
      </c>
      <c r="B16" s="727"/>
      <c r="C16" s="727"/>
      <c r="D16" s="727"/>
      <c r="E16" s="727"/>
      <c r="F16" s="727"/>
      <c r="G16" s="727"/>
      <c r="H16" s="727"/>
      <c r="I16" s="727"/>
      <c r="J16" s="727"/>
      <c r="K16" s="727"/>
      <c r="L16" s="727"/>
      <c r="M16" s="727" t="str">
        <f>IF(D3="","",VLOOKUP(D3,CFRef!$A$2:$BV$192,58,FALSE))</f>
        <v/>
      </c>
      <c r="N16" s="727"/>
      <c r="O16" s="727"/>
      <c r="P16" s="727" t="str">
        <f>IF(D3="","",VLOOKUP(D3,CFRef!$A$2:$BV$192,59,FALSE))</f>
        <v/>
      </c>
      <c r="Q16" s="727"/>
      <c r="R16" s="727"/>
      <c r="S16" s="1075" t="str">
        <f>IF(D3="","",VLOOKUP(D3,CFRef!$A$2:$BV$192,60,FALSE))</f>
        <v/>
      </c>
      <c r="T16" s="727"/>
      <c r="U16" s="727"/>
      <c r="V16" s="727" t="str">
        <f>IF(D3="","",VLOOKUP(D3,CFRef!$A$2:$BV$192,61,FALSE))</f>
        <v/>
      </c>
      <c r="W16" s="727"/>
      <c r="X16" s="727" t="str">
        <f>IF(D3="","",VLOOKUP(D3,CFRef!$A$2:$BV$192,62,FALSE))</f>
        <v/>
      </c>
      <c r="Y16" s="728"/>
      <c r="Z16" s="1026" t="str">
        <f>IF(AC3="","",VLOOKUP(AC3,CFRef!$A$2:$BV$192,57,FALSE))</f>
        <v/>
      </c>
      <c r="AA16" s="727"/>
      <c r="AB16" s="727"/>
      <c r="AC16" s="727"/>
      <c r="AD16" s="727"/>
      <c r="AE16" s="727"/>
      <c r="AF16" s="727"/>
      <c r="AG16" s="727"/>
      <c r="AH16" s="727"/>
      <c r="AI16" s="727"/>
      <c r="AJ16" s="727"/>
      <c r="AK16" s="727"/>
      <c r="AL16" s="727" t="str">
        <f>IF(AC3="","",VLOOKUP(AC3,CFRef!$A$2:$BV$192,58,FALSE))</f>
        <v/>
      </c>
      <c r="AM16" s="727"/>
      <c r="AN16" s="727"/>
      <c r="AO16" s="727" t="str">
        <f>IF(AC3="","",VLOOKUP(AC3,CFRef!$A$2:$BV$192,59,FALSE))</f>
        <v/>
      </c>
      <c r="AP16" s="727"/>
      <c r="AQ16" s="727"/>
      <c r="AR16" s="1075" t="str">
        <f>IF(AC3="","",VLOOKUP(AC3,CFRef!$A$2:$BV$192,60,FALSE))</f>
        <v/>
      </c>
      <c r="AS16" s="727"/>
      <c r="AT16" s="727"/>
      <c r="AU16" s="727" t="str">
        <f>IF(AC3="","",VLOOKUP(AC3,CFRef!$A$2:$BV$192,61,FALSE))</f>
        <v/>
      </c>
      <c r="AV16" s="727"/>
      <c r="AW16" s="727" t="str">
        <f>IF(AC3="","",VLOOKUP(AC3,CFRef!$A$2:$BV$192,62,FALSE))</f>
        <v/>
      </c>
      <c r="AX16" s="728"/>
    </row>
    <row r="17" spans="1:50" x14ac:dyDescent="0.25">
      <c r="A17" s="1026" t="str">
        <f>IF(D3="","",VLOOKUP(D3,CFRef!$A$2:$BV$192,63,FALSE))</f>
        <v/>
      </c>
      <c r="B17" s="727"/>
      <c r="C17" s="727"/>
      <c r="D17" s="727"/>
      <c r="E17" s="727"/>
      <c r="F17" s="727"/>
      <c r="G17" s="727"/>
      <c r="H17" s="727"/>
      <c r="I17" s="727"/>
      <c r="J17" s="727"/>
      <c r="K17" s="727"/>
      <c r="L17" s="727"/>
      <c r="M17" s="727" t="str">
        <f>IF(D3="","",VLOOKUP(D3,CFRef!$A$2:$BV$192,64,FALSE))</f>
        <v/>
      </c>
      <c r="N17" s="727"/>
      <c r="O17" s="727"/>
      <c r="P17" s="727" t="str">
        <f>IF(D3="","",VLOOKUP(D3,CFRef!$A$2:$BV$192,65,FALSE))</f>
        <v/>
      </c>
      <c r="Q17" s="727"/>
      <c r="R17" s="727"/>
      <c r="S17" s="1075" t="str">
        <f>IF(D3="","",VLOOKUP(D3,CFRef!$A$2:$BV$192,66,FALSE))</f>
        <v/>
      </c>
      <c r="T17" s="727"/>
      <c r="U17" s="727"/>
      <c r="V17" s="727" t="str">
        <f>IF(D3="","",VLOOKUP(D3,CFRef!$A$2:$BV$192,67,FALSE))</f>
        <v/>
      </c>
      <c r="W17" s="727"/>
      <c r="X17" s="727" t="str">
        <f>IF(D3="","",VLOOKUP(D3,CFRef!$A$2:$BV$192,68,FALSE))</f>
        <v/>
      </c>
      <c r="Y17" s="728"/>
      <c r="Z17" s="1026" t="str">
        <f>IF(AC3="","",VLOOKUP(AC3,CFRef!$A$2:$BV$192,63,FALSE))</f>
        <v/>
      </c>
      <c r="AA17" s="727"/>
      <c r="AB17" s="727"/>
      <c r="AC17" s="727"/>
      <c r="AD17" s="727"/>
      <c r="AE17" s="727"/>
      <c r="AF17" s="727"/>
      <c r="AG17" s="727"/>
      <c r="AH17" s="727"/>
      <c r="AI17" s="727"/>
      <c r="AJ17" s="727"/>
      <c r="AK17" s="727"/>
      <c r="AL17" s="727" t="str">
        <f>IF(AC3="","",VLOOKUP(AC3,CFRef!$A$2:$BV$192,64,FALSE))</f>
        <v/>
      </c>
      <c r="AM17" s="727"/>
      <c r="AN17" s="727"/>
      <c r="AO17" s="727" t="str">
        <f>IF(AC3="","",VLOOKUP(AC3,CFRef!$A$2:$BV$192,65,FALSE))</f>
        <v/>
      </c>
      <c r="AP17" s="727"/>
      <c r="AQ17" s="727"/>
      <c r="AR17" s="1075" t="str">
        <f>IF(AC3="","",VLOOKUP(AC3,CFRef!$A$2:$BV$192,66,FALSE))</f>
        <v/>
      </c>
      <c r="AS17" s="727"/>
      <c r="AT17" s="727"/>
      <c r="AU17" s="727" t="str">
        <f>IF(AC3="","",VLOOKUP(AC3,CFRef!$A$2:$BV$192,67,FALSE))</f>
        <v/>
      </c>
      <c r="AV17" s="727"/>
      <c r="AW17" s="727" t="str">
        <f>IF(AC3="","",VLOOKUP(AC3,CFRef!$A$2:$BV$192,68,FALSE))</f>
        <v/>
      </c>
      <c r="AX17" s="728"/>
    </row>
    <row r="18" spans="1:50" x14ac:dyDescent="0.25">
      <c r="A18" s="1026" t="str">
        <f>IF(D3="","",VLOOKUP(D3,CFRef!$A$2:$BV$192,69,FALSE))</f>
        <v/>
      </c>
      <c r="B18" s="727"/>
      <c r="C18" s="727"/>
      <c r="D18" s="727"/>
      <c r="E18" s="727"/>
      <c r="F18" s="727"/>
      <c r="G18" s="727"/>
      <c r="H18" s="727"/>
      <c r="I18" s="727"/>
      <c r="J18" s="727"/>
      <c r="K18" s="727"/>
      <c r="L18" s="727"/>
      <c r="M18" s="727" t="str">
        <f>IF(D3="","",VLOOKUP(D3,CFRef!$A$2:$BV$192,70,FALSE))</f>
        <v/>
      </c>
      <c r="N18" s="727"/>
      <c r="O18" s="727"/>
      <c r="P18" s="727" t="str">
        <f>IF(D3="","",VLOOKUP(D3,CFRef!$A$2:$BV$192,71,FALSE))</f>
        <v/>
      </c>
      <c r="Q18" s="727"/>
      <c r="R18" s="727"/>
      <c r="S18" s="1075" t="str">
        <f>IF(D3="","",VLOOKUP(D3,CFRef!$A$2:$BV$192,72,FALSE))</f>
        <v/>
      </c>
      <c r="T18" s="727"/>
      <c r="U18" s="727"/>
      <c r="V18" s="727" t="str">
        <f>IF(D3="","",VLOOKUP(D3,CFRef!$A$2:$BV$192,73,FALSE))</f>
        <v/>
      </c>
      <c r="W18" s="727"/>
      <c r="X18" s="727" t="str">
        <f>IF(D3="","",VLOOKUP(D3,CFRef!$A$2:$BV$192,74,FALSE))</f>
        <v/>
      </c>
      <c r="Y18" s="728"/>
      <c r="Z18" s="1026" t="str">
        <f>IF(AC3="","",VLOOKUP(AC3,CFRef!$A$2:$BV$192,69,FALSE))</f>
        <v/>
      </c>
      <c r="AA18" s="727"/>
      <c r="AB18" s="727"/>
      <c r="AC18" s="727"/>
      <c r="AD18" s="727"/>
      <c r="AE18" s="727"/>
      <c r="AF18" s="727"/>
      <c r="AG18" s="727"/>
      <c r="AH18" s="727"/>
      <c r="AI18" s="727"/>
      <c r="AJ18" s="727"/>
      <c r="AK18" s="727"/>
      <c r="AL18" s="727" t="str">
        <f>IF(AC3="","",VLOOKUP(AC3,CFRef!$A$2:$BV$192,70,FALSE))</f>
        <v/>
      </c>
      <c r="AM18" s="727"/>
      <c r="AN18" s="727"/>
      <c r="AO18" s="727" t="str">
        <f>IF(AC3="","",VLOOKUP(AC3,CFRef!$A$2:$BV$192,71,FALSE))</f>
        <v/>
      </c>
      <c r="AP18" s="727"/>
      <c r="AQ18" s="727"/>
      <c r="AR18" s="1075" t="str">
        <f>IF(AC3="","",VLOOKUP(AC3,CFRef!$A$2:$BV$192,72,FALSE))</f>
        <v/>
      </c>
      <c r="AS18" s="727"/>
      <c r="AT18" s="727"/>
      <c r="AU18" s="727" t="str">
        <f>IF(AC3="","",VLOOKUP(AC3,CFRef!$A$2:$BV$192,73,FALSE))</f>
        <v/>
      </c>
      <c r="AV18" s="727"/>
      <c r="AW18" s="727" t="str">
        <f>IF(AC3="","",VLOOKUP(AC3,CFRef!$A$2:$BV$192,74,FALSE))</f>
        <v/>
      </c>
      <c r="AX18" s="728"/>
    </row>
    <row r="19" spans="1:50" ht="15" customHeight="1" x14ac:dyDescent="0.25">
      <c r="A19" s="1026" t="s">
        <v>906</v>
      </c>
      <c r="B19" s="727"/>
      <c r="C19" s="727"/>
      <c r="D19" s="727"/>
      <c r="E19" s="727"/>
      <c r="F19" s="727"/>
      <c r="G19" s="727"/>
      <c r="H19" s="727"/>
      <c r="I19" s="727"/>
      <c r="J19" s="727"/>
      <c r="K19" s="727"/>
      <c r="L19" s="727"/>
      <c r="M19" s="727"/>
      <c r="N19" s="727"/>
      <c r="O19" s="727"/>
      <c r="P19" s="727" t="s">
        <v>907</v>
      </c>
      <c r="Q19" s="727"/>
      <c r="R19" s="727"/>
      <c r="S19" s="727"/>
      <c r="T19" s="727"/>
      <c r="U19" s="727"/>
      <c r="V19" s="727"/>
      <c r="W19" s="727"/>
      <c r="X19" s="727"/>
      <c r="Y19" s="728"/>
      <c r="Z19" s="1026" t="s">
        <v>906</v>
      </c>
      <c r="AA19" s="727"/>
      <c r="AB19" s="727"/>
      <c r="AC19" s="727"/>
      <c r="AD19" s="727"/>
      <c r="AE19" s="727"/>
      <c r="AF19" s="727"/>
      <c r="AG19" s="727"/>
      <c r="AH19" s="727"/>
      <c r="AI19" s="727"/>
      <c r="AJ19" s="727"/>
      <c r="AK19" s="727"/>
      <c r="AL19" s="727"/>
      <c r="AM19" s="727"/>
      <c r="AN19" s="727"/>
      <c r="AO19" s="727" t="s">
        <v>907</v>
      </c>
      <c r="AP19" s="727"/>
      <c r="AQ19" s="727"/>
      <c r="AR19" s="727"/>
      <c r="AS19" s="727"/>
      <c r="AT19" s="727"/>
      <c r="AU19" s="727"/>
      <c r="AV19" s="727"/>
      <c r="AW19" s="727"/>
      <c r="AX19" s="728"/>
    </row>
    <row r="20" spans="1:50" x14ac:dyDescent="0.25">
      <c r="A20" s="1026" t="str">
        <f>IF(D3="","",VLOOKUP(D3,CFRef!$A$2:$BV$192,31,FALSE))</f>
        <v/>
      </c>
      <c r="B20" s="727"/>
      <c r="C20" s="727"/>
      <c r="D20" s="727"/>
      <c r="E20" s="727"/>
      <c r="F20" s="727"/>
      <c r="G20" s="727"/>
      <c r="H20" s="727"/>
      <c r="I20" s="727"/>
      <c r="J20" s="727"/>
      <c r="K20" s="727"/>
      <c r="L20" s="727"/>
      <c r="M20" s="727"/>
      <c r="N20" s="727"/>
      <c r="O20" s="727"/>
      <c r="P20" s="727" t="str">
        <f>IF(D3="","",VLOOKUP(D3,CFRef!$A$2:$BV$192,32,FALSE))</f>
        <v/>
      </c>
      <c r="Q20" s="727"/>
      <c r="R20" s="727"/>
      <c r="S20" s="727"/>
      <c r="T20" s="727"/>
      <c r="U20" s="727"/>
      <c r="V20" s="727"/>
      <c r="W20" s="727"/>
      <c r="X20" s="727"/>
      <c r="Y20" s="728"/>
      <c r="Z20" s="1026" t="str">
        <f>IF(AC3="","",VLOOKUP(AC3,CFRef!$A$2:$BV$192,31,FALSE))</f>
        <v/>
      </c>
      <c r="AA20" s="727"/>
      <c r="AB20" s="727"/>
      <c r="AC20" s="727"/>
      <c r="AD20" s="727"/>
      <c r="AE20" s="727"/>
      <c r="AF20" s="727"/>
      <c r="AG20" s="727"/>
      <c r="AH20" s="727"/>
      <c r="AI20" s="727"/>
      <c r="AJ20" s="727"/>
      <c r="AK20" s="727"/>
      <c r="AL20" s="727"/>
      <c r="AM20" s="727"/>
      <c r="AN20" s="727"/>
      <c r="AO20" s="727" t="str">
        <f>IF(AC3="","",VLOOKUP(AC3,CFRef!$A$2:$BV$192,32,FALSE))</f>
        <v/>
      </c>
      <c r="AP20" s="727"/>
      <c r="AQ20" s="727"/>
      <c r="AR20" s="727"/>
      <c r="AS20" s="727"/>
      <c r="AT20" s="727"/>
      <c r="AU20" s="727"/>
      <c r="AV20" s="727"/>
      <c r="AW20" s="727"/>
      <c r="AX20" s="728"/>
    </row>
    <row r="21" spans="1:50" x14ac:dyDescent="0.25">
      <c r="A21" s="1026"/>
      <c r="B21" s="727"/>
      <c r="C21" s="727"/>
      <c r="D21" s="727"/>
      <c r="E21" s="727"/>
      <c r="F21" s="727"/>
      <c r="G21" s="727"/>
      <c r="H21" s="727"/>
      <c r="I21" s="727"/>
      <c r="J21" s="727"/>
      <c r="K21" s="727"/>
      <c r="L21" s="727"/>
      <c r="M21" s="727"/>
      <c r="N21" s="727"/>
      <c r="O21" s="727"/>
      <c r="P21" s="727"/>
      <c r="Q21" s="727"/>
      <c r="R21" s="727"/>
      <c r="S21" s="727"/>
      <c r="T21" s="727"/>
      <c r="U21" s="727"/>
      <c r="V21" s="727"/>
      <c r="W21" s="727"/>
      <c r="X21" s="727"/>
      <c r="Y21" s="728"/>
      <c r="Z21" s="1026"/>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727"/>
      <c r="AW21" s="727"/>
      <c r="AX21" s="728"/>
    </row>
    <row r="22" spans="1:50" x14ac:dyDescent="0.25">
      <c r="A22" s="1026"/>
      <c r="B22" s="727"/>
      <c r="C22" s="727"/>
      <c r="D22" s="727"/>
      <c r="E22" s="727"/>
      <c r="F22" s="727"/>
      <c r="G22" s="727"/>
      <c r="H22" s="727"/>
      <c r="I22" s="727"/>
      <c r="J22" s="727"/>
      <c r="K22" s="727"/>
      <c r="L22" s="727"/>
      <c r="M22" s="727"/>
      <c r="N22" s="727"/>
      <c r="O22" s="727"/>
      <c r="P22" s="727"/>
      <c r="Q22" s="727"/>
      <c r="R22" s="727"/>
      <c r="S22" s="727"/>
      <c r="T22" s="727"/>
      <c r="U22" s="727"/>
      <c r="V22" s="727"/>
      <c r="W22" s="727"/>
      <c r="X22" s="727"/>
      <c r="Y22" s="728"/>
      <c r="Z22" s="1026"/>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8"/>
    </row>
    <row r="23" spans="1:50" x14ac:dyDescent="0.25">
      <c r="A23" s="1026"/>
      <c r="B23" s="727"/>
      <c r="C23" s="727"/>
      <c r="D23" s="727"/>
      <c r="E23" s="727"/>
      <c r="F23" s="727"/>
      <c r="G23" s="727"/>
      <c r="H23" s="727"/>
      <c r="I23" s="727"/>
      <c r="J23" s="727"/>
      <c r="K23" s="727"/>
      <c r="L23" s="727"/>
      <c r="M23" s="727"/>
      <c r="N23" s="727"/>
      <c r="O23" s="727"/>
      <c r="P23" s="727"/>
      <c r="Q23" s="727"/>
      <c r="R23" s="727"/>
      <c r="S23" s="727"/>
      <c r="T23" s="727"/>
      <c r="U23" s="727"/>
      <c r="V23" s="727"/>
      <c r="W23" s="727"/>
      <c r="X23" s="727"/>
      <c r="Y23" s="728"/>
      <c r="Z23" s="1026"/>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8"/>
    </row>
    <row r="24" spans="1:50" ht="15.75" thickBot="1" x14ac:dyDescent="0.3">
      <c r="A24" s="1027"/>
      <c r="B24" s="865"/>
      <c r="C24" s="865"/>
      <c r="D24" s="865"/>
      <c r="E24" s="865"/>
      <c r="F24" s="865"/>
      <c r="G24" s="865"/>
      <c r="H24" s="865"/>
      <c r="I24" s="865"/>
      <c r="J24" s="865"/>
      <c r="K24" s="865"/>
      <c r="L24" s="865"/>
      <c r="M24" s="865"/>
      <c r="N24" s="865"/>
      <c r="O24" s="865"/>
      <c r="P24" s="865"/>
      <c r="Q24" s="865"/>
      <c r="R24" s="865"/>
      <c r="S24" s="865"/>
      <c r="T24" s="865"/>
      <c r="U24" s="865"/>
      <c r="V24" s="865"/>
      <c r="W24" s="865"/>
      <c r="X24" s="865"/>
      <c r="Y24" s="921"/>
      <c r="Z24" s="1027"/>
      <c r="AA24" s="865"/>
      <c r="AB24" s="865"/>
      <c r="AC24" s="865"/>
      <c r="AD24" s="865"/>
      <c r="AE24" s="865"/>
      <c r="AF24" s="865"/>
      <c r="AG24" s="865"/>
      <c r="AH24" s="865"/>
      <c r="AI24" s="865"/>
      <c r="AJ24" s="865"/>
      <c r="AK24" s="865"/>
      <c r="AL24" s="865"/>
      <c r="AM24" s="865"/>
      <c r="AN24" s="865"/>
      <c r="AO24" s="865"/>
      <c r="AP24" s="865"/>
      <c r="AQ24" s="865"/>
      <c r="AR24" s="865"/>
      <c r="AS24" s="865"/>
      <c r="AT24" s="865"/>
      <c r="AU24" s="865"/>
      <c r="AV24" s="865"/>
      <c r="AW24" s="865"/>
      <c r="AX24" s="921"/>
    </row>
    <row r="25" spans="1:50" ht="15" customHeight="1" x14ac:dyDescent="0.25">
      <c r="A25" s="1028" t="s">
        <v>75</v>
      </c>
      <c r="B25" s="725"/>
      <c r="C25" s="725"/>
      <c r="D25" s="1073"/>
      <c r="E25" s="1073"/>
      <c r="F25" s="1073"/>
      <c r="G25" s="1073"/>
      <c r="H25" s="1073"/>
      <c r="I25" s="1073"/>
      <c r="J25" s="1073"/>
      <c r="K25" s="1073"/>
      <c r="L25" s="1073"/>
      <c r="M25" s="1073"/>
      <c r="N25" s="725" t="s">
        <v>892</v>
      </c>
      <c r="O25" s="725"/>
      <c r="P25" s="725" t="str">
        <f>IF(D27="","",VLOOKUP(D27,CFRef!$A$2:$BV$192,4,FALSE))</f>
        <v/>
      </c>
      <c r="Q25" s="725"/>
      <c r="R25" s="725" t="s">
        <v>895</v>
      </c>
      <c r="S25" s="725"/>
      <c r="T25" s="725" t="str">
        <f>IF(D27="","",VLOOKUP(D27,CFRef!$A$2:$BV$192,7,FALSE))</f>
        <v/>
      </c>
      <c r="U25" s="725"/>
      <c r="V25" s="725" t="s">
        <v>898</v>
      </c>
      <c r="W25" s="725"/>
      <c r="X25" s="725" t="str">
        <f>IF(D27="","",VLOOKUP(D27,CFRef!$A$2:$BV$192,10,FALSE))</f>
        <v/>
      </c>
      <c r="Y25" s="726"/>
      <c r="Z25" s="1028" t="s">
        <v>75</v>
      </c>
      <c r="AA25" s="725"/>
      <c r="AB25" s="725"/>
      <c r="AC25" s="1073"/>
      <c r="AD25" s="1073"/>
      <c r="AE25" s="1073"/>
      <c r="AF25" s="1073"/>
      <c r="AG25" s="1073"/>
      <c r="AH25" s="1073"/>
      <c r="AI25" s="1073"/>
      <c r="AJ25" s="1073"/>
      <c r="AK25" s="1073"/>
      <c r="AL25" s="1073"/>
      <c r="AM25" s="725" t="s">
        <v>892</v>
      </c>
      <c r="AN25" s="725"/>
      <c r="AO25" s="725" t="str">
        <f>IF(AC27="","",VLOOKUP(AC27,CFRef!$A$2:$BV$192,4,FALSE))</f>
        <v/>
      </c>
      <c r="AP25" s="725"/>
      <c r="AQ25" s="725" t="s">
        <v>895</v>
      </c>
      <c r="AR25" s="725"/>
      <c r="AS25" s="725" t="str">
        <f>IF(AC27="","",VLOOKUP(AC27,CFRef!$A$2:$BV$192,7,FALSE))</f>
        <v/>
      </c>
      <c r="AT25" s="725"/>
      <c r="AU25" s="725" t="s">
        <v>898</v>
      </c>
      <c r="AV25" s="725"/>
      <c r="AW25" s="725" t="str">
        <f>IF(AC27="","",VLOOKUP(AC27,CFRef!$A$2:$BV$192,10,FALSE))</f>
        <v/>
      </c>
      <c r="AX25" s="726"/>
    </row>
    <row r="26" spans="1:50" ht="15" customHeight="1" x14ac:dyDescent="0.25">
      <c r="A26" s="1026" t="s">
        <v>0</v>
      </c>
      <c r="B26" s="727"/>
      <c r="C26" s="727"/>
      <c r="D26" s="1074"/>
      <c r="E26" s="1074"/>
      <c r="F26" s="1074"/>
      <c r="G26" s="1074"/>
      <c r="H26" s="1074"/>
      <c r="I26" s="1074"/>
      <c r="J26" s="1074"/>
      <c r="K26" s="1074"/>
      <c r="L26" s="1074"/>
      <c r="M26" s="1074"/>
      <c r="N26" s="727" t="s">
        <v>893</v>
      </c>
      <c r="O26" s="727" t="s">
        <v>893</v>
      </c>
      <c r="P26" s="727" t="str">
        <f>IF(D27="","",VLOOKUP(D27,CFRef!$A$2:$BV$192,5,FALSE))</f>
        <v/>
      </c>
      <c r="Q26" s="727"/>
      <c r="R26" s="727" t="s">
        <v>896</v>
      </c>
      <c r="S26" s="727"/>
      <c r="T26" s="727" t="str">
        <f>IF(D27="","",VLOOKUP(D27,CFRef!$A$2:$BV$192,8,FALSE))</f>
        <v/>
      </c>
      <c r="U26" s="727"/>
      <c r="V26" s="727" t="s">
        <v>899</v>
      </c>
      <c r="W26" s="727"/>
      <c r="X26" s="727" t="str">
        <f>IF(D27="","",VLOOKUP(D27,CFRef!$A$2:$BV$192,11,FALSE))</f>
        <v/>
      </c>
      <c r="Y26" s="728"/>
      <c r="Z26" s="1026" t="s">
        <v>0</v>
      </c>
      <c r="AA26" s="727"/>
      <c r="AB26" s="727"/>
      <c r="AC26" s="1074"/>
      <c r="AD26" s="1074"/>
      <c r="AE26" s="1074"/>
      <c r="AF26" s="1074"/>
      <c r="AG26" s="1074"/>
      <c r="AH26" s="1074"/>
      <c r="AI26" s="1074"/>
      <c r="AJ26" s="1074"/>
      <c r="AK26" s="1074"/>
      <c r="AL26" s="1074"/>
      <c r="AM26" s="727" t="s">
        <v>893</v>
      </c>
      <c r="AN26" s="727" t="s">
        <v>893</v>
      </c>
      <c r="AO26" s="727" t="str">
        <f>IF(AC27="","",VLOOKUP(AC27,CFRef!$A$2:$BV$192,5,FALSE))</f>
        <v/>
      </c>
      <c r="AP26" s="727"/>
      <c r="AQ26" s="727" t="s">
        <v>896</v>
      </c>
      <c r="AR26" s="727"/>
      <c r="AS26" s="727" t="str">
        <f>IF(AC27="","",VLOOKUP(AC27,CFRef!$A$2:$BV$192,8,FALSE))</f>
        <v/>
      </c>
      <c r="AT26" s="727"/>
      <c r="AU26" s="727" t="s">
        <v>899</v>
      </c>
      <c r="AV26" s="727"/>
      <c r="AW26" s="727" t="str">
        <f>IF(AC27="","",VLOOKUP(AC27,CFRef!$A$2:$BV$192,11,FALSE))</f>
        <v/>
      </c>
      <c r="AX26" s="728"/>
    </row>
    <row r="27" spans="1:50" ht="15" customHeight="1" x14ac:dyDescent="0.25">
      <c r="A27" s="1026" t="s">
        <v>77</v>
      </c>
      <c r="B27" s="727"/>
      <c r="C27" s="727"/>
      <c r="D27" s="1074" t="s">
        <v>3601</v>
      </c>
      <c r="E27" s="1074"/>
      <c r="F27" s="1074"/>
      <c r="G27" s="1074"/>
      <c r="H27" s="1074"/>
      <c r="I27" s="1074"/>
      <c r="J27" s="1074"/>
      <c r="K27" s="1074"/>
      <c r="L27" s="1074"/>
      <c r="M27" s="1074"/>
      <c r="N27" s="727" t="s">
        <v>894</v>
      </c>
      <c r="O27" s="727"/>
      <c r="P27" s="727" t="str">
        <f>IF(D27="","",VLOOKUP(D27,CFRef!$A$2:$BV$192,6,FALSE))</f>
        <v/>
      </c>
      <c r="Q27" s="727"/>
      <c r="R27" s="727" t="s">
        <v>897</v>
      </c>
      <c r="S27" s="727"/>
      <c r="T27" s="727" t="str">
        <f>IF(D27="","",VLOOKUP(D27,CFRef!$A$2:$BV$192,9,FALSE))</f>
        <v/>
      </c>
      <c r="U27" s="727"/>
      <c r="V27" s="727" t="s">
        <v>900</v>
      </c>
      <c r="W27" s="727"/>
      <c r="X27" s="727" t="str">
        <f>IF(D27="","",VLOOKUP(D27,CFRef!$A$2:$BV$192,12,FALSE))</f>
        <v/>
      </c>
      <c r="Y27" s="728"/>
      <c r="Z27" s="1026" t="s">
        <v>77</v>
      </c>
      <c r="AA27" s="727"/>
      <c r="AB27" s="727"/>
      <c r="AC27" s="1074" t="s">
        <v>3601</v>
      </c>
      <c r="AD27" s="1074"/>
      <c r="AE27" s="1074"/>
      <c r="AF27" s="1074"/>
      <c r="AG27" s="1074"/>
      <c r="AH27" s="1074"/>
      <c r="AI27" s="1074"/>
      <c r="AJ27" s="1074"/>
      <c r="AK27" s="1074"/>
      <c r="AL27" s="1074"/>
      <c r="AM27" s="727" t="s">
        <v>894</v>
      </c>
      <c r="AN27" s="727"/>
      <c r="AO27" s="727" t="str">
        <f>IF(AC27="","",VLOOKUP(AC27,CFRef!$A$2:$BV$192,6,FALSE))</f>
        <v/>
      </c>
      <c r="AP27" s="727"/>
      <c r="AQ27" s="727" t="s">
        <v>897</v>
      </c>
      <c r="AR27" s="727"/>
      <c r="AS27" s="727" t="str">
        <f>IF(AC27="","",VLOOKUP(AC27,CFRef!$A$2:$BV$192,9,FALSE))</f>
        <v/>
      </c>
      <c r="AT27" s="727"/>
      <c r="AU27" s="727" t="s">
        <v>900</v>
      </c>
      <c r="AV27" s="727"/>
      <c r="AW27" s="727" t="str">
        <f>IF(AC27="","",VLOOKUP(AC27,CFRef!$A$2:$BV$192,12,FALSE))</f>
        <v/>
      </c>
      <c r="AX27" s="728"/>
    </row>
    <row r="28" spans="1:50" ht="15" customHeight="1" x14ac:dyDescent="0.25">
      <c r="A28" s="1026" t="s">
        <v>31</v>
      </c>
      <c r="B28" s="727"/>
      <c r="C28" s="727"/>
      <c r="D28" s="727"/>
      <c r="E28" s="727"/>
      <c r="F28" s="727"/>
      <c r="G28" s="727" t="s">
        <v>903</v>
      </c>
      <c r="H28" s="727"/>
      <c r="I28" s="727"/>
      <c r="J28" s="727"/>
      <c r="K28" s="727"/>
      <c r="L28" s="727"/>
      <c r="M28" s="727" t="s">
        <v>69</v>
      </c>
      <c r="N28" s="727"/>
      <c r="O28" s="727"/>
      <c r="P28" s="727"/>
      <c r="Q28" s="727"/>
      <c r="R28" s="727"/>
      <c r="S28" s="727"/>
      <c r="T28" s="727"/>
      <c r="U28" s="727"/>
      <c r="V28" s="727"/>
      <c r="W28" s="727"/>
      <c r="X28" s="727"/>
      <c r="Y28" s="728"/>
      <c r="Z28" s="1026" t="s">
        <v>31</v>
      </c>
      <c r="AA28" s="727"/>
      <c r="AB28" s="727"/>
      <c r="AC28" s="727"/>
      <c r="AD28" s="727"/>
      <c r="AE28" s="727"/>
      <c r="AF28" s="727" t="s">
        <v>903</v>
      </c>
      <c r="AG28" s="727"/>
      <c r="AH28" s="727"/>
      <c r="AI28" s="727"/>
      <c r="AJ28" s="727"/>
      <c r="AK28" s="727"/>
      <c r="AL28" s="727" t="s">
        <v>69</v>
      </c>
      <c r="AM28" s="727"/>
      <c r="AN28" s="727"/>
      <c r="AO28" s="727"/>
      <c r="AP28" s="727"/>
      <c r="AQ28" s="727"/>
      <c r="AR28" s="727"/>
      <c r="AS28" s="727"/>
      <c r="AT28" s="727"/>
      <c r="AU28" s="727"/>
      <c r="AV28" s="727"/>
      <c r="AW28" s="727"/>
      <c r="AX28" s="728"/>
    </row>
    <row r="29" spans="1:50" ht="15" customHeight="1" x14ac:dyDescent="0.25">
      <c r="A29" s="1026" t="str">
        <f>IF(D27="","",VLOOKUP(D27,CFRef!$A$2:$BV$192,21,FALSE))</f>
        <v/>
      </c>
      <c r="B29" s="727"/>
      <c r="C29" s="727"/>
      <c r="D29" s="727"/>
      <c r="E29" s="727" t="str">
        <f>IF(D27="","",VLOOKUP(D27,CFRef!$A$2:$BV$192,22,FALSE))</f>
        <v/>
      </c>
      <c r="F29" s="727"/>
      <c r="G29" s="727" t="s">
        <v>88</v>
      </c>
      <c r="H29" s="727"/>
      <c r="I29" s="727"/>
      <c r="J29" s="727"/>
      <c r="K29" s="727" t="str">
        <f>IF(D27="","",VLOOKUP(D27,CFRef!$A$2:$BV$192,18,FALSE))</f>
        <v/>
      </c>
      <c r="L29" s="727"/>
      <c r="M29" s="727" t="str">
        <f>IF(D27="","",VLOOKUP(D27,CFRef!$A$2:$BV$192,30,FALSE))</f>
        <v/>
      </c>
      <c r="N29" s="727"/>
      <c r="O29" s="727"/>
      <c r="P29" s="727"/>
      <c r="Q29" s="727"/>
      <c r="R29" s="727"/>
      <c r="S29" s="727"/>
      <c r="T29" s="727"/>
      <c r="U29" s="727"/>
      <c r="V29" s="727"/>
      <c r="W29" s="727"/>
      <c r="X29" s="727"/>
      <c r="Y29" s="728"/>
      <c r="Z29" s="1026" t="str">
        <f>IF(AC27="","",VLOOKUP(AC27,CFRef!$A$2:$BV$192,21,FALSE))</f>
        <v/>
      </c>
      <c r="AA29" s="727"/>
      <c r="AB29" s="727"/>
      <c r="AC29" s="727"/>
      <c r="AD29" s="727" t="str">
        <f>IF(AC27="","",VLOOKUP(AC27,CFRef!$A$2:$BV$192,22,FALSE))</f>
        <v/>
      </c>
      <c r="AE29" s="727"/>
      <c r="AF29" s="727" t="s">
        <v>88</v>
      </c>
      <c r="AG29" s="727"/>
      <c r="AH29" s="727"/>
      <c r="AI29" s="727"/>
      <c r="AJ29" s="727" t="str">
        <f>IF(AC27="","",VLOOKUP(AC27,CFRef!$A$2:$BV$192,18,FALSE))</f>
        <v/>
      </c>
      <c r="AK29" s="727"/>
      <c r="AL29" s="727" t="str">
        <f>IF(AC27="","",VLOOKUP(AC27,CFRef!$A$2:$BV$192,30,FALSE))</f>
        <v/>
      </c>
      <c r="AM29" s="727"/>
      <c r="AN29" s="727"/>
      <c r="AO29" s="727"/>
      <c r="AP29" s="727"/>
      <c r="AQ29" s="727"/>
      <c r="AR29" s="727"/>
      <c r="AS29" s="727"/>
      <c r="AT29" s="727"/>
      <c r="AU29" s="727"/>
      <c r="AV29" s="727"/>
      <c r="AW29" s="727"/>
      <c r="AX29" s="728"/>
    </row>
    <row r="30" spans="1:50" ht="15" customHeight="1" x14ac:dyDescent="0.25">
      <c r="A30" s="1026" t="str">
        <f>IF(D27="","",VLOOKUP(D27,CFRef!$A$2:$BV$192,23,FALSE))</f>
        <v/>
      </c>
      <c r="B30" s="727"/>
      <c r="C30" s="727"/>
      <c r="D30" s="727"/>
      <c r="E30" s="727" t="str">
        <f>IF(D27="","",VLOOKUP(D27,CFRef!$A$2:$BV$192,24,FALSE))</f>
        <v/>
      </c>
      <c r="F30" s="727"/>
      <c r="G30" s="727" t="s">
        <v>89</v>
      </c>
      <c r="H30" s="727"/>
      <c r="I30" s="727"/>
      <c r="J30" s="727"/>
      <c r="K30" s="727" t="str">
        <f>IF(D27="","",VLOOKUP(D27,CFRef!$A$2:$BV$192,19,FALSE))</f>
        <v/>
      </c>
      <c r="L30" s="727"/>
      <c r="M30" s="727"/>
      <c r="N30" s="727"/>
      <c r="O30" s="727"/>
      <c r="P30" s="727"/>
      <c r="Q30" s="727"/>
      <c r="R30" s="727"/>
      <c r="S30" s="727"/>
      <c r="T30" s="727"/>
      <c r="U30" s="727"/>
      <c r="V30" s="727"/>
      <c r="W30" s="727"/>
      <c r="X30" s="727"/>
      <c r="Y30" s="728"/>
      <c r="Z30" s="1026" t="str">
        <f>IF(AC27="","",VLOOKUP(AC27,CFRef!$A$2:$BV$192,23,FALSE))</f>
        <v/>
      </c>
      <c r="AA30" s="727"/>
      <c r="AB30" s="727"/>
      <c r="AC30" s="727"/>
      <c r="AD30" s="727" t="str">
        <f>IF(AC27="","",VLOOKUP(AC27,CFRef!$A$2:$BV$192,24,FALSE))</f>
        <v/>
      </c>
      <c r="AE30" s="727"/>
      <c r="AF30" s="727" t="s">
        <v>89</v>
      </c>
      <c r="AG30" s="727"/>
      <c r="AH30" s="727"/>
      <c r="AI30" s="727"/>
      <c r="AJ30" s="727" t="str">
        <f>IF(AC27="","",VLOOKUP(AC27,CFRef!$A$2:$BV$192,19,FALSE))</f>
        <v/>
      </c>
      <c r="AK30" s="727"/>
      <c r="AL30" s="727"/>
      <c r="AM30" s="727"/>
      <c r="AN30" s="727"/>
      <c r="AO30" s="727"/>
      <c r="AP30" s="727"/>
      <c r="AQ30" s="727"/>
      <c r="AR30" s="727"/>
      <c r="AS30" s="727"/>
      <c r="AT30" s="727"/>
      <c r="AU30" s="727"/>
      <c r="AV30" s="727"/>
      <c r="AW30" s="727"/>
      <c r="AX30" s="728"/>
    </row>
    <row r="31" spans="1:50" ht="15" customHeight="1" x14ac:dyDescent="0.25">
      <c r="A31" s="1026" t="str">
        <f>IF(D27="","",VLOOKUP(D27,CFRef!$A$2:$BV$192,25,FALSE))</f>
        <v/>
      </c>
      <c r="B31" s="727"/>
      <c r="C31" s="727"/>
      <c r="D31" s="727"/>
      <c r="E31" s="727" t="str">
        <f>IF(D27="","",VLOOKUP(D27,CFRef!$A$2:$BV$192,26,FALSE))</f>
        <v/>
      </c>
      <c r="F31" s="727"/>
      <c r="G31" s="727" t="s">
        <v>90</v>
      </c>
      <c r="H31" s="727"/>
      <c r="I31" s="727"/>
      <c r="J31" s="727"/>
      <c r="K31" s="727" t="str">
        <f>IF(D27="","",VLOOKUP(D27,CFRef!$A$2:$BV$192,20,FALSE))</f>
        <v/>
      </c>
      <c r="L31" s="727"/>
      <c r="M31" s="727"/>
      <c r="N31" s="727"/>
      <c r="O31" s="727"/>
      <c r="P31" s="727"/>
      <c r="Q31" s="727"/>
      <c r="R31" s="727"/>
      <c r="S31" s="727"/>
      <c r="T31" s="727"/>
      <c r="U31" s="727"/>
      <c r="V31" s="727"/>
      <c r="W31" s="727"/>
      <c r="X31" s="727"/>
      <c r="Y31" s="728"/>
      <c r="Z31" s="1026" t="str">
        <f>IF(AC27="","",VLOOKUP(AC27,CFRef!$A$2:$BV$192,25,FALSE))</f>
        <v/>
      </c>
      <c r="AA31" s="727"/>
      <c r="AB31" s="727"/>
      <c r="AC31" s="727"/>
      <c r="AD31" s="727" t="str">
        <f>IF(AC27="","",VLOOKUP(AC27,CFRef!$A$2:$BV$192,26,FALSE))</f>
        <v/>
      </c>
      <c r="AE31" s="727"/>
      <c r="AF31" s="727" t="s">
        <v>90</v>
      </c>
      <c r="AG31" s="727"/>
      <c r="AH31" s="727"/>
      <c r="AI31" s="727"/>
      <c r="AJ31" s="727" t="str">
        <f>IF(AC27="","",VLOOKUP(AC27,CFRef!$A$2:$BV$192,20,FALSE))</f>
        <v/>
      </c>
      <c r="AK31" s="727"/>
      <c r="AL31" s="727"/>
      <c r="AM31" s="727"/>
      <c r="AN31" s="727"/>
      <c r="AO31" s="727"/>
      <c r="AP31" s="727"/>
      <c r="AQ31" s="727"/>
      <c r="AR31" s="727"/>
      <c r="AS31" s="727"/>
      <c r="AT31" s="727"/>
      <c r="AU31" s="727"/>
      <c r="AV31" s="727"/>
      <c r="AW31" s="727"/>
      <c r="AX31" s="728"/>
    </row>
    <row r="32" spans="1:50" ht="15" customHeight="1" x14ac:dyDescent="0.25">
      <c r="A32" s="1026" t="str">
        <f>IF(D27="","",VLOOKUP(D27,CFRef!$A$2:$BV$192,27,FALSE))</f>
        <v/>
      </c>
      <c r="B32" s="727"/>
      <c r="C32" s="727"/>
      <c r="D32" s="727"/>
      <c r="E32" s="727" t="str">
        <f>IF(D27="","",VLOOKUP(D27,CFRef!$A$2:$BV$192,28,FALSE))</f>
        <v/>
      </c>
      <c r="F32" s="727"/>
      <c r="G32" s="727" t="s">
        <v>93</v>
      </c>
      <c r="H32" s="727"/>
      <c r="I32" s="727"/>
      <c r="J32" s="727"/>
      <c r="K32" s="727" t="str">
        <f>IF(D27="","",VLOOKUP(D27,CFRef!$A$2:$BV$192,15,FALSE))</f>
        <v/>
      </c>
      <c r="L32" s="727"/>
      <c r="M32" s="727"/>
      <c r="N32" s="727"/>
      <c r="O32" s="727"/>
      <c r="P32" s="727"/>
      <c r="Q32" s="727"/>
      <c r="R32" s="727"/>
      <c r="S32" s="727"/>
      <c r="T32" s="727"/>
      <c r="U32" s="727"/>
      <c r="V32" s="727"/>
      <c r="W32" s="727"/>
      <c r="X32" s="727"/>
      <c r="Y32" s="728"/>
      <c r="Z32" s="1026" t="str">
        <f>IF(AC27="","",VLOOKUP(AC27,CFRef!$A$2:$BV$192,27,FALSE))</f>
        <v/>
      </c>
      <c r="AA32" s="727"/>
      <c r="AB32" s="727"/>
      <c r="AC32" s="727"/>
      <c r="AD32" s="727" t="str">
        <f>IF(AC27="","",VLOOKUP(AC27,CFRef!$A$2:$BV$192,28,FALSE))</f>
        <v/>
      </c>
      <c r="AE32" s="727"/>
      <c r="AF32" s="727" t="s">
        <v>93</v>
      </c>
      <c r="AG32" s="727"/>
      <c r="AH32" s="727"/>
      <c r="AI32" s="727"/>
      <c r="AJ32" s="727" t="str">
        <f>IF(AC27="","",VLOOKUP(AC27,CFRef!$A$2:$BV$192,15,FALSE))</f>
        <v/>
      </c>
      <c r="AK32" s="727"/>
      <c r="AL32" s="727"/>
      <c r="AM32" s="727"/>
      <c r="AN32" s="727"/>
      <c r="AO32" s="727"/>
      <c r="AP32" s="727"/>
      <c r="AQ32" s="727"/>
      <c r="AR32" s="727"/>
      <c r="AS32" s="727"/>
      <c r="AT32" s="727"/>
      <c r="AU32" s="727"/>
      <c r="AV32" s="727"/>
      <c r="AW32" s="727"/>
      <c r="AX32" s="728"/>
    </row>
    <row r="33" spans="1:50" ht="15" customHeight="1" x14ac:dyDescent="0.25">
      <c r="A33" s="1026" t="s">
        <v>901</v>
      </c>
      <c r="B33" s="727"/>
      <c r="C33" s="727"/>
      <c r="D33" s="727"/>
      <c r="E33" s="727" t="str">
        <f>IF(D27="","",VLOOKUP(D27,CFRef!$A$2:$BV$192,16,FALSE))</f>
        <v/>
      </c>
      <c r="F33" s="727"/>
      <c r="G33" s="727" t="s">
        <v>95</v>
      </c>
      <c r="H33" s="727"/>
      <c r="I33" s="727"/>
      <c r="J33" s="727"/>
      <c r="K33" s="727" t="str">
        <f>IF(D27="","",VLOOKUP(D27,CFRef!$A$2:$BV$192,17,FALSE))</f>
        <v/>
      </c>
      <c r="L33" s="727"/>
      <c r="M33" s="727"/>
      <c r="N33" s="727"/>
      <c r="O33" s="727"/>
      <c r="P33" s="727"/>
      <c r="Q33" s="727"/>
      <c r="R33" s="727"/>
      <c r="S33" s="727"/>
      <c r="T33" s="727"/>
      <c r="U33" s="727"/>
      <c r="V33" s="727"/>
      <c r="W33" s="727"/>
      <c r="X33" s="727"/>
      <c r="Y33" s="728"/>
      <c r="Z33" s="1026" t="s">
        <v>901</v>
      </c>
      <c r="AA33" s="727"/>
      <c r="AB33" s="727"/>
      <c r="AC33" s="727"/>
      <c r="AD33" s="727" t="str">
        <f>IF(AC27="","",VLOOKUP(AC27,CFRef!$A$2:$BV$192,16,FALSE))</f>
        <v/>
      </c>
      <c r="AE33" s="727"/>
      <c r="AF33" s="727" t="s">
        <v>95</v>
      </c>
      <c r="AG33" s="727"/>
      <c r="AH33" s="727"/>
      <c r="AI33" s="727"/>
      <c r="AJ33" s="727" t="str">
        <f>IF(AC27="","",VLOOKUP(AC27,CFRef!$A$2:$BV$192,17,FALSE))</f>
        <v/>
      </c>
      <c r="AK33" s="727"/>
      <c r="AL33" s="727"/>
      <c r="AM33" s="727"/>
      <c r="AN33" s="727"/>
      <c r="AO33" s="727"/>
      <c r="AP33" s="727"/>
      <c r="AQ33" s="727"/>
      <c r="AR33" s="727"/>
      <c r="AS33" s="727"/>
      <c r="AT33" s="727"/>
      <c r="AU33" s="727"/>
      <c r="AV33" s="727"/>
      <c r="AW33" s="727"/>
      <c r="AX33" s="728"/>
    </row>
    <row r="34" spans="1:50" ht="15" customHeight="1" x14ac:dyDescent="0.25">
      <c r="A34" s="1026" t="s">
        <v>60</v>
      </c>
      <c r="B34" s="727"/>
      <c r="C34" s="727"/>
      <c r="D34" s="727"/>
      <c r="E34" s="727" t="str">
        <f>IF(D27="","",VLOOKUP(D27,CFRef!$A$2:$BV$192,13,FALSE))</f>
        <v/>
      </c>
      <c r="F34" s="727"/>
      <c r="G34" s="727" t="s">
        <v>902</v>
      </c>
      <c r="H34" s="727"/>
      <c r="I34" s="727"/>
      <c r="J34" s="727"/>
      <c r="K34" s="727" t="str">
        <f>IF(D27="","",VLOOKUP(D27,CFRef!$A$2:$BV$192,14,FALSE))</f>
        <v/>
      </c>
      <c r="L34" s="727"/>
      <c r="M34" s="727" t="s">
        <v>751</v>
      </c>
      <c r="N34" s="727"/>
      <c r="O34" s="727"/>
      <c r="P34" s="727"/>
      <c r="Q34" s="1075" t="str">
        <f>IF(D27="","",VLOOKUP(D27,CFRef!$A$2:$BV$192,29,FALSE))</f>
        <v/>
      </c>
      <c r="R34" s="727"/>
      <c r="S34" s="727"/>
      <c r="T34" s="727"/>
      <c r="U34" s="727"/>
      <c r="V34" s="727"/>
      <c r="W34" s="727"/>
      <c r="X34" s="727"/>
      <c r="Y34" s="728"/>
      <c r="Z34" s="1026" t="s">
        <v>60</v>
      </c>
      <c r="AA34" s="727"/>
      <c r="AB34" s="727"/>
      <c r="AC34" s="727"/>
      <c r="AD34" s="727" t="str">
        <f>IF(AC27="","",VLOOKUP(AC27,CFRef!$A$2:$BV$192,13,FALSE))</f>
        <v/>
      </c>
      <c r="AE34" s="727"/>
      <c r="AF34" s="727" t="s">
        <v>902</v>
      </c>
      <c r="AG34" s="727"/>
      <c r="AH34" s="727"/>
      <c r="AI34" s="727"/>
      <c r="AJ34" s="727" t="str">
        <f>IF(AC27="","",VLOOKUP(AC27,CFRef!$A$2:$BV$192,14,FALSE))</f>
        <v/>
      </c>
      <c r="AK34" s="727"/>
      <c r="AL34" s="727" t="s">
        <v>751</v>
      </c>
      <c r="AM34" s="727"/>
      <c r="AN34" s="727"/>
      <c r="AO34" s="727"/>
      <c r="AP34" s="1075" t="str">
        <f>IF(AC27="","",VLOOKUP(AC27,CFRef!$A$2:$BV$192,29,FALSE))</f>
        <v/>
      </c>
      <c r="AQ34" s="727"/>
      <c r="AR34" s="727"/>
      <c r="AS34" s="727"/>
      <c r="AT34" s="727"/>
      <c r="AU34" s="727"/>
      <c r="AV34" s="727"/>
      <c r="AW34" s="727"/>
      <c r="AX34" s="728"/>
    </row>
    <row r="35" spans="1:50" ht="15" customHeight="1" x14ac:dyDescent="0.25">
      <c r="A35" s="1026" t="s">
        <v>904</v>
      </c>
      <c r="B35" s="727"/>
      <c r="C35" s="727"/>
      <c r="D35" s="727"/>
      <c r="E35" s="727"/>
      <c r="F35" s="727"/>
      <c r="G35" s="727"/>
      <c r="H35" s="727"/>
      <c r="I35" s="727"/>
      <c r="J35" s="727"/>
      <c r="K35" s="727"/>
      <c r="L35" s="727"/>
      <c r="M35" s="727" t="s">
        <v>117</v>
      </c>
      <c r="N35" s="727"/>
      <c r="O35" s="727"/>
      <c r="P35" s="727" t="s">
        <v>118</v>
      </c>
      <c r="Q35" s="727"/>
      <c r="R35" s="727"/>
      <c r="S35" s="727" t="s">
        <v>905</v>
      </c>
      <c r="T35" s="727"/>
      <c r="U35" s="727"/>
      <c r="V35" s="727" t="s">
        <v>124</v>
      </c>
      <c r="W35" s="727"/>
      <c r="X35" s="727" t="s">
        <v>121</v>
      </c>
      <c r="Y35" s="728"/>
      <c r="Z35" s="1026" t="s">
        <v>904</v>
      </c>
      <c r="AA35" s="727"/>
      <c r="AB35" s="727"/>
      <c r="AC35" s="727"/>
      <c r="AD35" s="727"/>
      <c r="AE35" s="727"/>
      <c r="AF35" s="727"/>
      <c r="AG35" s="727"/>
      <c r="AH35" s="727"/>
      <c r="AI35" s="727"/>
      <c r="AJ35" s="727"/>
      <c r="AK35" s="727"/>
      <c r="AL35" s="727" t="s">
        <v>117</v>
      </c>
      <c r="AM35" s="727"/>
      <c r="AN35" s="727"/>
      <c r="AO35" s="727" t="s">
        <v>118</v>
      </c>
      <c r="AP35" s="727"/>
      <c r="AQ35" s="727"/>
      <c r="AR35" s="727" t="s">
        <v>905</v>
      </c>
      <c r="AS35" s="727"/>
      <c r="AT35" s="727"/>
      <c r="AU35" s="727" t="s">
        <v>124</v>
      </c>
      <c r="AV35" s="727"/>
      <c r="AW35" s="727" t="s">
        <v>121</v>
      </c>
      <c r="AX35" s="728"/>
    </row>
    <row r="36" spans="1:50" x14ac:dyDescent="0.25">
      <c r="A36" s="1026" t="str">
        <f>IF(D27="","",VLOOKUP(D27,CFRef!$A$2:$BV$192,33,FALSE))</f>
        <v/>
      </c>
      <c r="B36" s="727"/>
      <c r="C36" s="727"/>
      <c r="D36" s="727"/>
      <c r="E36" s="727"/>
      <c r="F36" s="727"/>
      <c r="G36" s="727"/>
      <c r="H36" s="727"/>
      <c r="I36" s="727"/>
      <c r="J36" s="727"/>
      <c r="K36" s="727"/>
      <c r="L36" s="727"/>
      <c r="M36" s="727" t="str">
        <f>IF(D27="","",VLOOKUP(D27,CFRef!$A$2:$BV$192,34,FALSE))</f>
        <v/>
      </c>
      <c r="N36" s="727"/>
      <c r="O36" s="727"/>
      <c r="P36" s="727" t="str">
        <f>IF(D27="","",VLOOKUP(D27,CFRef!$A$2:$BV$192,35,FALSE))</f>
        <v/>
      </c>
      <c r="Q36" s="727"/>
      <c r="R36" s="727"/>
      <c r="S36" s="1075" t="str">
        <f>IF(D27="","",VLOOKUP(D27,CFRef!$A$2:$BV$192,36,FALSE))</f>
        <v/>
      </c>
      <c r="T36" s="727"/>
      <c r="U36" s="727"/>
      <c r="V36" s="727" t="str">
        <f>IF(D27="","",VLOOKUP(D27,CFRef!$A$2:$BV$192,37,FALSE))</f>
        <v/>
      </c>
      <c r="W36" s="727"/>
      <c r="X36" s="727" t="str">
        <f>IF(D27="","",VLOOKUP(D27,CFRef!$A$2:$BV$192,38,FALSE))</f>
        <v/>
      </c>
      <c r="Y36" s="728"/>
      <c r="Z36" s="1026" t="str">
        <f>IF(AC27="","",VLOOKUP(AC27,CFRef!$A$2:$BV$192,33,FALSE))</f>
        <v/>
      </c>
      <c r="AA36" s="727"/>
      <c r="AB36" s="727"/>
      <c r="AC36" s="727"/>
      <c r="AD36" s="727"/>
      <c r="AE36" s="727"/>
      <c r="AF36" s="727"/>
      <c r="AG36" s="727"/>
      <c r="AH36" s="727"/>
      <c r="AI36" s="727"/>
      <c r="AJ36" s="727"/>
      <c r="AK36" s="727"/>
      <c r="AL36" s="727" t="str">
        <f>IF(AC27="","",VLOOKUP(AC27,CFRef!$A$2:$BV$192,34,FALSE))</f>
        <v/>
      </c>
      <c r="AM36" s="727"/>
      <c r="AN36" s="727"/>
      <c r="AO36" s="727" t="str">
        <f>IF(AC27="","",VLOOKUP(AC27,CFRef!$A$2:$BV$192,35,FALSE))</f>
        <v/>
      </c>
      <c r="AP36" s="727"/>
      <c r="AQ36" s="727"/>
      <c r="AR36" s="1075" t="str">
        <f>IF(AC27="","",VLOOKUP(AC27,CFRef!$A$2:$BV$192,36,FALSE))</f>
        <v/>
      </c>
      <c r="AS36" s="727"/>
      <c r="AT36" s="727"/>
      <c r="AU36" s="727" t="str">
        <f>IF(AC27="","",VLOOKUP(AC27,CFRef!$A$2:$BV$192,37,FALSE))</f>
        <v/>
      </c>
      <c r="AV36" s="727"/>
      <c r="AW36" s="727" t="str">
        <f>IF(AC27="","",VLOOKUP(AC27,CFRef!$A$2:$BV$192,38,FALSE))</f>
        <v/>
      </c>
      <c r="AX36" s="728"/>
    </row>
    <row r="37" spans="1:50" x14ac:dyDescent="0.25">
      <c r="A37" s="1026" t="str">
        <f>IF(D27="","",VLOOKUP(D27,CFRef!$A$2:$BV$192,39,FALSE))</f>
        <v/>
      </c>
      <c r="B37" s="727"/>
      <c r="C37" s="727"/>
      <c r="D37" s="727"/>
      <c r="E37" s="727"/>
      <c r="F37" s="727"/>
      <c r="G37" s="727"/>
      <c r="H37" s="727"/>
      <c r="I37" s="727"/>
      <c r="J37" s="727"/>
      <c r="K37" s="727"/>
      <c r="L37" s="727"/>
      <c r="M37" s="727" t="str">
        <f>IF(D27="","",VLOOKUP(D27,CFRef!$A$2:$BV$192,40,FALSE))</f>
        <v/>
      </c>
      <c r="N37" s="727"/>
      <c r="O37" s="727"/>
      <c r="P37" s="727" t="str">
        <f>IF(D27="","",VLOOKUP(D27,CFRef!$A$2:$BV$192,41,FALSE))</f>
        <v/>
      </c>
      <c r="Q37" s="727"/>
      <c r="R37" s="727"/>
      <c r="S37" s="1075" t="str">
        <f>IF(D27="","",VLOOKUP(D27,CFRef!$A$2:$BV$192,42,FALSE))</f>
        <v/>
      </c>
      <c r="T37" s="727"/>
      <c r="U37" s="727"/>
      <c r="V37" s="727" t="str">
        <f>IF(D27="","",VLOOKUP(D27,CFRef!$A$2:$BV$192,43,FALSE))</f>
        <v/>
      </c>
      <c r="W37" s="727"/>
      <c r="X37" s="727" t="str">
        <f>IF(D27="","",VLOOKUP(D27,CFRef!$A$2:$BV$192,44,FALSE))</f>
        <v/>
      </c>
      <c r="Y37" s="728"/>
      <c r="Z37" s="1026" t="str">
        <f>IF(AC27="","",VLOOKUP(AC27,CFRef!$A$2:$BV$192,39,FALSE))</f>
        <v/>
      </c>
      <c r="AA37" s="727"/>
      <c r="AB37" s="727"/>
      <c r="AC37" s="727"/>
      <c r="AD37" s="727"/>
      <c r="AE37" s="727"/>
      <c r="AF37" s="727"/>
      <c r="AG37" s="727"/>
      <c r="AH37" s="727"/>
      <c r="AI37" s="727"/>
      <c r="AJ37" s="727"/>
      <c r="AK37" s="727"/>
      <c r="AL37" s="727" t="str">
        <f>IF(AC27="","",VLOOKUP(AC27,CFRef!$A$2:$BV$192,40,FALSE))</f>
        <v/>
      </c>
      <c r="AM37" s="727"/>
      <c r="AN37" s="727"/>
      <c r="AO37" s="727" t="str">
        <f>IF(AC27="","",VLOOKUP(AC27,CFRef!$A$2:$BV$192,41,FALSE))</f>
        <v/>
      </c>
      <c r="AP37" s="727"/>
      <c r="AQ37" s="727"/>
      <c r="AR37" s="1075" t="str">
        <f>IF(AC27="","",VLOOKUP(AC27,CFRef!$A$2:$BV$192,42,FALSE))</f>
        <v/>
      </c>
      <c r="AS37" s="727"/>
      <c r="AT37" s="727"/>
      <c r="AU37" s="727" t="str">
        <f>IF(AC27="","",VLOOKUP(AC27,CFRef!$A$2:$BV$192,43,FALSE))</f>
        <v/>
      </c>
      <c r="AV37" s="727"/>
      <c r="AW37" s="727" t="str">
        <f>IF(AC27="","",VLOOKUP(AC27,CFRef!$A$2:$BV$192,44,FALSE))</f>
        <v/>
      </c>
      <c r="AX37" s="728"/>
    </row>
    <row r="38" spans="1:50" x14ac:dyDescent="0.25">
      <c r="A38" s="1026" t="str">
        <f>IF(D27="","",VLOOKUP(D27,CFRef!$A$2:$BV$192,45,FALSE))</f>
        <v/>
      </c>
      <c r="B38" s="727"/>
      <c r="C38" s="727"/>
      <c r="D38" s="727"/>
      <c r="E38" s="727"/>
      <c r="F38" s="727"/>
      <c r="G38" s="727"/>
      <c r="H38" s="727"/>
      <c r="I38" s="727"/>
      <c r="J38" s="727"/>
      <c r="K38" s="727"/>
      <c r="L38" s="727"/>
      <c r="M38" s="727" t="str">
        <f>IF(D27="","",VLOOKUP(D27,CFRef!$A$2:$BV$192,46,FALSE))</f>
        <v/>
      </c>
      <c r="N38" s="727"/>
      <c r="O38" s="727"/>
      <c r="P38" s="727" t="str">
        <f>IF(D27="","",VLOOKUP(D27,CFRef!$A$2:$BV$192,47,FALSE))</f>
        <v/>
      </c>
      <c r="Q38" s="727"/>
      <c r="R38" s="727"/>
      <c r="S38" s="1075" t="str">
        <f>IF(D27="","",VLOOKUP(D27,CFRef!$A$2:$BV$192,48,FALSE))</f>
        <v/>
      </c>
      <c r="T38" s="727"/>
      <c r="U38" s="727"/>
      <c r="V38" s="727" t="str">
        <f>IF(D27="","",VLOOKUP(D27,CFRef!$A$2:$BV$192,49,FALSE))</f>
        <v/>
      </c>
      <c r="W38" s="727"/>
      <c r="X38" s="727" t="str">
        <f>IF(D27="","",VLOOKUP(D27,CFRef!$A$2:$BV$192,50,FALSE))</f>
        <v/>
      </c>
      <c r="Y38" s="728"/>
      <c r="Z38" s="1026" t="str">
        <f>IF(AC27="","",VLOOKUP(AC27,CFRef!$A$2:$BV$192,45,FALSE))</f>
        <v/>
      </c>
      <c r="AA38" s="727"/>
      <c r="AB38" s="727"/>
      <c r="AC38" s="727"/>
      <c r="AD38" s="727"/>
      <c r="AE38" s="727"/>
      <c r="AF38" s="727"/>
      <c r="AG38" s="727"/>
      <c r="AH38" s="727"/>
      <c r="AI38" s="727"/>
      <c r="AJ38" s="727"/>
      <c r="AK38" s="727"/>
      <c r="AL38" s="727" t="str">
        <f>IF(AC27="","",VLOOKUP(AC27,CFRef!$A$2:$BV$192,46,FALSE))</f>
        <v/>
      </c>
      <c r="AM38" s="727"/>
      <c r="AN38" s="727"/>
      <c r="AO38" s="727" t="str">
        <f>IF(AC27="","",VLOOKUP(AC27,CFRef!$A$2:$BV$192,47,FALSE))</f>
        <v/>
      </c>
      <c r="AP38" s="727"/>
      <c r="AQ38" s="727"/>
      <c r="AR38" s="1075" t="str">
        <f>IF(AC27="","",VLOOKUP(AC27,CFRef!$A$2:$BV$192,48,FALSE))</f>
        <v/>
      </c>
      <c r="AS38" s="727"/>
      <c r="AT38" s="727"/>
      <c r="AU38" s="727" t="str">
        <f>IF(AC27="","",VLOOKUP(AC27,CFRef!$A$2:$BV$192,49,FALSE))</f>
        <v/>
      </c>
      <c r="AV38" s="727"/>
      <c r="AW38" s="727" t="str">
        <f>IF(AC27="","",VLOOKUP(AC27,CFRef!$A$2:$BV$192,50,FALSE))</f>
        <v/>
      </c>
      <c r="AX38" s="728"/>
    </row>
    <row r="39" spans="1:50" x14ac:dyDescent="0.25">
      <c r="A39" s="1026" t="str">
        <f>IF(D27="","",VLOOKUP(D27,CFRef!$A$2:$BV$192,51,FALSE))</f>
        <v/>
      </c>
      <c r="B39" s="727"/>
      <c r="C39" s="727"/>
      <c r="D39" s="727"/>
      <c r="E39" s="727"/>
      <c r="F39" s="727"/>
      <c r="G39" s="727"/>
      <c r="H39" s="727"/>
      <c r="I39" s="727"/>
      <c r="J39" s="727"/>
      <c r="K39" s="727"/>
      <c r="L39" s="727"/>
      <c r="M39" s="727" t="str">
        <f>IF(D27="","",VLOOKUP(D27,CFRef!$A$2:$BV$192,52,FALSE))</f>
        <v/>
      </c>
      <c r="N39" s="727"/>
      <c r="O39" s="727"/>
      <c r="P39" s="727" t="str">
        <f>IF(D27="","",VLOOKUP(D27,CFRef!$A$2:$BV$192,53,FALSE))</f>
        <v/>
      </c>
      <c r="Q39" s="727"/>
      <c r="R39" s="727"/>
      <c r="S39" s="1075" t="str">
        <f>IF(D27="","",VLOOKUP(D27,CFRef!$A$2:$BV$192,54,FALSE))</f>
        <v/>
      </c>
      <c r="T39" s="727"/>
      <c r="U39" s="727"/>
      <c r="V39" s="727" t="str">
        <f>IF(D27="","",VLOOKUP(D27,CFRef!$A$2:$BV$192,55,FALSE))</f>
        <v/>
      </c>
      <c r="W39" s="727"/>
      <c r="X39" s="727" t="str">
        <f>IF(D27="","",VLOOKUP(D27,CFRef!$A$2:$BV$192,56,FALSE))</f>
        <v/>
      </c>
      <c r="Y39" s="728"/>
      <c r="Z39" s="1026" t="str">
        <f>IF(AC27="","",VLOOKUP(AC27,CFRef!$A$2:$BV$192,51,FALSE))</f>
        <v/>
      </c>
      <c r="AA39" s="727"/>
      <c r="AB39" s="727"/>
      <c r="AC39" s="727"/>
      <c r="AD39" s="727"/>
      <c r="AE39" s="727"/>
      <c r="AF39" s="727"/>
      <c r="AG39" s="727"/>
      <c r="AH39" s="727"/>
      <c r="AI39" s="727"/>
      <c r="AJ39" s="727"/>
      <c r="AK39" s="727"/>
      <c r="AL39" s="727" t="str">
        <f>IF(AC27="","",VLOOKUP(AC27,CFRef!$A$2:$BV$192,52,FALSE))</f>
        <v/>
      </c>
      <c r="AM39" s="727"/>
      <c r="AN39" s="727"/>
      <c r="AO39" s="727" t="str">
        <f>IF(AC27="","",VLOOKUP(AC27,CFRef!$A$2:$BV$192,53,FALSE))</f>
        <v/>
      </c>
      <c r="AP39" s="727"/>
      <c r="AQ39" s="727"/>
      <c r="AR39" s="1075" t="str">
        <f>IF(AC27="","",VLOOKUP(AC27,CFRef!$A$2:$BV$192,54,FALSE))</f>
        <v/>
      </c>
      <c r="AS39" s="727"/>
      <c r="AT39" s="727"/>
      <c r="AU39" s="727" t="str">
        <f>IF(AC27="","",VLOOKUP(AC27,CFRef!$A$2:$BV$192,55,FALSE))</f>
        <v/>
      </c>
      <c r="AV39" s="727"/>
      <c r="AW39" s="727" t="str">
        <f>IF(AC27="","",VLOOKUP(AC27,CFRef!$A$2:$BV$192,56,FALSE))</f>
        <v/>
      </c>
      <c r="AX39" s="728"/>
    </row>
    <row r="40" spans="1:50" x14ac:dyDescent="0.25">
      <c r="A40" s="1026" t="str">
        <f>IF(D27="","",VLOOKUP(D27,CFRef!$A$2:$BV$192,57,FALSE))</f>
        <v/>
      </c>
      <c r="B40" s="727"/>
      <c r="C40" s="727"/>
      <c r="D40" s="727"/>
      <c r="E40" s="727"/>
      <c r="F40" s="727"/>
      <c r="G40" s="727"/>
      <c r="H40" s="727"/>
      <c r="I40" s="727"/>
      <c r="J40" s="727"/>
      <c r="K40" s="727"/>
      <c r="L40" s="727"/>
      <c r="M40" s="727" t="str">
        <f>IF(D27="","",VLOOKUP(D27,CFRef!$A$2:$BV$192,58,FALSE))</f>
        <v/>
      </c>
      <c r="N40" s="727"/>
      <c r="O40" s="727"/>
      <c r="P40" s="727" t="str">
        <f>IF(D27="","",VLOOKUP(D27,CFRef!$A$2:$BV$192,59,FALSE))</f>
        <v/>
      </c>
      <c r="Q40" s="727"/>
      <c r="R40" s="727"/>
      <c r="S40" s="1075" t="str">
        <f>IF(D27="","",VLOOKUP(D27,CFRef!$A$2:$BV$192,60,FALSE))</f>
        <v/>
      </c>
      <c r="T40" s="727"/>
      <c r="U40" s="727"/>
      <c r="V40" s="727" t="str">
        <f>IF(D27="","",VLOOKUP(D27,CFRef!$A$2:$BV$192,61,FALSE))</f>
        <v/>
      </c>
      <c r="W40" s="727"/>
      <c r="X40" s="727" t="str">
        <f>IF(D27="","",VLOOKUP(D27,CFRef!$A$2:$BV$192,62,FALSE))</f>
        <v/>
      </c>
      <c r="Y40" s="728"/>
      <c r="Z40" s="1026" t="str">
        <f>IF(AC27="","",VLOOKUP(AC27,CFRef!$A$2:$BV$192,57,FALSE))</f>
        <v/>
      </c>
      <c r="AA40" s="727"/>
      <c r="AB40" s="727"/>
      <c r="AC40" s="727"/>
      <c r="AD40" s="727"/>
      <c r="AE40" s="727"/>
      <c r="AF40" s="727"/>
      <c r="AG40" s="727"/>
      <c r="AH40" s="727"/>
      <c r="AI40" s="727"/>
      <c r="AJ40" s="727"/>
      <c r="AK40" s="727"/>
      <c r="AL40" s="727" t="str">
        <f>IF(AC27="","",VLOOKUP(AC27,CFRef!$A$2:$BV$192,58,FALSE))</f>
        <v/>
      </c>
      <c r="AM40" s="727"/>
      <c r="AN40" s="727"/>
      <c r="AO40" s="727" t="str">
        <f>IF(AC27="","",VLOOKUP(AC27,CFRef!$A$2:$BV$192,59,FALSE))</f>
        <v/>
      </c>
      <c r="AP40" s="727"/>
      <c r="AQ40" s="727"/>
      <c r="AR40" s="1075" t="str">
        <f>IF(AC27="","",VLOOKUP(AC27,CFRef!$A$2:$BV$192,60,FALSE))</f>
        <v/>
      </c>
      <c r="AS40" s="727"/>
      <c r="AT40" s="727"/>
      <c r="AU40" s="727" t="str">
        <f>IF(AC27="","",VLOOKUP(AC27,CFRef!$A$2:$BV$192,61,FALSE))</f>
        <v/>
      </c>
      <c r="AV40" s="727"/>
      <c r="AW40" s="727" t="str">
        <f>IF(AC27="","",VLOOKUP(AC27,CFRef!$A$2:$BV$192,62,FALSE))</f>
        <v/>
      </c>
      <c r="AX40" s="728"/>
    </row>
    <row r="41" spans="1:50" x14ac:dyDescent="0.25">
      <c r="A41" s="1026" t="str">
        <f>IF(D27="","",VLOOKUP(D27,CFRef!$A$2:$BV$192,63,FALSE))</f>
        <v/>
      </c>
      <c r="B41" s="727"/>
      <c r="C41" s="727"/>
      <c r="D41" s="727"/>
      <c r="E41" s="727"/>
      <c r="F41" s="727"/>
      <c r="G41" s="727"/>
      <c r="H41" s="727"/>
      <c r="I41" s="727"/>
      <c r="J41" s="727"/>
      <c r="K41" s="727"/>
      <c r="L41" s="727"/>
      <c r="M41" s="727" t="str">
        <f>IF(D27="","",VLOOKUP(D27,CFRef!$A$2:$BV$192,64,FALSE))</f>
        <v/>
      </c>
      <c r="N41" s="727"/>
      <c r="O41" s="727"/>
      <c r="P41" s="727" t="str">
        <f>IF(D27="","",VLOOKUP(D27,CFRef!$A$2:$BV$192,65,FALSE))</f>
        <v/>
      </c>
      <c r="Q41" s="727"/>
      <c r="R41" s="727"/>
      <c r="S41" s="1075" t="str">
        <f>IF(D27="","",VLOOKUP(D27,CFRef!$A$2:$BV$192,66,FALSE))</f>
        <v/>
      </c>
      <c r="T41" s="727"/>
      <c r="U41" s="727"/>
      <c r="V41" s="727" t="str">
        <f>IF(D27="","",VLOOKUP(D27,CFRef!$A$2:$BV$192,67,FALSE))</f>
        <v/>
      </c>
      <c r="W41" s="727"/>
      <c r="X41" s="727" t="str">
        <f>IF(D27="","",VLOOKUP(D27,CFRef!$A$2:$BV$192,68,FALSE))</f>
        <v/>
      </c>
      <c r="Y41" s="728"/>
      <c r="Z41" s="1026" t="str">
        <f>IF(AC27="","",VLOOKUP(AC27,CFRef!$A$2:$BV$192,63,FALSE))</f>
        <v/>
      </c>
      <c r="AA41" s="727"/>
      <c r="AB41" s="727"/>
      <c r="AC41" s="727"/>
      <c r="AD41" s="727"/>
      <c r="AE41" s="727"/>
      <c r="AF41" s="727"/>
      <c r="AG41" s="727"/>
      <c r="AH41" s="727"/>
      <c r="AI41" s="727"/>
      <c r="AJ41" s="727"/>
      <c r="AK41" s="727"/>
      <c r="AL41" s="727" t="str">
        <f>IF(AC27="","",VLOOKUP(AC27,CFRef!$A$2:$BV$192,64,FALSE))</f>
        <v/>
      </c>
      <c r="AM41" s="727"/>
      <c r="AN41" s="727"/>
      <c r="AO41" s="727" t="str">
        <f>IF(AC27="","",VLOOKUP(AC27,CFRef!$A$2:$BV$192,65,FALSE))</f>
        <v/>
      </c>
      <c r="AP41" s="727"/>
      <c r="AQ41" s="727"/>
      <c r="AR41" s="1075" t="str">
        <f>IF(AC27="","",VLOOKUP(AC27,CFRef!$A$2:$BV$192,66,FALSE))</f>
        <v/>
      </c>
      <c r="AS41" s="727"/>
      <c r="AT41" s="727"/>
      <c r="AU41" s="727" t="str">
        <f>IF(AC27="","",VLOOKUP(AC27,CFRef!$A$2:$BV$192,67,FALSE))</f>
        <v/>
      </c>
      <c r="AV41" s="727"/>
      <c r="AW41" s="727" t="str">
        <f>IF(AC27="","",VLOOKUP(AC27,CFRef!$A$2:$BV$192,68,FALSE))</f>
        <v/>
      </c>
      <c r="AX41" s="728"/>
    </row>
    <row r="42" spans="1:50" x14ac:dyDescent="0.25">
      <c r="A42" s="1026" t="str">
        <f>IF(D27="","",VLOOKUP(D27,CFRef!$A$2:$BV$192,69,FALSE))</f>
        <v/>
      </c>
      <c r="B42" s="727"/>
      <c r="C42" s="727"/>
      <c r="D42" s="727"/>
      <c r="E42" s="727"/>
      <c r="F42" s="727"/>
      <c r="G42" s="727"/>
      <c r="H42" s="727"/>
      <c r="I42" s="727"/>
      <c r="J42" s="727"/>
      <c r="K42" s="727"/>
      <c r="L42" s="727"/>
      <c r="M42" s="727" t="str">
        <f>IF(D27="","",VLOOKUP(D27,CFRef!$A$2:$BV$192,70,FALSE))</f>
        <v/>
      </c>
      <c r="N42" s="727"/>
      <c r="O42" s="727"/>
      <c r="P42" s="727" t="str">
        <f>IF(D27="","",VLOOKUP(D27,CFRef!$A$2:$BV$192,71,FALSE))</f>
        <v/>
      </c>
      <c r="Q42" s="727"/>
      <c r="R42" s="727"/>
      <c r="S42" s="1075" t="str">
        <f>IF(D27="","",VLOOKUP(D27,CFRef!$A$2:$BV$192,72,FALSE))</f>
        <v/>
      </c>
      <c r="T42" s="727"/>
      <c r="U42" s="727"/>
      <c r="V42" s="727" t="str">
        <f>IF(D27="","",VLOOKUP(D27,CFRef!$A$2:$BV$192,73,FALSE))</f>
        <v/>
      </c>
      <c r="W42" s="727"/>
      <c r="X42" s="727" t="str">
        <f>IF(D27="","",VLOOKUP(D27,CFRef!$A$2:$BV$192,74,FALSE))</f>
        <v/>
      </c>
      <c r="Y42" s="728"/>
      <c r="Z42" s="1026" t="str">
        <f>IF(AC27="","",VLOOKUP(AC27,CFRef!$A$2:$BV$192,69,FALSE))</f>
        <v/>
      </c>
      <c r="AA42" s="727"/>
      <c r="AB42" s="727"/>
      <c r="AC42" s="727"/>
      <c r="AD42" s="727"/>
      <c r="AE42" s="727"/>
      <c r="AF42" s="727"/>
      <c r="AG42" s="727"/>
      <c r="AH42" s="727"/>
      <c r="AI42" s="727"/>
      <c r="AJ42" s="727"/>
      <c r="AK42" s="727"/>
      <c r="AL42" s="727" t="str">
        <f>IF(AC27="","",VLOOKUP(AC27,CFRef!$A$2:$BV$192,70,FALSE))</f>
        <v/>
      </c>
      <c r="AM42" s="727"/>
      <c r="AN42" s="727"/>
      <c r="AO42" s="727" t="str">
        <f>IF(AC27="","",VLOOKUP(AC27,CFRef!$A$2:$BV$192,71,FALSE))</f>
        <v/>
      </c>
      <c r="AP42" s="727"/>
      <c r="AQ42" s="727"/>
      <c r="AR42" s="1075" t="str">
        <f>IF(AC27="","",VLOOKUP(AC27,CFRef!$A$2:$BV$192,72,FALSE))</f>
        <v/>
      </c>
      <c r="AS42" s="727"/>
      <c r="AT42" s="727"/>
      <c r="AU42" s="727" t="str">
        <f>IF(AC27="","",VLOOKUP(AC27,CFRef!$A$2:$BV$192,73,FALSE))</f>
        <v/>
      </c>
      <c r="AV42" s="727"/>
      <c r="AW42" s="727" t="str">
        <f>IF(AC27="","",VLOOKUP(AC27,CFRef!$A$2:$BV$192,74,FALSE))</f>
        <v/>
      </c>
      <c r="AX42" s="728"/>
    </row>
    <row r="43" spans="1:50" ht="15" customHeight="1" x14ac:dyDescent="0.25">
      <c r="A43" s="1026" t="s">
        <v>906</v>
      </c>
      <c r="B43" s="727"/>
      <c r="C43" s="727"/>
      <c r="D43" s="727"/>
      <c r="E43" s="727"/>
      <c r="F43" s="727"/>
      <c r="G43" s="727"/>
      <c r="H43" s="727"/>
      <c r="I43" s="727"/>
      <c r="J43" s="727"/>
      <c r="K43" s="727"/>
      <c r="L43" s="727"/>
      <c r="M43" s="727"/>
      <c r="N43" s="727"/>
      <c r="O43" s="727"/>
      <c r="P43" s="727" t="s">
        <v>907</v>
      </c>
      <c r="Q43" s="727"/>
      <c r="R43" s="727"/>
      <c r="S43" s="727"/>
      <c r="T43" s="727"/>
      <c r="U43" s="727"/>
      <c r="V43" s="727"/>
      <c r="W43" s="727"/>
      <c r="X43" s="727"/>
      <c r="Y43" s="728"/>
      <c r="Z43" s="1026" t="s">
        <v>906</v>
      </c>
      <c r="AA43" s="727"/>
      <c r="AB43" s="727"/>
      <c r="AC43" s="727"/>
      <c r="AD43" s="727"/>
      <c r="AE43" s="727"/>
      <c r="AF43" s="727"/>
      <c r="AG43" s="727"/>
      <c r="AH43" s="727"/>
      <c r="AI43" s="727"/>
      <c r="AJ43" s="727"/>
      <c r="AK43" s="727"/>
      <c r="AL43" s="727"/>
      <c r="AM43" s="727"/>
      <c r="AN43" s="727"/>
      <c r="AO43" s="727" t="s">
        <v>907</v>
      </c>
      <c r="AP43" s="727"/>
      <c r="AQ43" s="727"/>
      <c r="AR43" s="727"/>
      <c r="AS43" s="727"/>
      <c r="AT43" s="727"/>
      <c r="AU43" s="727"/>
      <c r="AV43" s="727"/>
      <c r="AW43" s="727"/>
      <c r="AX43" s="728"/>
    </row>
    <row r="44" spans="1:50" x14ac:dyDescent="0.25">
      <c r="A44" s="1026" t="str">
        <f>IF(D27="","",VLOOKUP(D27,CFRef!$A$2:$BV$192,31,FALSE))</f>
        <v/>
      </c>
      <c r="B44" s="727"/>
      <c r="C44" s="727"/>
      <c r="D44" s="727"/>
      <c r="E44" s="727"/>
      <c r="F44" s="727"/>
      <c r="G44" s="727"/>
      <c r="H44" s="727"/>
      <c r="I44" s="727"/>
      <c r="J44" s="727"/>
      <c r="K44" s="727"/>
      <c r="L44" s="727"/>
      <c r="M44" s="727"/>
      <c r="N44" s="727"/>
      <c r="O44" s="727"/>
      <c r="P44" s="727" t="str">
        <f>IF(D27="","",VLOOKUP(D27,CFRef!$A$2:$BV$192,32,FALSE))</f>
        <v/>
      </c>
      <c r="Q44" s="727"/>
      <c r="R44" s="727"/>
      <c r="S44" s="727"/>
      <c r="T44" s="727"/>
      <c r="U44" s="727"/>
      <c r="V44" s="727"/>
      <c r="W44" s="727"/>
      <c r="X44" s="727"/>
      <c r="Y44" s="728"/>
      <c r="Z44" s="1026" t="str">
        <f>IF(AC27="","",VLOOKUP(AC27,CFRef!$A$2:$BV$192,31,FALSE))</f>
        <v/>
      </c>
      <c r="AA44" s="727"/>
      <c r="AB44" s="727"/>
      <c r="AC44" s="727"/>
      <c r="AD44" s="727"/>
      <c r="AE44" s="727"/>
      <c r="AF44" s="727"/>
      <c r="AG44" s="727"/>
      <c r="AH44" s="727"/>
      <c r="AI44" s="727"/>
      <c r="AJ44" s="727"/>
      <c r="AK44" s="727"/>
      <c r="AL44" s="727"/>
      <c r="AM44" s="727"/>
      <c r="AN44" s="727"/>
      <c r="AO44" s="727" t="str">
        <f>IF(AC27="","",VLOOKUP(AC27,CFRef!$A$2:$BV$192,32,FALSE))</f>
        <v/>
      </c>
      <c r="AP44" s="727"/>
      <c r="AQ44" s="727"/>
      <c r="AR44" s="727"/>
      <c r="AS44" s="727"/>
      <c r="AT44" s="727"/>
      <c r="AU44" s="727"/>
      <c r="AV44" s="727"/>
      <c r="AW44" s="727"/>
      <c r="AX44" s="728"/>
    </row>
    <row r="45" spans="1:50" x14ac:dyDescent="0.25">
      <c r="A45" s="1026"/>
      <c r="B45" s="727"/>
      <c r="C45" s="727"/>
      <c r="D45" s="727"/>
      <c r="E45" s="727"/>
      <c r="F45" s="727"/>
      <c r="G45" s="727"/>
      <c r="H45" s="727"/>
      <c r="I45" s="727"/>
      <c r="J45" s="727"/>
      <c r="K45" s="727"/>
      <c r="L45" s="727"/>
      <c r="M45" s="727"/>
      <c r="N45" s="727"/>
      <c r="O45" s="727"/>
      <c r="P45" s="727"/>
      <c r="Q45" s="727"/>
      <c r="R45" s="727"/>
      <c r="S45" s="727"/>
      <c r="T45" s="727"/>
      <c r="U45" s="727"/>
      <c r="V45" s="727"/>
      <c r="W45" s="727"/>
      <c r="X45" s="727"/>
      <c r="Y45" s="728"/>
      <c r="Z45" s="1026"/>
      <c r="AA45" s="727"/>
      <c r="AB45" s="727"/>
      <c r="AC45" s="727"/>
      <c r="AD45" s="727"/>
      <c r="AE45" s="727"/>
      <c r="AF45" s="727"/>
      <c r="AG45" s="727"/>
      <c r="AH45" s="727"/>
      <c r="AI45" s="727"/>
      <c r="AJ45" s="727"/>
      <c r="AK45" s="727"/>
      <c r="AL45" s="727"/>
      <c r="AM45" s="727"/>
      <c r="AN45" s="727"/>
      <c r="AO45" s="727"/>
      <c r="AP45" s="727"/>
      <c r="AQ45" s="727"/>
      <c r="AR45" s="727"/>
      <c r="AS45" s="727"/>
      <c r="AT45" s="727"/>
      <c r="AU45" s="727"/>
      <c r="AV45" s="727"/>
      <c r="AW45" s="727"/>
      <c r="AX45" s="728"/>
    </row>
    <row r="46" spans="1:50" x14ac:dyDescent="0.25">
      <c r="A46" s="1026"/>
      <c r="B46" s="727"/>
      <c r="C46" s="727"/>
      <c r="D46" s="727"/>
      <c r="E46" s="727"/>
      <c r="F46" s="727"/>
      <c r="G46" s="727"/>
      <c r="H46" s="727"/>
      <c r="I46" s="727"/>
      <c r="J46" s="727"/>
      <c r="K46" s="727"/>
      <c r="L46" s="727"/>
      <c r="M46" s="727"/>
      <c r="N46" s="727"/>
      <c r="O46" s="727"/>
      <c r="P46" s="727"/>
      <c r="Q46" s="727"/>
      <c r="R46" s="727"/>
      <c r="S46" s="727"/>
      <c r="T46" s="727"/>
      <c r="U46" s="727"/>
      <c r="V46" s="727"/>
      <c r="W46" s="727"/>
      <c r="X46" s="727"/>
      <c r="Y46" s="728"/>
      <c r="Z46" s="1026"/>
      <c r="AA46" s="727"/>
      <c r="AB46" s="727"/>
      <c r="AC46" s="727"/>
      <c r="AD46" s="727"/>
      <c r="AE46" s="727"/>
      <c r="AF46" s="727"/>
      <c r="AG46" s="727"/>
      <c r="AH46" s="727"/>
      <c r="AI46" s="727"/>
      <c r="AJ46" s="727"/>
      <c r="AK46" s="727"/>
      <c r="AL46" s="727"/>
      <c r="AM46" s="727"/>
      <c r="AN46" s="727"/>
      <c r="AO46" s="727"/>
      <c r="AP46" s="727"/>
      <c r="AQ46" s="727"/>
      <c r="AR46" s="727"/>
      <c r="AS46" s="727"/>
      <c r="AT46" s="727"/>
      <c r="AU46" s="727"/>
      <c r="AV46" s="727"/>
      <c r="AW46" s="727"/>
      <c r="AX46" s="728"/>
    </row>
    <row r="47" spans="1:50" x14ac:dyDescent="0.25">
      <c r="A47" s="1026"/>
      <c r="B47" s="727"/>
      <c r="C47" s="727"/>
      <c r="D47" s="727"/>
      <c r="E47" s="727"/>
      <c r="F47" s="727"/>
      <c r="G47" s="727"/>
      <c r="H47" s="727"/>
      <c r="I47" s="727"/>
      <c r="J47" s="727"/>
      <c r="K47" s="727"/>
      <c r="L47" s="727"/>
      <c r="M47" s="727"/>
      <c r="N47" s="727"/>
      <c r="O47" s="727"/>
      <c r="P47" s="727"/>
      <c r="Q47" s="727"/>
      <c r="R47" s="727"/>
      <c r="S47" s="727"/>
      <c r="T47" s="727"/>
      <c r="U47" s="727"/>
      <c r="V47" s="727"/>
      <c r="W47" s="727"/>
      <c r="X47" s="727"/>
      <c r="Y47" s="728"/>
      <c r="Z47" s="1026"/>
      <c r="AA47" s="727"/>
      <c r="AB47" s="727"/>
      <c r="AC47" s="727"/>
      <c r="AD47" s="727"/>
      <c r="AE47" s="727"/>
      <c r="AF47" s="727"/>
      <c r="AG47" s="727"/>
      <c r="AH47" s="727"/>
      <c r="AI47" s="727"/>
      <c r="AJ47" s="727"/>
      <c r="AK47" s="727"/>
      <c r="AL47" s="727"/>
      <c r="AM47" s="727"/>
      <c r="AN47" s="727"/>
      <c r="AO47" s="727"/>
      <c r="AP47" s="727"/>
      <c r="AQ47" s="727"/>
      <c r="AR47" s="727"/>
      <c r="AS47" s="727"/>
      <c r="AT47" s="727"/>
      <c r="AU47" s="727"/>
      <c r="AV47" s="727"/>
      <c r="AW47" s="727"/>
      <c r="AX47" s="728"/>
    </row>
    <row r="48" spans="1:50" ht="15.75" thickBot="1" x14ac:dyDescent="0.3">
      <c r="A48" s="1027"/>
      <c r="B48" s="865"/>
      <c r="C48" s="865"/>
      <c r="D48" s="865"/>
      <c r="E48" s="865"/>
      <c r="F48" s="865"/>
      <c r="G48" s="865"/>
      <c r="H48" s="865"/>
      <c r="I48" s="865"/>
      <c r="J48" s="865"/>
      <c r="K48" s="865"/>
      <c r="L48" s="865"/>
      <c r="M48" s="865"/>
      <c r="N48" s="865"/>
      <c r="O48" s="865"/>
      <c r="P48" s="865"/>
      <c r="Q48" s="865"/>
      <c r="R48" s="865"/>
      <c r="S48" s="865"/>
      <c r="T48" s="865"/>
      <c r="U48" s="865"/>
      <c r="V48" s="865"/>
      <c r="W48" s="865"/>
      <c r="X48" s="865"/>
      <c r="Y48" s="921"/>
      <c r="Z48" s="1027"/>
      <c r="AA48" s="865"/>
      <c r="AB48" s="865"/>
      <c r="AC48" s="865"/>
      <c r="AD48" s="865"/>
      <c r="AE48" s="865"/>
      <c r="AF48" s="865"/>
      <c r="AG48" s="865"/>
      <c r="AH48" s="865"/>
      <c r="AI48" s="865"/>
      <c r="AJ48" s="865"/>
      <c r="AK48" s="865"/>
      <c r="AL48" s="865"/>
      <c r="AM48" s="865"/>
      <c r="AN48" s="865"/>
      <c r="AO48" s="865"/>
      <c r="AP48" s="865"/>
      <c r="AQ48" s="865"/>
      <c r="AR48" s="865"/>
      <c r="AS48" s="865"/>
      <c r="AT48" s="865"/>
      <c r="AU48" s="865"/>
      <c r="AV48" s="865"/>
      <c r="AW48" s="865"/>
      <c r="AX48" s="921"/>
    </row>
    <row r="49" spans="1:50" ht="15" customHeight="1" x14ac:dyDescent="0.25">
      <c r="A49" s="1028" t="s">
        <v>75</v>
      </c>
      <c r="B49" s="725"/>
      <c r="C49" s="725"/>
      <c r="D49" s="1073"/>
      <c r="E49" s="1073"/>
      <c r="F49" s="1073"/>
      <c r="G49" s="1073"/>
      <c r="H49" s="1073"/>
      <c r="I49" s="1073"/>
      <c r="J49" s="1073"/>
      <c r="K49" s="1073"/>
      <c r="L49" s="1073"/>
      <c r="M49" s="1073"/>
      <c r="N49" s="725" t="s">
        <v>892</v>
      </c>
      <c r="O49" s="725"/>
      <c r="P49" s="725" t="str">
        <f>IF(D51="","",VLOOKUP(D51,CFRef!$A$2:$BV$192,4,FALSE))</f>
        <v/>
      </c>
      <c r="Q49" s="725"/>
      <c r="R49" s="725" t="s">
        <v>895</v>
      </c>
      <c r="S49" s="725"/>
      <c r="T49" s="725" t="str">
        <f>IF(D51="","",VLOOKUP(D51,CFRef!$A$2:$BV$192,7,FALSE))</f>
        <v/>
      </c>
      <c r="U49" s="725"/>
      <c r="V49" s="725" t="s">
        <v>898</v>
      </c>
      <c r="W49" s="725"/>
      <c r="X49" s="725" t="str">
        <f>IF(D51="","",VLOOKUP(D51,CFRef!$A$2:$BV$192,10,FALSE))</f>
        <v/>
      </c>
      <c r="Y49" s="726"/>
      <c r="Z49" s="1028" t="s">
        <v>75</v>
      </c>
      <c r="AA49" s="725"/>
      <c r="AB49" s="725"/>
      <c r="AC49" s="1073"/>
      <c r="AD49" s="1073"/>
      <c r="AE49" s="1073"/>
      <c r="AF49" s="1073"/>
      <c r="AG49" s="1073"/>
      <c r="AH49" s="1073"/>
      <c r="AI49" s="1073"/>
      <c r="AJ49" s="1073"/>
      <c r="AK49" s="1073"/>
      <c r="AL49" s="1073"/>
      <c r="AM49" s="725" t="s">
        <v>892</v>
      </c>
      <c r="AN49" s="725"/>
      <c r="AO49" s="725" t="str">
        <f>IF(AC51="","",VLOOKUP(AC51,CFRef!$A$2:$BV$192,4,FALSE))</f>
        <v/>
      </c>
      <c r="AP49" s="725"/>
      <c r="AQ49" s="725" t="s">
        <v>895</v>
      </c>
      <c r="AR49" s="725"/>
      <c r="AS49" s="725" t="str">
        <f>IF(AC51="","",VLOOKUP(AC51,CFRef!$A$2:$BV$192,7,FALSE))</f>
        <v/>
      </c>
      <c r="AT49" s="725"/>
      <c r="AU49" s="725" t="s">
        <v>898</v>
      </c>
      <c r="AV49" s="725"/>
      <c r="AW49" s="725" t="str">
        <f>IF(AC51="","",VLOOKUP(AC51,CFRef!$A$2:$BV$192,10,FALSE))</f>
        <v/>
      </c>
      <c r="AX49" s="726"/>
    </row>
    <row r="50" spans="1:50" ht="15" customHeight="1" x14ac:dyDescent="0.25">
      <c r="A50" s="1026" t="s">
        <v>0</v>
      </c>
      <c r="B50" s="727"/>
      <c r="C50" s="727"/>
      <c r="D50" s="1074"/>
      <c r="E50" s="1074"/>
      <c r="F50" s="1074"/>
      <c r="G50" s="1074"/>
      <c r="H50" s="1074"/>
      <c r="I50" s="1074"/>
      <c r="J50" s="1074"/>
      <c r="K50" s="1074"/>
      <c r="L50" s="1074"/>
      <c r="M50" s="1074"/>
      <c r="N50" s="727" t="s">
        <v>893</v>
      </c>
      <c r="O50" s="727" t="s">
        <v>893</v>
      </c>
      <c r="P50" s="727" t="str">
        <f>IF(D51="","",VLOOKUP(D51,CFRef!$A$2:$BV$192,5,FALSE))</f>
        <v/>
      </c>
      <c r="Q50" s="727"/>
      <c r="R50" s="727" t="s">
        <v>896</v>
      </c>
      <c r="S50" s="727"/>
      <c r="T50" s="727" t="str">
        <f>IF(D51="","",VLOOKUP(D51,CFRef!$A$2:$BV$192,8,FALSE))</f>
        <v/>
      </c>
      <c r="U50" s="727"/>
      <c r="V50" s="727" t="s">
        <v>899</v>
      </c>
      <c r="W50" s="727"/>
      <c r="X50" s="727" t="str">
        <f>IF(D51="","",VLOOKUP(D51,CFRef!$A$2:$BV$192,11,FALSE))</f>
        <v/>
      </c>
      <c r="Y50" s="728"/>
      <c r="Z50" s="1026" t="s">
        <v>0</v>
      </c>
      <c r="AA50" s="727"/>
      <c r="AB50" s="727"/>
      <c r="AC50" s="1074"/>
      <c r="AD50" s="1074"/>
      <c r="AE50" s="1074"/>
      <c r="AF50" s="1074"/>
      <c r="AG50" s="1074"/>
      <c r="AH50" s="1074"/>
      <c r="AI50" s="1074"/>
      <c r="AJ50" s="1074"/>
      <c r="AK50" s="1074"/>
      <c r="AL50" s="1074"/>
      <c r="AM50" s="727" t="s">
        <v>893</v>
      </c>
      <c r="AN50" s="727" t="s">
        <v>893</v>
      </c>
      <c r="AO50" s="727" t="str">
        <f>IF(AC51="","",VLOOKUP(AC51,CFRef!$A$2:$BV$192,5,FALSE))</f>
        <v/>
      </c>
      <c r="AP50" s="727"/>
      <c r="AQ50" s="727" t="s">
        <v>896</v>
      </c>
      <c r="AR50" s="727"/>
      <c r="AS50" s="727" t="str">
        <f>IF(AC51="","",VLOOKUP(AC51,CFRef!$A$2:$BV$192,8,FALSE))</f>
        <v/>
      </c>
      <c r="AT50" s="727"/>
      <c r="AU50" s="727" t="s">
        <v>899</v>
      </c>
      <c r="AV50" s="727"/>
      <c r="AW50" s="727" t="str">
        <f>IF(AC51="","",VLOOKUP(AC51,CFRef!$A$2:$BV$192,11,FALSE))</f>
        <v/>
      </c>
      <c r="AX50" s="728"/>
    </row>
    <row r="51" spans="1:50" ht="15" customHeight="1" x14ac:dyDescent="0.25">
      <c r="A51" s="1026" t="s">
        <v>77</v>
      </c>
      <c r="B51" s="727"/>
      <c r="C51" s="727"/>
      <c r="D51" s="1074" t="s">
        <v>3601</v>
      </c>
      <c r="E51" s="1074"/>
      <c r="F51" s="1074"/>
      <c r="G51" s="1074"/>
      <c r="H51" s="1074"/>
      <c r="I51" s="1074"/>
      <c r="J51" s="1074"/>
      <c r="K51" s="1074"/>
      <c r="L51" s="1074"/>
      <c r="M51" s="1074"/>
      <c r="N51" s="727" t="s">
        <v>894</v>
      </c>
      <c r="O51" s="727"/>
      <c r="P51" s="727" t="str">
        <f>IF(D51="","",VLOOKUP(D51,CFRef!$A$2:$BV$192,6,FALSE))</f>
        <v/>
      </c>
      <c r="Q51" s="727"/>
      <c r="R51" s="727" t="s">
        <v>897</v>
      </c>
      <c r="S51" s="727"/>
      <c r="T51" s="727" t="str">
        <f>IF(D51="","",VLOOKUP(D51,CFRef!$A$2:$BV$192,9,FALSE))</f>
        <v/>
      </c>
      <c r="U51" s="727"/>
      <c r="V51" s="727" t="s">
        <v>900</v>
      </c>
      <c r="W51" s="727"/>
      <c r="X51" s="727" t="str">
        <f>IF(D51="","",VLOOKUP(D51,CFRef!$A$2:$BV$192,12,FALSE))</f>
        <v/>
      </c>
      <c r="Y51" s="728"/>
      <c r="Z51" s="1026" t="s">
        <v>77</v>
      </c>
      <c r="AA51" s="727"/>
      <c r="AB51" s="727"/>
      <c r="AC51" s="1074" t="s">
        <v>3601</v>
      </c>
      <c r="AD51" s="1074"/>
      <c r="AE51" s="1074"/>
      <c r="AF51" s="1074"/>
      <c r="AG51" s="1074"/>
      <c r="AH51" s="1074"/>
      <c r="AI51" s="1074"/>
      <c r="AJ51" s="1074"/>
      <c r="AK51" s="1074"/>
      <c r="AL51" s="1074"/>
      <c r="AM51" s="727" t="s">
        <v>894</v>
      </c>
      <c r="AN51" s="727"/>
      <c r="AO51" s="727" t="str">
        <f>IF(AC51="","",VLOOKUP(AC51,CFRef!$A$2:$BV$192,6,FALSE))</f>
        <v/>
      </c>
      <c r="AP51" s="727"/>
      <c r="AQ51" s="727" t="s">
        <v>897</v>
      </c>
      <c r="AR51" s="727"/>
      <c r="AS51" s="727" t="str">
        <f>IF(AC51="","",VLOOKUP(AC51,CFRef!$A$2:$BV$192,9,FALSE))</f>
        <v/>
      </c>
      <c r="AT51" s="727"/>
      <c r="AU51" s="727" t="s">
        <v>900</v>
      </c>
      <c r="AV51" s="727"/>
      <c r="AW51" s="727" t="str">
        <f>IF(AC51="","",VLOOKUP(AC51,CFRef!$A$2:$BV$192,12,FALSE))</f>
        <v/>
      </c>
      <c r="AX51" s="728"/>
    </row>
    <row r="52" spans="1:50" ht="15" customHeight="1" x14ac:dyDescent="0.25">
      <c r="A52" s="1026" t="s">
        <v>31</v>
      </c>
      <c r="B52" s="727"/>
      <c r="C52" s="727"/>
      <c r="D52" s="727"/>
      <c r="E52" s="727"/>
      <c r="F52" s="727"/>
      <c r="G52" s="727" t="s">
        <v>903</v>
      </c>
      <c r="H52" s="727"/>
      <c r="I52" s="727"/>
      <c r="J52" s="727"/>
      <c r="K52" s="727"/>
      <c r="L52" s="727"/>
      <c r="M52" s="727" t="s">
        <v>69</v>
      </c>
      <c r="N52" s="727"/>
      <c r="O52" s="727"/>
      <c r="P52" s="727"/>
      <c r="Q52" s="727"/>
      <c r="R52" s="727"/>
      <c r="S52" s="727"/>
      <c r="T52" s="727"/>
      <c r="U52" s="727"/>
      <c r="V52" s="727"/>
      <c r="W52" s="727"/>
      <c r="X52" s="727"/>
      <c r="Y52" s="728"/>
      <c r="Z52" s="1026" t="s">
        <v>31</v>
      </c>
      <c r="AA52" s="727"/>
      <c r="AB52" s="727"/>
      <c r="AC52" s="727"/>
      <c r="AD52" s="727"/>
      <c r="AE52" s="727"/>
      <c r="AF52" s="727" t="s">
        <v>903</v>
      </c>
      <c r="AG52" s="727"/>
      <c r="AH52" s="727"/>
      <c r="AI52" s="727"/>
      <c r="AJ52" s="727"/>
      <c r="AK52" s="727"/>
      <c r="AL52" s="727" t="s">
        <v>69</v>
      </c>
      <c r="AM52" s="727"/>
      <c r="AN52" s="727"/>
      <c r="AO52" s="727"/>
      <c r="AP52" s="727"/>
      <c r="AQ52" s="727"/>
      <c r="AR52" s="727"/>
      <c r="AS52" s="727"/>
      <c r="AT52" s="727"/>
      <c r="AU52" s="727"/>
      <c r="AV52" s="727"/>
      <c r="AW52" s="727"/>
      <c r="AX52" s="728"/>
    </row>
    <row r="53" spans="1:50" ht="15" customHeight="1" x14ac:dyDescent="0.25">
      <c r="A53" s="1026" t="str">
        <f>IF(D51="","",VLOOKUP(D51,CFRef!$A$2:$BV$192,21,FALSE))</f>
        <v/>
      </c>
      <c r="B53" s="727"/>
      <c r="C53" s="727"/>
      <c r="D53" s="727"/>
      <c r="E53" s="727" t="str">
        <f>IF(D51="","",VLOOKUP(D51,CFRef!$A$2:$BV$192,22,FALSE))</f>
        <v/>
      </c>
      <c r="F53" s="727"/>
      <c r="G53" s="727" t="s">
        <v>88</v>
      </c>
      <c r="H53" s="727"/>
      <c r="I53" s="727"/>
      <c r="J53" s="727"/>
      <c r="K53" s="727" t="str">
        <f>IF(D51="","",VLOOKUP(D51,CFRef!$A$2:$BV$192,18,FALSE))</f>
        <v/>
      </c>
      <c r="L53" s="727"/>
      <c r="M53" s="727" t="str">
        <f>IF(D51="","",VLOOKUP(D51,CFRef!$A$2:$BV$192,30,FALSE))</f>
        <v/>
      </c>
      <c r="N53" s="727"/>
      <c r="O53" s="727"/>
      <c r="P53" s="727"/>
      <c r="Q53" s="727"/>
      <c r="R53" s="727"/>
      <c r="S53" s="727"/>
      <c r="T53" s="727"/>
      <c r="U53" s="727"/>
      <c r="V53" s="727"/>
      <c r="W53" s="727"/>
      <c r="X53" s="727"/>
      <c r="Y53" s="728"/>
      <c r="Z53" s="1026" t="str">
        <f>IF(AC51="","",VLOOKUP(AC51,CFRef!$A$2:$BV$192,21,FALSE))</f>
        <v/>
      </c>
      <c r="AA53" s="727"/>
      <c r="AB53" s="727"/>
      <c r="AC53" s="727"/>
      <c r="AD53" s="727" t="str">
        <f>IF(AC51="","",VLOOKUP(AC51,CFRef!$A$2:$BV$192,22,FALSE))</f>
        <v/>
      </c>
      <c r="AE53" s="727"/>
      <c r="AF53" s="727" t="s">
        <v>88</v>
      </c>
      <c r="AG53" s="727"/>
      <c r="AH53" s="727"/>
      <c r="AI53" s="727"/>
      <c r="AJ53" s="727" t="str">
        <f>IF(AC51="","",VLOOKUP(AC51,CFRef!$A$2:$BV$192,18,FALSE))</f>
        <v/>
      </c>
      <c r="AK53" s="727"/>
      <c r="AL53" s="727" t="str">
        <f>IF(AC51="","",VLOOKUP(AC51,CFRef!$A$2:$BV$192,30,FALSE))</f>
        <v/>
      </c>
      <c r="AM53" s="727"/>
      <c r="AN53" s="727"/>
      <c r="AO53" s="727"/>
      <c r="AP53" s="727"/>
      <c r="AQ53" s="727"/>
      <c r="AR53" s="727"/>
      <c r="AS53" s="727"/>
      <c r="AT53" s="727"/>
      <c r="AU53" s="727"/>
      <c r="AV53" s="727"/>
      <c r="AW53" s="727"/>
      <c r="AX53" s="728"/>
    </row>
    <row r="54" spans="1:50" ht="15" customHeight="1" x14ac:dyDescent="0.25">
      <c r="A54" s="1026" t="str">
        <f>IF(D51="","",VLOOKUP(D51,CFRef!$A$2:$BV$192,23,FALSE))</f>
        <v/>
      </c>
      <c r="B54" s="727"/>
      <c r="C54" s="727"/>
      <c r="D54" s="727"/>
      <c r="E54" s="727" t="str">
        <f>IF(D51="","",VLOOKUP(D51,CFRef!$A$2:$BV$192,24,FALSE))</f>
        <v/>
      </c>
      <c r="F54" s="727"/>
      <c r="G54" s="727" t="s">
        <v>89</v>
      </c>
      <c r="H54" s="727"/>
      <c r="I54" s="727"/>
      <c r="J54" s="727"/>
      <c r="K54" s="727" t="str">
        <f>IF(D51="","",VLOOKUP(D51,CFRef!$A$2:$BV$192,19,FALSE))</f>
        <v/>
      </c>
      <c r="L54" s="727"/>
      <c r="M54" s="727"/>
      <c r="N54" s="727"/>
      <c r="O54" s="727"/>
      <c r="P54" s="727"/>
      <c r="Q54" s="727"/>
      <c r="R54" s="727"/>
      <c r="S54" s="727"/>
      <c r="T54" s="727"/>
      <c r="U54" s="727"/>
      <c r="V54" s="727"/>
      <c r="W54" s="727"/>
      <c r="X54" s="727"/>
      <c r="Y54" s="728"/>
      <c r="Z54" s="1026" t="str">
        <f>IF(AC51="","",VLOOKUP(AC51,CFRef!$A$2:$BV$192,23,FALSE))</f>
        <v/>
      </c>
      <c r="AA54" s="727"/>
      <c r="AB54" s="727"/>
      <c r="AC54" s="727"/>
      <c r="AD54" s="727" t="str">
        <f>IF(AC51="","",VLOOKUP(AC51,CFRef!$A$2:$BV$192,24,FALSE))</f>
        <v/>
      </c>
      <c r="AE54" s="727"/>
      <c r="AF54" s="727" t="s">
        <v>89</v>
      </c>
      <c r="AG54" s="727"/>
      <c r="AH54" s="727"/>
      <c r="AI54" s="727"/>
      <c r="AJ54" s="727" t="str">
        <f>IF(AC51="","",VLOOKUP(AC51,CFRef!$A$2:$BV$192,19,FALSE))</f>
        <v/>
      </c>
      <c r="AK54" s="727"/>
      <c r="AL54" s="727"/>
      <c r="AM54" s="727"/>
      <c r="AN54" s="727"/>
      <c r="AO54" s="727"/>
      <c r="AP54" s="727"/>
      <c r="AQ54" s="727"/>
      <c r="AR54" s="727"/>
      <c r="AS54" s="727"/>
      <c r="AT54" s="727"/>
      <c r="AU54" s="727"/>
      <c r="AV54" s="727"/>
      <c r="AW54" s="727"/>
      <c r="AX54" s="728"/>
    </row>
    <row r="55" spans="1:50" ht="15" customHeight="1" x14ac:dyDescent="0.25">
      <c r="A55" s="1026" t="str">
        <f>IF(D51="","",VLOOKUP(D51,CFRef!$A$2:$BV$192,25,FALSE))</f>
        <v/>
      </c>
      <c r="B55" s="727"/>
      <c r="C55" s="727"/>
      <c r="D55" s="727"/>
      <c r="E55" s="727" t="str">
        <f>IF(D51="","",VLOOKUP(D51,CFRef!$A$2:$BV$192,26,FALSE))</f>
        <v/>
      </c>
      <c r="F55" s="727"/>
      <c r="G55" s="727" t="s">
        <v>90</v>
      </c>
      <c r="H55" s="727"/>
      <c r="I55" s="727"/>
      <c r="J55" s="727"/>
      <c r="K55" s="727" t="str">
        <f>IF(D51="","",VLOOKUP(D51,CFRef!$A$2:$BV$192,20,FALSE))</f>
        <v/>
      </c>
      <c r="L55" s="727"/>
      <c r="M55" s="727"/>
      <c r="N55" s="727"/>
      <c r="O55" s="727"/>
      <c r="P55" s="727"/>
      <c r="Q55" s="727"/>
      <c r="R55" s="727"/>
      <c r="S55" s="727"/>
      <c r="T55" s="727"/>
      <c r="U55" s="727"/>
      <c r="V55" s="727"/>
      <c r="W55" s="727"/>
      <c r="X55" s="727"/>
      <c r="Y55" s="728"/>
      <c r="Z55" s="1026" t="str">
        <f>IF(AC51="","",VLOOKUP(AC51,CFRef!$A$2:$BV$192,25,FALSE))</f>
        <v/>
      </c>
      <c r="AA55" s="727"/>
      <c r="AB55" s="727"/>
      <c r="AC55" s="727"/>
      <c r="AD55" s="727" t="str">
        <f>IF(AC51="","",VLOOKUP(AC51,CFRef!$A$2:$BV$192,26,FALSE))</f>
        <v/>
      </c>
      <c r="AE55" s="727"/>
      <c r="AF55" s="727" t="s">
        <v>90</v>
      </c>
      <c r="AG55" s="727"/>
      <c r="AH55" s="727"/>
      <c r="AI55" s="727"/>
      <c r="AJ55" s="727" t="str">
        <f>IF(AC51="","",VLOOKUP(AC51,CFRef!$A$2:$BV$192,20,FALSE))</f>
        <v/>
      </c>
      <c r="AK55" s="727"/>
      <c r="AL55" s="727"/>
      <c r="AM55" s="727"/>
      <c r="AN55" s="727"/>
      <c r="AO55" s="727"/>
      <c r="AP55" s="727"/>
      <c r="AQ55" s="727"/>
      <c r="AR55" s="727"/>
      <c r="AS55" s="727"/>
      <c r="AT55" s="727"/>
      <c r="AU55" s="727"/>
      <c r="AV55" s="727"/>
      <c r="AW55" s="727"/>
      <c r="AX55" s="728"/>
    </row>
    <row r="56" spans="1:50" ht="15" customHeight="1" x14ac:dyDescent="0.25">
      <c r="A56" s="1026" t="str">
        <f>IF(D51="","",VLOOKUP(D51,CFRef!$A$2:$BV$192,27,FALSE))</f>
        <v/>
      </c>
      <c r="B56" s="727"/>
      <c r="C56" s="727"/>
      <c r="D56" s="727"/>
      <c r="E56" s="727" t="str">
        <f>IF(D51="","",VLOOKUP(D51,CFRef!$A$2:$BV$192,28,FALSE))</f>
        <v/>
      </c>
      <c r="F56" s="727"/>
      <c r="G56" s="727" t="s">
        <v>93</v>
      </c>
      <c r="H56" s="727"/>
      <c r="I56" s="727"/>
      <c r="J56" s="727"/>
      <c r="K56" s="727" t="str">
        <f>IF(D51="","",VLOOKUP(D51,CFRef!$A$2:$BV$192,15,FALSE))</f>
        <v/>
      </c>
      <c r="L56" s="727"/>
      <c r="M56" s="727"/>
      <c r="N56" s="727"/>
      <c r="O56" s="727"/>
      <c r="P56" s="727"/>
      <c r="Q56" s="727"/>
      <c r="R56" s="727"/>
      <c r="S56" s="727"/>
      <c r="T56" s="727"/>
      <c r="U56" s="727"/>
      <c r="V56" s="727"/>
      <c r="W56" s="727"/>
      <c r="X56" s="727"/>
      <c r="Y56" s="728"/>
      <c r="Z56" s="1026" t="str">
        <f>IF(AC51="","",VLOOKUP(AC51,CFRef!$A$2:$BV$192,27,FALSE))</f>
        <v/>
      </c>
      <c r="AA56" s="727"/>
      <c r="AB56" s="727"/>
      <c r="AC56" s="727"/>
      <c r="AD56" s="727" t="str">
        <f>IF(AC51="","",VLOOKUP(AC51,CFRef!$A$2:$BV$192,28,FALSE))</f>
        <v/>
      </c>
      <c r="AE56" s="727"/>
      <c r="AF56" s="727" t="s">
        <v>93</v>
      </c>
      <c r="AG56" s="727"/>
      <c r="AH56" s="727"/>
      <c r="AI56" s="727"/>
      <c r="AJ56" s="727" t="str">
        <f>IF(AC51="","",VLOOKUP(AC51,CFRef!$A$2:$BV$192,15,FALSE))</f>
        <v/>
      </c>
      <c r="AK56" s="727"/>
      <c r="AL56" s="727"/>
      <c r="AM56" s="727"/>
      <c r="AN56" s="727"/>
      <c r="AO56" s="727"/>
      <c r="AP56" s="727"/>
      <c r="AQ56" s="727"/>
      <c r="AR56" s="727"/>
      <c r="AS56" s="727"/>
      <c r="AT56" s="727"/>
      <c r="AU56" s="727"/>
      <c r="AV56" s="727"/>
      <c r="AW56" s="727"/>
      <c r="AX56" s="728"/>
    </row>
    <row r="57" spans="1:50" ht="15" customHeight="1" x14ac:dyDescent="0.25">
      <c r="A57" s="1026" t="s">
        <v>901</v>
      </c>
      <c r="B57" s="727"/>
      <c r="C57" s="727"/>
      <c r="D57" s="727"/>
      <c r="E57" s="727" t="str">
        <f>IF(D51="","",VLOOKUP(D51,CFRef!$A$2:$BV$192,16,FALSE))</f>
        <v/>
      </c>
      <c r="F57" s="727"/>
      <c r="G57" s="727" t="s">
        <v>95</v>
      </c>
      <c r="H57" s="727"/>
      <c r="I57" s="727"/>
      <c r="J57" s="727"/>
      <c r="K57" s="727" t="str">
        <f>IF(D51="","",VLOOKUP(D51,CFRef!$A$2:$BV$192,17,FALSE))</f>
        <v/>
      </c>
      <c r="L57" s="727"/>
      <c r="M57" s="727"/>
      <c r="N57" s="727"/>
      <c r="O57" s="727"/>
      <c r="P57" s="727"/>
      <c r="Q57" s="727"/>
      <c r="R57" s="727"/>
      <c r="S57" s="727"/>
      <c r="T57" s="727"/>
      <c r="U57" s="727"/>
      <c r="V57" s="727"/>
      <c r="W57" s="727"/>
      <c r="X57" s="727"/>
      <c r="Y57" s="728"/>
      <c r="Z57" s="1026" t="s">
        <v>901</v>
      </c>
      <c r="AA57" s="727"/>
      <c r="AB57" s="727"/>
      <c r="AC57" s="727"/>
      <c r="AD57" s="727" t="str">
        <f>IF(AC51="","",VLOOKUP(AC51,CFRef!$A$2:$BV$192,16,FALSE))</f>
        <v/>
      </c>
      <c r="AE57" s="727"/>
      <c r="AF57" s="727" t="s">
        <v>95</v>
      </c>
      <c r="AG57" s="727"/>
      <c r="AH57" s="727"/>
      <c r="AI57" s="727"/>
      <c r="AJ57" s="727" t="str">
        <f>IF(AC51="","",VLOOKUP(AC51,CFRef!$A$2:$BV$192,17,FALSE))</f>
        <v/>
      </c>
      <c r="AK57" s="727"/>
      <c r="AL57" s="727"/>
      <c r="AM57" s="727"/>
      <c r="AN57" s="727"/>
      <c r="AO57" s="727"/>
      <c r="AP57" s="727"/>
      <c r="AQ57" s="727"/>
      <c r="AR57" s="727"/>
      <c r="AS57" s="727"/>
      <c r="AT57" s="727"/>
      <c r="AU57" s="727"/>
      <c r="AV57" s="727"/>
      <c r="AW57" s="727"/>
      <c r="AX57" s="728"/>
    </row>
    <row r="58" spans="1:50" ht="15" customHeight="1" x14ac:dyDescent="0.25">
      <c r="A58" s="1026" t="s">
        <v>60</v>
      </c>
      <c r="B58" s="727"/>
      <c r="C58" s="727"/>
      <c r="D58" s="727"/>
      <c r="E58" s="727" t="str">
        <f>IF(D51="","",VLOOKUP(D51,CFRef!$A$2:$BV$192,13,FALSE))</f>
        <v/>
      </c>
      <c r="F58" s="727"/>
      <c r="G58" s="727" t="s">
        <v>902</v>
      </c>
      <c r="H58" s="727"/>
      <c r="I58" s="727"/>
      <c r="J58" s="727"/>
      <c r="K58" s="727" t="str">
        <f>IF(D51="","",VLOOKUP(D51,CFRef!$A$2:$BV$192,14,FALSE))</f>
        <v/>
      </c>
      <c r="L58" s="727"/>
      <c r="M58" s="727" t="s">
        <v>751</v>
      </c>
      <c r="N58" s="727"/>
      <c r="O58" s="727"/>
      <c r="P58" s="727"/>
      <c r="Q58" s="1075" t="str">
        <f>IF(D51="","",VLOOKUP(D51,CFRef!$A$2:$BV$192,29,FALSE))</f>
        <v/>
      </c>
      <c r="R58" s="727"/>
      <c r="S58" s="727"/>
      <c r="T58" s="727"/>
      <c r="U58" s="727"/>
      <c r="V58" s="727"/>
      <c r="W58" s="727"/>
      <c r="X58" s="727"/>
      <c r="Y58" s="728"/>
      <c r="Z58" s="1026" t="s">
        <v>60</v>
      </c>
      <c r="AA58" s="727"/>
      <c r="AB58" s="727"/>
      <c r="AC58" s="727"/>
      <c r="AD58" s="727" t="str">
        <f>IF(AC51="","",VLOOKUP(AC51,CFRef!$A$2:$BV$192,13,FALSE))</f>
        <v/>
      </c>
      <c r="AE58" s="727"/>
      <c r="AF58" s="727" t="s">
        <v>902</v>
      </c>
      <c r="AG58" s="727"/>
      <c r="AH58" s="727"/>
      <c r="AI58" s="727"/>
      <c r="AJ58" s="727" t="str">
        <f>IF(AC51="","",VLOOKUP(AC51,CFRef!$A$2:$BV$192,14,FALSE))</f>
        <v/>
      </c>
      <c r="AK58" s="727"/>
      <c r="AL58" s="727" t="s">
        <v>751</v>
      </c>
      <c r="AM58" s="727"/>
      <c r="AN58" s="727"/>
      <c r="AO58" s="727"/>
      <c r="AP58" s="1075" t="str">
        <f>IF(AC51="","",VLOOKUP(AC51,CFRef!$A$2:$BV$192,29,FALSE))</f>
        <v/>
      </c>
      <c r="AQ58" s="727"/>
      <c r="AR58" s="727"/>
      <c r="AS58" s="727"/>
      <c r="AT58" s="727"/>
      <c r="AU58" s="727"/>
      <c r="AV58" s="727"/>
      <c r="AW58" s="727"/>
      <c r="AX58" s="728"/>
    </row>
    <row r="59" spans="1:50" ht="15" customHeight="1" x14ac:dyDescent="0.25">
      <c r="A59" s="1026" t="s">
        <v>904</v>
      </c>
      <c r="B59" s="727"/>
      <c r="C59" s="727"/>
      <c r="D59" s="727"/>
      <c r="E59" s="727"/>
      <c r="F59" s="727"/>
      <c r="G59" s="727"/>
      <c r="H59" s="727"/>
      <c r="I59" s="727"/>
      <c r="J59" s="727"/>
      <c r="K59" s="727"/>
      <c r="L59" s="727"/>
      <c r="M59" s="727" t="s">
        <v>117</v>
      </c>
      <c r="N59" s="727"/>
      <c r="O59" s="727"/>
      <c r="P59" s="727" t="s">
        <v>118</v>
      </c>
      <c r="Q59" s="727"/>
      <c r="R59" s="727"/>
      <c r="S59" s="727" t="s">
        <v>905</v>
      </c>
      <c r="T59" s="727"/>
      <c r="U59" s="727"/>
      <c r="V59" s="727" t="s">
        <v>124</v>
      </c>
      <c r="W59" s="727"/>
      <c r="X59" s="727" t="s">
        <v>121</v>
      </c>
      <c r="Y59" s="728"/>
      <c r="Z59" s="1026" t="s">
        <v>904</v>
      </c>
      <c r="AA59" s="727"/>
      <c r="AB59" s="727"/>
      <c r="AC59" s="727"/>
      <c r="AD59" s="727"/>
      <c r="AE59" s="727"/>
      <c r="AF59" s="727"/>
      <c r="AG59" s="727"/>
      <c r="AH59" s="727"/>
      <c r="AI59" s="727"/>
      <c r="AJ59" s="727"/>
      <c r="AK59" s="727"/>
      <c r="AL59" s="727" t="s">
        <v>117</v>
      </c>
      <c r="AM59" s="727"/>
      <c r="AN59" s="727"/>
      <c r="AO59" s="727" t="s">
        <v>118</v>
      </c>
      <c r="AP59" s="727"/>
      <c r="AQ59" s="727"/>
      <c r="AR59" s="727" t="s">
        <v>905</v>
      </c>
      <c r="AS59" s="727"/>
      <c r="AT59" s="727"/>
      <c r="AU59" s="727" t="s">
        <v>124</v>
      </c>
      <c r="AV59" s="727"/>
      <c r="AW59" s="727" t="s">
        <v>121</v>
      </c>
      <c r="AX59" s="728"/>
    </row>
    <row r="60" spans="1:50" x14ac:dyDescent="0.25">
      <c r="A60" s="1026" t="str">
        <f>IF(D51="","",VLOOKUP(D51,CFRef!$A$2:$BV$192,33,FALSE))</f>
        <v/>
      </c>
      <c r="B60" s="727"/>
      <c r="C60" s="727"/>
      <c r="D60" s="727"/>
      <c r="E60" s="727"/>
      <c r="F60" s="727"/>
      <c r="G60" s="727"/>
      <c r="H60" s="727"/>
      <c r="I60" s="727"/>
      <c r="J60" s="727"/>
      <c r="K60" s="727"/>
      <c r="L60" s="727"/>
      <c r="M60" s="727" t="str">
        <f>IF(D51="","",VLOOKUP(D51,CFRef!$A$2:$BV$192,34,FALSE))</f>
        <v/>
      </c>
      <c r="N60" s="727"/>
      <c r="O60" s="727"/>
      <c r="P60" s="727" t="str">
        <f>IF(D51="","",VLOOKUP(D51,CFRef!$A$2:$BV$192,35,FALSE))</f>
        <v/>
      </c>
      <c r="Q60" s="727"/>
      <c r="R60" s="727"/>
      <c r="S60" s="1075" t="str">
        <f>IF(D51="","",VLOOKUP(D51,CFRef!$A$2:$BV$192,36,FALSE))</f>
        <v/>
      </c>
      <c r="T60" s="727"/>
      <c r="U60" s="727"/>
      <c r="V60" s="727" t="str">
        <f>IF(D51="","",VLOOKUP(D51,CFRef!$A$2:$BV$192,37,FALSE))</f>
        <v/>
      </c>
      <c r="W60" s="727"/>
      <c r="X60" s="727" t="str">
        <f>IF(D51="","",VLOOKUP(D51,CFRef!$A$2:$BV$192,38,FALSE))</f>
        <v/>
      </c>
      <c r="Y60" s="728"/>
      <c r="Z60" s="1026" t="str">
        <f>IF(AC51="","",VLOOKUP(AC51,CFRef!$A$2:$BV$192,33,FALSE))</f>
        <v/>
      </c>
      <c r="AA60" s="727"/>
      <c r="AB60" s="727"/>
      <c r="AC60" s="727"/>
      <c r="AD60" s="727"/>
      <c r="AE60" s="727"/>
      <c r="AF60" s="727"/>
      <c r="AG60" s="727"/>
      <c r="AH60" s="727"/>
      <c r="AI60" s="727"/>
      <c r="AJ60" s="727"/>
      <c r="AK60" s="727"/>
      <c r="AL60" s="727" t="str">
        <f>IF(AC51="","",VLOOKUP(AC51,CFRef!$A$2:$BV$192,34,FALSE))</f>
        <v/>
      </c>
      <c r="AM60" s="727"/>
      <c r="AN60" s="727"/>
      <c r="AO60" s="727" t="str">
        <f>IF(AC51="","",VLOOKUP(AC51,CFRef!$A$2:$BV$192,35,FALSE))</f>
        <v/>
      </c>
      <c r="AP60" s="727"/>
      <c r="AQ60" s="727"/>
      <c r="AR60" s="1075" t="str">
        <f>IF(AC51="","",VLOOKUP(AC51,CFRef!$A$2:$BV$192,36,FALSE))</f>
        <v/>
      </c>
      <c r="AS60" s="727"/>
      <c r="AT60" s="727"/>
      <c r="AU60" s="727" t="str">
        <f>IF(AC51="","",VLOOKUP(AC51,CFRef!$A$2:$BV$192,37,FALSE))</f>
        <v/>
      </c>
      <c r="AV60" s="727"/>
      <c r="AW60" s="727" t="str">
        <f>IF(AC51="","",VLOOKUP(AC51,CFRef!$A$2:$BV$192,38,FALSE))</f>
        <v/>
      </c>
      <c r="AX60" s="728"/>
    </row>
    <row r="61" spans="1:50" x14ac:dyDescent="0.25">
      <c r="A61" s="1026" t="str">
        <f>IF(D51="","",VLOOKUP(D51,CFRef!$A$2:$BV$192,39,FALSE))</f>
        <v/>
      </c>
      <c r="B61" s="727"/>
      <c r="C61" s="727"/>
      <c r="D61" s="727"/>
      <c r="E61" s="727"/>
      <c r="F61" s="727"/>
      <c r="G61" s="727"/>
      <c r="H61" s="727"/>
      <c r="I61" s="727"/>
      <c r="J61" s="727"/>
      <c r="K61" s="727"/>
      <c r="L61" s="727"/>
      <c r="M61" s="727" t="str">
        <f>IF(D51="","",VLOOKUP(D51,CFRef!$A$2:$BV$192,40,FALSE))</f>
        <v/>
      </c>
      <c r="N61" s="727"/>
      <c r="O61" s="727"/>
      <c r="P61" s="727" t="str">
        <f>IF(D51="","",VLOOKUP(D51,CFRef!$A$2:$BV$192,41,FALSE))</f>
        <v/>
      </c>
      <c r="Q61" s="727"/>
      <c r="R61" s="727"/>
      <c r="S61" s="1075" t="str">
        <f>IF(D51="","",VLOOKUP(D51,CFRef!$A$2:$BV$192,42,FALSE))</f>
        <v/>
      </c>
      <c r="T61" s="727"/>
      <c r="U61" s="727"/>
      <c r="V61" s="727" t="str">
        <f>IF(D51="","",VLOOKUP(D51,CFRef!$A$2:$BV$192,43,FALSE))</f>
        <v/>
      </c>
      <c r="W61" s="727"/>
      <c r="X61" s="727" t="str">
        <f>IF(D51="","",VLOOKUP(D51,CFRef!$A$2:$BV$192,44,FALSE))</f>
        <v/>
      </c>
      <c r="Y61" s="728"/>
      <c r="Z61" s="1026" t="str">
        <f>IF(AC51="","",VLOOKUP(AC51,CFRef!$A$2:$BV$192,39,FALSE))</f>
        <v/>
      </c>
      <c r="AA61" s="727"/>
      <c r="AB61" s="727"/>
      <c r="AC61" s="727"/>
      <c r="AD61" s="727"/>
      <c r="AE61" s="727"/>
      <c r="AF61" s="727"/>
      <c r="AG61" s="727"/>
      <c r="AH61" s="727"/>
      <c r="AI61" s="727"/>
      <c r="AJ61" s="727"/>
      <c r="AK61" s="727"/>
      <c r="AL61" s="727" t="str">
        <f>IF(AC51="","",VLOOKUP(AC51,CFRef!$A$2:$BV$192,40,FALSE))</f>
        <v/>
      </c>
      <c r="AM61" s="727"/>
      <c r="AN61" s="727"/>
      <c r="AO61" s="727" t="str">
        <f>IF(AC51="","",VLOOKUP(AC51,CFRef!$A$2:$BV$192,41,FALSE))</f>
        <v/>
      </c>
      <c r="AP61" s="727"/>
      <c r="AQ61" s="727"/>
      <c r="AR61" s="1075" t="str">
        <f>IF(AC51="","",VLOOKUP(AC51,CFRef!$A$2:$BV$192,42,FALSE))</f>
        <v/>
      </c>
      <c r="AS61" s="727"/>
      <c r="AT61" s="727"/>
      <c r="AU61" s="727" t="str">
        <f>IF(AC51="","",VLOOKUP(AC51,CFRef!$A$2:$BV$192,43,FALSE))</f>
        <v/>
      </c>
      <c r="AV61" s="727"/>
      <c r="AW61" s="727" t="str">
        <f>IF(AC51="","",VLOOKUP(AC51,CFRef!$A$2:$BV$192,44,FALSE))</f>
        <v/>
      </c>
      <c r="AX61" s="728"/>
    </row>
    <row r="62" spans="1:50" x14ac:dyDescent="0.25">
      <c r="A62" s="1026" t="str">
        <f>IF(D51="","",VLOOKUP(D51,CFRef!$A$2:$BV$192,45,FALSE))</f>
        <v/>
      </c>
      <c r="B62" s="727"/>
      <c r="C62" s="727"/>
      <c r="D62" s="727"/>
      <c r="E62" s="727"/>
      <c r="F62" s="727"/>
      <c r="G62" s="727"/>
      <c r="H62" s="727"/>
      <c r="I62" s="727"/>
      <c r="J62" s="727"/>
      <c r="K62" s="727"/>
      <c r="L62" s="727"/>
      <c r="M62" s="727" t="str">
        <f>IF(D51="","",VLOOKUP(D51,CFRef!$A$2:$BV$192,46,FALSE))</f>
        <v/>
      </c>
      <c r="N62" s="727"/>
      <c r="O62" s="727"/>
      <c r="P62" s="727" t="str">
        <f>IF(D51="","",VLOOKUP(D51,CFRef!$A$2:$BV$192,47,FALSE))</f>
        <v/>
      </c>
      <c r="Q62" s="727"/>
      <c r="R62" s="727"/>
      <c r="S62" s="1075" t="str">
        <f>IF(D51="","",VLOOKUP(D51,CFRef!$A$2:$BV$192,48,FALSE))</f>
        <v/>
      </c>
      <c r="T62" s="727"/>
      <c r="U62" s="727"/>
      <c r="V62" s="727" t="str">
        <f>IF(D51="","",VLOOKUP(D51,CFRef!$A$2:$BV$192,49,FALSE))</f>
        <v/>
      </c>
      <c r="W62" s="727"/>
      <c r="X62" s="727" t="str">
        <f>IF(D51="","",VLOOKUP(D51,CFRef!$A$2:$BV$192,50,FALSE))</f>
        <v/>
      </c>
      <c r="Y62" s="728"/>
      <c r="Z62" s="1026" t="str">
        <f>IF(AC51="","",VLOOKUP(AC51,CFRef!$A$2:$BV$192,45,FALSE))</f>
        <v/>
      </c>
      <c r="AA62" s="727"/>
      <c r="AB62" s="727"/>
      <c r="AC62" s="727"/>
      <c r="AD62" s="727"/>
      <c r="AE62" s="727"/>
      <c r="AF62" s="727"/>
      <c r="AG62" s="727"/>
      <c r="AH62" s="727"/>
      <c r="AI62" s="727"/>
      <c r="AJ62" s="727"/>
      <c r="AK62" s="727"/>
      <c r="AL62" s="727" t="str">
        <f>IF(AC51="","",VLOOKUP(AC51,CFRef!$A$2:$BV$192,46,FALSE))</f>
        <v/>
      </c>
      <c r="AM62" s="727"/>
      <c r="AN62" s="727"/>
      <c r="AO62" s="727" t="str">
        <f>IF(AC51="","",VLOOKUP(AC51,CFRef!$A$2:$BV$192,47,FALSE))</f>
        <v/>
      </c>
      <c r="AP62" s="727"/>
      <c r="AQ62" s="727"/>
      <c r="AR62" s="1075" t="str">
        <f>IF(AC51="","",VLOOKUP(AC51,CFRef!$A$2:$BV$192,48,FALSE))</f>
        <v/>
      </c>
      <c r="AS62" s="727"/>
      <c r="AT62" s="727"/>
      <c r="AU62" s="727" t="str">
        <f>IF(AC51="","",VLOOKUP(AC51,CFRef!$A$2:$BV$192,49,FALSE))</f>
        <v/>
      </c>
      <c r="AV62" s="727"/>
      <c r="AW62" s="727" t="str">
        <f>IF(AC51="","",VLOOKUP(AC51,CFRef!$A$2:$BV$192,50,FALSE))</f>
        <v/>
      </c>
      <c r="AX62" s="728"/>
    </row>
    <row r="63" spans="1:50" x14ac:dyDescent="0.25">
      <c r="A63" s="1026" t="str">
        <f>IF(D51="","",VLOOKUP(D51,CFRef!$A$2:$BV$192,51,FALSE))</f>
        <v/>
      </c>
      <c r="B63" s="727"/>
      <c r="C63" s="727"/>
      <c r="D63" s="727"/>
      <c r="E63" s="727"/>
      <c r="F63" s="727"/>
      <c r="G63" s="727"/>
      <c r="H63" s="727"/>
      <c r="I63" s="727"/>
      <c r="J63" s="727"/>
      <c r="K63" s="727"/>
      <c r="L63" s="727"/>
      <c r="M63" s="727" t="str">
        <f>IF(D51="","",VLOOKUP(D51,CFRef!$A$2:$BV$192,52,FALSE))</f>
        <v/>
      </c>
      <c r="N63" s="727"/>
      <c r="O63" s="727"/>
      <c r="P63" s="727" t="str">
        <f>IF(D51="","",VLOOKUP(D51,CFRef!$A$2:$BV$192,53,FALSE))</f>
        <v/>
      </c>
      <c r="Q63" s="727"/>
      <c r="R63" s="727"/>
      <c r="S63" s="1075" t="str">
        <f>IF(D51="","",VLOOKUP(D51,CFRef!$A$2:$BV$192,54,FALSE))</f>
        <v/>
      </c>
      <c r="T63" s="727"/>
      <c r="U63" s="727"/>
      <c r="V63" s="727" t="str">
        <f>IF(D51="","",VLOOKUP(D51,CFRef!$A$2:$BV$192,55,FALSE))</f>
        <v/>
      </c>
      <c r="W63" s="727"/>
      <c r="X63" s="727" t="str">
        <f>IF(D51="","",VLOOKUP(D51,CFRef!$A$2:$BV$192,56,FALSE))</f>
        <v/>
      </c>
      <c r="Y63" s="728"/>
      <c r="Z63" s="1026" t="str">
        <f>IF(AC51="","",VLOOKUP(AC51,CFRef!$A$2:$BV$192,51,FALSE))</f>
        <v/>
      </c>
      <c r="AA63" s="727"/>
      <c r="AB63" s="727"/>
      <c r="AC63" s="727"/>
      <c r="AD63" s="727"/>
      <c r="AE63" s="727"/>
      <c r="AF63" s="727"/>
      <c r="AG63" s="727"/>
      <c r="AH63" s="727"/>
      <c r="AI63" s="727"/>
      <c r="AJ63" s="727"/>
      <c r="AK63" s="727"/>
      <c r="AL63" s="727" t="str">
        <f>IF(AC51="","",VLOOKUP(AC51,CFRef!$A$2:$BV$192,52,FALSE))</f>
        <v/>
      </c>
      <c r="AM63" s="727"/>
      <c r="AN63" s="727"/>
      <c r="AO63" s="727" t="str">
        <f>IF(AC51="","",VLOOKUP(AC51,CFRef!$A$2:$BV$192,53,FALSE))</f>
        <v/>
      </c>
      <c r="AP63" s="727"/>
      <c r="AQ63" s="727"/>
      <c r="AR63" s="1075" t="str">
        <f>IF(AC51="","",VLOOKUP(AC51,CFRef!$A$2:$BV$192,54,FALSE))</f>
        <v/>
      </c>
      <c r="AS63" s="727"/>
      <c r="AT63" s="727"/>
      <c r="AU63" s="727" t="str">
        <f>IF(AC51="","",VLOOKUP(AC51,CFRef!$A$2:$BV$192,55,FALSE))</f>
        <v/>
      </c>
      <c r="AV63" s="727"/>
      <c r="AW63" s="727" t="str">
        <f>IF(AC51="","",VLOOKUP(AC51,CFRef!$A$2:$BV$192,56,FALSE))</f>
        <v/>
      </c>
      <c r="AX63" s="728"/>
    </row>
    <row r="64" spans="1:50" x14ac:dyDescent="0.25">
      <c r="A64" s="1026" t="str">
        <f>IF(D51="","",VLOOKUP(D51,CFRef!$A$2:$BV$192,57,FALSE))</f>
        <v/>
      </c>
      <c r="B64" s="727"/>
      <c r="C64" s="727"/>
      <c r="D64" s="727"/>
      <c r="E64" s="727"/>
      <c r="F64" s="727"/>
      <c r="G64" s="727"/>
      <c r="H64" s="727"/>
      <c r="I64" s="727"/>
      <c r="J64" s="727"/>
      <c r="K64" s="727"/>
      <c r="L64" s="727"/>
      <c r="M64" s="727" t="str">
        <f>IF(D51="","",VLOOKUP(D51,CFRef!$A$2:$BV$192,58,FALSE))</f>
        <v/>
      </c>
      <c r="N64" s="727"/>
      <c r="O64" s="727"/>
      <c r="P64" s="727" t="str">
        <f>IF(D51="","",VLOOKUP(D51,CFRef!$A$2:$BV$192,59,FALSE))</f>
        <v/>
      </c>
      <c r="Q64" s="727"/>
      <c r="R64" s="727"/>
      <c r="S64" s="1075" t="str">
        <f>IF(D51="","",VLOOKUP(D51,CFRef!$A$2:$BV$192,60,FALSE))</f>
        <v/>
      </c>
      <c r="T64" s="727"/>
      <c r="U64" s="727"/>
      <c r="V64" s="727" t="str">
        <f>IF(D51="","",VLOOKUP(D51,CFRef!$A$2:$BV$192,61,FALSE))</f>
        <v/>
      </c>
      <c r="W64" s="727"/>
      <c r="X64" s="727" t="str">
        <f>IF(D51="","",VLOOKUP(D51,CFRef!$A$2:$BV$192,62,FALSE))</f>
        <v/>
      </c>
      <c r="Y64" s="728"/>
      <c r="Z64" s="1026" t="str">
        <f>IF(AC51="","",VLOOKUP(AC51,CFRef!$A$2:$BV$192,57,FALSE))</f>
        <v/>
      </c>
      <c r="AA64" s="727"/>
      <c r="AB64" s="727"/>
      <c r="AC64" s="727"/>
      <c r="AD64" s="727"/>
      <c r="AE64" s="727"/>
      <c r="AF64" s="727"/>
      <c r="AG64" s="727"/>
      <c r="AH64" s="727"/>
      <c r="AI64" s="727"/>
      <c r="AJ64" s="727"/>
      <c r="AK64" s="727"/>
      <c r="AL64" s="727" t="str">
        <f>IF(AC51="","",VLOOKUP(AC51,CFRef!$A$2:$BV$192,58,FALSE))</f>
        <v/>
      </c>
      <c r="AM64" s="727"/>
      <c r="AN64" s="727"/>
      <c r="AO64" s="727" t="str">
        <f>IF(AC51="","",VLOOKUP(AC51,CFRef!$A$2:$BV$192,59,FALSE))</f>
        <v/>
      </c>
      <c r="AP64" s="727"/>
      <c r="AQ64" s="727"/>
      <c r="AR64" s="1075" t="str">
        <f>IF(AC51="","",VLOOKUP(AC51,CFRef!$A$2:$BV$192,60,FALSE))</f>
        <v/>
      </c>
      <c r="AS64" s="727"/>
      <c r="AT64" s="727"/>
      <c r="AU64" s="727" t="str">
        <f>IF(AC51="","",VLOOKUP(AC51,CFRef!$A$2:$BV$192,61,FALSE))</f>
        <v/>
      </c>
      <c r="AV64" s="727"/>
      <c r="AW64" s="727" t="str">
        <f>IF(AC51="","",VLOOKUP(AC51,CFRef!$A$2:$BV$192,62,FALSE))</f>
        <v/>
      </c>
      <c r="AX64" s="728"/>
    </row>
    <row r="65" spans="1:50" x14ac:dyDescent="0.25">
      <c r="A65" s="1026" t="str">
        <f>IF(D51="","",VLOOKUP(D51,CFRef!$A$2:$BV$192,63,FALSE))</f>
        <v/>
      </c>
      <c r="B65" s="727"/>
      <c r="C65" s="727"/>
      <c r="D65" s="727"/>
      <c r="E65" s="727"/>
      <c r="F65" s="727"/>
      <c r="G65" s="727"/>
      <c r="H65" s="727"/>
      <c r="I65" s="727"/>
      <c r="J65" s="727"/>
      <c r="K65" s="727"/>
      <c r="L65" s="727"/>
      <c r="M65" s="727" t="str">
        <f>IF(D51="","",VLOOKUP(D51,CFRef!$A$2:$BV$192,64,FALSE))</f>
        <v/>
      </c>
      <c r="N65" s="727"/>
      <c r="O65" s="727"/>
      <c r="P65" s="727" t="str">
        <f>IF(D51="","",VLOOKUP(D51,CFRef!$A$2:$BV$192,65,FALSE))</f>
        <v/>
      </c>
      <c r="Q65" s="727"/>
      <c r="R65" s="727"/>
      <c r="S65" s="1075" t="str">
        <f>IF(D51="","",VLOOKUP(D51,CFRef!$A$2:$BV$192,66,FALSE))</f>
        <v/>
      </c>
      <c r="T65" s="727"/>
      <c r="U65" s="727"/>
      <c r="V65" s="727" t="str">
        <f>IF(D51="","",VLOOKUP(D51,CFRef!$A$2:$BV$192,67,FALSE))</f>
        <v/>
      </c>
      <c r="W65" s="727"/>
      <c r="X65" s="727" t="str">
        <f>IF(D51="","",VLOOKUP(D51,CFRef!$A$2:$BV$192,68,FALSE))</f>
        <v/>
      </c>
      <c r="Y65" s="728"/>
      <c r="Z65" s="1026" t="str">
        <f>IF(AC51="","",VLOOKUP(AC51,CFRef!$A$2:$BV$192,63,FALSE))</f>
        <v/>
      </c>
      <c r="AA65" s="727"/>
      <c r="AB65" s="727"/>
      <c r="AC65" s="727"/>
      <c r="AD65" s="727"/>
      <c r="AE65" s="727"/>
      <c r="AF65" s="727"/>
      <c r="AG65" s="727"/>
      <c r="AH65" s="727"/>
      <c r="AI65" s="727"/>
      <c r="AJ65" s="727"/>
      <c r="AK65" s="727"/>
      <c r="AL65" s="727" t="str">
        <f>IF(AC51="","",VLOOKUP(AC51,CFRef!$A$2:$BV$192,64,FALSE))</f>
        <v/>
      </c>
      <c r="AM65" s="727"/>
      <c r="AN65" s="727"/>
      <c r="AO65" s="727" t="str">
        <f>IF(AC51="","",VLOOKUP(AC51,CFRef!$A$2:$BV$192,65,FALSE))</f>
        <v/>
      </c>
      <c r="AP65" s="727"/>
      <c r="AQ65" s="727"/>
      <c r="AR65" s="1075" t="str">
        <f>IF(AC51="","",VLOOKUP(AC51,CFRef!$A$2:$BV$192,66,FALSE))</f>
        <v/>
      </c>
      <c r="AS65" s="727"/>
      <c r="AT65" s="727"/>
      <c r="AU65" s="727" t="str">
        <f>IF(AC51="","",VLOOKUP(AC51,CFRef!$A$2:$BV$192,67,FALSE))</f>
        <v/>
      </c>
      <c r="AV65" s="727"/>
      <c r="AW65" s="727" t="str">
        <f>IF(AC51="","",VLOOKUP(AC51,CFRef!$A$2:$BV$192,68,FALSE))</f>
        <v/>
      </c>
      <c r="AX65" s="728"/>
    </row>
    <row r="66" spans="1:50" x14ac:dyDescent="0.25">
      <c r="A66" s="1026" t="str">
        <f>IF(D51="","",VLOOKUP(D51,CFRef!$A$2:$BV$192,69,FALSE))</f>
        <v/>
      </c>
      <c r="B66" s="727"/>
      <c r="C66" s="727"/>
      <c r="D66" s="727"/>
      <c r="E66" s="727"/>
      <c r="F66" s="727"/>
      <c r="G66" s="727"/>
      <c r="H66" s="727"/>
      <c r="I66" s="727"/>
      <c r="J66" s="727"/>
      <c r="K66" s="727"/>
      <c r="L66" s="727"/>
      <c r="M66" s="727" t="str">
        <f>IF(D51="","",VLOOKUP(D51,CFRef!$A$2:$BV$192,70,FALSE))</f>
        <v/>
      </c>
      <c r="N66" s="727"/>
      <c r="O66" s="727"/>
      <c r="P66" s="727" t="str">
        <f>IF(D51="","",VLOOKUP(D51,CFRef!$A$2:$BV$192,71,FALSE))</f>
        <v/>
      </c>
      <c r="Q66" s="727"/>
      <c r="R66" s="727"/>
      <c r="S66" s="1075" t="str">
        <f>IF(D51="","",VLOOKUP(D51,CFRef!$A$2:$BV$192,72,FALSE))</f>
        <v/>
      </c>
      <c r="T66" s="727"/>
      <c r="U66" s="727"/>
      <c r="V66" s="727" t="str">
        <f>IF(D51="","",VLOOKUP(D51,CFRef!$A$2:$BV$192,73,FALSE))</f>
        <v/>
      </c>
      <c r="W66" s="727"/>
      <c r="X66" s="727" t="str">
        <f>IF(D51="","",VLOOKUP(D51,CFRef!$A$2:$BV$192,74,FALSE))</f>
        <v/>
      </c>
      <c r="Y66" s="728"/>
      <c r="Z66" s="1026" t="str">
        <f>IF(AC51="","",VLOOKUP(AC51,CFRef!$A$2:$BV$192,69,FALSE))</f>
        <v/>
      </c>
      <c r="AA66" s="727"/>
      <c r="AB66" s="727"/>
      <c r="AC66" s="727"/>
      <c r="AD66" s="727"/>
      <c r="AE66" s="727"/>
      <c r="AF66" s="727"/>
      <c r="AG66" s="727"/>
      <c r="AH66" s="727"/>
      <c r="AI66" s="727"/>
      <c r="AJ66" s="727"/>
      <c r="AK66" s="727"/>
      <c r="AL66" s="727" t="str">
        <f>IF(AC51="","",VLOOKUP(AC51,CFRef!$A$2:$BV$192,70,FALSE))</f>
        <v/>
      </c>
      <c r="AM66" s="727"/>
      <c r="AN66" s="727"/>
      <c r="AO66" s="727" t="str">
        <f>IF(AC51="","",VLOOKUP(AC51,CFRef!$A$2:$BV$192,71,FALSE))</f>
        <v/>
      </c>
      <c r="AP66" s="727"/>
      <c r="AQ66" s="727"/>
      <c r="AR66" s="1075" t="str">
        <f>IF(AC51="","",VLOOKUP(AC51,CFRef!$A$2:$BV$192,72,FALSE))</f>
        <v/>
      </c>
      <c r="AS66" s="727"/>
      <c r="AT66" s="727"/>
      <c r="AU66" s="727" t="str">
        <f>IF(AC51="","",VLOOKUP(AC51,CFRef!$A$2:$BV$192,73,FALSE))</f>
        <v/>
      </c>
      <c r="AV66" s="727"/>
      <c r="AW66" s="727" t="str">
        <f>IF(AC51="","",VLOOKUP(AC51,CFRef!$A$2:$BV$192,74,FALSE))</f>
        <v/>
      </c>
      <c r="AX66" s="728"/>
    </row>
    <row r="67" spans="1:50" ht="15" customHeight="1" x14ac:dyDescent="0.25">
      <c r="A67" s="1026" t="s">
        <v>906</v>
      </c>
      <c r="B67" s="727"/>
      <c r="C67" s="727"/>
      <c r="D67" s="727"/>
      <c r="E67" s="727"/>
      <c r="F67" s="727"/>
      <c r="G67" s="727"/>
      <c r="H67" s="727"/>
      <c r="I67" s="727"/>
      <c r="J67" s="727"/>
      <c r="K67" s="727"/>
      <c r="L67" s="727"/>
      <c r="M67" s="727"/>
      <c r="N67" s="727"/>
      <c r="O67" s="727"/>
      <c r="P67" s="727" t="s">
        <v>907</v>
      </c>
      <c r="Q67" s="727"/>
      <c r="R67" s="727"/>
      <c r="S67" s="727"/>
      <c r="T67" s="727"/>
      <c r="U67" s="727"/>
      <c r="V67" s="727"/>
      <c r="W67" s="727"/>
      <c r="X67" s="727"/>
      <c r="Y67" s="728"/>
      <c r="Z67" s="1026" t="s">
        <v>906</v>
      </c>
      <c r="AA67" s="727"/>
      <c r="AB67" s="727"/>
      <c r="AC67" s="727"/>
      <c r="AD67" s="727"/>
      <c r="AE67" s="727"/>
      <c r="AF67" s="727"/>
      <c r="AG67" s="727"/>
      <c r="AH67" s="727"/>
      <c r="AI67" s="727"/>
      <c r="AJ67" s="727"/>
      <c r="AK67" s="727"/>
      <c r="AL67" s="727"/>
      <c r="AM67" s="727"/>
      <c r="AN67" s="727"/>
      <c r="AO67" s="727" t="s">
        <v>907</v>
      </c>
      <c r="AP67" s="727"/>
      <c r="AQ67" s="727"/>
      <c r="AR67" s="727"/>
      <c r="AS67" s="727"/>
      <c r="AT67" s="727"/>
      <c r="AU67" s="727"/>
      <c r="AV67" s="727"/>
      <c r="AW67" s="727"/>
      <c r="AX67" s="728"/>
    </row>
    <row r="68" spans="1:50" x14ac:dyDescent="0.25">
      <c r="A68" s="1026" t="str">
        <f>IF(D51="","",VLOOKUP(D51,CFRef!$A$2:$BV$192,31,FALSE))</f>
        <v/>
      </c>
      <c r="B68" s="727"/>
      <c r="C68" s="727"/>
      <c r="D68" s="727"/>
      <c r="E68" s="727"/>
      <c r="F68" s="727"/>
      <c r="G68" s="727"/>
      <c r="H68" s="727"/>
      <c r="I68" s="727"/>
      <c r="J68" s="727"/>
      <c r="K68" s="727"/>
      <c r="L68" s="727"/>
      <c r="M68" s="727"/>
      <c r="N68" s="727"/>
      <c r="O68" s="727"/>
      <c r="P68" s="727" t="str">
        <f>IF(D51="","",VLOOKUP(D51,CFRef!$A$2:$BV$192,32,FALSE))</f>
        <v/>
      </c>
      <c r="Q68" s="727"/>
      <c r="R68" s="727"/>
      <c r="S68" s="727"/>
      <c r="T68" s="727"/>
      <c r="U68" s="727"/>
      <c r="V68" s="727"/>
      <c r="W68" s="727"/>
      <c r="X68" s="727"/>
      <c r="Y68" s="728"/>
      <c r="Z68" s="1026" t="str">
        <f>IF(AC51="","",VLOOKUP(AC51,CFRef!$A$2:$BV$192,31,FALSE))</f>
        <v/>
      </c>
      <c r="AA68" s="727"/>
      <c r="AB68" s="727"/>
      <c r="AC68" s="727"/>
      <c r="AD68" s="727"/>
      <c r="AE68" s="727"/>
      <c r="AF68" s="727"/>
      <c r="AG68" s="727"/>
      <c r="AH68" s="727"/>
      <c r="AI68" s="727"/>
      <c r="AJ68" s="727"/>
      <c r="AK68" s="727"/>
      <c r="AL68" s="727"/>
      <c r="AM68" s="727"/>
      <c r="AN68" s="727"/>
      <c r="AO68" s="727" t="str">
        <f>IF(AC51="","",VLOOKUP(AC51,CFRef!$A$2:$BV$192,32,FALSE))</f>
        <v/>
      </c>
      <c r="AP68" s="727"/>
      <c r="AQ68" s="727"/>
      <c r="AR68" s="727"/>
      <c r="AS68" s="727"/>
      <c r="AT68" s="727"/>
      <c r="AU68" s="727"/>
      <c r="AV68" s="727"/>
      <c r="AW68" s="727"/>
      <c r="AX68" s="728"/>
    </row>
    <row r="69" spans="1:50" x14ac:dyDescent="0.25">
      <c r="A69" s="1026"/>
      <c r="B69" s="727"/>
      <c r="C69" s="727"/>
      <c r="D69" s="727"/>
      <c r="E69" s="727"/>
      <c r="F69" s="727"/>
      <c r="G69" s="727"/>
      <c r="H69" s="727"/>
      <c r="I69" s="727"/>
      <c r="J69" s="727"/>
      <c r="K69" s="727"/>
      <c r="L69" s="727"/>
      <c r="M69" s="727"/>
      <c r="N69" s="727"/>
      <c r="O69" s="727"/>
      <c r="P69" s="727"/>
      <c r="Q69" s="727"/>
      <c r="R69" s="727"/>
      <c r="S69" s="727"/>
      <c r="T69" s="727"/>
      <c r="U69" s="727"/>
      <c r="V69" s="727"/>
      <c r="W69" s="727"/>
      <c r="X69" s="727"/>
      <c r="Y69" s="728"/>
      <c r="Z69" s="1026"/>
      <c r="AA69" s="727"/>
      <c r="AB69" s="727"/>
      <c r="AC69" s="727"/>
      <c r="AD69" s="727"/>
      <c r="AE69" s="727"/>
      <c r="AF69" s="727"/>
      <c r="AG69" s="727"/>
      <c r="AH69" s="727"/>
      <c r="AI69" s="727"/>
      <c r="AJ69" s="727"/>
      <c r="AK69" s="727"/>
      <c r="AL69" s="727"/>
      <c r="AM69" s="727"/>
      <c r="AN69" s="727"/>
      <c r="AO69" s="727"/>
      <c r="AP69" s="727"/>
      <c r="AQ69" s="727"/>
      <c r="AR69" s="727"/>
      <c r="AS69" s="727"/>
      <c r="AT69" s="727"/>
      <c r="AU69" s="727"/>
      <c r="AV69" s="727"/>
      <c r="AW69" s="727"/>
      <c r="AX69" s="728"/>
    </row>
    <row r="70" spans="1:50" x14ac:dyDescent="0.25">
      <c r="A70" s="1026"/>
      <c r="B70" s="727"/>
      <c r="C70" s="727"/>
      <c r="D70" s="727"/>
      <c r="E70" s="727"/>
      <c r="F70" s="727"/>
      <c r="G70" s="727"/>
      <c r="H70" s="727"/>
      <c r="I70" s="727"/>
      <c r="J70" s="727"/>
      <c r="K70" s="727"/>
      <c r="L70" s="727"/>
      <c r="M70" s="727"/>
      <c r="N70" s="727"/>
      <c r="O70" s="727"/>
      <c r="P70" s="727"/>
      <c r="Q70" s="727"/>
      <c r="R70" s="727"/>
      <c r="S70" s="727"/>
      <c r="T70" s="727"/>
      <c r="U70" s="727"/>
      <c r="V70" s="727"/>
      <c r="W70" s="727"/>
      <c r="X70" s="727"/>
      <c r="Y70" s="728"/>
      <c r="Z70" s="1026"/>
      <c r="AA70" s="727"/>
      <c r="AB70" s="727"/>
      <c r="AC70" s="727"/>
      <c r="AD70" s="727"/>
      <c r="AE70" s="727"/>
      <c r="AF70" s="727"/>
      <c r="AG70" s="727"/>
      <c r="AH70" s="727"/>
      <c r="AI70" s="727"/>
      <c r="AJ70" s="727"/>
      <c r="AK70" s="727"/>
      <c r="AL70" s="727"/>
      <c r="AM70" s="727"/>
      <c r="AN70" s="727"/>
      <c r="AO70" s="727"/>
      <c r="AP70" s="727"/>
      <c r="AQ70" s="727"/>
      <c r="AR70" s="727"/>
      <c r="AS70" s="727"/>
      <c r="AT70" s="727"/>
      <c r="AU70" s="727"/>
      <c r="AV70" s="727"/>
      <c r="AW70" s="727"/>
      <c r="AX70" s="728"/>
    </row>
    <row r="71" spans="1:50" x14ac:dyDescent="0.25">
      <c r="A71" s="1026"/>
      <c r="B71" s="727"/>
      <c r="C71" s="727"/>
      <c r="D71" s="727"/>
      <c r="E71" s="727"/>
      <c r="F71" s="727"/>
      <c r="G71" s="727"/>
      <c r="H71" s="727"/>
      <c r="I71" s="727"/>
      <c r="J71" s="727"/>
      <c r="K71" s="727"/>
      <c r="L71" s="727"/>
      <c r="M71" s="727"/>
      <c r="N71" s="727"/>
      <c r="O71" s="727"/>
      <c r="P71" s="727"/>
      <c r="Q71" s="727"/>
      <c r="R71" s="727"/>
      <c r="S71" s="727"/>
      <c r="T71" s="727"/>
      <c r="U71" s="727"/>
      <c r="V71" s="727"/>
      <c r="W71" s="727"/>
      <c r="X71" s="727"/>
      <c r="Y71" s="728"/>
      <c r="Z71" s="1026"/>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727"/>
      <c r="AX71" s="728"/>
    </row>
    <row r="72" spans="1:50" ht="15.75" thickBot="1" x14ac:dyDescent="0.3">
      <c r="A72" s="1027"/>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921"/>
      <c r="Z72" s="1027"/>
      <c r="AA72" s="865"/>
      <c r="AB72" s="865"/>
      <c r="AC72" s="865"/>
      <c r="AD72" s="865"/>
      <c r="AE72" s="865"/>
      <c r="AF72" s="865"/>
      <c r="AG72" s="865"/>
      <c r="AH72" s="865"/>
      <c r="AI72" s="865"/>
      <c r="AJ72" s="865"/>
      <c r="AK72" s="865"/>
      <c r="AL72" s="865"/>
      <c r="AM72" s="865"/>
      <c r="AN72" s="865"/>
      <c r="AO72" s="865"/>
      <c r="AP72" s="865"/>
      <c r="AQ72" s="865"/>
      <c r="AR72" s="865"/>
      <c r="AS72" s="865"/>
      <c r="AT72" s="865"/>
      <c r="AU72" s="865"/>
      <c r="AV72" s="865"/>
      <c r="AW72" s="865"/>
      <c r="AX72" s="921"/>
    </row>
    <row r="73" spans="1:50" ht="15" customHeight="1" x14ac:dyDescent="0.25">
      <c r="A73" s="1028" t="s">
        <v>75</v>
      </c>
      <c r="B73" s="725"/>
      <c r="C73" s="725"/>
      <c r="D73" s="1073"/>
      <c r="E73" s="1073"/>
      <c r="F73" s="1073"/>
      <c r="G73" s="1073"/>
      <c r="H73" s="1073"/>
      <c r="I73" s="1073"/>
      <c r="J73" s="1073"/>
      <c r="K73" s="1073"/>
      <c r="L73" s="1073"/>
      <c r="M73" s="1073"/>
      <c r="N73" s="725" t="s">
        <v>892</v>
      </c>
      <c r="O73" s="725"/>
      <c r="P73" s="725" t="str">
        <f>IF(D75="","",VLOOKUP(D75,CFRef!$A$2:$BV$192,4,FALSE))</f>
        <v/>
      </c>
      <c r="Q73" s="725"/>
      <c r="R73" s="725" t="s">
        <v>895</v>
      </c>
      <c r="S73" s="725"/>
      <c r="T73" s="725" t="str">
        <f>IF(D75="","",VLOOKUP(D75,CFRef!$A$2:$BV$192,7,FALSE))</f>
        <v/>
      </c>
      <c r="U73" s="725"/>
      <c r="V73" s="725" t="s">
        <v>898</v>
      </c>
      <c r="W73" s="725"/>
      <c r="X73" s="725" t="str">
        <f>IF(D75="","",VLOOKUP(D75,CFRef!$A$2:$BV$192,10,FALSE))</f>
        <v/>
      </c>
      <c r="Y73" s="726"/>
      <c r="Z73" s="1028" t="s">
        <v>75</v>
      </c>
      <c r="AA73" s="725"/>
      <c r="AB73" s="725"/>
      <c r="AC73" s="1073"/>
      <c r="AD73" s="1073"/>
      <c r="AE73" s="1073"/>
      <c r="AF73" s="1073"/>
      <c r="AG73" s="1073"/>
      <c r="AH73" s="1073"/>
      <c r="AI73" s="1073"/>
      <c r="AJ73" s="1073"/>
      <c r="AK73" s="1073"/>
      <c r="AL73" s="1073"/>
      <c r="AM73" s="725" t="s">
        <v>892</v>
      </c>
      <c r="AN73" s="725"/>
      <c r="AO73" s="725" t="str">
        <f>IF(AC75="","",VLOOKUP(AC75,CFRef!$A$2:$BV$192,4,FALSE))</f>
        <v/>
      </c>
      <c r="AP73" s="725"/>
      <c r="AQ73" s="725" t="s">
        <v>895</v>
      </c>
      <c r="AR73" s="725"/>
      <c r="AS73" s="725" t="str">
        <f>IF(AC75="","",VLOOKUP(AC75,CFRef!$A$2:$BV$192,7,FALSE))</f>
        <v/>
      </c>
      <c r="AT73" s="725"/>
      <c r="AU73" s="725" t="s">
        <v>898</v>
      </c>
      <c r="AV73" s="725"/>
      <c r="AW73" s="725" t="str">
        <f>IF(AC75="","",VLOOKUP(AC75,CFRef!$A$2:$BV$192,10,FALSE))</f>
        <v/>
      </c>
      <c r="AX73" s="726"/>
    </row>
    <row r="74" spans="1:50" ht="15" customHeight="1" x14ac:dyDescent="0.25">
      <c r="A74" s="1026" t="s">
        <v>0</v>
      </c>
      <c r="B74" s="727"/>
      <c r="C74" s="727"/>
      <c r="D74" s="1074"/>
      <c r="E74" s="1074"/>
      <c r="F74" s="1074"/>
      <c r="G74" s="1074"/>
      <c r="H74" s="1074"/>
      <c r="I74" s="1074"/>
      <c r="J74" s="1074"/>
      <c r="K74" s="1074"/>
      <c r="L74" s="1074"/>
      <c r="M74" s="1074"/>
      <c r="N74" s="727" t="s">
        <v>893</v>
      </c>
      <c r="O74" s="727" t="s">
        <v>893</v>
      </c>
      <c r="P74" s="727" t="str">
        <f>IF(D75="","",VLOOKUP(D75,CFRef!$A$2:$BV$192,5,FALSE))</f>
        <v/>
      </c>
      <c r="Q74" s="727"/>
      <c r="R74" s="727" t="s">
        <v>896</v>
      </c>
      <c r="S74" s="727"/>
      <c r="T74" s="727" t="str">
        <f>IF(D75="","",VLOOKUP(D75,CFRef!$A$2:$BV$192,8,FALSE))</f>
        <v/>
      </c>
      <c r="U74" s="727"/>
      <c r="V74" s="727" t="s">
        <v>899</v>
      </c>
      <c r="W74" s="727"/>
      <c r="X74" s="727" t="str">
        <f>IF(D75="","",VLOOKUP(D75,CFRef!$A$2:$BV$192,11,FALSE))</f>
        <v/>
      </c>
      <c r="Y74" s="728"/>
      <c r="Z74" s="1026" t="s">
        <v>0</v>
      </c>
      <c r="AA74" s="727"/>
      <c r="AB74" s="727"/>
      <c r="AC74" s="1074"/>
      <c r="AD74" s="1074"/>
      <c r="AE74" s="1074"/>
      <c r="AF74" s="1074"/>
      <c r="AG74" s="1074"/>
      <c r="AH74" s="1074"/>
      <c r="AI74" s="1074"/>
      <c r="AJ74" s="1074"/>
      <c r="AK74" s="1074"/>
      <c r="AL74" s="1074"/>
      <c r="AM74" s="727" t="s">
        <v>893</v>
      </c>
      <c r="AN74" s="727" t="s">
        <v>893</v>
      </c>
      <c r="AO74" s="727" t="str">
        <f>IF(AC75="","",VLOOKUP(AC75,CFRef!$A$2:$BV$192,5,FALSE))</f>
        <v/>
      </c>
      <c r="AP74" s="727"/>
      <c r="AQ74" s="727" t="s">
        <v>896</v>
      </c>
      <c r="AR74" s="727"/>
      <c r="AS74" s="727" t="str">
        <f>IF(AC75="","",VLOOKUP(AC75,CFRef!$A$2:$BV$192,8,FALSE))</f>
        <v/>
      </c>
      <c r="AT74" s="727"/>
      <c r="AU74" s="727" t="s">
        <v>899</v>
      </c>
      <c r="AV74" s="727"/>
      <c r="AW74" s="727" t="str">
        <f>IF(AC75="","",VLOOKUP(AC75,CFRef!$A$2:$BV$192,11,FALSE))</f>
        <v/>
      </c>
      <c r="AX74" s="728"/>
    </row>
    <row r="75" spans="1:50" ht="15" customHeight="1" x14ac:dyDescent="0.25">
      <c r="A75" s="1026" t="s">
        <v>77</v>
      </c>
      <c r="B75" s="727"/>
      <c r="C75" s="727"/>
      <c r="D75" s="1074" t="s">
        <v>3601</v>
      </c>
      <c r="E75" s="1074"/>
      <c r="F75" s="1074"/>
      <c r="G75" s="1074"/>
      <c r="H75" s="1074"/>
      <c r="I75" s="1074"/>
      <c r="J75" s="1074"/>
      <c r="K75" s="1074"/>
      <c r="L75" s="1074"/>
      <c r="M75" s="1074"/>
      <c r="N75" s="727" t="s">
        <v>894</v>
      </c>
      <c r="O75" s="727"/>
      <c r="P75" s="727" t="str">
        <f>IF(D75="","",VLOOKUP(D75,CFRef!$A$2:$BV$192,6,FALSE))</f>
        <v/>
      </c>
      <c r="Q75" s="727"/>
      <c r="R75" s="727" t="s">
        <v>897</v>
      </c>
      <c r="S75" s="727"/>
      <c r="T75" s="727" t="str">
        <f>IF(D75="","",VLOOKUP(D75,CFRef!$A$2:$BV$192,9,FALSE))</f>
        <v/>
      </c>
      <c r="U75" s="727"/>
      <c r="V75" s="727" t="s">
        <v>900</v>
      </c>
      <c r="W75" s="727"/>
      <c r="X75" s="727" t="str">
        <f>IF(D75="","",VLOOKUP(D75,CFRef!$A$2:$BV$192,12,FALSE))</f>
        <v/>
      </c>
      <c r="Y75" s="728"/>
      <c r="Z75" s="1026" t="s">
        <v>77</v>
      </c>
      <c r="AA75" s="727"/>
      <c r="AB75" s="727"/>
      <c r="AC75" s="1074" t="s">
        <v>3601</v>
      </c>
      <c r="AD75" s="1074"/>
      <c r="AE75" s="1074"/>
      <c r="AF75" s="1074"/>
      <c r="AG75" s="1074"/>
      <c r="AH75" s="1074"/>
      <c r="AI75" s="1074"/>
      <c r="AJ75" s="1074"/>
      <c r="AK75" s="1074"/>
      <c r="AL75" s="1074"/>
      <c r="AM75" s="727" t="s">
        <v>894</v>
      </c>
      <c r="AN75" s="727"/>
      <c r="AO75" s="727" t="str">
        <f>IF(AC75="","",VLOOKUP(AC75,CFRef!$A$2:$BV$192,6,FALSE))</f>
        <v/>
      </c>
      <c r="AP75" s="727"/>
      <c r="AQ75" s="727" t="s">
        <v>897</v>
      </c>
      <c r="AR75" s="727"/>
      <c r="AS75" s="727" t="str">
        <f>IF(AC75="","",VLOOKUP(AC75,CFRef!$A$2:$BV$192,9,FALSE))</f>
        <v/>
      </c>
      <c r="AT75" s="727"/>
      <c r="AU75" s="727" t="s">
        <v>900</v>
      </c>
      <c r="AV75" s="727"/>
      <c r="AW75" s="727" t="str">
        <f>IF(AC75="","",VLOOKUP(AC75,CFRef!$A$2:$BV$192,12,FALSE))</f>
        <v/>
      </c>
      <c r="AX75" s="728"/>
    </row>
    <row r="76" spans="1:50" ht="15" customHeight="1" x14ac:dyDescent="0.25">
      <c r="A76" s="1026" t="s">
        <v>31</v>
      </c>
      <c r="B76" s="727"/>
      <c r="C76" s="727"/>
      <c r="D76" s="727"/>
      <c r="E76" s="727"/>
      <c r="F76" s="727"/>
      <c r="G76" s="727" t="s">
        <v>903</v>
      </c>
      <c r="H76" s="727"/>
      <c r="I76" s="727"/>
      <c r="J76" s="727"/>
      <c r="K76" s="727"/>
      <c r="L76" s="727"/>
      <c r="M76" s="727" t="s">
        <v>69</v>
      </c>
      <c r="N76" s="727"/>
      <c r="O76" s="727"/>
      <c r="P76" s="727"/>
      <c r="Q76" s="727"/>
      <c r="R76" s="727"/>
      <c r="S76" s="727"/>
      <c r="T76" s="727"/>
      <c r="U76" s="727"/>
      <c r="V76" s="727"/>
      <c r="W76" s="727"/>
      <c r="X76" s="727"/>
      <c r="Y76" s="728"/>
      <c r="Z76" s="1026" t="s">
        <v>31</v>
      </c>
      <c r="AA76" s="727"/>
      <c r="AB76" s="727"/>
      <c r="AC76" s="727"/>
      <c r="AD76" s="727"/>
      <c r="AE76" s="727"/>
      <c r="AF76" s="727" t="s">
        <v>903</v>
      </c>
      <c r="AG76" s="727"/>
      <c r="AH76" s="727"/>
      <c r="AI76" s="727"/>
      <c r="AJ76" s="727"/>
      <c r="AK76" s="727"/>
      <c r="AL76" s="727" t="s">
        <v>69</v>
      </c>
      <c r="AM76" s="727"/>
      <c r="AN76" s="727"/>
      <c r="AO76" s="727"/>
      <c r="AP76" s="727"/>
      <c r="AQ76" s="727"/>
      <c r="AR76" s="727"/>
      <c r="AS76" s="727"/>
      <c r="AT76" s="727"/>
      <c r="AU76" s="727"/>
      <c r="AV76" s="727"/>
      <c r="AW76" s="727"/>
      <c r="AX76" s="728"/>
    </row>
    <row r="77" spans="1:50" ht="15" customHeight="1" x14ac:dyDescent="0.25">
      <c r="A77" s="1026" t="str">
        <f>IF(D75="","",VLOOKUP(D75,CFRef!$A$2:$BV$192,21,FALSE))</f>
        <v/>
      </c>
      <c r="B77" s="727"/>
      <c r="C77" s="727"/>
      <c r="D77" s="727"/>
      <c r="E77" s="727" t="str">
        <f>IF(D75="","",VLOOKUP(D75,CFRef!$A$2:$BV$192,22,FALSE))</f>
        <v/>
      </c>
      <c r="F77" s="727"/>
      <c r="G77" s="727" t="s">
        <v>88</v>
      </c>
      <c r="H77" s="727"/>
      <c r="I77" s="727"/>
      <c r="J77" s="727"/>
      <c r="K77" s="727" t="str">
        <f>IF(D75="","",VLOOKUP(D75,CFRef!$A$2:$BV$192,18,FALSE))</f>
        <v/>
      </c>
      <c r="L77" s="727"/>
      <c r="M77" s="727" t="str">
        <f>IF(D75="","",VLOOKUP(D75,CFRef!$A$2:$BV$192,30,FALSE))</f>
        <v/>
      </c>
      <c r="N77" s="727"/>
      <c r="O77" s="727"/>
      <c r="P77" s="727"/>
      <c r="Q77" s="727"/>
      <c r="R77" s="727"/>
      <c r="S77" s="727"/>
      <c r="T77" s="727"/>
      <c r="U77" s="727"/>
      <c r="V77" s="727"/>
      <c r="W77" s="727"/>
      <c r="X77" s="727"/>
      <c r="Y77" s="728"/>
      <c r="Z77" s="1026" t="str">
        <f>IF(AC75="","",VLOOKUP(AC75,CFRef!$A$2:$BV$192,21,FALSE))</f>
        <v/>
      </c>
      <c r="AA77" s="727"/>
      <c r="AB77" s="727"/>
      <c r="AC77" s="727"/>
      <c r="AD77" s="727" t="str">
        <f>IF(AC75="","",VLOOKUP(AC75,CFRef!$A$2:$BV$192,22,FALSE))</f>
        <v/>
      </c>
      <c r="AE77" s="727"/>
      <c r="AF77" s="727" t="s">
        <v>88</v>
      </c>
      <c r="AG77" s="727"/>
      <c r="AH77" s="727"/>
      <c r="AI77" s="727"/>
      <c r="AJ77" s="727" t="str">
        <f>IF(AC75="","",VLOOKUP(AC75,CFRef!$A$2:$BV$192,18,FALSE))</f>
        <v/>
      </c>
      <c r="AK77" s="727"/>
      <c r="AL77" s="727" t="str">
        <f>IF(AC75="","",VLOOKUP(AC75,CFRef!$A$2:$BV$192,30,FALSE))</f>
        <v/>
      </c>
      <c r="AM77" s="727"/>
      <c r="AN77" s="727"/>
      <c r="AO77" s="727"/>
      <c r="AP77" s="727"/>
      <c r="AQ77" s="727"/>
      <c r="AR77" s="727"/>
      <c r="AS77" s="727"/>
      <c r="AT77" s="727"/>
      <c r="AU77" s="727"/>
      <c r="AV77" s="727"/>
      <c r="AW77" s="727"/>
      <c r="AX77" s="728"/>
    </row>
    <row r="78" spans="1:50" ht="15" customHeight="1" x14ac:dyDescent="0.25">
      <c r="A78" s="1026" t="str">
        <f>IF(D75="","",VLOOKUP(D75,CFRef!$A$2:$BV$192,23,FALSE))</f>
        <v/>
      </c>
      <c r="B78" s="727"/>
      <c r="C78" s="727"/>
      <c r="D78" s="727"/>
      <c r="E78" s="727" t="str">
        <f>IF(D75="","",VLOOKUP(D75,CFRef!$A$2:$BV$192,24,FALSE))</f>
        <v/>
      </c>
      <c r="F78" s="727"/>
      <c r="G78" s="727" t="s">
        <v>89</v>
      </c>
      <c r="H78" s="727"/>
      <c r="I78" s="727"/>
      <c r="J78" s="727"/>
      <c r="K78" s="727" t="str">
        <f>IF(D75="","",VLOOKUP(D75,CFRef!$A$2:$BV$192,19,FALSE))</f>
        <v/>
      </c>
      <c r="L78" s="727"/>
      <c r="M78" s="727"/>
      <c r="N78" s="727"/>
      <c r="O78" s="727"/>
      <c r="P78" s="727"/>
      <c r="Q78" s="727"/>
      <c r="R78" s="727"/>
      <c r="S78" s="727"/>
      <c r="T78" s="727"/>
      <c r="U78" s="727"/>
      <c r="V78" s="727"/>
      <c r="W78" s="727"/>
      <c r="X78" s="727"/>
      <c r="Y78" s="728"/>
      <c r="Z78" s="1026" t="str">
        <f>IF(AC75="","",VLOOKUP(AC75,CFRef!$A$2:$BV$192,23,FALSE))</f>
        <v/>
      </c>
      <c r="AA78" s="727"/>
      <c r="AB78" s="727"/>
      <c r="AC78" s="727"/>
      <c r="AD78" s="727" t="str">
        <f>IF(AC75="","",VLOOKUP(AC75,CFRef!$A$2:$BV$192,24,FALSE))</f>
        <v/>
      </c>
      <c r="AE78" s="727"/>
      <c r="AF78" s="727" t="s">
        <v>89</v>
      </c>
      <c r="AG78" s="727"/>
      <c r="AH78" s="727"/>
      <c r="AI78" s="727"/>
      <c r="AJ78" s="727" t="str">
        <f>IF(AC75="","",VLOOKUP(AC75,CFRef!$A$2:$BV$192,19,FALSE))</f>
        <v/>
      </c>
      <c r="AK78" s="727"/>
      <c r="AL78" s="727"/>
      <c r="AM78" s="727"/>
      <c r="AN78" s="727"/>
      <c r="AO78" s="727"/>
      <c r="AP78" s="727"/>
      <c r="AQ78" s="727"/>
      <c r="AR78" s="727"/>
      <c r="AS78" s="727"/>
      <c r="AT78" s="727"/>
      <c r="AU78" s="727"/>
      <c r="AV78" s="727"/>
      <c r="AW78" s="727"/>
      <c r="AX78" s="728"/>
    </row>
    <row r="79" spans="1:50" ht="15" customHeight="1" x14ac:dyDescent="0.25">
      <c r="A79" s="1026" t="str">
        <f>IF(D75="","",VLOOKUP(D75,CFRef!$A$2:$BV$192,25,FALSE))</f>
        <v/>
      </c>
      <c r="B79" s="727"/>
      <c r="C79" s="727"/>
      <c r="D79" s="727"/>
      <c r="E79" s="727" t="str">
        <f>IF(D75="","",VLOOKUP(D75,CFRef!$A$2:$BV$192,26,FALSE))</f>
        <v/>
      </c>
      <c r="F79" s="727"/>
      <c r="G79" s="727" t="s">
        <v>90</v>
      </c>
      <c r="H79" s="727"/>
      <c r="I79" s="727"/>
      <c r="J79" s="727"/>
      <c r="K79" s="727" t="str">
        <f>IF(D75="","",VLOOKUP(D75,CFRef!$A$2:$BV$192,20,FALSE))</f>
        <v/>
      </c>
      <c r="L79" s="727"/>
      <c r="M79" s="727"/>
      <c r="N79" s="727"/>
      <c r="O79" s="727"/>
      <c r="P79" s="727"/>
      <c r="Q79" s="727"/>
      <c r="R79" s="727"/>
      <c r="S79" s="727"/>
      <c r="T79" s="727"/>
      <c r="U79" s="727"/>
      <c r="V79" s="727"/>
      <c r="W79" s="727"/>
      <c r="X79" s="727"/>
      <c r="Y79" s="728"/>
      <c r="Z79" s="1026" t="str">
        <f>IF(AC75="","",VLOOKUP(AC75,CFRef!$A$2:$BV$192,25,FALSE))</f>
        <v/>
      </c>
      <c r="AA79" s="727"/>
      <c r="AB79" s="727"/>
      <c r="AC79" s="727"/>
      <c r="AD79" s="727" t="str">
        <f>IF(AC75="","",VLOOKUP(AC75,CFRef!$A$2:$BV$192,26,FALSE))</f>
        <v/>
      </c>
      <c r="AE79" s="727"/>
      <c r="AF79" s="727" t="s">
        <v>90</v>
      </c>
      <c r="AG79" s="727"/>
      <c r="AH79" s="727"/>
      <c r="AI79" s="727"/>
      <c r="AJ79" s="727" t="str">
        <f>IF(AC75="","",VLOOKUP(AC75,CFRef!$A$2:$BV$192,20,FALSE))</f>
        <v/>
      </c>
      <c r="AK79" s="727"/>
      <c r="AL79" s="727"/>
      <c r="AM79" s="727"/>
      <c r="AN79" s="727"/>
      <c r="AO79" s="727"/>
      <c r="AP79" s="727"/>
      <c r="AQ79" s="727"/>
      <c r="AR79" s="727"/>
      <c r="AS79" s="727"/>
      <c r="AT79" s="727"/>
      <c r="AU79" s="727"/>
      <c r="AV79" s="727"/>
      <c r="AW79" s="727"/>
      <c r="AX79" s="728"/>
    </row>
    <row r="80" spans="1:50" ht="15" customHeight="1" x14ac:dyDescent="0.25">
      <c r="A80" s="1026" t="str">
        <f>IF(D75="","",VLOOKUP(D75,CFRef!$A$2:$BV$192,27,FALSE))</f>
        <v/>
      </c>
      <c r="B80" s="727"/>
      <c r="C80" s="727"/>
      <c r="D80" s="727"/>
      <c r="E80" s="727" t="str">
        <f>IF(D75="","",VLOOKUP(D75,CFRef!$A$2:$BV$192,28,FALSE))</f>
        <v/>
      </c>
      <c r="F80" s="727"/>
      <c r="G80" s="727" t="s">
        <v>93</v>
      </c>
      <c r="H80" s="727"/>
      <c r="I80" s="727"/>
      <c r="J80" s="727"/>
      <c r="K80" s="727" t="str">
        <f>IF(D75="","",VLOOKUP(D75,CFRef!$A$2:$BV$192,15,FALSE))</f>
        <v/>
      </c>
      <c r="L80" s="727"/>
      <c r="M80" s="727"/>
      <c r="N80" s="727"/>
      <c r="O80" s="727"/>
      <c r="P80" s="727"/>
      <c r="Q80" s="727"/>
      <c r="R80" s="727"/>
      <c r="S80" s="727"/>
      <c r="T80" s="727"/>
      <c r="U80" s="727"/>
      <c r="V80" s="727"/>
      <c r="W80" s="727"/>
      <c r="X80" s="727"/>
      <c r="Y80" s="728"/>
      <c r="Z80" s="1026" t="str">
        <f>IF(AC75="","",VLOOKUP(AC75,CFRef!$A$2:$BV$192,27,FALSE))</f>
        <v/>
      </c>
      <c r="AA80" s="727"/>
      <c r="AB80" s="727"/>
      <c r="AC80" s="727"/>
      <c r="AD80" s="727" t="str">
        <f>IF(AC75="","",VLOOKUP(AC75,CFRef!$A$2:$BV$192,28,FALSE))</f>
        <v/>
      </c>
      <c r="AE80" s="727"/>
      <c r="AF80" s="727" t="s">
        <v>93</v>
      </c>
      <c r="AG80" s="727"/>
      <c r="AH80" s="727"/>
      <c r="AI80" s="727"/>
      <c r="AJ80" s="727" t="str">
        <f>IF(AC75="","",VLOOKUP(AC75,CFRef!$A$2:$BV$192,15,FALSE))</f>
        <v/>
      </c>
      <c r="AK80" s="727"/>
      <c r="AL80" s="727"/>
      <c r="AM80" s="727"/>
      <c r="AN80" s="727"/>
      <c r="AO80" s="727"/>
      <c r="AP80" s="727"/>
      <c r="AQ80" s="727"/>
      <c r="AR80" s="727"/>
      <c r="AS80" s="727"/>
      <c r="AT80" s="727"/>
      <c r="AU80" s="727"/>
      <c r="AV80" s="727"/>
      <c r="AW80" s="727"/>
      <c r="AX80" s="728"/>
    </row>
    <row r="81" spans="1:50" ht="15" customHeight="1" x14ac:dyDescent="0.25">
      <c r="A81" s="1026" t="s">
        <v>901</v>
      </c>
      <c r="B81" s="727"/>
      <c r="C81" s="727"/>
      <c r="D81" s="727"/>
      <c r="E81" s="727" t="str">
        <f>IF(D75="","",VLOOKUP(D75,CFRef!$A$2:$BV$192,16,FALSE))</f>
        <v/>
      </c>
      <c r="F81" s="727"/>
      <c r="G81" s="727" t="s">
        <v>95</v>
      </c>
      <c r="H81" s="727"/>
      <c r="I81" s="727"/>
      <c r="J81" s="727"/>
      <c r="K81" s="727" t="str">
        <f>IF(D75="","",VLOOKUP(D75,CFRef!$A$2:$BV$192,17,FALSE))</f>
        <v/>
      </c>
      <c r="L81" s="727"/>
      <c r="M81" s="727"/>
      <c r="N81" s="727"/>
      <c r="O81" s="727"/>
      <c r="P81" s="727"/>
      <c r="Q81" s="727"/>
      <c r="R81" s="727"/>
      <c r="S81" s="727"/>
      <c r="T81" s="727"/>
      <c r="U81" s="727"/>
      <c r="V81" s="727"/>
      <c r="W81" s="727"/>
      <c r="X81" s="727"/>
      <c r="Y81" s="728"/>
      <c r="Z81" s="1026" t="s">
        <v>901</v>
      </c>
      <c r="AA81" s="727"/>
      <c r="AB81" s="727"/>
      <c r="AC81" s="727"/>
      <c r="AD81" s="727" t="str">
        <f>IF(AC75="","",VLOOKUP(AC75,CFRef!$A$2:$BV$192,16,FALSE))</f>
        <v/>
      </c>
      <c r="AE81" s="727"/>
      <c r="AF81" s="727" t="s">
        <v>95</v>
      </c>
      <c r="AG81" s="727"/>
      <c r="AH81" s="727"/>
      <c r="AI81" s="727"/>
      <c r="AJ81" s="727" t="str">
        <f>IF(AC75="","",VLOOKUP(AC75,CFRef!$A$2:$BV$192,17,FALSE))</f>
        <v/>
      </c>
      <c r="AK81" s="727"/>
      <c r="AL81" s="727"/>
      <c r="AM81" s="727"/>
      <c r="AN81" s="727"/>
      <c r="AO81" s="727"/>
      <c r="AP81" s="727"/>
      <c r="AQ81" s="727"/>
      <c r="AR81" s="727"/>
      <c r="AS81" s="727"/>
      <c r="AT81" s="727"/>
      <c r="AU81" s="727"/>
      <c r="AV81" s="727"/>
      <c r="AW81" s="727"/>
      <c r="AX81" s="728"/>
    </row>
    <row r="82" spans="1:50" ht="15" customHeight="1" x14ac:dyDescent="0.25">
      <c r="A82" s="1026" t="s">
        <v>60</v>
      </c>
      <c r="B82" s="727"/>
      <c r="C82" s="727"/>
      <c r="D82" s="727"/>
      <c r="E82" s="727" t="str">
        <f>IF(D75="","",VLOOKUP(D75,CFRef!$A$2:$BV$192,13,FALSE))</f>
        <v/>
      </c>
      <c r="F82" s="727"/>
      <c r="G82" s="727" t="s">
        <v>902</v>
      </c>
      <c r="H82" s="727"/>
      <c r="I82" s="727"/>
      <c r="J82" s="727"/>
      <c r="K82" s="727" t="str">
        <f>IF(D75="","",VLOOKUP(D75,CFRef!$A$2:$BV$192,14,FALSE))</f>
        <v/>
      </c>
      <c r="L82" s="727"/>
      <c r="M82" s="727" t="s">
        <v>751</v>
      </c>
      <c r="N82" s="727"/>
      <c r="O82" s="727"/>
      <c r="P82" s="727"/>
      <c r="Q82" s="1075" t="str">
        <f>IF(D75="","",VLOOKUP(D75,CFRef!$A$2:$BV$192,29,FALSE))</f>
        <v/>
      </c>
      <c r="R82" s="727"/>
      <c r="S82" s="727"/>
      <c r="T82" s="727"/>
      <c r="U82" s="727"/>
      <c r="V82" s="727"/>
      <c r="W82" s="727"/>
      <c r="X82" s="727"/>
      <c r="Y82" s="728"/>
      <c r="Z82" s="1026" t="s">
        <v>60</v>
      </c>
      <c r="AA82" s="727"/>
      <c r="AB82" s="727"/>
      <c r="AC82" s="727"/>
      <c r="AD82" s="727" t="str">
        <f>IF(AC75="","",VLOOKUP(AC75,CFRef!$A$2:$BV$192,13,FALSE))</f>
        <v/>
      </c>
      <c r="AE82" s="727"/>
      <c r="AF82" s="727" t="s">
        <v>902</v>
      </c>
      <c r="AG82" s="727"/>
      <c r="AH82" s="727"/>
      <c r="AI82" s="727"/>
      <c r="AJ82" s="727" t="str">
        <f>IF(AC75="","",VLOOKUP(AC75,CFRef!$A$2:$BV$192,14,FALSE))</f>
        <v/>
      </c>
      <c r="AK82" s="727"/>
      <c r="AL82" s="727" t="s">
        <v>751</v>
      </c>
      <c r="AM82" s="727"/>
      <c r="AN82" s="727"/>
      <c r="AO82" s="727"/>
      <c r="AP82" s="1075" t="str">
        <f>IF(AC75="","",VLOOKUP(AC75,CFRef!$A$2:$BV$192,29,FALSE))</f>
        <v/>
      </c>
      <c r="AQ82" s="727"/>
      <c r="AR82" s="727"/>
      <c r="AS82" s="727"/>
      <c r="AT82" s="727"/>
      <c r="AU82" s="727"/>
      <c r="AV82" s="727"/>
      <c r="AW82" s="727"/>
      <c r="AX82" s="728"/>
    </row>
    <row r="83" spans="1:50" ht="15" customHeight="1" x14ac:dyDescent="0.25">
      <c r="A83" s="1026" t="s">
        <v>904</v>
      </c>
      <c r="B83" s="727"/>
      <c r="C83" s="727"/>
      <c r="D83" s="727"/>
      <c r="E83" s="727"/>
      <c r="F83" s="727"/>
      <c r="G83" s="727"/>
      <c r="H83" s="727"/>
      <c r="I83" s="727"/>
      <c r="J83" s="727"/>
      <c r="K83" s="727"/>
      <c r="L83" s="727"/>
      <c r="M83" s="727" t="s">
        <v>117</v>
      </c>
      <c r="N83" s="727"/>
      <c r="O83" s="727"/>
      <c r="P83" s="727" t="s">
        <v>118</v>
      </c>
      <c r="Q83" s="727"/>
      <c r="R83" s="727"/>
      <c r="S83" s="727" t="s">
        <v>905</v>
      </c>
      <c r="T83" s="727"/>
      <c r="U83" s="727"/>
      <c r="V83" s="727" t="s">
        <v>124</v>
      </c>
      <c r="W83" s="727"/>
      <c r="X83" s="727" t="s">
        <v>121</v>
      </c>
      <c r="Y83" s="728"/>
      <c r="Z83" s="1026" t="s">
        <v>904</v>
      </c>
      <c r="AA83" s="727"/>
      <c r="AB83" s="727"/>
      <c r="AC83" s="727"/>
      <c r="AD83" s="727"/>
      <c r="AE83" s="727"/>
      <c r="AF83" s="727"/>
      <c r="AG83" s="727"/>
      <c r="AH83" s="727"/>
      <c r="AI83" s="727"/>
      <c r="AJ83" s="727"/>
      <c r="AK83" s="727"/>
      <c r="AL83" s="727" t="s">
        <v>117</v>
      </c>
      <c r="AM83" s="727"/>
      <c r="AN83" s="727"/>
      <c r="AO83" s="727" t="s">
        <v>118</v>
      </c>
      <c r="AP83" s="727"/>
      <c r="AQ83" s="727"/>
      <c r="AR83" s="727" t="s">
        <v>905</v>
      </c>
      <c r="AS83" s="727"/>
      <c r="AT83" s="727"/>
      <c r="AU83" s="727" t="s">
        <v>124</v>
      </c>
      <c r="AV83" s="727"/>
      <c r="AW83" s="727" t="s">
        <v>121</v>
      </c>
      <c r="AX83" s="728"/>
    </row>
    <row r="84" spans="1:50" x14ac:dyDescent="0.25">
      <c r="A84" s="1026" t="str">
        <f>IF(D75="","",VLOOKUP(D75,CFRef!$A$2:$BV$192,33,FALSE))</f>
        <v/>
      </c>
      <c r="B84" s="727"/>
      <c r="C84" s="727"/>
      <c r="D84" s="727"/>
      <c r="E84" s="727"/>
      <c r="F84" s="727"/>
      <c r="G84" s="727"/>
      <c r="H84" s="727"/>
      <c r="I84" s="727"/>
      <c r="J84" s="727"/>
      <c r="K84" s="727"/>
      <c r="L84" s="727"/>
      <c r="M84" s="727" t="str">
        <f>IF(D75="","",VLOOKUP(D75,CFRef!$A$2:$BV$192,34,FALSE))</f>
        <v/>
      </c>
      <c r="N84" s="727"/>
      <c r="O84" s="727"/>
      <c r="P84" s="727" t="str">
        <f>IF(D75="","",VLOOKUP(D75,CFRef!$A$2:$BV$192,35,FALSE))</f>
        <v/>
      </c>
      <c r="Q84" s="727"/>
      <c r="R84" s="727"/>
      <c r="S84" s="1075" t="str">
        <f>IF(D75="","",VLOOKUP(D75,CFRef!$A$2:$BV$192,36,FALSE))</f>
        <v/>
      </c>
      <c r="T84" s="727"/>
      <c r="U84" s="727"/>
      <c r="V84" s="727" t="str">
        <f>IF(D75="","",VLOOKUP(D75,CFRef!$A$2:$BV$192,37,FALSE))</f>
        <v/>
      </c>
      <c r="W84" s="727"/>
      <c r="X84" s="727" t="str">
        <f>IF(D75="","",VLOOKUP(D75,CFRef!$A$2:$BV$192,38,FALSE))</f>
        <v/>
      </c>
      <c r="Y84" s="728"/>
      <c r="Z84" s="1026" t="str">
        <f>IF(AC75="","",VLOOKUP(AC75,CFRef!$A$2:$BV$192,33,FALSE))</f>
        <v/>
      </c>
      <c r="AA84" s="727"/>
      <c r="AB84" s="727"/>
      <c r="AC84" s="727"/>
      <c r="AD84" s="727"/>
      <c r="AE84" s="727"/>
      <c r="AF84" s="727"/>
      <c r="AG84" s="727"/>
      <c r="AH84" s="727"/>
      <c r="AI84" s="727"/>
      <c r="AJ84" s="727"/>
      <c r="AK84" s="727"/>
      <c r="AL84" s="727" t="str">
        <f>IF(AC75="","",VLOOKUP(AC75,CFRef!$A$2:$BV$192,34,FALSE))</f>
        <v/>
      </c>
      <c r="AM84" s="727"/>
      <c r="AN84" s="727"/>
      <c r="AO84" s="727" t="str">
        <f>IF(AC75="","",VLOOKUP(AC75,CFRef!$A$2:$BV$192,35,FALSE))</f>
        <v/>
      </c>
      <c r="AP84" s="727"/>
      <c r="AQ84" s="727"/>
      <c r="AR84" s="1075" t="str">
        <f>IF(AC75="","",VLOOKUP(AC75,CFRef!$A$2:$BV$192,36,FALSE))</f>
        <v/>
      </c>
      <c r="AS84" s="727"/>
      <c r="AT84" s="727"/>
      <c r="AU84" s="727" t="str">
        <f>IF(AC75="","",VLOOKUP(AC75,CFRef!$A$2:$BV$192,37,FALSE))</f>
        <v/>
      </c>
      <c r="AV84" s="727"/>
      <c r="AW84" s="727" t="str">
        <f>IF(AC75="","",VLOOKUP(AC75,CFRef!$A$2:$BV$192,38,FALSE))</f>
        <v/>
      </c>
      <c r="AX84" s="728"/>
    </row>
    <row r="85" spans="1:50" x14ac:dyDescent="0.25">
      <c r="A85" s="1026" t="str">
        <f>IF(D75="","",VLOOKUP(D75,CFRef!$A$2:$BV$192,39,FALSE))</f>
        <v/>
      </c>
      <c r="B85" s="727"/>
      <c r="C85" s="727"/>
      <c r="D85" s="727"/>
      <c r="E85" s="727"/>
      <c r="F85" s="727"/>
      <c r="G85" s="727"/>
      <c r="H85" s="727"/>
      <c r="I85" s="727"/>
      <c r="J85" s="727"/>
      <c r="K85" s="727"/>
      <c r="L85" s="727"/>
      <c r="M85" s="727" t="str">
        <f>IF(D75="","",VLOOKUP(D75,CFRef!$A$2:$BV$192,40,FALSE))</f>
        <v/>
      </c>
      <c r="N85" s="727"/>
      <c r="O85" s="727"/>
      <c r="P85" s="727" t="str">
        <f>IF(D75="","",VLOOKUP(D75,CFRef!$A$2:$BV$192,41,FALSE))</f>
        <v/>
      </c>
      <c r="Q85" s="727"/>
      <c r="R85" s="727"/>
      <c r="S85" s="1075" t="str">
        <f>IF(D75="","",VLOOKUP(D75,CFRef!$A$2:$BV$192,42,FALSE))</f>
        <v/>
      </c>
      <c r="T85" s="727"/>
      <c r="U85" s="727"/>
      <c r="V85" s="727" t="str">
        <f>IF(D75="","",VLOOKUP(D75,CFRef!$A$2:$BV$192,43,FALSE))</f>
        <v/>
      </c>
      <c r="W85" s="727"/>
      <c r="X85" s="727" t="str">
        <f>IF(D75="","",VLOOKUP(D75,CFRef!$A$2:$BV$192,44,FALSE))</f>
        <v/>
      </c>
      <c r="Y85" s="728"/>
      <c r="Z85" s="1026" t="str">
        <f>IF(AC75="","",VLOOKUP(AC75,CFRef!$A$2:$BV$192,39,FALSE))</f>
        <v/>
      </c>
      <c r="AA85" s="727"/>
      <c r="AB85" s="727"/>
      <c r="AC85" s="727"/>
      <c r="AD85" s="727"/>
      <c r="AE85" s="727"/>
      <c r="AF85" s="727"/>
      <c r="AG85" s="727"/>
      <c r="AH85" s="727"/>
      <c r="AI85" s="727"/>
      <c r="AJ85" s="727"/>
      <c r="AK85" s="727"/>
      <c r="AL85" s="727" t="str">
        <f>IF(AC75="","",VLOOKUP(AC75,CFRef!$A$2:$BV$192,40,FALSE))</f>
        <v/>
      </c>
      <c r="AM85" s="727"/>
      <c r="AN85" s="727"/>
      <c r="AO85" s="727" t="str">
        <f>IF(AC75="","",VLOOKUP(AC75,CFRef!$A$2:$BV$192,41,FALSE))</f>
        <v/>
      </c>
      <c r="AP85" s="727"/>
      <c r="AQ85" s="727"/>
      <c r="AR85" s="1075" t="str">
        <f>IF(AC75="","",VLOOKUP(AC75,CFRef!$A$2:$BV$192,42,FALSE))</f>
        <v/>
      </c>
      <c r="AS85" s="727"/>
      <c r="AT85" s="727"/>
      <c r="AU85" s="727" t="str">
        <f>IF(AC75="","",VLOOKUP(AC75,CFRef!$A$2:$BV$192,43,FALSE))</f>
        <v/>
      </c>
      <c r="AV85" s="727"/>
      <c r="AW85" s="727" t="str">
        <f>IF(AC75="","",VLOOKUP(AC75,CFRef!$A$2:$BV$192,44,FALSE))</f>
        <v/>
      </c>
      <c r="AX85" s="728"/>
    </row>
    <row r="86" spans="1:50" x14ac:dyDescent="0.25">
      <c r="A86" s="1026" t="str">
        <f>IF(D75="","",VLOOKUP(D75,CFRef!$A$2:$BV$192,45,FALSE))</f>
        <v/>
      </c>
      <c r="B86" s="727"/>
      <c r="C86" s="727"/>
      <c r="D86" s="727"/>
      <c r="E86" s="727"/>
      <c r="F86" s="727"/>
      <c r="G86" s="727"/>
      <c r="H86" s="727"/>
      <c r="I86" s="727"/>
      <c r="J86" s="727"/>
      <c r="K86" s="727"/>
      <c r="L86" s="727"/>
      <c r="M86" s="727" t="str">
        <f>IF(D75="","",VLOOKUP(D75,CFRef!$A$2:$BV$192,46,FALSE))</f>
        <v/>
      </c>
      <c r="N86" s="727"/>
      <c r="O86" s="727"/>
      <c r="P86" s="727" t="str">
        <f>IF(D75="","",VLOOKUP(D75,CFRef!$A$2:$BV$192,47,FALSE))</f>
        <v/>
      </c>
      <c r="Q86" s="727"/>
      <c r="R86" s="727"/>
      <c r="S86" s="1075" t="str">
        <f>IF(D75="","",VLOOKUP(D75,CFRef!$A$2:$BV$192,48,FALSE))</f>
        <v/>
      </c>
      <c r="T86" s="727"/>
      <c r="U86" s="727"/>
      <c r="V86" s="727" t="str">
        <f>IF(D75="","",VLOOKUP(D75,CFRef!$A$2:$BV$192,49,FALSE))</f>
        <v/>
      </c>
      <c r="W86" s="727"/>
      <c r="X86" s="727" t="str">
        <f>IF(D75="","",VLOOKUP(D75,CFRef!$A$2:$BV$192,50,FALSE))</f>
        <v/>
      </c>
      <c r="Y86" s="728"/>
      <c r="Z86" s="1026" t="str">
        <f>IF(AC75="","",VLOOKUP(AC75,CFRef!$A$2:$BV$192,45,FALSE))</f>
        <v/>
      </c>
      <c r="AA86" s="727"/>
      <c r="AB86" s="727"/>
      <c r="AC86" s="727"/>
      <c r="AD86" s="727"/>
      <c r="AE86" s="727"/>
      <c r="AF86" s="727"/>
      <c r="AG86" s="727"/>
      <c r="AH86" s="727"/>
      <c r="AI86" s="727"/>
      <c r="AJ86" s="727"/>
      <c r="AK86" s="727"/>
      <c r="AL86" s="727" t="str">
        <f>IF(AC75="","",VLOOKUP(AC75,CFRef!$A$2:$BV$192,46,FALSE))</f>
        <v/>
      </c>
      <c r="AM86" s="727"/>
      <c r="AN86" s="727"/>
      <c r="AO86" s="727" t="str">
        <f>IF(AC75="","",VLOOKUP(AC75,CFRef!$A$2:$BV$192,47,FALSE))</f>
        <v/>
      </c>
      <c r="AP86" s="727"/>
      <c r="AQ86" s="727"/>
      <c r="AR86" s="1075" t="str">
        <f>IF(AC75="","",VLOOKUP(AC75,CFRef!$A$2:$BV$192,48,FALSE))</f>
        <v/>
      </c>
      <c r="AS86" s="727"/>
      <c r="AT86" s="727"/>
      <c r="AU86" s="727" t="str">
        <f>IF(AC75="","",VLOOKUP(AC75,CFRef!$A$2:$BV$192,49,FALSE))</f>
        <v/>
      </c>
      <c r="AV86" s="727"/>
      <c r="AW86" s="727" t="str">
        <f>IF(AC75="","",VLOOKUP(AC75,CFRef!$A$2:$BV$192,50,FALSE))</f>
        <v/>
      </c>
      <c r="AX86" s="728"/>
    </row>
    <row r="87" spans="1:50" x14ac:dyDescent="0.25">
      <c r="A87" s="1026" t="str">
        <f>IF(D75="","",VLOOKUP(D75,CFRef!$A$2:$BV$192,51,FALSE))</f>
        <v/>
      </c>
      <c r="B87" s="727"/>
      <c r="C87" s="727"/>
      <c r="D87" s="727"/>
      <c r="E87" s="727"/>
      <c r="F87" s="727"/>
      <c r="G87" s="727"/>
      <c r="H87" s="727"/>
      <c r="I87" s="727"/>
      <c r="J87" s="727"/>
      <c r="K87" s="727"/>
      <c r="L87" s="727"/>
      <c r="M87" s="727" t="str">
        <f>IF(D75="","",VLOOKUP(D75,CFRef!$A$2:$BV$192,52,FALSE))</f>
        <v/>
      </c>
      <c r="N87" s="727"/>
      <c r="O87" s="727"/>
      <c r="P87" s="727" t="str">
        <f>IF(D75="","",VLOOKUP(D75,CFRef!$A$2:$BV$192,53,FALSE))</f>
        <v/>
      </c>
      <c r="Q87" s="727"/>
      <c r="R87" s="727"/>
      <c r="S87" s="1075" t="str">
        <f>IF(D75="","",VLOOKUP(D75,CFRef!$A$2:$BV$192,54,FALSE))</f>
        <v/>
      </c>
      <c r="T87" s="727"/>
      <c r="U87" s="727"/>
      <c r="V87" s="727" t="str">
        <f>IF(D75="","",VLOOKUP(D75,CFRef!$A$2:$BV$192,55,FALSE))</f>
        <v/>
      </c>
      <c r="W87" s="727"/>
      <c r="X87" s="727" t="str">
        <f>IF(D75="","",VLOOKUP(D75,CFRef!$A$2:$BV$192,56,FALSE))</f>
        <v/>
      </c>
      <c r="Y87" s="728"/>
      <c r="Z87" s="1026" t="str">
        <f>IF(AC75="","",VLOOKUP(AC75,CFRef!$A$2:$BV$192,51,FALSE))</f>
        <v/>
      </c>
      <c r="AA87" s="727"/>
      <c r="AB87" s="727"/>
      <c r="AC87" s="727"/>
      <c r="AD87" s="727"/>
      <c r="AE87" s="727"/>
      <c r="AF87" s="727"/>
      <c r="AG87" s="727"/>
      <c r="AH87" s="727"/>
      <c r="AI87" s="727"/>
      <c r="AJ87" s="727"/>
      <c r="AK87" s="727"/>
      <c r="AL87" s="727" t="str">
        <f>IF(AC75="","",VLOOKUP(AC75,CFRef!$A$2:$BV$192,52,FALSE))</f>
        <v/>
      </c>
      <c r="AM87" s="727"/>
      <c r="AN87" s="727"/>
      <c r="AO87" s="727" t="str">
        <f>IF(AC75="","",VLOOKUP(AC75,CFRef!$A$2:$BV$192,53,FALSE))</f>
        <v/>
      </c>
      <c r="AP87" s="727"/>
      <c r="AQ87" s="727"/>
      <c r="AR87" s="1075" t="str">
        <f>IF(AC75="","",VLOOKUP(AC75,CFRef!$A$2:$BV$192,54,FALSE))</f>
        <v/>
      </c>
      <c r="AS87" s="727"/>
      <c r="AT87" s="727"/>
      <c r="AU87" s="727" t="str">
        <f>IF(AC75="","",VLOOKUP(AC75,CFRef!$A$2:$BV$192,55,FALSE))</f>
        <v/>
      </c>
      <c r="AV87" s="727"/>
      <c r="AW87" s="727" t="str">
        <f>IF(AC75="","",VLOOKUP(AC75,CFRef!$A$2:$BV$192,56,FALSE))</f>
        <v/>
      </c>
      <c r="AX87" s="728"/>
    </row>
    <row r="88" spans="1:50" x14ac:dyDescent="0.25">
      <c r="A88" s="1026" t="str">
        <f>IF(D75="","",VLOOKUP(D75,CFRef!$A$2:$BV$192,57,FALSE))</f>
        <v/>
      </c>
      <c r="B88" s="727"/>
      <c r="C88" s="727"/>
      <c r="D88" s="727"/>
      <c r="E88" s="727"/>
      <c r="F88" s="727"/>
      <c r="G88" s="727"/>
      <c r="H88" s="727"/>
      <c r="I88" s="727"/>
      <c r="J88" s="727"/>
      <c r="K88" s="727"/>
      <c r="L88" s="727"/>
      <c r="M88" s="727" t="str">
        <f>IF(D75="","",VLOOKUP(D75,CFRef!$A$2:$BV$192,58,FALSE))</f>
        <v/>
      </c>
      <c r="N88" s="727"/>
      <c r="O88" s="727"/>
      <c r="P88" s="727" t="str">
        <f>IF(D75="","",VLOOKUP(D75,CFRef!$A$2:$BV$192,59,FALSE))</f>
        <v/>
      </c>
      <c r="Q88" s="727"/>
      <c r="R88" s="727"/>
      <c r="S88" s="1075" t="str">
        <f>IF(D75="","",VLOOKUP(D75,CFRef!$A$2:$BV$192,60,FALSE))</f>
        <v/>
      </c>
      <c r="T88" s="727"/>
      <c r="U88" s="727"/>
      <c r="V88" s="727" t="str">
        <f>IF(D75="","",VLOOKUP(D75,CFRef!$A$2:$BV$192,61,FALSE))</f>
        <v/>
      </c>
      <c r="W88" s="727"/>
      <c r="X88" s="727" t="str">
        <f>IF(D75="","",VLOOKUP(D75,CFRef!$A$2:$BV$192,62,FALSE))</f>
        <v/>
      </c>
      <c r="Y88" s="728"/>
      <c r="Z88" s="1026" t="str">
        <f>IF(AC75="","",VLOOKUP(AC75,CFRef!$A$2:$BV$192,57,FALSE))</f>
        <v/>
      </c>
      <c r="AA88" s="727"/>
      <c r="AB88" s="727"/>
      <c r="AC88" s="727"/>
      <c r="AD88" s="727"/>
      <c r="AE88" s="727"/>
      <c r="AF88" s="727"/>
      <c r="AG88" s="727"/>
      <c r="AH88" s="727"/>
      <c r="AI88" s="727"/>
      <c r="AJ88" s="727"/>
      <c r="AK88" s="727"/>
      <c r="AL88" s="727" t="str">
        <f>IF(AC75="","",VLOOKUP(AC75,CFRef!$A$2:$BV$192,58,FALSE))</f>
        <v/>
      </c>
      <c r="AM88" s="727"/>
      <c r="AN88" s="727"/>
      <c r="AO88" s="727" t="str">
        <f>IF(AC75="","",VLOOKUP(AC75,CFRef!$A$2:$BV$192,59,FALSE))</f>
        <v/>
      </c>
      <c r="AP88" s="727"/>
      <c r="AQ88" s="727"/>
      <c r="AR88" s="1075" t="str">
        <f>IF(AC75="","",VLOOKUP(AC75,CFRef!$A$2:$BV$192,60,FALSE))</f>
        <v/>
      </c>
      <c r="AS88" s="727"/>
      <c r="AT88" s="727"/>
      <c r="AU88" s="727" t="str">
        <f>IF(AC75="","",VLOOKUP(AC75,CFRef!$A$2:$BV$192,61,FALSE))</f>
        <v/>
      </c>
      <c r="AV88" s="727"/>
      <c r="AW88" s="727" t="str">
        <f>IF(AC75="","",VLOOKUP(AC75,CFRef!$A$2:$BV$192,62,FALSE))</f>
        <v/>
      </c>
      <c r="AX88" s="728"/>
    </row>
    <row r="89" spans="1:50" x14ac:dyDescent="0.25">
      <c r="A89" s="1026" t="str">
        <f>IF(D75="","",VLOOKUP(D75,CFRef!$A$2:$BV$192,63,FALSE))</f>
        <v/>
      </c>
      <c r="B89" s="727"/>
      <c r="C89" s="727"/>
      <c r="D89" s="727"/>
      <c r="E89" s="727"/>
      <c r="F89" s="727"/>
      <c r="G89" s="727"/>
      <c r="H89" s="727"/>
      <c r="I89" s="727"/>
      <c r="J89" s="727"/>
      <c r="K89" s="727"/>
      <c r="L89" s="727"/>
      <c r="M89" s="727" t="str">
        <f>IF(D75="","",VLOOKUP(D75,CFRef!$A$2:$BV$192,64,FALSE))</f>
        <v/>
      </c>
      <c r="N89" s="727"/>
      <c r="O89" s="727"/>
      <c r="P89" s="727" t="str">
        <f>IF(D75="","",VLOOKUP(D75,CFRef!$A$2:$BV$192,65,FALSE))</f>
        <v/>
      </c>
      <c r="Q89" s="727"/>
      <c r="R89" s="727"/>
      <c r="S89" s="1075" t="str">
        <f>IF(D75="","",VLOOKUP(D75,CFRef!$A$2:$BV$192,66,FALSE))</f>
        <v/>
      </c>
      <c r="T89" s="727"/>
      <c r="U89" s="727"/>
      <c r="V89" s="727" t="str">
        <f>IF(D75="","",VLOOKUP(D75,CFRef!$A$2:$BV$192,67,FALSE))</f>
        <v/>
      </c>
      <c r="W89" s="727"/>
      <c r="X89" s="727" t="str">
        <f>IF(D75="","",VLOOKUP(D75,CFRef!$A$2:$BV$192,68,FALSE))</f>
        <v/>
      </c>
      <c r="Y89" s="728"/>
      <c r="Z89" s="1026" t="str">
        <f>IF(AC75="","",VLOOKUP(AC75,CFRef!$A$2:$BV$192,63,FALSE))</f>
        <v/>
      </c>
      <c r="AA89" s="727"/>
      <c r="AB89" s="727"/>
      <c r="AC89" s="727"/>
      <c r="AD89" s="727"/>
      <c r="AE89" s="727"/>
      <c r="AF89" s="727"/>
      <c r="AG89" s="727"/>
      <c r="AH89" s="727"/>
      <c r="AI89" s="727"/>
      <c r="AJ89" s="727"/>
      <c r="AK89" s="727"/>
      <c r="AL89" s="727" t="str">
        <f>IF(AC75="","",VLOOKUP(AC75,CFRef!$A$2:$BV$192,64,FALSE))</f>
        <v/>
      </c>
      <c r="AM89" s="727"/>
      <c r="AN89" s="727"/>
      <c r="AO89" s="727" t="str">
        <f>IF(AC75="","",VLOOKUP(AC75,CFRef!$A$2:$BV$192,65,FALSE))</f>
        <v/>
      </c>
      <c r="AP89" s="727"/>
      <c r="AQ89" s="727"/>
      <c r="AR89" s="1075" t="str">
        <f>IF(AC75="","",VLOOKUP(AC75,CFRef!$A$2:$BV$192,66,FALSE))</f>
        <v/>
      </c>
      <c r="AS89" s="727"/>
      <c r="AT89" s="727"/>
      <c r="AU89" s="727" t="str">
        <f>IF(AC75="","",VLOOKUP(AC75,CFRef!$A$2:$BV$192,67,FALSE))</f>
        <v/>
      </c>
      <c r="AV89" s="727"/>
      <c r="AW89" s="727" t="str">
        <f>IF(AC75="","",VLOOKUP(AC75,CFRef!$A$2:$BV$192,68,FALSE))</f>
        <v/>
      </c>
      <c r="AX89" s="728"/>
    </row>
    <row r="90" spans="1:50" x14ac:dyDescent="0.25">
      <c r="A90" s="1026" t="str">
        <f>IF(D75="","",VLOOKUP(D75,CFRef!$A$2:$BV$192,69,FALSE))</f>
        <v/>
      </c>
      <c r="B90" s="727"/>
      <c r="C90" s="727"/>
      <c r="D90" s="727"/>
      <c r="E90" s="727"/>
      <c r="F90" s="727"/>
      <c r="G90" s="727"/>
      <c r="H90" s="727"/>
      <c r="I90" s="727"/>
      <c r="J90" s="727"/>
      <c r="K90" s="727"/>
      <c r="L90" s="727"/>
      <c r="M90" s="727" t="str">
        <f>IF(D75="","",VLOOKUP(D75,CFRef!$A$2:$BV$192,70,FALSE))</f>
        <v/>
      </c>
      <c r="N90" s="727"/>
      <c r="O90" s="727"/>
      <c r="P90" s="727" t="str">
        <f>IF(D75="","",VLOOKUP(D75,CFRef!$A$2:$BV$192,71,FALSE))</f>
        <v/>
      </c>
      <c r="Q90" s="727"/>
      <c r="R90" s="727"/>
      <c r="S90" s="1075" t="str">
        <f>IF(D75="","",VLOOKUP(D75,CFRef!$A$2:$BV$192,72,FALSE))</f>
        <v/>
      </c>
      <c r="T90" s="727"/>
      <c r="U90" s="727"/>
      <c r="V90" s="727" t="str">
        <f>IF(D75="","",VLOOKUP(D75,CFRef!$A$2:$BV$192,73,FALSE))</f>
        <v/>
      </c>
      <c r="W90" s="727"/>
      <c r="X90" s="727" t="str">
        <f>IF(D75="","",VLOOKUP(D75,CFRef!$A$2:$BV$192,74,FALSE))</f>
        <v/>
      </c>
      <c r="Y90" s="728"/>
      <c r="Z90" s="1026" t="str">
        <f>IF(AC75="","",VLOOKUP(AC75,CFRef!$A$2:$BV$192,69,FALSE))</f>
        <v/>
      </c>
      <c r="AA90" s="727"/>
      <c r="AB90" s="727"/>
      <c r="AC90" s="727"/>
      <c r="AD90" s="727"/>
      <c r="AE90" s="727"/>
      <c r="AF90" s="727"/>
      <c r="AG90" s="727"/>
      <c r="AH90" s="727"/>
      <c r="AI90" s="727"/>
      <c r="AJ90" s="727"/>
      <c r="AK90" s="727"/>
      <c r="AL90" s="727" t="str">
        <f>IF(AC75="","",VLOOKUP(AC75,CFRef!$A$2:$BV$192,70,FALSE))</f>
        <v/>
      </c>
      <c r="AM90" s="727"/>
      <c r="AN90" s="727"/>
      <c r="AO90" s="727" t="str">
        <f>IF(AC75="","",VLOOKUP(AC75,CFRef!$A$2:$BV$192,71,FALSE))</f>
        <v/>
      </c>
      <c r="AP90" s="727"/>
      <c r="AQ90" s="727"/>
      <c r="AR90" s="1075" t="str">
        <f>IF(AC75="","",VLOOKUP(AC75,CFRef!$A$2:$BV$192,72,FALSE))</f>
        <v/>
      </c>
      <c r="AS90" s="727"/>
      <c r="AT90" s="727"/>
      <c r="AU90" s="727" t="str">
        <f>IF(AC75="","",VLOOKUP(AC75,CFRef!$A$2:$BV$192,73,FALSE))</f>
        <v/>
      </c>
      <c r="AV90" s="727"/>
      <c r="AW90" s="727" t="str">
        <f>IF(AC75="","",VLOOKUP(AC75,CFRef!$A$2:$BV$192,74,FALSE))</f>
        <v/>
      </c>
      <c r="AX90" s="728"/>
    </row>
    <row r="91" spans="1:50" ht="15" customHeight="1" x14ac:dyDescent="0.25">
      <c r="A91" s="1026" t="s">
        <v>906</v>
      </c>
      <c r="B91" s="727"/>
      <c r="C91" s="727"/>
      <c r="D91" s="727"/>
      <c r="E91" s="727"/>
      <c r="F91" s="727"/>
      <c r="G91" s="727"/>
      <c r="H91" s="727"/>
      <c r="I91" s="727"/>
      <c r="J91" s="727"/>
      <c r="K91" s="727"/>
      <c r="L91" s="727"/>
      <c r="M91" s="727"/>
      <c r="N91" s="727"/>
      <c r="O91" s="727"/>
      <c r="P91" s="727" t="s">
        <v>907</v>
      </c>
      <c r="Q91" s="727"/>
      <c r="R91" s="727"/>
      <c r="S91" s="727"/>
      <c r="T91" s="727"/>
      <c r="U91" s="727"/>
      <c r="V91" s="727"/>
      <c r="W91" s="727"/>
      <c r="X91" s="727"/>
      <c r="Y91" s="728"/>
      <c r="Z91" s="1026" t="s">
        <v>906</v>
      </c>
      <c r="AA91" s="727"/>
      <c r="AB91" s="727"/>
      <c r="AC91" s="727"/>
      <c r="AD91" s="727"/>
      <c r="AE91" s="727"/>
      <c r="AF91" s="727"/>
      <c r="AG91" s="727"/>
      <c r="AH91" s="727"/>
      <c r="AI91" s="727"/>
      <c r="AJ91" s="727"/>
      <c r="AK91" s="727"/>
      <c r="AL91" s="727"/>
      <c r="AM91" s="727"/>
      <c r="AN91" s="727"/>
      <c r="AO91" s="727" t="s">
        <v>907</v>
      </c>
      <c r="AP91" s="727"/>
      <c r="AQ91" s="727"/>
      <c r="AR91" s="727"/>
      <c r="AS91" s="727"/>
      <c r="AT91" s="727"/>
      <c r="AU91" s="727"/>
      <c r="AV91" s="727"/>
      <c r="AW91" s="727"/>
      <c r="AX91" s="728"/>
    </row>
    <row r="92" spans="1:50" x14ac:dyDescent="0.25">
      <c r="A92" s="1026" t="str">
        <f>IF(D75="","",VLOOKUP(D75,CFRef!$A$2:$BV$192,31,FALSE))</f>
        <v/>
      </c>
      <c r="B92" s="727"/>
      <c r="C92" s="727"/>
      <c r="D92" s="727"/>
      <c r="E92" s="727"/>
      <c r="F92" s="727"/>
      <c r="G92" s="727"/>
      <c r="H92" s="727"/>
      <c r="I92" s="727"/>
      <c r="J92" s="727"/>
      <c r="K92" s="727"/>
      <c r="L92" s="727"/>
      <c r="M92" s="727"/>
      <c r="N92" s="727"/>
      <c r="O92" s="727"/>
      <c r="P92" s="727" t="str">
        <f>IF(D75="","",VLOOKUP(D75,CFRef!$A$2:$BV$192,32,FALSE))</f>
        <v/>
      </c>
      <c r="Q92" s="727"/>
      <c r="R92" s="727"/>
      <c r="S92" s="727"/>
      <c r="T92" s="727"/>
      <c r="U92" s="727"/>
      <c r="V92" s="727"/>
      <c r="W92" s="727"/>
      <c r="X92" s="727"/>
      <c r="Y92" s="728"/>
      <c r="Z92" s="1026" t="str">
        <f>IF(AC75="","",VLOOKUP(AC75,CFRef!$A$2:$BV$192,31,FALSE))</f>
        <v/>
      </c>
      <c r="AA92" s="727"/>
      <c r="AB92" s="727"/>
      <c r="AC92" s="727"/>
      <c r="AD92" s="727"/>
      <c r="AE92" s="727"/>
      <c r="AF92" s="727"/>
      <c r="AG92" s="727"/>
      <c r="AH92" s="727"/>
      <c r="AI92" s="727"/>
      <c r="AJ92" s="727"/>
      <c r="AK92" s="727"/>
      <c r="AL92" s="727"/>
      <c r="AM92" s="727"/>
      <c r="AN92" s="727"/>
      <c r="AO92" s="727" t="str">
        <f>IF(AC75="","",VLOOKUP(AC75,CFRef!$A$2:$BV$192,32,FALSE))</f>
        <v/>
      </c>
      <c r="AP92" s="727"/>
      <c r="AQ92" s="727"/>
      <c r="AR92" s="727"/>
      <c r="AS92" s="727"/>
      <c r="AT92" s="727"/>
      <c r="AU92" s="727"/>
      <c r="AV92" s="727"/>
      <c r="AW92" s="727"/>
      <c r="AX92" s="728"/>
    </row>
    <row r="93" spans="1:50" x14ac:dyDescent="0.25">
      <c r="A93" s="1026"/>
      <c r="B93" s="727"/>
      <c r="C93" s="727"/>
      <c r="D93" s="727"/>
      <c r="E93" s="727"/>
      <c r="F93" s="727"/>
      <c r="G93" s="727"/>
      <c r="H93" s="727"/>
      <c r="I93" s="727"/>
      <c r="J93" s="727"/>
      <c r="K93" s="727"/>
      <c r="L93" s="727"/>
      <c r="M93" s="727"/>
      <c r="N93" s="727"/>
      <c r="O93" s="727"/>
      <c r="P93" s="727"/>
      <c r="Q93" s="727"/>
      <c r="R93" s="727"/>
      <c r="S93" s="727"/>
      <c r="T93" s="727"/>
      <c r="U93" s="727"/>
      <c r="V93" s="727"/>
      <c r="W93" s="727"/>
      <c r="X93" s="727"/>
      <c r="Y93" s="728"/>
      <c r="Z93" s="1026"/>
      <c r="AA93" s="727"/>
      <c r="AB93" s="727"/>
      <c r="AC93" s="727"/>
      <c r="AD93" s="727"/>
      <c r="AE93" s="727"/>
      <c r="AF93" s="727"/>
      <c r="AG93" s="727"/>
      <c r="AH93" s="727"/>
      <c r="AI93" s="727"/>
      <c r="AJ93" s="727"/>
      <c r="AK93" s="727"/>
      <c r="AL93" s="727"/>
      <c r="AM93" s="727"/>
      <c r="AN93" s="727"/>
      <c r="AO93" s="727"/>
      <c r="AP93" s="727"/>
      <c r="AQ93" s="727"/>
      <c r="AR93" s="727"/>
      <c r="AS93" s="727"/>
      <c r="AT93" s="727"/>
      <c r="AU93" s="727"/>
      <c r="AV93" s="727"/>
      <c r="AW93" s="727"/>
      <c r="AX93" s="728"/>
    </row>
    <row r="94" spans="1:50" x14ac:dyDescent="0.25">
      <c r="A94" s="1026"/>
      <c r="B94" s="727"/>
      <c r="C94" s="727"/>
      <c r="D94" s="727"/>
      <c r="E94" s="727"/>
      <c r="F94" s="727"/>
      <c r="G94" s="727"/>
      <c r="H94" s="727"/>
      <c r="I94" s="727"/>
      <c r="J94" s="727"/>
      <c r="K94" s="727"/>
      <c r="L94" s="727"/>
      <c r="M94" s="727"/>
      <c r="N94" s="727"/>
      <c r="O94" s="727"/>
      <c r="P94" s="727"/>
      <c r="Q94" s="727"/>
      <c r="R94" s="727"/>
      <c r="S94" s="727"/>
      <c r="T94" s="727"/>
      <c r="U94" s="727"/>
      <c r="V94" s="727"/>
      <c r="W94" s="727"/>
      <c r="X94" s="727"/>
      <c r="Y94" s="728"/>
      <c r="Z94" s="1026"/>
      <c r="AA94" s="727"/>
      <c r="AB94" s="727"/>
      <c r="AC94" s="727"/>
      <c r="AD94" s="727"/>
      <c r="AE94" s="727"/>
      <c r="AF94" s="727"/>
      <c r="AG94" s="727"/>
      <c r="AH94" s="727"/>
      <c r="AI94" s="727"/>
      <c r="AJ94" s="727"/>
      <c r="AK94" s="727"/>
      <c r="AL94" s="727"/>
      <c r="AM94" s="727"/>
      <c r="AN94" s="727"/>
      <c r="AO94" s="727"/>
      <c r="AP94" s="727"/>
      <c r="AQ94" s="727"/>
      <c r="AR94" s="727"/>
      <c r="AS94" s="727"/>
      <c r="AT94" s="727"/>
      <c r="AU94" s="727"/>
      <c r="AV94" s="727"/>
      <c r="AW94" s="727"/>
      <c r="AX94" s="728"/>
    </row>
    <row r="95" spans="1:50" x14ac:dyDescent="0.25">
      <c r="A95" s="1026"/>
      <c r="B95" s="727"/>
      <c r="C95" s="727"/>
      <c r="D95" s="727"/>
      <c r="E95" s="727"/>
      <c r="F95" s="727"/>
      <c r="G95" s="727"/>
      <c r="H95" s="727"/>
      <c r="I95" s="727"/>
      <c r="J95" s="727"/>
      <c r="K95" s="727"/>
      <c r="L95" s="727"/>
      <c r="M95" s="727"/>
      <c r="N95" s="727"/>
      <c r="O95" s="727"/>
      <c r="P95" s="727"/>
      <c r="Q95" s="727"/>
      <c r="R95" s="727"/>
      <c r="S95" s="727"/>
      <c r="T95" s="727"/>
      <c r="U95" s="727"/>
      <c r="V95" s="727"/>
      <c r="W95" s="727"/>
      <c r="X95" s="727"/>
      <c r="Y95" s="728"/>
      <c r="Z95" s="1026"/>
      <c r="AA95" s="727"/>
      <c r="AB95" s="727"/>
      <c r="AC95" s="727"/>
      <c r="AD95" s="727"/>
      <c r="AE95" s="727"/>
      <c r="AF95" s="727"/>
      <c r="AG95" s="727"/>
      <c r="AH95" s="727"/>
      <c r="AI95" s="727"/>
      <c r="AJ95" s="727"/>
      <c r="AK95" s="727"/>
      <c r="AL95" s="727"/>
      <c r="AM95" s="727"/>
      <c r="AN95" s="727"/>
      <c r="AO95" s="727"/>
      <c r="AP95" s="727"/>
      <c r="AQ95" s="727"/>
      <c r="AR95" s="727"/>
      <c r="AS95" s="727"/>
      <c r="AT95" s="727"/>
      <c r="AU95" s="727"/>
      <c r="AV95" s="727"/>
      <c r="AW95" s="727"/>
      <c r="AX95" s="728"/>
    </row>
    <row r="96" spans="1:50" ht="15.75" thickBot="1" x14ac:dyDescent="0.3">
      <c r="A96" s="1027"/>
      <c r="B96" s="865"/>
      <c r="C96" s="865"/>
      <c r="D96" s="865"/>
      <c r="E96" s="865"/>
      <c r="F96" s="865"/>
      <c r="G96" s="865"/>
      <c r="H96" s="865"/>
      <c r="I96" s="865"/>
      <c r="J96" s="865"/>
      <c r="K96" s="865"/>
      <c r="L96" s="865"/>
      <c r="M96" s="865"/>
      <c r="N96" s="865"/>
      <c r="O96" s="865"/>
      <c r="P96" s="865"/>
      <c r="Q96" s="865"/>
      <c r="R96" s="865"/>
      <c r="S96" s="865"/>
      <c r="T96" s="865"/>
      <c r="U96" s="865"/>
      <c r="V96" s="865"/>
      <c r="W96" s="865"/>
      <c r="X96" s="865"/>
      <c r="Y96" s="921"/>
      <c r="Z96" s="1027"/>
      <c r="AA96" s="865"/>
      <c r="AB96" s="865"/>
      <c r="AC96" s="865"/>
      <c r="AD96" s="865"/>
      <c r="AE96" s="865"/>
      <c r="AF96" s="865"/>
      <c r="AG96" s="865"/>
      <c r="AH96" s="865"/>
      <c r="AI96" s="865"/>
      <c r="AJ96" s="865"/>
      <c r="AK96" s="865"/>
      <c r="AL96" s="865"/>
      <c r="AM96" s="865"/>
      <c r="AN96" s="865"/>
      <c r="AO96" s="865"/>
      <c r="AP96" s="865"/>
      <c r="AQ96" s="865"/>
      <c r="AR96" s="865"/>
      <c r="AS96" s="865"/>
      <c r="AT96" s="865"/>
      <c r="AU96" s="865"/>
      <c r="AV96" s="865"/>
      <c r="AW96" s="865"/>
      <c r="AX96" s="921"/>
    </row>
  </sheetData>
  <sheetProtection password="E9C2" sheet="1" objects="1" scenarios="1" selectLockedCells="1"/>
  <mergeCells count="856">
    <mergeCell ref="Z91:AN91"/>
    <mergeCell ref="AO91:AX91"/>
    <mergeCell ref="Z92:AN96"/>
    <mergeCell ref="AO92:AX96"/>
    <mergeCell ref="Z90:AK90"/>
    <mergeCell ref="AL90:AN90"/>
    <mergeCell ref="AO90:AQ90"/>
    <mergeCell ref="AR90:AT90"/>
    <mergeCell ref="AU90:AV90"/>
    <mergeCell ref="AW90:AX90"/>
    <mergeCell ref="Z89:AK89"/>
    <mergeCell ref="AL89:AN89"/>
    <mergeCell ref="AO89:AQ89"/>
    <mergeCell ref="AR89:AT89"/>
    <mergeCell ref="AU89:AV89"/>
    <mergeCell ref="AW89:AX89"/>
    <mergeCell ref="Z88:AK88"/>
    <mergeCell ref="AL88:AN88"/>
    <mergeCell ref="AO88:AQ88"/>
    <mergeCell ref="AR88:AT88"/>
    <mergeCell ref="AU88:AV88"/>
    <mergeCell ref="AW88:AX88"/>
    <mergeCell ref="Z87:AK87"/>
    <mergeCell ref="AL87:AN87"/>
    <mergeCell ref="AO87:AQ87"/>
    <mergeCell ref="AR87:AT87"/>
    <mergeCell ref="AU87:AV87"/>
    <mergeCell ref="AW87:AX87"/>
    <mergeCell ref="Z86:AK86"/>
    <mergeCell ref="AL86:AN86"/>
    <mergeCell ref="AO86:AQ86"/>
    <mergeCell ref="AR86:AT86"/>
    <mergeCell ref="AU86:AV86"/>
    <mergeCell ref="AW86:AX86"/>
    <mergeCell ref="Z85:AK85"/>
    <mergeCell ref="AL85:AN85"/>
    <mergeCell ref="AO85:AQ85"/>
    <mergeCell ref="AR85:AT85"/>
    <mergeCell ref="AU85:AV85"/>
    <mergeCell ref="AW85:AX85"/>
    <mergeCell ref="Z84:AK84"/>
    <mergeCell ref="AL84:AN84"/>
    <mergeCell ref="AO84:AQ84"/>
    <mergeCell ref="AR84:AT84"/>
    <mergeCell ref="AU84:AV84"/>
    <mergeCell ref="AW84:AX84"/>
    <mergeCell ref="AL82:AO82"/>
    <mergeCell ref="AP82:AX82"/>
    <mergeCell ref="Z83:AK83"/>
    <mergeCell ref="AL83:AN83"/>
    <mergeCell ref="AO83:AQ83"/>
    <mergeCell ref="AR83:AT83"/>
    <mergeCell ref="AU83:AV83"/>
    <mergeCell ref="AW83:AX83"/>
    <mergeCell ref="Z81:AC81"/>
    <mergeCell ref="AD81:AE81"/>
    <mergeCell ref="AF81:AI81"/>
    <mergeCell ref="AJ81:AK81"/>
    <mergeCell ref="Z82:AC82"/>
    <mergeCell ref="AD82:AE82"/>
    <mergeCell ref="AF82:AI82"/>
    <mergeCell ref="AJ82:AK82"/>
    <mergeCell ref="AL77:AX81"/>
    <mergeCell ref="AD79:AE79"/>
    <mergeCell ref="AF79:AI79"/>
    <mergeCell ref="AJ79:AK79"/>
    <mergeCell ref="Z80:AC80"/>
    <mergeCell ref="AD80:AE80"/>
    <mergeCell ref="AF80:AI80"/>
    <mergeCell ref="AJ80:AK80"/>
    <mergeCell ref="Z77:AC77"/>
    <mergeCell ref="AD77:AE77"/>
    <mergeCell ref="AF77:AI77"/>
    <mergeCell ref="AJ77:AK77"/>
    <mergeCell ref="Z78:AC78"/>
    <mergeCell ref="AD78:AE78"/>
    <mergeCell ref="AF78:AI78"/>
    <mergeCell ref="AJ78:AK78"/>
    <mergeCell ref="Z79:AC79"/>
    <mergeCell ref="Z76:AC76"/>
    <mergeCell ref="AD76:AE76"/>
    <mergeCell ref="AF76:AK76"/>
    <mergeCell ref="AL76:AX76"/>
    <mergeCell ref="Z75:AB75"/>
    <mergeCell ref="AC75:AL75"/>
    <mergeCell ref="AM75:AN75"/>
    <mergeCell ref="AO75:AP75"/>
    <mergeCell ref="AQ75:AR75"/>
    <mergeCell ref="AS75:AT75"/>
    <mergeCell ref="Z74:AB74"/>
    <mergeCell ref="AC74:AL74"/>
    <mergeCell ref="AM74:AN74"/>
    <mergeCell ref="AO74:AP74"/>
    <mergeCell ref="AQ74:AR74"/>
    <mergeCell ref="AS74:AT74"/>
    <mergeCell ref="AU74:AV74"/>
    <mergeCell ref="AW74:AX74"/>
    <mergeCell ref="AU75:AV75"/>
    <mergeCell ref="AW75:AX75"/>
    <mergeCell ref="Z67:AN67"/>
    <mergeCell ref="AO67:AX67"/>
    <mergeCell ref="Z68:AN72"/>
    <mergeCell ref="AO68:AX72"/>
    <mergeCell ref="Z73:AB73"/>
    <mergeCell ref="AC73:AL73"/>
    <mergeCell ref="AM73:AN73"/>
    <mergeCell ref="AO73:AP73"/>
    <mergeCell ref="AQ73:AR73"/>
    <mergeCell ref="AS73:AT73"/>
    <mergeCell ref="AU73:AV73"/>
    <mergeCell ref="AW73:AX73"/>
    <mergeCell ref="Z66:AK66"/>
    <mergeCell ref="AL66:AN66"/>
    <mergeCell ref="AO66:AQ66"/>
    <mergeCell ref="AR66:AT66"/>
    <mergeCell ref="AU66:AV66"/>
    <mergeCell ref="AW66:AX66"/>
    <mergeCell ref="Z65:AK65"/>
    <mergeCell ref="AL65:AN65"/>
    <mergeCell ref="AO65:AQ65"/>
    <mergeCell ref="AR65:AT65"/>
    <mergeCell ref="AU65:AV65"/>
    <mergeCell ref="AW65:AX65"/>
    <mergeCell ref="Z64:AK64"/>
    <mergeCell ref="AL64:AN64"/>
    <mergeCell ref="AO64:AQ64"/>
    <mergeCell ref="AR64:AT64"/>
    <mergeCell ref="AU64:AV64"/>
    <mergeCell ref="AW64:AX64"/>
    <mergeCell ref="Z63:AK63"/>
    <mergeCell ref="AL63:AN63"/>
    <mergeCell ref="AO63:AQ63"/>
    <mergeCell ref="AR63:AT63"/>
    <mergeCell ref="AU63:AV63"/>
    <mergeCell ref="AW63:AX63"/>
    <mergeCell ref="Z62:AK62"/>
    <mergeCell ref="AL62:AN62"/>
    <mergeCell ref="AO62:AQ62"/>
    <mergeCell ref="AR62:AT62"/>
    <mergeCell ref="AU62:AV62"/>
    <mergeCell ref="AW62:AX62"/>
    <mergeCell ref="Z61:AK61"/>
    <mergeCell ref="AL61:AN61"/>
    <mergeCell ref="AO61:AQ61"/>
    <mergeCell ref="AR61:AT61"/>
    <mergeCell ref="AU61:AV61"/>
    <mergeCell ref="AW61:AX61"/>
    <mergeCell ref="Z60:AK60"/>
    <mergeCell ref="AL60:AN60"/>
    <mergeCell ref="AO60:AQ60"/>
    <mergeCell ref="AR60:AT60"/>
    <mergeCell ref="AU60:AV60"/>
    <mergeCell ref="AW60:AX60"/>
    <mergeCell ref="AL58:AO58"/>
    <mergeCell ref="AP58:AX58"/>
    <mergeCell ref="Z59:AK59"/>
    <mergeCell ref="AL59:AN59"/>
    <mergeCell ref="AO59:AQ59"/>
    <mergeCell ref="AR59:AT59"/>
    <mergeCell ref="AU59:AV59"/>
    <mergeCell ref="AW59:AX59"/>
    <mergeCell ref="Z58:AC58"/>
    <mergeCell ref="AD58:AE58"/>
    <mergeCell ref="AF58:AI58"/>
    <mergeCell ref="AJ58:AK58"/>
    <mergeCell ref="AL53:AX57"/>
    <mergeCell ref="Z54:AC54"/>
    <mergeCell ref="AD54:AE54"/>
    <mergeCell ref="AF54:AI54"/>
    <mergeCell ref="AJ54:AK54"/>
    <mergeCell ref="Z55:AC55"/>
    <mergeCell ref="Z57:AC57"/>
    <mergeCell ref="AD57:AE57"/>
    <mergeCell ref="AF57:AI57"/>
    <mergeCell ref="AJ57:AK57"/>
    <mergeCell ref="AD55:AE55"/>
    <mergeCell ref="AF55:AI55"/>
    <mergeCell ref="AJ55:AK55"/>
    <mergeCell ref="Z56:AC56"/>
    <mergeCell ref="AD56:AE56"/>
    <mergeCell ref="AF56:AI56"/>
    <mergeCell ref="AJ56:AK56"/>
    <mergeCell ref="Z53:AC53"/>
    <mergeCell ref="AD53:AE53"/>
    <mergeCell ref="AF53:AI53"/>
    <mergeCell ref="AJ53:AK53"/>
    <mergeCell ref="Z52:AC52"/>
    <mergeCell ref="AD52:AE52"/>
    <mergeCell ref="AF52:AK52"/>
    <mergeCell ref="AL52:AX52"/>
    <mergeCell ref="Z51:AB51"/>
    <mergeCell ref="AC51:AL51"/>
    <mergeCell ref="AM51:AN51"/>
    <mergeCell ref="AO51:AP51"/>
    <mergeCell ref="AQ51:AR51"/>
    <mergeCell ref="AS51:AT51"/>
    <mergeCell ref="Z50:AB50"/>
    <mergeCell ref="AC50:AL50"/>
    <mergeCell ref="AM50:AN50"/>
    <mergeCell ref="AO50:AP50"/>
    <mergeCell ref="AQ50:AR50"/>
    <mergeCell ref="AS50:AT50"/>
    <mergeCell ref="AU50:AV50"/>
    <mergeCell ref="AW50:AX50"/>
    <mergeCell ref="AU51:AV51"/>
    <mergeCell ref="AW51:AX51"/>
    <mergeCell ref="Z43:AN43"/>
    <mergeCell ref="AO43:AX43"/>
    <mergeCell ref="Z44:AN48"/>
    <mergeCell ref="AO44:AX48"/>
    <mergeCell ref="Z49:AB49"/>
    <mergeCell ref="AC49:AL49"/>
    <mergeCell ref="AM49:AN49"/>
    <mergeCell ref="AO49:AP49"/>
    <mergeCell ref="AQ49:AR49"/>
    <mergeCell ref="AS49:AT49"/>
    <mergeCell ref="AU49:AV49"/>
    <mergeCell ref="AW49:AX49"/>
    <mergeCell ref="Z42:AK42"/>
    <mergeCell ref="AL42:AN42"/>
    <mergeCell ref="AO42:AQ42"/>
    <mergeCell ref="AR42:AT42"/>
    <mergeCell ref="AU42:AV42"/>
    <mergeCell ref="AW42:AX42"/>
    <mergeCell ref="Z41:AK41"/>
    <mergeCell ref="AL41:AN41"/>
    <mergeCell ref="AO41:AQ41"/>
    <mergeCell ref="AR41:AT41"/>
    <mergeCell ref="AU41:AV41"/>
    <mergeCell ref="AW41:AX41"/>
    <mergeCell ref="Z40:AK40"/>
    <mergeCell ref="AL40:AN40"/>
    <mergeCell ref="AO40:AQ40"/>
    <mergeCell ref="AR40:AT40"/>
    <mergeCell ref="AU40:AV40"/>
    <mergeCell ref="AW40:AX40"/>
    <mergeCell ref="Z39:AK39"/>
    <mergeCell ref="AL39:AN39"/>
    <mergeCell ref="AO39:AQ39"/>
    <mergeCell ref="AR39:AT39"/>
    <mergeCell ref="AU39:AV39"/>
    <mergeCell ref="AW39:AX39"/>
    <mergeCell ref="Z38:AK38"/>
    <mergeCell ref="AL38:AN38"/>
    <mergeCell ref="AO38:AQ38"/>
    <mergeCell ref="AR38:AT38"/>
    <mergeCell ref="AU38:AV38"/>
    <mergeCell ref="AW38:AX38"/>
    <mergeCell ref="Z37:AK37"/>
    <mergeCell ref="AL37:AN37"/>
    <mergeCell ref="AO37:AQ37"/>
    <mergeCell ref="AR37:AT37"/>
    <mergeCell ref="AU37:AV37"/>
    <mergeCell ref="AW37:AX37"/>
    <mergeCell ref="Z36:AK36"/>
    <mergeCell ref="AL36:AN36"/>
    <mergeCell ref="AO36:AQ36"/>
    <mergeCell ref="AR36:AT36"/>
    <mergeCell ref="AU36:AV36"/>
    <mergeCell ref="AW36:AX36"/>
    <mergeCell ref="AL34:AO34"/>
    <mergeCell ref="AP34:AX34"/>
    <mergeCell ref="Z35:AK35"/>
    <mergeCell ref="AL35:AN35"/>
    <mergeCell ref="AO35:AQ35"/>
    <mergeCell ref="AR35:AT35"/>
    <mergeCell ref="AU35:AV35"/>
    <mergeCell ref="AW35:AX35"/>
    <mergeCell ref="Z34:AC34"/>
    <mergeCell ref="AD34:AE34"/>
    <mergeCell ref="AF34:AI34"/>
    <mergeCell ref="AJ34:AK34"/>
    <mergeCell ref="AL29:AX33"/>
    <mergeCell ref="Z30:AC30"/>
    <mergeCell ref="AD30:AE30"/>
    <mergeCell ref="AF30:AI30"/>
    <mergeCell ref="AJ30:AK30"/>
    <mergeCell ref="Z31:AC31"/>
    <mergeCell ref="Z33:AC33"/>
    <mergeCell ref="AD33:AE33"/>
    <mergeCell ref="AF33:AI33"/>
    <mergeCell ref="AJ33:AK33"/>
    <mergeCell ref="AD31:AE31"/>
    <mergeCell ref="AF31:AI31"/>
    <mergeCell ref="AJ31:AK31"/>
    <mergeCell ref="Z32:AC32"/>
    <mergeCell ref="AD32:AE32"/>
    <mergeCell ref="AF32:AI32"/>
    <mergeCell ref="AJ32:AK32"/>
    <mergeCell ref="Z29:AC29"/>
    <mergeCell ref="AD29:AE29"/>
    <mergeCell ref="AF29:AI29"/>
    <mergeCell ref="AJ29:AK29"/>
    <mergeCell ref="Z28:AC28"/>
    <mergeCell ref="AD28:AE28"/>
    <mergeCell ref="AF28:AK28"/>
    <mergeCell ref="AL28:AX28"/>
    <mergeCell ref="Z27:AB27"/>
    <mergeCell ref="AC27:AL27"/>
    <mergeCell ref="AM27:AN27"/>
    <mergeCell ref="AO27:AP27"/>
    <mergeCell ref="AQ27:AR27"/>
    <mergeCell ref="AS27:AT27"/>
    <mergeCell ref="Z26:AB26"/>
    <mergeCell ref="AC26:AL26"/>
    <mergeCell ref="AM26:AN26"/>
    <mergeCell ref="AO26:AP26"/>
    <mergeCell ref="AQ26:AR26"/>
    <mergeCell ref="AS26:AT26"/>
    <mergeCell ref="AU26:AV26"/>
    <mergeCell ref="AW26:AX26"/>
    <mergeCell ref="AU27:AV27"/>
    <mergeCell ref="AW27:AX27"/>
    <mergeCell ref="Z19:AN19"/>
    <mergeCell ref="AO19:AX19"/>
    <mergeCell ref="Z20:AN24"/>
    <mergeCell ref="AO20:AX24"/>
    <mergeCell ref="Z25:AB25"/>
    <mergeCell ref="AC25:AL25"/>
    <mergeCell ref="AM25:AN25"/>
    <mergeCell ref="AO25:AP25"/>
    <mergeCell ref="AQ25:AR25"/>
    <mergeCell ref="AS25:AT25"/>
    <mergeCell ref="AU25:AV25"/>
    <mergeCell ref="AW25:AX25"/>
    <mergeCell ref="Z18:AK18"/>
    <mergeCell ref="AL18:AN18"/>
    <mergeCell ref="AO18:AQ18"/>
    <mergeCell ref="AR18:AT18"/>
    <mergeCell ref="AU18:AV18"/>
    <mergeCell ref="AW18:AX18"/>
    <mergeCell ref="Z17:AK17"/>
    <mergeCell ref="AL17:AN17"/>
    <mergeCell ref="AO17:AQ17"/>
    <mergeCell ref="AR17:AT17"/>
    <mergeCell ref="AU17:AV17"/>
    <mergeCell ref="AW17:AX17"/>
    <mergeCell ref="Z16:AK16"/>
    <mergeCell ref="AL16:AN16"/>
    <mergeCell ref="AO16:AQ16"/>
    <mergeCell ref="AR16:AT16"/>
    <mergeCell ref="AU16:AV16"/>
    <mergeCell ref="AW16:AX16"/>
    <mergeCell ref="Z15:AK15"/>
    <mergeCell ref="AL15:AN15"/>
    <mergeCell ref="AO15:AQ15"/>
    <mergeCell ref="AR15:AT15"/>
    <mergeCell ref="AU15:AV15"/>
    <mergeCell ref="AW15:AX15"/>
    <mergeCell ref="Z14:AK14"/>
    <mergeCell ref="AL14:AN14"/>
    <mergeCell ref="AO14:AQ14"/>
    <mergeCell ref="AR14:AT14"/>
    <mergeCell ref="AU14:AV14"/>
    <mergeCell ref="AW14:AX14"/>
    <mergeCell ref="Z13:AK13"/>
    <mergeCell ref="AL13:AN13"/>
    <mergeCell ref="AO13:AQ13"/>
    <mergeCell ref="AR13:AT13"/>
    <mergeCell ref="AU13:AV13"/>
    <mergeCell ref="AW13:AX13"/>
    <mergeCell ref="Z12:AK12"/>
    <mergeCell ref="AL12:AN12"/>
    <mergeCell ref="AO12:AQ12"/>
    <mergeCell ref="AR12:AT12"/>
    <mergeCell ref="AU12:AV12"/>
    <mergeCell ref="AW12:AX12"/>
    <mergeCell ref="Z11:AK11"/>
    <mergeCell ref="AL11:AN11"/>
    <mergeCell ref="AO11:AQ11"/>
    <mergeCell ref="AR11:AT11"/>
    <mergeCell ref="AU11:AV11"/>
    <mergeCell ref="AW11:AX11"/>
    <mergeCell ref="Z10:AC10"/>
    <mergeCell ref="AD10:AE10"/>
    <mergeCell ref="AF10:AI10"/>
    <mergeCell ref="AJ10:AK10"/>
    <mergeCell ref="AL10:AO10"/>
    <mergeCell ref="AP10:AX10"/>
    <mergeCell ref="Z8:AC8"/>
    <mergeCell ref="AD8:AE8"/>
    <mergeCell ref="AF8:AI8"/>
    <mergeCell ref="AJ8:AK8"/>
    <mergeCell ref="Z9:AC9"/>
    <mergeCell ref="AD9:AE9"/>
    <mergeCell ref="AF9:AI9"/>
    <mergeCell ref="AJ9:AK9"/>
    <mergeCell ref="AL4:AX4"/>
    <mergeCell ref="Z5:AC5"/>
    <mergeCell ref="AD5:AE5"/>
    <mergeCell ref="AF5:AI5"/>
    <mergeCell ref="AJ5:AK5"/>
    <mergeCell ref="AL5:AX9"/>
    <mergeCell ref="Z6:AC6"/>
    <mergeCell ref="AM3:AN3"/>
    <mergeCell ref="AO3:AP3"/>
    <mergeCell ref="AQ3:AR3"/>
    <mergeCell ref="AS3:AT3"/>
    <mergeCell ref="AU3:AV3"/>
    <mergeCell ref="AW3:AX3"/>
    <mergeCell ref="AD6:AE6"/>
    <mergeCell ref="AF6:AI6"/>
    <mergeCell ref="AJ6:AK6"/>
    <mergeCell ref="Z7:AC7"/>
    <mergeCell ref="AD7:AE7"/>
    <mergeCell ref="AF7:AI7"/>
    <mergeCell ref="AJ7:AK7"/>
    <mergeCell ref="Z4:AC4"/>
    <mergeCell ref="AD4:AE4"/>
    <mergeCell ref="AF4:AK4"/>
    <mergeCell ref="AM2:AN2"/>
    <mergeCell ref="AO2:AP2"/>
    <mergeCell ref="AQ2:AR2"/>
    <mergeCell ref="AS2:AT2"/>
    <mergeCell ref="AU2:AV2"/>
    <mergeCell ref="AW2:AX2"/>
    <mergeCell ref="AM1:AN1"/>
    <mergeCell ref="AO1:AP1"/>
    <mergeCell ref="AQ1:AR1"/>
    <mergeCell ref="AS1:AT1"/>
    <mergeCell ref="AU1:AV1"/>
    <mergeCell ref="AW1:AX1"/>
    <mergeCell ref="A91:O91"/>
    <mergeCell ref="P91:Y91"/>
    <mergeCell ref="A92:O96"/>
    <mergeCell ref="P92:Y96"/>
    <mergeCell ref="Z1:AB1"/>
    <mergeCell ref="AC1:AL1"/>
    <mergeCell ref="Z2:AB2"/>
    <mergeCell ref="AC2:AL2"/>
    <mergeCell ref="Z3:AB3"/>
    <mergeCell ref="AC3:AL3"/>
    <mergeCell ref="A90:L90"/>
    <mergeCell ref="M90:O90"/>
    <mergeCell ref="P90:R90"/>
    <mergeCell ref="S90:U90"/>
    <mergeCell ref="V90:W90"/>
    <mergeCell ref="X90:Y90"/>
    <mergeCell ref="G76:L76"/>
    <mergeCell ref="M76:Y76"/>
    <mergeCell ref="M77:Y81"/>
    <mergeCell ref="A82:D82"/>
    <mergeCell ref="E82:F82"/>
    <mergeCell ref="G82:J82"/>
    <mergeCell ref="K82:L82"/>
    <mergeCell ref="M82:P82"/>
    <mergeCell ref="Q82:Y82"/>
    <mergeCell ref="A67:O67"/>
    <mergeCell ref="P67:Y67"/>
    <mergeCell ref="A68:O72"/>
    <mergeCell ref="P68:Y72"/>
    <mergeCell ref="A75:C75"/>
    <mergeCell ref="D75:M75"/>
    <mergeCell ref="N75:O75"/>
    <mergeCell ref="P75:Q75"/>
    <mergeCell ref="R75:S75"/>
    <mergeCell ref="T75:U75"/>
    <mergeCell ref="E79:F79"/>
    <mergeCell ref="G79:J79"/>
    <mergeCell ref="K79:L79"/>
    <mergeCell ref="A80:D80"/>
    <mergeCell ref="E80:F80"/>
    <mergeCell ref="G80:J80"/>
    <mergeCell ref="A77:D77"/>
    <mergeCell ref="E77:F77"/>
    <mergeCell ref="G77:J77"/>
    <mergeCell ref="K77:L77"/>
    <mergeCell ref="A78:D78"/>
    <mergeCell ref="E78:F78"/>
    <mergeCell ref="G78:J78"/>
    <mergeCell ref="A66:L66"/>
    <mergeCell ref="M66:O66"/>
    <mergeCell ref="P66:R66"/>
    <mergeCell ref="S66:U66"/>
    <mergeCell ref="V66:W66"/>
    <mergeCell ref="X66:Y66"/>
    <mergeCell ref="G58:J58"/>
    <mergeCell ref="K58:L58"/>
    <mergeCell ref="M58:P58"/>
    <mergeCell ref="Q58:Y58"/>
    <mergeCell ref="A65:L65"/>
    <mergeCell ref="M65:O65"/>
    <mergeCell ref="P65:R65"/>
    <mergeCell ref="S65:U65"/>
    <mergeCell ref="V65:W65"/>
    <mergeCell ref="X65:Y65"/>
    <mergeCell ref="A63:L63"/>
    <mergeCell ref="M63:O63"/>
    <mergeCell ref="P63:R63"/>
    <mergeCell ref="S63:U63"/>
    <mergeCell ref="V63:W63"/>
    <mergeCell ref="X63:Y63"/>
    <mergeCell ref="A62:L62"/>
    <mergeCell ref="M62:O62"/>
    <mergeCell ref="T51:U51"/>
    <mergeCell ref="E53:F53"/>
    <mergeCell ref="G53:J53"/>
    <mergeCell ref="K53:L53"/>
    <mergeCell ref="A54:D54"/>
    <mergeCell ref="E54:F54"/>
    <mergeCell ref="G54:J54"/>
    <mergeCell ref="K54:L54"/>
    <mergeCell ref="A52:D52"/>
    <mergeCell ref="E52:F52"/>
    <mergeCell ref="A53:D53"/>
    <mergeCell ref="G57:J57"/>
    <mergeCell ref="K57:L57"/>
    <mergeCell ref="A51:C51"/>
    <mergeCell ref="D51:M51"/>
    <mergeCell ref="N51:O51"/>
    <mergeCell ref="P51:Q51"/>
    <mergeCell ref="R51:S51"/>
    <mergeCell ref="E56:F56"/>
    <mergeCell ref="G56:J56"/>
    <mergeCell ref="K56:L56"/>
    <mergeCell ref="A43:O43"/>
    <mergeCell ref="P43:Y43"/>
    <mergeCell ref="A44:O48"/>
    <mergeCell ref="P44:Y48"/>
    <mergeCell ref="A42:L42"/>
    <mergeCell ref="M42:O42"/>
    <mergeCell ref="P42:R42"/>
    <mergeCell ref="S42:U42"/>
    <mergeCell ref="V42:W42"/>
    <mergeCell ref="X42:Y42"/>
    <mergeCell ref="V41:W41"/>
    <mergeCell ref="X41:Y41"/>
    <mergeCell ref="A40:L40"/>
    <mergeCell ref="M40:O40"/>
    <mergeCell ref="P40:R40"/>
    <mergeCell ref="S40:U40"/>
    <mergeCell ref="V40:W40"/>
    <mergeCell ref="X40:Y40"/>
    <mergeCell ref="A39:L39"/>
    <mergeCell ref="M39:O39"/>
    <mergeCell ref="P39:R39"/>
    <mergeCell ref="S39:U39"/>
    <mergeCell ref="V39:W39"/>
    <mergeCell ref="X39:Y39"/>
    <mergeCell ref="A41:L41"/>
    <mergeCell ref="M41:O41"/>
    <mergeCell ref="P41:R41"/>
    <mergeCell ref="S41:U41"/>
    <mergeCell ref="A38:L38"/>
    <mergeCell ref="M38:O38"/>
    <mergeCell ref="P38:R38"/>
    <mergeCell ref="S38:U38"/>
    <mergeCell ref="V38:W38"/>
    <mergeCell ref="X38:Y38"/>
    <mergeCell ref="A37:L37"/>
    <mergeCell ref="M37:O37"/>
    <mergeCell ref="P37:R37"/>
    <mergeCell ref="S37:U37"/>
    <mergeCell ref="V37:W37"/>
    <mergeCell ref="X37:Y37"/>
    <mergeCell ref="A36:L36"/>
    <mergeCell ref="M36:O36"/>
    <mergeCell ref="P36:R36"/>
    <mergeCell ref="S36:U36"/>
    <mergeCell ref="V36:W36"/>
    <mergeCell ref="X36:Y36"/>
    <mergeCell ref="M34:P34"/>
    <mergeCell ref="Q34:Y34"/>
    <mergeCell ref="A35:L35"/>
    <mergeCell ref="M35:O35"/>
    <mergeCell ref="P35:R35"/>
    <mergeCell ref="S35:U35"/>
    <mergeCell ref="V35:W35"/>
    <mergeCell ref="X35:Y35"/>
    <mergeCell ref="A34:D34"/>
    <mergeCell ref="E34:F34"/>
    <mergeCell ref="G34:J34"/>
    <mergeCell ref="K34:L34"/>
    <mergeCell ref="M29:Y33"/>
    <mergeCell ref="A30:D30"/>
    <mergeCell ref="E30:F30"/>
    <mergeCell ref="G30:J30"/>
    <mergeCell ref="K30:L30"/>
    <mergeCell ref="A31:D31"/>
    <mergeCell ref="A33:D33"/>
    <mergeCell ref="E33:F33"/>
    <mergeCell ref="G33:J33"/>
    <mergeCell ref="K33:L33"/>
    <mergeCell ref="E31:F31"/>
    <mergeCell ref="G31:J31"/>
    <mergeCell ref="K31:L31"/>
    <mergeCell ref="A32:D32"/>
    <mergeCell ref="E32:F32"/>
    <mergeCell ref="G32:J32"/>
    <mergeCell ref="K32:L32"/>
    <mergeCell ref="A29:D29"/>
    <mergeCell ref="E29:F29"/>
    <mergeCell ref="G29:J29"/>
    <mergeCell ref="K29:L29"/>
    <mergeCell ref="A28:D28"/>
    <mergeCell ref="E28:F28"/>
    <mergeCell ref="G28:L28"/>
    <mergeCell ref="M28:Y28"/>
    <mergeCell ref="A27:C27"/>
    <mergeCell ref="D27:M27"/>
    <mergeCell ref="N27:O27"/>
    <mergeCell ref="P27:Q27"/>
    <mergeCell ref="R27:S27"/>
    <mergeCell ref="T27:U27"/>
    <mergeCell ref="A26:C26"/>
    <mergeCell ref="D26:M26"/>
    <mergeCell ref="N26:O26"/>
    <mergeCell ref="P26:Q26"/>
    <mergeCell ref="R26:S26"/>
    <mergeCell ref="T26:U26"/>
    <mergeCell ref="V26:W26"/>
    <mergeCell ref="X26:Y26"/>
    <mergeCell ref="V27:W27"/>
    <mergeCell ref="X27:Y27"/>
    <mergeCell ref="A19:O19"/>
    <mergeCell ref="P19:Y19"/>
    <mergeCell ref="A25:C25"/>
    <mergeCell ref="D25:M25"/>
    <mergeCell ref="N25:O25"/>
    <mergeCell ref="P25:Q25"/>
    <mergeCell ref="R25:S25"/>
    <mergeCell ref="T25:U25"/>
    <mergeCell ref="A18:L18"/>
    <mergeCell ref="M18:O18"/>
    <mergeCell ref="P18:R18"/>
    <mergeCell ref="S18:U18"/>
    <mergeCell ref="V18:W18"/>
    <mergeCell ref="X18:Y18"/>
    <mergeCell ref="V25:W25"/>
    <mergeCell ref="X25:Y25"/>
    <mergeCell ref="A20:O24"/>
    <mergeCell ref="P20:Y24"/>
    <mergeCell ref="A17:L17"/>
    <mergeCell ref="M17:O17"/>
    <mergeCell ref="P17:R17"/>
    <mergeCell ref="S17:U17"/>
    <mergeCell ref="V17:W17"/>
    <mergeCell ref="X17:Y17"/>
    <mergeCell ref="A16:L16"/>
    <mergeCell ref="M16:O16"/>
    <mergeCell ref="P16:R16"/>
    <mergeCell ref="S16:U16"/>
    <mergeCell ref="V16:W16"/>
    <mergeCell ref="X16:Y16"/>
    <mergeCell ref="A15:L15"/>
    <mergeCell ref="M15:O15"/>
    <mergeCell ref="P15:R15"/>
    <mergeCell ref="S15:U15"/>
    <mergeCell ref="V15:W15"/>
    <mergeCell ref="X15:Y15"/>
    <mergeCell ref="A14:L14"/>
    <mergeCell ref="M14:O14"/>
    <mergeCell ref="P14:R14"/>
    <mergeCell ref="S14:U14"/>
    <mergeCell ref="V14:W14"/>
    <mergeCell ref="X14:Y14"/>
    <mergeCell ref="A13:L13"/>
    <mergeCell ref="M13:O13"/>
    <mergeCell ref="P13:R13"/>
    <mergeCell ref="S13:U13"/>
    <mergeCell ref="V13:W13"/>
    <mergeCell ref="X13:Y13"/>
    <mergeCell ref="A12:L12"/>
    <mergeCell ref="M12:O12"/>
    <mergeCell ref="P12:R12"/>
    <mergeCell ref="S12:U12"/>
    <mergeCell ref="V12:W12"/>
    <mergeCell ref="X12:Y12"/>
    <mergeCell ref="M10:P10"/>
    <mergeCell ref="Q10:Y10"/>
    <mergeCell ref="A11:L11"/>
    <mergeCell ref="M11:O11"/>
    <mergeCell ref="P11:R11"/>
    <mergeCell ref="S11:U11"/>
    <mergeCell ref="V11:W11"/>
    <mergeCell ref="X11:Y11"/>
    <mergeCell ref="A9:D9"/>
    <mergeCell ref="E9:F9"/>
    <mergeCell ref="G9:J9"/>
    <mergeCell ref="K9:L9"/>
    <mergeCell ref="A10:D10"/>
    <mergeCell ref="E10:F10"/>
    <mergeCell ref="G10:J10"/>
    <mergeCell ref="K10:L10"/>
    <mergeCell ref="M5:Y9"/>
    <mergeCell ref="E7:F7"/>
    <mergeCell ref="G7:J7"/>
    <mergeCell ref="K7:L7"/>
    <mergeCell ref="A8:D8"/>
    <mergeCell ref="E8:F8"/>
    <mergeCell ref="G8:J8"/>
    <mergeCell ref="K8:L8"/>
    <mergeCell ref="A5:D5"/>
    <mergeCell ref="E5:F5"/>
    <mergeCell ref="G5:J5"/>
    <mergeCell ref="K5:L5"/>
    <mergeCell ref="A6:D6"/>
    <mergeCell ref="E6:F6"/>
    <mergeCell ref="G6:J6"/>
    <mergeCell ref="K6:L6"/>
    <mergeCell ref="A7:D7"/>
    <mergeCell ref="V3:W3"/>
    <mergeCell ref="X3:Y3"/>
    <mergeCell ref="A4:D4"/>
    <mergeCell ref="E4:F4"/>
    <mergeCell ref="G4:L4"/>
    <mergeCell ref="M4:Y4"/>
    <mergeCell ref="A3:C3"/>
    <mergeCell ref="D3:M3"/>
    <mergeCell ref="N3:O3"/>
    <mergeCell ref="P3:Q3"/>
    <mergeCell ref="R3:S3"/>
    <mergeCell ref="T3:U3"/>
    <mergeCell ref="V1:W1"/>
    <mergeCell ref="X1:Y1"/>
    <mergeCell ref="A2:C2"/>
    <mergeCell ref="D2:M2"/>
    <mergeCell ref="N2:O2"/>
    <mergeCell ref="P2:Q2"/>
    <mergeCell ref="R2:S2"/>
    <mergeCell ref="T2:U2"/>
    <mergeCell ref="V2:W2"/>
    <mergeCell ref="X2:Y2"/>
    <mergeCell ref="A1:C1"/>
    <mergeCell ref="D1:M1"/>
    <mergeCell ref="N1:O1"/>
    <mergeCell ref="P1:Q1"/>
    <mergeCell ref="R1:S1"/>
    <mergeCell ref="T1:U1"/>
    <mergeCell ref="A89:L89"/>
    <mergeCell ref="M89:O89"/>
    <mergeCell ref="P89:R89"/>
    <mergeCell ref="S89:U89"/>
    <mergeCell ref="V89:W89"/>
    <mergeCell ref="X89:Y89"/>
    <mergeCell ref="A84:L84"/>
    <mergeCell ref="M84:O84"/>
    <mergeCell ref="P84:R84"/>
    <mergeCell ref="S84:U84"/>
    <mergeCell ref="V84:W84"/>
    <mergeCell ref="X84:Y84"/>
    <mergeCell ref="A88:L88"/>
    <mergeCell ref="M88:O88"/>
    <mergeCell ref="P88:R88"/>
    <mergeCell ref="S88:U88"/>
    <mergeCell ref="V88:W88"/>
    <mergeCell ref="X88:Y88"/>
    <mergeCell ref="A87:L87"/>
    <mergeCell ref="M87:O87"/>
    <mergeCell ref="P87:R87"/>
    <mergeCell ref="S87:U87"/>
    <mergeCell ref="V87:W87"/>
    <mergeCell ref="X87:Y87"/>
    <mergeCell ref="A83:L83"/>
    <mergeCell ref="M83:O83"/>
    <mergeCell ref="P83:R83"/>
    <mergeCell ref="S83:U83"/>
    <mergeCell ref="V83:W83"/>
    <mergeCell ref="X83:Y83"/>
    <mergeCell ref="A86:L86"/>
    <mergeCell ref="M86:O86"/>
    <mergeCell ref="P86:R86"/>
    <mergeCell ref="S86:U86"/>
    <mergeCell ref="V86:W86"/>
    <mergeCell ref="X86:Y86"/>
    <mergeCell ref="A85:L85"/>
    <mergeCell ref="M85:O85"/>
    <mergeCell ref="P85:R85"/>
    <mergeCell ref="S85:U85"/>
    <mergeCell ref="V85:W85"/>
    <mergeCell ref="X85:Y85"/>
    <mergeCell ref="K78:L78"/>
    <mergeCell ref="A79:D79"/>
    <mergeCell ref="A81:D81"/>
    <mergeCell ref="E81:F81"/>
    <mergeCell ref="G81:J81"/>
    <mergeCell ref="K81:L81"/>
    <mergeCell ref="A73:C73"/>
    <mergeCell ref="D73:M73"/>
    <mergeCell ref="N73:O73"/>
    <mergeCell ref="K80:L80"/>
    <mergeCell ref="A74:C74"/>
    <mergeCell ref="D74:M74"/>
    <mergeCell ref="N74:O74"/>
    <mergeCell ref="A76:D76"/>
    <mergeCell ref="E76:F76"/>
    <mergeCell ref="P73:Q73"/>
    <mergeCell ref="R73:S73"/>
    <mergeCell ref="T73:U73"/>
    <mergeCell ref="V73:W73"/>
    <mergeCell ref="X73:Y73"/>
    <mergeCell ref="T74:U74"/>
    <mergeCell ref="V74:W74"/>
    <mergeCell ref="X74:Y74"/>
    <mergeCell ref="V75:W75"/>
    <mergeCell ref="X75:Y75"/>
    <mergeCell ref="P74:Q74"/>
    <mergeCell ref="R74:S74"/>
    <mergeCell ref="P62:R62"/>
    <mergeCell ref="S62:U62"/>
    <mergeCell ref="V62:W62"/>
    <mergeCell ref="X62:Y62"/>
    <mergeCell ref="A64:L64"/>
    <mergeCell ref="M64:O64"/>
    <mergeCell ref="P64:R64"/>
    <mergeCell ref="S64:U64"/>
    <mergeCell ref="V64:W64"/>
    <mergeCell ref="X64:Y64"/>
    <mergeCell ref="A61:L61"/>
    <mergeCell ref="M61:O61"/>
    <mergeCell ref="P61:R61"/>
    <mergeCell ref="S61:U61"/>
    <mergeCell ref="V61:W61"/>
    <mergeCell ref="X61:Y61"/>
    <mergeCell ref="A55:D55"/>
    <mergeCell ref="E55:F55"/>
    <mergeCell ref="G55:J55"/>
    <mergeCell ref="A60:L60"/>
    <mergeCell ref="M60:O60"/>
    <mergeCell ref="P60:R60"/>
    <mergeCell ref="E58:F58"/>
    <mergeCell ref="A59:L59"/>
    <mergeCell ref="M59:O59"/>
    <mergeCell ref="P59:R59"/>
    <mergeCell ref="S59:U59"/>
    <mergeCell ref="V59:W59"/>
    <mergeCell ref="X59:Y59"/>
    <mergeCell ref="A58:D58"/>
    <mergeCell ref="S60:U60"/>
    <mergeCell ref="V60:W60"/>
    <mergeCell ref="X60:Y60"/>
    <mergeCell ref="A56:D56"/>
    <mergeCell ref="R49:S49"/>
    <mergeCell ref="T49:U49"/>
    <mergeCell ref="V49:W49"/>
    <mergeCell ref="X49:Y49"/>
    <mergeCell ref="D49:M49"/>
    <mergeCell ref="K55:L55"/>
    <mergeCell ref="A49:C49"/>
    <mergeCell ref="N49:O49"/>
    <mergeCell ref="P49:Q49"/>
    <mergeCell ref="A50:C50"/>
    <mergeCell ref="D50:M50"/>
    <mergeCell ref="N50:O50"/>
    <mergeCell ref="P50:Q50"/>
    <mergeCell ref="R50:S50"/>
    <mergeCell ref="T50:U50"/>
    <mergeCell ref="V50:W50"/>
    <mergeCell ref="X50:Y50"/>
    <mergeCell ref="V51:W51"/>
    <mergeCell ref="X51:Y51"/>
    <mergeCell ref="G52:L52"/>
    <mergeCell ref="M52:Y52"/>
    <mergeCell ref="M53:Y57"/>
    <mergeCell ref="A57:D57"/>
    <mergeCell ref="E57:F57"/>
  </mergeCells>
  <dataValidations count="2">
    <dataValidation type="list" allowBlank="1" showInputMessage="1" showErrorMessage="1" sqref="D1:M1 AC1:AL1 D25:M25 D49:M49 D73:M73 AC25:AL25 AC49:AL49 AC73:AL73">
      <formula1>"Creature, Followers1, Followers2, Followers3, Followers4, Followers5, CustomCF"</formula1>
    </dataValidation>
    <dataValidation type="list" allowBlank="1" showInputMessage="1" showErrorMessage="1" sqref="D3:M3 AC3:AL3 D27:M27 D51:M51 D75:M75 AC27:AL27 AC51:AL51 AC75:AL75">
      <formula1>INDIRECT(D1)</formula1>
    </dataValidation>
  </dataValidations>
  <pageMargins left="0.7" right="0.7" top="0.75" bottom="0.75" header="0.3" footer="0.3"/>
  <pageSetup scale="97" orientation="portrait" horizontalDpi="300" verticalDpi="300" r:id="rId1"/>
  <rowBreaks count="1" manualBreakCount="1">
    <brk id="4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sheetPr>
  <dimension ref="A1:AX94"/>
  <sheetViews>
    <sheetView view="pageBreakPreview" zoomScaleNormal="100" zoomScaleSheetLayoutView="100" workbookViewId="0">
      <selection activeCell="D3" sqref="D3:L3"/>
    </sheetView>
  </sheetViews>
  <sheetFormatPr defaultRowHeight="15" x14ac:dyDescent="0.25"/>
  <cols>
    <col min="1" max="50" width="3.7109375" customWidth="1"/>
  </cols>
  <sheetData>
    <row r="1" spans="1:50" x14ac:dyDescent="0.25">
      <c r="A1" s="829" t="s">
        <v>2058</v>
      </c>
      <c r="B1" s="820"/>
      <c r="C1" s="820"/>
      <c r="D1" s="820"/>
      <c r="E1" s="820"/>
      <c r="F1" s="820"/>
      <c r="G1" s="820"/>
      <c r="H1" s="820"/>
      <c r="I1" s="820"/>
      <c r="J1" s="820"/>
      <c r="K1" s="820"/>
      <c r="L1" s="820"/>
      <c r="M1" s="820"/>
      <c r="N1" s="820"/>
      <c r="O1" s="820"/>
      <c r="P1" s="820"/>
      <c r="Q1" s="820"/>
      <c r="R1" s="820"/>
      <c r="S1" s="820"/>
      <c r="T1" s="820"/>
      <c r="U1" s="820"/>
      <c r="V1" s="820"/>
      <c r="W1" s="820"/>
      <c r="X1" s="820"/>
      <c r="Y1" s="821"/>
      <c r="Z1" s="829" t="s">
        <v>2071</v>
      </c>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1"/>
    </row>
    <row r="2" spans="1:50" ht="15.75" thickBot="1" x14ac:dyDescent="0.3">
      <c r="A2" s="890"/>
      <c r="B2" s="823"/>
      <c r="C2" s="823"/>
      <c r="D2" s="823"/>
      <c r="E2" s="823"/>
      <c r="F2" s="823"/>
      <c r="G2" s="823"/>
      <c r="H2" s="823"/>
      <c r="I2" s="823"/>
      <c r="J2" s="823"/>
      <c r="K2" s="823"/>
      <c r="L2" s="823"/>
      <c r="M2" s="823"/>
      <c r="N2" s="823"/>
      <c r="O2" s="823"/>
      <c r="P2" s="823"/>
      <c r="Q2" s="823"/>
      <c r="R2" s="823"/>
      <c r="S2" s="823"/>
      <c r="T2" s="823"/>
      <c r="U2" s="823"/>
      <c r="V2" s="823"/>
      <c r="W2" s="823"/>
      <c r="X2" s="823"/>
      <c r="Y2" s="824"/>
      <c r="Z2" s="1076"/>
      <c r="AA2" s="1077"/>
      <c r="AB2" s="1077"/>
      <c r="AC2" s="1077"/>
      <c r="AD2" s="1077"/>
      <c r="AE2" s="1077"/>
      <c r="AF2" s="1077"/>
      <c r="AG2" s="1077"/>
      <c r="AH2" s="1077"/>
      <c r="AI2" s="1077"/>
      <c r="AJ2" s="1077"/>
      <c r="AK2" s="1077"/>
      <c r="AL2" s="1077"/>
      <c r="AM2" s="1077"/>
      <c r="AN2" s="1077"/>
      <c r="AO2" s="1077"/>
      <c r="AP2" s="1077"/>
      <c r="AQ2" s="1077"/>
      <c r="AR2" s="1077"/>
      <c r="AS2" s="1077"/>
      <c r="AT2" s="1077"/>
      <c r="AU2" s="1077"/>
      <c r="AV2" s="1077"/>
      <c r="AW2" s="1077"/>
      <c r="AX2" s="1078"/>
    </row>
    <row r="3" spans="1:50" x14ac:dyDescent="0.25">
      <c r="A3" s="742" t="s">
        <v>0</v>
      </c>
      <c r="B3" s="743"/>
      <c r="C3" s="743"/>
      <c r="D3" s="790"/>
      <c r="E3" s="790"/>
      <c r="F3" s="790"/>
      <c r="G3" s="790"/>
      <c r="H3" s="790"/>
      <c r="I3" s="790"/>
      <c r="J3" s="790"/>
      <c r="K3" s="790"/>
      <c r="L3" s="790"/>
      <c r="M3" s="743" t="s">
        <v>75</v>
      </c>
      <c r="N3" s="743"/>
      <c r="O3" s="743"/>
      <c r="P3" s="790"/>
      <c r="Q3" s="790"/>
      <c r="R3" s="790"/>
      <c r="S3" s="790"/>
      <c r="T3" s="790"/>
      <c r="U3" s="790"/>
      <c r="V3" s="790"/>
      <c r="W3" s="790"/>
      <c r="X3" s="790"/>
      <c r="Y3" s="791"/>
      <c r="Z3" s="690" t="s">
        <v>77</v>
      </c>
      <c r="AA3" s="691"/>
      <c r="AB3" s="691"/>
      <c r="AC3" s="691"/>
      <c r="AD3" s="691"/>
      <c r="AE3" s="691"/>
      <c r="AF3" s="691" t="s">
        <v>10</v>
      </c>
      <c r="AG3" s="691"/>
      <c r="AH3" s="691" t="s">
        <v>138</v>
      </c>
      <c r="AI3" s="691"/>
      <c r="AJ3" s="691"/>
      <c r="AK3" s="691"/>
      <c r="AL3" s="691"/>
      <c r="AM3" s="691"/>
      <c r="AN3" s="691"/>
      <c r="AO3" s="691"/>
      <c r="AP3" s="691"/>
      <c r="AQ3" s="691"/>
      <c r="AR3" s="691"/>
      <c r="AS3" s="691"/>
      <c r="AT3" s="691"/>
      <c r="AU3" s="691"/>
      <c r="AV3" s="691"/>
      <c r="AW3" s="691"/>
      <c r="AX3" s="773"/>
    </row>
    <row r="4" spans="1:50" x14ac:dyDescent="0.25">
      <c r="A4" s="1080"/>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2"/>
      <c r="Z4" s="693"/>
      <c r="AA4" s="694"/>
      <c r="AB4" s="694"/>
      <c r="AC4" s="694"/>
      <c r="AD4" s="694"/>
      <c r="AE4" s="694"/>
      <c r="AF4" s="1074"/>
      <c r="AG4" s="1074"/>
      <c r="AH4" s="1074"/>
      <c r="AI4" s="1074"/>
      <c r="AJ4" s="1074"/>
      <c r="AK4" s="1074"/>
      <c r="AL4" s="1074"/>
      <c r="AM4" s="1074"/>
      <c r="AN4" s="1074"/>
      <c r="AO4" s="1074"/>
      <c r="AP4" s="1074"/>
      <c r="AQ4" s="1074"/>
      <c r="AR4" s="1074"/>
      <c r="AS4" s="1074"/>
      <c r="AT4" s="1074"/>
      <c r="AU4" s="1074"/>
      <c r="AV4" s="1074"/>
      <c r="AW4" s="1074"/>
      <c r="AX4" s="1079"/>
    </row>
    <row r="5" spans="1:50" x14ac:dyDescent="0.25">
      <c r="A5" s="1083"/>
      <c r="B5" s="1084"/>
      <c r="C5" s="1084"/>
      <c r="D5" s="1084"/>
      <c r="E5" s="1084"/>
      <c r="F5" s="1084"/>
      <c r="G5" s="1084"/>
      <c r="H5" s="1084"/>
      <c r="I5" s="1084"/>
      <c r="J5" s="1084"/>
      <c r="K5" s="1084"/>
      <c r="L5" s="1084"/>
      <c r="M5" s="1084"/>
      <c r="N5" s="1084"/>
      <c r="O5" s="1084"/>
      <c r="P5" s="1084"/>
      <c r="Q5" s="1084"/>
      <c r="R5" s="1084"/>
      <c r="S5" s="1084"/>
      <c r="T5" s="1084"/>
      <c r="U5" s="1084"/>
      <c r="V5" s="1084"/>
      <c r="W5" s="1084"/>
      <c r="X5" s="1084"/>
      <c r="Y5" s="1085"/>
      <c r="Z5" s="693"/>
      <c r="AA5" s="694"/>
      <c r="AB5" s="694"/>
      <c r="AC5" s="694"/>
      <c r="AD5" s="694"/>
      <c r="AE5" s="694"/>
      <c r="AF5" s="1074"/>
      <c r="AG5" s="1074"/>
      <c r="AH5" s="1074"/>
      <c r="AI5" s="1074"/>
      <c r="AJ5" s="1074"/>
      <c r="AK5" s="1074"/>
      <c r="AL5" s="1074"/>
      <c r="AM5" s="1074"/>
      <c r="AN5" s="1074"/>
      <c r="AO5" s="1074"/>
      <c r="AP5" s="1074"/>
      <c r="AQ5" s="1074"/>
      <c r="AR5" s="1074"/>
      <c r="AS5" s="1074"/>
      <c r="AT5" s="1074"/>
      <c r="AU5" s="1074"/>
      <c r="AV5" s="1074"/>
      <c r="AW5" s="1074"/>
      <c r="AX5" s="1079"/>
    </row>
    <row r="6" spans="1:50" x14ac:dyDescent="0.25">
      <c r="A6" s="1083"/>
      <c r="B6" s="1084"/>
      <c r="C6" s="1084"/>
      <c r="D6" s="1084"/>
      <c r="E6" s="1084"/>
      <c r="F6" s="1084"/>
      <c r="G6" s="1084"/>
      <c r="H6" s="1084"/>
      <c r="I6" s="1084"/>
      <c r="J6" s="1084"/>
      <c r="K6" s="1084"/>
      <c r="L6" s="1084"/>
      <c r="M6" s="1084"/>
      <c r="N6" s="1084"/>
      <c r="O6" s="1084"/>
      <c r="P6" s="1084"/>
      <c r="Q6" s="1084"/>
      <c r="R6" s="1084"/>
      <c r="S6" s="1084"/>
      <c r="T6" s="1084"/>
      <c r="U6" s="1084"/>
      <c r="V6" s="1084"/>
      <c r="W6" s="1084"/>
      <c r="X6" s="1084"/>
      <c r="Y6" s="1085"/>
      <c r="Z6" s="693"/>
      <c r="AA6" s="694"/>
      <c r="AB6" s="694"/>
      <c r="AC6" s="694"/>
      <c r="AD6" s="694"/>
      <c r="AE6" s="694"/>
      <c r="AF6" s="1074"/>
      <c r="AG6" s="1074"/>
      <c r="AH6" s="1074"/>
      <c r="AI6" s="1074"/>
      <c r="AJ6" s="1074"/>
      <c r="AK6" s="1074"/>
      <c r="AL6" s="1074"/>
      <c r="AM6" s="1074"/>
      <c r="AN6" s="1074"/>
      <c r="AO6" s="1074"/>
      <c r="AP6" s="1074"/>
      <c r="AQ6" s="1074"/>
      <c r="AR6" s="1074"/>
      <c r="AS6" s="1074"/>
      <c r="AT6" s="1074"/>
      <c r="AU6" s="1074"/>
      <c r="AV6" s="1074"/>
      <c r="AW6" s="1074"/>
      <c r="AX6" s="1079"/>
    </row>
    <row r="7" spans="1:50" x14ac:dyDescent="0.25">
      <c r="A7" s="1083"/>
      <c r="B7" s="1084"/>
      <c r="C7" s="1084"/>
      <c r="D7" s="1084"/>
      <c r="E7" s="1084"/>
      <c r="F7" s="1084"/>
      <c r="G7" s="1084"/>
      <c r="H7" s="1084"/>
      <c r="I7" s="1084"/>
      <c r="J7" s="1084"/>
      <c r="K7" s="1084"/>
      <c r="L7" s="1084"/>
      <c r="M7" s="1084"/>
      <c r="N7" s="1084"/>
      <c r="O7" s="1084"/>
      <c r="P7" s="1084"/>
      <c r="Q7" s="1084"/>
      <c r="R7" s="1084"/>
      <c r="S7" s="1084"/>
      <c r="T7" s="1084"/>
      <c r="U7" s="1084"/>
      <c r="V7" s="1084"/>
      <c r="W7" s="1084"/>
      <c r="X7" s="1084"/>
      <c r="Y7" s="1085"/>
      <c r="Z7" s="693"/>
      <c r="AA7" s="694"/>
      <c r="AB7" s="694"/>
      <c r="AC7" s="694"/>
      <c r="AD7" s="694"/>
      <c r="AE7" s="694"/>
      <c r="AF7" s="1074"/>
      <c r="AG7" s="1074"/>
      <c r="AH7" s="1074"/>
      <c r="AI7" s="1074"/>
      <c r="AJ7" s="1074"/>
      <c r="AK7" s="1074"/>
      <c r="AL7" s="1074"/>
      <c r="AM7" s="1074"/>
      <c r="AN7" s="1074"/>
      <c r="AO7" s="1074"/>
      <c r="AP7" s="1074"/>
      <c r="AQ7" s="1074"/>
      <c r="AR7" s="1074"/>
      <c r="AS7" s="1074"/>
      <c r="AT7" s="1074"/>
      <c r="AU7" s="1074"/>
      <c r="AV7" s="1074"/>
      <c r="AW7" s="1074"/>
      <c r="AX7" s="1079"/>
    </row>
    <row r="8" spans="1:50" x14ac:dyDescent="0.25">
      <c r="A8" s="1083"/>
      <c r="B8" s="1084"/>
      <c r="C8" s="1084"/>
      <c r="D8" s="1084"/>
      <c r="E8" s="1084"/>
      <c r="F8" s="1084"/>
      <c r="G8" s="1084"/>
      <c r="H8" s="1084"/>
      <c r="I8" s="1084"/>
      <c r="J8" s="1084"/>
      <c r="K8" s="1084"/>
      <c r="L8" s="1084"/>
      <c r="M8" s="1084"/>
      <c r="N8" s="1084"/>
      <c r="O8" s="1084"/>
      <c r="P8" s="1084"/>
      <c r="Q8" s="1084"/>
      <c r="R8" s="1084"/>
      <c r="S8" s="1084"/>
      <c r="T8" s="1084"/>
      <c r="U8" s="1084"/>
      <c r="V8" s="1084"/>
      <c r="W8" s="1084"/>
      <c r="X8" s="1084"/>
      <c r="Y8" s="1085"/>
      <c r="Z8" s="693"/>
      <c r="AA8" s="694"/>
      <c r="AB8" s="694"/>
      <c r="AC8" s="694"/>
      <c r="AD8" s="694"/>
      <c r="AE8" s="694"/>
      <c r="AF8" s="1074"/>
      <c r="AG8" s="1074"/>
      <c r="AH8" s="1074"/>
      <c r="AI8" s="1074"/>
      <c r="AJ8" s="1074"/>
      <c r="AK8" s="1074"/>
      <c r="AL8" s="1074"/>
      <c r="AM8" s="1074"/>
      <c r="AN8" s="1074"/>
      <c r="AO8" s="1074"/>
      <c r="AP8" s="1074"/>
      <c r="AQ8" s="1074"/>
      <c r="AR8" s="1074"/>
      <c r="AS8" s="1074"/>
      <c r="AT8" s="1074"/>
      <c r="AU8" s="1074"/>
      <c r="AV8" s="1074"/>
      <c r="AW8" s="1074"/>
      <c r="AX8" s="1079"/>
    </row>
    <row r="9" spans="1:50" x14ac:dyDescent="0.25">
      <c r="A9" s="1083"/>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5"/>
      <c r="Z9" s="693"/>
      <c r="AA9" s="694"/>
      <c r="AB9" s="694"/>
      <c r="AC9" s="694"/>
      <c r="AD9" s="694"/>
      <c r="AE9" s="694"/>
      <c r="AF9" s="1074"/>
      <c r="AG9" s="1074"/>
      <c r="AH9" s="1074"/>
      <c r="AI9" s="1074"/>
      <c r="AJ9" s="1074"/>
      <c r="AK9" s="1074"/>
      <c r="AL9" s="1074"/>
      <c r="AM9" s="1074"/>
      <c r="AN9" s="1074"/>
      <c r="AO9" s="1074"/>
      <c r="AP9" s="1074"/>
      <c r="AQ9" s="1074"/>
      <c r="AR9" s="1074"/>
      <c r="AS9" s="1074"/>
      <c r="AT9" s="1074"/>
      <c r="AU9" s="1074"/>
      <c r="AV9" s="1074"/>
      <c r="AW9" s="1074"/>
      <c r="AX9" s="1079"/>
    </row>
    <row r="10" spans="1:50" x14ac:dyDescent="0.25">
      <c r="A10" s="1083"/>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5"/>
      <c r="Z10" s="693"/>
      <c r="AA10" s="694"/>
      <c r="AB10" s="694"/>
      <c r="AC10" s="694"/>
      <c r="AD10" s="694"/>
      <c r="AE10" s="694"/>
      <c r="AF10" s="1074"/>
      <c r="AG10" s="1074"/>
      <c r="AH10" s="1074"/>
      <c r="AI10" s="1074"/>
      <c r="AJ10" s="1074"/>
      <c r="AK10" s="1074"/>
      <c r="AL10" s="1074"/>
      <c r="AM10" s="1074"/>
      <c r="AN10" s="1074"/>
      <c r="AO10" s="1074"/>
      <c r="AP10" s="1074"/>
      <c r="AQ10" s="1074"/>
      <c r="AR10" s="1074"/>
      <c r="AS10" s="1074"/>
      <c r="AT10" s="1074"/>
      <c r="AU10" s="1074"/>
      <c r="AV10" s="1074"/>
      <c r="AW10" s="1074"/>
      <c r="AX10" s="1079"/>
    </row>
    <row r="11" spans="1:50" x14ac:dyDescent="0.25">
      <c r="A11" s="1083"/>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5"/>
      <c r="Z11" s="693"/>
      <c r="AA11" s="694"/>
      <c r="AB11" s="694"/>
      <c r="AC11" s="694"/>
      <c r="AD11" s="694"/>
      <c r="AE11" s="694"/>
      <c r="AF11" s="1074"/>
      <c r="AG11" s="1074"/>
      <c r="AH11" s="1074"/>
      <c r="AI11" s="1074"/>
      <c r="AJ11" s="1074"/>
      <c r="AK11" s="1074"/>
      <c r="AL11" s="1074"/>
      <c r="AM11" s="1074"/>
      <c r="AN11" s="1074"/>
      <c r="AO11" s="1074"/>
      <c r="AP11" s="1074"/>
      <c r="AQ11" s="1074"/>
      <c r="AR11" s="1074"/>
      <c r="AS11" s="1074"/>
      <c r="AT11" s="1074"/>
      <c r="AU11" s="1074"/>
      <c r="AV11" s="1074"/>
      <c r="AW11" s="1074"/>
      <c r="AX11" s="1079"/>
    </row>
    <row r="12" spans="1:50" x14ac:dyDescent="0.25">
      <c r="A12" s="1083"/>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5"/>
      <c r="Z12" s="693"/>
      <c r="AA12" s="694"/>
      <c r="AB12" s="694"/>
      <c r="AC12" s="694"/>
      <c r="AD12" s="694"/>
      <c r="AE12" s="694"/>
      <c r="AF12" s="1074"/>
      <c r="AG12" s="1074"/>
      <c r="AH12" s="1074"/>
      <c r="AI12" s="1074"/>
      <c r="AJ12" s="1074"/>
      <c r="AK12" s="1074"/>
      <c r="AL12" s="1074"/>
      <c r="AM12" s="1074"/>
      <c r="AN12" s="1074"/>
      <c r="AO12" s="1074"/>
      <c r="AP12" s="1074"/>
      <c r="AQ12" s="1074"/>
      <c r="AR12" s="1074"/>
      <c r="AS12" s="1074"/>
      <c r="AT12" s="1074"/>
      <c r="AU12" s="1074"/>
      <c r="AV12" s="1074"/>
      <c r="AW12" s="1074"/>
      <c r="AX12" s="1079"/>
    </row>
    <row r="13" spans="1:50" ht="15.75" thickBot="1" x14ac:dyDescent="0.3">
      <c r="A13" s="1086"/>
      <c r="B13" s="1087"/>
      <c r="C13" s="1087"/>
      <c r="D13" s="1087"/>
      <c r="E13" s="1087"/>
      <c r="F13" s="1087"/>
      <c r="G13" s="1087"/>
      <c r="H13" s="1087"/>
      <c r="I13" s="1087"/>
      <c r="J13" s="1087"/>
      <c r="K13" s="1087"/>
      <c r="L13" s="1087"/>
      <c r="M13" s="1087"/>
      <c r="N13" s="1087"/>
      <c r="O13" s="1087"/>
      <c r="P13" s="1087"/>
      <c r="Q13" s="1087"/>
      <c r="R13" s="1087"/>
      <c r="S13" s="1087"/>
      <c r="T13" s="1087"/>
      <c r="U13" s="1087"/>
      <c r="V13" s="1087"/>
      <c r="W13" s="1087"/>
      <c r="X13" s="1087"/>
      <c r="Y13" s="1088"/>
      <c r="Z13" s="693"/>
      <c r="AA13" s="694"/>
      <c r="AB13" s="694"/>
      <c r="AC13" s="694"/>
      <c r="AD13" s="694"/>
      <c r="AE13" s="694"/>
      <c r="AF13" s="1074"/>
      <c r="AG13" s="1074"/>
      <c r="AH13" s="1074"/>
      <c r="AI13" s="1074"/>
      <c r="AJ13" s="1074"/>
      <c r="AK13" s="1074"/>
      <c r="AL13" s="1074"/>
      <c r="AM13" s="1074"/>
      <c r="AN13" s="1074"/>
      <c r="AO13" s="1074"/>
      <c r="AP13" s="1074"/>
      <c r="AQ13" s="1074"/>
      <c r="AR13" s="1074"/>
      <c r="AS13" s="1074"/>
      <c r="AT13" s="1074"/>
      <c r="AU13" s="1074"/>
      <c r="AV13" s="1074"/>
      <c r="AW13" s="1074"/>
      <c r="AX13" s="1079"/>
    </row>
    <row r="14" spans="1:50" x14ac:dyDescent="0.25">
      <c r="A14" s="742" t="s">
        <v>0</v>
      </c>
      <c r="B14" s="743"/>
      <c r="C14" s="743"/>
      <c r="D14" s="790"/>
      <c r="E14" s="790"/>
      <c r="F14" s="790"/>
      <c r="G14" s="790"/>
      <c r="H14" s="790"/>
      <c r="I14" s="790"/>
      <c r="J14" s="790"/>
      <c r="K14" s="790"/>
      <c r="L14" s="790"/>
      <c r="M14" s="743" t="s">
        <v>75</v>
      </c>
      <c r="N14" s="743"/>
      <c r="O14" s="743"/>
      <c r="P14" s="790"/>
      <c r="Q14" s="790"/>
      <c r="R14" s="790"/>
      <c r="S14" s="790"/>
      <c r="T14" s="790"/>
      <c r="U14" s="790"/>
      <c r="V14" s="790"/>
      <c r="W14" s="790"/>
      <c r="X14" s="790"/>
      <c r="Y14" s="791"/>
      <c r="Z14" s="693"/>
      <c r="AA14" s="694"/>
      <c r="AB14" s="694"/>
      <c r="AC14" s="694"/>
      <c r="AD14" s="694"/>
      <c r="AE14" s="694"/>
      <c r="AF14" s="1074"/>
      <c r="AG14" s="1074"/>
      <c r="AH14" s="1074"/>
      <c r="AI14" s="1074"/>
      <c r="AJ14" s="1074"/>
      <c r="AK14" s="1074"/>
      <c r="AL14" s="1074"/>
      <c r="AM14" s="1074"/>
      <c r="AN14" s="1074"/>
      <c r="AO14" s="1074"/>
      <c r="AP14" s="1074"/>
      <c r="AQ14" s="1074"/>
      <c r="AR14" s="1074"/>
      <c r="AS14" s="1074"/>
      <c r="AT14" s="1074"/>
      <c r="AU14" s="1074"/>
      <c r="AV14" s="1074"/>
      <c r="AW14" s="1074"/>
      <c r="AX14" s="1079"/>
    </row>
    <row r="15" spans="1:50" x14ac:dyDescent="0.25">
      <c r="A15" s="1080"/>
      <c r="B15" s="1081"/>
      <c r="C15" s="1081"/>
      <c r="D15" s="1081"/>
      <c r="E15" s="1081"/>
      <c r="F15" s="1081"/>
      <c r="G15" s="1081"/>
      <c r="H15" s="1081"/>
      <c r="I15" s="1081"/>
      <c r="J15" s="1081"/>
      <c r="K15" s="1081"/>
      <c r="L15" s="1081"/>
      <c r="M15" s="1081"/>
      <c r="N15" s="1081"/>
      <c r="O15" s="1081"/>
      <c r="P15" s="1081"/>
      <c r="Q15" s="1081"/>
      <c r="R15" s="1081"/>
      <c r="S15" s="1081"/>
      <c r="T15" s="1081"/>
      <c r="U15" s="1081"/>
      <c r="V15" s="1081"/>
      <c r="W15" s="1081"/>
      <c r="X15" s="1081"/>
      <c r="Y15" s="1082"/>
      <c r="Z15" s="693"/>
      <c r="AA15" s="694"/>
      <c r="AB15" s="694"/>
      <c r="AC15" s="694"/>
      <c r="AD15" s="694"/>
      <c r="AE15" s="694"/>
      <c r="AF15" s="1074"/>
      <c r="AG15" s="1074"/>
      <c r="AH15" s="1074"/>
      <c r="AI15" s="1074"/>
      <c r="AJ15" s="1074"/>
      <c r="AK15" s="1074"/>
      <c r="AL15" s="1074"/>
      <c r="AM15" s="1074"/>
      <c r="AN15" s="1074"/>
      <c r="AO15" s="1074"/>
      <c r="AP15" s="1074"/>
      <c r="AQ15" s="1074"/>
      <c r="AR15" s="1074"/>
      <c r="AS15" s="1074"/>
      <c r="AT15" s="1074"/>
      <c r="AU15" s="1074"/>
      <c r="AV15" s="1074"/>
      <c r="AW15" s="1074"/>
      <c r="AX15" s="1079"/>
    </row>
    <row r="16" spans="1:50" x14ac:dyDescent="0.25">
      <c r="A16" s="1083"/>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5"/>
      <c r="Z16" s="693"/>
      <c r="AA16" s="694"/>
      <c r="AB16" s="694"/>
      <c r="AC16" s="694"/>
      <c r="AD16" s="694"/>
      <c r="AE16" s="694"/>
      <c r="AF16" s="1074"/>
      <c r="AG16" s="1074"/>
      <c r="AH16" s="1074"/>
      <c r="AI16" s="1074"/>
      <c r="AJ16" s="1074"/>
      <c r="AK16" s="1074"/>
      <c r="AL16" s="1074"/>
      <c r="AM16" s="1074"/>
      <c r="AN16" s="1074"/>
      <c r="AO16" s="1074"/>
      <c r="AP16" s="1074"/>
      <c r="AQ16" s="1074"/>
      <c r="AR16" s="1074"/>
      <c r="AS16" s="1074"/>
      <c r="AT16" s="1074"/>
      <c r="AU16" s="1074"/>
      <c r="AV16" s="1074"/>
      <c r="AW16" s="1074"/>
      <c r="AX16" s="1079"/>
    </row>
    <row r="17" spans="1:50" x14ac:dyDescent="0.25">
      <c r="A17" s="1083"/>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5"/>
      <c r="Z17" s="693"/>
      <c r="AA17" s="694"/>
      <c r="AB17" s="694"/>
      <c r="AC17" s="694"/>
      <c r="AD17" s="694"/>
      <c r="AE17" s="694"/>
      <c r="AF17" s="1074"/>
      <c r="AG17" s="1074"/>
      <c r="AH17" s="1074"/>
      <c r="AI17" s="1074"/>
      <c r="AJ17" s="1074"/>
      <c r="AK17" s="1074"/>
      <c r="AL17" s="1074"/>
      <c r="AM17" s="1074"/>
      <c r="AN17" s="1074"/>
      <c r="AO17" s="1074"/>
      <c r="AP17" s="1074"/>
      <c r="AQ17" s="1074"/>
      <c r="AR17" s="1074"/>
      <c r="AS17" s="1074"/>
      <c r="AT17" s="1074"/>
      <c r="AU17" s="1074"/>
      <c r="AV17" s="1074"/>
      <c r="AW17" s="1074"/>
      <c r="AX17" s="1079"/>
    </row>
    <row r="18" spans="1:50" x14ac:dyDescent="0.25">
      <c r="A18" s="1083"/>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5"/>
      <c r="Z18" s="693"/>
      <c r="AA18" s="694"/>
      <c r="AB18" s="694"/>
      <c r="AC18" s="694"/>
      <c r="AD18" s="694"/>
      <c r="AE18" s="694"/>
      <c r="AF18" s="1074"/>
      <c r="AG18" s="1074"/>
      <c r="AH18" s="1074"/>
      <c r="AI18" s="1074"/>
      <c r="AJ18" s="1074"/>
      <c r="AK18" s="1074"/>
      <c r="AL18" s="1074"/>
      <c r="AM18" s="1074"/>
      <c r="AN18" s="1074"/>
      <c r="AO18" s="1074"/>
      <c r="AP18" s="1074"/>
      <c r="AQ18" s="1074"/>
      <c r="AR18" s="1074"/>
      <c r="AS18" s="1074"/>
      <c r="AT18" s="1074"/>
      <c r="AU18" s="1074"/>
      <c r="AV18" s="1074"/>
      <c r="AW18" s="1074"/>
      <c r="AX18" s="1079"/>
    </row>
    <row r="19" spans="1:50" x14ac:dyDescent="0.25">
      <c r="A19" s="1083"/>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5"/>
      <c r="Z19" s="693"/>
      <c r="AA19" s="694"/>
      <c r="AB19" s="694"/>
      <c r="AC19" s="694"/>
      <c r="AD19" s="694"/>
      <c r="AE19" s="694"/>
      <c r="AF19" s="1074"/>
      <c r="AG19" s="1074"/>
      <c r="AH19" s="1074"/>
      <c r="AI19" s="1074"/>
      <c r="AJ19" s="1074"/>
      <c r="AK19" s="1074"/>
      <c r="AL19" s="1074"/>
      <c r="AM19" s="1074"/>
      <c r="AN19" s="1074"/>
      <c r="AO19" s="1074"/>
      <c r="AP19" s="1074"/>
      <c r="AQ19" s="1074"/>
      <c r="AR19" s="1074"/>
      <c r="AS19" s="1074"/>
      <c r="AT19" s="1074"/>
      <c r="AU19" s="1074"/>
      <c r="AV19" s="1074"/>
      <c r="AW19" s="1074"/>
      <c r="AX19" s="1079"/>
    </row>
    <row r="20" spans="1:50" x14ac:dyDescent="0.25">
      <c r="A20" s="1083"/>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5"/>
      <c r="Z20" s="693"/>
      <c r="AA20" s="694"/>
      <c r="AB20" s="694"/>
      <c r="AC20" s="694"/>
      <c r="AD20" s="694"/>
      <c r="AE20" s="694"/>
      <c r="AF20" s="1074"/>
      <c r="AG20" s="1074"/>
      <c r="AH20" s="1074"/>
      <c r="AI20" s="1074"/>
      <c r="AJ20" s="1074"/>
      <c r="AK20" s="1074"/>
      <c r="AL20" s="1074"/>
      <c r="AM20" s="1074"/>
      <c r="AN20" s="1074"/>
      <c r="AO20" s="1074"/>
      <c r="AP20" s="1074"/>
      <c r="AQ20" s="1074"/>
      <c r="AR20" s="1074"/>
      <c r="AS20" s="1074"/>
      <c r="AT20" s="1074"/>
      <c r="AU20" s="1074"/>
      <c r="AV20" s="1074"/>
      <c r="AW20" s="1074"/>
      <c r="AX20" s="1079"/>
    </row>
    <row r="21" spans="1:50" x14ac:dyDescent="0.25">
      <c r="A21" s="1083"/>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5"/>
      <c r="Z21" s="693"/>
      <c r="AA21" s="694"/>
      <c r="AB21" s="694"/>
      <c r="AC21" s="694"/>
      <c r="AD21" s="694"/>
      <c r="AE21" s="694"/>
      <c r="AF21" s="1074"/>
      <c r="AG21" s="1074"/>
      <c r="AH21" s="1074"/>
      <c r="AI21" s="1074"/>
      <c r="AJ21" s="1074"/>
      <c r="AK21" s="1074"/>
      <c r="AL21" s="1074"/>
      <c r="AM21" s="1074"/>
      <c r="AN21" s="1074"/>
      <c r="AO21" s="1074"/>
      <c r="AP21" s="1074"/>
      <c r="AQ21" s="1074"/>
      <c r="AR21" s="1074"/>
      <c r="AS21" s="1074"/>
      <c r="AT21" s="1074"/>
      <c r="AU21" s="1074"/>
      <c r="AV21" s="1074"/>
      <c r="AW21" s="1074"/>
      <c r="AX21" s="1079"/>
    </row>
    <row r="22" spans="1:50" x14ac:dyDescent="0.25">
      <c r="A22" s="1083"/>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5"/>
      <c r="Z22" s="693"/>
      <c r="AA22" s="694"/>
      <c r="AB22" s="694"/>
      <c r="AC22" s="694"/>
      <c r="AD22" s="694"/>
      <c r="AE22" s="694"/>
      <c r="AF22" s="1074"/>
      <c r="AG22" s="1074"/>
      <c r="AH22" s="1074"/>
      <c r="AI22" s="1074"/>
      <c r="AJ22" s="1074"/>
      <c r="AK22" s="1074"/>
      <c r="AL22" s="1074"/>
      <c r="AM22" s="1074"/>
      <c r="AN22" s="1074"/>
      <c r="AO22" s="1074"/>
      <c r="AP22" s="1074"/>
      <c r="AQ22" s="1074"/>
      <c r="AR22" s="1074"/>
      <c r="AS22" s="1074"/>
      <c r="AT22" s="1074"/>
      <c r="AU22" s="1074"/>
      <c r="AV22" s="1074"/>
      <c r="AW22" s="1074"/>
      <c r="AX22" s="1079"/>
    </row>
    <row r="23" spans="1:50" x14ac:dyDescent="0.25">
      <c r="A23" s="1083"/>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5"/>
      <c r="Z23" s="693"/>
      <c r="AA23" s="694"/>
      <c r="AB23" s="694"/>
      <c r="AC23" s="694"/>
      <c r="AD23" s="694"/>
      <c r="AE23" s="694"/>
      <c r="AF23" s="1074"/>
      <c r="AG23" s="1074"/>
      <c r="AH23" s="1074"/>
      <c r="AI23" s="1074"/>
      <c r="AJ23" s="1074"/>
      <c r="AK23" s="1074"/>
      <c r="AL23" s="1074"/>
      <c r="AM23" s="1074"/>
      <c r="AN23" s="1074"/>
      <c r="AO23" s="1074"/>
      <c r="AP23" s="1074"/>
      <c r="AQ23" s="1074"/>
      <c r="AR23" s="1074"/>
      <c r="AS23" s="1074"/>
      <c r="AT23" s="1074"/>
      <c r="AU23" s="1074"/>
      <c r="AV23" s="1074"/>
      <c r="AW23" s="1074"/>
      <c r="AX23" s="1079"/>
    </row>
    <row r="24" spans="1:50" ht="15.75" thickBot="1" x14ac:dyDescent="0.3">
      <c r="A24" s="1086"/>
      <c r="B24" s="1087"/>
      <c r="C24" s="1087"/>
      <c r="D24" s="1087"/>
      <c r="E24" s="1087"/>
      <c r="F24" s="1087"/>
      <c r="G24" s="1087"/>
      <c r="H24" s="1087"/>
      <c r="I24" s="1087"/>
      <c r="J24" s="1087"/>
      <c r="K24" s="1087"/>
      <c r="L24" s="1087"/>
      <c r="M24" s="1087"/>
      <c r="N24" s="1087"/>
      <c r="O24" s="1087"/>
      <c r="P24" s="1087"/>
      <c r="Q24" s="1087"/>
      <c r="R24" s="1087"/>
      <c r="S24" s="1087"/>
      <c r="T24" s="1087"/>
      <c r="U24" s="1087"/>
      <c r="V24" s="1087"/>
      <c r="W24" s="1087"/>
      <c r="X24" s="1087"/>
      <c r="Y24" s="1088"/>
      <c r="Z24" s="693"/>
      <c r="AA24" s="694"/>
      <c r="AB24" s="694"/>
      <c r="AC24" s="694"/>
      <c r="AD24" s="694"/>
      <c r="AE24" s="694"/>
      <c r="AF24" s="1074"/>
      <c r="AG24" s="1074"/>
      <c r="AH24" s="1074"/>
      <c r="AI24" s="1074"/>
      <c r="AJ24" s="1074"/>
      <c r="AK24" s="1074"/>
      <c r="AL24" s="1074"/>
      <c r="AM24" s="1074"/>
      <c r="AN24" s="1074"/>
      <c r="AO24" s="1074"/>
      <c r="AP24" s="1074"/>
      <c r="AQ24" s="1074"/>
      <c r="AR24" s="1074"/>
      <c r="AS24" s="1074"/>
      <c r="AT24" s="1074"/>
      <c r="AU24" s="1074"/>
      <c r="AV24" s="1074"/>
      <c r="AW24" s="1074"/>
      <c r="AX24" s="1079"/>
    </row>
    <row r="25" spans="1:50" x14ac:dyDescent="0.25">
      <c r="A25" s="742" t="s">
        <v>0</v>
      </c>
      <c r="B25" s="743"/>
      <c r="C25" s="743"/>
      <c r="D25" s="790"/>
      <c r="E25" s="790"/>
      <c r="F25" s="790"/>
      <c r="G25" s="790"/>
      <c r="H25" s="790"/>
      <c r="I25" s="790"/>
      <c r="J25" s="790"/>
      <c r="K25" s="790"/>
      <c r="L25" s="790"/>
      <c r="M25" s="743" t="s">
        <v>75</v>
      </c>
      <c r="N25" s="743"/>
      <c r="O25" s="743"/>
      <c r="P25" s="790"/>
      <c r="Q25" s="790"/>
      <c r="R25" s="790"/>
      <c r="S25" s="790"/>
      <c r="T25" s="790"/>
      <c r="U25" s="790"/>
      <c r="V25" s="790"/>
      <c r="W25" s="790"/>
      <c r="X25" s="790"/>
      <c r="Y25" s="791"/>
      <c r="Z25" s="693"/>
      <c r="AA25" s="694"/>
      <c r="AB25" s="694"/>
      <c r="AC25" s="694"/>
      <c r="AD25" s="694"/>
      <c r="AE25" s="694"/>
      <c r="AF25" s="1074"/>
      <c r="AG25" s="1074"/>
      <c r="AH25" s="1074"/>
      <c r="AI25" s="1074"/>
      <c r="AJ25" s="1074"/>
      <c r="AK25" s="1074"/>
      <c r="AL25" s="1074"/>
      <c r="AM25" s="1074"/>
      <c r="AN25" s="1074"/>
      <c r="AO25" s="1074"/>
      <c r="AP25" s="1074"/>
      <c r="AQ25" s="1074"/>
      <c r="AR25" s="1074"/>
      <c r="AS25" s="1074"/>
      <c r="AT25" s="1074"/>
      <c r="AU25" s="1074"/>
      <c r="AV25" s="1074"/>
      <c r="AW25" s="1074"/>
      <c r="AX25" s="1079"/>
    </row>
    <row r="26" spans="1:50" x14ac:dyDescent="0.25">
      <c r="A26" s="1080"/>
      <c r="B26" s="1081"/>
      <c r="C26" s="1081"/>
      <c r="D26" s="1081"/>
      <c r="E26" s="1081"/>
      <c r="F26" s="1081"/>
      <c r="G26" s="1081"/>
      <c r="H26" s="1081"/>
      <c r="I26" s="1081"/>
      <c r="J26" s="1081"/>
      <c r="K26" s="1081"/>
      <c r="L26" s="1081"/>
      <c r="M26" s="1081"/>
      <c r="N26" s="1081"/>
      <c r="O26" s="1081"/>
      <c r="P26" s="1081"/>
      <c r="Q26" s="1081"/>
      <c r="R26" s="1081"/>
      <c r="S26" s="1081"/>
      <c r="T26" s="1081"/>
      <c r="U26" s="1081"/>
      <c r="V26" s="1081"/>
      <c r="W26" s="1081"/>
      <c r="X26" s="1081"/>
      <c r="Y26" s="1082"/>
      <c r="Z26" s="693"/>
      <c r="AA26" s="694"/>
      <c r="AB26" s="694"/>
      <c r="AC26" s="694"/>
      <c r="AD26" s="694"/>
      <c r="AE26" s="694"/>
      <c r="AF26" s="1074"/>
      <c r="AG26" s="1074"/>
      <c r="AH26" s="1074"/>
      <c r="AI26" s="1074"/>
      <c r="AJ26" s="1074"/>
      <c r="AK26" s="1074"/>
      <c r="AL26" s="1074"/>
      <c r="AM26" s="1074"/>
      <c r="AN26" s="1074"/>
      <c r="AO26" s="1074"/>
      <c r="AP26" s="1074"/>
      <c r="AQ26" s="1074"/>
      <c r="AR26" s="1074"/>
      <c r="AS26" s="1074"/>
      <c r="AT26" s="1074"/>
      <c r="AU26" s="1074"/>
      <c r="AV26" s="1074"/>
      <c r="AW26" s="1074"/>
      <c r="AX26" s="1079"/>
    </row>
    <row r="27" spans="1:50" x14ac:dyDescent="0.25">
      <c r="A27" s="1083"/>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5"/>
      <c r="Z27" s="693"/>
      <c r="AA27" s="694"/>
      <c r="AB27" s="694"/>
      <c r="AC27" s="694"/>
      <c r="AD27" s="694"/>
      <c r="AE27" s="694"/>
      <c r="AF27" s="1074"/>
      <c r="AG27" s="1074"/>
      <c r="AH27" s="1074"/>
      <c r="AI27" s="1074"/>
      <c r="AJ27" s="1074"/>
      <c r="AK27" s="1074"/>
      <c r="AL27" s="1074"/>
      <c r="AM27" s="1074"/>
      <c r="AN27" s="1074"/>
      <c r="AO27" s="1074"/>
      <c r="AP27" s="1074"/>
      <c r="AQ27" s="1074"/>
      <c r="AR27" s="1074"/>
      <c r="AS27" s="1074"/>
      <c r="AT27" s="1074"/>
      <c r="AU27" s="1074"/>
      <c r="AV27" s="1074"/>
      <c r="AW27" s="1074"/>
      <c r="AX27" s="1079"/>
    </row>
    <row r="28" spans="1:50" x14ac:dyDescent="0.25">
      <c r="A28" s="1083"/>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5"/>
      <c r="Z28" s="693"/>
      <c r="AA28" s="694"/>
      <c r="AB28" s="694"/>
      <c r="AC28" s="694"/>
      <c r="AD28" s="694"/>
      <c r="AE28" s="694"/>
      <c r="AF28" s="1074"/>
      <c r="AG28" s="1074"/>
      <c r="AH28" s="1074"/>
      <c r="AI28" s="1074"/>
      <c r="AJ28" s="1074"/>
      <c r="AK28" s="1074"/>
      <c r="AL28" s="1074"/>
      <c r="AM28" s="1074"/>
      <c r="AN28" s="1074"/>
      <c r="AO28" s="1074"/>
      <c r="AP28" s="1074"/>
      <c r="AQ28" s="1074"/>
      <c r="AR28" s="1074"/>
      <c r="AS28" s="1074"/>
      <c r="AT28" s="1074"/>
      <c r="AU28" s="1074"/>
      <c r="AV28" s="1074"/>
      <c r="AW28" s="1074"/>
      <c r="AX28" s="1079"/>
    </row>
    <row r="29" spans="1:50" x14ac:dyDescent="0.25">
      <c r="A29" s="1083"/>
      <c r="B29" s="1084"/>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5"/>
      <c r="Z29" s="693"/>
      <c r="AA29" s="694"/>
      <c r="AB29" s="694"/>
      <c r="AC29" s="694"/>
      <c r="AD29" s="694"/>
      <c r="AE29" s="694"/>
      <c r="AF29" s="1074"/>
      <c r="AG29" s="1074"/>
      <c r="AH29" s="1074"/>
      <c r="AI29" s="1074"/>
      <c r="AJ29" s="1074"/>
      <c r="AK29" s="1074"/>
      <c r="AL29" s="1074"/>
      <c r="AM29" s="1074"/>
      <c r="AN29" s="1074"/>
      <c r="AO29" s="1074"/>
      <c r="AP29" s="1074"/>
      <c r="AQ29" s="1074"/>
      <c r="AR29" s="1074"/>
      <c r="AS29" s="1074"/>
      <c r="AT29" s="1074"/>
      <c r="AU29" s="1074"/>
      <c r="AV29" s="1074"/>
      <c r="AW29" s="1074"/>
      <c r="AX29" s="1079"/>
    </row>
    <row r="30" spans="1:50" x14ac:dyDescent="0.25">
      <c r="A30" s="1083"/>
      <c r="B30" s="1084"/>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5"/>
      <c r="Z30" s="693"/>
      <c r="AA30" s="694"/>
      <c r="AB30" s="694"/>
      <c r="AC30" s="694"/>
      <c r="AD30" s="694"/>
      <c r="AE30" s="694"/>
      <c r="AF30" s="1074"/>
      <c r="AG30" s="1074"/>
      <c r="AH30" s="1074"/>
      <c r="AI30" s="1074"/>
      <c r="AJ30" s="1074"/>
      <c r="AK30" s="1074"/>
      <c r="AL30" s="1074"/>
      <c r="AM30" s="1074"/>
      <c r="AN30" s="1074"/>
      <c r="AO30" s="1074"/>
      <c r="AP30" s="1074"/>
      <c r="AQ30" s="1074"/>
      <c r="AR30" s="1074"/>
      <c r="AS30" s="1074"/>
      <c r="AT30" s="1074"/>
      <c r="AU30" s="1074"/>
      <c r="AV30" s="1074"/>
      <c r="AW30" s="1074"/>
      <c r="AX30" s="1079"/>
    </row>
    <row r="31" spans="1:50" x14ac:dyDescent="0.25">
      <c r="A31" s="1083"/>
      <c r="B31" s="1084"/>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5"/>
      <c r="Z31" s="693"/>
      <c r="AA31" s="694"/>
      <c r="AB31" s="694"/>
      <c r="AC31" s="694"/>
      <c r="AD31" s="694"/>
      <c r="AE31" s="694"/>
      <c r="AF31" s="1074"/>
      <c r="AG31" s="1074"/>
      <c r="AH31" s="1074"/>
      <c r="AI31" s="1074"/>
      <c r="AJ31" s="1074"/>
      <c r="AK31" s="1074"/>
      <c r="AL31" s="1074"/>
      <c r="AM31" s="1074"/>
      <c r="AN31" s="1074"/>
      <c r="AO31" s="1074"/>
      <c r="AP31" s="1074"/>
      <c r="AQ31" s="1074"/>
      <c r="AR31" s="1074"/>
      <c r="AS31" s="1074"/>
      <c r="AT31" s="1074"/>
      <c r="AU31" s="1074"/>
      <c r="AV31" s="1074"/>
      <c r="AW31" s="1074"/>
      <c r="AX31" s="1079"/>
    </row>
    <row r="32" spans="1:50" x14ac:dyDescent="0.25">
      <c r="A32" s="1083"/>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5"/>
      <c r="Z32" s="693"/>
      <c r="AA32" s="694"/>
      <c r="AB32" s="694"/>
      <c r="AC32" s="694"/>
      <c r="AD32" s="694"/>
      <c r="AE32" s="694"/>
      <c r="AF32" s="1074"/>
      <c r="AG32" s="1074"/>
      <c r="AH32" s="1074"/>
      <c r="AI32" s="1074"/>
      <c r="AJ32" s="1074"/>
      <c r="AK32" s="1074"/>
      <c r="AL32" s="1074"/>
      <c r="AM32" s="1074"/>
      <c r="AN32" s="1074"/>
      <c r="AO32" s="1074"/>
      <c r="AP32" s="1074"/>
      <c r="AQ32" s="1074"/>
      <c r="AR32" s="1074"/>
      <c r="AS32" s="1074"/>
      <c r="AT32" s="1074"/>
      <c r="AU32" s="1074"/>
      <c r="AV32" s="1074"/>
      <c r="AW32" s="1074"/>
      <c r="AX32" s="1079"/>
    </row>
    <row r="33" spans="1:50" x14ac:dyDescent="0.25">
      <c r="A33" s="1083"/>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5"/>
      <c r="Z33" s="693"/>
      <c r="AA33" s="694"/>
      <c r="AB33" s="694"/>
      <c r="AC33" s="694"/>
      <c r="AD33" s="694"/>
      <c r="AE33" s="694"/>
      <c r="AF33" s="1074"/>
      <c r="AG33" s="1074"/>
      <c r="AH33" s="1074"/>
      <c r="AI33" s="1074"/>
      <c r="AJ33" s="1074"/>
      <c r="AK33" s="1074"/>
      <c r="AL33" s="1074"/>
      <c r="AM33" s="1074"/>
      <c r="AN33" s="1074"/>
      <c r="AO33" s="1074"/>
      <c r="AP33" s="1074"/>
      <c r="AQ33" s="1074"/>
      <c r="AR33" s="1074"/>
      <c r="AS33" s="1074"/>
      <c r="AT33" s="1074"/>
      <c r="AU33" s="1074"/>
      <c r="AV33" s="1074"/>
      <c r="AW33" s="1074"/>
      <c r="AX33" s="1079"/>
    </row>
    <row r="34" spans="1:50" x14ac:dyDescent="0.25">
      <c r="A34" s="1083"/>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5"/>
      <c r="Z34" s="693"/>
      <c r="AA34" s="694"/>
      <c r="AB34" s="694"/>
      <c r="AC34" s="694"/>
      <c r="AD34" s="694"/>
      <c r="AE34" s="694"/>
      <c r="AF34" s="1074"/>
      <c r="AG34" s="1074"/>
      <c r="AH34" s="1074"/>
      <c r="AI34" s="1074"/>
      <c r="AJ34" s="1074"/>
      <c r="AK34" s="1074"/>
      <c r="AL34" s="1074"/>
      <c r="AM34" s="1074"/>
      <c r="AN34" s="1074"/>
      <c r="AO34" s="1074"/>
      <c r="AP34" s="1074"/>
      <c r="AQ34" s="1074"/>
      <c r="AR34" s="1074"/>
      <c r="AS34" s="1074"/>
      <c r="AT34" s="1074"/>
      <c r="AU34" s="1074"/>
      <c r="AV34" s="1074"/>
      <c r="AW34" s="1074"/>
      <c r="AX34" s="1079"/>
    </row>
    <row r="35" spans="1:50" ht="15.75" thickBot="1" x14ac:dyDescent="0.3">
      <c r="A35" s="1086"/>
      <c r="B35" s="1087"/>
      <c r="C35" s="1087"/>
      <c r="D35" s="1087"/>
      <c r="E35" s="1087"/>
      <c r="F35" s="1087"/>
      <c r="G35" s="1087"/>
      <c r="H35" s="1087"/>
      <c r="I35" s="1087"/>
      <c r="J35" s="1087"/>
      <c r="K35" s="1087"/>
      <c r="L35" s="1087"/>
      <c r="M35" s="1087"/>
      <c r="N35" s="1087"/>
      <c r="O35" s="1087"/>
      <c r="P35" s="1087"/>
      <c r="Q35" s="1087"/>
      <c r="R35" s="1087"/>
      <c r="S35" s="1087"/>
      <c r="T35" s="1087"/>
      <c r="U35" s="1087"/>
      <c r="V35" s="1087"/>
      <c r="W35" s="1087"/>
      <c r="X35" s="1087"/>
      <c r="Y35" s="1088"/>
      <c r="Z35" s="693"/>
      <c r="AA35" s="694"/>
      <c r="AB35" s="694"/>
      <c r="AC35" s="694"/>
      <c r="AD35" s="694"/>
      <c r="AE35" s="694"/>
      <c r="AF35" s="1074"/>
      <c r="AG35" s="1074"/>
      <c r="AH35" s="1074"/>
      <c r="AI35" s="1074"/>
      <c r="AJ35" s="1074"/>
      <c r="AK35" s="1074"/>
      <c r="AL35" s="1074"/>
      <c r="AM35" s="1074"/>
      <c r="AN35" s="1074"/>
      <c r="AO35" s="1074"/>
      <c r="AP35" s="1074"/>
      <c r="AQ35" s="1074"/>
      <c r="AR35" s="1074"/>
      <c r="AS35" s="1074"/>
      <c r="AT35" s="1074"/>
      <c r="AU35" s="1074"/>
      <c r="AV35" s="1074"/>
      <c r="AW35" s="1074"/>
      <c r="AX35" s="1079"/>
    </row>
    <row r="36" spans="1:50" x14ac:dyDescent="0.25">
      <c r="A36" s="742" t="s">
        <v>0</v>
      </c>
      <c r="B36" s="743"/>
      <c r="C36" s="743"/>
      <c r="D36" s="790"/>
      <c r="E36" s="790"/>
      <c r="F36" s="790"/>
      <c r="G36" s="790"/>
      <c r="H36" s="790"/>
      <c r="I36" s="790"/>
      <c r="J36" s="790"/>
      <c r="K36" s="790"/>
      <c r="L36" s="790"/>
      <c r="M36" s="743" t="s">
        <v>75</v>
      </c>
      <c r="N36" s="743"/>
      <c r="O36" s="743"/>
      <c r="P36" s="790"/>
      <c r="Q36" s="790"/>
      <c r="R36" s="790"/>
      <c r="S36" s="790"/>
      <c r="T36" s="790"/>
      <c r="U36" s="790"/>
      <c r="V36" s="790"/>
      <c r="W36" s="790"/>
      <c r="X36" s="790"/>
      <c r="Y36" s="791"/>
      <c r="Z36" s="693"/>
      <c r="AA36" s="694"/>
      <c r="AB36" s="694"/>
      <c r="AC36" s="694"/>
      <c r="AD36" s="694"/>
      <c r="AE36" s="694"/>
      <c r="AF36" s="1074"/>
      <c r="AG36" s="1074"/>
      <c r="AH36" s="1074"/>
      <c r="AI36" s="1074"/>
      <c r="AJ36" s="1074"/>
      <c r="AK36" s="1074"/>
      <c r="AL36" s="1074"/>
      <c r="AM36" s="1074"/>
      <c r="AN36" s="1074"/>
      <c r="AO36" s="1074"/>
      <c r="AP36" s="1074"/>
      <c r="AQ36" s="1074"/>
      <c r="AR36" s="1074"/>
      <c r="AS36" s="1074"/>
      <c r="AT36" s="1074"/>
      <c r="AU36" s="1074"/>
      <c r="AV36" s="1074"/>
      <c r="AW36" s="1074"/>
      <c r="AX36" s="1079"/>
    </row>
    <row r="37" spans="1:50" x14ac:dyDescent="0.25">
      <c r="A37" s="1080"/>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c r="X37" s="1081"/>
      <c r="Y37" s="1082"/>
      <c r="Z37" s="693"/>
      <c r="AA37" s="694"/>
      <c r="AB37" s="694"/>
      <c r="AC37" s="694"/>
      <c r="AD37" s="694"/>
      <c r="AE37" s="694"/>
      <c r="AF37" s="1074"/>
      <c r="AG37" s="1074"/>
      <c r="AH37" s="1074"/>
      <c r="AI37" s="1074"/>
      <c r="AJ37" s="1074"/>
      <c r="AK37" s="1074"/>
      <c r="AL37" s="1074"/>
      <c r="AM37" s="1074"/>
      <c r="AN37" s="1074"/>
      <c r="AO37" s="1074"/>
      <c r="AP37" s="1074"/>
      <c r="AQ37" s="1074"/>
      <c r="AR37" s="1074"/>
      <c r="AS37" s="1074"/>
      <c r="AT37" s="1074"/>
      <c r="AU37" s="1074"/>
      <c r="AV37" s="1074"/>
      <c r="AW37" s="1074"/>
      <c r="AX37" s="1079"/>
    </row>
    <row r="38" spans="1:50" x14ac:dyDescent="0.25">
      <c r="A38" s="1083"/>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5"/>
      <c r="Z38" s="693"/>
      <c r="AA38" s="694"/>
      <c r="AB38" s="694"/>
      <c r="AC38" s="694"/>
      <c r="AD38" s="694"/>
      <c r="AE38" s="694"/>
      <c r="AF38" s="1074"/>
      <c r="AG38" s="1074"/>
      <c r="AH38" s="1074"/>
      <c r="AI38" s="1074"/>
      <c r="AJ38" s="1074"/>
      <c r="AK38" s="1074"/>
      <c r="AL38" s="1074"/>
      <c r="AM38" s="1074"/>
      <c r="AN38" s="1074"/>
      <c r="AO38" s="1074"/>
      <c r="AP38" s="1074"/>
      <c r="AQ38" s="1074"/>
      <c r="AR38" s="1074"/>
      <c r="AS38" s="1074"/>
      <c r="AT38" s="1074"/>
      <c r="AU38" s="1074"/>
      <c r="AV38" s="1074"/>
      <c r="AW38" s="1074"/>
      <c r="AX38" s="1079"/>
    </row>
    <row r="39" spans="1:50" x14ac:dyDescent="0.25">
      <c r="A39" s="1083"/>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5"/>
      <c r="Z39" s="693"/>
      <c r="AA39" s="694"/>
      <c r="AB39" s="694"/>
      <c r="AC39" s="694"/>
      <c r="AD39" s="694"/>
      <c r="AE39" s="694"/>
      <c r="AF39" s="1074"/>
      <c r="AG39" s="1074"/>
      <c r="AH39" s="1074"/>
      <c r="AI39" s="1074"/>
      <c r="AJ39" s="1074"/>
      <c r="AK39" s="1074"/>
      <c r="AL39" s="1074"/>
      <c r="AM39" s="1074"/>
      <c r="AN39" s="1074"/>
      <c r="AO39" s="1074"/>
      <c r="AP39" s="1074"/>
      <c r="AQ39" s="1074"/>
      <c r="AR39" s="1074"/>
      <c r="AS39" s="1074"/>
      <c r="AT39" s="1074"/>
      <c r="AU39" s="1074"/>
      <c r="AV39" s="1074"/>
      <c r="AW39" s="1074"/>
      <c r="AX39" s="1079"/>
    </row>
    <row r="40" spans="1:50" x14ac:dyDescent="0.25">
      <c r="A40" s="1083"/>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5"/>
      <c r="Z40" s="693"/>
      <c r="AA40" s="694"/>
      <c r="AB40" s="694"/>
      <c r="AC40" s="694"/>
      <c r="AD40" s="694"/>
      <c r="AE40" s="694"/>
      <c r="AF40" s="1074"/>
      <c r="AG40" s="1074"/>
      <c r="AH40" s="1074"/>
      <c r="AI40" s="1074"/>
      <c r="AJ40" s="1074"/>
      <c r="AK40" s="1074"/>
      <c r="AL40" s="1074"/>
      <c r="AM40" s="1074"/>
      <c r="AN40" s="1074"/>
      <c r="AO40" s="1074"/>
      <c r="AP40" s="1074"/>
      <c r="AQ40" s="1074"/>
      <c r="AR40" s="1074"/>
      <c r="AS40" s="1074"/>
      <c r="AT40" s="1074"/>
      <c r="AU40" s="1074"/>
      <c r="AV40" s="1074"/>
      <c r="AW40" s="1074"/>
      <c r="AX40" s="1079"/>
    </row>
    <row r="41" spans="1:50" x14ac:dyDescent="0.25">
      <c r="A41" s="1083"/>
      <c r="B41" s="1084"/>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4"/>
      <c r="Y41" s="1085"/>
      <c r="Z41" s="693"/>
      <c r="AA41" s="694"/>
      <c r="AB41" s="694"/>
      <c r="AC41" s="694"/>
      <c r="AD41" s="694"/>
      <c r="AE41" s="694"/>
      <c r="AF41" s="1074"/>
      <c r="AG41" s="1074"/>
      <c r="AH41" s="1074"/>
      <c r="AI41" s="1074"/>
      <c r="AJ41" s="1074"/>
      <c r="AK41" s="1074"/>
      <c r="AL41" s="1074"/>
      <c r="AM41" s="1074"/>
      <c r="AN41" s="1074"/>
      <c r="AO41" s="1074"/>
      <c r="AP41" s="1074"/>
      <c r="AQ41" s="1074"/>
      <c r="AR41" s="1074"/>
      <c r="AS41" s="1074"/>
      <c r="AT41" s="1074"/>
      <c r="AU41" s="1074"/>
      <c r="AV41" s="1074"/>
      <c r="AW41" s="1074"/>
      <c r="AX41" s="1079"/>
    </row>
    <row r="42" spans="1:50" x14ac:dyDescent="0.25">
      <c r="A42" s="1083"/>
      <c r="B42" s="1084"/>
      <c r="C42" s="1084"/>
      <c r="D42" s="1084"/>
      <c r="E42" s="1084"/>
      <c r="F42" s="1084"/>
      <c r="G42" s="1084"/>
      <c r="H42" s="1084"/>
      <c r="I42" s="1084"/>
      <c r="J42" s="1084"/>
      <c r="K42" s="1084"/>
      <c r="L42" s="1084"/>
      <c r="M42" s="1084"/>
      <c r="N42" s="1084"/>
      <c r="O42" s="1084"/>
      <c r="P42" s="1084"/>
      <c r="Q42" s="1084"/>
      <c r="R42" s="1084"/>
      <c r="S42" s="1084"/>
      <c r="T42" s="1084"/>
      <c r="U42" s="1084"/>
      <c r="V42" s="1084"/>
      <c r="W42" s="1084"/>
      <c r="X42" s="1084"/>
      <c r="Y42" s="1085"/>
      <c r="Z42" s="693"/>
      <c r="AA42" s="694"/>
      <c r="AB42" s="694"/>
      <c r="AC42" s="694"/>
      <c r="AD42" s="694"/>
      <c r="AE42" s="694"/>
      <c r="AF42" s="1074"/>
      <c r="AG42" s="1074"/>
      <c r="AH42" s="1074"/>
      <c r="AI42" s="1074"/>
      <c r="AJ42" s="1074"/>
      <c r="AK42" s="1074"/>
      <c r="AL42" s="1074"/>
      <c r="AM42" s="1074"/>
      <c r="AN42" s="1074"/>
      <c r="AO42" s="1074"/>
      <c r="AP42" s="1074"/>
      <c r="AQ42" s="1074"/>
      <c r="AR42" s="1074"/>
      <c r="AS42" s="1074"/>
      <c r="AT42" s="1074"/>
      <c r="AU42" s="1074"/>
      <c r="AV42" s="1074"/>
      <c r="AW42" s="1074"/>
      <c r="AX42" s="1079"/>
    </row>
    <row r="43" spans="1:50" x14ac:dyDescent="0.25">
      <c r="A43" s="1083"/>
      <c r="B43" s="1084"/>
      <c r="C43" s="1084"/>
      <c r="D43" s="1084"/>
      <c r="E43" s="1084"/>
      <c r="F43" s="1084"/>
      <c r="G43" s="1084"/>
      <c r="H43" s="1084"/>
      <c r="I43" s="1084"/>
      <c r="J43" s="1084"/>
      <c r="K43" s="1084"/>
      <c r="L43" s="1084"/>
      <c r="M43" s="1084"/>
      <c r="N43" s="1084"/>
      <c r="O43" s="1084"/>
      <c r="P43" s="1084"/>
      <c r="Q43" s="1084"/>
      <c r="R43" s="1084"/>
      <c r="S43" s="1084"/>
      <c r="T43" s="1084"/>
      <c r="U43" s="1084"/>
      <c r="V43" s="1084"/>
      <c r="W43" s="1084"/>
      <c r="X43" s="1084"/>
      <c r="Y43" s="1085"/>
      <c r="Z43" s="693"/>
      <c r="AA43" s="694"/>
      <c r="AB43" s="694"/>
      <c r="AC43" s="694"/>
      <c r="AD43" s="694"/>
      <c r="AE43" s="694"/>
      <c r="AF43" s="1074"/>
      <c r="AG43" s="1074"/>
      <c r="AH43" s="1074"/>
      <c r="AI43" s="1074"/>
      <c r="AJ43" s="1074"/>
      <c r="AK43" s="1074"/>
      <c r="AL43" s="1074"/>
      <c r="AM43" s="1074"/>
      <c r="AN43" s="1074"/>
      <c r="AO43" s="1074"/>
      <c r="AP43" s="1074"/>
      <c r="AQ43" s="1074"/>
      <c r="AR43" s="1074"/>
      <c r="AS43" s="1074"/>
      <c r="AT43" s="1074"/>
      <c r="AU43" s="1074"/>
      <c r="AV43" s="1074"/>
      <c r="AW43" s="1074"/>
      <c r="AX43" s="1079"/>
    </row>
    <row r="44" spans="1:50" x14ac:dyDescent="0.25">
      <c r="A44" s="1083"/>
      <c r="B44" s="1084"/>
      <c r="C44" s="1084"/>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5"/>
      <c r="Z44" s="693"/>
      <c r="AA44" s="694"/>
      <c r="AB44" s="694"/>
      <c r="AC44" s="694"/>
      <c r="AD44" s="694"/>
      <c r="AE44" s="694"/>
      <c r="AF44" s="1074"/>
      <c r="AG44" s="1074"/>
      <c r="AH44" s="1074"/>
      <c r="AI44" s="1074"/>
      <c r="AJ44" s="1074"/>
      <c r="AK44" s="1074"/>
      <c r="AL44" s="1074"/>
      <c r="AM44" s="1074"/>
      <c r="AN44" s="1074"/>
      <c r="AO44" s="1074"/>
      <c r="AP44" s="1074"/>
      <c r="AQ44" s="1074"/>
      <c r="AR44" s="1074"/>
      <c r="AS44" s="1074"/>
      <c r="AT44" s="1074"/>
      <c r="AU44" s="1074"/>
      <c r="AV44" s="1074"/>
      <c r="AW44" s="1074"/>
      <c r="AX44" s="1079"/>
    </row>
    <row r="45" spans="1:50" x14ac:dyDescent="0.25">
      <c r="A45" s="1083"/>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5"/>
      <c r="Z45" s="693"/>
      <c r="AA45" s="694"/>
      <c r="AB45" s="694"/>
      <c r="AC45" s="694"/>
      <c r="AD45" s="694"/>
      <c r="AE45" s="694"/>
      <c r="AF45" s="1074"/>
      <c r="AG45" s="1074"/>
      <c r="AH45" s="1074"/>
      <c r="AI45" s="1074"/>
      <c r="AJ45" s="1074"/>
      <c r="AK45" s="1074"/>
      <c r="AL45" s="1074"/>
      <c r="AM45" s="1074"/>
      <c r="AN45" s="1074"/>
      <c r="AO45" s="1074"/>
      <c r="AP45" s="1074"/>
      <c r="AQ45" s="1074"/>
      <c r="AR45" s="1074"/>
      <c r="AS45" s="1074"/>
      <c r="AT45" s="1074"/>
      <c r="AU45" s="1074"/>
      <c r="AV45" s="1074"/>
      <c r="AW45" s="1074"/>
      <c r="AX45" s="1079"/>
    </row>
    <row r="46" spans="1:50" x14ac:dyDescent="0.25">
      <c r="A46" s="1083"/>
      <c r="B46" s="1084"/>
      <c r="C46" s="1084"/>
      <c r="D46" s="1084"/>
      <c r="E46" s="1084"/>
      <c r="F46" s="1084"/>
      <c r="G46" s="1084"/>
      <c r="H46" s="1084"/>
      <c r="I46" s="1084"/>
      <c r="J46" s="1084"/>
      <c r="K46" s="1084"/>
      <c r="L46" s="1084"/>
      <c r="M46" s="1084"/>
      <c r="N46" s="1084"/>
      <c r="O46" s="1084"/>
      <c r="P46" s="1084"/>
      <c r="Q46" s="1084"/>
      <c r="R46" s="1084"/>
      <c r="S46" s="1084"/>
      <c r="T46" s="1084"/>
      <c r="U46" s="1084"/>
      <c r="V46" s="1084"/>
      <c r="W46" s="1084"/>
      <c r="X46" s="1084"/>
      <c r="Y46" s="1085"/>
      <c r="Z46" s="693"/>
      <c r="AA46" s="694"/>
      <c r="AB46" s="694"/>
      <c r="AC46" s="694"/>
      <c r="AD46" s="694"/>
      <c r="AE46" s="694"/>
      <c r="AF46" s="1074"/>
      <c r="AG46" s="1074"/>
      <c r="AH46" s="1074"/>
      <c r="AI46" s="1074"/>
      <c r="AJ46" s="1074"/>
      <c r="AK46" s="1074"/>
      <c r="AL46" s="1074"/>
      <c r="AM46" s="1074"/>
      <c r="AN46" s="1074"/>
      <c r="AO46" s="1074"/>
      <c r="AP46" s="1074"/>
      <c r="AQ46" s="1074"/>
      <c r="AR46" s="1074"/>
      <c r="AS46" s="1074"/>
      <c r="AT46" s="1074"/>
      <c r="AU46" s="1074"/>
      <c r="AV46" s="1074"/>
      <c r="AW46" s="1074"/>
      <c r="AX46" s="1079"/>
    </row>
    <row r="47" spans="1:50" ht="15.75" thickBot="1" x14ac:dyDescent="0.3">
      <c r="A47" s="1089"/>
      <c r="B47" s="1090"/>
      <c r="C47" s="1090"/>
      <c r="D47" s="1090"/>
      <c r="E47" s="1090"/>
      <c r="F47" s="1090"/>
      <c r="G47" s="1090"/>
      <c r="H47" s="1090"/>
      <c r="I47" s="1090"/>
      <c r="J47" s="1090"/>
      <c r="K47" s="1090"/>
      <c r="L47" s="1090"/>
      <c r="M47" s="1090"/>
      <c r="N47" s="1090"/>
      <c r="O47" s="1090"/>
      <c r="P47" s="1090"/>
      <c r="Q47" s="1090"/>
      <c r="R47" s="1090"/>
      <c r="S47" s="1090"/>
      <c r="T47" s="1090"/>
      <c r="U47" s="1090"/>
      <c r="V47" s="1090"/>
      <c r="W47" s="1090"/>
      <c r="X47" s="1090"/>
      <c r="Y47" s="1091"/>
      <c r="Z47" s="693"/>
      <c r="AA47" s="694"/>
      <c r="AB47" s="694"/>
      <c r="AC47" s="694"/>
      <c r="AD47" s="694"/>
      <c r="AE47" s="694"/>
      <c r="AF47" s="1074"/>
      <c r="AG47" s="1074"/>
      <c r="AH47" s="1074"/>
      <c r="AI47" s="1074"/>
      <c r="AJ47" s="1074"/>
      <c r="AK47" s="1074"/>
      <c r="AL47" s="1074"/>
      <c r="AM47" s="1074"/>
      <c r="AN47" s="1074"/>
      <c r="AO47" s="1074"/>
      <c r="AP47" s="1074"/>
      <c r="AQ47" s="1074"/>
      <c r="AR47" s="1074"/>
      <c r="AS47" s="1074"/>
      <c r="AT47" s="1074"/>
      <c r="AU47" s="1074"/>
      <c r="AV47" s="1074"/>
      <c r="AW47" s="1074"/>
      <c r="AX47" s="1079"/>
    </row>
    <row r="48" spans="1:50" x14ac:dyDescent="0.25">
      <c r="A48" s="829" t="s">
        <v>2059</v>
      </c>
      <c r="B48" s="820"/>
      <c r="C48" s="820"/>
      <c r="D48" s="820"/>
      <c r="E48" s="820"/>
      <c r="F48" s="820"/>
      <c r="G48" s="820"/>
      <c r="H48" s="820"/>
      <c r="I48" s="820"/>
      <c r="J48" s="820"/>
      <c r="K48" s="820"/>
      <c r="L48" s="820"/>
      <c r="M48" s="820"/>
      <c r="N48" s="820"/>
      <c r="O48" s="820"/>
      <c r="P48" s="820"/>
      <c r="Q48" s="820"/>
      <c r="R48" s="820"/>
      <c r="S48" s="820"/>
      <c r="T48" s="820"/>
      <c r="U48" s="820"/>
      <c r="V48" s="820"/>
      <c r="W48" s="820"/>
      <c r="X48" s="820"/>
      <c r="Y48" s="821"/>
      <c r="Z48" s="829" t="s">
        <v>2072</v>
      </c>
      <c r="AA48" s="820"/>
      <c r="AB48" s="820"/>
      <c r="AC48" s="820"/>
      <c r="AD48" s="820"/>
      <c r="AE48" s="820"/>
      <c r="AF48" s="820"/>
      <c r="AG48" s="820"/>
      <c r="AH48" s="820"/>
      <c r="AI48" s="820"/>
      <c r="AJ48" s="820"/>
      <c r="AK48" s="820"/>
      <c r="AL48" s="820"/>
      <c r="AM48" s="820"/>
      <c r="AN48" s="820"/>
      <c r="AO48" s="820"/>
      <c r="AP48" s="820"/>
      <c r="AQ48" s="820"/>
      <c r="AR48" s="820"/>
      <c r="AS48" s="820"/>
      <c r="AT48" s="820"/>
      <c r="AU48" s="820"/>
      <c r="AV48" s="820"/>
      <c r="AW48" s="820"/>
      <c r="AX48" s="821"/>
    </row>
    <row r="49" spans="1:50" ht="15.75" thickBot="1" x14ac:dyDescent="0.3">
      <c r="A49" s="890"/>
      <c r="B49" s="823"/>
      <c r="C49" s="823"/>
      <c r="D49" s="823"/>
      <c r="E49" s="823"/>
      <c r="F49" s="823"/>
      <c r="G49" s="823"/>
      <c r="H49" s="823"/>
      <c r="I49" s="823"/>
      <c r="J49" s="823"/>
      <c r="K49" s="823"/>
      <c r="L49" s="823"/>
      <c r="M49" s="823"/>
      <c r="N49" s="823"/>
      <c r="O49" s="823"/>
      <c r="P49" s="823"/>
      <c r="Q49" s="823"/>
      <c r="R49" s="823"/>
      <c r="S49" s="823"/>
      <c r="T49" s="823"/>
      <c r="U49" s="823"/>
      <c r="V49" s="823"/>
      <c r="W49" s="823"/>
      <c r="X49" s="823"/>
      <c r="Y49" s="824"/>
      <c r="Z49" s="1076"/>
      <c r="AA49" s="1077"/>
      <c r="AB49" s="1077"/>
      <c r="AC49" s="1077"/>
      <c r="AD49" s="1077"/>
      <c r="AE49" s="1077"/>
      <c r="AF49" s="1077"/>
      <c r="AG49" s="1077"/>
      <c r="AH49" s="1077"/>
      <c r="AI49" s="1077"/>
      <c r="AJ49" s="1077"/>
      <c r="AK49" s="1077"/>
      <c r="AL49" s="1077"/>
      <c r="AM49" s="1077"/>
      <c r="AN49" s="1077"/>
      <c r="AO49" s="1077"/>
      <c r="AP49" s="1077"/>
      <c r="AQ49" s="1077"/>
      <c r="AR49" s="1077"/>
      <c r="AS49" s="1077"/>
      <c r="AT49" s="1077"/>
      <c r="AU49" s="1077"/>
      <c r="AV49" s="1077"/>
      <c r="AW49" s="1077"/>
      <c r="AX49" s="1078"/>
    </row>
    <row r="50" spans="1:50" x14ac:dyDescent="0.25">
      <c r="A50" s="742" t="s">
        <v>0</v>
      </c>
      <c r="B50" s="743"/>
      <c r="C50" s="743"/>
      <c r="D50" s="790"/>
      <c r="E50" s="790"/>
      <c r="F50" s="790"/>
      <c r="G50" s="790"/>
      <c r="H50" s="790"/>
      <c r="I50" s="790"/>
      <c r="J50" s="790"/>
      <c r="K50" s="790"/>
      <c r="L50" s="790"/>
      <c r="M50" s="743" t="s">
        <v>75</v>
      </c>
      <c r="N50" s="743"/>
      <c r="O50" s="743"/>
      <c r="P50" s="790"/>
      <c r="Q50" s="790"/>
      <c r="R50" s="790"/>
      <c r="S50" s="790"/>
      <c r="T50" s="790"/>
      <c r="U50" s="790"/>
      <c r="V50" s="790"/>
      <c r="W50" s="790"/>
      <c r="X50" s="790"/>
      <c r="Y50" s="791"/>
      <c r="Z50" s="690" t="s">
        <v>77</v>
      </c>
      <c r="AA50" s="691"/>
      <c r="AB50" s="691"/>
      <c r="AC50" s="691"/>
      <c r="AD50" s="691"/>
      <c r="AE50" s="691"/>
      <c r="AF50" s="691" t="s">
        <v>10</v>
      </c>
      <c r="AG50" s="691"/>
      <c r="AH50" s="691" t="s">
        <v>138</v>
      </c>
      <c r="AI50" s="691"/>
      <c r="AJ50" s="691"/>
      <c r="AK50" s="691"/>
      <c r="AL50" s="691"/>
      <c r="AM50" s="691"/>
      <c r="AN50" s="691"/>
      <c r="AO50" s="691"/>
      <c r="AP50" s="691"/>
      <c r="AQ50" s="691"/>
      <c r="AR50" s="691"/>
      <c r="AS50" s="691"/>
      <c r="AT50" s="691"/>
      <c r="AU50" s="691"/>
      <c r="AV50" s="691"/>
      <c r="AW50" s="691"/>
      <c r="AX50" s="773"/>
    </row>
    <row r="51" spans="1:50" x14ac:dyDescent="0.25">
      <c r="A51" s="1080"/>
      <c r="B51" s="1081"/>
      <c r="C51" s="1081"/>
      <c r="D51" s="1081"/>
      <c r="E51" s="1081"/>
      <c r="F51" s="1081"/>
      <c r="G51" s="1081"/>
      <c r="H51" s="1081"/>
      <c r="I51" s="1081"/>
      <c r="J51" s="1081"/>
      <c r="K51" s="1081"/>
      <c r="L51" s="1081"/>
      <c r="M51" s="1081"/>
      <c r="N51" s="1081"/>
      <c r="O51" s="1081"/>
      <c r="P51" s="1081"/>
      <c r="Q51" s="1081"/>
      <c r="R51" s="1081"/>
      <c r="S51" s="1081"/>
      <c r="T51" s="1081"/>
      <c r="U51" s="1081"/>
      <c r="V51" s="1081"/>
      <c r="W51" s="1081"/>
      <c r="X51" s="1081"/>
      <c r="Y51" s="1082"/>
      <c r="Z51" s="693"/>
      <c r="AA51" s="694"/>
      <c r="AB51" s="694"/>
      <c r="AC51" s="694"/>
      <c r="AD51" s="694"/>
      <c r="AE51" s="694"/>
      <c r="AF51" s="1074"/>
      <c r="AG51" s="1074"/>
      <c r="AH51" s="1074"/>
      <c r="AI51" s="1074"/>
      <c r="AJ51" s="1074"/>
      <c r="AK51" s="1074"/>
      <c r="AL51" s="1074"/>
      <c r="AM51" s="1074"/>
      <c r="AN51" s="1074"/>
      <c r="AO51" s="1074"/>
      <c r="AP51" s="1074"/>
      <c r="AQ51" s="1074"/>
      <c r="AR51" s="1074"/>
      <c r="AS51" s="1074"/>
      <c r="AT51" s="1074"/>
      <c r="AU51" s="1074"/>
      <c r="AV51" s="1074"/>
      <c r="AW51" s="1074"/>
      <c r="AX51" s="1079"/>
    </row>
    <row r="52" spans="1:50" x14ac:dyDescent="0.25">
      <c r="A52" s="1083"/>
      <c r="B52" s="1084"/>
      <c r="C52" s="1084"/>
      <c r="D52" s="1084"/>
      <c r="E52" s="1084"/>
      <c r="F52" s="1084"/>
      <c r="G52" s="1084"/>
      <c r="H52" s="1084"/>
      <c r="I52" s="1084"/>
      <c r="J52" s="1084"/>
      <c r="K52" s="1084"/>
      <c r="L52" s="1084"/>
      <c r="M52" s="1084"/>
      <c r="N52" s="1084"/>
      <c r="O52" s="1084"/>
      <c r="P52" s="1084"/>
      <c r="Q52" s="1084"/>
      <c r="R52" s="1084"/>
      <c r="S52" s="1084"/>
      <c r="T52" s="1084"/>
      <c r="U52" s="1084"/>
      <c r="V52" s="1084"/>
      <c r="W52" s="1084"/>
      <c r="X52" s="1084"/>
      <c r="Y52" s="1085"/>
      <c r="Z52" s="693"/>
      <c r="AA52" s="694"/>
      <c r="AB52" s="694"/>
      <c r="AC52" s="694"/>
      <c r="AD52" s="694"/>
      <c r="AE52" s="694"/>
      <c r="AF52" s="1074"/>
      <c r="AG52" s="1074"/>
      <c r="AH52" s="1074"/>
      <c r="AI52" s="1074"/>
      <c r="AJ52" s="1074"/>
      <c r="AK52" s="1074"/>
      <c r="AL52" s="1074"/>
      <c r="AM52" s="1074"/>
      <c r="AN52" s="1074"/>
      <c r="AO52" s="1074"/>
      <c r="AP52" s="1074"/>
      <c r="AQ52" s="1074"/>
      <c r="AR52" s="1074"/>
      <c r="AS52" s="1074"/>
      <c r="AT52" s="1074"/>
      <c r="AU52" s="1074"/>
      <c r="AV52" s="1074"/>
      <c r="AW52" s="1074"/>
      <c r="AX52" s="1079"/>
    </row>
    <row r="53" spans="1:50" x14ac:dyDescent="0.25">
      <c r="A53" s="1083"/>
      <c r="B53" s="1084"/>
      <c r="C53" s="1084"/>
      <c r="D53" s="1084"/>
      <c r="E53" s="1084"/>
      <c r="F53" s="1084"/>
      <c r="G53" s="1084"/>
      <c r="H53" s="1084"/>
      <c r="I53" s="1084"/>
      <c r="J53" s="1084"/>
      <c r="K53" s="1084"/>
      <c r="L53" s="1084"/>
      <c r="M53" s="1084"/>
      <c r="N53" s="1084"/>
      <c r="O53" s="1084"/>
      <c r="P53" s="1084"/>
      <c r="Q53" s="1084"/>
      <c r="R53" s="1084"/>
      <c r="S53" s="1084"/>
      <c r="T53" s="1084"/>
      <c r="U53" s="1084"/>
      <c r="V53" s="1084"/>
      <c r="W53" s="1084"/>
      <c r="X53" s="1084"/>
      <c r="Y53" s="1085"/>
      <c r="Z53" s="693"/>
      <c r="AA53" s="694"/>
      <c r="AB53" s="694"/>
      <c r="AC53" s="694"/>
      <c r="AD53" s="694"/>
      <c r="AE53" s="694"/>
      <c r="AF53" s="1074"/>
      <c r="AG53" s="1074"/>
      <c r="AH53" s="1074"/>
      <c r="AI53" s="1074"/>
      <c r="AJ53" s="1074"/>
      <c r="AK53" s="1074"/>
      <c r="AL53" s="1074"/>
      <c r="AM53" s="1074"/>
      <c r="AN53" s="1074"/>
      <c r="AO53" s="1074"/>
      <c r="AP53" s="1074"/>
      <c r="AQ53" s="1074"/>
      <c r="AR53" s="1074"/>
      <c r="AS53" s="1074"/>
      <c r="AT53" s="1074"/>
      <c r="AU53" s="1074"/>
      <c r="AV53" s="1074"/>
      <c r="AW53" s="1074"/>
      <c r="AX53" s="1079"/>
    </row>
    <row r="54" spans="1:50" x14ac:dyDescent="0.25">
      <c r="A54" s="1083"/>
      <c r="B54" s="1084"/>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5"/>
      <c r="Z54" s="693"/>
      <c r="AA54" s="694"/>
      <c r="AB54" s="694"/>
      <c r="AC54" s="694"/>
      <c r="AD54" s="694"/>
      <c r="AE54" s="694"/>
      <c r="AF54" s="1074"/>
      <c r="AG54" s="1074"/>
      <c r="AH54" s="1074"/>
      <c r="AI54" s="1074"/>
      <c r="AJ54" s="1074"/>
      <c r="AK54" s="1074"/>
      <c r="AL54" s="1074"/>
      <c r="AM54" s="1074"/>
      <c r="AN54" s="1074"/>
      <c r="AO54" s="1074"/>
      <c r="AP54" s="1074"/>
      <c r="AQ54" s="1074"/>
      <c r="AR54" s="1074"/>
      <c r="AS54" s="1074"/>
      <c r="AT54" s="1074"/>
      <c r="AU54" s="1074"/>
      <c r="AV54" s="1074"/>
      <c r="AW54" s="1074"/>
      <c r="AX54" s="1079"/>
    </row>
    <row r="55" spans="1:50" x14ac:dyDescent="0.25">
      <c r="A55" s="1083"/>
      <c r="B55" s="1084"/>
      <c r="C55" s="1084"/>
      <c r="D55" s="1084"/>
      <c r="E55" s="1084"/>
      <c r="F55" s="1084"/>
      <c r="G55" s="1084"/>
      <c r="H55" s="1084"/>
      <c r="I55" s="1084"/>
      <c r="J55" s="1084"/>
      <c r="K55" s="1084"/>
      <c r="L55" s="1084"/>
      <c r="M55" s="1084"/>
      <c r="N55" s="1084"/>
      <c r="O55" s="1084"/>
      <c r="P55" s="1084"/>
      <c r="Q55" s="1084"/>
      <c r="R55" s="1084"/>
      <c r="S55" s="1084"/>
      <c r="T55" s="1084"/>
      <c r="U55" s="1084"/>
      <c r="V55" s="1084"/>
      <c r="W55" s="1084"/>
      <c r="X55" s="1084"/>
      <c r="Y55" s="1085"/>
      <c r="Z55" s="693"/>
      <c r="AA55" s="694"/>
      <c r="AB55" s="694"/>
      <c r="AC55" s="694"/>
      <c r="AD55" s="694"/>
      <c r="AE55" s="694"/>
      <c r="AF55" s="1074"/>
      <c r="AG55" s="1074"/>
      <c r="AH55" s="1074"/>
      <c r="AI55" s="1074"/>
      <c r="AJ55" s="1074"/>
      <c r="AK55" s="1074"/>
      <c r="AL55" s="1074"/>
      <c r="AM55" s="1074"/>
      <c r="AN55" s="1074"/>
      <c r="AO55" s="1074"/>
      <c r="AP55" s="1074"/>
      <c r="AQ55" s="1074"/>
      <c r="AR55" s="1074"/>
      <c r="AS55" s="1074"/>
      <c r="AT55" s="1074"/>
      <c r="AU55" s="1074"/>
      <c r="AV55" s="1074"/>
      <c r="AW55" s="1074"/>
      <c r="AX55" s="1079"/>
    </row>
    <row r="56" spans="1:50" x14ac:dyDescent="0.25">
      <c r="A56" s="1083"/>
      <c r="B56" s="1084"/>
      <c r="C56" s="1084"/>
      <c r="D56" s="1084"/>
      <c r="E56" s="1084"/>
      <c r="F56" s="1084"/>
      <c r="G56" s="1084"/>
      <c r="H56" s="1084"/>
      <c r="I56" s="1084"/>
      <c r="J56" s="1084"/>
      <c r="K56" s="1084"/>
      <c r="L56" s="1084"/>
      <c r="M56" s="1084"/>
      <c r="N56" s="1084"/>
      <c r="O56" s="1084"/>
      <c r="P56" s="1084"/>
      <c r="Q56" s="1084"/>
      <c r="R56" s="1084"/>
      <c r="S56" s="1084"/>
      <c r="T56" s="1084"/>
      <c r="U56" s="1084"/>
      <c r="V56" s="1084"/>
      <c r="W56" s="1084"/>
      <c r="X56" s="1084"/>
      <c r="Y56" s="1085"/>
      <c r="Z56" s="693"/>
      <c r="AA56" s="694"/>
      <c r="AB56" s="694"/>
      <c r="AC56" s="694"/>
      <c r="AD56" s="694"/>
      <c r="AE56" s="694"/>
      <c r="AF56" s="1074"/>
      <c r="AG56" s="1074"/>
      <c r="AH56" s="1074"/>
      <c r="AI56" s="1074"/>
      <c r="AJ56" s="1074"/>
      <c r="AK56" s="1074"/>
      <c r="AL56" s="1074"/>
      <c r="AM56" s="1074"/>
      <c r="AN56" s="1074"/>
      <c r="AO56" s="1074"/>
      <c r="AP56" s="1074"/>
      <c r="AQ56" s="1074"/>
      <c r="AR56" s="1074"/>
      <c r="AS56" s="1074"/>
      <c r="AT56" s="1074"/>
      <c r="AU56" s="1074"/>
      <c r="AV56" s="1074"/>
      <c r="AW56" s="1074"/>
      <c r="AX56" s="1079"/>
    </row>
    <row r="57" spans="1:50" x14ac:dyDescent="0.25">
      <c r="A57" s="1083"/>
      <c r="B57" s="1084"/>
      <c r="C57" s="1084"/>
      <c r="D57" s="1084"/>
      <c r="E57" s="1084"/>
      <c r="F57" s="1084"/>
      <c r="G57" s="1084"/>
      <c r="H57" s="1084"/>
      <c r="I57" s="1084"/>
      <c r="J57" s="1084"/>
      <c r="K57" s="1084"/>
      <c r="L57" s="1084"/>
      <c r="M57" s="1084"/>
      <c r="N57" s="1084"/>
      <c r="O57" s="1084"/>
      <c r="P57" s="1084"/>
      <c r="Q57" s="1084"/>
      <c r="R57" s="1084"/>
      <c r="S57" s="1084"/>
      <c r="T57" s="1084"/>
      <c r="U57" s="1084"/>
      <c r="V57" s="1084"/>
      <c r="W57" s="1084"/>
      <c r="X57" s="1084"/>
      <c r="Y57" s="1085"/>
      <c r="Z57" s="693"/>
      <c r="AA57" s="694"/>
      <c r="AB57" s="694"/>
      <c r="AC57" s="694"/>
      <c r="AD57" s="694"/>
      <c r="AE57" s="694"/>
      <c r="AF57" s="1074"/>
      <c r="AG57" s="1074"/>
      <c r="AH57" s="1074"/>
      <c r="AI57" s="1074"/>
      <c r="AJ57" s="1074"/>
      <c r="AK57" s="1074"/>
      <c r="AL57" s="1074"/>
      <c r="AM57" s="1074"/>
      <c r="AN57" s="1074"/>
      <c r="AO57" s="1074"/>
      <c r="AP57" s="1074"/>
      <c r="AQ57" s="1074"/>
      <c r="AR57" s="1074"/>
      <c r="AS57" s="1074"/>
      <c r="AT57" s="1074"/>
      <c r="AU57" s="1074"/>
      <c r="AV57" s="1074"/>
      <c r="AW57" s="1074"/>
      <c r="AX57" s="1079"/>
    </row>
    <row r="58" spans="1:50" x14ac:dyDescent="0.25">
      <c r="A58" s="1083"/>
      <c r="B58" s="1084"/>
      <c r="C58" s="1084"/>
      <c r="D58" s="1084"/>
      <c r="E58" s="1084"/>
      <c r="F58" s="1084"/>
      <c r="G58" s="1084"/>
      <c r="H58" s="1084"/>
      <c r="I58" s="1084"/>
      <c r="J58" s="1084"/>
      <c r="K58" s="1084"/>
      <c r="L58" s="1084"/>
      <c r="M58" s="1084"/>
      <c r="N58" s="1084"/>
      <c r="O58" s="1084"/>
      <c r="P58" s="1084"/>
      <c r="Q58" s="1084"/>
      <c r="R58" s="1084"/>
      <c r="S58" s="1084"/>
      <c r="T58" s="1084"/>
      <c r="U58" s="1084"/>
      <c r="V58" s="1084"/>
      <c r="W58" s="1084"/>
      <c r="X58" s="1084"/>
      <c r="Y58" s="1085"/>
      <c r="Z58" s="693"/>
      <c r="AA58" s="694"/>
      <c r="AB58" s="694"/>
      <c r="AC58" s="694"/>
      <c r="AD58" s="694"/>
      <c r="AE58" s="694"/>
      <c r="AF58" s="1074"/>
      <c r="AG58" s="1074"/>
      <c r="AH58" s="1074"/>
      <c r="AI58" s="1074"/>
      <c r="AJ58" s="1074"/>
      <c r="AK58" s="1074"/>
      <c r="AL58" s="1074"/>
      <c r="AM58" s="1074"/>
      <c r="AN58" s="1074"/>
      <c r="AO58" s="1074"/>
      <c r="AP58" s="1074"/>
      <c r="AQ58" s="1074"/>
      <c r="AR58" s="1074"/>
      <c r="AS58" s="1074"/>
      <c r="AT58" s="1074"/>
      <c r="AU58" s="1074"/>
      <c r="AV58" s="1074"/>
      <c r="AW58" s="1074"/>
      <c r="AX58" s="1079"/>
    </row>
    <row r="59" spans="1:50" x14ac:dyDescent="0.25">
      <c r="A59" s="1083"/>
      <c r="B59" s="1084"/>
      <c r="C59" s="1084"/>
      <c r="D59" s="1084"/>
      <c r="E59" s="1084"/>
      <c r="F59" s="1084"/>
      <c r="G59" s="1084"/>
      <c r="H59" s="1084"/>
      <c r="I59" s="1084"/>
      <c r="J59" s="1084"/>
      <c r="K59" s="1084"/>
      <c r="L59" s="1084"/>
      <c r="M59" s="1084"/>
      <c r="N59" s="1084"/>
      <c r="O59" s="1084"/>
      <c r="P59" s="1084"/>
      <c r="Q59" s="1084"/>
      <c r="R59" s="1084"/>
      <c r="S59" s="1084"/>
      <c r="T59" s="1084"/>
      <c r="U59" s="1084"/>
      <c r="V59" s="1084"/>
      <c r="W59" s="1084"/>
      <c r="X59" s="1084"/>
      <c r="Y59" s="1085"/>
      <c r="Z59" s="693"/>
      <c r="AA59" s="694"/>
      <c r="AB59" s="694"/>
      <c r="AC59" s="694"/>
      <c r="AD59" s="694"/>
      <c r="AE59" s="694"/>
      <c r="AF59" s="1074"/>
      <c r="AG59" s="1074"/>
      <c r="AH59" s="1074"/>
      <c r="AI59" s="1074"/>
      <c r="AJ59" s="1074"/>
      <c r="AK59" s="1074"/>
      <c r="AL59" s="1074"/>
      <c r="AM59" s="1074"/>
      <c r="AN59" s="1074"/>
      <c r="AO59" s="1074"/>
      <c r="AP59" s="1074"/>
      <c r="AQ59" s="1074"/>
      <c r="AR59" s="1074"/>
      <c r="AS59" s="1074"/>
      <c r="AT59" s="1074"/>
      <c r="AU59" s="1074"/>
      <c r="AV59" s="1074"/>
      <c r="AW59" s="1074"/>
      <c r="AX59" s="1079"/>
    </row>
    <row r="60" spans="1:50" ht="15.75" thickBot="1" x14ac:dyDescent="0.3">
      <c r="A60" s="1086"/>
      <c r="B60" s="1087"/>
      <c r="C60" s="1087"/>
      <c r="D60" s="1087"/>
      <c r="E60" s="1087"/>
      <c r="F60" s="1087"/>
      <c r="G60" s="1087"/>
      <c r="H60" s="1087"/>
      <c r="I60" s="1087"/>
      <c r="J60" s="1087"/>
      <c r="K60" s="1087"/>
      <c r="L60" s="1087"/>
      <c r="M60" s="1087"/>
      <c r="N60" s="1087"/>
      <c r="O60" s="1087"/>
      <c r="P60" s="1087"/>
      <c r="Q60" s="1087"/>
      <c r="R60" s="1087"/>
      <c r="S60" s="1087"/>
      <c r="T60" s="1087"/>
      <c r="U60" s="1087"/>
      <c r="V60" s="1087"/>
      <c r="W60" s="1087"/>
      <c r="X60" s="1087"/>
      <c r="Y60" s="1088"/>
      <c r="Z60" s="693"/>
      <c r="AA60" s="694"/>
      <c r="AB60" s="694"/>
      <c r="AC60" s="694"/>
      <c r="AD60" s="694"/>
      <c r="AE60" s="694"/>
      <c r="AF60" s="1074"/>
      <c r="AG60" s="1074"/>
      <c r="AH60" s="1074"/>
      <c r="AI60" s="1074"/>
      <c r="AJ60" s="1074"/>
      <c r="AK60" s="1074"/>
      <c r="AL60" s="1074"/>
      <c r="AM60" s="1074"/>
      <c r="AN60" s="1074"/>
      <c r="AO60" s="1074"/>
      <c r="AP60" s="1074"/>
      <c r="AQ60" s="1074"/>
      <c r="AR60" s="1074"/>
      <c r="AS60" s="1074"/>
      <c r="AT60" s="1074"/>
      <c r="AU60" s="1074"/>
      <c r="AV60" s="1074"/>
      <c r="AW60" s="1074"/>
      <c r="AX60" s="1079"/>
    </row>
    <row r="61" spans="1:50" x14ac:dyDescent="0.25">
      <c r="A61" s="742" t="s">
        <v>0</v>
      </c>
      <c r="B61" s="743"/>
      <c r="C61" s="743"/>
      <c r="D61" s="790"/>
      <c r="E61" s="790"/>
      <c r="F61" s="790"/>
      <c r="G61" s="790"/>
      <c r="H61" s="790"/>
      <c r="I61" s="790"/>
      <c r="J61" s="790"/>
      <c r="K61" s="790"/>
      <c r="L61" s="790"/>
      <c r="M61" s="743" t="s">
        <v>75</v>
      </c>
      <c r="N61" s="743"/>
      <c r="O61" s="743"/>
      <c r="P61" s="790"/>
      <c r="Q61" s="790"/>
      <c r="R61" s="790"/>
      <c r="S61" s="790"/>
      <c r="T61" s="790"/>
      <c r="U61" s="790"/>
      <c r="V61" s="790"/>
      <c r="W61" s="790"/>
      <c r="X61" s="790"/>
      <c r="Y61" s="791"/>
      <c r="Z61" s="693"/>
      <c r="AA61" s="694"/>
      <c r="AB61" s="694"/>
      <c r="AC61" s="694"/>
      <c r="AD61" s="694"/>
      <c r="AE61" s="694"/>
      <c r="AF61" s="1074"/>
      <c r="AG61" s="1074"/>
      <c r="AH61" s="1074"/>
      <c r="AI61" s="1074"/>
      <c r="AJ61" s="1074"/>
      <c r="AK61" s="1074"/>
      <c r="AL61" s="1074"/>
      <c r="AM61" s="1074"/>
      <c r="AN61" s="1074"/>
      <c r="AO61" s="1074"/>
      <c r="AP61" s="1074"/>
      <c r="AQ61" s="1074"/>
      <c r="AR61" s="1074"/>
      <c r="AS61" s="1074"/>
      <c r="AT61" s="1074"/>
      <c r="AU61" s="1074"/>
      <c r="AV61" s="1074"/>
      <c r="AW61" s="1074"/>
      <c r="AX61" s="1079"/>
    </row>
    <row r="62" spans="1:50" x14ac:dyDescent="0.25">
      <c r="A62" s="1080"/>
      <c r="B62" s="1081"/>
      <c r="C62" s="1081"/>
      <c r="D62" s="1081"/>
      <c r="E62" s="1081"/>
      <c r="F62" s="1081"/>
      <c r="G62" s="1081"/>
      <c r="H62" s="1081"/>
      <c r="I62" s="1081"/>
      <c r="J62" s="1081"/>
      <c r="K62" s="1081"/>
      <c r="L62" s="1081"/>
      <c r="M62" s="1081"/>
      <c r="N62" s="1081"/>
      <c r="O62" s="1081"/>
      <c r="P62" s="1081"/>
      <c r="Q62" s="1081"/>
      <c r="R62" s="1081"/>
      <c r="S62" s="1081"/>
      <c r="T62" s="1081"/>
      <c r="U62" s="1081"/>
      <c r="V62" s="1081"/>
      <c r="W62" s="1081"/>
      <c r="X62" s="1081"/>
      <c r="Y62" s="1082"/>
      <c r="Z62" s="693"/>
      <c r="AA62" s="694"/>
      <c r="AB62" s="694"/>
      <c r="AC62" s="694"/>
      <c r="AD62" s="694"/>
      <c r="AE62" s="694"/>
      <c r="AF62" s="1074"/>
      <c r="AG62" s="1074"/>
      <c r="AH62" s="1074"/>
      <c r="AI62" s="1074"/>
      <c r="AJ62" s="1074"/>
      <c r="AK62" s="1074"/>
      <c r="AL62" s="1074"/>
      <c r="AM62" s="1074"/>
      <c r="AN62" s="1074"/>
      <c r="AO62" s="1074"/>
      <c r="AP62" s="1074"/>
      <c r="AQ62" s="1074"/>
      <c r="AR62" s="1074"/>
      <c r="AS62" s="1074"/>
      <c r="AT62" s="1074"/>
      <c r="AU62" s="1074"/>
      <c r="AV62" s="1074"/>
      <c r="AW62" s="1074"/>
      <c r="AX62" s="1079"/>
    </row>
    <row r="63" spans="1:50" x14ac:dyDescent="0.25">
      <c r="A63" s="1083"/>
      <c r="B63" s="1084"/>
      <c r="C63" s="1084"/>
      <c r="D63" s="1084"/>
      <c r="E63" s="1084"/>
      <c r="F63" s="1084"/>
      <c r="G63" s="1084"/>
      <c r="H63" s="1084"/>
      <c r="I63" s="1084"/>
      <c r="J63" s="1084"/>
      <c r="K63" s="1084"/>
      <c r="L63" s="1084"/>
      <c r="M63" s="1084"/>
      <c r="N63" s="1084"/>
      <c r="O63" s="1084"/>
      <c r="P63" s="1084"/>
      <c r="Q63" s="1084"/>
      <c r="R63" s="1084"/>
      <c r="S63" s="1084"/>
      <c r="T63" s="1084"/>
      <c r="U63" s="1084"/>
      <c r="V63" s="1084"/>
      <c r="W63" s="1084"/>
      <c r="X63" s="1084"/>
      <c r="Y63" s="1085"/>
      <c r="Z63" s="693"/>
      <c r="AA63" s="694"/>
      <c r="AB63" s="694"/>
      <c r="AC63" s="694"/>
      <c r="AD63" s="694"/>
      <c r="AE63" s="694"/>
      <c r="AF63" s="1074"/>
      <c r="AG63" s="1074"/>
      <c r="AH63" s="1074"/>
      <c r="AI63" s="1074"/>
      <c r="AJ63" s="1074"/>
      <c r="AK63" s="1074"/>
      <c r="AL63" s="1074"/>
      <c r="AM63" s="1074"/>
      <c r="AN63" s="1074"/>
      <c r="AO63" s="1074"/>
      <c r="AP63" s="1074"/>
      <c r="AQ63" s="1074"/>
      <c r="AR63" s="1074"/>
      <c r="AS63" s="1074"/>
      <c r="AT63" s="1074"/>
      <c r="AU63" s="1074"/>
      <c r="AV63" s="1074"/>
      <c r="AW63" s="1074"/>
      <c r="AX63" s="1079"/>
    </row>
    <row r="64" spans="1:50" x14ac:dyDescent="0.25">
      <c r="A64" s="1083"/>
      <c r="B64" s="1084"/>
      <c r="C64" s="1084"/>
      <c r="D64" s="1084"/>
      <c r="E64" s="1084"/>
      <c r="F64" s="1084"/>
      <c r="G64" s="1084"/>
      <c r="H64" s="1084"/>
      <c r="I64" s="1084"/>
      <c r="J64" s="1084"/>
      <c r="K64" s="1084"/>
      <c r="L64" s="1084"/>
      <c r="M64" s="1084"/>
      <c r="N64" s="1084"/>
      <c r="O64" s="1084"/>
      <c r="P64" s="1084"/>
      <c r="Q64" s="1084"/>
      <c r="R64" s="1084"/>
      <c r="S64" s="1084"/>
      <c r="T64" s="1084"/>
      <c r="U64" s="1084"/>
      <c r="V64" s="1084"/>
      <c r="W64" s="1084"/>
      <c r="X64" s="1084"/>
      <c r="Y64" s="1085"/>
      <c r="Z64" s="693"/>
      <c r="AA64" s="694"/>
      <c r="AB64" s="694"/>
      <c r="AC64" s="694"/>
      <c r="AD64" s="694"/>
      <c r="AE64" s="694"/>
      <c r="AF64" s="1074"/>
      <c r="AG64" s="1074"/>
      <c r="AH64" s="1074"/>
      <c r="AI64" s="1074"/>
      <c r="AJ64" s="1074"/>
      <c r="AK64" s="1074"/>
      <c r="AL64" s="1074"/>
      <c r="AM64" s="1074"/>
      <c r="AN64" s="1074"/>
      <c r="AO64" s="1074"/>
      <c r="AP64" s="1074"/>
      <c r="AQ64" s="1074"/>
      <c r="AR64" s="1074"/>
      <c r="AS64" s="1074"/>
      <c r="AT64" s="1074"/>
      <c r="AU64" s="1074"/>
      <c r="AV64" s="1074"/>
      <c r="AW64" s="1074"/>
      <c r="AX64" s="1079"/>
    </row>
    <row r="65" spans="1:50" x14ac:dyDescent="0.25">
      <c r="A65" s="1083"/>
      <c r="B65" s="1084"/>
      <c r="C65" s="1084"/>
      <c r="D65" s="1084"/>
      <c r="E65" s="1084"/>
      <c r="F65" s="1084"/>
      <c r="G65" s="1084"/>
      <c r="H65" s="1084"/>
      <c r="I65" s="1084"/>
      <c r="J65" s="1084"/>
      <c r="K65" s="1084"/>
      <c r="L65" s="1084"/>
      <c r="M65" s="1084"/>
      <c r="N65" s="1084"/>
      <c r="O65" s="1084"/>
      <c r="P65" s="1084"/>
      <c r="Q65" s="1084"/>
      <c r="R65" s="1084"/>
      <c r="S65" s="1084"/>
      <c r="T65" s="1084"/>
      <c r="U65" s="1084"/>
      <c r="V65" s="1084"/>
      <c r="W65" s="1084"/>
      <c r="X65" s="1084"/>
      <c r="Y65" s="1085"/>
      <c r="Z65" s="693"/>
      <c r="AA65" s="694"/>
      <c r="AB65" s="694"/>
      <c r="AC65" s="694"/>
      <c r="AD65" s="694"/>
      <c r="AE65" s="694"/>
      <c r="AF65" s="1074"/>
      <c r="AG65" s="1074"/>
      <c r="AH65" s="1074"/>
      <c r="AI65" s="1074"/>
      <c r="AJ65" s="1074"/>
      <c r="AK65" s="1074"/>
      <c r="AL65" s="1074"/>
      <c r="AM65" s="1074"/>
      <c r="AN65" s="1074"/>
      <c r="AO65" s="1074"/>
      <c r="AP65" s="1074"/>
      <c r="AQ65" s="1074"/>
      <c r="AR65" s="1074"/>
      <c r="AS65" s="1074"/>
      <c r="AT65" s="1074"/>
      <c r="AU65" s="1074"/>
      <c r="AV65" s="1074"/>
      <c r="AW65" s="1074"/>
      <c r="AX65" s="1079"/>
    </row>
    <row r="66" spans="1:50" x14ac:dyDescent="0.25">
      <c r="A66" s="1083"/>
      <c r="B66" s="1084"/>
      <c r="C66" s="1084"/>
      <c r="D66" s="1084"/>
      <c r="E66" s="1084"/>
      <c r="F66" s="1084"/>
      <c r="G66" s="1084"/>
      <c r="H66" s="1084"/>
      <c r="I66" s="1084"/>
      <c r="J66" s="1084"/>
      <c r="K66" s="1084"/>
      <c r="L66" s="1084"/>
      <c r="M66" s="1084"/>
      <c r="N66" s="1084"/>
      <c r="O66" s="1084"/>
      <c r="P66" s="1084"/>
      <c r="Q66" s="1084"/>
      <c r="R66" s="1084"/>
      <c r="S66" s="1084"/>
      <c r="T66" s="1084"/>
      <c r="U66" s="1084"/>
      <c r="V66" s="1084"/>
      <c r="W66" s="1084"/>
      <c r="X66" s="1084"/>
      <c r="Y66" s="1085"/>
      <c r="Z66" s="693"/>
      <c r="AA66" s="694"/>
      <c r="AB66" s="694"/>
      <c r="AC66" s="694"/>
      <c r="AD66" s="694"/>
      <c r="AE66" s="694"/>
      <c r="AF66" s="1074"/>
      <c r="AG66" s="1074"/>
      <c r="AH66" s="1074"/>
      <c r="AI66" s="1074"/>
      <c r="AJ66" s="1074"/>
      <c r="AK66" s="1074"/>
      <c r="AL66" s="1074"/>
      <c r="AM66" s="1074"/>
      <c r="AN66" s="1074"/>
      <c r="AO66" s="1074"/>
      <c r="AP66" s="1074"/>
      <c r="AQ66" s="1074"/>
      <c r="AR66" s="1074"/>
      <c r="AS66" s="1074"/>
      <c r="AT66" s="1074"/>
      <c r="AU66" s="1074"/>
      <c r="AV66" s="1074"/>
      <c r="AW66" s="1074"/>
      <c r="AX66" s="1079"/>
    </row>
    <row r="67" spans="1:50" x14ac:dyDescent="0.25">
      <c r="A67" s="1083"/>
      <c r="B67" s="1084"/>
      <c r="C67" s="1084"/>
      <c r="D67" s="1084"/>
      <c r="E67" s="1084"/>
      <c r="F67" s="1084"/>
      <c r="G67" s="1084"/>
      <c r="H67" s="1084"/>
      <c r="I67" s="1084"/>
      <c r="J67" s="1084"/>
      <c r="K67" s="1084"/>
      <c r="L67" s="1084"/>
      <c r="M67" s="1084"/>
      <c r="N67" s="1084"/>
      <c r="O67" s="1084"/>
      <c r="P67" s="1084"/>
      <c r="Q67" s="1084"/>
      <c r="R67" s="1084"/>
      <c r="S67" s="1084"/>
      <c r="T67" s="1084"/>
      <c r="U67" s="1084"/>
      <c r="V67" s="1084"/>
      <c r="W67" s="1084"/>
      <c r="X67" s="1084"/>
      <c r="Y67" s="1085"/>
      <c r="Z67" s="693"/>
      <c r="AA67" s="694"/>
      <c r="AB67" s="694"/>
      <c r="AC67" s="694"/>
      <c r="AD67" s="694"/>
      <c r="AE67" s="694"/>
      <c r="AF67" s="1074"/>
      <c r="AG67" s="1074"/>
      <c r="AH67" s="1074"/>
      <c r="AI67" s="1074"/>
      <c r="AJ67" s="1074"/>
      <c r="AK67" s="1074"/>
      <c r="AL67" s="1074"/>
      <c r="AM67" s="1074"/>
      <c r="AN67" s="1074"/>
      <c r="AO67" s="1074"/>
      <c r="AP67" s="1074"/>
      <c r="AQ67" s="1074"/>
      <c r="AR67" s="1074"/>
      <c r="AS67" s="1074"/>
      <c r="AT67" s="1074"/>
      <c r="AU67" s="1074"/>
      <c r="AV67" s="1074"/>
      <c r="AW67" s="1074"/>
      <c r="AX67" s="1079"/>
    </row>
    <row r="68" spans="1:50" x14ac:dyDescent="0.25">
      <c r="A68" s="1083"/>
      <c r="B68" s="1084"/>
      <c r="C68" s="1084"/>
      <c r="D68" s="1084"/>
      <c r="E68" s="1084"/>
      <c r="F68" s="1084"/>
      <c r="G68" s="1084"/>
      <c r="H68" s="1084"/>
      <c r="I68" s="1084"/>
      <c r="J68" s="1084"/>
      <c r="K68" s="1084"/>
      <c r="L68" s="1084"/>
      <c r="M68" s="1084"/>
      <c r="N68" s="1084"/>
      <c r="O68" s="1084"/>
      <c r="P68" s="1084"/>
      <c r="Q68" s="1084"/>
      <c r="R68" s="1084"/>
      <c r="S68" s="1084"/>
      <c r="T68" s="1084"/>
      <c r="U68" s="1084"/>
      <c r="V68" s="1084"/>
      <c r="W68" s="1084"/>
      <c r="X68" s="1084"/>
      <c r="Y68" s="1085"/>
      <c r="Z68" s="693"/>
      <c r="AA68" s="694"/>
      <c r="AB68" s="694"/>
      <c r="AC68" s="694"/>
      <c r="AD68" s="694"/>
      <c r="AE68" s="694"/>
      <c r="AF68" s="1074"/>
      <c r="AG68" s="1074"/>
      <c r="AH68" s="1074"/>
      <c r="AI68" s="1074"/>
      <c r="AJ68" s="1074"/>
      <c r="AK68" s="1074"/>
      <c r="AL68" s="1074"/>
      <c r="AM68" s="1074"/>
      <c r="AN68" s="1074"/>
      <c r="AO68" s="1074"/>
      <c r="AP68" s="1074"/>
      <c r="AQ68" s="1074"/>
      <c r="AR68" s="1074"/>
      <c r="AS68" s="1074"/>
      <c r="AT68" s="1074"/>
      <c r="AU68" s="1074"/>
      <c r="AV68" s="1074"/>
      <c r="AW68" s="1074"/>
      <c r="AX68" s="1079"/>
    </row>
    <row r="69" spans="1:50" x14ac:dyDescent="0.25">
      <c r="A69" s="1083"/>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5"/>
      <c r="Z69" s="693"/>
      <c r="AA69" s="694"/>
      <c r="AB69" s="694"/>
      <c r="AC69" s="694"/>
      <c r="AD69" s="694"/>
      <c r="AE69" s="694"/>
      <c r="AF69" s="1074"/>
      <c r="AG69" s="1074"/>
      <c r="AH69" s="1074"/>
      <c r="AI69" s="1074"/>
      <c r="AJ69" s="1074"/>
      <c r="AK69" s="1074"/>
      <c r="AL69" s="1074"/>
      <c r="AM69" s="1074"/>
      <c r="AN69" s="1074"/>
      <c r="AO69" s="1074"/>
      <c r="AP69" s="1074"/>
      <c r="AQ69" s="1074"/>
      <c r="AR69" s="1074"/>
      <c r="AS69" s="1074"/>
      <c r="AT69" s="1074"/>
      <c r="AU69" s="1074"/>
      <c r="AV69" s="1074"/>
      <c r="AW69" s="1074"/>
      <c r="AX69" s="1079"/>
    </row>
    <row r="70" spans="1:50" x14ac:dyDescent="0.25">
      <c r="A70" s="1083"/>
      <c r="B70" s="1084"/>
      <c r="C70" s="1084"/>
      <c r="D70" s="1084"/>
      <c r="E70" s="1084"/>
      <c r="F70" s="1084"/>
      <c r="G70" s="1084"/>
      <c r="H70" s="1084"/>
      <c r="I70" s="1084"/>
      <c r="J70" s="1084"/>
      <c r="K70" s="1084"/>
      <c r="L70" s="1084"/>
      <c r="M70" s="1084"/>
      <c r="N70" s="1084"/>
      <c r="O70" s="1084"/>
      <c r="P70" s="1084"/>
      <c r="Q70" s="1084"/>
      <c r="R70" s="1084"/>
      <c r="S70" s="1084"/>
      <c r="T70" s="1084"/>
      <c r="U70" s="1084"/>
      <c r="V70" s="1084"/>
      <c r="W70" s="1084"/>
      <c r="X70" s="1084"/>
      <c r="Y70" s="1085"/>
      <c r="Z70" s="693"/>
      <c r="AA70" s="694"/>
      <c r="AB70" s="694"/>
      <c r="AC70" s="694"/>
      <c r="AD70" s="694"/>
      <c r="AE70" s="694"/>
      <c r="AF70" s="1074"/>
      <c r="AG70" s="1074"/>
      <c r="AH70" s="1074"/>
      <c r="AI70" s="1074"/>
      <c r="AJ70" s="1074"/>
      <c r="AK70" s="1074"/>
      <c r="AL70" s="1074"/>
      <c r="AM70" s="1074"/>
      <c r="AN70" s="1074"/>
      <c r="AO70" s="1074"/>
      <c r="AP70" s="1074"/>
      <c r="AQ70" s="1074"/>
      <c r="AR70" s="1074"/>
      <c r="AS70" s="1074"/>
      <c r="AT70" s="1074"/>
      <c r="AU70" s="1074"/>
      <c r="AV70" s="1074"/>
      <c r="AW70" s="1074"/>
      <c r="AX70" s="1079"/>
    </row>
    <row r="71" spans="1:50" ht="15.75" thickBot="1" x14ac:dyDescent="0.3">
      <c r="A71" s="1086"/>
      <c r="B71" s="1087"/>
      <c r="C71" s="1087"/>
      <c r="D71" s="1087"/>
      <c r="E71" s="1087"/>
      <c r="F71" s="1087"/>
      <c r="G71" s="1087"/>
      <c r="H71" s="1087"/>
      <c r="I71" s="1087"/>
      <c r="J71" s="1087"/>
      <c r="K71" s="1087"/>
      <c r="L71" s="1087"/>
      <c r="M71" s="1087"/>
      <c r="N71" s="1087"/>
      <c r="O71" s="1087"/>
      <c r="P71" s="1087"/>
      <c r="Q71" s="1087"/>
      <c r="R71" s="1087"/>
      <c r="S71" s="1087"/>
      <c r="T71" s="1087"/>
      <c r="U71" s="1087"/>
      <c r="V71" s="1087"/>
      <c r="W71" s="1087"/>
      <c r="X71" s="1087"/>
      <c r="Y71" s="1088"/>
      <c r="Z71" s="693"/>
      <c r="AA71" s="694"/>
      <c r="AB71" s="694"/>
      <c r="AC71" s="694"/>
      <c r="AD71" s="694"/>
      <c r="AE71" s="694"/>
      <c r="AF71" s="1074"/>
      <c r="AG71" s="1074"/>
      <c r="AH71" s="1074"/>
      <c r="AI71" s="1074"/>
      <c r="AJ71" s="1074"/>
      <c r="AK71" s="1074"/>
      <c r="AL71" s="1074"/>
      <c r="AM71" s="1074"/>
      <c r="AN71" s="1074"/>
      <c r="AO71" s="1074"/>
      <c r="AP71" s="1074"/>
      <c r="AQ71" s="1074"/>
      <c r="AR71" s="1074"/>
      <c r="AS71" s="1074"/>
      <c r="AT71" s="1074"/>
      <c r="AU71" s="1074"/>
      <c r="AV71" s="1074"/>
      <c r="AW71" s="1074"/>
      <c r="AX71" s="1079"/>
    </row>
    <row r="72" spans="1:50" x14ac:dyDescent="0.25">
      <c r="A72" s="742" t="s">
        <v>0</v>
      </c>
      <c r="B72" s="743"/>
      <c r="C72" s="743"/>
      <c r="D72" s="790"/>
      <c r="E72" s="790"/>
      <c r="F72" s="790"/>
      <c r="G72" s="790"/>
      <c r="H72" s="790"/>
      <c r="I72" s="790"/>
      <c r="J72" s="790"/>
      <c r="K72" s="790"/>
      <c r="L72" s="790"/>
      <c r="M72" s="743" t="s">
        <v>75</v>
      </c>
      <c r="N72" s="743"/>
      <c r="O72" s="743"/>
      <c r="P72" s="790"/>
      <c r="Q72" s="790"/>
      <c r="R72" s="790"/>
      <c r="S72" s="790"/>
      <c r="T72" s="790"/>
      <c r="U72" s="790"/>
      <c r="V72" s="790"/>
      <c r="W72" s="790"/>
      <c r="X72" s="790"/>
      <c r="Y72" s="791"/>
      <c r="Z72" s="693"/>
      <c r="AA72" s="694"/>
      <c r="AB72" s="694"/>
      <c r="AC72" s="694"/>
      <c r="AD72" s="694"/>
      <c r="AE72" s="694"/>
      <c r="AF72" s="1074"/>
      <c r="AG72" s="1074"/>
      <c r="AH72" s="1074"/>
      <c r="AI72" s="1074"/>
      <c r="AJ72" s="1074"/>
      <c r="AK72" s="1074"/>
      <c r="AL72" s="1074"/>
      <c r="AM72" s="1074"/>
      <c r="AN72" s="1074"/>
      <c r="AO72" s="1074"/>
      <c r="AP72" s="1074"/>
      <c r="AQ72" s="1074"/>
      <c r="AR72" s="1074"/>
      <c r="AS72" s="1074"/>
      <c r="AT72" s="1074"/>
      <c r="AU72" s="1074"/>
      <c r="AV72" s="1074"/>
      <c r="AW72" s="1074"/>
      <c r="AX72" s="1079"/>
    </row>
    <row r="73" spans="1:50" x14ac:dyDescent="0.25">
      <c r="A73" s="1080"/>
      <c r="B73" s="1081"/>
      <c r="C73" s="1081"/>
      <c r="D73" s="1081"/>
      <c r="E73" s="1081"/>
      <c r="F73" s="1081"/>
      <c r="G73" s="1081"/>
      <c r="H73" s="1081"/>
      <c r="I73" s="1081"/>
      <c r="J73" s="1081"/>
      <c r="K73" s="1081"/>
      <c r="L73" s="1081"/>
      <c r="M73" s="1081"/>
      <c r="N73" s="1081"/>
      <c r="O73" s="1081"/>
      <c r="P73" s="1081"/>
      <c r="Q73" s="1081"/>
      <c r="R73" s="1081"/>
      <c r="S73" s="1081"/>
      <c r="T73" s="1081"/>
      <c r="U73" s="1081"/>
      <c r="V73" s="1081"/>
      <c r="W73" s="1081"/>
      <c r="X73" s="1081"/>
      <c r="Y73" s="1082"/>
      <c r="Z73" s="693"/>
      <c r="AA73" s="694"/>
      <c r="AB73" s="694"/>
      <c r="AC73" s="694"/>
      <c r="AD73" s="694"/>
      <c r="AE73" s="694"/>
      <c r="AF73" s="1074"/>
      <c r="AG73" s="1074"/>
      <c r="AH73" s="1074"/>
      <c r="AI73" s="1074"/>
      <c r="AJ73" s="1074"/>
      <c r="AK73" s="1074"/>
      <c r="AL73" s="1074"/>
      <c r="AM73" s="1074"/>
      <c r="AN73" s="1074"/>
      <c r="AO73" s="1074"/>
      <c r="AP73" s="1074"/>
      <c r="AQ73" s="1074"/>
      <c r="AR73" s="1074"/>
      <c r="AS73" s="1074"/>
      <c r="AT73" s="1074"/>
      <c r="AU73" s="1074"/>
      <c r="AV73" s="1074"/>
      <c r="AW73" s="1074"/>
      <c r="AX73" s="1079"/>
    </row>
    <row r="74" spans="1:50" x14ac:dyDescent="0.25">
      <c r="A74" s="1083"/>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5"/>
      <c r="Z74" s="693"/>
      <c r="AA74" s="694"/>
      <c r="AB74" s="694"/>
      <c r="AC74" s="694"/>
      <c r="AD74" s="694"/>
      <c r="AE74" s="694"/>
      <c r="AF74" s="1074"/>
      <c r="AG74" s="1074"/>
      <c r="AH74" s="1074"/>
      <c r="AI74" s="1074"/>
      <c r="AJ74" s="1074"/>
      <c r="AK74" s="1074"/>
      <c r="AL74" s="1074"/>
      <c r="AM74" s="1074"/>
      <c r="AN74" s="1074"/>
      <c r="AO74" s="1074"/>
      <c r="AP74" s="1074"/>
      <c r="AQ74" s="1074"/>
      <c r="AR74" s="1074"/>
      <c r="AS74" s="1074"/>
      <c r="AT74" s="1074"/>
      <c r="AU74" s="1074"/>
      <c r="AV74" s="1074"/>
      <c r="AW74" s="1074"/>
      <c r="AX74" s="1079"/>
    </row>
    <row r="75" spans="1:50" x14ac:dyDescent="0.25">
      <c r="A75" s="1083"/>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5"/>
      <c r="Z75" s="693"/>
      <c r="AA75" s="694"/>
      <c r="AB75" s="694"/>
      <c r="AC75" s="694"/>
      <c r="AD75" s="694"/>
      <c r="AE75" s="694"/>
      <c r="AF75" s="1074"/>
      <c r="AG75" s="1074"/>
      <c r="AH75" s="1074"/>
      <c r="AI75" s="1074"/>
      <c r="AJ75" s="1074"/>
      <c r="AK75" s="1074"/>
      <c r="AL75" s="1074"/>
      <c r="AM75" s="1074"/>
      <c r="AN75" s="1074"/>
      <c r="AO75" s="1074"/>
      <c r="AP75" s="1074"/>
      <c r="AQ75" s="1074"/>
      <c r="AR75" s="1074"/>
      <c r="AS75" s="1074"/>
      <c r="AT75" s="1074"/>
      <c r="AU75" s="1074"/>
      <c r="AV75" s="1074"/>
      <c r="AW75" s="1074"/>
      <c r="AX75" s="1079"/>
    </row>
    <row r="76" spans="1:50" x14ac:dyDescent="0.25">
      <c r="A76" s="1083"/>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5"/>
      <c r="Z76" s="693"/>
      <c r="AA76" s="694"/>
      <c r="AB76" s="694"/>
      <c r="AC76" s="694"/>
      <c r="AD76" s="694"/>
      <c r="AE76" s="694"/>
      <c r="AF76" s="1074"/>
      <c r="AG76" s="1074"/>
      <c r="AH76" s="1074"/>
      <c r="AI76" s="1074"/>
      <c r="AJ76" s="1074"/>
      <c r="AK76" s="1074"/>
      <c r="AL76" s="1074"/>
      <c r="AM76" s="1074"/>
      <c r="AN76" s="1074"/>
      <c r="AO76" s="1074"/>
      <c r="AP76" s="1074"/>
      <c r="AQ76" s="1074"/>
      <c r="AR76" s="1074"/>
      <c r="AS76" s="1074"/>
      <c r="AT76" s="1074"/>
      <c r="AU76" s="1074"/>
      <c r="AV76" s="1074"/>
      <c r="AW76" s="1074"/>
      <c r="AX76" s="1079"/>
    </row>
    <row r="77" spans="1:50" x14ac:dyDescent="0.25">
      <c r="A77" s="1083"/>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5"/>
      <c r="Z77" s="693"/>
      <c r="AA77" s="694"/>
      <c r="AB77" s="694"/>
      <c r="AC77" s="694"/>
      <c r="AD77" s="694"/>
      <c r="AE77" s="694"/>
      <c r="AF77" s="1074"/>
      <c r="AG77" s="1074"/>
      <c r="AH77" s="1074"/>
      <c r="AI77" s="1074"/>
      <c r="AJ77" s="1074"/>
      <c r="AK77" s="1074"/>
      <c r="AL77" s="1074"/>
      <c r="AM77" s="1074"/>
      <c r="AN77" s="1074"/>
      <c r="AO77" s="1074"/>
      <c r="AP77" s="1074"/>
      <c r="AQ77" s="1074"/>
      <c r="AR77" s="1074"/>
      <c r="AS77" s="1074"/>
      <c r="AT77" s="1074"/>
      <c r="AU77" s="1074"/>
      <c r="AV77" s="1074"/>
      <c r="AW77" s="1074"/>
      <c r="AX77" s="1079"/>
    </row>
    <row r="78" spans="1:50" x14ac:dyDescent="0.25">
      <c r="A78" s="1083"/>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5"/>
      <c r="Z78" s="693"/>
      <c r="AA78" s="694"/>
      <c r="AB78" s="694"/>
      <c r="AC78" s="694"/>
      <c r="AD78" s="694"/>
      <c r="AE78" s="694"/>
      <c r="AF78" s="1074"/>
      <c r="AG78" s="1074"/>
      <c r="AH78" s="1074"/>
      <c r="AI78" s="1074"/>
      <c r="AJ78" s="1074"/>
      <c r="AK78" s="1074"/>
      <c r="AL78" s="1074"/>
      <c r="AM78" s="1074"/>
      <c r="AN78" s="1074"/>
      <c r="AO78" s="1074"/>
      <c r="AP78" s="1074"/>
      <c r="AQ78" s="1074"/>
      <c r="AR78" s="1074"/>
      <c r="AS78" s="1074"/>
      <c r="AT78" s="1074"/>
      <c r="AU78" s="1074"/>
      <c r="AV78" s="1074"/>
      <c r="AW78" s="1074"/>
      <c r="AX78" s="1079"/>
    </row>
    <row r="79" spans="1:50" x14ac:dyDescent="0.25">
      <c r="A79" s="1083"/>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5"/>
      <c r="Z79" s="693"/>
      <c r="AA79" s="694"/>
      <c r="AB79" s="694"/>
      <c r="AC79" s="694"/>
      <c r="AD79" s="694"/>
      <c r="AE79" s="694"/>
      <c r="AF79" s="1074"/>
      <c r="AG79" s="1074"/>
      <c r="AH79" s="1074"/>
      <c r="AI79" s="1074"/>
      <c r="AJ79" s="1074"/>
      <c r="AK79" s="1074"/>
      <c r="AL79" s="1074"/>
      <c r="AM79" s="1074"/>
      <c r="AN79" s="1074"/>
      <c r="AO79" s="1074"/>
      <c r="AP79" s="1074"/>
      <c r="AQ79" s="1074"/>
      <c r="AR79" s="1074"/>
      <c r="AS79" s="1074"/>
      <c r="AT79" s="1074"/>
      <c r="AU79" s="1074"/>
      <c r="AV79" s="1074"/>
      <c r="AW79" s="1074"/>
      <c r="AX79" s="1079"/>
    </row>
    <row r="80" spans="1:50" x14ac:dyDescent="0.25">
      <c r="A80" s="1083"/>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5"/>
      <c r="Z80" s="693"/>
      <c r="AA80" s="694"/>
      <c r="AB80" s="694"/>
      <c r="AC80" s="694"/>
      <c r="AD80" s="694"/>
      <c r="AE80" s="694"/>
      <c r="AF80" s="1074"/>
      <c r="AG80" s="1074"/>
      <c r="AH80" s="1074"/>
      <c r="AI80" s="1074"/>
      <c r="AJ80" s="1074"/>
      <c r="AK80" s="1074"/>
      <c r="AL80" s="1074"/>
      <c r="AM80" s="1074"/>
      <c r="AN80" s="1074"/>
      <c r="AO80" s="1074"/>
      <c r="AP80" s="1074"/>
      <c r="AQ80" s="1074"/>
      <c r="AR80" s="1074"/>
      <c r="AS80" s="1074"/>
      <c r="AT80" s="1074"/>
      <c r="AU80" s="1074"/>
      <c r="AV80" s="1074"/>
      <c r="AW80" s="1074"/>
      <c r="AX80" s="1079"/>
    </row>
    <row r="81" spans="1:50" x14ac:dyDescent="0.25">
      <c r="A81" s="1083"/>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5"/>
      <c r="Z81" s="693"/>
      <c r="AA81" s="694"/>
      <c r="AB81" s="694"/>
      <c r="AC81" s="694"/>
      <c r="AD81" s="694"/>
      <c r="AE81" s="694"/>
      <c r="AF81" s="1074"/>
      <c r="AG81" s="1074"/>
      <c r="AH81" s="1074"/>
      <c r="AI81" s="1074"/>
      <c r="AJ81" s="1074"/>
      <c r="AK81" s="1074"/>
      <c r="AL81" s="1074"/>
      <c r="AM81" s="1074"/>
      <c r="AN81" s="1074"/>
      <c r="AO81" s="1074"/>
      <c r="AP81" s="1074"/>
      <c r="AQ81" s="1074"/>
      <c r="AR81" s="1074"/>
      <c r="AS81" s="1074"/>
      <c r="AT81" s="1074"/>
      <c r="AU81" s="1074"/>
      <c r="AV81" s="1074"/>
      <c r="AW81" s="1074"/>
      <c r="AX81" s="1079"/>
    </row>
    <row r="82" spans="1:50" ht="15.75" thickBot="1" x14ac:dyDescent="0.3">
      <c r="A82" s="1086"/>
      <c r="B82" s="1087"/>
      <c r="C82" s="1087"/>
      <c r="D82" s="1087"/>
      <c r="E82" s="1087"/>
      <c r="F82" s="1087"/>
      <c r="G82" s="1087"/>
      <c r="H82" s="1087"/>
      <c r="I82" s="1087"/>
      <c r="J82" s="1087"/>
      <c r="K82" s="1087"/>
      <c r="L82" s="1087"/>
      <c r="M82" s="1087"/>
      <c r="N82" s="1087"/>
      <c r="O82" s="1087"/>
      <c r="P82" s="1087"/>
      <c r="Q82" s="1087"/>
      <c r="R82" s="1087"/>
      <c r="S82" s="1087"/>
      <c r="T82" s="1087"/>
      <c r="U82" s="1087"/>
      <c r="V82" s="1087"/>
      <c r="W82" s="1087"/>
      <c r="X82" s="1087"/>
      <c r="Y82" s="1088"/>
      <c r="Z82" s="693"/>
      <c r="AA82" s="694"/>
      <c r="AB82" s="694"/>
      <c r="AC82" s="694"/>
      <c r="AD82" s="694"/>
      <c r="AE82" s="694"/>
      <c r="AF82" s="1074"/>
      <c r="AG82" s="1074"/>
      <c r="AH82" s="1074"/>
      <c r="AI82" s="1074"/>
      <c r="AJ82" s="1074"/>
      <c r="AK82" s="1074"/>
      <c r="AL82" s="1074"/>
      <c r="AM82" s="1074"/>
      <c r="AN82" s="1074"/>
      <c r="AO82" s="1074"/>
      <c r="AP82" s="1074"/>
      <c r="AQ82" s="1074"/>
      <c r="AR82" s="1074"/>
      <c r="AS82" s="1074"/>
      <c r="AT82" s="1074"/>
      <c r="AU82" s="1074"/>
      <c r="AV82" s="1074"/>
      <c r="AW82" s="1074"/>
      <c r="AX82" s="1079"/>
    </row>
    <row r="83" spans="1:50" x14ac:dyDescent="0.25">
      <c r="A83" s="742" t="s">
        <v>0</v>
      </c>
      <c r="B83" s="743"/>
      <c r="C83" s="743"/>
      <c r="D83" s="790"/>
      <c r="E83" s="790"/>
      <c r="F83" s="790"/>
      <c r="G83" s="790"/>
      <c r="H83" s="790"/>
      <c r="I83" s="790"/>
      <c r="J83" s="790"/>
      <c r="K83" s="790"/>
      <c r="L83" s="790"/>
      <c r="M83" s="743" t="s">
        <v>75</v>
      </c>
      <c r="N83" s="743"/>
      <c r="O83" s="743"/>
      <c r="P83" s="790"/>
      <c r="Q83" s="790"/>
      <c r="R83" s="790"/>
      <c r="S83" s="790"/>
      <c r="T83" s="790"/>
      <c r="U83" s="790"/>
      <c r="V83" s="790"/>
      <c r="W83" s="790"/>
      <c r="X83" s="790"/>
      <c r="Y83" s="791"/>
      <c r="Z83" s="693"/>
      <c r="AA83" s="694"/>
      <c r="AB83" s="694"/>
      <c r="AC83" s="694"/>
      <c r="AD83" s="694"/>
      <c r="AE83" s="694"/>
      <c r="AF83" s="1074"/>
      <c r="AG83" s="1074"/>
      <c r="AH83" s="1074"/>
      <c r="AI83" s="1074"/>
      <c r="AJ83" s="1074"/>
      <c r="AK83" s="1074"/>
      <c r="AL83" s="1074"/>
      <c r="AM83" s="1074"/>
      <c r="AN83" s="1074"/>
      <c r="AO83" s="1074"/>
      <c r="AP83" s="1074"/>
      <c r="AQ83" s="1074"/>
      <c r="AR83" s="1074"/>
      <c r="AS83" s="1074"/>
      <c r="AT83" s="1074"/>
      <c r="AU83" s="1074"/>
      <c r="AV83" s="1074"/>
      <c r="AW83" s="1074"/>
      <c r="AX83" s="1079"/>
    </row>
    <row r="84" spans="1:50" x14ac:dyDescent="0.25">
      <c r="A84" s="1080"/>
      <c r="B84" s="1081"/>
      <c r="C84" s="1081"/>
      <c r="D84" s="1081"/>
      <c r="E84" s="1081"/>
      <c r="F84" s="1081"/>
      <c r="G84" s="1081"/>
      <c r="H84" s="1081"/>
      <c r="I84" s="1081"/>
      <c r="J84" s="1081"/>
      <c r="K84" s="1081"/>
      <c r="L84" s="1081"/>
      <c r="M84" s="1081"/>
      <c r="N84" s="1081"/>
      <c r="O84" s="1081"/>
      <c r="P84" s="1081"/>
      <c r="Q84" s="1081"/>
      <c r="R84" s="1081"/>
      <c r="S84" s="1081"/>
      <c r="T84" s="1081"/>
      <c r="U84" s="1081"/>
      <c r="V84" s="1081"/>
      <c r="W84" s="1081"/>
      <c r="X84" s="1081"/>
      <c r="Y84" s="1082"/>
      <c r="Z84" s="693"/>
      <c r="AA84" s="694"/>
      <c r="AB84" s="694"/>
      <c r="AC84" s="694"/>
      <c r="AD84" s="694"/>
      <c r="AE84" s="694"/>
      <c r="AF84" s="1074"/>
      <c r="AG84" s="1074"/>
      <c r="AH84" s="1074"/>
      <c r="AI84" s="1074"/>
      <c r="AJ84" s="1074"/>
      <c r="AK84" s="1074"/>
      <c r="AL84" s="1074"/>
      <c r="AM84" s="1074"/>
      <c r="AN84" s="1074"/>
      <c r="AO84" s="1074"/>
      <c r="AP84" s="1074"/>
      <c r="AQ84" s="1074"/>
      <c r="AR84" s="1074"/>
      <c r="AS84" s="1074"/>
      <c r="AT84" s="1074"/>
      <c r="AU84" s="1074"/>
      <c r="AV84" s="1074"/>
      <c r="AW84" s="1074"/>
      <c r="AX84" s="1079"/>
    </row>
    <row r="85" spans="1:50" x14ac:dyDescent="0.25">
      <c r="A85" s="1083"/>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5"/>
      <c r="Z85" s="693"/>
      <c r="AA85" s="694"/>
      <c r="AB85" s="694"/>
      <c r="AC85" s="694"/>
      <c r="AD85" s="694"/>
      <c r="AE85" s="694"/>
      <c r="AF85" s="1074"/>
      <c r="AG85" s="1074"/>
      <c r="AH85" s="1074"/>
      <c r="AI85" s="1074"/>
      <c r="AJ85" s="1074"/>
      <c r="AK85" s="1074"/>
      <c r="AL85" s="1074"/>
      <c r="AM85" s="1074"/>
      <c r="AN85" s="1074"/>
      <c r="AO85" s="1074"/>
      <c r="AP85" s="1074"/>
      <c r="AQ85" s="1074"/>
      <c r="AR85" s="1074"/>
      <c r="AS85" s="1074"/>
      <c r="AT85" s="1074"/>
      <c r="AU85" s="1074"/>
      <c r="AV85" s="1074"/>
      <c r="AW85" s="1074"/>
      <c r="AX85" s="1079"/>
    </row>
    <row r="86" spans="1:50" x14ac:dyDescent="0.25">
      <c r="A86" s="1083"/>
      <c r="B86" s="1084"/>
      <c r="C86" s="1084"/>
      <c r="D86" s="1084"/>
      <c r="E86" s="1084"/>
      <c r="F86" s="1084"/>
      <c r="G86" s="1084"/>
      <c r="H86" s="1084"/>
      <c r="I86" s="1084"/>
      <c r="J86" s="1084"/>
      <c r="K86" s="1084"/>
      <c r="L86" s="1084"/>
      <c r="M86" s="1084"/>
      <c r="N86" s="1084"/>
      <c r="O86" s="1084"/>
      <c r="P86" s="1084"/>
      <c r="Q86" s="1084"/>
      <c r="R86" s="1084"/>
      <c r="S86" s="1084"/>
      <c r="T86" s="1084"/>
      <c r="U86" s="1084"/>
      <c r="V86" s="1084"/>
      <c r="W86" s="1084"/>
      <c r="X86" s="1084"/>
      <c r="Y86" s="1085"/>
      <c r="Z86" s="693"/>
      <c r="AA86" s="694"/>
      <c r="AB86" s="694"/>
      <c r="AC86" s="694"/>
      <c r="AD86" s="694"/>
      <c r="AE86" s="694"/>
      <c r="AF86" s="1074"/>
      <c r="AG86" s="1074"/>
      <c r="AH86" s="1074"/>
      <c r="AI86" s="1074"/>
      <c r="AJ86" s="1074"/>
      <c r="AK86" s="1074"/>
      <c r="AL86" s="1074"/>
      <c r="AM86" s="1074"/>
      <c r="AN86" s="1074"/>
      <c r="AO86" s="1074"/>
      <c r="AP86" s="1074"/>
      <c r="AQ86" s="1074"/>
      <c r="AR86" s="1074"/>
      <c r="AS86" s="1074"/>
      <c r="AT86" s="1074"/>
      <c r="AU86" s="1074"/>
      <c r="AV86" s="1074"/>
      <c r="AW86" s="1074"/>
      <c r="AX86" s="1079"/>
    </row>
    <row r="87" spans="1:50" x14ac:dyDescent="0.25">
      <c r="A87" s="1083"/>
      <c r="B87" s="1084"/>
      <c r="C87" s="1084"/>
      <c r="D87" s="1084"/>
      <c r="E87" s="1084"/>
      <c r="F87" s="1084"/>
      <c r="G87" s="1084"/>
      <c r="H87" s="1084"/>
      <c r="I87" s="1084"/>
      <c r="J87" s="1084"/>
      <c r="K87" s="1084"/>
      <c r="L87" s="1084"/>
      <c r="M87" s="1084"/>
      <c r="N87" s="1084"/>
      <c r="O87" s="1084"/>
      <c r="P87" s="1084"/>
      <c r="Q87" s="1084"/>
      <c r="R87" s="1084"/>
      <c r="S87" s="1084"/>
      <c r="T87" s="1084"/>
      <c r="U87" s="1084"/>
      <c r="V87" s="1084"/>
      <c r="W87" s="1084"/>
      <c r="X87" s="1084"/>
      <c r="Y87" s="1085"/>
      <c r="Z87" s="693"/>
      <c r="AA87" s="694"/>
      <c r="AB87" s="694"/>
      <c r="AC87" s="694"/>
      <c r="AD87" s="694"/>
      <c r="AE87" s="694"/>
      <c r="AF87" s="1074"/>
      <c r="AG87" s="1074"/>
      <c r="AH87" s="1074"/>
      <c r="AI87" s="1074"/>
      <c r="AJ87" s="1074"/>
      <c r="AK87" s="1074"/>
      <c r="AL87" s="1074"/>
      <c r="AM87" s="1074"/>
      <c r="AN87" s="1074"/>
      <c r="AO87" s="1074"/>
      <c r="AP87" s="1074"/>
      <c r="AQ87" s="1074"/>
      <c r="AR87" s="1074"/>
      <c r="AS87" s="1074"/>
      <c r="AT87" s="1074"/>
      <c r="AU87" s="1074"/>
      <c r="AV87" s="1074"/>
      <c r="AW87" s="1074"/>
      <c r="AX87" s="1079"/>
    </row>
    <row r="88" spans="1:50" x14ac:dyDescent="0.25">
      <c r="A88" s="1083"/>
      <c r="B88" s="1084"/>
      <c r="C88" s="1084"/>
      <c r="D88" s="1084"/>
      <c r="E88" s="1084"/>
      <c r="F88" s="1084"/>
      <c r="G88" s="1084"/>
      <c r="H88" s="1084"/>
      <c r="I88" s="1084"/>
      <c r="J88" s="1084"/>
      <c r="K88" s="1084"/>
      <c r="L88" s="1084"/>
      <c r="M88" s="1084"/>
      <c r="N88" s="1084"/>
      <c r="O88" s="1084"/>
      <c r="P88" s="1084"/>
      <c r="Q88" s="1084"/>
      <c r="R88" s="1084"/>
      <c r="S88" s="1084"/>
      <c r="T88" s="1084"/>
      <c r="U88" s="1084"/>
      <c r="V88" s="1084"/>
      <c r="W88" s="1084"/>
      <c r="X88" s="1084"/>
      <c r="Y88" s="1085"/>
      <c r="Z88" s="693"/>
      <c r="AA88" s="694"/>
      <c r="AB88" s="694"/>
      <c r="AC88" s="694"/>
      <c r="AD88" s="694"/>
      <c r="AE88" s="694"/>
      <c r="AF88" s="1074"/>
      <c r="AG88" s="1074"/>
      <c r="AH88" s="1074"/>
      <c r="AI88" s="1074"/>
      <c r="AJ88" s="1074"/>
      <c r="AK88" s="1074"/>
      <c r="AL88" s="1074"/>
      <c r="AM88" s="1074"/>
      <c r="AN88" s="1074"/>
      <c r="AO88" s="1074"/>
      <c r="AP88" s="1074"/>
      <c r="AQ88" s="1074"/>
      <c r="AR88" s="1074"/>
      <c r="AS88" s="1074"/>
      <c r="AT88" s="1074"/>
      <c r="AU88" s="1074"/>
      <c r="AV88" s="1074"/>
      <c r="AW88" s="1074"/>
      <c r="AX88" s="1079"/>
    </row>
    <row r="89" spans="1:50" x14ac:dyDescent="0.25">
      <c r="A89" s="1083"/>
      <c r="B89" s="1084"/>
      <c r="C89" s="1084"/>
      <c r="D89" s="1084"/>
      <c r="E89" s="1084"/>
      <c r="F89" s="1084"/>
      <c r="G89" s="1084"/>
      <c r="H89" s="1084"/>
      <c r="I89" s="1084"/>
      <c r="J89" s="1084"/>
      <c r="K89" s="1084"/>
      <c r="L89" s="1084"/>
      <c r="M89" s="1084"/>
      <c r="N89" s="1084"/>
      <c r="O89" s="1084"/>
      <c r="P89" s="1084"/>
      <c r="Q89" s="1084"/>
      <c r="R89" s="1084"/>
      <c r="S89" s="1084"/>
      <c r="T89" s="1084"/>
      <c r="U89" s="1084"/>
      <c r="V89" s="1084"/>
      <c r="W89" s="1084"/>
      <c r="X89" s="1084"/>
      <c r="Y89" s="1085"/>
      <c r="Z89" s="693"/>
      <c r="AA89" s="694"/>
      <c r="AB89" s="694"/>
      <c r="AC89" s="694"/>
      <c r="AD89" s="694"/>
      <c r="AE89" s="694"/>
      <c r="AF89" s="1074"/>
      <c r="AG89" s="1074"/>
      <c r="AH89" s="1074"/>
      <c r="AI89" s="1074"/>
      <c r="AJ89" s="1074"/>
      <c r="AK89" s="1074"/>
      <c r="AL89" s="1074"/>
      <c r="AM89" s="1074"/>
      <c r="AN89" s="1074"/>
      <c r="AO89" s="1074"/>
      <c r="AP89" s="1074"/>
      <c r="AQ89" s="1074"/>
      <c r="AR89" s="1074"/>
      <c r="AS89" s="1074"/>
      <c r="AT89" s="1074"/>
      <c r="AU89" s="1074"/>
      <c r="AV89" s="1074"/>
      <c r="AW89" s="1074"/>
      <c r="AX89" s="1079"/>
    </row>
    <row r="90" spans="1:50" x14ac:dyDescent="0.25">
      <c r="A90" s="1083"/>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5"/>
      <c r="Z90" s="693"/>
      <c r="AA90" s="694"/>
      <c r="AB90" s="694"/>
      <c r="AC90" s="694"/>
      <c r="AD90" s="694"/>
      <c r="AE90" s="694"/>
      <c r="AF90" s="1074"/>
      <c r="AG90" s="1074"/>
      <c r="AH90" s="1074"/>
      <c r="AI90" s="1074"/>
      <c r="AJ90" s="1074"/>
      <c r="AK90" s="1074"/>
      <c r="AL90" s="1074"/>
      <c r="AM90" s="1074"/>
      <c r="AN90" s="1074"/>
      <c r="AO90" s="1074"/>
      <c r="AP90" s="1074"/>
      <c r="AQ90" s="1074"/>
      <c r="AR90" s="1074"/>
      <c r="AS90" s="1074"/>
      <c r="AT90" s="1074"/>
      <c r="AU90" s="1074"/>
      <c r="AV90" s="1074"/>
      <c r="AW90" s="1074"/>
      <c r="AX90" s="1079"/>
    </row>
    <row r="91" spans="1:50" x14ac:dyDescent="0.25">
      <c r="A91" s="1083"/>
      <c r="B91" s="1084"/>
      <c r="C91" s="1084"/>
      <c r="D91" s="1084"/>
      <c r="E91" s="1084"/>
      <c r="F91" s="1084"/>
      <c r="G91" s="1084"/>
      <c r="H91" s="1084"/>
      <c r="I91" s="1084"/>
      <c r="J91" s="1084"/>
      <c r="K91" s="1084"/>
      <c r="L91" s="1084"/>
      <c r="M91" s="1084"/>
      <c r="N91" s="1084"/>
      <c r="O91" s="1084"/>
      <c r="P91" s="1084"/>
      <c r="Q91" s="1084"/>
      <c r="R91" s="1084"/>
      <c r="S91" s="1084"/>
      <c r="T91" s="1084"/>
      <c r="U91" s="1084"/>
      <c r="V91" s="1084"/>
      <c r="W91" s="1084"/>
      <c r="X91" s="1084"/>
      <c r="Y91" s="1085"/>
      <c r="Z91" s="693"/>
      <c r="AA91" s="694"/>
      <c r="AB91" s="694"/>
      <c r="AC91" s="694"/>
      <c r="AD91" s="694"/>
      <c r="AE91" s="694"/>
      <c r="AF91" s="1074"/>
      <c r="AG91" s="1074"/>
      <c r="AH91" s="1074"/>
      <c r="AI91" s="1074"/>
      <c r="AJ91" s="1074"/>
      <c r="AK91" s="1074"/>
      <c r="AL91" s="1074"/>
      <c r="AM91" s="1074"/>
      <c r="AN91" s="1074"/>
      <c r="AO91" s="1074"/>
      <c r="AP91" s="1074"/>
      <c r="AQ91" s="1074"/>
      <c r="AR91" s="1074"/>
      <c r="AS91" s="1074"/>
      <c r="AT91" s="1074"/>
      <c r="AU91" s="1074"/>
      <c r="AV91" s="1074"/>
      <c r="AW91" s="1074"/>
      <c r="AX91" s="1079"/>
    </row>
    <row r="92" spans="1:50" x14ac:dyDescent="0.25">
      <c r="A92" s="1083"/>
      <c r="B92" s="1084"/>
      <c r="C92" s="1084"/>
      <c r="D92" s="1084"/>
      <c r="E92" s="1084"/>
      <c r="F92" s="1084"/>
      <c r="G92" s="1084"/>
      <c r="H92" s="1084"/>
      <c r="I92" s="1084"/>
      <c r="J92" s="1084"/>
      <c r="K92" s="1084"/>
      <c r="L92" s="1084"/>
      <c r="M92" s="1084"/>
      <c r="N92" s="1084"/>
      <c r="O92" s="1084"/>
      <c r="P92" s="1084"/>
      <c r="Q92" s="1084"/>
      <c r="R92" s="1084"/>
      <c r="S92" s="1084"/>
      <c r="T92" s="1084"/>
      <c r="U92" s="1084"/>
      <c r="V92" s="1084"/>
      <c r="W92" s="1084"/>
      <c r="X92" s="1084"/>
      <c r="Y92" s="1085"/>
      <c r="Z92" s="693"/>
      <c r="AA92" s="694"/>
      <c r="AB92" s="694"/>
      <c r="AC92" s="694"/>
      <c r="AD92" s="694"/>
      <c r="AE92" s="694"/>
      <c r="AF92" s="1074"/>
      <c r="AG92" s="1074"/>
      <c r="AH92" s="1074"/>
      <c r="AI92" s="1074"/>
      <c r="AJ92" s="1074"/>
      <c r="AK92" s="1074"/>
      <c r="AL92" s="1074"/>
      <c r="AM92" s="1074"/>
      <c r="AN92" s="1074"/>
      <c r="AO92" s="1074"/>
      <c r="AP92" s="1074"/>
      <c r="AQ92" s="1074"/>
      <c r="AR92" s="1074"/>
      <c r="AS92" s="1074"/>
      <c r="AT92" s="1074"/>
      <c r="AU92" s="1074"/>
      <c r="AV92" s="1074"/>
      <c r="AW92" s="1074"/>
      <c r="AX92" s="1079"/>
    </row>
    <row r="93" spans="1:50" x14ac:dyDescent="0.25">
      <c r="A93" s="1083"/>
      <c r="B93" s="1084"/>
      <c r="C93" s="1084"/>
      <c r="D93" s="1084"/>
      <c r="E93" s="1084"/>
      <c r="F93" s="1084"/>
      <c r="G93" s="1084"/>
      <c r="H93" s="1084"/>
      <c r="I93" s="1084"/>
      <c r="J93" s="1084"/>
      <c r="K93" s="1084"/>
      <c r="L93" s="1084"/>
      <c r="M93" s="1084"/>
      <c r="N93" s="1084"/>
      <c r="O93" s="1084"/>
      <c r="P93" s="1084"/>
      <c r="Q93" s="1084"/>
      <c r="R93" s="1084"/>
      <c r="S93" s="1084"/>
      <c r="T93" s="1084"/>
      <c r="U93" s="1084"/>
      <c r="V93" s="1084"/>
      <c r="W93" s="1084"/>
      <c r="X93" s="1084"/>
      <c r="Y93" s="1085"/>
      <c r="Z93" s="693"/>
      <c r="AA93" s="694"/>
      <c r="AB93" s="694"/>
      <c r="AC93" s="694"/>
      <c r="AD93" s="694"/>
      <c r="AE93" s="694"/>
      <c r="AF93" s="1074"/>
      <c r="AG93" s="1074"/>
      <c r="AH93" s="1074"/>
      <c r="AI93" s="1074"/>
      <c r="AJ93" s="1074"/>
      <c r="AK93" s="1074"/>
      <c r="AL93" s="1074"/>
      <c r="AM93" s="1074"/>
      <c r="AN93" s="1074"/>
      <c r="AO93" s="1074"/>
      <c r="AP93" s="1074"/>
      <c r="AQ93" s="1074"/>
      <c r="AR93" s="1074"/>
      <c r="AS93" s="1074"/>
      <c r="AT93" s="1074"/>
      <c r="AU93" s="1074"/>
      <c r="AV93" s="1074"/>
      <c r="AW93" s="1074"/>
      <c r="AX93" s="1079"/>
    </row>
    <row r="94" spans="1:50" ht="15.75" thickBot="1" x14ac:dyDescent="0.3">
      <c r="A94" s="1089"/>
      <c r="B94" s="1090"/>
      <c r="C94" s="1090"/>
      <c r="D94" s="1090"/>
      <c r="E94" s="1090"/>
      <c r="F94" s="1090"/>
      <c r="G94" s="1090"/>
      <c r="H94" s="1090"/>
      <c r="I94" s="1090"/>
      <c r="J94" s="1090"/>
      <c r="K94" s="1090"/>
      <c r="L94" s="1090"/>
      <c r="M94" s="1090"/>
      <c r="N94" s="1090"/>
      <c r="O94" s="1090"/>
      <c r="P94" s="1090"/>
      <c r="Q94" s="1090"/>
      <c r="R94" s="1090"/>
      <c r="S94" s="1090"/>
      <c r="T94" s="1090"/>
      <c r="U94" s="1090"/>
      <c r="V94" s="1090"/>
      <c r="W94" s="1090"/>
      <c r="X94" s="1090"/>
      <c r="Y94" s="1091"/>
      <c r="Z94" s="693"/>
      <c r="AA94" s="694"/>
      <c r="AB94" s="694"/>
      <c r="AC94" s="694"/>
      <c r="AD94" s="694"/>
      <c r="AE94" s="694"/>
      <c r="AF94" s="1074"/>
      <c r="AG94" s="1074"/>
      <c r="AH94" s="1074"/>
      <c r="AI94" s="1074"/>
      <c r="AJ94" s="1074"/>
      <c r="AK94" s="1074"/>
      <c r="AL94" s="1074"/>
      <c r="AM94" s="1074"/>
      <c r="AN94" s="1074"/>
      <c r="AO94" s="1074"/>
      <c r="AP94" s="1074"/>
      <c r="AQ94" s="1074"/>
      <c r="AR94" s="1074"/>
      <c r="AS94" s="1074"/>
      <c r="AT94" s="1074"/>
      <c r="AU94" s="1074"/>
      <c r="AV94" s="1074"/>
      <c r="AW94" s="1074"/>
      <c r="AX94" s="1079"/>
    </row>
  </sheetData>
  <sheetProtection password="E9C2" sheet="1" objects="1" scenarios="1" selectLockedCells="1"/>
  <mergeCells count="182">
    <mergeCell ref="Z91:AE92"/>
    <mergeCell ref="AF91:AG92"/>
    <mergeCell ref="AH91:AX92"/>
    <mergeCell ref="Z93:AE94"/>
    <mergeCell ref="AF93:AG94"/>
    <mergeCell ref="AH93:AX94"/>
    <mergeCell ref="Z85:AE86"/>
    <mergeCell ref="AF85:AG86"/>
    <mergeCell ref="AH85:AX86"/>
    <mergeCell ref="Z87:AE88"/>
    <mergeCell ref="AF87:AG88"/>
    <mergeCell ref="AH87:AX88"/>
    <mergeCell ref="Z89:AE90"/>
    <mergeCell ref="AF89:AG90"/>
    <mergeCell ref="AH89:AX90"/>
    <mergeCell ref="Z79:AE80"/>
    <mergeCell ref="AF79:AG80"/>
    <mergeCell ref="AH79:AX80"/>
    <mergeCell ref="Z81:AE82"/>
    <mergeCell ref="AF81:AG82"/>
    <mergeCell ref="AH81:AX82"/>
    <mergeCell ref="Z83:AE84"/>
    <mergeCell ref="AF83:AG84"/>
    <mergeCell ref="AH83:AX84"/>
    <mergeCell ref="Z73:AE74"/>
    <mergeCell ref="AF73:AG74"/>
    <mergeCell ref="AH73:AX74"/>
    <mergeCell ref="Z75:AE76"/>
    <mergeCell ref="AF75:AG76"/>
    <mergeCell ref="AH75:AX76"/>
    <mergeCell ref="Z77:AE78"/>
    <mergeCell ref="AF77:AG78"/>
    <mergeCell ref="AH77:AX78"/>
    <mergeCell ref="Z67:AE68"/>
    <mergeCell ref="AF67:AG68"/>
    <mergeCell ref="AH67:AX68"/>
    <mergeCell ref="Z69:AE70"/>
    <mergeCell ref="AF69:AG70"/>
    <mergeCell ref="AH69:AX70"/>
    <mergeCell ref="Z71:AE72"/>
    <mergeCell ref="AF71:AG72"/>
    <mergeCell ref="AH71:AX72"/>
    <mergeCell ref="Z61:AE62"/>
    <mergeCell ref="AF61:AG62"/>
    <mergeCell ref="AH61:AX62"/>
    <mergeCell ref="Z63:AE64"/>
    <mergeCell ref="AF63:AG64"/>
    <mergeCell ref="AH63:AX64"/>
    <mergeCell ref="Z65:AE66"/>
    <mergeCell ref="AF65:AG66"/>
    <mergeCell ref="AH65:AX66"/>
    <mergeCell ref="Z55:AE56"/>
    <mergeCell ref="AF55:AG56"/>
    <mergeCell ref="AH55:AX56"/>
    <mergeCell ref="Z57:AE58"/>
    <mergeCell ref="AF57:AG58"/>
    <mergeCell ref="AH57:AX58"/>
    <mergeCell ref="Z59:AE60"/>
    <mergeCell ref="AF59:AG60"/>
    <mergeCell ref="AH59:AX60"/>
    <mergeCell ref="Z48:AX49"/>
    <mergeCell ref="Z50:AE50"/>
    <mergeCell ref="AF50:AG50"/>
    <mergeCell ref="AH50:AX50"/>
    <mergeCell ref="Z51:AE52"/>
    <mergeCell ref="AF51:AG52"/>
    <mergeCell ref="AH51:AX52"/>
    <mergeCell ref="Z53:AE54"/>
    <mergeCell ref="AF53:AG54"/>
    <mergeCell ref="AH53:AX54"/>
    <mergeCell ref="A73:Y82"/>
    <mergeCell ref="A83:C83"/>
    <mergeCell ref="D83:L83"/>
    <mergeCell ref="M83:O83"/>
    <mergeCell ref="P83:Y83"/>
    <mergeCell ref="A84:Y94"/>
    <mergeCell ref="A51:Y60"/>
    <mergeCell ref="A61:C61"/>
    <mergeCell ref="D61:L61"/>
    <mergeCell ref="M61:O61"/>
    <mergeCell ref="P61:Y61"/>
    <mergeCell ref="A62:Y71"/>
    <mergeCell ref="A72:C72"/>
    <mergeCell ref="D72:L72"/>
    <mergeCell ref="M72:O72"/>
    <mergeCell ref="P72:Y72"/>
    <mergeCell ref="A36:C36"/>
    <mergeCell ref="D36:L36"/>
    <mergeCell ref="M36:O36"/>
    <mergeCell ref="P36:Y36"/>
    <mergeCell ref="A37:Y47"/>
    <mergeCell ref="A48:Y49"/>
    <mergeCell ref="A50:C50"/>
    <mergeCell ref="D50:L50"/>
    <mergeCell ref="M50:O50"/>
    <mergeCell ref="P50:Y50"/>
    <mergeCell ref="A4:Y13"/>
    <mergeCell ref="A1:Y2"/>
    <mergeCell ref="A3:C3"/>
    <mergeCell ref="M3:O3"/>
    <mergeCell ref="D3:L3"/>
    <mergeCell ref="P3:Y3"/>
    <mergeCell ref="AH42:AX43"/>
    <mergeCell ref="AH44:AX45"/>
    <mergeCell ref="AH30:AX31"/>
    <mergeCell ref="AH32:AX33"/>
    <mergeCell ref="Z28:AE29"/>
    <mergeCell ref="AF28:AG29"/>
    <mergeCell ref="Z30:AE31"/>
    <mergeCell ref="AF30:AG31"/>
    <mergeCell ref="Z32:AE33"/>
    <mergeCell ref="AF38:AG39"/>
    <mergeCell ref="Z40:AE41"/>
    <mergeCell ref="Z18:AE19"/>
    <mergeCell ref="AF18:AG19"/>
    <mergeCell ref="Z20:AE21"/>
    <mergeCell ref="Z22:AE23"/>
    <mergeCell ref="AF22:AG23"/>
    <mergeCell ref="Z24:AE25"/>
    <mergeCell ref="AF24:AG25"/>
    <mergeCell ref="AH24:AX25"/>
    <mergeCell ref="AH26:AX27"/>
    <mergeCell ref="AF20:AG21"/>
    <mergeCell ref="AH28:AX29"/>
    <mergeCell ref="Z46:AE47"/>
    <mergeCell ref="AF46:AG47"/>
    <mergeCell ref="AH36:AX37"/>
    <mergeCell ref="AH38:AX39"/>
    <mergeCell ref="AH40:AX41"/>
    <mergeCell ref="Z36:AE37"/>
    <mergeCell ref="AF36:AG37"/>
    <mergeCell ref="Z38:AE39"/>
    <mergeCell ref="AH46:AX47"/>
    <mergeCell ref="AF40:AG41"/>
    <mergeCell ref="Z42:AE43"/>
    <mergeCell ref="AF42:AG43"/>
    <mergeCell ref="Z44:AE45"/>
    <mergeCell ref="AF44:AG45"/>
    <mergeCell ref="A26:Y35"/>
    <mergeCell ref="Z34:AE35"/>
    <mergeCell ref="AF32:AG33"/>
    <mergeCell ref="Z10:AE11"/>
    <mergeCell ref="AF10:AG11"/>
    <mergeCell ref="Z12:AE13"/>
    <mergeCell ref="AF12:AG13"/>
    <mergeCell ref="Z14:AE15"/>
    <mergeCell ref="AH34:AX35"/>
    <mergeCell ref="AF34:AG35"/>
    <mergeCell ref="A14:C14"/>
    <mergeCell ref="D14:L14"/>
    <mergeCell ref="M14:O14"/>
    <mergeCell ref="P14:Y14"/>
    <mergeCell ref="A15:Y24"/>
    <mergeCell ref="A25:C25"/>
    <mergeCell ref="D25:L25"/>
    <mergeCell ref="M25:O25"/>
    <mergeCell ref="P25:Y25"/>
    <mergeCell ref="Z26:AE27"/>
    <mergeCell ref="AF26:AG27"/>
    <mergeCell ref="AH18:AX19"/>
    <mergeCell ref="AH20:AX21"/>
    <mergeCell ref="AH22:AX23"/>
    <mergeCell ref="Z1:AX2"/>
    <mergeCell ref="AH3:AX3"/>
    <mergeCell ref="AH4:AX5"/>
    <mergeCell ref="AH6:AX7"/>
    <mergeCell ref="AH8:AX9"/>
    <mergeCell ref="AH10:AX11"/>
    <mergeCell ref="AH12:AX13"/>
    <mergeCell ref="AH14:AX15"/>
    <mergeCell ref="AH16:AX17"/>
    <mergeCell ref="AF3:AG3"/>
    <mergeCell ref="Z3:AE3"/>
    <mergeCell ref="AF14:AG15"/>
    <mergeCell ref="Z4:AE5"/>
    <mergeCell ref="AF4:AG5"/>
    <mergeCell ref="Z6:AE7"/>
    <mergeCell ref="AF6:AG7"/>
    <mergeCell ref="Z16:AE17"/>
    <mergeCell ref="AF16:AG17"/>
    <mergeCell ref="Z8:AE9"/>
    <mergeCell ref="AF8:AG9"/>
  </mergeCells>
  <pageMargins left="0.7" right="0.7" top="0.75" bottom="0.75" header="0.3" footer="0.3"/>
  <pageSetup scale="92" orientation="portrait" horizontalDpi="300" verticalDpi="300" r:id="rId1"/>
  <rowBreaks count="1" manualBreakCount="1">
    <brk id="47" max="16383" man="1"/>
  </rowBreaks>
  <colBreaks count="1" manualBreakCount="1">
    <brk id="2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CV735"/>
  <sheetViews>
    <sheetView zoomScale="80" zoomScaleNormal="80" workbookViewId="0">
      <pane ySplit="1" topLeftCell="A2" activePane="bottomLeft" state="frozen"/>
      <selection activeCell="I17" sqref="I17"/>
      <selection pane="bottomLeft" activeCell="G2" sqref="G2"/>
    </sheetView>
  </sheetViews>
  <sheetFormatPr defaultColWidth="9.140625" defaultRowHeight="15" x14ac:dyDescent="0.25"/>
  <cols>
    <col min="1" max="1" width="4.42578125" style="366" hidden="1" customWidth="1"/>
    <col min="2" max="2" width="4.5703125" style="319" hidden="1" customWidth="1"/>
    <col min="3" max="3" width="42.7109375" style="366" bestFit="1" customWidth="1"/>
    <col min="4" max="4" width="13.140625" style="366" bestFit="1" customWidth="1"/>
    <col min="5" max="5" width="5.28515625" style="366" bestFit="1" customWidth="1"/>
    <col min="6" max="6" width="9.28515625" style="366" bestFit="1" customWidth="1"/>
    <col min="7" max="7" width="10.140625" style="366" bestFit="1" customWidth="1"/>
    <col min="8" max="13" width="10.140625" style="366" hidden="1" customWidth="1"/>
    <col min="14" max="14" width="30.42578125" style="319" hidden="1" customWidth="1"/>
    <col min="15" max="16" width="13.7109375" style="319" hidden="1" customWidth="1"/>
    <col min="17" max="17" width="5.28515625" style="319" hidden="1" customWidth="1"/>
    <col min="18" max="18" width="10" style="319" hidden="1" customWidth="1"/>
    <col min="19" max="19" width="10" style="319" customWidth="1"/>
    <col min="20" max="20" width="10" style="319" hidden="1" customWidth="1"/>
    <col min="21" max="21" width="22.85546875" style="358" bestFit="1" customWidth="1"/>
    <col min="22" max="22" width="9.140625" style="319" hidden="1" customWidth="1"/>
    <col min="23" max="23" width="14.28515625" style="325" hidden="1" customWidth="1"/>
    <col min="24" max="24" width="5.7109375" style="319" hidden="1" customWidth="1"/>
    <col min="25" max="25" width="9.42578125" style="319" bestFit="1" customWidth="1"/>
    <col min="26" max="26" width="10.140625" style="359" bestFit="1" customWidth="1"/>
    <col min="27" max="27" width="10.140625" style="319" customWidth="1"/>
    <col min="28" max="28" width="10" style="319" hidden="1" customWidth="1"/>
    <col min="29" max="29" width="24.5703125" style="358" bestFit="1" customWidth="1"/>
    <col min="30" max="30" width="9.140625" style="319" hidden="1" customWidth="1"/>
    <col min="31" max="31" width="15.85546875" style="325" hidden="1" customWidth="1"/>
    <col min="32" max="32" width="5.7109375" style="319" hidden="1" customWidth="1"/>
    <col min="33" max="33" width="9.42578125" style="319" customWidth="1"/>
    <col min="34" max="34" width="10.140625" style="359" bestFit="1" customWidth="1"/>
    <col min="35" max="35" width="10" style="319"/>
    <col min="36" max="36" width="10" style="319" hidden="1" customWidth="1"/>
    <col min="37" max="37" width="17.140625" style="358" bestFit="1" customWidth="1"/>
    <col min="38" max="38" width="9.140625" style="319" hidden="1" customWidth="1"/>
    <col min="39" max="39" width="8.5703125" style="325" hidden="1" customWidth="1"/>
    <col min="40" max="40" width="5.7109375" style="319" hidden="1" customWidth="1"/>
    <col min="41" max="41" width="9.42578125" style="319" bestFit="1" customWidth="1"/>
    <col min="42" max="42" width="10.140625" style="359" bestFit="1" customWidth="1"/>
    <col min="43" max="43" width="10" style="319"/>
    <col min="44" max="44" width="14.42578125" style="319" hidden="1" customWidth="1"/>
    <col min="45" max="46" width="2.28515625" style="319" hidden="1" customWidth="1"/>
    <col min="47" max="47" width="3.85546875" style="319" hidden="1" customWidth="1"/>
    <col min="48" max="48" width="2.28515625" style="319" hidden="1" customWidth="1"/>
    <col min="49" max="49" width="7.5703125" style="319" hidden="1" customWidth="1"/>
    <col min="50" max="50" width="2.28515625" style="319" hidden="1" customWidth="1"/>
    <col min="51" max="51" width="5.5703125" style="319" hidden="1" customWidth="1"/>
    <col min="52" max="52" width="2.28515625" style="319" hidden="1" customWidth="1"/>
    <col min="53" max="53" width="7.85546875" style="319" hidden="1" customWidth="1"/>
    <col min="54" max="54" width="2.28515625" style="319" hidden="1" customWidth="1"/>
    <col min="55" max="57" width="10" style="319" hidden="1" customWidth="1"/>
    <col min="58" max="58" width="4.42578125" style="319" hidden="1" customWidth="1"/>
    <col min="59" max="59" width="42.7109375" style="319" hidden="1" customWidth="1"/>
    <col min="60" max="98" width="10" style="319" hidden="1" customWidth="1"/>
    <col min="99" max="99" width="9.85546875" style="319" hidden="1" customWidth="1"/>
    <col min="100" max="100" width="10" style="319" hidden="1" customWidth="1"/>
    <col min="101" max="102" width="9.140625" style="319" customWidth="1"/>
    <col min="103" max="16384" width="9.140625" style="319"/>
  </cols>
  <sheetData>
    <row r="1" spans="1:100" ht="15.75" thickBot="1" x14ac:dyDescent="0.3">
      <c r="A1" s="315"/>
      <c r="C1" s="320" t="s">
        <v>523</v>
      </c>
      <c r="D1" s="321" t="s">
        <v>70</v>
      </c>
      <c r="E1" s="321" t="s">
        <v>71</v>
      </c>
      <c r="F1" s="321" t="s">
        <v>1782</v>
      </c>
      <c r="G1" s="322" t="s">
        <v>1791</v>
      </c>
      <c r="H1" s="315" t="s">
        <v>2069</v>
      </c>
      <c r="I1" s="315"/>
      <c r="J1" s="315"/>
      <c r="K1" s="315"/>
      <c r="L1" s="315"/>
      <c r="M1" s="315"/>
      <c r="N1" s="323" t="s">
        <v>523</v>
      </c>
      <c r="O1" s="323" t="s">
        <v>70</v>
      </c>
      <c r="P1" s="323" t="s">
        <v>1782</v>
      </c>
      <c r="Q1" s="323" t="s">
        <v>71</v>
      </c>
      <c r="R1" s="323" t="s">
        <v>2069</v>
      </c>
      <c r="S1" s="315"/>
      <c r="U1" s="320" t="s">
        <v>87</v>
      </c>
      <c r="V1" s="320" t="s">
        <v>71</v>
      </c>
      <c r="W1" s="324" t="s">
        <v>1792</v>
      </c>
      <c r="X1" s="321" t="s">
        <v>71</v>
      </c>
      <c r="Y1" s="321" t="s">
        <v>1782</v>
      </c>
      <c r="Z1" s="322" t="s">
        <v>1791</v>
      </c>
      <c r="AA1" s="315"/>
      <c r="AB1" s="325"/>
      <c r="AC1" s="320" t="s">
        <v>87</v>
      </c>
      <c r="AD1" s="320" t="s">
        <v>71</v>
      </c>
      <c r="AE1" s="324" t="s">
        <v>1792</v>
      </c>
      <c r="AF1" s="321" t="s">
        <v>71</v>
      </c>
      <c r="AG1" s="321" t="s">
        <v>1782</v>
      </c>
      <c r="AH1" s="322" t="s">
        <v>1791</v>
      </c>
      <c r="AI1" s="325"/>
      <c r="AJ1" s="325"/>
      <c r="AK1" s="326" t="s">
        <v>87</v>
      </c>
      <c r="AL1" s="326" t="s">
        <v>71</v>
      </c>
      <c r="AM1" s="327" t="s">
        <v>1792</v>
      </c>
      <c r="AN1" s="328" t="s">
        <v>71</v>
      </c>
      <c r="AO1" s="328" t="s">
        <v>1782</v>
      </c>
      <c r="AP1" s="329" t="s">
        <v>1791</v>
      </c>
      <c r="BI1" s="37" t="s">
        <v>352</v>
      </c>
      <c r="BJ1" s="37" t="s">
        <v>353</v>
      </c>
      <c r="BK1" s="37" t="s">
        <v>354</v>
      </c>
      <c r="BL1" s="37" t="s">
        <v>355</v>
      </c>
      <c r="BM1" s="37" t="s">
        <v>356</v>
      </c>
      <c r="BN1" s="37" t="s">
        <v>357</v>
      </c>
      <c r="BO1" s="37" t="s">
        <v>358</v>
      </c>
      <c r="BP1" s="37" t="s">
        <v>690</v>
      </c>
      <c r="BQ1" s="37" t="s">
        <v>359</v>
      </c>
      <c r="BR1" s="37" t="s">
        <v>108</v>
      </c>
      <c r="BS1" s="37" t="s">
        <v>360</v>
      </c>
      <c r="BT1" s="37" t="s">
        <v>361</v>
      </c>
      <c r="BU1" s="37" t="s">
        <v>362</v>
      </c>
      <c r="BV1" s="37" t="s">
        <v>363</v>
      </c>
      <c r="BW1" s="37" t="s">
        <v>364</v>
      </c>
      <c r="BX1" s="37" t="s">
        <v>365</v>
      </c>
      <c r="BY1" s="37" t="s">
        <v>366</v>
      </c>
      <c r="BZ1" s="37" t="s">
        <v>367</v>
      </c>
      <c r="CA1" s="37" t="s">
        <v>689</v>
      </c>
      <c r="CB1" s="37" t="s">
        <v>369</v>
      </c>
      <c r="CC1" s="37" t="s">
        <v>370</v>
      </c>
      <c r="CD1" s="37" t="s">
        <v>371</v>
      </c>
      <c r="CE1" s="37" t="s">
        <v>155</v>
      </c>
      <c r="CF1" s="37" t="s">
        <v>182</v>
      </c>
      <c r="CG1" s="37" t="s">
        <v>161</v>
      </c>
      <c r="CH1" s="37" t="s">
        <v>1343</v>
      </c>
      <c r="CI1" s="37" t="s">
        <v>166</v>
      </c>
      <c r="CJ1" s="37" t="s">
        <v>168</v>
      </c>
      <c r="CK1" s="37" t="s">
        <v>170</v>
      </c>
      <c r="CL1" s="37" t="s">
        <v>87</v>
      </c>
      <c r="CM1" s="37" t="s">
        <v>175</v>
      </c>
      <c r="CN1" s="37" t="s">
        <v>178</v>
      </c>
      <c r="CO1" s="37" t="s">
        <v>179</v>
      </c>
      <c r="CP1" s="37" t="s">
        <v>181</v>
      </c>
      <c r="CQ1" s="37" t="s">
        <v>180</v>
      </c>
      <c r="CR1" s="319" t="str">
        <f>IF(Sandbox!BH4="","",Sandbox!BH4)</f>
        <v/>
      </c>
      <c r="CT1" s="319" t="str">
        <f>IF(Sandbox!BH54="","",Sandbox!BH54)</f>
        <v/>
      </c>
      <c r="CU1" s="319" t="str">
        <f>IF(Sandbox!BH79="","",Sandbox!BH79)</f>
        <v/>
      </c>
      <c r="CV1" s="319" t="str">
        <f>IF(Sandbox!BH104="","",Sandbox!BH104)</f>
        <v/>
      </c>
    </row>
    <row r="2" spans="1:100" x14ac:dyDescent="0.25">
      <c r="A2" s="319">
        <f>IF(AND(H2="Yes",G2="Yes"),A1+1,A1)</f>
        <v>0</v>
      </c>
      <c r="B2" s="319">
        <f>IF(G2="Yes",B1+1,B1)</f>
        <v>0</v>
      </c>
      <c r="C2" s="330" t="str">
        <f t="shared" ref="C2:C11" si="0">IF(D2=O2,N2,IF(D2=O12,N12,IF(D2=O22,N22,IF(D2=O32,N32,IF(D2=O42,N42,IF(D2=O52,N52,IF(D2=O62,N62,IF(D2=O72,N72,IF(D2=O82,N82,IF(D2=O92,N92,IF(D2=O102,N102,IF(D2=O112,N112,""))))))))))))</f>
        <v/>
      </c>
      <c r="D2" s="555" t="str">
        <f>CharacterSheet!$AS$7</f>
        <v/>
      </c>
      <c r="E2" s="331" t="str">
        <f>IF(D2="","",1)</f>
        <v/>
      </c>
      <c r="F2" s="331" t="str">
        <f>IF(OR(D2="",D2="Arete"),"",IF(OR(AND(CharacterSheet!$V$34&gt;E2,'House Rules'!$B$6="Standard"),AND(CharacterSheet!$V$34&gt;E2,'House Rules'!$B$6="Open")),"Yes",IF(AND('House Rules'!$B$6="Free",CharacterSheet!$V$34&gt;E2),"Free","No")))</f>
        <v/>
      </c>
      <c r="G2" s="563"/>
      <c r="H2" s="333" t="str">
        <f>IF(C2="","",VLOOKUP(C2,Boonref2!A:B,2,FALSE))</f>
        <v/>
      </c>
      <c r="I2" s="333"/>
      <c r="J2" s="333"/>
      <c r="K2" s="333"/>
      <c r="L2" s="333"/>
      <c r="M2" s="333"/>
      <c r="N2" s="330" t="s">
        <v>1463</v>
      </c>
      <c r="O2" s="334" t="s">
        <v>180</v>
      </c>
      <c r="P2" s="331" t="str">
        <f>IF('House Rules'!$B$5="Prohibited","No",IF(O2&lt;CharacterSheet!$V$34,"Yes","No"))</f>
        <v>No</v>
      </c>
      <c r="Q2" s="331">
        <v>1</v>
      </c>
      <c r="R2" s="335" t="s">
        <v>347</v>
      </c>
      <c r="S2" s="317"/>
      <c r="T2" s="319">
        <f>IF(AND(Z2="Yes",Z3="No"),$B$11+1,$B$11)</f>
        <v>0</v>
      </c>
      <c r="U2" s="336" t="s">
        <v>2388</v>
      </c>
      <c r="V2" s="331" t="s">
        <v>1112</v>
      </c>
      <c r="W2" s="337" t="s">
        <v>35</v>
      </c>
      <c r="X2" s="331">
        <v>1</v>
      </c>
      <c r="Y2" s="338" t="str">
        <f>IF(AND($D$2="Arete",CharacterSheet!$E$51&gt;2,CharacterSheet!$V$34&gt;X2,'House Rules'!$B$6="Free",'House Rules'!$D$6=W2),"Free",IF(AND($D$2="Arete",CharacterSheet!$E$51&gt;2,CharacterSheet!$V$34&gt;X2),"Yes","No"))</f>
        <v>No</v>
      </c>
      <c r="Z2" s="571" t="s">
        <v>347</v>
      </c>
      <c r="AA2" s="556"/>
      <c r="AB2" s="319">
        <f>IF(AND(AH2="Yes",AH3="No"),LARGE($T$92:$T$101,1)+1,LARGE($T$92:$T$101,1))</f>
        <v>0</v>
      </c>
      <c r="AC2" s="336" t="s">
        <v>2488</v>
      </c>
      <c r="AD2" s="331" t="s">
        <v>1112</v>
      </c>
      <c r="AE2" s="337" t="s">
        <v>45</v>
      </c>
      <c r="AF2" s="331">
        <v>1</v>
      </c>
      <c r="AG2" s="338" t="str">
        <f>IF(AND($D$2="Arete",CharacterSheet!$M$51&gt;2,CharacterSheet!$V$34&gt;AF2,'House Rules'!$B$6="Free",'House Rules'!$D$6=AE2),"Free",IF(AND($D$2="Arete",CharacterSheet!$M$51&gt;2,CharacterSheet!$V$34&gt;AF2),"Yes","No"))</f>
        <v>No</v>
      </c>
      <c r="AH2" s="571" t="s">
        <v>347</v>
      </c>
      <c r="AJ2" s="319">
        <f t="shared" ref="AJ2:AJ10" si="1">IF(AND(AP2="Yes",AP3="No"),LARGE($T$12:$T$21,1)+1,LARGE($T$12:$T$21,1))</f>
        <v>0</v>
      </c>
      <c r="AK2" s="336" t="s">
        <v>2588</v>
      </c>
      <c r="AL2" s="331" t="s">
        <v>1112</v>
      </c>
      <c r="AM2" s="337" t="s">
        <v>55</v>
      </c>
      <c r="AN2" s="331">
        <v>1</v>
      </c>
      <c r="AO2" s="338" t="str">
        <f>IF(AND($D$2="Arete",$AS$35&gt;2,CharacterSheet!$V$34&gt;AN2,'House Rules'!$B$6="Free",'House Rules'!$D$6=AM2),"Free",IF(AND($D$2="Arete",$AS$35&gt;2,CharacterSheet!$V$34&gt;AN2),"Yes","No"))</f>
        <v>No</v>
      </c>
      <c r="AP2" s="339" t="s">
        <v>347</v>
      </c>
      <c r="BF2" s="319">
        <f>B2</f>
        <v>0</v>
      </c>
      <c r="BG2" s="330" t="str">
        <f>C2</f>
        <v/>
      </c>
      <c r="BI2" s="319">
        <f>IF(AND($D2=BI$1,$G2="Yes"),$E2,0)</f>
        <v>0</v>
      </c>
      <c r="BJ2" s="319">
        <f t="shared" ref="BJ2:CV8" si="2">IF(AND($D2=BJ$1,$G2="Yes"),$E2,0)</f>
        <v>0</v>
      </c>
      <c r="BK2" s="319">
        <f t="shared" si="2"/>
        <v>0</v>
      </c>
      <c r="BL2" s="319">
        <f t="shared" si="2"/>
        <v>0</v>
      </c>
      <c r="BM2" s="319">
        <f t="shared" si="2"/>
        <v>0</v>
      </c>
      <c r="BN2" s="319">
        <f t="shared" si="2"/>
        <v>0</v>
      </c>
      <c r="BO2" s="319">
        <f t="shared" si="2"/>
        <v>0</v>
      </c>
      <c r="BP2" s="319">
        <f t="shared" si="2"/>
        <v>0</v>
      </c>
      <c r="BQ2" s="319">
        <f t="shared" si="2"/>
        <v>0</v>
      </c>
      <c r="BR2" s="319">
        <f t="shared" si="2"/>
        <v>0</v>
      </c>
      <c r="BS2" s="319">
        <f t="shared" si="2"/>
        <v>0</v>
      </c>
      <c r="BT2" s="319">
        <f t="shared" si="2"/>
        <v>0</v>
      </c>
      <c r="BU2" s="319">
        <f t="shared" si="2"/>
        <v>0</v>
      </c>
      <c r="BV2" s="319">
        <f t="shared" si="2"/>
        <v>0</v>
      </c>
      <c r="BW2" s="319">
        <f t="shared" si="2"/>
        <v>0</v>
      </c>
      <c r="BX2" s="319">
        <f t="shared" si="2"/>
        <v>0</v>
      </c>
      <c r="BY2" s="319">
        <f t="shared" si="2"/>
        <v>0</v>
      </c>
      <c r="BZ2" s="319">
        <f t="shared" si="2"/>
        <v>0</v>
      </c>
      <c r="CA2" s="319">
        <f t="shared" si="2"/>
        <v>0</v>
      </c>
      <c r="CB2" s="319">
        <f t="shared" si="2"/>
        <v>0</v>
      </c>
      <c r="CC2" s="319">
        <f t="shared" si="2"/>
        <v>0</v>
      </c>
      <c r="CD2" s="319">
        <f t="shared" si="2"/>
        <v>0</v>
      </c>
      <c r="CE2" s="319">
        <f t="shared" si="2"/>
        <v>0</v>
      </c>
      <c r="CF2" s="319">
        <f t="shared" si="2"/>
        <v>0</v>
      </c>
      <c r="CG2" s="319">
        <f t="shared" si="2"/>
        <v>0</v>
      </c>
      <c r="CH2" s="319">
        <f t="shared" si="2"/>
        <v>0</v>
      </c>
      <c r="CI2" s="319">
        <f t="shared" si="2"/>
        <v>0</v>
      </c>
      <c r="CJ2" s="319">
        <f t="shared" si="2"/>
        <v>0</v>
      </c>
      <c r="CK2" s="319">
        <f t="shared" si="2"/>
        <v>0</v>
      </c>
      <c r="CL2" s="319">
        <f t="shared" si="2"/>
        <v>0</v>
      </c>
      <c r="CM2" s="319">
        <f t="shared" si="2"/>
        <v>0</v>
      </c>
      <c r="CN2" s="319">
        <f t="shared" si="2"/>
        <v>0</v>
      </c>
      <c r="CO2" s="319">
        <f t="shared" si="2"/>
        <v>0</v>
      </c>
      <c r="CP2" s="319">
        <f t="shared" si="2"/>
        <v>0</v>
      </c>
      <c r="CQ2" s="319">
        <f t="shared" si="2"/>
        <v>0</v>
      </c>
      <c r="CR2" s="319">
        <f t="shared" si="2"/>
        <v>0</v>
      </c>
      <c r="CS2" s="319">
        <f t="shared" si="2"/>
        <v>0</v>
      </c>
      <c r="CT2" s="319">
        <f t="shared" si="2"/>
        <v>0</v>
      </c>
      <c r="CU2" s="319">
        <f t="shared" si="2"/>
        <v>0</v>
      </c>
      <c r="CV2" s="319">
        <f t="shared" si="2"/>
        <v>0</v>
      </c>
    </row>
    <row r="3" spans="1:100" ht="15.75" thickBot="1" x14ac:dyDescent="0.3">
      <c r="A3" s="319">
        <f t="shared" ref="A3:A66" si="3">IF(AND(H3="Yes",G3="Yes"),A2+1,A2)</f>
        <v>0</v>
      </c>
      <c r="B3" s="319">
        <f t="shared" ref="B3:B10" si="4">IF(G3="Yes",B2+1,B2)</f>
        <v>0</v>
      </c>
      <c r="C3" s="340" t="str">
        <f t="shared" si="0"/>
        <v/>
      </c>
      <c r="D3" s="341" t="str">
        <f>CharacterSheet!$AS$7</f>
        <v/>
      </c>
      <c r="E3" s="341" t="str">
        <f>IF(D3="","",2)</f>
        <v/>
      </c>
      <c r="F3" s="341" t="str">
        <f>IF(OR(D3="",D3="Arete"),"",IF(OR(AND(CharacterSheet!$V$34&gt;E3,'House Rules'!$B$6="Standard",G2="Yes"),AND(CharacterSheet!$V$34&gt;E3,'House Rules'!$B$6="Open")),"Yes",IF(AND('House Rules'!$B$6="Free",CharacterSheet!$V$34&gt;E3),"Free","No")))</f>
        <v/>
      </c>
      <c r="G3" s="564"/>
      <c r="H3" s="333" t="str">
        <f>IF(C3="","",VLOOKUP(C3,Boonref2!A:B,2,FALSE))</f>
        <v/>
      </c>
      <c r="I3" s="333"/>
      <c r="J3" s="333"/>
      <c r="K3" s="333"/>
      <c r="L3" s="333"/>
      <c r="M3" s="333"/>
      <c r="N3" s="340" t="s">
        <v>1464</v>
      </c>
      <c r="O3" s="343" t="s">
        <v>180</v>
      </c>
      <c r="P3" s="341" t="str">
        <f>IF('House Rules'!$B$5="Prohibited","No",IF(O3&lt;CharacterSheet!$V$34,"Yes","No"))</f>
        <v>No</v>
      </c>
      <c r="Q3" s="341">
        <v>2</v>
      </c>
      <c r="R3" s="344" t="s">
        <v>347</v>
      </c>
      <c r="S3" s="317"/>
      <c r="T3" s="319">
        <f t="shared" ref="T3:T10" si="5">IF(AND(Z3="Yes",Z4="No"),$B$11+1,$B$11)</f>
        <v>0</v>
      </c>
      <c r="U3" s="345" t="s">
        <v>2389</v>
      </c>
      <c r="V3" s="341" t="s">
        <v>1113</v>
      </c>
      <c r="W3" s="346" t="s">
        <v>35</v>
      </c>
      <c r="X3" s="341">
        <v>2</v>
      </c>
      <c r="Y3" s="347" t="str">
        <f>IF(AND($D$2="Arete",CharacterSheet!$E$51&gt;2,CharacterSheet!$V$34&gt;X3,'House Rules'!$B$6="Free",'House Rules'!$D$6=W3),"Free",IF(AND($D$2="Arete",CharacterSheet!$E$51&gt;2,CharacterSheet!$V$34&gt;X3,Z2="Yes"),"Yes","No"))</f>
        <v>No</v>
      </c>
      <c r="Z3" s="572" t="s">
        <v>347</v>
      </c>
      <c r="AA3" s="556"/>
      <c r="AB3" s="319">
        <f t="shared" ref="AB3:AB10" si="6">IF(AND(AH3="Yes",AH4="No"),LARGE($T$92:$T$101,1)+1,LARGE($T$92:$T$101,1))</f>
        <v>0</v>
      </c>
      <c r="AC3" s="345" t="s">
        <v>2489</v>
      </c>
      <c r="AD3" s="341" t="s">
        <v>1113</v>
      </c>
      <c r="AE3" s="346" t="s">
        <v>45</v>
      </c>
      <c r="AF3" s="341">
        <v>2</v>
      </c>
      <c r="AG3" s="347" t="str">
        <f>IF(AND($D$2="Arete",CharacterSheet!$M$51&gt;2,CharacterSheet!$V$34&gt;AF3,'House Rules'!$B$6="Free",'House Rules'!$D$6=AE3),"Free",IF(AND($D$2="Arete",CharacterSheet!$M$51&gt;2,CharacterSheet!$V$34&gt;AF3,AH2="Yes"),"Yes","No"))</f>
        <v>No</v>
      </c>
      <c r="AH3" s="572" t="s">
        <v>347</v>
      </c>
      <c r="AJ3" s="319">
        <f t="shared" si="1"/>
        <v>0</v>
      </c>
      <c r="AK3" s="345" t="s">
        <v>2589</v>
      </c>
      <c r="AL3" s="341" t="s">
        <v>1113</v>
      </c>
      <c r="AM3" s="346" t="str">
        <f>AM2</f>
        <v>Art</v>
      </c>
      <c r="AN3" s="341">
        <v>2</v>
      </c>
      <c r="AO3" s="347" t="str">
        <f>IF(AND($D$2="Arete",$AS$35&gt;2,CharacterSheet!$V$34&gt;AN3,'House Rules'!$B$6="Free",'House Rules'!$D$6=AM3),"Free",IF(AND($D$2="Arete",$AS$35&gt;2,CharacterSheet!$V$34&gt;AN3,AP2="Yes"),"Yes","No"))</f>
        <v>No</v>
      </c>
      <c r="AP3" s="348" t="s">
        <v>347</v>
      </c>
      <c r="BF3" s="319">
        <f t="shared" ref="BF3:BF11" si="7">B3</f>
        <v>0</v>
      </c>
      <c r="BG3" s="340" t="str">
        <f t="shared" ref="BG3:BG11" si="8">C3</f>
        <v/>
      </c>
      <c r="BI3" s="319">
        <f t="shared" ref="BI3:BX66" si="9">IF(AND($D3=BI$1,$G3="Yes"),$E3,0)</f>
        <v>0</v>
      </c>
      <c r="BJ3" s="319">
        <f t="shared" si="9"/>
        <v>0</v>
      </c>
      <c r="BK3" s="319">
        <f t="shared" si="9"/>
        <v>0</v>
      </c>
      <c r="BL3" s="319">
        <f t="shared" si="9"/>
        <v>0</v>
      </c>
      <c r="BM3" s="319">
        <f t="shared" si="9"/>
        <v>0</v>
      </c>
      <c r="BN3" s="319">
        <f t="shared" si="9"/>
        <v>0</v>
      </c>
      <c r="BO3" s="319">
        <f t="shared" si="9"/>
        <v>0</v>
      </c>
      <c r="BP3" s="319">
        <f t="shared" si="9"/>
        <v>0</v>
      </c>
      <c r="BQ3" s="319">
        <f t="shared" si="9"/>
        <v>0</v>
      </c>
      <c r="BR3" s="319">
        <f t="shared" si="9"/>
        <v>0</v>
      </c>
      <c r="BS3" s="319">
        <f t="shared" si="9"/>
        <v>0</v>
      </c>
      <c r="BT3" s="319">
        <f t="shared" si="9"/>
        <v>0</v>
      </c>
      <c r="BU3" s="319">
        <f t="shared" si="9"/>
        <v>0</v>
      </c>
      <c r="BV3" s="319">
        <f t="shared" si="9"/>
        <v>0</v>
      </c>
      <c r="BW3" s="319">
        <f t="shared" si="9"/>
        <v>0</v>
      </c>
      <c r="BX3" s="319">
        <f t="shared" si="9"/>
        <v>0</v>
      </c>
      <c r="BY3" s="319">
        <f t="shared" si="2"/>
        <v>0</v>
      </c>
      <c r="BZ3" s="319">
        <f t="shared" si="2"/>
        <v>0</v>
      </c>
      <c r="CA3" s="319">
        <f t="shared" si="2"/>
        <v>0</v>
      </c>
      <c r="CB3" s="319">
        <f t="shared" si="2"/>
        <v>0</v>
      </c>
      <c r="CC3" s="319">
        <f t="shared" si="2"/>
        <v>0</v>
      </c>
      <c r="CD3" s="319">
        <f t="shared" si="2"/>
        <v>0</v>
      </c>
      <c r="CE3" s="319">
        <f t="shared" si="2"/>
        <v>0</v>
      </c>
      <c r="CF3" s="319">
        <f t="shared" si="2"/>
        <v>0</v>
      </c>
      <c r="CG3" s="319">
        <f t="shared" si="2"/>
        <v>0</v>
      </c>
      <c r="CH3" s="319">
        <f t="shared" si="2"/>
        <v>0</v>
      </c>
      <c r="CI3" s="319">
        <f t="shared" si="2"/>
        <v>0</v>
      </c>
      <c r="CJ3" s="319">
        <f t="shared" si="2"/>
        <v>0</v>
      </c>
      <c r="CK3" s="319">
        <f t="shared" si="2"/>
        <v>0</v>
      </c>
      <c r="CL3" s="319">
        <f t="shared" si="2"/>
        <v>0</v>
      </c>
      <c r="CM3" s="319">
        <f t="shared" si="2"/>
        <v>0</v>
      </c>
      <c r="CN3" s="319">
        <f t="shared" si="2"/>
        <v>0</v>
      </c>
      <c r="CO3" s="319">
        <f t="shared" si="2"/>
        <v>0</v>
      </c>
      <c r="CP3" s="319">
        <f t="shared" si="2"/>
        <v>0</v>
      </c>
      <c r="CQ3" s="319">
        <f t="shared" si="2"/>
        <v>0</v>
      </c>
      <c r="CR3" s="319">
        <f t="shared" si="2"/>
        <v>0</v>
      </c>
      <c r="CS3" s="319">
        <f t="shared" si="2"/>
        <v>0</v>
      </c>
      <c r="CT3" s="319">
        <f t="shared" si="2"/>
        <v>0</v>
      </c>
      <c r="CU3" s="319">
        <f t="shared" si="2"/>
        <v>0</v>
      </c>
      <c r="CV3" s="319">
        <f t="shared" si="2"/>
        <v>0</v>
      </c>
    </row>
    <row r="4" spans="1:100" x14ac:dyDescent="0.25">
      <c r="A4" s="319">
        <f t="shared" si="3"/>
        <v>0</v>
      </c>
      <c r="B4" s="319">
        <f t="shared" si="4"/>
        <v>0</v>
      </c>
      <c r="C4" s="340" t="str">
        <f t="shared" si="0"/>
        <v/>
      </c>
      <c r="D4" s="341" t="str">
        <f>CharacterSheet!$AS$7</f>
        <v/>
      </c>
      <c r="E4" s="341" t="str">
        <f>IF(D4="","",3)</f>
        <v/>
      </c>
      <c r="F4" s="341" t="str">
        <f>IF(OR(D4="",D4="Arete"),"",IF(OR(AND(CharacterSheet!$V$34&gt;E4,'House Rules'!$B$6="Standard",G3="Yes"),AND(CharacterSheet!$V$34&gt;E4,'House Rules'!$B$6="Open")),"Yes",IF(AND('House Rules'!$B$6="Free",CharacterSheet!$V$34&gt;E4),"Free","No")))</f>
        <v/>
      </c>
      <c r="G4" s="564"/>
      <c r="H4" s="333" t="str">
        <f>IF(C4="","",VLOOKUP(C4,Boonref2!A:B,2,FALSE))</f>
        <v/>
      </c>
      <c r="I4" s="333"/>
      <c r="J4" s="333"/>
      <c r="K4" s="333"/>
      <c r="L4" s="333"/>
      <c r="M4" s="333"/>
      <c r="N4" s="340" t="s">
        <v>1465</v>
      </c>
      <c r="O4" s="343" t="s">
        <v>180</v>
      </c>
      <c r="P4" s="341" t="str">
        <f>IF('House Rules'!$B$5="Prohibited","No",IF(O4&lt;CharacterSheet!$V$34,"Yes","No"))</f>
        <v>No</v>
      </c>
      <c r="Q4" s="341">
        <v>3</v>
      </c>
      <c r="R4" s="344" t="s">
        <v>347</v>
      </c>
      <c r="S4" s="317"/>
      <c r="T4" s="319">
        <f t="shared" si="5"/>
        <v>0</v>
      </c>
      <c r="U4" s="345" t="s">
        <v>2390</v>
      </c>
      <c r="V4" s="341" t="s">
        <v>1114</v>
      </c>
      <c r="W4" s="346" t="s">
        <v>35</v>
      </c>
      <c r="X4" s="341">
        <v>3</v>
      </c>
      <c r="Y4" s="347" t="str">
        <f>IF(AND($D$2="Arete",CharacterSheet!$E$51&gt;2,CharacterSheet!$V$34&gt;X4,'House Rules'!$B$6="Free",'House Rules'!$D$6=W4),"Free",IF(AND($D$2="Arete",CharacterSheet!$E$51&gt;2,CharacterSheet!$V$34&gt;X4,Z3="Yes"),"Yes","No"))</f>
        <v>No</v>
      </c>
      <c r="Z4" s="572" t="s">
        <v>347</v>
      </c>
      <c r="AA4" s="556"/>
      <c r="AB4" s="319">
        <f t="shared" si="6"/>
        <v>0</v>
      </c>
      <c r="AC4" s="345" t="s">
        <v>2490</v>
      </c>
      <c r="AD4" s="341" t="s">
        <v>1114</v>
      </c>
      <c r="AE4" s="346" t="s">
        <v>45</v>
      </c>
      <c r="AF4" s="341">
        <v>3</v>
      </c>
      <c r="AG4" s="347" t="str">
        <f>IF(AND($D$2="Arete",CharacterSheet!$M$51&gt;2,CharacterSheet!$V$34&gt;AF4,'House Rules'!$B$6="Free",'House Rules'!$D$6=AE4),"Free",IF(AND($D$2="Arete",CharacterSheet!$M$51&gt;2,CharacterSheet!$V$34&gt;AF4,AH3="Yes"),"Yes","No"))</f>
        <v>No</v>
      </c>
      <c r="AH4" s="572" t="s">
        <v>347</v>
      </c>
      <c r="AJ4" s="319">
        <f t="shared" si="1"/>
        <v>0</v>
      </c>
      <c r="AK4" s="345" t="s">
        <v>2590</v>
      </c>
      <c r="AL4" s="341" t="s">
        <v>1114</v>
      </c>
      <c r="AM4" s="346" t="str">
        <f>AM2</f>
        <v>Art</v>
      </c>
      <c r="AN4" s="341">
        <v>3</v>
      </c>
      <c r="AO4" s="347" t="str">
        <f>IF(AND($D$2="Arete",$AS$35&gt;2,CharacterSheet!$V$34&gt;AN4,'House Rules'!$B$6="Free",'House Rules'!$D$6=AM4),"Free",IF(AND($D$2="Arete",$AS$35&gt;2,CharacterSheet!$V$34&gt;AN4,AP3="Yes"),"Yes","No"))</f>
        <v>No</v>
      </c>
      <c r="AP4" s="348" t="s">
        <v>347</v>
      </c>
      <c r="AR4" s="349" t="s">
        <v>35</v>
      </c>
      <c r="AS4" s="335">
        <f>COUNTIF(Z2:Z11,"Yes")</f>
        <v>0</v>
      </c>
      <c r="AT4" s="444">
        <f>VLOOKUP(AS4,Reference!$D$2:$E$12,2,FALSE)</f>
        <v>0</v>
      </c>
      <c r="AU4" s="350" t="s">
        <v>55</v>
      </c>
      <c r="AV4" s="319">
        <f>IF(CharacterSheet!Q51="art",CharacterSheet!U51,0)</f>
        <v>0</v>
      </c>
      <c r="AW4" s="350" t="s">
        <v>56</v>
      </c>
      <c r="AX4" s="319">
        <f>IF(CharacterSheet!Q51="Control",CharacterSheet!U51,0)</f>
        <v>0</v>
      </c>
      <c r="AY4" s="350" t="s">
        <v>57</v>
      </c>
      <c r="AZ4" s="319">
        <f>IF(CharacterSheet!Q51="Craft",CharacterSheet!U51,0)</f>
        <v>0</v>
      </c>
      <c r="BA4" s="350" t="s">
        <v>58</v>
      </c>
      <c r="BB4" s="319">
        <f>IF(CharacterSheet!Q51="Science",CharacterSheet!U51,0)</f>
        <v>0</v>
      </c>
      <c r="BF4" s="319">
        <f t="shared" si="7"/>
        <v>0</v>
      </c>
      <c r="BG4" s="340" t="str">
        <f t="shared" si="8"/>
        <v/>
      </c>
      <c r="BI4" s="319">
        <f t="shared" si="9"/>
        <v>0</v>
      </c>
      <c r="BJ4" s="319">
        <f t="shared" si="2"/>
        <v>0</v>
      </c>
      <c r="BK4" s="319">
        <f t="shared" si="2"/>
        <v>0</v>
      </c>
      <c r="BL4" s="319">
        <f t="shared" si="2"/>
        <v>0</v>
      </c>
      <c r="BM4" s="319">
        <f t="shared" si="2"/>
        <v>0</v>
      </c>
      <c r="BN4" s="319">
        <f t="shared" si="2"/>
        <v>0</v>
      </c>
      <c r="BO4" s="319">
        <f t="shared" si="2"/>
        <v>0</v>
      </c>
      <c r="BP4" s="319">
        <f t="shared" si="2"/>
        <v>0</v>
      </c>
      <c r="BQ4" s="319">
        <f t="shared" si="2"/>
        <v>0</v>
      </c>
      <c r="BR4" s="319">
        <f t="shared" si="2"/>
        <v>0</v>
      </c>
      <c r="BS4" s="319">
        <f t="shared" si="2"/>
        <v>0</v>
      </c>
      <c r="BT4" s="319">
        <f t="shared" si="2"/>
        <v>0</v>
      </c>
      <c r="BU4" s="319">
        <f t="shared" si="2"/>
        <v>0</v>
      </c>
      <c r="BV4" s="319">
        <f t="shared" si="2"/>
        <v>0</v>
      </c>
      <c r="BW4" s="319">
        <f t="shared" si="2"/>
        <v>0</v>
      </c>
      <c r="BX4" s="319">
        <f t="shared" si="2"/>
        <v>0</v>
      </c>
      <c r="BY4" s="319">
        <f t="shared" si="2"/>
        <v>0</v>
      </c>
      <c r="BZ4" s="319">
        <f t="shared" si="2"/>
        <v>0</v>
      </c>
      <c r="CA4" s="319">
        <f t="shared" si="2"/>
        <v>0</v>
      </c>
      <c r="CB4" s="319">
        <f t="shared" si="2"/>
        <v>0</v>
      </c>
      <c r="CC4" s="319">
        <f t="shared" si="2"/>
        <v>0</v>
      </c>
      <c r="CD4" s="319">
        <f t="shared" si="2"/>
        <v>0</v>
      </c>
      <c r="CE4" s="319">
        <f t="shared" si="2"/>
        <v>0</v>
      </c>
      <c r="CF4" s="319">
        <f t="shared" si="2"/>
        <v>0</v>
      </c>
      <c r="CG4" s="319">
        <f t="shared" si="2"/>
        <v>0</v>
      </c>
      <c r="CH4" s="319">
        <f t="shared" si="2"/>
        <v>0</v>
      </c>
      <c r="CI4" s="319">
        <f t="shared" si="2"/>
        <v>0</v>
      </c>
      <c r="CJ4" s="319">
        <f t="shared" si="2"/>
        <v>0</v>
      </c>
      <c r="CK4" s="319">
        <f t="shared" si="2"/>
        <v>0</v>
      </c>
      <c r="CL4" s="319">
        <f t="shared" si="2"/>
        <v>0</v>
      </c>
      <c r="CM4" s="319">
        <f t="shared" si="2"/>
        <v>0</v>
      </c>
      <c r="CN4" s="319">
        <f t="shared" si="2"/>
        <v>0</v>
      </c>
      <c r="CO4" s="319">
        <f t="shared" si="2"/>
        <v>0</v>
      </c>
      <c r="CP4" s="319">
        <f t="shared" si="2"/>
        <v>0</v>
      </c>
      <c r="CQ4" s="319">
        <f t="shared" si="2"/>
        <v>0</v>
      </c>
      <c r="CR4" s="319">
        <f t="shared" si="2"/>
        <v>0</v>
      </c>
      <c r="CS4" s="319">
        <f t="shared" si="2"/>
        <v>0</v>
      </c>
      <c r="CT4" s="319">
        <f t="shared" si="2"/>
        <v>0</v>
      </c>
      <c r="CU4" s="319">
        <f t="shared" si="2"/>
        <v>0</v>
      </c>
      <c r="CV4" s="319">
        <f t="shared" si="2"/>
        <v>0</v>
      </c>
    </row>
    <row r="5" spans="1:100" x14ac:dyDescent="0.25">
      <c r="A5" s="319">
        <f t="shared" si="3"/>
        <v>0</v>
      </c>
      <c r="B5" s="319">
        <f t="shared" si="4"/>
        <v>0</v>
      </c>
      <c r="C5" s="340" t="str">
        <f t="shared" si="0"/>
        <v/>
      </c>
      <c r="D5" s="341" t="str">
        <f>CharacterSheet!$AS$7</f>
        <v/>
      </c>
      <c r="E5" s="341" t="str">
        <f>IF(D5="","",4)</f>
        <v/>
      </c>
      <c r="F5" s="341" t="str">
        <f>IF(OR(D5="",D5="Arete"),"",IF(OR(AND(CharacterSheet!$V$34&gt;E5,'House Rules'!$B$6="Standard",G4="Yes"),AND(CharacterSheet!$V$34&gt;E5,'House Rules'!$B$6="Open")),"Yes",IF(AND('House Rules'!$B$6="Free",CharacterSheet!$V$34&gt;E5),"Free","No")))</f>
        <v/>
      </c>
      <c r="G5" s="564"/>
      <c r="H5" s="333" t="str">
        <f>IF(C5="","",VLOOKUP(C5,Boonref2!A:B,2,FALSE))</f>
        <v/>
      </c>
      <c r="I5" s="333"/>
      <c r="J5" s="333"/>
      <c r="K5" s="333"/>
      <c r="L5" s="333"/>
      <c r="M5" s="333"/>
      <c r="N5" s="340" t="s">
        <v>1466</v>
      </c>
      <c r="O5" s="343" t="s">
        <v>180</v>
      </c>
      <c r="P5" s="341" t="str">
        <f>IF('House Rules'!$B$5="Prohibited","No",IF(O5&lt;CharacterSheet!$V$34,"Yes","No"))</f>
        <v>No</v>
      </c>
      <c r="Q5" s="341">
        <v>4</v>
      </c>
      <c r="R5" s="344" t="s">
        <v>346</v>
      </c>
      <c r="S5" s="317"/>
      <c r="T5" s="319">
        <f>IF(AND(Z5="Yes",Z6="No"),$B$11+1,$B$11)</f>
        <v>0</v>
      </c>
      <c r="U5" s="345" t="s">
        <v>2391</v>
      </c>
      <c r="V5" s="341" t="s">
        <v>1207</v>
      </c>
      <c r="W5" s="346" t="s">
        <v>35</v>
      </c>
      <c r="X5" s="341">
        <v>4</v>
      </c>
      <c r="Y5" s="347" t="str">
        <f>IF(AND($D$2="Arete",CharacterSheet!$E$51&gt;2,CharacterSheet!$V$34&gt;X5,'House Rules'!$B$6="Free",'House Rules'!$D$6=W5),"Free",IF(AND($D$2="Arete",CharacterSheet!$E$51&gt;2,CharacterSheet!$V$34&gt;X5,Z4="Yes"),"Yes","No"))</f>
        <v>No</v>
      </c>
      <c r="Z5" s="572" t="s">
        <v>347</v>
      </c>
      <c r="AA5" s="556"/>
      <c r="AB5" s="319">
        <f t="shared" si="6"/>
        <v>0</v>
      </c>
      <c r="AC5" s="345" t="s">
        <v>2491</v>
      </c>
      <c r="AD5" s="341" t="s">
        <v>1207</v>
      </c>
      <c r="AE5" s="346" t="s">
        <v>45</v>
      </c>
      <c r="AF5" s="341">
        <v>4</v>
      </c>
      <c r="AG5" s="347" t="str">
        <f>IF(AND($D$2="Arete",CharacterSheet!$M$51&gt;2,CharacterSheet!$V$34&gt;AF5,'House Rules'!$B$6="Free",'House Rules'!$D$6=AE5),"Free",IF(AND($D$2="Arete",CharacterSheet!$M$51&gt;2,CharacterSheet!$V$34&gt;AF5,AH4="Yes"),"Yes","No"))</f>
        <v>No</v>
      </c>
      <c r="AH5" s="572" t="s">
        <v>347</v>
      </c>
      <c r="AJ5" s="319">
        <f t="shared" si="1"/>
        <v>0</v>
      </c>
      <c r="AK5" s="345" t="s">
        <v>2591</v>
      </c>
      <c r="AL5" s="341" t="s">
        <v>1207</v>
      </c>
      <c r="AM5" s="346" t="str">
        <f>AM2</f>
        <v>Art</v>
      </c>
      <c r="AN5" s="341">
        <v>4</v>
      </c>
      <c r="AO5" s="347" t="str">
        <f>IF(AND($D$2="Arete",$AS$35&gt;2,CharacterSheet!$V$34&gt;AN5,'House Rules'!$B$6="Free",'House Rules'!$D$6=AM5),"Free",IF(AND($D$2="Arete",$AS$35&gt;2,CharacterSheet!$V$34&gt;AN5,AP4="Yes"),"Yes","No"))</f>
        <v>No</v>
      </c>
      <c r="AP5" s="348" t="s">
        <v>347</v>
      </c>
      <c r="AR5" s="351" t="s">
        <v>36</v>
      </c>
      <c r="AS5" s="344">
        <f>COUNTIF(Z12:Z21,"Yes")</f>
        <v>0</v>
      </c>
      <c r="AT5" s="444">
        <f>VLOOKUP(AS5,Reference!$D$2:$E$12,2,FALSE)</f>
        <v>0</v>
      </c>
      <c r="AU5" s="350" t="s">
        <v>55</v>
      </c>
      <c r="AV5" s="319">
        <f>IF(CharacterSheet!Q52="art",CharacterSheet!U52,0)</f>
        <v>0</v>
      </c>
      <c r="AW5" s="350" t="s">
        <v>56</v>
      </c>
      <c r="AX5" s="319">
        <f>IF(CharacterSheet!Q52="Control",CharacterSheet!U52,0)</f>
        <v>0</v>
      </c>
      <c r="AY5" s="350" t="s">
        <v>57</v>
      </c>
      <c r="AZ5" s="319">
        <f>IF(CharacterSheet!Q52="Craft",CharacterSheet!U52,0)</f>
        <v>0</v>
      </c>
      <c r="BA5" s="350" t="s">
        <v>58</v>
      </c>
      <c r="BB5" s="319">
        <f>IF(CharacterSheet!Q52="Science",CharacterSheet!U52,0)</f>
        <v>0</v>
      </c>
      <c r="BF5" s="319">
        <f t="shared" si="7"/>
        <v>0</v>
      </c>
      <c r="BG5" s="340" t="str">
        <f t="shared" si="8"/>
        <v/>
      </c>
      <c r="BI5" s="319">
        <f t="shared" si="9"/>
        <v>0</v>
      </c>
      <c r="BJ5" s="319">
        <f t="shared" si="2"/>
        <v>0</v>
      </c>
      <c r="BK5" s="319">
        <f t="shared" si="2"/>
        <v>0</v>
      </c>
      <c r="BL5" s="319">
        <f t="shared" si="2"/>
        <v>0</v>
      </c>
      <c r="BM5" s="319">
        <f t="shared" si="2"/>
        <v>0</v>
      </c>
      <c r="BN5" s="319">
        <f t="shared" si="2"/>
        <v>0</v>
      </c>
      <c r="BO5" s="319">
        <f t="shared" si="2"/>
        <v>0</v>
      </c>
      <c r="BP5" s="319">
        <f t="shared" si="2"/>
        <v>0</v>
      </c>
      <c r="BQ5" s="319">
        <f t="shared" si="2"/>
        <v>0</v>
      </c>
      <c r="BR5" s="319">
        <f t="shared" si="2"/>
        <v>0</v>
      </c>
      <c r="BS5" s="319">
        <f t="shared" si="2"/>
        <v>0</v>
      </c>
      <c r="BT5" s="319">
        <f t="shared" si="2"/>
        <v>0</v>
      </c>
      <c r="BU5" s="319">
        <f t="shared" si="2"/>
        <v>0</v>
      </c>
      <c r="BV5" s="319">
        <f t="shared" si="2"/>
        <v>0</v>
      </c>
      <c r="BW5" s="319">
        <f t="shared" si="2"/>
        <v>0</v>
      </c>
      <c r="BX5" s="319">
        <f t="shared" si="2"/>
        <v>0</v>
      </c>
      <c r="BY5" s="319">
        <f t="shared" si="2"/>
        <v>0</v>
      </c>
      <c r="BZ5" s="319">
        <f t="shared" si="2"/>
        <v>0</v>
      </c>
      <c r="CA5" s="319">
        <f t="shared" si="2"/>
        <v>0</v>
      </c>
      <c r="CB5" s="319">
        <f t="shared" si="2"/>
        <v>0</v>
      </c>
      <c r="CC5" s="319">
        <f t="shared" si="2"/>
        <v>0</v>
      </c>
      <c r="CD5" s="319">
        <f t="shared" si="2"/>
        <v>0</v>
      </c>
      <c r="CE5" s="319">
        <f t="shared" si="2"/>
        <v>0</v>
      </c>
      <c r="CF5" s="319">
        <f t="shared" si="2"/>
        <v>0</v>
      </c>
      <c r="CG5" s="319">
        <f t="shared" si="2"/>
        <v>0</v>
      </c>
      <c r="CH5" s="319">
        <f t="shared" si="2"/>
        <v>0</v>
      </c>
      <c r="CI5" s="319">
        <f t="shared" si="2"/>
        <v>0</v>
      </c>
      <c r="CJ5" s="319">
        <f t="shared" si="2"/>
        <v>0</v>
      </c>
      <c r="CK5" s="319">
        <f t="shared" si="2"/>
        <v>0</v>
      </c>
      <c r="CL5" s="319">
        <f t="shared" si="2"/>
        <v>0</v>
      </c>
      <c r="CM5" s="319">
        <f t="shared" si="2"/>
        <v>0</v>
      </c>
      <c r="CN5" s="319">
        <f t="shared" si="2"/>
        <v>0</v>
      </c>
      <c r="CO5" s="319">
        <f t="shared" si="2"/>
        <v>0</v>
      </c>
      <c r="CP5" s="319">
        <f t="shared" si="2"/>
        <v>0</v>
      </c>
      <c r="CQ5" s="319">
        <f t="shared" si="2"/>
        <v>0</v>
      </c>
      <c r="CR5" s="319">
        <f t="shared" si="2"/>
        <v>0</v>
      </c>
      <c r="CS5" s="319">
        <f t="shared" si="2"/>
        <v>0</v>
      </c>
      <c r="CT5" s="319">
        <f t="shared" si="2"/>
        <v>0</v>
      </c>
      <c r="CU5" s="319">
        <f t="shared" si="2"/>
        <v>0</v>
      </c>
      <c r="CV5" s="319">
        <f t="shared" si="2"/>
        <v>0</v>
      </c>
    </row>
    <row r="6" spans="1:100" x14ac:dyDescent="0.25">
      <c r="A6" s="319">
        <f t="shared" si="3"/>
        <v>0</v>
      </c>
      <c r="B6" s="319">
        <f t="shared" si="4"/>
        <v>0</v>
      </c>
      <c r="C6" s="340" t="str">
        <f t="shared" si="0"/>
        <v/>
      </c>
      <c r="D6" s="341" t="str">
        <f>CharacterSheet!$AS$7</f>
        <v/>
      </c>
      <c r="E6" s="341" t="str">
        <f>IF(D6="","",5)</f>
        <v/>
      </c>
      <c r="F6" s="341" t="str">
        <f>IF(OR(D6="",D6="Arete"),"",IF(OR(AND(CharacterSheet!$V$34&gt;E6,'House Rules'!$B$6="Standard",G5="Yes"),AND(CharacterSheet!$V$34&gt;E6,'House Rules'!$B$6="Open")),"Yes",IF(AND('House Rules'!$B$6="Free",CharacterSheet!$V$34&gt;E6),"Free","No")))</f>
        <v/>
      </c>
      <c r="G6" s="564"/>
      <c r="H6" s="333" t="str">
        <f>IF(C6="","",VLOOKUP(C6,Boonref2!A:B,2,FALSE))</f>
        <v/>
      </c>
      <c r="I6" s="333"/>
      <c r="J6" s="333"/>
      <c r="K6" s="333"/>
      <c r="L6" s="333"/>
      <c r="M6" s="333"/>
      <c r="N6" s="340" t="s">
        <v>1468</v>
      </c>
      <c r="O6" s="343" t="s">
        <v>180</v>
      </c>
      <c r="P6" s="341" t="str">
        <f>IF('House Rules'!$B$5="Prohibited","No",IF(O6&lt;CharacterSheet!$V$34,"Yes","No"))</f>
        <v>No</v>
      </c>
      <c r="Q6" s="341">
        <v>5</v>
      </c>
      <c r="R6" s="344" t="s">
        <v>346</v>
      </c>
      <c r="S6" s="317"/>
      <c r="T6" s="319">
        <f t="shared" si="5"/>
        <v>0</v>
      </c>
      <c r="U6" s="345" t="s">
        <v>2392</v>
      </c>
      <c r="V6" s="341" t="s">
        <v>1208</v>
      </c>
      <c r="W6" s="346" t="s">
        <v>35</v>
      </c>
      <c r="X6" s="341">
        <v>5</v>
      </c>
      <c r="Y6" s="347" t="str">
        <f>IF(AND($D$2="Arete",CharacterSheet!$E$51&gt;2,CharacterSheet!$V$34&gt;X6,'House Rules'!$B$6="Free",'House Rules'!$D$6=W6),"Free",IF(AND($D$2="Arete",CharacterSheet!$E$51&gt;2,CharacterSheet!$V$34&gt;X6,Z5="Yes"),"Yes","No"))</f>
        <v>No</v>
      </c>
      <c r="Z6" s="572" t="s">
        <v>347</v>
      </c>
      <c r="AA6" s="556"/>
      <c r="AB6" s="319">
        <f t="shared" si="6"/>
        <v>0</v>
      </c>
      <c r="AC6" s="345" t="s">
        <v>2492</v>
      </c>
      <c r="AD6" s="341" t="s">
        <v>1208</v>
      </c>
      <c r="AE6" s="346" t="s">
        <v>45</v>
      </c>
      <c r="AF6" s="341">
        <v>5</v>
      </c>
      <c r="AG6" s="347" t="str">
        <f>IF(AND($D$2="Arete",CharacterSheet!$M$51&gt;2,CharacterSheet!$V$34&gt;AF6,'House Rules'!$B$6="Free",'House Rules'!$D$6=AE6),"Free",IF(AND($D$2="Arete",CharacterSheet!$M$51&gt;2,CharacterSheet!$V$34&gt;AF6,AH5="Yes"),"Yes","No"))</f>
        <v>No</v>
      </c>
      <c r="AH6" s="572" t="s">
        <v>347</v>
      </c>
      <c r="AJ6" s="319">
        <f t="shared" si="1"/>
        <v>0</v>
      </c>
      <c r="AK6" s="345" t="s">
        <v>2592</v>
      </c>
      <c r="AL6" s="341" t="s">
        <v>1208</v>
      </c>
      <c r="AM6" s="346" t="str">
        <f>AM2</f>
        <v>Art</v>
      </c>
      <c r="AN6" s="341">
        <v>5</v>
      </c>
      <c r="AO6" s="347" t="str">
        <f>IF(AND($D$2="Arete",$AS$35&gt;2,CharacterSheet!$V$34&gt;AN6,'House Rules'!$B$6="Free",'House Rules'!$D$6=AM6),"Free",IF(AND($D$2="Arete",$AS$35&gt;2,CharacterSheet!$V$34&gt;AN6,AP5="Yes"),"Yes","No"))</f>
        <v>No</v>
      </c>
      <c r="AP6" s="348" t="s">
        <v>347</v>
      </c>
      <c r="AR6" s="351" t="s">
        <v>37</v>
      </c>
      <c r="AS6" s="344">
        <f>COUNTIF(Z22:Z31,"Yes")</f>
        <v>0</v>
      </c>
      <c r="AT6" s="444">
        <f>VLOOKUP(AS6,Reference!$D$2:$E$12,2,FALSE)</f>
        <v>0</v>
      </c>
      <c r="AU6" s="350" t="s">
        <v>55</v>
      </c>
      <c r="AV6" s="319">
        <f>IF(CharacterSheet!Q53="art",CharacterSheet!U53,0)</f>
        <v>0</v>
      </c>
      <c r="AW6" s="350" t="s">
        <v>56</v>
      </c>
      <c r="AX6" s="319">
        <f>IF(CharacterSheet!Q53="Control",CharacterSheet!U53,0)</f>
        <v>0</v>
      </c>
      <c r="AY6" s="350" t="s">
        <v>57</v>
      </c>
      <c r="AZ6" s="319">
        <f>IF(CharacterSheet!Q53="Craft",CharacterSheet!U53,0)</f>
        <v>0</v>
      </c>
      <c r="BA6" s="350" t="s">
        <v>58</v>
      </c>
      <c r="BB6" s="319">
        <f>IF(CharacterSheet!Q53="Science",CharacterSheet!U53,0)</f>
        <v>0</v>
      </c>
      <c r="BF6" s="319">
        <f t="shared" si="7"/>
        <v>0</v>
      </c>
      <c r="BG6" s="340" t="str">
        <f t="shared" si="8"/>
        <v/>
      </c>
      <c r="BI6" s="319">
        <f t="shared" si="9"/>
        <v>0</v>
      </c>
      <c r="BJ6" s="319">
        <f t="shared" si="2"/>
        <v>0</v>
      </c>
      <c r="BK6" s="319">
        <f t="shared" si="2"/>
        <v>0</v>
      </c>
      <c r="BL6" s="319">
        <f t="shared" si="2"/>
        <v>0</v>
      </c>
      <c r="BM6" s="319">
        <f t="shared" si="2"/>
        <v>0</v>
      </c>
      <c r="BN6" s="319">
        <f t="shared" si="2"/>
        <v>0</v>
      </c>
      <c r="BO6" s="319">
        <f t="shared" si="2"/>
        <v>0</v>
      </c>
      <c r="BP6" s="319">
        <f t="shared" si="2"/>
        <v>0</v>
      </c>
      <c r="BQ6" s="319">
        <f t="shared" si="2"/>
        <v>0</v>
      </c>
      <c r="BR6" s="319">
        <f t="shared" si="2"/>
        <v>0</v>
      </c>
      <c r="BS6" s="319">
        <f t="shared" si="2"/>
        <v>0</v>
      </c>
      <c r="BT6" s="319">
        <f t="shared" si="2"/>
        <v>0</v>
      </c>
      <c r="BU6" s="319">
        <f t="shared" si="2"/>
        <v>0</v>
      </c>
      <c r="BV6" s="319">
        <f t="shared" si="2"/>
        <v>0</v>
      </c>
      <c r="BW6" s="319">
        <f t="shared" si="2"/>
        <v>0</v>
      </c>
      <c r="BX6" s="319">
        <f t="shared" si="2"/>
        <v>0</v>
      </c>
      <c r="BY6" s="319">
        <f t="shared" si="2"/>
        <v>0</v>
      </c>
      <c r="BZ6" s="319">
        <f t="shared" si="2"/>
        <v>0</v>
      </c>
      <c r="CA6" s="319">
        <f t="shared" si="2"/>
        <v>0</v>
      </c>
      <c r="CB6" s="319">
        <f t="shared" si="2"/>
        <v>0</v>
      </c>
      <c r="CC6" s="319">
        <f t="shared" si="2"/>
        <v>0</v>
      </c>
      <c r="CD6" s="319">
        <f t="shared" si="2"/>
        <v>0</v>
      </c>
      <c r="CE6" s="319">
        <f t="shared" si="2"/>
        <v>0</v>
      </c>
      <c r="CF6" s="319">
        <f t="shared" si="2"/>
        <v>0</v>
      </c>
      <c r="CG6" s="319">
        <f t="shared" si="2"/>
        <v>0</v>
      </c>
      <c r="CH6" s="319">
        <f t="shared" si="2"/>
        <v>0</v>
      </c>
      <c r="CI6" s="319">
        <f t="shared" si="2"/>
        <v>0</v>
      </c>
      <c r="CJ6" s="319">
        <f t="shared" si="2"/>
        <v>0</v>
      </c>
      <c r="CK6" s="319">
        <f t="shared" si="2"/>
        <v>0</v>
      </c>
      <c r="CL6" s="319">
        <f t="shared" si="2"/>
        <v>0</v>
      </c>
      <c r="CM6" s="319">
        <f t="shared" si="2"/>
        <v>0</v>
      </c>
      <c r="CN6" s="319">
        <f t="shared" si="2"/>
        <v>0</v>
      </c>
      <c r="CO6" s="319">
        <f t="shared" si="2"/>
        <v>0</v>
      </c>
      <c r="CP6" s="319">
        <f t="shared" si="2"/>
        <v>0</v>
      </c>
      <c r="CQ6" s="319">
        <f t="shared" si="2"/>
        <v>0</v>
      </c>
      <c r="CR6" s="319">
        <f t="shared" si="2"/>
        <v>0</v>
      </c>
      <c r="CS6" s="319">
        <f t="shared" si="2"/>
        <v>0</v>
      </c>
      <c r="CT6" s="319">
        <f t="shared" si="2"/>
        <v>0</v>
      </c>
      <c r="CU6" s="319">
        <f t="shared" si="2"/>
        <v>0</v>
      </c>
      <c r="CV6" s="319">
        <f t="shared" si="2"/>
        <v>0</v>
      </c>
    </row>
    <row r="7" spans="1:100" x14ac:dyDescent="0.25">
      <c r="A7" s="319">
        <f t="shared" si="3"/>
        <v>0</v>
      </c>
      <c r="B7" s="319">
        <f t="shared" si="4"/>
        <v>0</v>
      </c>
      <c r="C7" s="340" t="str">
        <f t="shared" si="0"/>
        <v/>
      </c>
      <c r="D7" s="341" t="str">
        <f>CharacterSheet!$AS$7</f>
        <v/>
      </c>
      <c r="E7" s="341" t="str">
        <f>IF(D7="","",6)</f>
        <v/>
      </c>
      <c r="F7" s="341" t="str">
        <f>IF(OR(D7="",D7="Arete"),"",IF(OR(AND(CharacterSheet!$V$34&gt;E7,'House Rules'!$B$6="Standard",G6="Yes"),AND(CharacterSheet!$V$34&gt;E7,'House Rules'!$B$6="Open")),"Yes",IF(AND('House Rules'!$B$6="Free",CharacterSheet!$V$34&gt;E7),"Free","No")))</f>
        <v/>
      </c>
      <c r="G7" s="564"/>
      <c r="H7" s="333" t="str">
        <f>IF(C7="","",VLOOKUP(C7,Boonref2!A:B,2,FALSE))</f>
        <v/>
      </c>
      <c r="I7" s="333"/>
      <c r="J7" s="333"/>
      <c r="K7" s="333"/>
      <c r="L7" s="333"/>
      <c r="M7" s="333"/>
      <c r="N7" s="340" t="s">
        <v>1469</v>
      </c>
      <c r="O7" s="343" t="s">
        <v>180</v>
      </c>
      <c r="P7" s="341" t="str">
        <f>IF('House Rules'!$B$5="Prohibited","No",IF(O7&lt;CharacterSheet!$V$34,"Yes","No"))</f>
        <v>No</v>
      </c>
      <c r="Q7" s="341">
        <v>6</v>
      </c>
      <c r="R7" s="344" t="s">
        <v>346</v>
      </c>
      <c r="S7" s="317"/>
      <c r="T7" s="319">
        <f t="shared" si="5"/>
        <v>0</v>
      </c>
      <c r="U7" s="345" t="s">
        <v>2393</v>
      </c>
      <c r="V7" s="341" t="s">
        <v>1209</v>
      </c>
      <c r="W7" s="346" t="s">
        <v>35</v>
      </c>
      <c r="X7" s="341">
        <v>6</v>
      </c>
      <c r="Y7" s="347" t="str">
        <f>IF(AND($D$2="Arete",CharacterSheet!$E$51&gt;2,CharacterSheet!$V$34&gt;X7,'House Rules'!$B$6="Free",'House Rules'!$D$6=W7),"Free",IF(AND($D$2="Arete",CharacterSheet!$E$51&gt;2,CharacterSheet!$V$34&gt;X7,Z6="Yes"),"Yes","No"))</f>
        <v>No</v>
      </c>
      <c r="Z7" s="572" t="s">
        <v>347</v>
      </c>
      <c r="AA7" s="556"/>
      <c r="AB7" s="319">
        <f t="shared" si="6"/>
        <v>0</v>
      </c>
      <c r="AC7" s="345" t="s">
        <v>2493</v>
      </c>
      <c r="AD7" s="341" t="s">
        <v>1209</v>
      </c>
      <c r="AE7" s="346" t="s">
        <v>45</v>
      </c>
      <c r="AF7" s="341">
        <v>6</v>
      </c>
      <c r="AG7" s="347" t="str">
        <f>IF(AND($D$2="Arete",CharacterSheet!$M$51&gt;2,CharacterSheet!$V$34&gt;AF7,'House Rules'!$B$6="Free",'House Rules'!$D$6=AE7),"Free",IF(AND($D$2="Arete",CharacterSheet!$M$51&gt;2,CharacterSheet!$V$34&gt;AF7,AH6="Yes"),"Yes","No"))</f>
        <v>No</v>
      </c>
      <c r="AH7" s="572" t="s">
        <v>347</v>
      </c>
      <c r="AJ7" s="319">
        <f t="shared" si="1"/>
        <v>0</v>
      </c>
      <c r="AK7" s="345" t="s">
        <v>2593</v>
      </c>
      <c r="AL7" s="341" t="s">
        <v>1209</v>
      </c>
      <c r="AM7" s="346" t="str">
        <f>AM2</f>
        <v>Art</v>
      </c>
      <c r="AN7" s="341">
        <v>6</v>
      </c>
      <c r="AO7" s="347" t="str">
        <f>IF(AND($D$2="Arete",$AS$35&gt;2,CharacterSheet!$V$34&gt;AN7,'House Rules'!$B$6="Free",'House Rules'!$D$6=AM7),"Free",IF(AND($D$2="Arete",$AS$35&gt;2,CharacterSheet!$V$34&gt;AN7,AP6="Yes"),"Yes","No"))</f>
        <v>No</v>
      </c>
      <c r="AP7" s="348" t="s">
        <v>347</v>
      </c>
      <c r="AR7" s="351" t="s">
        <v>38</v>
      </c>
      <c r="AS7" s="344">
        <f>COUNTIF(Z32:Z41,"Yes")</f>
        <v>0</v>
      </c>
      <c r="AT7" s="444">
        <f>VLOOKUP(AS7,Reference!$D$2:$E$12,2,FALSE)</f>
        <v>0</v>
      </c>
      <c r="AU7" s="350" t="s">
        <v>55</v>
      </c>
      <c r="AV7" s="319">
        <f>IF(CharacterSheet!Q54="art",CharacterSheet!U54,0)</f>
        <v>0</v>
      </c>
      <c r="AW7" s="350" t="s">
        <v>56</v>
      </c>
      <c r="AX7" s="319">
        <f>IF(CharacterSheet!Q54="Control",CharacterSheet!U54,0)</f>
        <v>0</v>
      </c>
      <c r="AY7" s="350" t="s">
        <v>57</v>
      </c>
      <c r="AZ7" s="319">
        <f>IF(CharacterSheet!Q54="Craft",CharacterSheet!U54,0)</f>
        <v>0</v>
      </c>
      <c r="BA7" s="350" t="s">
        <v>58</v>
      </c>
      <c r="BB7" s="319">
        <f>IF(CharacterSheet!Q54="Science",CharacterSheet!U54,0)</f>
        <v>0</v>
      </c>
      <c r="BF7" s="319">
        <f t="shared" si="7"/>
        <v>0</v>
      </c>
      <c r="BG7" s="340" t="str">
        <f t="shared" si="8"/>
        <v/>
      </c>
      <c r="BI7" s="319">
        <f t="shared" si="9"/>
        <v>0</v>
      </c>
      <c r="BJ7" s="319">
        <f t="shared" si="2"/>
        <v>0</v>
      </c>
      <c r="BK7" s="319">
        <f t="shared" si="2"/>
        <v>0</v>
      </c>
      <c r="BL7" s="319">
        <f t="shared" si="2"/>
        <v>0</v>
      </c>
      <c r="BM7" s="319">
        <f t="shared" si="2"/>
        <v>0</v>
      </c>
      <c r="BN7" s="319">
        <f t="shared" si="2"/>
        <v>0</v>
      </c>
      <c r="BO7" s="319">
        <f t="shared" si="2"/>
        <v>0</v>
      </c>
      <c r="BP7" s="319">
        <f t="shared" si="2"/>
        <v>0</v>
      </c>
      <c r="BQ7" s="319">
        <f t="shared" si="2"/>
        <v>0</v>
      </c>
      <c r="BR7" s="319">
        <f t="shared" si="2"/>
        <v>0</v>
      </c>
      <c r="BS7" s="319">
        <f t="shared" si="2"/>
        <v>0</v>
      </c>
      <c r="BT7" s="319">
        <f t="shared" si="2"/>
        <v>0</v>
      </c>
      <c r="BU7" s="319">
        <f t="shared" si="2"/>
        <v>0</v>
      </c>
      <c r="BV7" s="319">
        <f t="shared" si="2"/>
        <v>0</v>
      </c>
      <c r="BW7" s="319">
        <f t="shared" si="2"/>
        <v>0</v>
      </c>
      <c r="BX7" s="319">
        <f t="shared" si="2"/>
        <v>0</v>
      </c>
      <c r="BY7" s="319">
        <f t="shared" si="2"/>
        <v>0</v>
      </c>
      <c r="BZ7" s="319">
        <f t="shared" si="2"/>
        <v>0</v>
      </c>
      <c r="CA7" s="319">
        <f t="shared" si="2"/>
        <v>0</v>
      </c>
      <c r="CB7" s="319">
        <f t="shared" si="2"/>
        <v>0</v>
      </c>
      <c r="CC7" s="319">
        <f t="shared" si="2"/>
        <v>0</v>
      </c>
      <c r="CD7" s="319">
        <f t="shared" si="2"/>
        <v>0</v>
      </c>
      <c r="CE7" s="319">
        <f t="shared" si="2"/>
        <v>0</v>
      </c>
      <c r="CF7" s="319">
        <f t="shared" si="2"/>
        <v>0</v>
      </c>
      <c r="CG7" s="319">
        <f t="shared" si="2"/>
        <v>0</v>
      </c>
      <c r="CH7" s="319">
        <f t="shared" si="2"/>
        <v>0</v>
      </c>
      <c r="CI7" s="319">
        <f t="shared" si="2"/>
        <v>0</v>
      </c>
      <c r="CJ7" s="319">
        <f t="shared" si="2"/>
        <v>0</v>
      </c>
      <c r="CK7" s="319">
        <f t="shared" si="2"/>
        <v>0</v>
      </c>
      <c r="CL7" s="319">
        <f t="shared" si="2"/>
        <v>0</v>
      </c>
      <c r="CM7" s="319">
        <f t="shared" si="2"/>
        <v>0</v>
      </c>
      <c r="CN7" s="319">
        <f t="shared" si="2"/>
        <v>0</v>
      </c>
      <c r="CO7" s="319">
        <f t="shared" si="2"/>
        <v>0</v>
      </c>
      <c r="CP7" s="319">
        <f t="shared" si="2"/>
        <v>0</v>
      </c>
      <c r="CQ7" s="319">
        <f t="shared" si="2"/>
        <v>0</v>
      </c>
      <c r="CR7" s="319">
        <f t="shared" si="2"/>
        <v>0</v>
      </c>
      <c r="CS7" s="319">
        <f t="shared" si="2"/>
        <v>0</v>
      </c>
      <c r="CT7" s="319">
        <f t="shared" si="2"/>
        <v>0</v>
      </c>
      <c r="CU7" s="319">
        <f t="shared" si="2"/>
        <v>0</v>
      </c>
      <c r="CV7" s="319">
        <f t="shared" si="2"/>
        <v>0</v>
      </c>
    </row>
    <row r="8" spans="1:100" x14ac:dyDescent="0.25">
      <c r="A8" s="319">
        <f t="shared" si="3"/>
        <v>0</v>
      </c>
      <c r="B8" s="319">
        <f t="shared" si="4"/>
        <v>0</v>
      </c>
      <c r="C8" s="340" t="str">
        <f t="shared" si="0"/>
        <v/>
      </c>
      <c r="D8" s="341" t="str">
        <f>CharacterSheet!$AS$7</f>
        <v/>
      </c>
      <c r="E8" s="341" t="str">
        <f>IF(D8="","",7)</f>
        <v/>
      </c>
      <c r="F8" s="341" t="str">
        <f>IF(OR(D8="",D8="Arete"),"",IF(OR(AND(CharacterSheet!$V$34&gt;E8,'House Rules'!$B$6="Standard",G7="Yes"),AND(CharacterSheet!$V$34&gt;E8,'House Rules'!$B$6="Open")),"Yes",IF(AND('House Rules'!$B$6="Free",CharacterSheet!$V$34&gt;E8),"Free","No")))</f>
        <v/>
      </c>
      <c r="G8" s="564"/>
      <c r="H8" s="333" t="str">
        <f>IF(C8="","",VLOOKUP(C8,Boonref2!A:B,2,FALSE))</f>
        <v/>
      </c>
      <c r="I8" s="333"/>
      <c r="J8" s="333"/>
      <c r="K8" s="333"/>
      <c r="L8" s="333"/>
      <c r="M8" s="333"/>
      <c r="N8" s="340" t="s">
        <v>1470</v>
      </c>
      <c r="O8" s="343" t="s">
        <v>180</v>
      </c>
      <c r="P8" s="341" t="str">
        <f>IF('House Rules'!$B$5="Prohibited","No",IF(O8&lt;CharacterSheet!$V$34,"Yes","No"))</f>
        <v>No</v>
      </c>
      <c r="Q8" s="341">
        <v>7</v>
      </c>
      <c r="R8" s="344" t="s">
        <v>346</v>
      </c>
      <c r="S8" s="317"/>
      <c r="T8" s="319">
        <f t="shared" si="5"/>
        <v>0</v>
      </c>
      <c r="U8" s="345" t="s">
        <v>2394</v>
      </c>
      <c r="V8" s="341" t="s">
        <v>1210</v>
      </c>
      <c r="W8" s="346" t="s">
        <v>35</v>
      </c>
      <c r="X8" s="341">
        <v>7</v>
      </c>
      <c r="Y8" s="347" t="str">
        <f>IF(AND($D$2="Arete",CharacterSheet!$E$51&gt;2,CharacterSheet!$V$34&gt;X8,'House Rules'!$B$6="Free",'House Rules'!$D$6=W8),"Free",IF(AND($D$2="Arete",CharacterSheet!$E$51&gt;2,CharacterSheet!$V$34&gt;X8,Z7="Yes"),"Yes","No"))</f>
        <v>No</v>
      </c>
      <c r="Z8" s="572" t="s">
        <v>347</v>
      </c>
      <c r="AA8" s="556"/>
      <c r="AB8" s="319">
        <f t="shared" si="6"/>
        <v>0</v>
      </c>
      <c r="AC8" s="345" t="s">
        <v>2494</v>
      </c>
      <c r="AD8" s="341" t="s">
        <v>1210</v>
      </c>
      <c r="AE8" s="346" t="s">
        <v>45</v>
      </c>
      <c r="AF8" s="341">
        <v>7</v>
      </c>
      <c r="AG8" s="347" t="str">
        <f>IF(AND($D$2="Arete",CharacterSheet!$M$51&gt;2,CharacterSheet!$V$34&gt;AF8,'House Rules'!$B$6="Free",'House Rules'!$D$6=AE8),"Free",IF(AND($D$2="Arete",CharacterSheet!$M$51&gt;2,CharacterSheet!$V$34&gt;AF8,AH7="Yes"),"Yes","No"))</f>
        <v>No</v>
      </c>
      <c r="AH8" s="572" t="s">
        <v>347</v>
      </c>
      <c r="AJ8" s="319">
        <f t="shared" si="1"/>
        <v>0</v>
      </c>
      <c r="AK8" s="345" t="s">
        <v>2594</v>
      </c>
      <c r="AL8" s="341" t="s">
        <v>1210</v>
      </c>
      <c r="AM8" s="346" t="str">
        <f>AM2</f>
        <v>Art</v>
      </c>
      <c r="AN8" s="341">
        <v>7</v>
      </c>
      <c r="AO8" s="347" t="str">
        <f>IF(AND($D$2="Arete",$AS$35&gt;2,CharacterSheet!$V$34&gt;AN8,'House Rules'!$B$6="Free",'House Rules'!$D$6=AM8),"Free",IF(AND($D$2="Arete",$AS$35&gt;2,CharacterSheet!$V$34&gt;AN8,AP7="Yes"),"Yes","No"))</f>
        <v>No</v>
      </c>
      <c r="AP8" s="348" t="s">
        <v>347</v>
      </c>
      <c r="AR8" s="351" t="s">
        <v>39</v>
      </c>
      <c r="AS8" s="344">
        <f>COUNTIF(Z42:Z51,"Yes")</f>
        <v>0</v>
      </c>
      <c r="AT8" s="444">
        <f>VLOOKUP(AS8,Reference!$D$2:$E$12,2,FALSE)</f>
        <v>0</v>
      </c>
      <c r="AU8" s="350" t="s">
        <v>55</v>
      </c>
      <c r="AV8" s="319">
        <f>IF(CharacterSheet!Q55="art",CharacterSheet!U55,0)</f>
        <v>0</v>
      </c>
      <c r="AW8" s="350" t="s">
        <v>56</v>
      </c>
      <c r="AX8" s="319">
        <f>IF(CharacterSheet!Q55="Control",CharacterSheet!U55,0)</f>
        <v>0</v>
      </c>
      <c r="AY8" s="350" t="s">
        <v>57</v>
      </c>
      <c r="AZ8" s="319">
        <f>IF(CharacterSheet!Q55="Craft",CharacterSheet!U55,0)</f>
        <v>0</v>
      </c>
      <c r="BA8" s="350" t="s">
        <v>58</v>
      </c>
      <c r="BB8" s="319">
        <f>IF(CharacterSheet!Q55="Science",CharacterSheet!U55,0)</f>
        <v>0</v>
      </c>
      <c r="BF8" s="319">
        <f t="shared" si="7"/>
        <v>0</v>
      </c>
      <c r="BG8" s="340" t="str">
        <f t="shared" si="8"/>
        <v/>
      </c>
      <c r="BI8" s="319">
        <f t="shared" si="9"/>
        <v>0</v>
      </c>
      <c r="BJ8" s="319">
        <f t="shared" si="2"/>
        <v>0</v>
      </c>
      <c r="BK8" s="319">
        <f t="shared" si="2"/>
        <v>0</v>
      </c>
      <c r="BL8" s="319">
        <f t="shared" si="2"/>
        <v>0</v>
      </c>
      <c r="BM8" s="319">
        <f t="shared" si="2"/>
        <v>0</v>
      </c>
      <c r="BN8" s="319">
        <f t="shared" si="2"/>
        <v>0</v>
      </c>
      <c r="BO8" s="319">
        <f t="shared" si="2"/>
        <v>0</v>
      </c>
      <c r="BP8" s="319">
        <f t="shared" si="2"/>
        <v>0</v>
      </c>
      <c r="BQ8" s="319">
        <f t="shared" si="2"/>
        <v>0</v>
      </c>
      <c r="BR8" s="319">
        <f t="shared" si="2"/>
        <v>0</v>
      </c>
      <c r="BS8" s="319">
        <f t="shared" si="2"/>
        <v>0</v>
      </c>
      <c r="BT8" s="319">
        <f t="shared" si="2"/>
        <v>0</v>
      </c>
      <c r="BU8" s="319">
        <f t="shared" si="2"/>
        <v>0</v>
      </c>
      <c r="BV8" s="319">
        <f t="shared" si="2"/>
        <v>0</v>
      </c>
      <c r="BW8" s="319">
        <f t="shared" si="2"/>
        <v>0</v>
      </c>
      <c r="BX8" s="319">
        <f t="shared" si="2"/>
        <v>0</v>
      </c>
      <c r="BY8" s="319">
        <f t="shared" si="2"/>
        <v>0</v>
      </c>
      <c r="BZ8" s="319">
        <f t="shared" si="2"/>
        <v>0</v>
      </c>
      <c r="CA8" s="319">
        <f t="shared" si="2"/>
        <v>0</v>
      </c>
      <c r="CB8" s="319">
        <f t="shared" si="2"/>
        <v>0</v>
      </c>
      <c r="CC8" s="319">
        <f t="shared" si="2"/>
        <v>0</v>
      </c>
      <c r="CD8" s="319">
        <f t="shared" si="2"/>
        <v>0</v>
      </c>
      <c r="CE8" s="319">
        <f t="shared" si="2"/>
        <v>0</v>
      </c>
      <c r="CF8" s="319">
        <f t="shared" si="2"/>
        <v>0</v>
      </c>
      <c r="CG8" s="319">
        <f t="shared" si="2"/>
        <v>0</v>
      </c>
      <c r="CH8" s="319">
        <f t="shared" si="2"/>
        <v>0</v>
      </c>
      <c r="CI8" s="319">
        <f t="shared" si="2"/>
        <v>0</v>
      </c>
      <c r="CJ8" s="319">
        <f t="shared" si="2"/>
        <v>0</v>
      </c>
      <c r="CK8" s="319">
        <f t="shared" si="2"/>
        <v>0</v>
      </c>
      <c r="CL8" s="319">
        <f t="shared" si="2"/>
        <v>0</v>
      </c>
      <c r="CM8" s="319">
        <f t="shared" si="2"/>
        <v>0</v>
      </c>
      <c r="CN8" s="319">
        <f t="shared" si="2"/>
        <v>0</v>
      </c>
      <c r="CO8" s="319">
        <f t="shared" si="2"/>
        <v>0</v>
      </c>
      <c r="CP8" s="319">
        <f t="shared" si="2"/>
        <v>0</v>
      </c>
      <c r="CQ8" s="319">
        <f t="shared" si="2"/>
        <v>0</v>
      </c>
      <c r="CR8" s="319">
        <f t="shared" si="2"/>
        <v>0</v>
      </c>
      <c r="CS8" s="319">
        <f t="shared" si="2"/>
        <v>0</v>
      </c>
      <c r="CT8" s="319">
        <f t="shared" ref="BJ8:CV15" si="10">IF(AND($D8=CT$1,$G8="Yes"),$E8,0)</f>
        <v>0</v>
      </c>
      <c r="CU8" s="319">
        <f t="shared" si="10"/>
        <v>0</v>
      </c>
      <c r="CV8" s="319">
        <f t="shared" si="10"/>
        <v>0</v>
      </c>
    </row>
    <row r="9" spans="1:100" x14ac:dyDescent="0.25">
      <c r="A9" s="319">
        <f t="shared" si="3"/>
        <v>0</v>
      </c>
      <c r="B9" s="319">
        <f t="shared" si="4"/>
        <v>0</v>
      </c>
      <c r="C9" s="340" t="str">
        <f t="shared" si="0"/>
        <v/>
      </c>
      <c r="D9" s="341" t="str">
        <f>CharacterSheet!$AS$7</f>
        <v/>
      </c>
      <c r="E9" s="341" t="str">
        <f>IF(D9="","",8)</f>
        <v/>
      </c>
      <c r="F9" s="341" t="str">
        <f>IF(OR(D9="",D9="Arete"),"",IF(OR(AND(CharacterSheet!$V$34&gt;E9,'House Rules'!$B$6="Standard",G8="Yes"),AND(CharacterSheet!$V$34&gt;E9,'House Rules'!$B$6="Open")),"Yes",IF(AND('House Rules'!$B$6="Free",CharacterSheet!$V$34&gt;E9),"Free","No")))</f>
        <v/>
      </c>
      <c r="G9" s="564"/>
      <c r="H9" s="333" t="str">
        <f>IF(C9="","",VLOOKUP(C9,Boonref2!A:B,2,FALSE))</f>
        <v/>
      </c>
      <c r="I9" s="333"/>
      <c r="J9" s="333"/>
      <c r="K9" s="333"/>
      <c r="L9" s="333"/>
      <c r="M9" s="333"/>
      <c r="N9" s="340" t="s">
        <v>1467</v>
      </c>
      <c r="O9" s="343" t="s">
        <v>180</v>
      </c>
      <c r="P9" s="341" t="str">
        <f>IF('House Rules'!$B$5="Prohibited","No",IF(O9&lt;CharacterSheet!$V$34,"Yes","No"))</f>
        <v>No</v>
      </c>
      <c r="Q9" s="341">
        <v>8</v>
      </c>
      <c r="R9" s="344" t="s">
        <v>346</v>
      </c>
      <c r="S9" s="317"/>
      <c r="T9" s="319">
        <f t="shared" si="5"/>
        <v>0</v>
      </c>
      <c r="U9" s="345" t="s">
        <v>2395</v>
      </c>
      <c r="V9" s="341" t="s">
        <v>1306</v>
      </c>
      <c r="W9" s="346" t="s">
        <v>35</v>
      </c>
      <c r="X9" s="341">
        <v>8</v>
      </c>
      <c r="Y9" s="347" t="str">
        <f>IF(AND($D$2="Arete",CharacterSheet!$E$51&gt;2,CharacterSheet!$V$34&gt;X9,'House Rules'!$B$6="Free",'House Rules'!$D$6=W9),"Free",IF(AND($D$2="Arete",CharacterSheet!$E$51&gt;2,CharacterSheet!$V$34&gt;X9,Z8="Yes"),"Yes","No"))</f>
        <v>No</v>
      </c>
      <c r="Z9" s="572" t="s">
        <v>347</v>
      </c>
      <c r="AA9" s="556"/>
      <c r="AB9" s="319">
        <f t="shared" si="6"/>
        <v>0</v>
      </c>
      <c r="AC9" s="345" t="s">
        <v>2495</v>
      </c>
      <c r="AD9" s="341" t="s">
        <v>1306</v>
      </c>
      <c r="AE9" s="346" t="s">
        <v>45</v>
      </c>
      <c r="AF9" s="341">
        <v>8</v>
      </c>
      <c r="AG9" s="347" t="str">
        <f>IF(AND($D$2="Arete",CharacterSheet!$M$51&gt;2,CharacterSheet!$V$34&gt;AF9,'House Rules'!$B$6="Free",'House Rules'!$D$6=AE9),"Free",IF(AND($D$2="Arete",CharacterSheet!$M$51&gt;2,CharacterSheet!$V$34&gt;AF9,AH8="Yes"),"Yes","No"))</f>
        <v>No</v>
      </c>
      <c r="AH9" s="572" t="s">
        <v>347</v>
      </c>
      <c r="AJ9" s="319">
        <f t="shared" si="1"/>
        <v>0</v>
      </c>
      <c r="AK9" s="345" t="s">
        <v>2595</v>
      </c>
      <c r="AL9" s="341" t="s">
        <v>1306</v>
      </c>
      <c r="AM9" s="346" t="str">
        <f>AM2</f>
        <v>Art</v>
      </c>
      <c r="AN9" s="341">
        <v>8</v>
      </c>
      <c r="AO9" s="347" t="str">
        <f>IF(AND($D$2="Arete",$AS$35&gt;2,CharacterSheet!$V$34&gt;AN9,'House Rules'!$B$6="Free",'House Rules'!$D$6=AM9),"Free",IF(AND($D$2="Arete",$AS$35&gt;2,CharacterSheet!$V$34&gt;AN9,AP8="Yes"),"Yes","No"))</f>
        <v>No</v>
      </c>
      <c r="AP9" s="348" t="s">
        <v>347</v>
      </c>
      <c r="AR9" s="351" t="s">
        <v>40</v>
      </c>
      <c r="AS9" s="344">
        <f>COUNTIF(Z52:Z61,"Yes")</f>
        <v>0</v>
      </c>
      <c r="AT9" s="444">
        <f>VLOOKUP(AS9,Reference!$D$2:$E$12,2,FALSE)</f>
        <v>0</v>
      </c>
      <c r="AU9" s="350" t="s">
        <v>55</v>
      </c>
      <c r="AV9" s="319">
        <f>IF(CharacterSheet!Q56="art",CharacterSheet!U56,0)</f>
        <v>0</v>
      </c>
      <c r="AW9" s="350" t="s">
        <v>56</v>
      </c>
      <c r="AX9" s="319">
        <f>IF(CharacterSheet!Q56="Control",CharacterSheet!U56,0)</f>
        <v>0</v>
      </c>
      <c r="AY9" s="350" t="s">
        <v>57</v>
      </c>
      <c r="AZ9" s="319">
        <f>IF(CharacterSheet!Q56="Craft",CharacterSheet!U56,0)</f>
        <v>0</v>
      </c>
      <c r="BA9" s="350" t="s">
        <v>58</v>
      </c>
      <c r="BB9" s="319">
        <f>IF(CharacterSheet!Q56="Science",CharacterSheet!U56,0)</f>
        <v>0</v>
      </c>
      <c r="BF9" s="319">
        <f t="shared" si="7"/>
        <v>0</v>
      </c>
      <c r="BG9" s="340" t="str">
        <f t="shared" si="8"/>
        <v/>
      </c>
      <c r="BI9" s="319">
        <f t="shared" si="9"/>
        <v>0</v>
      </c>
      <c r="BJ9" s="319">
        <f t="shared" si="10"/>
        <v>0</v>
      </c>
      <c r="BK9" s="319">
        <f t="shared" si="10"/>
        <v>0</v>
      </c>
      <c r="BL9" s="319">
        <f t="shared" si="10"/>
        <v>0</v>
      </c>
      <c r="BM9" s="319">
        <f t="shared" si="10"/>
        <v>0</v>
      </c>
      <c r="BN9" s="319">
        <f t="shared" si="10"/>
        <v>0</v>
      </c>
      <c r="BO9" s="319">
        <f t="shared" si="10"/>
        <v>0</v>
      </c>
      <c r="BP9" s="319">
        <f t="shared" si="10"/>
        <v>0</v>
      </c>
      <c r="BQ9" s="319">
        <f t="shared" si="10"/>
        <v>0</v>
      </c>
      <c r="BR9" s="319">
        <f t="shared" si="10"/>
        <v>0</v>
      </c>
      <c r="BS9" s="319">
        <f t="shared" si="10"/>
        <v>0</v>
      </c>
      <c r="BT9" s="319">
        <f t="shared" si="10"/>
        <v>0</v>
      </c>
      <c r="BU9" s="319">
        <f t="shared" si="10"/>
        <v>0</v>
      </c>
      <c r="BV9" s="319">
        <f t="shared" si="10"/>
        <v>0</v>
      </c>
      <c r="BW9" s="319">
        <f t="shared" si="10"/>
        <v>0</v>
      </c>
      <c r="BX9" s="319">
        <f t="shared" si="10"/>
        <v>0</v>
      </c>
      <c r="BY9" s="319">
        <f t="shared" si="10"/>
        <v>0</v>
      </c>
      <c r="BZ9" s="319">
        <f t="shared" si="10"/>
        <v>0</v>
      </c>
      <c r="CA9" s="319">
        <f t="shared" si="10"/>
        <v>0</v>
      </c>
      <c r="CB9" s="319">
        <f t="shared" si="10"/>
        <v>0</v>
      </c>
      <c r="CC9" s="319">
        <f t="shared" si="10"/>
        <v>0</v>
      </c>
      <c r="CD9" s="319">
        <f t="shared" si="10"/>
        <v>0</v>
      </c>
      <c r="CE9" s="319">
        <f t="shared" si="10"/>
        <v>0</v>
      </c>
      <c r="CF9" s="319">
        <f t="shared" si="10"/>
        <v>0</v>
      </c>
      <c r="CG9" s="319">
        <f t="shared" si="10"/>
        <v>0</v>
      </c>
      <c r="CH9" s="319">
        <f t="shared" si="10"/>
        <v>0</v>
      </c>
      <c r="CI9" s="319">
        <f t="shared" si="10"/>
        <v>0</v>
      </c>
      <c r="CJ9" s="319">
        <f t="shared" si="10"/>
        <v>0</v>
      </c>
      <c r="CK9" s="319">
        <f t="shared" si="10"/>
        <v>0</v>
      </c>
      <c r="CL9" s="319">
        <f t="shared" si="10"/>
        <v>0</v>
      </c>
      <c r="CM9" s="319">
        <f t="shared" si="10"/>
        <v>0</v>
      </c>
      <c r="CN9" s="319">
        <f t="shared" si="10"/>
        <v>0</v>
      </c>
      <c r="CO9" s="319">
        <f t="shared" si="10"/>
        <v>0</v>
      </c>
      <c r="CP9" s="319">
        <f t="shared" si="10"/>
        <v>0</v>
      </c>
      <c r="CQ9" s="319">
        <f t="shared" si="10"/>
        <v>0</v>
      </c>
      <c r="CR9" s="319">
        <f t="shared" si="10"/>
        <v>0</v>
      </c>
      <c r="CS9" s="319">
        <f t="shared" si="10"/>
        <v>0</v>
      </c>
      <c r="CT9" s="319">
        <f t="shared" si="10"/>
        <v>0</v>
      </c>
      <c r="CU9" s="319">
        <f t="shared" si="10"/>
        <v>0</v>
      </c>
      <c r="CV9" s="319">
        <f t="shared" si="10"/>
        <v>0</v>
      </c>
    </row>
    <row r="10" spans="1:100" x14ac:dyDescent="0.25">
      <c r="A10" s="319">
        <f t="shared" si="3"/>
        <v>0</v>
      </c>
      <c r="B10" s="319">
        <f t="shared" si="4"/>
        <v>0</v>
      </c>
      <c r="C10" s="340" t="str">
        <f t="shared" si="0"/>
        <v/>
      </c>
      <c r="D10" s="341" t="str">
        <f>CharacterSheet!$AS$7</f>
        <v/>
      </c>
      <c r="E10" s="341" t="str">
        <f>IF(D10="","",9)</f>
        <v/>
      </c>
      <c r="F10" s="341" t="str">
        <f>IF(OR(D10="",D10="Arete"),"",IF(OR(AND(CharacterSheet!$V$34&gt;E10,'House Rules'!$B$6="Standard",G9="Yes"),AND(CharacterSheet!$V$34&gt;E10,'House Rules'!$B$6="Open")),"Yes",IF(AND('House Rules'!$B$6="Free",CharacterSheet!$V$34&gt;E10),"Free","No")))</f>
        <v/>
      </c>
      <c r="G10" s="564"/>
      <c r="H10" s="333" t="str">
        <f>IF(C10="","",VLOOKUP(C10,Boonref2!A:B,2,FALSE))</f>
        <v/>
      </c>
      <c r="I10" s="333"/>
      <c r="J10" s="333"/>
      <c r="K10" s="333"/>
      <c r="L10" s="333"/>
      <c r="M10" s="333"/>
      <c r="N10" s="340" t="s">
        <v>1471</v>
      </c>
      <c r="O10" s="343" t="s">
        <v>180</v>
      </c>
      <c r="P10" s="341" t="str">
        <f>IF('House Rules'!$B$5="Prohibited","No",IF(O10&lt;CharacterSheet!$V$34,"Yes","No"))</f>
        <v>No</v>
      </c>
      <c r="Q10" s="341">
        <v>9</v>
      </c>
      <c r="R10" s="344" t="s">
        <v>346</v>
      </c>
      <c r="S10" s="317"/>
      <c r="T10" s="319">
        <f t="shared" si="5"/>
        <v>0</v>
      </c>
      <c r="U10" s="345" t="s">
        <v>2396</v>
      </c>
      <c r="V10" s="341" t="s">
        <v>1307</v>
      </c>
      <c r="W10" s="346" t="s">
        <v>35</v>
      </c>
      <c r="X10" s="341">
        <v>9</v>
      </c>
      <c r="Y10" s="347" t="str">
        <f>IF(AND($D$2="Arete",CharacterSheet!$E$51&gt;2,CharacterSheet!$V$34&gt;X10,'House Rules'!$B$6="Free",'House Rules'!$D$6=W10),"Free",IF(AND($D$2="Arete",CharacterSheet!$E$51&gt;2,CharacterSheet!$V$34&gt;X10,Z9="Yes"),"Yes","No"))</f>
        <v>No</v>
      </c>
      <c r="Z10" s="572" t="s">
        <v>347</v>
      </c>
      <c r="AA10" s="556"/>
      <c r="AB10" s="319">
        <f t="shared" si="6"/>
        <v>0</v>
      </c>
      <c r="AC10" s="345" t="s">
        <v>2496</v>
      </c>
      <c r="AD10" s="341" t="s">
        <v>1307</v>
      </c>
      <c r="AE10" s="346" t="s">
        <v>45</v>
      </c>
      <c r="AF10" s="341">
        <v>9</v>
      </c>
      <c r="AG10" s="347" t="str">
        <f>IF(AND($D$2="Arete",CharacterSheet!$M$51&gt;2,CharacterSheet!$V$34&gt;AF10,'House Rules'!$B$6="Free",'House Rules'!$D$6=AE10),"Free",IF(AND($D$2="Arete",CharacterSheet!$M$51&gt;2,CharacterSheet!$V$34&gt;AF10,AH9="Yes"),"Yes","No"))</f>
        <v>No</v>
      </c>
      <c r="AH10" s="572" t="s">
        <v>347</v>
      </c>
      <c r="AJ10" s="319">
        <f t="shared" si="1"/>
        <v>0</v>
      </c>
      <c r="AK10" s="345" t="s">
        <v>2596</v>
      </c>
      <c r="AL10" s="341" t="s">
        <v>1307</v>
      </c>
      <c r="AM10" s="346" t="str">
        <f>AM2</f>
        <v>Art</v>
      </c>
      <c r="AN10" s="341">
        <v>9</v>
      </c>
      <c r="AO10" s="347" t="str">
        <f>IF(AND($D$2="Arete",$AS$35&gt;2,CharacterSheet!$V$34&gt;AN10,'House Rules'!$B$6="Free",'House Rules'!$D$6=AM10),"Free",IF(AND($D$2="Arete",$AS$35&gt;2,CharacterSheet!$V$34&gt;AN10,AP9="Yes"),"Yes","No"))</f>
        <v>No</v>
      </c>
      <c r="AP10" s="348" t="s">
        <v>347</v>
      </c>
      <c r="AR10" s="351" t="s">
        <v>41</v>
      </c>
      <c r="AS10" s="344">
        <f>COUNTIF(Z62:Z71,"Yes")</f>
        <v>0</v>
      </c>
      <c r="AT10" s="444">
        <f>VLOOKUP(AS10,Reference!$D$2:$E$12,2,FALSE)</f>
        <v>0</v>
      </c>
      <c r="AU10" s="350" t="s">
        <v>55</v>
      </c>
      <c r="AV10" s="319">
        <f>IF(CharacterSheet!Q57="art",CharacterSheet!U57,0)</f>
        <v>0</v>
      </c>
      <c r="AW10" s="350" t="s">
        <v>56</v>
      </c>
      <c r="AX10" s="319">
        <f>IF(CharacterSheet!Q57="Control",CharacterSheet!U57,0)</f>
        <v>0</v>
      </c>
      <c r="AY10" s="350" t="s">
        <v>57</v>
      </c>
      <c r="AZ10" s="319">
        <f>IF(CharacterSheet!Q57="Craft",CharacterSheet!U57,0)</f>
        <v>0</v>
      </c>
      <c r="BA10" s="350" t="s">
        <v>58</v>
      </c>
      <c r="BB10" s="319">
        <f>IF(CharacterSheet!Q57="Science",CharacterSheet!U57,0)</f>
        <v>0</v>
      </c>
      <c r="BF10" s="319">
        <f t="shared" si="7"/>
        <v>0</v>
      </c>
      <c r="BG10" s="340" t="str">
        <f t="shared" si="8"/>
        <v/>
      </c>
      <c r="BI10" s="319">
        <f t="shared" si="9"/>
        <v>0</v>
      </c>
      <c r="BJ10" s="319">
        <f t="shared" si="10"/>
        <v>0</v>
      </c>
      <c r="BK10" s="319">
        <f t="shared" si="10"/>
        <v>0</v>
      </c>
      <c r="BL10" s="319">
        <f t="shared" si="10"/>
        <v>0</v>
      </c>
      <c r="BM10" s="319">
        <f t="shared" si="10"/>
        <v>0</v>
      </c>
      <c r="BN10" s="319">
        <f t="shared" si="10"/>
        <v>0</v>
      </c>
      <c r="BO10" s="319">
        <f t="shared" si="10"/>
        <v>0</v>
      </c>
      <c r="BP10" s="319">
        <f t="shared" si="10"/>
        <v>0</v>
      </c>
      <c r="BQ10" s="319">
        <f t="shared" si="10"/>
        <v>0</v>
      </c>
      <c r="BR10" s="319">
        <f t="shared" si="10"/>
        <v>0</v>
      </c>
      <c r="BS10" s="319">
        <f t="shared" si="10"/>
        <v>0</v>
      </c>
      <c r="BT10" s="319">
        <f t="shared" si="10"/>
        <v>0</v>
      </c>
      <c r="BU10" s="319">
        <f t="shared" si="10"/>
        <v>0</v>
      </c>
      <c r="BV10" s="319">
        <f t="shared" si="10"/>
        <v>0</v>
      </c>
      <c r="BW10" s="319">
        <f t="shared" si="10"/>
        <v>0</v>
      </c>
      <c r="BX10" s="319">
        <f t="shared" si="10"/>
        <v>0</v>
      </c>
      <c r="BY10" s="319">
        <f t="shared" si="10"/>
        <v>0</v>
      </c>
      <c r="BZ10" s="319">
        <f t="shared" si="10"/>
        <v>0</v>
      </c>
      <c r="CA10" s="319">
        <f t="shared" si="10"/>
        <v>0</v>
      </c>
      <c r="CB10" s="319">
        <f t="shared" si="10"/>
        <v>0</v>
      </c>
      <c r="CC10" s="319">
        <f t="shared" si="10"/>
        <v>0</v>
      </c>
      <c r="CD10" s="319">
        <f t="shared" si="10"/>
        <v>0</v>
      </c>
      <c r="CE10" s="319">
        <f t="shared" si="10"/>
        <v>0</v>
      </c>
      <c r="CF10" s="319">
        <f t="shared" si="10"/>
        <v>0</v>
      </c>
      <c r="CG10" s="319">
        <f t="shared" si="10"/>
        <v>0</v>
      </c>
      <c r="CH10" s="319">
        <f t="shared" si="10"/>
        <v>0</v>
      </c>
      <c r="CI10" s="319">
        <f t="shared" si="10"/>
        <v>0</v>
      </c>
      <c r="CJ10" s="319">
        <f t="shared" si="10"/>
        <v>0</v>
      </c>
      <c r="CK10" s="319">
        <f t="shared" si="10"/>
        <v>0</v>
      </c>
      <c r="CL10" s="319">
        <f t="shared" si="10"/>
        <v>0</v>
      </c>
      <c r="CM10" s="319">
        <f t="shared" si="10"/>
        <v>0</v>
      </c>
      <c r="CN10" s="319">
        <f t="shared" si="10"/>
        <v>0</v>
      </c>
      <c r="CO10" s="319">
        <f t="shared" si="10"/>
        <v>0</v>
      </c>
      <c r="CP10" s="319">
        <f t="shared" si="10"/>
        <v>0</v>
      </c>
      <c r="CQ10" s="319">
        <f t="shared" si="10"/>
        <v>0</v>
      </c>
      <c r="CR10" s="319">
        <f t="shared" si="10"/>
        <v>0</v>
      </c>
      <c r="CS10" s="319">
        <f t="shared" si="10"/>
        <v>0</v>
      </c>
      <c r="CT10" s="319">
        <f t="shared" si="10"/>
        <v>0</v>
      </c>
      <c r="CU10" s="319">
        <f t="shared" si="10"/>
        <v>0</v>
      </c>
      <c r="CV10" s="319">
        <f t="shared" si="10"/>
        <v>0</v>
      </c>
    </row>
    <row r="11" spans="1:100" ht="15.75" thickBot="1" x14ac:dyDescent="0.3">
      <c r="A11" s="319">
        <f t="shared" si="3"/>
        <v>0</v>
      </c>
      <c r="B11" s="319">
        <f>IF(G11="Yes",B10+1,B10)</f>
        <v>0</v>
      </c>
      <c r="C11" s="574" t="str">
        <f t="shared" si="0"/>
        <v/>
      </c>
      <c r="D11" s="496" t="str">
        <f>CharacterSheet!$AS$7</f>
        <v/>
      </c>
      <c r="E11" s="496" t="str">
        <f>IF(D11="","",10)</f>
        <v/>
      </c>
      <c r="F11" s="496" t="str">
        <f>IF(OR(D11="",D11="Arete"),"",IF(OR(AND(CharacterSheet!$V$34&gt;E11,'House Rules'!$B$6="Standard",G10="Yes"),AND(CharacterSheet!$V$34&gt;E11,'House Rules'!$B$6="Open")),"Yes",IF(AND('House Rules'!$B$6="Free",CharacterSheet!$V$34&gt;E11),"Free","No")))</f>
        <v/>
      </c>
      <c r="G11" s="575"/>
      <c r="H11" s="333" t="str">
        <f>IF(C11="","",VLOOKUP(C11,Boonref2!A:B,2,FALSE))</f>
        <v/>
      </c>
      <c r="I11" s="333"/>
      <c r="J11" s="333"/>
      <c r="K11" s="333"/>
      <c r="L11" s="333"/>
      <c r="M11" s="333"/>
      <c r="N11" s="340" t="s">
        <v>1472</v>
      </c>
      <c r="O11" s="343" t="s">
        <v>180</v>
      </c>
      <c r="P11" s="341" t="str">
        <f>IF('House Rules'!$B$5="Prohibited","No",IF(O11&lt;CharacterSheet!$V$34,"Yes","No"))</f>
        <v>No</v>
      </c>
      <c r="Q11" s="341">
        <v>10</v>
      </c>
      <c r="R11" s="344" t="s">
        <v>347</v>
      </c>
      <c r="S11" s="317"/>
      <c r="T11" s="319">
        <f>IF(AND(Z11="Yes"),$B$11+1,$B$11)</f>
        <v>0</v>
      </c>
      <c r="U11" s="355" t="s">
        <v>2397</v>
      </c>
      <c r="V11" s="353" t="s">
        <v>1308</v>
      </c>
      <c r="W11" s="356" t="s">
        <v>35</v>
      </c>
      <c r="X11" s="353">
        <v>10</v>
      </c>
      <c r="Y11" s="347" t="str">
        <f>IF(AND($D$2="Arete",CharacterSheet!$E$51&gt;2,CharacterSheet!$V$34&gt;X11,'House Rules'!$B$6="Free",'House Rules'!$D$6=W11),"Free",IF(AND($D$2="Arete",CharacterSheet!$E$51&gt;2,CharacterSheet!$V$34&gt;X11,Z10="Yes"),"Yes","No"))</f>
        <v>No</v>
      </c>
      <c r="Z11" s="573" t="s">
        <v>347</v>
      </c>
      <c r="AA11" s="556"/>
      <c r="AB11" s="319">
        <f>IF(AND(AH11="Yes"),LARGE($T$92:$T$101,1)+1,LARGE($T$92:$T$101,1))</f>
        <v>0</v>
      </c>
      <c r="AC11" s="355" t="s">
        <v>2497</v>
      </c>
      <c r="AD11" s="353" t="s">
        <v>1308</v>
      </c>
      <c r="AE11" s="356" t="s">
        <v>45</v>
      </c>
      <c r="AF11" s="353">
        <v>10</v>
      </c>
      <c r="AG11" s="347" t="str">
        <f>IF(AND($D$2="Arete",CharacterSheet!$M$51&gt;2,CharacterSheet!$V$34&gt;AF11,'House Rules'!$B$6="Free",'House Rules'!$D$6=AE11),"Free",IF(AND($D$2="Arete",CharacterSheet!$M$51&gt;2,CharacterSheet!$V$34&gt;AF11,AH10="Yes"),"Yes","No"))</f>
        <v>No</v>
      </c>
      <c r="AH11" s="573" t="s">
        <v>347</v>
      </c>
      <c r="AJ11" s="319">
        <f>IF(AND(AP11="Yes"),LARGE($T$12:$T$21,1)+1,LARGE($T$12:$T$21,1))</f>
        <v>0</v>
      </c>
      <c r="AK11" s="355" t="s">
        <v>2597</v>
      </c>
      <c r="AL11" s="353" t="s">
        <v>1308</v>
      </c>
      <c r="AM11" s="356" t="str">
        <f>AM2</f>
        <v>Art</v>
      </c>
      <c r="AN11" s="353">
        <v>10</v>
      </c>
      <c r="AO11" s="347" t="str">
        <f>IF(AND($D$2="Arete",$AS$35&gt;2,CharacterSheet!$V$34&gt;AN11,'House Rules'!$B$6="Free",'House Rules'!$D$6=AM11),"Free",IF(AND($D$2="Arete",$AS$35&gt;2,CharacterSheet!$V$34&gt;AN11,AP10="Yes"),"Yes","No"))</f>
        <v>No</v>
      </c>
      <c r="AP11" s="357" t="s">
        <v>347</v>
      </c>
      <c r="AR11" s="351" t="s">
        <v>42</v>
      </c>
      <c r="AS11" s="344">
        <f>COUNTIF(Z72:Z81,"Yes")</f>
        <v>0</v>
      </c>
      <c r="AT11" s="444">
        <f>VLOOKUP(AS11,Reference!$D$2:$E$12,2,FALSE)</f>
        <v>0</v>
      </c>
      <c r="AU11" s="350" t="s">
        <v>55</v>
      </c>
      <c r="AV11" s="319">
        <f>IF(CharacterSheet!Q58="art",CharacterSheet!U58,0)</f>
        <v>0</v>
      </c>
      <c r="AW11" s="350" t="s">
        <v>56</v>
      </c>
      <c r="AX11" s="319">
        <f>IF(CharacterSheet!Q58="Control",CharacterSheet!U58,0)</f>
        <v>0</v>
      </c>
      <c r="AY11" s="350" t="s">
        <v>57</v>
      </c>
      <c r="AZ11" s="319">
        <f>IF(CharacterSheet!Q58="Craft",CharacterSheet!U58,0)</f>
        <v>0</v>
      </c>
      <c r="BA11" s="350" t="s">
        <v>58</v>
      </c>
      <c r="BB11" s="319">
        <f>IF(CharacterSheet!Q58="Science",CharacterSheet!U58,0)</f>
        <v>0</v>
      </c>
      <c r="BF11" s="319">
        <f t="shared" si="7"/>
        <v>0</v>
      </c>
      <c r="BG11" s="352" t="str">
        <f t="shared" si="8"/>
        <v/>
      </c>
      <c r="BI11" s="319">
        <f t="shared" si="9"/>
        <v>0</v>
      </c>
      <c r="BJ11" s="319">
        <f t="shared" si="10"/>
        <v>0</v>
      </c>
      <c r="BK11" s="319">
        <f t="shared" si="10"/>
        <v>0</v>
      </c>
      <c r="BL11" s="319">
        <f t="shared" si="10"/>
        <v>0</v>
      </c>
      <c r="BM11" s="319">
        <f t="shared" si="10"/>
        <v>0</v>
      </c>
      <c r="BN11" s="319">
        <f t="shared" si="10"/>
        <v>0</v>
      </c>
      <c r="BO11" s="319">
        <f t="shared" si="10"/>
        <v>0</v>
      </c>
      <c r="BP11" s="319">
        <f t="shared" si="10"/>
        <v>0</v>
      </c>
      <c r="BQ11" s="319">
        <f t="shared" si="10"/>
        <v>0</v>
      </c>
      <c r="BR11" s="319">
        <f t="shared" si="10"/>
        <v>0</v>
      </c>
      <c r="BS11" s="319">
        <f t="shared" si="10"/>
        <v>0</v>
      </c>
      <c r="BT11" s="319">
        <f t="shared" si="10"/>
        <v>0</v>
      </c>
      <c r="BU11" s="319">
        <f t="shared" si="10"/>
        <v>0</v>
      </c>
      <c r="BV11" s="319">
        <f t="shared" si="10"/>
        <v>0</v>
      </c>
      <c r="BW11" s="319">
        <f t="shared" si="10"/>
        <v>0</v>
      </c>
      <c r="BX11" s="319">
        <f t="shared" si="10"/>
        <v>0</v>
      </c>
      <c r="BY11" s="319">
        <f t="shared" si="10"/>
        <v>0</v>
      </c>
      <c r="BZ11" s="319">
        <f t="shared" si="10"/>
        <v>0</v>
      </c>
      <c r="CA11" s="319">
        <f t="shared" si="10"/>
        <v>0</v>
      </c>
      <c r="CB11" s="319">
        <f t="shared" si="10"/>
        <v>0</v>
      </c>
      <c r="CC11" s="319">
        <f t="shared" si="10"/>
        <v>0</v>
      </c>
      <c r="CD11" s="319">
        <f t="shared" si="10"/>
        <v>0</v>
      </c>
      <c r="CE11" s="319">
        <f t="shared" si="10"/>
        <v>0</v>
      </c>
      <c r="CF11" s="319">
        <f t="shared" si="10"/>
        <v>0</v>
      </c>
      <c r="CG11" s="319">
        <f t="shared" si="10"/>
        <v>0</v>
      </c>
      <c r="CH11" s="319">
        <f t="shared" si="10"/>
        <v>0</v>
      </c>
      <c r="CI11" s="319">
        <f t="shared" si="10"/>
        <v>0</v>
      </c>
      <c r="CJ11" s="319">
        <f t="shared" si="10"/>
        <v>0</v>
      </c>
      <c r="CK11" s="319">
        <f t="shared" si="10"/>
        <v>0</v>
      </c>
      <c r="CL11" s="319">
        <f t="shared" si="10"/>
        <v>0</v>
      </c>
      <c r="CM11" s="319">
        <f t="shared" si="10"/>
        <v>0</v>
      </c>
      <c r="CN11" s="319">
        <f t="shared" si="10"/>
        <v>0</v>
      </c>
      <c r="CO11" s="319">
        <f t="shared" si="10"/>
        <v>0</v>
      </c>
      <c r="CP11" s="319">
        <f t="shared" si="10"/>
        <v>0</v>
      </c>
      <c r="CQ11" s="319">
        <f t="shared" si="10"/>
        <v>0</v>
      </c>
      <c r="CR11" s="319">
        <f t="shared" si="10"/>
        <v>0</v>
      </c>
      <c r="CS11" s="319">
        <f t="shared" si="10"/>
        <v>0</v>
      </c>
      <c r="CT11" s="319">
        <f t="shared" si="10"/>
        <v>0</v>
      </c>
      <c r="CU11" s="319">
        <f t="shared" si="10"/>
        <v>0</v>
      </c>
      <c r="CV11" s="319">
        <f t="shared" si="10"/>
        <v>0</v>
      </c>
    </row>
    <row r="12" spans="1:100" x14ac:dyDescent="0.25">
      <c r="A12" s="319">
        <f t="shared" si="3"/>
        <v>0</v>
      </c>
      <c r="B12" s="319">
        <f>IF(G12="Yes",LARGE(AJ32:AJ41,1)+1,LARGE(AJ32:AJ41,1))</f>
        <v>0</v>
      </c>
      <c r="C12" s="330" t="s">
        <v>1064</v>
      </c>
      <c r="D12" s="331" t="s">
        <v>352</v>
      </c>
      <c r="E12" s="331">
        <v>1</v>
      </c>
      <c r="F12" s="331" t="str">
        <f>IF(E12&lt;CharacterSheet!$V$34,"Yes","No")</f>
        <v>Yes</v>
      </c>
      <c r="G12" s="563" t="s">
        <v>347</v>
      </c>
      <c r="H12" s="333" t="str">
        <f>IF(C12="","",VLOOKUP(C12,Boonref2!A:B,2,FALSE))</f>
        <v>Yes</v>
      </c>
      <c r="I12" s="333"/>
      <c r="J12" s="333" t="str">
        <f>VLOOKUP(C12,BoonRef!A:Z,17,FALSE)</f>
        <v>Yes</v>
      </c>
      <c r="K12" s="333" t="str">
        <f>IF(J12="God",'House Rules'!$B$2,IF(J12="Demi",'House Rules'!$B$1,IF(J12="Comp",'House Rules'!$B$4,IF(J12="Yaz",'House Rules'!$B$5,IF(J12="Rag",'House Rules'!$B$3,"Available")))))</f>
        <v>Available</v>
      </c>
      <c r="L12" s="333"/>
      <c r="M12" s="333"/>
      <c r="N12" s="340" t="s">
        <v>1115</v>
      </c>
      <c r="O12" s="341" t="s">
        <v>175</v>
      </c>
      <c r="P12" s="341" t="str">
        <f>IF(O12&lt;CharacterSheet!$V$34,"Yes","No")</f>
        <v>No</v>
      </c>
      <c r="Q12" s="341">
        <v>1</v>
      </c>
      <c r="R12" s="344" t="s">
        <v>346</v>
      </c>
      <c r="S12" s="317"/>
      <c r="T12" s="319">
        <f>IF(AND(Z12="Yes",Z13="No"),LARGE($T$2:$T$11,1)+1,LARGE($T$2:$T$11,1))</f>
        <v>0</v>
      </c>
      <c r="U12" s="336" t="s">
        <v>2398</v>
      </c>
      <c r="V12" s="331" t="s">
        <v>1112</v>
      </c>
      <c r="W12" s="337" t="s">
        <v>36</v>
      </c>
      <c r="X12" s="331">
        <v>1</v>
      </c>
      <c r="Y12" s="338" t="str">
        <f>IF(AND($D$2="Arete",CharacterSheet!$E$52&gt;2,CharacterSheet!$V$34&gt;X12,'House Rules'!$B$6="Free",'House Rules'!$D$6=W12),"Free",IF(AND($D$2="Arete",CharacterSheet!$E$52&gt;2,CharacterSheet!$V$34&gt;X12),"Yes","No"))</f>
        <v>No</v>
      </c>
      <c r="Z12" s="571" t="s">
        <v>347</v>
      </c>
      <c r="AA12" s="556"/>
      <c r="AB12" s="319">
        <f t="shared" ref="AB12:AB20" si="11">IF(AND(AH12="Yes",AH13="No"),LARGE($AB$2:$AB$11,1)+1,LARGE($AB$2:$AB$11,1))</f>
        <v>0</v>
      </c>
      <c r="AC12" s="336" t="s">
        <v>2498</v>
      </c>
      <c r="AD12" s="331" t="s">
        <v>1112</v>
      </c>
      <c r="AE12" s="337" t="s">
        <v>46</v>
      </c>
      <c r="AF12" s="331">
        <v>1</v>
      </c>
      <c r="AG12" s="338" t="str">
        <f>IF(AND($D$2="Arete",CharacterSheet!$M$52&gt;2,CharacterSheet!$V$34&gt;AF12,'House Rules'!$B$6="Free",'House Rules'!$D$6=AE12),"Free",IF(AND($D$2="Arete",CharacterSheet!$M$52&gt;2,CharacterSheet!$V$34&gt;AF12),"Yes","No"))</f>
        <v>No</v>
      </c>
      <c r="AH12" s="571" t="s">
        <v>347</v>
      </c>
      <c r="AJ12" s="319">
        <f t="shared" ref="AJ12:AJ20" si="12">IF(AND(AP12="Yes",AP13="No"),LARGE($T$52:$T$61,1)+1,LARGE($T$52:$T$61,1))</f>
        <v>0</v>
      </c>
      <c r="AK12" s="336" t="s">
        <v>2598</v>
      </c>
      <c r="AL12" s="331" t="s">
        <v>1112</v>
      </c>
      <c r="AM12" s="337" t="s">
        <v>56</v>
      </c>
      <c r="AN12" s="331">
        <v>1</v>
      </c>
      <c r="AO12" s="338" t="str">
        <f>IF(AND($D$2="Arete",$AS$36&gt;2,CharacterSheet!$V$34&gt;AN12,'House Rules'!$B$6="Free",'House Rules'!$D$6=AM12),"Free",IF(AND($D$2="Arete",$AS$36&gt;2,CharacterSheet!$V$34&gt;AN12),"Yes","No"))</f>
        <v>No</v>
      </c>
      <c r="AP12" s="339" t="s">
        <v>347</v>
      </c>
      <c r="AR12" s="351" t="s">
        <v>43</v>
      </c>
      <c r="AS12" s="344">
        <f>COUNTIF(Z82:Z91,"Yes")</f>
        <v>0</v>
      </c>
      <c r="AT12" s="444">
        <f>VLOOKUP(AS12,Reference!$D$2:$E$12,2,FALSE)</f>
        <v>0</v>
      </c>
      <c r="AU12" s="350" t="s">
        <v>55</v>
      </c>
      <c r="AV12" s="319">
        <f>IF(CharacterSheet!Q59="art",CharacterSheet!U59,0)</f>
        <v>0</v>
      </c>
      <c r="AW12" s="350" t="s">
        <v>56</v>
      </c>
      <c r="AX12" s="319">
        <f>IF(CharacterSheet!Q59="Control",CharacterSheet!U59,0)</f>
        <v>0</v>
      </c>
      <c r="AY12" s="350" t="s">
        <v>57</v>
      </c>
      <c r="AZ12" s="319">
        <f>IF(CharacterSheet!Q59="Craft",CharacterSheet!U59,0)</f>
        <v>0</v>
      </c>
      <c r="BA12" s="350" t="s">
        <v>58</v>
      </c>
      <c r="BB12" s="319">
        <f>IF(CharacterSheet!Q59="Science",CharacterSheet!U59,0)</f>
        <v>0</v>
      </c>
      <c r="BF12" s="319">
        <f>T2</f>
        <v>0</v>
      </c>
      <c r="BG12" s="336" t="s">
        <v>2388</v>
      </c>
      <c r="BI12" s="319">
        <f t="shared" si="9"/>
        <v>0</v>
      </c>
      <c r="BJ12" s="319">
        <f t="shared" si="10"/>
        <v>0</v>
      </c>
      <c r="BK12" s="319">
        <f t="shared" si="10"/>
        <v>0</v>
      </c>
      <c r="BL12" s="319">
        <f t="shared" si="10"/>
        <v>0</v>
      </c>
      <c r="BM12" s="319">
        <f t="shared" si="10"/>
        <v>0</v>
      </c>
      <c r="BN12" s="319">
        <f t="shared" si="10"/>
        <v>0</v>
      </c>
      <c r="BO12" s="319">
        <f t="shared" si="10"/>
        <v>0</v>
      </c>
      <c r="BP12" s="319">
        <f t="shared" si="10"/>
        <v>0</v>
      </c>
      <c r="BQ12" s="319">
        <f t="shared" si="10"/>
        <v>0</v>
      </c>
      <c r="BR12" s="319">
        <f t="shared" si="10"/>
        <v>0</v>
      </c>
      <c r="BS12" s="319">
        <f t="shared" si="10"/>
        <v>0</v>
      </c>
      <c r="BT12" s="319">
        <f t="shared" si="10"/>
        <v>0</v>
      </c>
      <c r="BU12" s="319">
        <f t="shared" si="10"/>
        <v>0</v>
      </c>
      <c r="BV12" s="319">
        <f t="shared" si="10"/>
        <v>0</v>
      </c>
      <c r="BW12" s="319">
        <f t="shared" si="10"/>
        <v>0</v>
      </c>
      <c r="BX12" s="319">
        <f t="shared" si="10"/>
        <v>0</v>
      </c>
      <c r="BY12" s="319">
        <f t="shared" si="10"/>
        <v>0</v>
      </c>
      <c r="BZ12" s="319">
        <f t="shared" si="10"/>
        <v>0</v>
      </c>
      <c r="CA12" s="319">
        <f t="shared" si="10"/>
        <v>0</v>
      </c>
      <c r="CB12" s="319">
        <f t="shared" si="10"/>
        <v>0</v>
      </c>
      <c r="CC12" s="319">
        <f t="shared" si="10"/>
        <v>0</v>
      </c>
      <c r="CD12" s="319">
        <f t="shared" si="10"/>
        <v>0</v>
      </c>
      <c r="CE12" s="319">
        <f t="shared" si="10"/>
        <v>0</v>
      </c>
      <c r="CF12" s="319">
        <f t="shared" si="10"/>
        <v>0</v>
      </c>
      <c r="CG12" s="319">
        <f t="shared" si="10"/>
        <v>0</v>
      </c>
      <c r="CH12" s="319">
        <f t="shared" si="10"/>
        <v>0</v>
      </c>
      <c r="CI12" s="319">
        <f t="shared" si="10"/>
        <v>0</v>
      </c>
      <c r="CJ12" s="319">
        <f t="shared" si="10"/>
        <v>0</v>
      </c>
      <c r="CK12" s="319">
        <f t="shared" si="10"/>
        <v>0</v>
      </c>
      <c r="CL12" s="319">
        <f t="shared" si="10"/>
        <v>0</v>
      </c>
      <c r="CM12" s="319">
        <f t="shared" si="10"/>
        <v>0</v>
      </c>
      <c r="CN12" s="319">
        <f t="shared" si="10"/>
        <v>0</v>
      </c>
      <c r="CO12" s="319">
        <f t="shared" si="10"/>
        <v>0</v>
      </c>
      <c r="CP12" s="319">
        <f t="shared" si="10"/>
        <v>0</v>
      </c>
      <c r="CQ12" s="319">
        <f t="shared" si="10"/>
        <v>0</v>
      </c>
      <c r="CR12" s="319">
        <f t="shared" si="10"/>
        <v>0</v>
      </c>
      <c r="CS12" s="319">
        <f t="shared" si="10"/>
        <v>0</v>
      </c>
      <c r="CT12" s="319">
        <f t="shared" si="10"/>
        <v>0</v>
      </c>
      <c r="CU12" s="319">
        <f t="shared" si="10"/>
        <v>0</v>
      </c>
      <c r="CV12" s="319">
        <f t="shared" si="10"/>
        <v>0</v>
      </c>
    </row>
    <row r="13" spans="1:100" x14ac:dyDescent="0.25">
      <c r="A13" s="319">
        <f t="shared" si="3"/>
        <v>0</v>
      </c>
      <c r="B13" s="319">
        <f t="shared" ref="B13:B76" si="13">IF(G13="Yes",B12+1,B12)</f>
        <v>0</v>
      </c>
      <c r="C13" s="340" t="s">
        <v>1065</v>
      </c>
      <c r="D13" s="341" t="s">
        <v>352</v>
      </c>
      <c r="E13" s="341">
        <v>2</v>
      </c>
      <c r="F13" s="341" t="str">
        <f>IF(AND(E13&lt;CharacterSheet!$V$34,OR('House Rules'!$B$7="Standard",AND('House Rules'!$B$7="Ranked",G12="Yes"))),"Yes","No")</f>
        <v>No</v>
      </c>
      <c r="G13" s="564" t="s">
        <v>347</v>
      </c>
      <c r="H13" s="333" t="str">
        <f>IF(C13="","",VLOOKUP(C13,Boonref2!A:B,2,FALSE))</f>
        <v>Yes</v>
      </c>
      <c r="I13" s="333"/>
      <c r="J13" s="333" t="str">
        <f>VLOOKUP(C13,BoonRef!A:Z,17,FALSE)</f>
        <v>Yes</v>
      </c>
      <c r="K13" s="333" t="str">
        <f>IF(J13="God",'House Rules'!$B$2,IF(J13="Demi",'House Rules'!$B$1,IF(J13="Comp",'House Rules'!$B$4,IF(J13="Yaz",'House Rules'!$B$5,IF(J13="Rag",'House Rules'!$B$3,"Available")))))</f>
        <v>Available</v>
      </c>
      <c r="L13" s="333"/>
      <c r="M13" s="333"/>
      <c r="N13" s="340" t="s">
        <v>1116</v>
      </c>
      <c r="O13" s="341" t="s">
        <v>175</v>
      </c>
      <c r="P13" s="341" t="str">
        <f>IF(O13&lt;CharacterSheet!$V$34,"Yes","No")</f>
        <v>No</v>
      </c>
      <c r="Q13" s="341">
        <v>2</v>
      </c>
      <c r="R13" s="344" t="s">
        <v>346</v>
      </c>
      <c r="S13" s="317"/>
      <c r="T13" s="319">
        <f t="shared" ref="T13:T20" si="14">IF(AND(Z13="Yes",Z14="No"),LARGE($T$2:$T$11,1)+1,LARGE($T$2:$T$11,1))</f>
        <v>0</v>
      </c>
      <c r="U13" s="345" t="s">
        <v>2399</v>
      </c>
      <c r="V13" s="341" t="s">
        <v>1113</v>
      </c>
      <c r="W13" s="346" t="s">
        <v>36</v>
      </c>
      <c r="X13" s="341">
        <v>2</v>
      </c>
      <c r="Y13" s="347" t="str">
        <f>IF(AND($D$2="Arete",CharacterSheet!$E$52&gt;2,CharacterSheet!$V$34&gt;X13,'House Rules'!$B$6="Free",'House Rules'!$D$6=W13),"Free",IF(AND($D$2="Arete",CharacterSheet!$E$52&gt;2,CharacterSheet!$V$34&gt;X13,Z12="Yes"),"Yes","No"))</f>
        <v>No</v>
      </c>
      <c r="Z13" s="572" t="s">
        <v>347</v>
      </c>
      <c r="AA13" s="556"/>
      <c r="AB13" s="319">
        <f t="shared" si="11"/>
        <v>0</v>
      </c>
      <c r="AC13" s="345" t="s">
        <v>2499</v>
      </c>
      <c r="AD13" s="341" t="s">
        <v>1113</v>
      </c>
      <c r="AE13" s="346" t="s">
        <v>46</v>
      </c>
      <c r="AF13" s="341">
        <v>2</v>
      </c>
      <c r="AG13" s="347" t="str">
        <f>IF(AND($D$2="Arete",CharacterSheet!$M$52&gt;2,CharacterSheet!$V$34&gt;AF13,'House Rules'!$B$6="Free",'House Rules'!$D$6=AE13),"Free",IF(AND($D$2="Arete",CharacterSheet!$M$52&gt;2,CharacterSheet!$V$34&gt;AF13,AH12="Yes"),"Yes","No"))</f>
        <v>No</v>
      </c>
      <c r="AH13" s="572" t="s">
        <v>347</v>
      </c>
      <c r="AJ13" s="319">
        <f t="shared" si="12"/>
        <v>0</v>
      </c>
      <c r="AK13" s="345" t="s">
        <v>2599</v>
      </c>
      <c r="AL13" s="341" t="s">
        <v>1113</v>
      </c>
      <c r="AM13" s="346" t="str">
        <f t="shared" ref="AM13" si="15">AM12</f>
        <v>Control</v>
      </c>
      <c r="AN13" s="341">
        <v>2</v>
      </c>
      <c r="AO13" s="347" t="str">
        <f>IF(AND($D$2="Arete",$AS$36&gt;2,CharacterSheet!$V$34&gt;AN13,'House Rules'!$B$6="Free",'House Rules'!$D$6=AM13),"Free",IF(AND($D$2="Arete",$AS$36&gt;2,CharacterSheet!$V$34&gt;AN13,AP12="Yes"),"Yes","No"))</f>
        <v>No</v>
      </c>
      <c r="AP13" s="348" t="s">
        <v>347</v>
      </c>
      <c r="AR13" s="351" t="s">
        <v>44</v>
      </c>
      <c r="AS13" s="344">
        <f>COUNTIF(Z92:Z101,"Yes")</f>
        <v>0</v>
      </c>
      <c r="AT13" s="444">
        <f>VLOOKUP(AS13,Reference!$D$2:$E$12,2,FALSE)</f>
        <v>0</v>
      </c>
      <c r="AU13" s="350" t="s">
        <v>55</v>
      </c>
      <c r="AV13" s="319">
        <f>IF(CharacterSheet!Q60="art",CharacterSheet!U60,0)</f>
        <v>0</v>
      </c>
      <c r="AW13" s="350" t="s">
        <v>56</v>
      </c>
      <c r="AX13" s="319">
        <f>IF(CharacterSheet!Q60="Control",CharacterSheet!U60,0)</f>
        <v>0</v>
      </c>
      <c r="AY13" s="350" t="s">
        <v>57</v>
      </c>
      <c r="AZ13" s="319">
        <f>IF(CharacterSheet!Q60="Craft",CharacterSheet!U60,0)</f>
        <v>0</v>
      </c>
      <c r="BA13" s="350" t="s">
        <v>58</v>
      </c>
      <c r="BB13" s="319">
        <f>IF(CharacterSheet!Q60="Science",CharacterSheet!U60,0)</f>
        <v>0</v>
      </c>
      <c r="BF13" s="319">
        <f t="shared" ref="BF13:BF31" si="16">T3</f>
        <v>0</v>
      </c>
      <c r="BG13" s="345" t="s">
        <v>2389</v>
      </c>
      <c r="BI13" s="319">
        <f t="shared" si="9"/>
        <v>0</v>
      </c>
      <c r="BJ13" s="319">
        <f t="shared" si="10"/>
        <v>0</v>
      </c>
      <c r="BK13" s="319">
        <f t="shared" si="10"/>
        <v>0</v>
      </c>
      <c r="BL13" s="319">
        <f t="shared" si="10"/>
        <v>0</v>
      </c>
      <c r="BM13" s="319">
        <f t="shared" si="10"/>
        <v>0</v>
      </c>
      <c r="BN13" s="319">
        <f t="shared" si="10"/>
        <v>0</v>
      </c>
      <c r="BO13" s="319">
        <f t="shared" si="10"/>
        <v>0</v>
      </c>
      <c r="BP13" s="319">
        <f t="shared" si="10"/>
        <v>0</v>
      </c>
      <c r="BQ13" s="319">
        <f t="shared" si="10"/>
        <v>0</v>
      </c>
      <c r="BR13" s="319">
        <f t="shared" si="10"/>
        <v>0</v>
      </c>
      <c r="BS13" s="319">
        <f t="shared" si="10"/>
        <v>0</v>
      </c>
      <c r="BT13" s="319">
        <f t="shared" si="10"/>
        <v>0</v>
      </c>
      <c r="BU13" s="319">
        <f t="shared" si="10"/>
        <v>0</v>
      </c>
      <c r="BV13" s="319">
        <f t="shared" si="10"/>
        <v>0</v>
      </c>
      <c r="BW13" s="319">
        <f t="shared" si="10"/>
        <v>0</v>
      </c>
      <c r="BX13" s="319">
        <f t="shared" si="10"/>
        <v>0</v>
      </c>
      <c r="BY13" s="319">
        <f t="shared" si="10"/>
        <v>0</v>
      </c>
      <c r="BZ13" s="319">
        <f t="shared" si="10"/>
        <v>0</v>
      </c>
      <c r="CA13" s="319">
        <f t="shared" si="10"/>
        <v>0</v>
      </c>
      <c r="CB13" s="319">
        <f t="shared" si="10"/>
        <v>0</v>
      </c>
      <c r="CC13" s="319">
        <f t="shared" si="10"/>
        <v>0</v>
      </c>
      <c r="CD13" s="319">
        <f t="shared" si="10"/>
        <v>0</v>
      </c>
      <c r="CE13" s="319">
        <f t="shared" si="10"/>
        <v>0</v>
      </c>
      <c r="CF13" s="319">
        <f t="shared" si="10"/>
        <v>0</v>
      </c>
      <c r="CG13" s="319">
        <f t="shared" si="10"/>
        <v>0</v>
      </c>
      <c r="CH13" s="319">
        <f t="shared" si="10"/>
        <v>0</v>
      </c>
      <c r="CI13" s="319">
        <f t="shared" si="10"/>
        <v>0</v>
      </c>
      <c r="CJ13" s="319">
        <f t="shared" si="10"/>
        <v>0</v>
      </c>
      <c r="CK13" s="319">
        <f t="shared" si="10"/>
        <v>0</v>
      </c>
      <c r="CL13" s="319">
        <f t="shared" si="10"/>
        <v>0</v>
      </c>
      <c r="CM13" s="319">
        <f t="shared" si="10"/>
        <v>0</v>
      </c>
      <c r="CN13" s="319">
        <f t="shared" si="10"/>
        <v>0</v>
      </c>
      <c r="CO13" s="319">
        <f t="shared" si="10"/>
        <v>0</v>
      </c>
      <c r="CP13" s="319">
        <f t="shared" si="10"/>
        <v>0</v>
      </c>
      <c r="CQ13" s="319">
        <f t="shared" si="10"/>
        <v>0</v>
      </c>
      <c r="CR13" s="319">
        <f t="shared" si="10"/>
        <v>0</v>
      </c>
      <c r="CS13" s="319">
        <f t="shared" si="10"/>
        <v>0</v>
      </c>
      <c r="CT13" s="319">
        <f t="shared" si="10"/>
        <v>0</v>
      </c>
      <c r="CU13" s="319">
        <f t="shared" si="10"/>
        <v>0</v>
      </c>
      <c r="CV13" s="319">
        <f t="shared" si="10"/>
        <v>0</v>
      </c>
    </row>
    <row r="14" spans="1:100" x14ac:dyDescent="0.25">
      <c r="A14" s="319">
        <f t="shared" si="3"/>
        <v>0</v>
      </c>
      <c r="B14" s="319">
        <f t="shared" si="13"/>
        <v>0</v>
      </c>
      <c r="C14" s="340" t="s">
        <v>1066</v>
      </c>
      <c r="D14" s="341" t="s">
        <v>352</v>
      </c>
      <c r="E14" s="341">
        <v>3</v>
      </c>
      <c r="F14" s="341" t="str">
        <f>IF(AND(E14&lt;CharacterSheet!$V$34,OR('House Rules'!$B$7="Standard",AND('House Rules'!$B$7="Ranked",G13="Yes"))),"Yes","No")</f>
        <v>No</v>
      </c>
      <c r="G14" s="564" t="s">
        <v>347</v>
      </c>
      <c r="H14" s="333" t="str">
        <f>IF(C14="","",VLOOKUP(C14,Boonref2!A:B,2,FALSE))</f>
        <v>Yes</v>
      </c>
      <c r="I14" s="333"/>
      <c r="J14" s="333" t="str">
        <f>VLOOKUP(C14,BoonRef!A:Z,17,FALSE)</f>
        <v>Yes</v>
      </c>
      <c r="K14" s="333" t="str">
        <f>IF(J14="God",'House Rules'!$B$2,IF(J14="Demi",'House Rules'!$B$1,IF(J14="Comp",'House Rules'!$B$4,IF(J14="Yaz",'House Rules'!$B$5,IF(J14="Rag",'House Rules'!$B$3,"Available")))))</f>
        <v>Available</v>
      </c>
      <c r="L14" s="333"/>
      <c r="M14" s="333"/>
      <c r="N14" s="340" t="s">
        <v>1117</v>
      </c>
      <c r="O14" s="341" t="s">
        <v>175</v>
      </c>
      <c r="P14" s="341" t="str">
        <f>IF(O14&lt;CharacterSheet!$V$34,"Yes","No")</f>
        <v>No</v>
      </c>
      <c r="Q14" s="341">
        <v>3</v>
      </c>
      <c r="R14" s="344" t="s">
        <v>346</v>
      </c>
      <c r="S14" s="317"/>
      <c r="T14" s="319">
        <f t="shared" si="14"/>
        <v>0</v>
      </c>
      <c r="U14" s="345" t="s">
        <v>2400</v>
      </c>
      <c r="V14" s="341" t="s">
        <v>1114</v>
      </c>
      <c r="W14" s="346" t="s">
        <v>36</v>
      </c>
      <c r="X14" s="341">
        <v>3</v>
      </c>
      <c r="Y14" s="347" t="str">
        <f>IF(AND($D$2="Arete",CharacterSheet!$E$52&gt;2,CharacterSheet!$V$34&gt;X14,'House Rules'!$B$6="Free",'House Rules'!$D$6=W14),"Free",IF(AND($D$2="Arete",CharacterSheet!$E$52&gt;2,CharacterSheet!$V$34&gt;X14,Z13="Yes"),"Yes","No"))</f>
        <v>No</v>
      </c>
      <c r="Z14" s="572" t="s">
        <v>347</v>
      </c>
      <c r="AA14" s="556"/>
      <c r="AB14" s="319">
        <f t="shared" si="11"/>
        <v>0</v>
      </c>
      <c r="AC14" s="345" t="s">
        <v>2500</v>
      </c>
      <c r="AD14" s="341" t="s">
        <v>1114</v>
      </c>
      <c r="AE14" s="346" t="s">
        <v>46</v>
      </c>
      <c r="AF14" s="341">
        <v>3</v>
      </c>
      <c r="AG14" s="347" t="str">
        <f>IF(AND($D$2="Arete",CharacterSheet!$M$52&gt;2,CharacterSheet!$V$34&gt;AF14,'House Rules'!$B$6="Free",'House Rules'!$D$6=AE14),"Free",IF(AND($D$2="Arete",CharacterSheet!$M$52&gt;2,CharacterSheet!$V$34&gt;AF14,AH13="Yes"),"Yes","No"))</f>
        <v>No</v>
      </c>
      <c r="AH14" s="572" t="s">
        <v>347</v>
      </c>
      <c r="AJ14" s="319">
        <f t="shared" si="12"/>
        <v>0</v>
      </c>
      <c r="AK14" s="345" t="s">
        <v>2600</v>
      </c>
      <c r="AL14" s="341" t="s">
        <v>1114</v>
      </c>
      <c r="AM14" s="346" t="str">
        <f t="shared" ref="AM14" si="17">AM12</f>
        <v>Control</v>
      </c>
      <c r="AN14" s="341">
        <v>3</v>
      </c>
      <c r="AO14" s="347" t="str">
        <f>IF(AND($D$2="Arete",$AS$36&gt;2,CharacterSheet!$V$34&gt;AN14,'House Rules'!$B$6="Free",'House Rules'!$D$6=AM14),"Free",IF(AND($D$2="Arete",$AS$36&gt;2,CharacterSheet!$V$34&gt;AN14,AP13="Yes"),"Yes","No"))</f>
        <v>No</v>
      </c>
      <c r="AP14" s="348" t="s">
        <v>347</v>
      </c>
      <c r="AR14" s="351" t="s">
        <v>45</v>
      </c>
      <c r="AS14" s="344">
        <f>COUNTIF(AH2:AH11,"Yes")</f>
        <v>0</v>
      </c>
      <c r="AT14" s="444">
        <f>VLOOKUP(AS14,Reference!$D$2:$E$12,2,FALSE)</f>
        <v>0</v>
      </c>
      <c r="BF14" s="319">
        <f t="shared" si="16"/>
        <v>0</v>
      </c>
      <c r="BG14" s="345" t="s">
        <v>2390</v>
      </c>
      <c r="BI14" s="319">
        <f t="shared" si="9"/>
        <v>0</v>
      </c>
      <c r="BJ14" s="319">
        <f t="shared" si="10"/>
        <v>0</v>
      </c>
      <c r="BK14" s="319">
        <f t="shared" si="10"/>
        <v>0</v>
      </c>
      <c r="BL14" s="319">
        <f t="shared" si="10"/>
        <v>0</v>
      </c>
      <c r="BM14" s="319">
        <f t="shared" si="10"/>
        <v>0</v>
      </c>
      <c r="BN14" s="319">
        <f t="shared" si="10"/>
        <v>0</v>
      </c>
      <c r="BO14" s="319">
        <f t="shared" si="10"/>
        <v>0</v>
      </c>
      <c r="BP14" s="319">
        <f t="shared" si="10"/>
        <v>0</v>
      </c>
      <c r="BQ14" s="319">
        <f t="shared" si="10"/>
        <v>0</v>
      </c>
      <c r="BR14" s="319">
        <f t="shared" si="10"/>
        <v>0</v>
      </c>
      <c r="BS14" s="319">
        <f t="shared" si="10"/>
        <v>0</v>
      </c>
      <c r="BT14" s="319">
        <f t="shared" si="10"/>
        <v>0</v>
      </c>
      <c r="BU14" s="319">
        <f t="shared" si="10"/>
        <v>0</v>
      </c>
      <c r="BV14" s="319">
        <f t="shared" si="10"/>
        <v>0</v>
      </c>
      <c r="BW14" s="319">
        <f t="shared" si="10"/>
        <v>0</v>
      </c>
      <c r="BX14" s="319">
        <f t="shared" si="10"/>
        <v>0</v>
      </c>
      <c r="BY14" s="319">
        <f t="shared" si="10"/>
        <v>0</v>
      </c>
      <c r="BZ14" s="319">
        <f t="shared" si="10"/>
        <v>0</v>
      </c>
      <c r="CA14" s="319">
        <f t="shared" si="10"/>
        <v>0</v>
      </c>
      <c r="CB14" s="319">
        <f t="shared" si="10"/>
        <v>0</v>
      </c>
      <c r="CC14" s="319">
        <f t="shared" si="10"/>
        <v>0</v>
      </c>
      <c r="CD14" s="319">
        <f t="shared" si="10"/>
        <v>0</v>
      </c>
      <c r="CE14" s="319">
        <f t="shared" si="10"/>
        <v>0</v>
      </c>
      <c r="CF14" s="319">
        <f t="shared" si="10"/>
        <v>0</v>
      </c>
      <c r="CG14" s="319">
        <f t="shared" si="10"/>
        <v>0</v>
      </c>
      <c r="CH14" s="319">
        <f t="shared" si="10"/>
        <v>0</v>
      </c>
      <c r="CI14" s="319">
        <f t="shared" si="10"/>
        <v>0</v>
      </c>
      <c r="CJ14" s="319">
        <f t="shared" si="10"/>
        <v>0</v>
      </c>
      <c r="CK14" s="319">
        <f t="shared" si="10"/>
        <v>0</v>
      </c>
      <c r="CL14" s="319">
        <f t="shared" si="10"/>
        <v>0</v>
      </c>
      <c r="CM14" s="319">
        <f t="shared" si="10"/>
        <v>0</v>
      </c>
      <c r="CN14" s="319">
        <f t="shared" si="10"/>
        <v>0</v>
      </c>
      <c r="CO14" s="319">
        <f t="shared" si="10"/>
        <v>0</v>
      </c>
      <c r="CP14" s="319">
        <f t="shared" si="10"/>
        <v>0</v>
      </c>
      <c r="CQ14" s="319">
        <f t="shared" si="10"/>
        <v>0</v>
      </c>
      <c r="CR14" s="319">
        <f t="shared" si="10"/>
        <v>0</v>
      </c>
      <c r="CS14" s="319">
        <f t="shared" si="10"/>
        <v>0</v>
      </c>
      <c r="CT14" s="319">
        <f t="shared" si="10"/>
        <v>0</v>
      </c>
      <c r="CU14" s="319">
        <f t="shared" si="10"/>
        <v>0</v>
      </c>
      <c r="CV14" s="319">
        <f t="shared" si="10"/>
        <v>0</v>
      </c>
    </row>
    <row r="15" spans="1:100" x14ac:dyDescent="0.25">
      <c r="A15" s="319">
        <f t="shared" si="3"/>
        <v>0</v>
      </c>
      <c r="B15" s="319">
        <f t="shared" si="13"/>
        <v>0</v>
      </c>
      <c r="C15" s="340" t="s">
        <v>1379</v>
      </c>
      <c r="D15" s="341" t="s">
        <v>352</v>
      </c>
      <c r="E15" s="341">
        <v>3</v>
      </c>
      <c r="F15" s="341" t="str">
        <f>IF(AND(E15&lt;CharacterSheet!$V$34,'House Rules'!$B$4="Available",OR('House Rules'!$B$7="Standard",AND('House Rules'!$B$7="Ranked",G13="Yes"))),"Yes","No")</f>
        <v>No</v>
      </c>
      <c r="G15" s="564" t="s">
        <v>347</v>
      </c>
      <c r="H15" s="333" t="str">
        <f>IF(C15="","",VLOOKUP(C15,Boonref2!A:B,2,FALSE))</f>
        <v>Yes</v>
      </c>
      <c r="I15" s="333"/>
      <c r="J15" s="333" t="str">
        <f>VLOOKUP(C15,BoonRef!A:Z,17,FALSE)</f>
        <v>Yes</v>
      </c>
      <c r="K15" s="333" t="str">
        <f>IF(J15="God",'House Rules'!$B$2,IF(J15="Demi",'House Rules'!$B$1,IF(J15="Comp",'House Rules'!$B$4,IF(J15="Yaz",'House Rules'!$B$5,IF(J15="Rag",'House Rules'!$B$3,"Available")))))</f>
        <v>Available</v>
      </c>
      <c r="L15" s="333"/>
      <c r="M15" s="333"/>
      <c r="N15" s="340" t="s">
        <v>1211</v>
      </c>
      <c r="O15" s="341" t="s">
        <v>175</v>
      </c>
      <c r="P15" s="341" t="str">
        <f>IF(O15&lt;CharacterSheet!$V$34,"Yes","No")</f>
        <v>No</v>
      </c>
      <c r="Q15" s="341">
        <v>4</v>
      </c>
      <c r="R15" s="344" t="s">
        <v>347</v>
      </c>
      <c r="S15" s="317"/>
      <c r="T15" s="319">
        <f t="shared" si="14"/>
        <v>0</v>
      </c>
      <c r="U15" s="345" t="s">
        <v>2401</v>
      </c>
      <c r="V15" s="341" t="s">
        <v>1207</v>
      </c>
      <c r="W15" s="346" t="s">
        <v>36</v>
      </c>
      <c r="X15" s="341">
        <v>4</v>
      </c>
      <c r="Y15" s="347" t="str">
        <f>IF(AND($D$2="Arete",CharacterSheet!$E$52&gt;2,CharacterSheet!$V$34&gt;X15,'House Rules'!$B$6="Free",'House Rules'!$D$6=W15),"Free",IF(AND($D$2="Arete",CharacterSheet!$E$52&gt;2,CharacterSheet!$V$34&gt;X15,Z14="Yes"),"Yes","No"))</f>
        <v>No</v>
      </c>
      <c r="Z15" s="572" t="s">
        <v>347</v>
      </c>
      <c r="AA15" s="556"/>
      <c r="AB15" s="319">
        <f t="shared" si="11"/>
        <v>0</v>
      </c>
      <c r="AC15" s="345" t="s">
        <v>2501</v>
      </c>
      <c r="AD15" s="341" t="s">
        <v>1207</v>
      </c>
      <c r="AE15" s="346" t="s">
        <v>46</v>
      </c>
      <c r="AF15" s="341">
        <v>4</v>
      </c>
      <c r="AG15" s="347" t="str">
        <f>IF(AND($D$2="Arete",CharacterSheet!$M$52&gt;2,CharacterSheet!$V$34&gt;AF15,'House Rules'!$B$6="Free",'House Rules'!$D$6=AE15),"Free",IF(AND($D$2="Arete",CharacterSheet!$M$52&gt;2,CharacterSheet!$V$34&gt;AF15,AH14="Yes"),"Yes","No"))</f>
        <v>No</v>
      </c>
      <c r="AH15" s="572" t="s">
        <v>347</v>
      </c>
      <c r="AJ15" s="319">
        <f t="shared" si="12"/>
        <v>0</v>
      </c>
      <c r="AK15" s="345" t="s">
        <v>2601</v>
      </c>
      <c r="AL15" s="341" t="s">
        <v>1207</v>
      </c>
      <c r="AM15" s="346" t="str">
        <f t="shared" ref="AM15" si="18">AM12</f>
        <v>Control</v>
      </c>
      <c r="AN15" s="341">
        <v>4</v>
      </c>
      <c r="AO15" s="347" t="str">
        <f>IF(AND($D$2="Arete",$AS$36&gt;2,CharacterSheet!$V$34&gt;AN15,'House Rules'!$B$6="Free",'House Rules'!$D$6=AM15),"Free",IF(AND($D$2="Arete",$AS$36&gt;2,CharacterSheet!$V$34&gt;AN15,AP14="Yes"),"Yes","No"))</f>
        <v>No</v>
      </c>
      <c r="AP15" s="348" t="s">
        <v>347</v>
      </c>
      <c r="AR15" s="351" t="s">
        <v>46</v>
      </c>
      <c r="AS15" s="344">
        <f>COUNTIF(AH12:AH21,"Yes")</f>
        <v>0</v>
      </c>
      <c r="AT15" s="444">
        <f>VLOOKUP(AS15,Reference!$D$2:$E$12,2,FALSE)</f>
        <v>0</v>
      </c>
      <c r="BF15" s="319">
        <f t="shared" si="16"/>
        <v>0</v>
      </c>
      <c r="BG15" s="345" t="s">
        <v>2391</v>
      </c>
      <c r="BI15" s="319">
        <f t="shared" si="9"/>
        <v>0</v>
      </c>
      <c r="BJ15" s="319">
        <f t="shared" si="10"/>
        <v>0</v>
      </c>
      <c r="BK15" s="319">
        <f t="shared" si="10"/>
        <v>0</v>
      </c>
      <c r="BL15" s="319">
        <f t="shared" si="10"/>
        <v>0</v>
      </c>
      <c r="BM15" s="319">
        <f t="shared" si="10"/>
        <v>0</v>
      </c>
      <c r="BN15" s="319">
        <f t="shared" si="10"/>
        <v>0</v>
      </c>
      <c r="BO15" s="319">
        <f t="shared" si="10"/>
        <v>0</v>
      </c>
      <c r="BP15" s="319">
        <f t="shared" si="10"/>
        <v>0</v>
      </c>
      <c r="BQ15" s="319">
        <f t="shared" si="10"/>
        <v>0</v>
      </c>
      <c r="BR15" s="319">
        <f t="shared" si="10"/>
        <v>0</v>
      </c>
      <c r="BS15" s="319">
        <f t="shared" si="10"/>
        <v>0</v>
      </c>
      <c r="BT15" s="319">
        <f t="shared" si="10"/>
        <v>0</v>
      </c>
      <c r="BU15" s="319">
        <f t="shared" si="10"/>
        <v>0</v>
      </c>
      <c r="BV15" s="319">
        <f t="shared" si="10"/>
        <v>0</v>
      </c>
      <c r="BW15" s="319">
        <f t="shared" si="10"/>
        <v>0</v>
      </c>
      <c r="BX15" s="319">
        <f t="shared" si="10"/>
        <v>0</v>
      </c>
      <c r="BY15" s="319">
        <f t="shared" si="10"/>
        <v>0</v>
      </c>
      <c r="BZ15" s="319">
        <f t="shared" si="10"/>
        <v>0</v>
      </c>
      <c r="CA15" s="319">
        <f t="shared" si="10"/>
        <v>0</v>
      </c>
      <c r="CB15" s="319">
        <f t="shared" ref="BJ15:CV21" si="19">IF(AND($D15=CB$1,$G15="Yes"),$E15,0)</f>
        <v>0</v>
      </c>
      <c r="CC15" s="319">
        <f t="shared" si="19"/>
        <v>0</v>
      </c>
      <c r="CD15" s="319">
        <f t="shared" si="19"/>
        <v>0</v>
      </c>
      <c r="CE15" s="319">
        <f t="shared" si="19"/>
        <v>0</v>
      </c>
      <c r="CF15" s="319">
        <f t="shared" si="19"/>
        <v>0</v>
      </c>
      <c r="CG15" s="319">
        <f t="shared" si="19"/>
        <v>0</v>
      </c>
      <c r="CH15" s="319">
        <f t="shared" si="19"/>
        <v>0</v>
      </c>
      <c r="CI15" s="319">
        <f t="shared" si="19"/>
        <v>0</v>
      </c>
      <c r="CJ15" s="319">
        <f t="shared" si="19"/>
        <v>0</v>
      </c>
      <c r="CK15" s="319">
        <f t="shared" si="19"/>
        <v>0</v>
      </c>
      <c r="CL15" s="319">
        <f t="shared" si="19"/>
        <v>0</v>
      </c>
      <c r="CM15" s="319">
        <f t="shared" si="19"/>
        <v>0</v>
      </c>
      <c r="CN15" s="319">
        <f t="shared" si="19"/>
        <v>0</v>
      </c>
      <c r="CO15" s="319">
        <f t="shared" si="19"/>
        <v>0</v>
      </c>
      <c r="CP15" s="319">
        <f t="shared" si="19"/>
        <v>0</v>
      </c>
      <c r="CQ15" s="319">
        <f t="shared" si="19"/>
        <v>0</v>
      </c>
      <c r="CR15" s="319">
        <f t="shared" si="19"/>
        <v>0</v>
      </c>
      <c r="CS15" s="319">
        <f t="shared" si="19"/>
        <v>0</v>
      </c>
      <c r="CT15" s="319">
        <f t="shared" si="19"/>
        <v>0</v>
      </c>
      <c r="CU15" s="319">
        <f t="shared" si="19"/>
        <v>0</v>
      </c>
      <c r="CV15" s="319">
        <f t="shared" si="19"/>
        <v>0</v>
      </c>
    </row>
    <row r="16" spans="1:100" x14ac:dyDescent="0.25">
      <c r="A16" s="319">
        <f t="shared" si="3"/>
        <v>0</v>
      </c>
      <c r="B16" s="319">
        <f t="shared" si="13"/>
        <v>0</v>
      </c>
      <c r="C16" s="340" t="s">
        <v>1143</v>
      </c>
      <c r="D16" s="341" t="s">
        <v>352</v>
      </c>
      <c r="E16" s="341">
        <v>4</v>
      </c>
      <c r="F16" s="341" t="str">
        <f>IF(AND(E16&lt;CharacterSheet!$V$34,'House Rules'!$B$1="Available",OR('House Rules'!$B$7="Standard",AND('House Rules'!$B$7="Ranked",OR(G15="Yes",G14="Yes")))),"Yes","No")</f>
        <v>No</v>
      </c>
      <c r="G16" s="564" t="s">
        <v>347</v>
      </c>
      <c r="H16" s="333" t="str">
        <f>IF(C16="","",VLOOKUP(C16,Boonref2!A:B,2,FALSE))</f>
        <v>Yes</v>
      </c>
      <c r="I16" s="333"/>
      <c r="J16" s="333" t="str">
        <f>VLOOKUP(C16,BoonRef!A:Z,17,FALSE)</f>
        <v>Yes</v>
      </c>
      <c r="K16" s="333" t="str">
        <f>IF(J16="God",'House Rules'!$B$2,IF(J16="Demi",'House Rules'!$B$1,IF(J16="Comp",'House Rules'!$B$4,IF(J16="Yaz",'House Rules'!$B$5,IF(J16="Rag",'House Rules'!$B$3,"Available")))))</f>
        <v>Available</v>
      </c>
      <c r="L16" s="333"/>
      <c r="M16" s="333"/>
      <c r="N16" s="340" t="s">
        <v>1212</v>
      </c>
      <c r="O16" s="341" t="s">
        <v>175</v>
      </c>
      <c r="P16" s="341" t="str">
        <f>IF(O16&lt;CharacterSheet!$V$34,"Yes","No")</f>
        <v>No</v>
      </c>
      <c r="Q16" s="341">
        <v>5</v>
      </c>
      <c r="R16" s="344" t="s">
        <v>346</v>
      </c>
      <c r="S16" s="317"/>
      <c r="T16" s="319">
        <f t="shared" si="14"/>
        <v>0</v>
      </c>
      <c r="U16" s="345" t="s">
        <v>2402</v>
      </c>
      <c r="V16" s="341" t="s">
        <v>1208</v>
      </c>
      <c r="W16" s="346" t="s">
        <v>36</v>
      </c>
      <c r="X16" s="341">
        <v>5</v>
      </c>
      <c r="Y16" s="347" t="str">
        <f>IF(AND($D$2="Arete",CharacterSheet!$E$52&gt;2,CharacterSheet!$V$34&gt;X16,'House Rules'!$B$6="Free",'House Rules'!$D$6=W16),"Free",IF(AND($D$2="Arete",CharacterSheet!$E$52&gt;2,CharacterSheet!$V$34&gt;X16,Z15="Yes"),"Yes","No"))</f>
        <v>No</v>
      </c>
      <c r="Z16" s="572" t="s">
        <v>347</v>
      </c>
      <c r="AA16" s="556"/>
      <c r="AB16" s="319">
        <f t="shared" si="11"/>
        <v>0</v>
      </c>
      <c r="AC16" s="345" t="s">
        <v>2502</v>
      </c>
      <c r="AD16" s="341" t="s">
        <v>1208</v>
      </c>
      <c r="AE16" s="346" t="s">
        <v>46</v>
      </c>
      <c r="AF16" s="341">
        <v>5</v>
      </c>
      <c r="AG16" s="347" t="str">
        <f>IF(AND($D$2="Arete",CharacterSheet!$M$52&gt;2,CharacterSheet!$V$34&gt;AF16,'House Rules'!$B$6="Free",'House Rules'!$D$6=AE16),"Free",IF(AND($D$2="Arete",CharacterSheet!$M$52&gt;2,CharacterSheet!$V$34&gt;AF16,AH15="Yes"),"Yes","No"))</f>
        <v>No</v>
      </c>
      <c r="AH16" s="572" t="s">
        <v>347</v>
      </c>
      <c r="AJ16" s="319">
        <f t="shared" si="12"/>
        <v>0</v>
      </c>
      <c r="AK16" s="345" t="s">
        <v>2602</v>
      </c>
      <c r="AL16" s="341" t="s">
        <v>1208</v>
      </c>
      <c r="AM16" s="346" t="str">
        <f t="shared" ref="AM16" si="20">AM12</f>
        <v>Control</v>
      </c>
      <c r="AN16" s="341">
        <v>5</v>
      </c>
      <c r="AO16" s="347" t="str">
        <f>IF(AND($D$2="Arete",$AS$36&gt;2,CharacterSheet!$V$34&gt;AN16,'House Rules'!$B$6="Free",'House Rules'!$D$6=AM16),"Free",IF(AND($D$2="Arete",$AS$36&gt;2,CharacterSheet!$V$34&gt;AN16,AP15="Yes"),"Yes","No"))</f>
        <v>No</v>
      </c>
      <c r="AP16" s="348" t="s">
        <v>347</v>
      </c>
      <c r="AR16" s="351" t="s">
        <v>47</v>
      </c>
      <c r="AS16" s="344">
        <f>COUNTIF(AH22:AH31,"Yes")</f>
        <v>0</v>
      </c>
      <c r="AT16" s="444">
        <f>VLOOKUP(AS16,Reference!$D$2:$E$12,2,FALSE)</f>
        <v>0</v>
      </c>
      <c r="BF16" s="319">
        <f t="shared" si="16"/>
        <v>0</v>
      </c>
      <c r="BG16" s="345" t="s">
        <v>2392</v>
      </c>
      <c r="BI16" s="319">
        <f t="shared" si="9"/>
        <v>0</v>
      </c>
      <c r="BJ16" s="319">
        <f t="shared" si="19"/>
        <v>0</v>
      </c>
      <c r="BK16" s="319">
        <f t="shared" si="19"/>
        <v>0</v>
      </c>
      <c r="BL16" s="319">
        <f t="shared" si="19"/>
        <v>0</v>
      </c>
      <c r="BM16" s="319">
        <f t="shared" si="19"/>
        <v>0</v>
      </c>
      <c r="BN16" s="319">
        <f t="shared" si="19"/>
        <v>0</v>
      </c>
      <c r="BO16" s="319">
        <f t="shared" si="19"/>
        <v>0</v>
      </c>
      <c r="BP16" s="319">
        <f t="shared" si="19"/>
        <v>0</v>
      </c>
      <c r="BQ16" s="319">
        <f t="shared" si="19"/>
        <v>0</v>
      </c>
      <c r="BR16" s="319">
        <f t="shared" si="19"/>
        <v>0</v>
      </c>
      <c r="BS16" s="319">
        <f t="shared" si="19"/>
        <v>0</v>
      </c>
      <c r="BT16" s="319">
        <f t="shared" si="19"/>
        <v>0</v>
      </c>
      <c r="BU16" s="319">
        <f t="shared" si="19"/>
        <v>0</v>
      </c>
      <c r="BV16" s="319">
        <f t="shared" si="19"/>
        <v>0</v>
      </c>
      <c r="BW16" s="319">
        <f t="shared" si="19"/>
        <v>0</v>
      </c>
      <c r="BX16" s="319">
        <f t="shared" si="19"/>
        <v>0</v>
      </c>
      <c r="BY16" s="319">
        <f t="shared" si="19"/>
        <v>0</v>
      </c>
      <c r="BZ16" s="319">
        <f t="shared" si="19"/>
        <v>0</v>
      </c>
      <c r="CA16" s="319">
        <f t="shared" si="19"/>
        <v>0</v>
      </c>
      <c r="CB16" s="319">
        <f t="shared" si="19"/>
        <v>0</v>
      </c>
      <c r="CC16" s="319">
        <f t="shared" si="19"/>
        <v>0</v>
      </c>
      <c r="CD16" s="319">
        <f t="shared" si="19"/>
        <v>0</v>
      </c>
      <c r="CE16" s="319">
        <f t="shared" si="19"/>
        <v>0</v>
      </c>
      <c r="CF16" s="319">
        <f t="shared" si="19"/>
        <v>0</v>
      </c>
      <c r="CG16" s="319">
        <f t="shared" si="19"/>
        <v>0</v>
      </c>
      <c r="CH16" s="319">
        <f t="shared" si="19"/>
        <v>0</v>
      </c>
      <c r="CI16" s="319">
        <f t="shared" si="19"/>
        <v>0</v>
      </c>
      <c r="CJ16" s="319">
        <f t="shared" si="19"/>
        <v>0</v>
      </c>
      <c r="CK16" s="319">
        <f t="shared" si="19"/>
        <v>0</v>
      </c>
      <c r="CL16" s="319">
        <f t="shared" si="19"/>
        <v>0</v>
      </c>
      <c r="CM16" s="319">
        <f t="shared" si="19"/>
        <v>0</v>
      </c>
      <c r="CN16" s="319">
        <f t="shared" si="19"/>
        <v>0</v>
      </c>
      <c r="CO16" s="319">
        <f t="shared" si="19"/>
        <v>0</v>
      </c>
      <c r="CP16" s="319">
        <f t="shared" si="19"/>
        <v>0</v>
      </c>
      <c r="CQ16" s="319">
        <f t="shared" si="19"/>
        <v>0</v>
      </c>
      <c r="CR16" s="319">
        <f t="shared" si="19"/>
        <v>0</v>
      </c>
      <c r="CS16" s="319">
        <f t="shared" si="19"/>
        <v>0</v>
      </c>
      <c r="CT16" s="319">
        <f t="shared" si="19"/>
        <v>0</v>
      </c>
      <c r="CU16" s="319">
        <f t="shared" si="19"/>
        <v>0</v>
      </c>
      <c r="CV16" s="319">
        <f t="shared" si="19"/>
        <v>0</v>
      </c>
    </row>
    <row r="17" spans="1:100" x14ac:dyDescent="0.25">
      <c r="A17" s="319">
        <f t="shared" si="3"/>
        <v>0</v>
      </c>
      <c r="B17" s="319">
        <f t="shared" si="13"/>
        <v>0</v>
      </c>
      <c r="C17" s="340" t="s">
        <v>1144</v>
      </c>
      <c r="D17" s="341" t="s">
        <v>352</v>
      </c>
      <c r="E17" s="341">
        <v>5</v>
      </c>
      <c r="F17" s="341" t="str">
        <f>IF(AND(E17&lt;CharacterSheet!$V$34,'House Rules'!$B$1="Available",OR('House Rules'!$B$7="Standard",AND('House Rules'!$B$7="Ranked",G16="Yes"))),"Yes","No")</f>
        <v>No</v>
      </c>
      <c r="G17" s="564" t="s">
        <v>347</v>
      </c>
      <c r="H17" s="333" t="str">
        <f>IF(C17="","",VLOOKUP(C17,Boonref2!A:B,2,FALSE))</f>
        <v>Yes</v>
      </c>
      <c r="I17" s="333"/>
      <c r="J17" s="333" t="str">
        <f>VLOOKUP(C17,BoonRef!A:Z,17,FALSE)</f>
        <v>Yes</v>
      </c>
      <c r="K17" s="333" t="str">
        <f>IF(J17="God",'House Rules'!$B$2,IF(J17="Demi",'House Rules'!$B$1,IF(J17="Comp",'House Rules'!$B$4,IF(J17="Yaz",'House Rules'!$B$5,IF(J17="Rag",'House Rules'!$B$3,"Available")))))</f>
        <v>Available</v>
      </c>
      <c r="L17" s="333"/>
      <c r="M17" s="333"/>
      <c r="N17" s="340" t="s">
        <v>1213</v>
      </c>
      <c r="O17" s="341" t="s">
        <v>175</v>
      </c>
      <c r="P17" s="341" t="str">
        <f>IF(O17&lt;CharacterSheet!$V$34,"Yes","No")</f>
        <v>No</v>
      </c>
      <c r="Q17" s="341">
        <v>6</v>
      </c>
      <c r="R17" s="344" t="s">
        <v>346</v>
      </c>
      <c r="S17" s="317"/>
      <c r="T17" s="319">
        <f t="shared" si="14"/>
        <v>0</v>
      </c>
      <c r="U17" s="345" t="s">
        <v>2403</v>
      </c>
      <c r="V17" s="341" t="s">
        <v>1209</v>
      </c>
      <c r="W17" s="346" t="s">
        <v>36</v>
      </c>
      <c r="X17" s="341">
        <v>6</v>
      </c>
      <c r="Y17" s="347" t="str">
        <f>IF(AND($D$2="Arete",CharacterSheet!$E$52&gt;2,CharacterSheet!$V$34&gt;X17,'House Rules'!$B$6="Free",'House Rules'!$D$6=W17),"Free",IF(AND($D$2="Arete",CharacterSheet!$E$52&gt;2,CharacterSheet!$V$34&gt;X17,Z16="Yes"),"Yes","No"))</f>
        <v>No</v>
      </c>
      <c r="Z17" s="572" t="s">
        <v>347</v>
      </c>
      <c r="AA17" s="556"/>
      <c r="AB17" s="319">
        <f t="shared" si="11"/>
        <v>0</v>
      </c>
      <c r="AC17" s="345" t="s">
        <v>2503</v>
      </c>
      <c r="AD17" s="341" t="s">
        <v>1209</v>
      </c>
      <c r="AE17" s="346" t="s">
        <v>46</v>
      </c>
      <c r="AF17" s="341">
        <v>6</v>
      </c>
      <c r="AG17" s="347" t="str">
        <f>IF(AND($D$2="Arete",CharacterSheet!$M$52&gt;2,CharacterSheet!$V$34&gt;AF17,'House Rules'!$B$6="Free",'House Rules'!$D$6=AE17),"Free",IF(AND($D$2="Arete",CharacterSheet!$M$52&gt;2,CharacterSheet!$V$34&gt;AF17,AH16="Yes"),"Yes","No"))</f>
        <v>No</v>
      </c>
      <c r="AH17" s="572" t="s">
        <v>347</v>
      </c>
      <c r="AJ17" s="319">
        <f t="shared" si="12"/>
        <v>0</v>
      </c>
      <c r="AK17" s="345" t="s">
        <v>2603</v>
      </c>
      <c r="AL17" s="341" t="s">
        <v>1209</v>
      </c>
      <c r="AM17" s="346" t="str">
        <f t="shared" ref="AM17" si="21">AM12</f>
        <v>Control</v>
      </c>
      <c r="AN17" s="341">
        <v>6</v>
      </c>
      <c r="AO17" s="347" t="str">
        <f>IF(AND($D$2="Arete",$AS$36&gt;2,CharacterSheet!$V$34&gt;AN17,'House Rules'!$B$6="Free",'House Rules'!$D$6=AM17),"Free",IF(AND($D$2="Arete",$AS$36&gt;2,CharacterSheet!$V$34&gt;AN17,AP16="Yes"),"Yes","No"))</f>
        <v>No</v>
      </c>
      <c r="AP17" s="348" t="s">
        <v>347</v>
      </c>
      <c r="AR17" s="351" t="s">
        <v>48</v>
      </c>
      <c r="AS17" s="344">
        <f>COUNTIF(AH32:AH41,"Yes")</f>
        <v>0</v>
      </c>
      <c r="AT17" s="444">
        <f>VLOOKUP(AS17,Reference!$D$2:$E$12,2,FALSE)</f>
        <v>0</v>
      </c>
      <c r="BF17" s="319">
        <f t="shared" si="16"/>
        <v>0</v>
      </c>
      <c r="BG17" s="345" t="s">
        <v>2393</v>
      </c>
      <c r="BI17" s="319">
        <f t="shared" si="9"/>
        <v>0</v>
      </c>
      <c r="BJ17" s="319">
        <f t="shared" si="19"/>
        <v>0</v>
      </c>
      <c r="BK17" s="319">
        <f t="shared" si="19"/>
        <v>0</v>
      </c>
      <c r="BL17" s="319">
        <f t="shared" si="19"/>
        <v>0</v>
      </c>
      <c r="BM17" s="319">
        <f t="shared" si="19"/>
        <v>0</v>
      </c>
      <c r="BN17" s="319">
        <f t="shared" si="19"/>
        <v>0</v>
      </c>
      <c r="BO17" s="319">
        <f t="shared" si="19"/>
        <v>0</v>
      </c>
      <c r="BP17" s="319">
        <f t="shared" si="19"/>
        <v>0</v>
      </c>
      <c r="BQ17" s="319">
        <f t="shared" si="19"/>
        <v>0</v>
      </c>
      <c r="BR17" s="319">
        <f t="shared" si="19"/>
        <v>0</v>
      </c>
      <c r="BS17" s="319">
        <f t="shared" si="19"/>
        <v>0</v>
      </c>
      <c r="BT17" s="319">
        <f t="shared" si="19"/>
        <v>0</v>
      </c>
      <c r="BU17" s="319">
        <f t="shared" si="19"/>
        <v>0</v>
      </c>
      <c r="BV17" s="319">
        <f t="shared" si="19"/>
        <v>0</v>
      </c>
      <c r="BW17" s="319">
        <f t="shared" si="19"/>
        <v>0</v>
      </c>
      <c r="BX17" s="319">
        <f t="shared" si="19"/>
        <v>0</v>
      </c>
      <c r="BY17" s="319">
        <f t="shared" si="19"/>
        <v>0</v>
      </c>
      <c r="BZ17" s="319">
        <f t="shared" si="19"/>
        <v>0</v>
      </c>
      <c r="CA17" s="319">
        <f t="shared" si="19"/>
        <v>0</v>
      </c>
      <c r="CB17" s="319">
        <f t="shared" si="19"/>
        <v>0</v>
      </c>
      <c r="CC17" s="319">
        <f t="shared" si="19"/>
        <v>0</v>
      </c>
      <c r="CD17" s="319">
        <f t="shared" si="19"/>
        <v>0</v>
      </c>
      <c r="CE17" s="319">
        <f t="shared" si="19"/>
        <v>0</v>
      </c>
      <c r="CF17" s="319">
        <f t="shared" si="19"/>
        <v>0</v>
      </c>
      <c r="CG17" s="319">
        <f t="shared" si="19"/>
        <v>0</v>
      </c>
      <c r="CH17" s="319">
        <f t="shared" si="19"/>
        <v>0</v>
      </c>
      <c r="CI17" s="319">
        <f t="shared" si="19"/>
        <v>0</v>
      </c>
      <c r="CJ17" s="319">
        <f t="shared" si="19"/>
        <v>0</v>
      </c>
      <c r="CK17" s="319">
        <f t="shared" si="19"/>
        <v>0</v>
      </c>
      <c r="CL17" s="319">
        <f t="shared" si="19"/>
        <v>0</v>
      </c>
      <c r="CM17" s="319">
        <f t="shared" si="19"/>
        <v>0</v>
      </c>
      <c r="CN17" s="319">
        <f t="shared" si="19"/>
        <v>0</v>
      </c>
      <c r="CO17" s="319">
        <f t="shared" si="19"/>
        <v>0</v>
      </c>
      <c r="CP17" s="319">
        <f t="shared" si="19"/>
        <v>0</v>
      </c>
      <c r="CQ17" s="319">
        <f t="shared" si="19"/>
        <v>0</v>
      </c>
      <c r="CR17" s="319">
        <f t="shared" si="19"/>
        <v>0</v>
      </c>
      <c r="CS17" s="319">
        <f t="shared" si="19"/>
        <v>0</v>
      </c>
      <c r="CT17" s="319">
        <f t="shared" si="19"/>
        <v>0</v>
      </c>
      <c r="CU17" s="319">
        <f t="shared" si="19"/>
        <v>0</v>
      </c>
      <c r="CV17" s="319">
        <f t="shared" si="19"/>
        <v>0</v>
      </c>
    </row>
    <row r="18" spans="1:100" x14ac:dyDescent="0.25">
      <c r="A18" s="319">
        <f t="shared" si="3"/>
        <v>0</v>
      </c>
      <c r="B18" s="319">
        <f t="shared" si="13"/>
        <v>0</v>
      </c>
      <c r="C18" s="340" t="s">
        <v>1145</v>
      </c>
      <c r="D18" s="341" t="s">
        <v>352</v>
      </c>
      <c r="E18" s="341">
        <v>6</v>
      </c>
      <c r="F18" s="341" t="str">
        <f>IF(AND(E18&lt;CharacterSheet!$V$34,'House Rules'!$B$1="Available",OR('House Rules'!$B$7="Standard",AND('House Rules'!$B$7="Ranked",G17="Yes"))),"Yes","No")</f>
        <v>No</v>
      </c>
      <c r="G18" s="564" t="s">
        <v>347</v>
      </c>
      <c r="H18" s="333" t="str">
        <f>IF(C18="","",VLOOKUP(C18,Boonref2!A:B,2,FALSE))</f>
        <v>Yes</v>
      </c>
      <c r="I18" s="333"/>
      <c r="J18" s="333" t="str">
        <f>VLOOKUP(C18,BoonRef!A:Z,17,FALSE)</f>
        <v>Yes</v>
      </c>
      <c r="K18" s="333" t="str">
        <f>IF(J18="God",'House Rules'!$B$2,IF(J18="Demi",'House Rules'!$B$1,IF(J18="Comp",'House Rules'!$B$4,IF(J18="Yaz",'House Rules'!$B$5,IF(J18="Rag",'House Rules'!$B$3,"Available")))))</f>
        <v>Available</v>
      </c>
      <c r="L18" s="333"/>
      <c r="M18" s="333"/>
      <c r="N18" s="340" t="s">
        <v>1214</v>
      </c>
      <c r="O18" s="341" t="s">
        <v>175</v>
      </c>
      <c r="P18" s="341" t="str">
        <f>IF(O18&lt;CharacterSheet!$V$34,"Yes","No")</f>
        <v>No</v>
      </c>
      <c r="Q18" s="341">
        <v>7</v>
      </c>
      <c r="R18" s="344" t="s">
        <v>346</v>
      </c>
      <c r="S18" s="317"/>
      <c r="T18" s="319">
        <f t="shared" si="14"/>
        <v>0</v>
      </c>
      <c r="U18" s="345" t="s">
        <v>2404</v>
      </c>
      <c r="V18" s="341" t="s">
        <v>1210</v>
      </c>
      <c r="W18" s="346" t="s">
        <v>36</v>
      </c>
      <c r="X18" s="341">
        <v>7</v>
      </c>
      <c r="Y18" s="347" t="str">
        <f>IF(AND($D$2="Arete",CharacterSheet!$E$52&gt;2,CharacterSheet!$V$34&gt;X18,'House Rules'!$B$6="Free",'House Rules'!$D$6=W18),"Free",IF(AND($D$2="Arete",CharacterSheet!$E$52&gt;2,CharacterSheet!$V$34&gt;X18,Z17="Yes"),"Yes","No"))</f>
        <v>No</v>
      </c>
      <c r="Z18" s="572" t="s">
        <v>347</v>
      </c>
      <c r="AA18" s="556"/>
      <c r="AB18" s="319">
        <f t="shared" si="11"/>
        <v>0</v>
      </c>
      <c r="AC18" s="345" t="s">
        <v>2504</v>
      </c>
      <c r="AD18" s="341" t="s">
        <v>1210</v>
      </c>
      <c r="AE18" s="346" t="s">
        <v>46</v>
      </c>
      <c r="AF18" s="341">
        <v>7</v>
      </c>
      <c r="AG18" s="347" t="str">
        <f>IF(AND($D$2="Arete",CharacterSheet!$M$52&gt;2,CharacterSheet!$V$34&gt;AF18,'House Rules'!$B$6="Free",'House Rules'!$D$6=AE18),"Free",IF(AND($D$2="Arete",CharacterSheet!$M$52&gt;2,CharacterSheet!$V$34&gt;AF18,AH17="Yes"),"Yes","No"))</f>
        <v>No</v>
      </c>
      <c r="AH18" s="572" t="s">
        <v>347</v>
      </c>
      <c r="AJ18" s="319">
        <f t="shared" si="12"/>
        <v>0</v>
      </c>
      <c r="AK18" s="345" t="s">
        <v>2604</v>
      </c>
      <c r="AL18" s="341" t="s">
        <v>1210</v>
      </c>
      <c r="AM18" s="346" t="str">
        <f t="shared" ref="AM18" si="22">AM12</f>
        <v>Control</v>
      </c>
      <c r="AN18" s="341">
        <v>7</v>
      </c>
      <c r="AO18" s="347" t="str">
        <f>IF(AND($D$2="Arete",$AS$36&gt;2,CharacterSheet!$V$34&gt;AN18,'House Rules'!$B$6="Free",'House Rules'!$D$6=AM18),"Free",IF(AND($D$2="Arete",$AS$36&gt;2,CharacterSheet!$V$34&gt;AN18,AP17="Yes"),"Yes","No"))</f>
        <v>No</v>
      </c>
      <c r="AP18" s="348" t="s">
        <v>347</v>
      </c>
      <c r="AR18" s="351" t="s">
        <v>49</v>
      </c>
      <c r="AS18" s="344">
        <f>COUNTIF(AH42:AH51,"Yes")</f>
        <v>0</v>
      </c>
      <c r="AT18" s="444">
        <f>VLOOKUP(AS18,Reference!$D$2:$E$12,2,FALSE)</f>
        <v>0</v>
      </c>
      <c r="BF18" s="319">
        <f t="shared" si="16"/>
        <v>0</v>
      </c>
      <c r="BG18" s="345" t="s">
        <v>2394</v>
      </c>
      <c r="BI18" s="319">
        <f t="shared" si="9"/>
        <v>0</v>
      </c>
      <c r="BJ18" s="319">
        <f t="shared" si="19"/>
        <v>0</v>
      </c>
      <c r="BK18" s="319">
        <f t="shared" si="19"/>
        <v>0</v>
      </c>
      <c r="BL18" s="319">
        <f t="shared" si="19"/>
        <v>0</v>
      </c>
      <c r="BM18" s="319">
        <f t="shared" si="19"/>
        <v>0</v>
      </c>
      <c r="BN18" s="319">
        <f t="shared" si="19"/>
        <v>0</v>
      </c>
      <c r="BO18" s="319">
        <f t="shared" si="19"/>
        <v>0</v>
      </c>
      <c r="BP18" s="319">
        <f t="shared" si="19"/>
        <v>0</v>
      </c>
      <c r="BQ18" s="319">
        <f t="shared" si="19"/>
        <v>0</v>
      </c>
      <c r="BR18" s="319">
        <f t="shared" si="19"/>
        <v>0</v>
      </c>
      <c r="BS18" s="319">
        <f t="shared" si="19"/>
        <v>0</v>
      </c>
      <c r="BT18" s="319">
        <f t="shared" si="19"/>
        <v>0</v>
      </c>
      <c r="BU18" s="319">
        <f t="shared" si="19"/>
        <v>0</v>
      </c>
      <c r="BV18" s="319">
        <f t="shared" si="19"/>
        <v>0</v>
      </c>
      <c r="BW18" s="319">
        <f t="shared" si="19"/>
        <v>0</v>
      </c>
      <c r="BX18" s="319">
        <f t="shared" si="19"/>
        <v>0</v>
      </c>
      <c r="BY18" s="319">
        <f t="shared" si="19"/>
        <v>0</v>
      </c>
      <c r="BZ18" s="319">
        <f t="shared" si="19"/>
        <v>0</v>
      </c>
      <c r="CA18" s="319">
        <f t="shared" si="19"/>
        <v>0</v>
      </c>
      <c r="CB18" s="319">
        <f t="shared" si="19"/>
        <v>0</v>
      </c>
      <c r="CC18" s="319">
        <f t="shared" si="19"/>
        <v>0</v>
      </c>
      <c r="CD18" s="319">
        <f t="shared" si="19"/>
        <v>0</v>
      </c>
      <c r="CE18" s="319">
        <f t="shared" si="19"/>
        <v>0</v>
      </c>
      <c r="CF18" s="319">
        <f t="shared" si="19"/>
        <v>0</v>
      </c>
      <c r="CG18" s="319">
        <f t="shared" si="19"/>
        <v>0</v>
      </c>
      <c r="CH18" s="319">
        <f t="shared" si="19"/>
        <v>0</v>
      </c>
      <c r="CI18" s="319">
        <f t="shared" si="19"/>
        <v>0</v>
      </c>
      <c r="CJ18" s="319">
        <f t="shared" si="19"/>
        <v>0</v>
      </c>
      <c r="CK18" s="319">
        <f t="shared" si="19"/>
        <v>0</v>
      </c>
      <c r="CL18" s="319">
        <f t="shared" si="19"/>
        <v>0</v>
      </c>
      <c r="CM18" s="319">
        <f t="shared" si="19"/>
        <v>0</v>
      </c>
      <c r="CN18" s="319">
        <f t="shared" si="19"/>
        <v>0</v>
      </c>
      <c r="CO18" s="319">
        <f t="shared" si="19"/>
        <v>0</v>
      </c>
      <c r="CP18" s="319">
        <f t="shared" si="19"/>
        <v>0</v>
      </c>
      <c r="CQ18" s="319">
        <f t="shared" si="19"/>
        <v>0</v>
      </c>
      <c r="CR18" s="319">
        <f t="shared" si="19"/>
        <v>0</v>
      </c>
      <c r="CS18" s="319">
        <f t="shared" si="19"/>
        <v>0</v>
      </c>
      <c r="CT18" s="319">
        <f t="shared" si="19"/>
        <v>0</v>
      </c>
      <c r="CU18" s="319">
        <f t="shared" si="19"/>
        <v>0</v>
      </c>
      <c r="CV18" s="319">
        <f t="shared" si="19"/>
        <v>0</v>
      </c>
    </row>
    <row r="19" spans="1:100" x14ac:dyDescent="0.25">
      <c r="A19" s="319">
        <f t="shared" si="3"/>
        <v>0</v>
      </c>
      <c r="B19" s="319">
        <f t="shared" si="13"/>
        <v>0</v>
      </c>
      <c r="C19" s="340" t="s">
        <v>1146</v>
      </c>
      <c r="D19" s="341" t="s">
        <v>352</v>
      </c>
      <c r="E19" s="341">
        <v>7</v>
      </c>
      <c r="F19" s="341" t="str">
        <f>IF(AND(E19&lt;CharacterSheet!$V$34,'House Rules'!$B$1="Available",OR('House Rules'!$B$7="Standard",AND('House Rules'!$B$7="Ranked",G18="Yes"))),"Yes","No")</f>
        <v>No</v>
      </c>
      <c r="G19" s="564" t="s">
        <v>347</v>
      </c>
      <c r="H19" s="333" t="str">
        <f>IF(C19="","",VLOOKUP(C19,Boonref2!A:B,2,FALSE))</f>
        <v>No</v>
      </c>
      <c r="I19" s="333"/>
      <c r="J19" s="333" t="str">
        <f>VLOOKUP(C19,BoonRef!A:Z,17,FALSE)</f>
        <v>Yes</v>
      </c>
      <c r="K19" s="333" t="str">
        <f>IF(J19="God",'House Rules'!$B$2,IF(J19="Demi",'House Rules'!$B$1,IF(J19="Comp",'House Rules'!$B$4,IF(J19="Yaz",'House Rules'!$B$5,IF(J19="Rag",'House Rules'!$B$3,"Available")))))</f>
        <v>Available</v>
      </c>
      <c r="L19" s="333"/>
      <c r="M19" s="333"/>
      <c r="N19" s="340" t="s">
        <v>1309</v>
      </c>
      <c r="O19" s="341" t="s">
        <v>175</v>
      </c>
      <c r="P19" s="341" t="str">
        <f>IF(O19&lt;CharacterSheet!$V$34,"Yes","No")</f>
        <v>No</v>
      </c>
      <c r="Q19" s="341">
        <v>8</v>
      </c>
      <c r="R19" s="344" t="s">
        <v>346</v>
      </c>
      <c r="S19" s="317"/>
      <c r="T19" s="319">
        <f t="shared" si="14"/>
        <v>0</v>
      </c>
      <c r="U19" s="345" t="s">
        <v>2405</v>
      </c>
      <c r="V19" s="341" t="s">
        <v>1306</v>
      </c>
      <c r="W19" s="346" t="s">
        <v>36</v>
      </c>
      <c r="X19" s="341">
        <v>8</v>
      </c>
      <c r="Y19" s="347" t="str">
        <f>IF(AND($D$2="Arete",CharacterSheet!$E$52&gt;2,CharacterSheet!$V$34&gt;X19,'House Rules'!$B$6="Free",'House Rules'!$D$6=W19),"Free",IF(AND($D$2="Arete",CharacterSheet!$E$52&gt;2,CharacterSheet!$V$34&gt;X19,Z18="Yes"),"Yes","No"))</f>
        <v>No</v>
      </c>
      <c r="Z19" s="572" t="s">
        <v>347</v>
      </c>
      <c r="AA19" s="556"/>
      <c r="AB19" s="319">
        <f t="shared" si="11"/>
        <v>0</v>
      </c>
      <c r="AC19" s="345" t="s">
        <v>2505</v>
      </c>
      <c r="AD19" s="341" t="s">
        <v>1306</v>
      </c>
      <c r="AE19" s="346" t="s">
        <v>46</v>
      </c>
      <c r="AF19" s="341">
        <v>8</v>
      </c>
      <c r="AG19" s="347" t="str">
        <f>IF(AND($D$2="Arete",CharacterSheet!$M$52&gt;2,CharacterSheet!$V$34&gt;AF19,'House Rules'!$B$6="Free",'House Rules'!$D$6=AE19),"Free",IF(AND($D$2="Arete",CharacterSheet!$M$52&gt;2,CharacterSheet!$V$34&gt;AF19,AH18="Yes"),"Yes","No"))</f>
        <v>No</v>
      </c>
      <c r="AH19" s="572" t="s">
        <v>347</v>
      </c>
      <c r="AJ19" s="319">
        <f t="shared" si="12"/>
        <v>0</v>
      </c>
      <c r="AK19" s="345" t="s">
        <v>2605</v>
      </c>
      <c r="AL19" s="341" t="s">
        <v>1306</v>
      </c>
      <c r="AM19" s="346" t="str">
        <f t="shared" ref="AM19" si="23">AM12</f>
        <v>Control</v>
      </c>
      <c r="AN19" s="341">
        <v>8</v>
      </c>
      <c r="AO19" s="347" t="str">
        <f>IF(AND($D$2="Arete",$AS$36&gt;2,CharacterSheet!$V$34&gt;AN19,'House Rules'!$B$6="Free",'House Rules'!$D$6=AM19),"Free",IF(AND($D$2="Arete",$AS$36&gt;2,CharacterSheet!$V$34&gt;AN19,AP18="Yes"),"Yes","No"))</f>
        <v>No</v>
      </c>
      <c r="AP19" s="348" t="s">
        <v>347</v>
      </c>
      <c r="AR19" s="351" t="s">
        <v>50</v>
      </c>
      <c r="AS19" s="344">
        <f>COUNTIF(AH52:AH61,"Yes")</f>
        <v>0</v>
      </c>
      <c r="AT19" s="444">
        <f>VLOOKUP(AS19,Reference!$D$2:$E$12,2,FALSE)</f>
        <v>0</v>
      </c>
      <c r="BF19" s="319">
        <f t="shared" si="16"/>
        <v>0</v>
      </c>
      <c r="BG19" s="345" t="s">
        <v>2395</v>
      </c>
      <c r="BI19" s="319">
        <f t="shared" si="9"/>
        <v>0</v>
      </c>
      <c r="BJ19" s="319">
        <f t="shared" si="19"/>
        <v>0</v>
      </c>
      <c r="BK19" s="319">
        <f t="shared" si="19"/>
        <v>0</v>
      </c>
      <c r="BL19" s="319">
        <f t="shared" si="19"/>
        <v>0</v>
      </c>
      <c r="BM19" s="319">
        <f t="shared" si="19"/>
        <v>0</v>
      </c>
      <c r="BN19" s="319">
        <f t="shared" si="19"/>
        <v>0</v>
      </c>
      <c r="BO19" s="319">
        <f t="shared" si="19"/>
        <v>0</v>
      </c>
      <c r="BP19" s="319">
        <f t="shared" si="19"/>
        <v>0</v>
      </c>
      <c r="BQ19" s="319">
        <f t="shared" si="19"/>
        <v>0</v>
      </c>
      <c r="BR19" s="319">
        <f t="shared" si="19"/>
        <v>0</v>
      </c>
      <c r="BS19" s="319">
        <f t="shared" si="19"/>
        <v>0</v>
      </c>
      <c r="BT19" s="319">
        <f t="shared" si="19"/>
        <v>0</v>
      </c>
      <c r="BU19" s="319">
        <f t="shared" si="19"/>
        <v>0</v>
      </c>
      <c r="BV19" s="319">
        <f t="shared" si="19"/>
        <v>0</v>
      </c>
      <c r="BW19" s="319">
        <f t="shared" si="19"/>
        <v>0</v>
      </c>
      <c r="BX19" s="319">
        <f t="shared" si="19"/>
        <v>0</v>
      </c>
      <c r="BY19" s="319">
        <f t="shared" si="19"/>
        <v>0</v>
      </c>
      <c r="BZ19" s="319">
        <f t="shared" si="19"/>
        <v>0</v>
      </c>
      <c r="CA19" s="319">
        <f t="shared" si="19"/>
        <v>0</v>
      </c>
      <c r="CB19" s="319">
        <f t="shared" si="19"/>
        <v>0</v>
      </c>
      <c r="CC19" s="319">
        <f t="shared" si="19"/>
        <v>0</v>
      </c>
      <c r="CD19" s="319">
        <f t="shared" si="19"/>
        <v>0</v>
      </c>
      <c r="CE19" s="319">
        <f t="shared" si="19"/>
        <v>0</v>
      </c>
      <c r="CF19" s="319">
        <f t="shared" si="19"/>
        <v>0</v>
      </c>
      <c r="CG19" s="319">
        <f t="shared" si="19"/>
        <v>0</v>
      </c>
      <c r="CH19" s="319">
        <f t="shared" si="19"/>
        <v>0</v>
      </c>
      <c r="CI19" s="319">
        <f t="shared" si="19"/>
        <v>0</v>
      </c>
      <c r="CJ19" s="319">
        <f t="shared" si="19"/>
        <v>0</v>
      </c>
      <c r="CK19" s="319">
        <f t="shared" si="19"/>
        <v>0</v>
      </c>
      <c r="CL19" s="319">
        <f t="shared" si="19"/>
        <v>0</v>
      </c>
      <c r="CM19" s="319">
        <f t="shared" si="19"/>
        <v>0</v>
      </c>
      <c r="CN19" s="319">
        <f t="shared" si="19"/>
        <v>0</v>
      </c>
      <c r="CO19" s="319">
        <f t="shared" si="19"/>
        <v>0</v>
      </c>
      <c r="CP19" s="319">
        <f t="shared" si="19"/>
        <v>0</v>
      </c>
      <c r="CQ19" s="319">
        <f t="shared" si="19"/>
        <v>0</v>
      </c>
      <c r="CR19" s="319">
        <f t="shared" si="19"/>
        <v>0</v>
      </c>
      <c r="CS19" s="319">
        <f t="shared" si="19"/>
        <v>0</v>
      </c>
      <c r="CT19" s="319">
        <f t="shared" si="19"/>
        <v>0</v>
      </c>
      <c r="CU19" s="319">
        <f t="shared" si="19"/>
        <v>0</v>
      </c>
      <c r="CV19" s="319">
        <f t="shared" si="19"/>
        <v>0</v>
      </c>
    </row>
    <row r="20" spans="1:100" x14ac:dyDescent="0.25">
      <c r="A20" s="319">
        <f t="shared" si="3"/>
        <v>0</v>
      </c>
      <c r="B20" s="319">
        <f t="shared" si="13"/>
        <v>0</v>
      </c>
      <c r="C20" s="340" t="s">
        <v>1380</v>
      </c>
      <c r="D20" s="341" t="s">
        <v>352</v>
      </c>
      <c r="E20" s="341">
        <v>7</v>
      </c>
      <c r="F20" s="341" t="str">
        <f>IF(AND(E20&lt;CharacterSheet!$V$34,'House Rules'!$B$4="Available",OR('House Rules'!$B$7="Standard",AND('House Rules'!$B$7="Ranked",G18="Yes"))),"Yes","No")</f>
        <v>No</v>
      </c>
      <c r="G20" s="564" t="s">
        <v>347</v>
      </c>
      <c r="H20" s="333" t="str">
        <f>IF(C20="","",VLOOKUP(C20,Boonref2!A:B,2,FALSE))</f>
        <v>Yes</v>
      </c>
      <c r="I20" s="333"/>
      <c r="J20" s="333" t="str">
        <f>VLOOKUP(C20,BoonRef!A:Z,17,FALSE)</f>
        <v>Yes</v>
      </c>
      <c r="K20" s="333" t="str">
        <f>IF(J20="God",'House Rules'!$B$2,IF(J20="Demi",'House Rules'!$B$1,IF(J20="Comp",'House Rules'!$B$4,IF(J20="Yaz",'House Rules'!$B$5,IF(J20="Rag",'House Rules'!$B$3,"Available")))))</f>
        <v>Available</v>
      </c>
      <c r="L20" s="333"/>
      <c r="M20" s="333"/>
      <c r="N20" s="340" t="s">
        <v>1310</v>
      </c>
      <c r="O20" s="341" t="s">
        <v>175</v>
      </c>
      <c r="P20" s="341" t="str">
        <f>IF(O20&lt;CharacterSheet!$V$34,"Yes","No")</f>
        <v>No</v>
      </c>
      <c r="Q20" s="341">
        <v>9</v>
      </c>
      <c r="R20" s="344" t="s">
        <v>346</v>
      </c>
      <c r="S20" s="317"/>
      <c r="T20" s="319">
        <f t="shared" si="14"/>
        <v>0</v>
      </c>
      <c r="U20" s="345" t="s">
        <v>2406</v>
      </c>
      <c r="V20" s="341" t="s">
        <v>1307</v>
      </c>
      <c r="W20" s="346" t="s">
        <v>36</v>
      </c>
      <c r="X20" s="341">
        <v>9</v>
      </c>
      <c r="Y20" s="347" t="str">
        <f>IF(AND($D$2="Arete",CharacterSheet!$E$52&gt;2,CharacterSheet!$V$34&gt;X20,'House Rules'!$B$6="Free",'House Rules'!$D$6=W20),"Free",IF(AND($D$2="Arete",CharacterSheet!$E$52&gt;2,CharacterSheet!$V$34&gt;X20,Z19="Yes"),"Yes","No"))</f>
        <v>No</v>
      </c>
      <c r="Z20" s="572" t="s">
        <v>347</v>
      </c>
      <c r="AA20" s="556"/>
      <c r="AB20" s="319">
        <f t="shared" si="11"/>
        <v>0</v>
      </c>
      <c r="AC20" s="345" t="s">
        <v>2506</v>
      </c>
      <c r="AD20" s="341" t="s">
        <v>1307</v>
      </c>
      <c r="AE20" s="346" t="s">
        <v>46</v>
      </c>
      <c r="AF20" s="341">
        <v>9</v>
      </c>
      <c r="AG20" s="347" t="str">
        <f>IF(AND($D$2="Arete",CharacterSheet!$M$52&gt;2,CharacterSheet!$V$34&gt;AF20,'House Rules'!$B$6="Free",'House Rules'!$D$6=AE20),"Free",IF(AND($D$2="Arete",CharacterSheet!$M$52&gt;2,CharacterSheet!$V$34&gt;AF20,AH19="Yes"),"Yes","No"))</f>
        <v>No</v>
      </c>
      <c r="AH20" s="572" t="s">
        <v>347</v>
      </c>
      <c r="AJ20" s="319">
        <f t="shared" si="12"/>
        <v>0</v>
      </c>
      <c r="AK20" s="345" t="s">
        <v>2606</v>
      </c>
      <c r="AL20" s="341" t="s">
        <v>1307</v>
      </c>
      <c r="AM20" s="346" t="str">
        <f t="shared" ref="AM20" si="24">AM12</f>
        <v>Control</v>
      </c>
      <c r="AN20" s="341">
        <v>9</v>
      </c>
      <c r="AO20" s="347" t="str">
        <f>IF(AND($D$2="Arete",$AS$36&gt;2,CharacterSheet!$V$34&gt;AN20,'House Rules'!$B$6="Free",'House Rules'!$D$6=AM20),"Free",IF(AND($D$2="Arete",$AS$36&gt;2,CharacterSheet!$V$34&gt;AN20,AP19="Yes"),"Yes","No"))</f>
        <v>No</v>
      </c>
      <c r="AP20" s="348" t="s">
        <v>347</v>
      </c>
      <c r="AR20" s="351" t="s">
        <v>51</v>
      </c>
      <c r="AS20" s="344">
        <f>COUNTIF(AH62:AH71,"Yes")</f>
        <v>0</v>
      </c>
      <c r="AT20" s="444">
        <f>VLOOKUP(AS20,Reference!$D$2:$E$12,2,FALSE)</f>
        <v>0</v>
      </c>
      <c r="BF20" s="319">
        <f t="shared" si="16"/>
        <v>0</v>
      </c>
      <c r="BG20" s="345" t="s">
        <v>2396</v>
      </c>
      <c r="BI20" s="319">
        <f t="shared" si="9"/>
        <v>0</v>
      </c>
      <c r="BJ20" s="319">
        <f t="shared" si="19"/>
        <v>0</v>
      </c>
      <c r="BK20" s="319">
        <f t="shared" si="19"/>
        <v>0</v>
      </c>
      <c r="BL20" s="319">
        <f t="shared" si="19"/>
        <v>0</v>
      </c>
      <c r="BM20" s="319">
        <f t="shared" si="19"/>
        <v>0</v>
      </c>
      <c r="BN20" s="319">
        <f t="shared" si="19"/>
        <v>0</v>
      </c>
      <c r="BO20" s="319">
        <f t="shared" si="19"/>
        <v>0</v>
      </c>
      <c r="BP20" s="319">
        <f t="shared" si="19"/>
        <v>0</v>
      </c>
      <c r="BQ20" s="319">
        <f t="shared" si="19"/>
        <v>0</v>
      </c>
      <c r="BR20" s="319">
        <f t="shared" si="19"/>
        <v>0</v>
      </c>
      <c r="BS20" s="319">
        <f t="shared" si="19"/>
        <v>0</v>
      </c>
      <c r="BT20" s="319">
        <f t="shared" si="19"/>
        <v>0</v>
      </c>
      <c r="BU20" s="319">
        <f t="shared" si="19"/>
        <v>0</v>
      </c>
      <c r="BV20" s="319">
        <f t="shared" si="19"/>
        <v>0</v>
      </c>
      <c r="BW20" s="319">
        <f t="shared" si="19"/>
        <v>0</v>
      </c>
      <c r="BX20" s="319">
        <f t="shared" si="19"/>
        <v>0</v>
      </c>
      <c r="BY20" s="319">
        <f t="shared" si="19"/>
        <v>0</v>
      </c>
      <c r="BZ20" s="319">
        <f t="shared" si="19"/>
        <v>0</v>
      </c>
      <c r="CA20" s="319">
        <f t="shared" si="19"/>
        <v>0</v>
      </c>
      <c r="CB20" s="319">
        <f t="shared" si="19"/>
        <v>0</v>
      </c>
      <c r="CC20" s="319">
        <f t="shared" si="19"/>
        <v>0</v>
      </c>
      <c r="CD20" s="319">
        <f t="shared" si="19"/>
        <v>0</v>
      </c>
      <c r="CE20" s="319">
        <f t="shared" si="19"/>
        <v>0</v>
      </c>
      <c r="CF20" s="319">
        <f t="shared" si="19"/>
        <v>0</v>
      </c>
      <c r="CG20" s="319">
        <f t="shared" si="19"/>
        <v>0</v>
      </c>
      <c r="CH20" s="319">
        <f t="shared" si="19"/>
        <v>0</v>
      </c>
      <c r="CI20" s="319">
        <f t="shared" si="19"/>
        <v>0</v>
      </c>
      <c r="CJ20" s="319">
        <f t="shared" si="19"/>
        <v>0</v>
      </c>
      <c r="CK20" s="319">
        <f t="shared" si="19"/>
        <v>0</v>
      </c>
      <c r="CL20" s="319">
        <f t="shared" si="19"/>
        <v>0</v>
      </c>
      <c r="CM20" s="319">
        <f t="shared" si="19"/>
        <v>0</v>
      </c>
      <c r="CN20" s="319">
        <f t="shared" si="19"/>
        <v>0</v>
      </c>
      <c r="CO20" s="319">
        <f t="shared" si="19"/>
        <v>0</v>
      </c>
      <c r="CP20" s="319">
        <f t="shared" si="19"/>
        <v>0</v>
      </c>
      <c r="CQ20" s="319">
        <f t="shared" si="19"/>
        <v>0</v>
      </c>
      <c r="CR20" s="319">
        <f t="shared" si="19"/>
        <v>0</v>
      </c>
      <c r="CS20" s="319">
        <f t="shared" si="19"/>
        <v>0</v>
      </c>
      <c r="CT20" s="319">
        <f t="shared" si="19"/>
        <v>0</v>
      </c>
      <c r="CU20" s="319">
        <f t="shared" si="19"/>
        <v>0</v>
      </c>
      <c r="CV20" s="319">
        <f t="shared" si="19"/>
        <v>0</v>
      </c>
    </row>
    <row r="21" spans="1:100" ht="15.75" thickBot="1" x14ac:dyDescent="0.3">
      <c r="A21" s="319">
        <f t="shared" si="3"/>
        <v>0</v>
      </c>
      <c r="B21" s="319">
        <f t="shared" si="13"/>
        <v>0</v>
      </c>
      <c r="C21" s="340" t="s">
        <v>1243</v>
      </c>
      <c r="D21" s="341" t="s">
        <v>352</v>
      </c>
      <c r="E21" s="341">
        <v>8</v>
      </c>
      <c r="F21" s="341" t="str">
        <f>IF(AND(E21&lt;CharacterSheet!$V$34,'House Rules'!$B$2="available",OR('House Rules'!$B$7="Standard",AND('House Rules'!$B$7="Ranked",OR(G20="Yes",G19="Yes")))),"Yes","No")</f>
        <v>No</v>
      </c>
      <c r="G21" s="564" t="s">
        <v>347</v>
      </c>
      <c r="H21" s="333" t="str">
        <f>IF(C21="","",VLOOKUP(C21,Boonref2!A:B,2,FALSE))</f>
        <v>Yes</v>
      </c>
      <c r="I21" s="333"/>
      <c r="J21" s="333" t="str">
        <f>VLOOKUP(C21,BoonRef!A:Z,17,FALSE)</f>
        <v>Yes</v>
      </c>
      <c r="K21" s="333" t="str">
        <f>IF(J21="God",'House Rules'!$B$2,IF(J21="Demi",'House Rules'!$B$1,IF(J21="Comp",'House Rules'!$B$4,IF(J21="Yaz",'House Rules'!$B$5,IF(J21="Rag",'House Rules'!$B$3,"Available")))))</f>
        <v>Available</v>
      </c>
      <c r="L21" s="333"/>
      <c r="M21" s="333"/>
      <c r="N21" s="340" t="s">
        <v>1311</v>
      </c>
      <c r="O21" s="341" t="s">
        <v>175</v>
      </c>
      <c r="P21" s="341" t="str">
        <f>IF(O21&lt;CharacterSheet!$V$34,"Yes","No")</f>
        <v>No</v>
      </c>
      <c r="Q21" s="341">
        <v>10</v>
      </c>
      <c r="R21" s="344" t="s">
        <v>346</v>
      </c>
      <c r="S21" s="317"/>
      <c r="T21" s="319">
        <f>IF(Z21="Yes",LARGE($T$2:$T$11,1)+1,LARGE($T$2:$T$11,1))</f>
        <v>0</v>
      </c>
      <c r="U21" s="355" t="s">
        <v>2407</v>
      </c>
      <c r="V21" s="353" t="s">
        <v>1308</v>
      </c>
      <c r="W21" s="356" t="s">
        <v>36</v>
      </c>
      <c r="X21" s="353">
        <v>10</v>
      </c>
      <c r="Y21" s="347" t="str">
        <f>IF(AND($D$2="Arete",CharacterSheet!$E$52&gt;2,CharacterSheet!$V$34&gt;X21,'House Rules'!$B$6="Free",'House Rules'!$D$6=W21),"Free",IF(AND($D$2="Arete",CharacterSheet!$E$52&gt;2,CharacterSheet!$V$34&gt;X21,Z20="Yes"),"Yes","No"))</f>
        <v>No</v>
      </c>
      <c r="Z21" s="573" t="s">
        <v>347</v>
      </c>
      <c r="AA21" s="556"/>
      <c r="AB21" s="319">
        <f>IF(AH21="Yes",LARGE($AB$2:$AB$11,1)+1,LARGE($AB$2:$AB$11,1))</f>
        <v>0</v>
      </c>
      <c r="AC21" s="355" t="s">
        <v>2507</v>
      </c>
      <c r="AD21" s="353" t="s">
        <v>1308</v>
      </c>
      <c r="AE21" s="356" t="s">
        <v>46</v>
      </c>
      <c r="AF21" s="353">
        <v>10</v>
      </c>
      <c r="AG21" s="347" t="str">
        <f>IF(AND($D$2="Arete",CharacterSheet!$M$52&gt;2,CharacterSheet!$V$34&gt;AF21,'House Rules'!$B$6="Free",'House Rules'!$D$6=AE21),"Free",IF(AND($D$2="Arete",CharacterSheet!$M$52&gt;2,CharacterSheet!$V$34&gt;AF21,AH20="Yes"),"Yes","No"))</f>
        <v>No</v>
      </c>
      <c r="AH21" s="573" t="s">
        <v>347</v>
      </c>
      <c r="AJ21" s="319">
        <f>IF(AP21="Yes",LARGE($T$52:$T$61,1)+1,LARGE($T$52:$T$61,1))</f>
        <v>0</v>
      </c>
      <c r="AK21" s="355" t="s">
        <v>2607</v>
      </c>
      <c r="AL21" s="353" t="s">
        <v>1308</v>
      </c>
      <c r="AM21" s="356" t="str">
        <f t="shared" ref="AM21" si="25">AM12</f>
        <v>Control</v>
      </c>
      <c r="AN21" s="353">
        <v>10</v>
      </c>
      <c r="AO21" s="347" t="str">
        <f>IF(AND($D$2="Arete",$AS$36&gt;2,CharacterSheet!$V$34&gt;AN21,'House Rules'!$B$6="Free",'House Rules'!$D$6=AM21),"Free",IF(AND($D$2="Arete",$AS$36&gt;2,CharacterSheet!$V$34&gt;AN21,AP20="Yes"),"Yes","No"))</f>
        <v>No</v>
      </c>
      <c r="AP21" s="357" t="s">
        <v>347</v>
      </c>
      <c r="AR21" s="351" t="s">
        <v>52</v>
      </c>
      <c r="AS21" s="344">
        <f>COUNTIF(AH72:AH81,"Yes")</f>
        <v>0</v>
      </c>
      <c r="AT21" s="444">
        <f>VLOOKUP(AS21,Reference!$D$2:$E$12,2,FALSE)</f>
        <v>0</v>
      </c>
      <c r="BF21" s="319">
        <f t="shared" si="16"/>
        <v>0</v>
      </c>
      <c r="BG21" s="355" t="s">
        <v>2397</v>
      </c>
      <c r="BI21" s="319">
        <f t="shared" si="9"/>
        <v>0</v>
      </c>
      <c r="BJ21" s="319">
        <f t="shared" si="19"/>
        <v>0</v>
      </c>
      <c r="BK21" s="319">
        <f t="shared" si="19"/>
        <v>0</v>
      </c>
      <c r="BL21" s="319">
        <f t="shared" si="19"/>
        <v>0</v>
      </c>
      <c r="BM21" s="319">
        <f t="shared" si="19"/>
        <v>0</v>
      </c>
      <c r="BN21" s="319">
        <f t="shared" si="19"/>
        <v>0</v>
      </c>
      <c r="BO21" s="319">
        <f t="shared" si="19"/>
        <v>0</v>
      </c>
      <c r="BP21" s="319">
        <f t="shared" si="19"/>
        <v>0</v>
      </c>
      <c r="BQ21" s="319">
        <f t="shared" si="19"/>
        <v>0</v>
      </c>
      <c r="BR21" s="319">
        <f t="shared" si="19"/>
        <v>0</v>
      </c>
      <c r="BS21" s="319">
        <f t="shared" si="19"/>
        <v>0</v>
      </c>
      <c r="BT21" s="319">
        <f t="shared" si="19"/>
        <v>0</v>
      </c>
      <c r="BU21" s="319">
        <f t="shared" si="19"/>
        <v>0</v>
      </c>
      <c r="BV21" s="319">
        <f t="shared" si="19"/>
        <v>0</v>
      </c>
      <c r="BW21" s="319">
        <f t="shared" si="19"/>
        <v>0</v>
      </c>
      <c r="BX21" s="319">
        <f t="shared" si="19"/>
        <v>0</v>
      </c>
      <c r="BY21" s="319">
        <f t="shared" si="19"/>
        <v>0</v>
      </c>
      <c r="BZ21" s="319">
        <f t="shared" si="19"/>
        <v>0</v>
      </c>
      <c r="CA21" s="319">
        <f t="shared" si="19"/>
        <v>0</v>
      </c>
      <c r="CB21" s="319">
        <f t="shared" si="19"/>
        <v>0</v>
      </c>
      <c r="CC21" s="319">
        <f t="shared" si="19"/>
        <v>0</v>
      </c>
      <c r="CD21" s="319">
        <f t="shared" si="19"/>
        <v>0</v>
      </c>
      <c r="CE21" s="319">
        <f t="shared" si="19"/>
        <v>0</v>
      </c>
      <c r="CF21" s="319">
        <f t="shared" si="19"/>
        <v>0</v>
      </c>
      <c r="CG21" s="319">
        <f t="shared" si="19"/>
        <v>0</v>
      </c>
      <c r="CH21" s="319">
        <f t="shared" si="19"/>
        <v>0</v>
      </c>
      <c r="CI21" s="319">
        <f t="shared" si="19"/>
        <v>0</v>
      </c>
      <c r="CJ21" s="319">
        <f t="shared" si="19"/>
        <v>0</v>
      </c>
      <c r="CK21" s="319">
        <f t="shared" si="19"/>
        <v>0</v>
      </c>
      <c r="CL21" s="319">
        <f t="shared" si="19"/>
        <v>0</v>
      </c>
      <c r="CM21" s="319">
        <f t="shared" si="19"/>
        <v>0</v>
      </c>
      <c r="CN21" s="319">
        <f t="shared" si="19"/>
        <v>0</v>
      </c>
      <c r="CO21" s="319">
        <f t="shared" si="19"/>
        <v>0</v>
      </c>
      <c r="CP21" s="319">
        <f t="shared" si="19"/>
        <v>0</v>
      </c>
      <c r="CQ21" s="319">
        <f t="shared" si="19"/>
        <v>0</v>
      </c>
      <c r="CR21" s="319">
        <f t="shared" si="19"/>
        <v>0</v>
      </c>
      <c r="CS21" s="319">
        <f t="shared" si="19"/>
        <v>0</v>
      </c>
      <c r="CT21" s="319">
        <f t="shared" si="19"/>
        <v>0</v>
      </c>
      <c r="CU21" s="319">
        <f t="shared" si="19"/>
        <v>0</v>
      </c>
      <c r="CV21" s="319">
        <f t="shared" si="19"/>
        <v>0</v>
      </c>
    </row>
    <row r="22" spans="1:100" ht="16.5" customHeight="1" x14ac:dyDescent="0.25">
      <c r="A22" s="319">
        <f t="shared" si="3"/>
        <v>0</v>
      </c>
      <c r="B22" s="319">
        <f t="shared" si="13"/>
        <v>0</v>
      </c>
      <c r="C22" s="340" t="s">
        <v>2628</v>
      </c>
      <c r="D22" s="341" t="s">
        <v>352</v>
      </c>
      <c r="E22" s="341">
        <v>8</v>
      </c>
      <c r="F22" s="341" t="str">
        <f>IF(AND(E21&lt;CharacterSheet!$V$34,'House Rules'!$B$3="Available",OR('House Rules'!$B$7="Standard",AND('House Rules'!$B$7="Ranked",OR(G20="Yes",G19="Yes")))),"Yes","No")</f>
        <v>No</v>
      </c>
      <c r="G22" s="564" t="s">
        <v>347</v>
      </c>
      <c r="H22" s="333" t="str">
        <f>IF(C22="","",VLOOKUP(C22,Boonref2!A:B,2,FALSE))</f>
        <v>Yes</v>
      </c>
      <c r="I22" s="333"/>
      <c r="J22" s="333" t="str">
        <f>VLOOKUP(C22,BoonRef!A:Z,17,FALSE)</f>
        <v>Yes</v>
      </c>
      <c r="K22" s="333" t="str">
        <f>IF(J22="God",'House Rules'!$B$2,IF(J22="Demi",'House Rules'!$B$1,IF(J22="Comp",'House Rules'!$B$4,IF(J22="Yaz",'House Rules'!$B$5,IF(J22="Rag",'House Rules'!$B$3,"Available")))))</f>
        <v>Available</v>
      </c>
      <c r="L22" s="333"/>
      <c r="M22" s="333"/>
      <c r="N22" s="340" t="s">
        <v>1452</v>
      </c>
      <c r="O22" s="341" t="s">
        <v>182</v>
      </c>
      <c r="P22" s="341" t="str">
        <f>IF('House Rules'!$B$4="Prohibited","No",IF(O22&lt;CharacterSheet!$V$34,"Yes","No"))</f>
        <v>No</v>
      </c>
      <c r="Q22" s="341">
        <v>1</v>
      </c>
      <c r="R22" s="344" t="s">
        <v>347</v>
      </c>
      <c r="S22" s="317"/>
      <c r="T22" s="319">
        <f t="shared" ref="T22:T30" si="26">IF(AND(Z22="Yes",Z23="No"),LARGE($AJ$2:$AJ$11,1)+1,LARGE($AJ$2:$AJ$11,1))</f>
        <v>0</v>
      </c>
      <c r="U22" s="336" t="s">
        <v>2408</v>
      </c>
      <c r="V22" s="331" t="s">
        <v>1112</v>
      </c>
      <c r="W22" s="337" t="s">
        <v>37</v>
      </c>
      <c r="X22" s="331">
        <v>1</v>
      </c>
      <c r="Y22" s="338" t="str">
        <f>IF(AND($D$2="Arete",CharacterSheet!$E$53&gt;2,CharacterSheet!$V$34&gt;X22,'House Rules'!$B$6="Free",'House Rules'!$D$6=W22),"Free",IF(AND($D$2="Arete",CharacterSheet!$E$53&gt;2,CharacterSheet!$V$34&gt;X22),"Yes","No"))</f>
        <v>No</v>
      </c>
      <c r="Z22" s="571" t="s">
        <v>347</v>
      </c>
      <c r="AA22" s="556"/>
      <c r="AB22" s="319">
        <f t="shared" ref="AB22:AB30" si="27">IF(AND(AH22="Yes",AH23="No"),LARGE($AB$12:$AB$21,1)+1,LARGE($AB$12:$AB$21,1))</f>
        <v>0</v>
      </c>
      <c r="AC22" s="336" t="s">
        <v>2508</v>
      </c>
      <c r="AD22" s="331" t="s">
        <v>1112</v>
      </c>
      <c r="AE22" s="337" t="s">
        <v>47</v>
      </c>
      <c r="AF22" s="331">
        <v>1</v>
      </c>
      <c r="AG22" s="338" t="str">
        <f>IF(AND($D$2="Arete",CharacterSheet!$M$53&gt;2,CharacterSheet!$V$34&gt;AF22,'House Rules'!$B$6="Free",'House Rules'!$D$6=AE22),"Free",IF(AND($D$2="Arete",CharacterSheet!$M$53&gt;2,CharacterSheet!$V$34&gt;AF22),"Yes","No"))</f>
        <v>No</v>
      </c>
      <c r="AH22" s="571" t="s">
        <v>347</v>
      </c>
      <c r="AJ22" s="319">
        <f t="shared" ref="AJ22:AJ30" si="28">IF(AND(AP22="Yes",AP23="No"),LARGE($AJ$12:$AJ$21,1)+1,LARGE($AJ$12:$AJ$21,1))</f>
        <v>0</v>
      </c>
      <c r="AK22" s="336" t="s">
        <v>2608</v>
      </c>
      <c r="AL22" s="331" t="s">
        <v>1112</v>
      </c>
      <c r="AM22" s="337" t="s">
        <v>57</v>
      </c>
      <c r="AN22" s="331">
        <v>1</v>
      </c>
      <c r="AO22" s="338" t="str">
        <f>IF(AND($D$2="Arete",$AS$37&gt;2,CharacterSheet!$V$34&gt;AN22,'House Rules'!$B$6="Free",'House Rules'!$D$6=AM22),"Free",IF(AND($D$2="Arete",$AS$37&gt;2,CharacterSheet!$V$34&gt;AN22),"Yes","No"))</f>
        <v>No</v>
      </c>
      <c r="AP22" s="339" t="s">
        <v>347</v>
      </c>
      <c r="AR22" s="351" t="s">
        <v>53</v>
      </c>
      <c r="AS22" s="344">
        <f>COUNTIF(AH82:AH91,"Yes")</f>
        <v>0</v>
      </c>
      <c r="AT22" s="444">
        <f>VLOOKUP(AS22,Reference!$D$2:$E$12,2,FALSE)</f>
        <v>0</v>
      </c>
      <c r="BF22" s="319">
        <f t="shared" si="16"/>
        <v>0</v>
      </c>
      <c r="BG22" s="336" t="s">
        <v>2398</v>
      </c>
      <c r="BI22" s="319">
        <f t="shared" si="9"/>
        <v>0</v>
      </c>
      <c r="BJ22" s="319">
        <f t="shared" ref="BJ22:CV28" si="29">IF(AND($D22=BJ$1,$G22="Yes"),$E22,0)</f>
        <v>0</v>
      </c>
      <c r="BK22" s="319">
        <f t="shared" si="29"/>
        <v>0</v>
      </c>
      <c r="BL22" s="319">
        <f t="shared" si="29"/>
        <v>0</v>
      </c>
      <c r="BM22" s="319">
        <f t="shared" si="29"/>
        <v>0</v>
      </c>
      <c r="BN22" s="319">
        <f t="shared" si="29"/>
        <v>0</v>
      </c>
      <c r="BO22" s="319">
        <f t="shared" si="29"/>
        <v>0</v>
      </c>
      <c r="BP22" s="319">
        <f t="shared" si="29"/>
        <v>0</v>
      </c>
      <c r="BQ22" s="319">
        <f t="shared" si="29"/>
        <v>0</v>
      </c>
      <c r="BR22" s="319">
        <f t="shared" si="29"/>
        <v>0</v>
      </c>
      <c r="BS22" s="319">
        <f t="shared" si="29"/>
        <v>0</v>
      </c>
      <c r="BT22" s="319">
        <f t="shared" si="29"/>
        <v>0</v>
      </c>
      <c r="BU22" s="319">
        <f t="shared" si="29"/>
        <v>0</v>
      </c>
      <c r="BV22" s="319">
        <f t="shared" si="29"/>
        <v>0</v>
      </c>
      <c r="BW22" s="319">
        <f t="shared" si="29"/>
        <v>0</v>
      </c>
      <c r="BX22" s="319">
        <f t="shared" si="29"/>
        <v>0</v>
      </c>
      <c r="BY22" s="319">
        <f t="shared" si="29"/>
        <v>0</v>
      </c>
      <c r="BZ22" s="319">
        <f t="shared" si="29"/>
        <v>0</v>
      </c>
      <c r="CA22" s="319">
        <f t="shared" si="29"/>
        <v>0</v>
      </c>
      <c r="CB22" s="319">
        <f t="shared" si="29"/>
        <v>0</v>
      </c>
      <c r="CC22" s="319">
        <f t="shared" si="29"/>
        <v>0</v>
      </c>
      <c r="CD22" s="319">
        <f t="shared" si="29"/>
        <v>0</v>
      </c>
      <c r="CE22" s="319">
        <f t="shared" si="29"/>
        <v>0</v>
      </c>
      <c r="CF22" s="319">
        <f t="shared" si="29"/>
        <v>0</v>
      </c>
      <c r="CG22" s="319">
        <f t="shared" si="29"/>
        <v>0</v>
      </c>
      <c r="CH22" s="319">
        <f t="shared" si="29"/>
        <v>0</v>
      </c>
      <c r="CI22" s="319">
        <f t="shared" si="29"/>
        <v>0</v>
      </c>
      <c r="CJ22" s="319">
        <f t="shared" si="29"/>
        <v>0</v>
      </c>
      <c r="CK22" s="319">
        <f t="shared" si="29"/>
        <v>0</v>
      </c>
      <c r="CL22" s="319">
        <f t="shared" si="29"/>
        <v>0</v>
      </c>
      <c r="CM22" s="319">
        <f t="shared" si="29"/>
        <v>0</v>
      </c>
      <c r="CN22" s="319">
        <f t="shared" si="29"/>
        <v>0</v>
      </c>
      <c r="CO22" s="319">
        <f t="shared" si="29"/>
        <v>0</v>
      </c>
      <c r="CP22" s="319">
        <f t="shared" si="29"/>
        <v>0</v>
      </c>
      <c r="CQ22" s="319">
        <f t="shared" si="29"/>
        <v>0</v>
      </c>
      <c r="CR22" s="319">
        <f t="shared" si="29"/>
        <v>0</v>
      </c>
      <c r="CS22" s="319">
        <f t="shared" si="29"/>
        <v>0</v>
      </c>
      <c r="CT22" s="319">
        <f t="shared" si="29"/>
        <v>0</v>
      </c>
      <c r="CU22" s="319">
        <f t="shared" si="29"/>
        <v>0</v>
      </c>
      <c r="CV22" s="319">
        <f t="shared" si="29"/>
        <v>0</v>
      </c>
    </row>
    <row r="23" spans="1:100" x14ac:dyDescent="0.25">
      <c r="A23" s="319">
        <f t="shared" si="3"/>
        <v>0</v>
      </c>
      <c r="B23" s="319">
        <f t="shared" si="13"/>
        <v>0</v>
      </c>
      <c r="C23" s="340" t="s">
        <v>1244</v>
      </c>
      <c r="D23" s="341" t="s">
        <v>352</v>
      </c>
      <c r="E23" s="341">
        <v>9</v>
      </c>
      <c r="F23" s="341" t="str">
        <f>IF(AND(E23&lt;CharacterSheet!$V$34,'House Rules'!$B$2="available",OR('House Rules'!$B$7="Standard",AND('House Rules'!$B$7="Ranked",OR(G21="Yes",G22="Yes")))),"Yes","No")</f>
        <v>No</v>
      </c>
      <c r="G23" s="564" t="s">
        <v>347</v>
      </c>
      <c r="H23" s="333" t="str">
        <f>IF(C23="","",VLOOKUP(C23,Boonref2!A:B,2,FALSE))</f>
        <v>Yes</v>
      </c>
      <c r="I23" s="333"/>
      <c r="J23" s="333" t="str">
        <f>VLOOKUP(C23,BoonRef!A:Z,17,FALSE)</f>
        <v>Yes</v>
      </c>
      <c r="K23" s="333" t="str">
        <f>IF(J23="God",'House Rules'!$B$2,IF(J23="Demi",'House Rules'!$B$1,IF(J23="Comp",'House Rules'!$B$4,IF(J23="Yaz",'House Rules'!$B$5,IF(J23="Rag",'House Rules'!$B$3,"Available")))))</f>
        <v>Available</v>
      </c>
      <c r="L23" s="333"/>
      <c r="M23" s="333"/>
      <c r="N23" s="340" t="s">
        <v>1453</v>
      </c>
      <c r="O23" s="341" t="s">
        <v>182</v>
      </c>
      <c r="P23" s="341" t="str">
        <f>IF('House Rules'!$B$4="Prohibited","No",IF(O23&lt;CharacterSheet!$V$34,"Yes","No"))</f>
        <v>No</v>
      </c>
      <c r="Q23" s="341">
        <v>2</v>
      </c>
      <c r="R23" s="344" t="s">
        <v>346</v>
      </c>
      <c r="S23" s="317"/>
      <c r="T23" s="319">
        <f t="shared" si="26"/>
        <v>0</v>
      </c>
      <c r="U23" s="345" t="s">
        <v>2409</v>
      </c>
      <c r="V23" s="341" t="s">
        <v>1113</v>
      </c>
      <c r="W23" s="346" t="s">
        <v>37</v>
      </c>
      <c r="X23" s="341">
        <v>2</v>
      </c>
      <c r="Y23" s="347" t="str">
        <f>IF(AND($D$2="Arete",CharacterSheet!$E$53&gt;2,CharacterSheet!$V$34&gt;X23,'House Rules'!$B$6="Free",'House Rules'!$D$6=W23),"Free",IF(AND($D$2="Arete",CharacterSheet!$E$53&gt;2,CharacterSheet!$V$34&gt;X23,Z22="Yes"),"Yes","No"))</f>
        <v>No</v>
      </c>
      <c r="Z23" s="572" t="s">
        <v>347</v>
      </c>
      <c r="AA23" s="556"/>
      <c r="AB23" s="319">
        <f t="shared" si="27"/>
        <v>0</v>
      </c>
      <c r="AC23" s="345" t="s">
        <v>2509</v>
      </c>
      <c r="AD23" s="341" t="s">
        <v>1113</v>
      </c>
      <c r="AE23" s="346" t="s">
        <v>47</v>
      </c>
      <c r="AF23" s="341">
        <v>2</v>
      </c>
      <c r="AG23" s="347" t="str">
        <f>IF(AND($D$2="Arete",CharacterSheet!$M$53&gt;2,CharacterSheet!$V$34&gt;AF23,'House Rules'!$B$6="Free",'House Rules'!$D$6=AE23),"Free",IF(AND($D$2="Arete",CharacterSheet!$M$53&gt;2,CharacterSheet!$V$34&gt;AF23,AH22="Yes"),"Yes","No"))</f>
        <v>No</v>
      </c>
      <c r="AH23" s="572" t="s">
        <v>347</v>
      </c>
      <c r="AJ23" s="319">
        <f t="shared" si="28"/>
        <v>0</v>
      </c>
      <c r="AK23" s="345" t="s">
        <v>2609</v>
      </c>
      <c r="AL23" s="341" t="s">
        <v>1113</v>
      </c>
      <c r="AM23" s="346" t="str">
        <f t="shared" ref="AM23" si="30">AM22</f>
        <v>Craft</v>
      </c>
      <c r="AN23" s="341">
        <v>2</v>
      </c>
      <c r="AO23" s="347" t="str">
        <f>IF(AND($D$2="Arete",$AS$37&gt;2,CharacterSheet!$V$34&gt;AN23,'House Rules'!$B$6="Free",'House Rules'!$D$6=AM23),"Free",IF(AND($D$2="Arete",$AS$37&gt;2,CharacterSheet!$V$34&gt;AN23,AP22="Yes"),"Yes","No"))</f>
        <v>No</v>
      </c>
      <c r="AP23" s="348" t="s">
        <v>347</v>
      </c>
      <c r="AR23" s="351" t="s">
        <v>54</v>
      </c>
      <c r="AS23" s="344">
        <f>COUNTIF(AH92:AH101,"Yes")</f>
        <v>0</v>
      </c>
      <c r="AT23" s="444">
        <f>VLOOKUP(AS23,Reference!$D$2:$E$12,2,FALSE)</f>
        <v>0</v>
      </c>
      <c r="BF23" s="319">
        <f t="shared" si="16"/>
        <v>0</v>
      </c>
      <c r="BG23" s="345" t="s">
        <v>2399</v>
      </c>
      <c r="BI23" s="319">
        <f t="shared" si="9"/>
        <v>0</v>
      </c>
      <c r="BJ23" s="319">
        <f t="shared" si="29"/>
        <v>0</v>
      </c>
      <c r="BK23" s="319">
        <f t="shared" si="29"/>
        <v>0</v>
      </c>
      <c r="BL23" s="319">
        <f t="shared" si="29"/>
        <v>0</v>
      </c>
      <c r="BM23" s="319">
        <f t="shared" si="29"/>
        <v>0</v>
      </c>
      <c r="BN23" s="319">
        <f t="shared" si="29"/>
        <v>0</v>
      </c>
      <c r="BO23" s="319">
        <f t="shared" si="29"/>
        <v>0</v>
      </c>
      <c r="BP23" s="319">
        <f t="shared" si="29"/>
        <v>0</v>
      </c>
      <c r="BQ23" s="319">
        <f t="shared" si="29"/>
        <v>0</v>
      </c>
      <c r="BR23" s="319">
        <f t="shared" si="29"/>
        <v>0</v>
      </c>
      <c r="BS23" s="319">
        <f t="shared" si="29"/>
        <v>0</v>
      </c>
      <c r="BT23" s="319">
        <f t="shared" si="29"/>
        <v>0</v>
      </c>
      <c r="BU23" s="319">
        <f t="shared" si="29"/>
        <v>0</v>
      </c>
      <c r="BV23" s="319">
        <f t="shared" si="29"/>
        <v>0</v>
      </c>
      <c r="BW23" s="319">
        <f t="shared" si="29"/>
        <v>0</v>
      </c>
      <c r="BX23" s="319">
        <f t="shared" si="29"/>
        <v>0</v>
      </c>
      <c r="BY23" s="319">
        <f t="shared" si="29"/>
        <v>0</v>
      </c>
      <c r="BZ23" s="319">
        <f t="shared" si="29"/>
        <v>0</v>
      </c>
      <c r="CA23" s="319">
        <f t="shared" si="29"/>
        <v>0</v>
      </c>
      <c r="CB23" s="319">
        <f t="shared" si="29"/>
        <v>0</v>
      </c>
      <c r="CC23" s="319">
        <f t="shared" si="29"/>
        <v>0</v>
      </c>
      <c r="CD23" s="319">
        <f t="shared" si="29"/>
        <v>0</v>
      </c>
      <c r="CE23" s="319">
        <f t="shared" si="29"/>
        <v>0</v>
      </c>
      <c r="CF23" s="319">
        <f t="shared" si="29"/>
        <v>0</v>
      </c>
      <c r="CG23" s="319">
        <f t="shared" si="29"/>
        <v>0</v>
      </c>
      <c r="CH23" s="319">
        <f t="shared" si="29"/>
        <v>0</v>
      </c>
      <c r="CI23" s="319">
        <f t="shared" si="29"/>
        <v>0</v>
      </c>
      <c r="CJ23" s="319">
        <f t="shared" si="29"/>
        <v>0</v>
      </c>
      <c r="CK23" s="319">
        <f t="shared" si="29"/>
        <v>0</v>
      </c>
      <c r="CL23" s="319">
        <f t="shared" si="29"/>
        <v>0</v>
      </c>
      <c r="CM23" s="319">
        <f t="shared" si="29"/>
        <v>0</v>
      </c>
      <c r="CN23" s="319">
        <f t="shared" si="29"/>
        <v>0</v>
      </c>
      <c r="CO23" s="319">
        <f t="shared" si="29"/>
        <v>0</v>
      </c>
      <c r="CP23" s="319">
        <f t="shared" si="29"/>
        <v>0</v>
      </c>
      <c r="CQ23" s="319">
        <f t="shared" si="29"/>
        <v>0</v>
      </c>
      <c r="CR23" s="319">
        <f t="shared" si="29"/>
        <v>0</v>
      </c>
      <c r="CS23" s="319">
        <f t="shared" si="29"/>
        <v>0</v>
      </c>
      <c r="CT23" s="319">
        <f t="shared" si="29"/>
        <v>0</v>
      </c>
      <c r="CU23" s="319">
        <f t="shared" si="29"/>
        <v>0</v>
      </c>
      <c r="CV23" s="319">
        <f t="shared" si="29"/>
        <v>0</v>
      </c>
    </row>
    <row r="24" spans="1:100" x14ac:dyDescent="0.25">
      <c r="A24" s="319">
        <f t="shared" si="3"/>
        <v>0</v>
      </c>
      <c r="B24" s="319">
        <f t="shared" si="13"/>
        <v>0</v>
      </c>
      <c r="C24" s="340" t="s">
        <v>1245</v>
      </c>
      <c r="D24" s="341" t="s">
        <v>352</v>
      </c>
      <c r="E24" s="341">
        <v>10</v>
      </c>
      <c r="F24" s="341" t="str">
        <f>IF(AND(E24&lt;CharacterSheet!$V$34,'House Rules'!$B$2="available",OR('House Rules'!$B$7="Standard",AND('House Rules'!$B$7="Ranked",G23="Yes"))),"Yes","No")</f>
        <v>No</v>
      </c>
      <c r="G24" s="564" t="s">
        <v>347</v>
      </c>
      <c r="H24" s="333" t="str">
        <f>IF(C24="","",VLOOKUP(C24,Boonref2!A:B,2,FALSE))</f>
        <v>No</v>
      </c>
      <c r="I24" s="333"/>
      <c r="J24" s="333" t="str">
        <f>VLOOKUP(C24,BoonRef!A:Z,17,FALSE)</f>
        <v>Yes</v>
      </c>
      <c r="K24" s="333" t="str">
        <f>IF(J24="God",'House Rules'!$B$2,IF(J24="Demi",'House Rules'!$B$1,IF(J24="Comp",'House Rules'!$B$4,IF(J24="Yaz",'House Rules'!$B$5,IF(J24="Rag",'House Rules'!$B$3,"Available")))))</f>
        <v>Available</v>
      </c>
      <c r="L24" s="333"/>
      <c r="M24" s="333"/>
      <c r="N24" s="340" t="s">
        <v>1454</v>
      </c>
      <c r="O24" s="341" t="s">
        <v>182</v>
      </c>
      <c r="P24" s="341" t="str">
        <f>IF('House Rules'!$B$4="Prohibited","No",IF(O24&lt;CharacterSheet!$V$34,"Yes","No"))</f>
        <v>No</v>
      </c>
      <c r="Q24" s="341">
        <v>3</v>
      </c>
      <c r="R24" s="344" t="s">
        <v>346</v>
      </c>
      <c r="S24" s="317"/>
      <c r="T24" s="319">
        <f t="shared" si="26"/>
        <v>0</v>
      </c>
      <c r="U24" s="345" t="s">
        <v>2410</v>
      </c>
      <c r="V24" s="341" t="s">
        <v>1114</v>
      </c>
      <c r="W24" s="346" t="s">
        <v>37</v>
      </c>
      <c r="X24" s="341">
        <v>3</v>
      </c>
      <c r="Y24" s="347" t="str">
        <f>IF(AND($D$2="Arete",CharacterSheet!$E$53&gt;2,CharacterSheet!$V$34&gt;X24,'House Rules'!$B$6="Free",'House Rules'!$D$6=W24),"Free",IF(AND($D$2="Arete",CharacterSheet!$E$53&gt;2,CharacterSheet!$V$34&gt;X24,Z23="Yes"),"Yes","No"))</f>
        <v>No</v>
      </c>
      <c r="Z24" s="572" t="s">
        <v>347</v>
      </c>
      <c r="AA24" s="556"/>
      <c r="AB24" s="319">
        <f t="shared" si="27"/>
        <v>0</v>
      </c>
      <c r="AC24" s="345" t="s">
        <v>2510</v>
      </c>
      <c r="AD24" s="341" t="s">
        <v>1114</v>
      </c>
      <c r="AE24" s="346" t="s">
        <v>47</v>
      </c>
      <c r="AF24" s="341">
        <v>3</v>
      </c>
      <c r="AG24" s="347" t="str">
        <f>IF(AND($D$2="Arete",CharacterSheet!$M$53&gt;2,CharacterSheet!$V$34&gt;AF24,'House Rules'!$B$6="Free",'House Rules'!$D$6=AE24),"Free",IF(AND($D$2="Arete",CharacterSheet!$M$53&gt;2,CharacterSheet!$V$34&gt;AF24,AH23="Yes"),"Yes","No"))</f>
        <v>No</v>
      </c>
      <c r="AH24" s="572" t="s">
        <v>347</v>
      </c>
      <c r="AJ24" s="319">
        <f t="shared" si="28"/>
        <v>0</v>
      </c>
      <c r="AK24" s="345" t="s">
        <v>2610</v>
      </c>
      <c r="AL24" s="341" t="s">
        <v>1114</v>
      </c>
      <c r="AM24" s="346" t="str">
        <f t="shared" ref="AM24" si="31">AM22</f>
        <v>Craft</v>
      </c>
      <c r="AN24" s="341">
        <v>3</v>
      </c>
      <c r="AO24" s="347" t="str">
        <f>IF(AND($D$2="Arete",$AS$37&gt;2,CharacterSheet!$V$34&gt;AN24,'House Rules'!$B$6="Free",'House Rules'!$D$6=AM24),"Free",IF(AND($D$2="Arete",$AS$37&gt;2,CharacterSheet!$V$34&gt;AN24,AP23="Yes"),"Yes","No"))</f>
        <v>No</v>
      </c>
      <c r="AP24" s="348" t="s">
        <v>347</v>
      </c>
      <c r="AR24" s="351" t="s">
        <v>55</v>
      </c>
      <c r="AS24" s="344">
        <f>COUNTIF(AP2:AP11,"Yes")</f>
        <v>0</v>
      </c>
      <c r="AT24" s="444">
        <f>VLOOKUP(AS24,Reference!$D$2:$E$12,2,FALSE)</f>
        <v>0</v>
      </c>
      <c r="BF24" s="319">
        <f t="shared" si="16"/>
        <v>0</v>
      </c>
      <c r="BG24" s="345" t="s">
        <v>2400</v>
      </c>
      <c r="BI24" s="319">
        <f t="shared" si="9"/>
        <v>0</v>
      </c>
      <c r="BJ24" s="319">
        <f t="shared" si="29"/>
        <v>0</v>
      </c>
      <c r="BK24" s="319">
        <f t="shared" si="29"/>
        <v>0</v>
      </c>
      <c r="BL24" s="319">
        <f t="shared" si="29"/>
        <v>0</v>
      </c>
      <c r="BM24" s="319">
        <f t="shared" si="29"/>
        <v>0</v>
      </c>
      <c r="BN24" s="319">
        <f t="shared" si="29"/>
        <v>0</v>
      </c>
      <c r="BO24" s="319">
        <f t="shared" si="29"/>
        <v>0</v>
      </c>
      <c r="BP24" s="319">
        <f t="shared" si="29"/>
        <v>0</v>
      </c>
      <c r="BQ24" s="319">
        <f t="shared" si="29"/>
        <v>0</v>
      </c>
      <c r="BR24" s="319">
        <f t="shared" si="29"/>
        <v>0</v>
      </c>
      <c r="BS24" s="319">
        <f t="shared" si="29"/>
        <v>0</v>
      </c>
      <c r="BT24" s="319">
        <f t="shared" si="29"/>
        <v>0</v>
      </c>
      <c r="BU24" s="319">
        <f t="shared" si="29"/>
        <v>0</v>
      </c>
      <c r="BV24" s="319">
        <f t="shared" si="29"/>
        <v>0</v>
      </c>
      <c r="BW24" s="319">
        <f t="shared" si="29"/>
        <v>0</v>
      </c>
      <c r="BX24" s="319">
        <f t="shared" si="29"/>
        <v>0</v>
      </c>
      <c r="BY24" s="319">
        <f t="shared" si="29"/>
        <v>0</v>
      </c>
      <c r="BZ24" s="319">
        <f t="shared" si="29"/>
        <v>0</v>
      </c>
      <c r="CA24" s="319">
        <f t="shared" si="29"/>
        <v>0</v>
      </c>
      <c r="CB24" s="319">
        <f t="shared" si="29"/>
        <v>0</v>
      </c>
      <c r="CC24" s="319">
        <f t="shared" si="29"/>
        <v>0</v>
      </c>
      <c r="CD24" s="319">
        <f t="shared" si="29"/>
        <v>0</v>
      </c>
      <c r="CE24" s="319">
        <f t="shared" si="29"/>
        <v>0</v>
      </c>
      <c r="CF24" s="319">
        <f t="shared" si="29"/>
        <v>0</v>
      </c>
      <c r="CG24" s="319">
        <f t="shared" si="29"/>
        <v>0</v>
      </c>
      <c r="CH24" s="319">
        <f t="shared" si="29"/>
        <v>0</v>
      </c>
      <c r="CI24" s="319">
        <f t="shared" si="29"/>
        <v>0</v>
      </c>
      <c r="CJ24" s="319">
        <f t="shared" si="29"/>
        <v>0</v>
      </c>
      <c r="CK24" s="319">
        <f t="shared" si="29"/>
        <v>0</v>
      </c>
      <c r="CL24" s="319">
        <f t="shared" si="29"/>
        <v>0</v>
      </c>
      <c r="CM24" s="319">
        <f t="shared" si="29"/>
        <v>0</v>
      </c>
      <c r="CN24" s="319">
        <f t="shared" si="29"/>
        <v>0</v>
      </c>
      <c r="CO24" s="319">
        <f t="shared" si="29"/>
        <v>0</v>
      </c>
      <c r="CP24" s="319">
        <f t="shared" si="29"/>
        <v>0</v>
      </c>
      <c r="CQ24" s="319">
        <f t="shared" si="29"/>
        <v>0</v>
      </c>
      <c r="CR24" s="319">
        <f t="shared" si="29"/>
        <v>0</v>
      </c>
      <c r="CS24" s="319">
        <f t="shared" si="29"/>
        <v>0</v>
      </c>
      <c r="CT24" s="319">
        <f t="shared" si="29"/>
        <v>0</v>
      </c>
      <c r="CU24" s="319">
        <f t="shared" si="29"/>
        <v>0</v>
      </c>
      <c r="CV24" s="319">
        <f t="shared" si="29"/>
        <v>0</v>
      </c>
    </row>
    <row r="25" spans="1:100" ht="15.75" thickBot="1" x14ac:dyDescent="0.3">
      <c r="A25" s="319">
        <f t="shared" si="3"/>
        <v>0</v>
      </c>
      <c r="B25" s="319">
        <f t="shared" si="13"/>
        <v>0</v>
      </c>
      <c r="C25" s="352" t="s">
        <v>1246</v>
      </c>
      <c r="D25" s="353" t="s">
        <v>352</v>
      </c>
      <c r="E25" s="353">
        <v>11</v>
      </c>
      <c r="F25" s="353" t="str">
        <f>IF(AND(E25&lt;CharacterSheet!$V$34,G12="Yes",G13="Yes",G16="Yes",G17="Yes",G18="Yes",OR(G21="Yes",G22="Yes"),G23="Yes",G24="Yes",OR(G14="Yes",G15="Yes"),OR(G19="Yes",G20="Yes")),"Yes","No")</f>
        <v>No</v>
      </c>
      <c r="G25" s="565" t="s">
        <v>347</v>
      </c>
      <c r="H25" s="333" t="str">
        <f>IF(C25="","",VLOOKUP(C25,Boonref2!A:B,2,FALSE))</f>
        <v>No</v>
      </c>
      <c r="I25" s="333"/>
      <c r="J25" s="333" t="str">
        <f>VLOOKUP(C25,BoonRef!A:Z,17,FALSE)</f>
        <v>Yes</v>
      </c>
      <c r="K25" s="333" t="str">
        <f>IF(J25="God",'House Rules'!$B$2,IF(J25="Demi",'House Rules'!$B$1,IF(J25="Comp",'House Rules'!$B$4,IF(J25="Yaz",'House Rules'!$B$5,IF(J25="Rag",'House Rules'!$B$3,"Available")))))</f>
        <v>Available</v>
      </c>
      <c r="L25" s="333"/>
      <c r="M25" s="333"/>
      <c r="N25" s="340" t="s">
        <v>1455</v>
      </c>
      <c r="O25" s="341" t="s">
        <v>182</v>
      </c>
      <c r="P25" s="341" t="str">
        <f>IF('House Rules'!$B$4="Prohibited","No",IF(O25&lt;CharacterSheet!$V$34,"Yes","No"))</f>
        <v>No</v>
      </c>
      <c r="Q25" s="341">
        <v>4</v>
      </c>
      <c r="R25" s="344" t="s">
        <v>346</v>
      </c>
      <c r="S25" s="317"/>
      <c r="T25" s="319">
        <f t="shared" si="26"/>
        <v>0</v>
      </c>
      <c r="U25" s="345" t="s">
        <v>2411</v>
      </c>
      <c r="V25" s="341" t="s">
        <v>1207</v>
      </c>
      <c r="W25" s="346" t="s">
        <v>37</v>
      </c>
      <c r="X25" s="341">
        <v>4</v>
      </c>
      <c r="Y25" s="347" t="str">
        <f>IF(AND($D$2="Arete",CharacterSheet!$E$53&gt;2,CharacterSheet!$V$34&gt;X25,'House Rules'!$B$6="Free",'House Rules'!$D$6=W25),"Free",IF(AND($D$2="Arete",CharacterSheet!$E$53&gt;2,CharacterSheet!$V$34&gt;X25,Z24="Yes"),"Yes","No"))</f>
        <v>No</v>
      </c>
      <c r="Z25" s="572" t="s">
        <v>347</v>
      </c>
      <c r="AA25" s="556"/>
      <c r="AB25" s="319">
        <f t="shared" si="27"/>
        <v>0</v>
      </c>
      <c r="AC25" s="345" t="s">
        <v>2511</v>
      </c>
      <c r="AD25" s="341" t="s">
        <v>1207</v>
      </c>
      <c r="AE25" s="346" t="s">
        <v>47</v>
      </c>
      <c r="AF25" s="341">
        <v>4</v>
      </c>
      <c r="AG25" s="347" t="str">
        <f>IF(AND($D$2="Arete",CharacterSheet!$M$53&gt;2,CharacterSheet!$V$34&gt;AF25,'House Rules'!$B$6="Free",'House Rules'!$D$6=AE25),"Free",IF(AND($D$2="Arete",CharacterSheet!$M$53&gt;2,CharacterSheet!$V$34&gt;AF25,AH24="Yes"),"Yes","No"))</f>
        <v>No</v>
      </c>
      <c r="AH25" s="572" t="s">
        <v>347</v>
      </c>
      <c r="AJ25" s="319">
        <f t="shared" si="28"/>
        <v>0</v>
      </c>
      <c r="AK25" s="345" t="s">
        <v>2611</v>
      </c>
      <c r="AL25" s="341" t="s">
        <v>1207</v>
      </c>
      <c r="AM25" s="346" t="str">
        <f t="shared" ref="AM25" si="32">AM22</f>
        <v>Craft</v>
      </c>
      <c r="AN25" s="341">
        <v>4</v>
      </c>
      <c r="AO25" s="347" t="str">
        <f>IF(AND($D$2="Arete",$AS$37&gt;2,CharacterSheet!$V$34&gt;AN25,'House Rules'!$B$6="Free",'House Rules'!$D$6=AM25),"Free",IF(AND($D$2="Arete",$AS$37&gt;2,CharacterSheet!$V$34&gt;AN25,AP24="Yes"),"Yes","No"))</f>
        <v>No</v>
      </c>
      <c r="AP25" s="348" t="s">
        <v>347</v>
      </c>
      <c r="AR25" s="351" t="s">
        <v>56</v>
      </c>
      <c r="AS25" s="344">
        <f>COUNTIF(AP12:AP21,"Yes")</f>
        <v>0</v>
      </c>
      <c r="AT25" s="444">
        <f>VLOOKUP(AS25,Reference!$D$2:$E$12,2,FALSE)</f>
        <v>0</v>
      </c>
      <c r="BF25" s="319">
        <f t="shared" si="16"/>
        <v>0</v>
      </c>
      <c r="BG25" s="345" t="s">
        <v>2401</v>
      </c>
      <c r="BI25" s="319">
        <f t="shared" si="9"/>
        <v>0</v>
      </c>
      <c r="BJ25" s="319">
        <f t="shared" si="29"/>
        <v>0</v>
      </c>
      <c r="BK25" s="319">
        <f t="shared" si="29"/>
        <v>0</v>
      </c>
      <c r="BL25" s="319">
        <f t="shared" si="29"/>
        <v>0</v>
      </c>
      <c r="BM25" s="319">
        <f t="shared" si="29"/>
        <v>0</v>
      </c>
      <c r="BN25" s="319">
        <f t="shared" si="29"/>
        <v>0</v>
      </c>
      <c r="BO25" s="319">
        <f t="shared" si="29"/>
        <v>0</v>
      </c>
      <c r="BP25" s="319">
        <f t="shared" si="29"/>
        <v>0</v>
      </c>
      <c r="BQ25" s="319">
        <f t="shared" si="29"/>
        <v>0</v>
      </c>
      <c r="BR25" s="319">
        <f t="shared" si="29"/>
        <v>0</v>
      </c>
      <c r="BS25" s="319">
        <f t="shared" si="29"/>
        <v>0</v>
      </c>
      <c r="BT25" s="319">
        <f t="shared" si="29"/>
        <v>0</v>
      </c>
      <c r="BU25" s="319">
        <f t="shared" si="29"/>
        <v>0</v>
      </c>
      <c r="BV25" s="319">
        <f t="shared" si="29"/>
        <v>0</v>
      </c>
      <c r="BW25" s="319">
        <f t="shared" si="29"/>
        <v>0</v>
      </c>
      <c r="BX25" s="319">
        <f t="shared" si="29"/>
        <v>0</v>
      </c>
      <c r="BY25" s="319">
        <f t="shared" si="29"/>
        <v>0</v>
      </c>
      <c r="BZ25" s="319">
        <f t="shared" si="29"/>
        <v>0</v>
      </c>
      <c r="CA25" s="319">
        <f t="shared" si="29"/>
        <v>0</v>
      </c>
      <c r="CB25" s="319">
        <f t="shared" si="29"/>
        <v>0</v>
      </c>
      <c r="CC25" s="319">
        <f t="shared" si="29"/>
        <v>0</v>
      </c>
      <c r="CD25" s="319">
        <f t="shared" si="29"/>
        <v>0</v>
      </c>
      <c r="CE25" s="319">
        <f t="shared" si="29"/>
        <v>0</v>
      </c>
      <c r="CF25" s="319">
        <f t="shared" si="29"/>
        <v>0</v>
      </c>
      <c r="CG25" s="319">
        <f t="shared" si="29"/>
        <v>0</v>
      </c>
      <c r="CH25" s="319">
        <f t="shared" si="29"/>
        <v>0</v>
      </c>
      <c r="CI25" s="319">
        <f t="shared" si="29"/>
        <v>0</v>
      </c>
      <c r="CJ25" s="319">
        <f t="shared" si="29"/>
        <v>0</v>
      </c>
      <c r="CK25" s="319">
        <f t="shared" si="29"/>
        <v>0</v>
      </c>
      <c r="CL25" s="319">
        <f t="shared" si="29"/>
        <v>0</v>
      </c>
      <c r="CM25" s="319">
        <f t="shared" si="29"/>
        <v>0</v>
      </c>
      <c r="CN25" s="319">
        <f t="shared" si="29"/>
        <v>0</v>
      </c>
      <c r="CO25" s="319">
        <f t="shared" si="29"/>
        <v>0</v>
      </c>
      <c r="CP25" s="319">
        <f t="shared" si="29"/>
        <v>0</v>
      </c>
      <c r="CQ25" s="319">
        <f t="shared" si="29"/>
        <v>0</v>
      </c>
      <c r="CR25" s="319">
        <f t="shared" si="29"/>
        <v>0</v>
      </c>
      <c r="CS25" s="319">
        <f t="shared" si="29"/>
        <v>0</v>
      </c>
      <c r="CT25" s="319">
        <f t="shared" si="29"/>
        <v>0</v>
      </c>
      <c r="CU25" s="319">
        <f t="shared" si="29"/>
        <v>0</v>
      </c>
      <c r="CV25" s="319">
        <f t="shared" si="29"/>
        <v>0</v>
      </c>
    </row>
    <row r="26" spans="1:100" x14ac:dyDescent="0.25">
      <c r="A26" s="319">
        <f t="shared" si="3"/>
        <v>0</v>
      </c>
      <c r="B26" s="319">
        <f t="shared" si="13"/>
        <v>0</v>
      </c>
      <c r="C26" s="330" t="s">
        <v>1067</v>
      </c>
      <c r="D26" s="331" t="s">
        <v>353</v>
      </c>
      <c r="E26" s="331">
        <v>1</v>
      </c>
      <c r="F26" s="331" t="str">
        <f>IF(E26&lt;CharacterSheet!$V$34,"Yes","No")</f>
        <v>Yes</v>
      </c>
      <c r="G26" s="563" t="s">
        <v>347</v>
      </c>
      <c r="H26" s="333" t="str">
        <f>IF(C26="","",VLOOKUP(C26,Boonref2!A:B,2,FALSE))</f>
        <v>No</v>
      </c>
      <c r="I26" s="333"/>
      <c r="J26" s="333" t="str">
        <f>VLOOKUP(C26,BoonRef!A:Z,17,FALSE)</f>
        <v>Yes</v>
      </c>
      <c r="K26" s="333" t="str">
        <f>IF(J26="God",'House Rules'!$B$2,IF(J26="Demi",'House Rules'!$B$1,IF(J26="Comp",'House Rules'!$B$4,IF(J26="Yaz",'House Rules'!$B$5,IF(J26="Rag",'House Rules'!$B$3,"Available")))))</f>
        <v>Available</v>
      </c>
      <c r="L26" s="333"/>
      <c r="M26" s="333"/>
      <c r="N26" s="340" t="s">
        <v>1456</v>
      </c>
      <c r="O26" s="341" t="s">
        <v>182</v>
      </c>
      <c r="P26" s="341" t="str">
        <f>IF('House Rules'!$B$4="Prohibited","No",IF(O26&lt;CharacterSheet!$V$34,"Yes","No"))</f>
        <v>No</v>
      </c>
      <c r="Q26" s="341">
        <v>5</v>
      </c>
      <c r="R26" s="344" t="s">
        <v>346</v>
      </c>
      <c r="S26" s="317"/>
      <c r="T26" s="319">
        <f t="shared" si="26"/>
        <v>0</v>
      </c>
      <c r="U26" s="345" t="s">
        <v>2412</v>
      </c>
      <c r="V26" s="341" t="s">
        <v>1208</v>
      </c>
      <c r="W26" s="346" t="s">
        <v>37</v>
      </c>
      <c r="X26" s="341">
        <v>5</v>
      </c>
      <c r="Y26" s="347" t="str">
        <f>IF(AND($D$2="Arete",CharacterSheet!$E$53&gt;2,CharacterSheet!$V$34&gt;X26,'House Rules'!$B$6="Free",'House Rules'!$D$6=W26),"Free",IF(AND($D$2="Arete",CharacterSheet!$E$53&gt;2,CharacterSheet!$V$34&gt;X26,Z25="Yes"),"Yes","No"))</f>
        <v>No</v>
      </c>
      <c r="Z26" s="572" t="s">
        <v>347</v>
      </c>
      <c r="AA26" s="556"/>
      <c r="AB26" s="319">
        <f t="shared" si="27"/>
        <v>0</v>
      </c>
      <c r="AC26" s="345" t="s">
        <v>2512</v>
      </c>
      <c r="AD26" s="341" t="s">
        <v>1208</v>
      </c>
      <c r="AE26" s="346" t="s">
        <v>47</v>
      </c>
      <c r="AF26" s="341">
        <v>5</v>
      </c>
      <c r="AG26" s="347" t="str">
        <f>IF(AND($D$2="Arete",CharacterSheet!$M$53&gt;2,CharacterSheet!$V$34&gt;AF26,'House Rules'!$B$6="Free",'House Rules'!$D$6=AE26),"Free",IF(AND($D$2="Arete",CharacterSheet!$M$53&gt;2,CharacterSheet!$V$34&gt;AF26,AH25="Yes"),"Yes","No"))</f>
        <v>No</v>
      </c>
      <c r="AH26" s="572" t="s">
        <v>347</v>
      </c>
      <c r="AJ26" s="319">
        <f t="shared" si="28"/>
        <v>0</v>
      </c>
      <c r="AK26" s="345" t="s">
        <v>2612</v>
      </c>
      <c r="AL26" s="341" t="s">
        <v>1208</v>
      </c>
      <c r="AM26" s="346" t="str">
        <f t="shared" ref="AM26" si="33">AM22</f>
        <v>Craft</v>
      </c>
      <c r="AN26" s="341">
        <v>5</v>
      </c>
      <c r="AO26" s="347" t="str">
        <f>IF(AND($D$2="Arete",$AS$37&gt;2,CharacterSheet!$V$34&gt;AN26,'House Rules'!$B$6="Free",'House Rules'!$D$6=AM26),"Free",IF(AND($D$2="Arete",$AS$37&gt;2,CharacterSheet!$V$34&gt;AN26,AP25="Yes"),"Yes","No"))</f>
        <v>No</v>
      </c>
      <c r="AP26" s="348" t="s">
        <v>347</v>
      </c>
      <c r="AR26" s="351" t="s">
        <v>57</v>
      </c>
      <c r="AS26" s="344">
        <f>COUNTIF(AP22:AP31,"Yes")</f>
        <v>0</v>
      </c>
      <c r="AT26" s="444">
        <f>VLOOKUP(AS26,Reference!$D$2:$E$12,2,FALSE)</f>
        <v>0</v>
      </c>
      <c r="BF26" s="319">
        <f t="shared" si="16"/>
        <v>0</v>
      </c>
      <c r="BG26" s="345" t="s">
        <v>2402</v>
      </c>
      <c r="BI26" s="319">
        <f t="shared" si="9"/>
        <v>0</v>
      </c>
      <c r="BJ26" s="319">
        <f t="shared" si="29"/>
        <v>0</v>
      </c>
      <c r="BK26" s="319">
        <f t="shared" si="29"/>
        <v>0</v>
      </c>
      <c r="BL26" s="319">
        <f t="shared" si="29"/>
        <v>0</v>
      </c>
      <c r="BM26" s="319">
        <f t="shared" si="29"/>
        <v>0</v>
      </c>
      <c r="BN26" s="319">
        <f t="shared" si="29"/>
        <v>0</v>
      </c>
      <c r="BO26" s="319">
        <f t="shared" si="29"/>
        <v>0</v>
      </c>
      <c r="BP26" s="319">
        <f t="shared" si="29"/>
        <v>0</v>
      </c>
      <c r="BQ26" s="319">
        <f t="shared" si="29"/>
        <v>0</v>
      </c>
      <c r="BR26" s="319">
        <f t="shared" si="29"/>
        <v>0</v>
      </c>
      <c r="BS26" s="319">
        <f t="shared" si="29"/>
        <v>0</v>
      </c>
      <c r="BT26" s="319">
        <f t="shared" si="29"/>
        <v>0</v>
      </c>
      <c r="BU26" s="319">
        <f t="shared" si="29"/>
        <v>0</v>
      </c>
      <c r="BV26" s="319">
        <f t="shared" si="29"/>
        <v>0</v>
      </c>
      <c r="BW26" s="319">
        <f t="shared" si="29"/>
        <v>0</v>
      </c>
      <c r="BX26" s="319">
        <f t="shared" si="29"/>
        <v>0</v>
      </c>
      <c r="BY26" s="319">
        <f t="shared" si="29"/>
        <v>0</v>
      </c>
      <c r="BZ26" s="319">
        <f t="shared" si="29"/>
        <v>0</v>
      </c>
      <c r="CA26" s="319">
        <f t="shared" si="29"/>
        <v>0</v>
      </c>
      <c r="CB26" s="319">
        <f t="shared" si="29"/>
        <v>0</v>
      </c>
      <c r="CC26" s="319">
        <f t="shared" si="29"/>
        <v>0</v>
      </c>
      <c r="CD26" s="319">
        <f t="shared" si="29"/>
        <v>0</v>
      </c>
      <c r="CE26" s="319">
        <f t="shared" si="29"/>
        <v>0</v>
      </c>
      <c r="CF26" s="319">
        <f t="shared" si="29"/>
        <v>0</v>
      </c>
      <c r="CG26" s="319">
        <f t="shared" si="29"/>
        <v>0</v>
      </c>
      <c r="CH26" s="319">
        <f t="shared" si="29"/>
        <v>0</v>
      </c>
      <c r="CI26" s="319">
        <f t="shared" si="29"/>
        <v>0</v>
      </c>
      <c r="CJ26" s="319">
        <f t="shared" si="29"/>
        <v>0</v>
      </c>
      <c r="CK26" s="319">
        <f t="shared" si="29"/>
        <v>0</v>
      </c>
      <c r="CL26" s="319">
        <f t="shared" si="29"/>
        <v>0</v>
      </c>
      <c r="CM26" s="319">
        <f t="shared" si="29"/>
        <v>0</v>
      </c>
      <c r="CN26" s="319">
        <f t="shared" si="29"/>
        <v>0</v>
      </c>
      <c r="CO26" s="319">
        <f t="shared" si="29"/>
        <v>0</v>
      </c>
      <c r="CP26" s="319">
        <f t="shared" si="29"/>
        <v>0</v>
      </c>
      <c r="CQ26" s="319">
        <f t="shared" si="29"/>
        <v>0</v>
      </c>
      <c r="CR26" s="319">
        <f t="shared" si="29"/>
        <v>0</v>
      </c>
      <c r="CS26" s="319">
        <f t="shared" si="29"/>
        <v>0</v>
      </c>
      <c r="CT26" s="319">
        <f t="shared" si="29"/>
        <v>0</v>
      </c>
      <c r="CU26" s="319">
        <f t="shared" si="29"/>
        <v>0</v>
      </c>
      <c r="CV26" s="319">
        <f t="shared" si="29"/>
        <v>0</v>
      </c>
    </row>
    <row r="27" spans="1:100" x14ac:dyDescent="0.25">
      <c r="A27" s="319">
        <f t="shared" si="3"/>
        <v>0</v>
      </c>
      <c r="B27" s="319">
        <f t="shared" si="13"/>
        <v>0</v>
      </c>
      <c r="C27" s="340" t="s">
        <v>1068</v>
      </c>
      <c r="D27" s="341" t="s">
        <v>353</v>
      </c>
      <c r="E27" s="341">
        <v>2</v>
      </c>
      <c r="F27" s="341" t="str">
        <f>IF(AND(E27&lt;CharacterSheet!$V$34,OR('House Rules'!$B$7="Standard",AND('House Rules'!$B$7="Ranked",G26="Yes"))),"Yes","No")</f>
        <v>No</v>
      </c>
      <c r="G27" s="564" t="s">
        <v>347</v>
      </c>
      <c r="H27" s="333" t="str">
        <f>IF(C27="","",VLOOKUP(C27,Boonref2!A:B,2,FALSE))</f>
        <v>Yes</v>
      </c>
      <c r="I27" s="333"/>
      <c r="J27" s="333" t="str">
        <f>VLOOKUP(C27,BoonRef!A:Z,17,FALSE)</f>
        <v>Yes</v>
      </c>
      <c r="K27" s="333" t="str">
        <f>IF(J27="God",'House Rules'!$B$2,IF(J27="Demi",'House Rules'!$B$1,IF(J27="Comp",'House Rules'!$B$4,IF(J27="Yaz",'House Rules'!$B$5,IF(J27="Rag",'House Rules'!$B$3,"Available")))))</f>
        <v>Available</v>
      </c>
      <c r="L27" s="333"/>
      <c r="M27" s="333"/>
      <c r="N27" s="340" t="s">
        <v>1457</v>
      </c>
      <c r="O27" s="341" t="s">
        <v>182</v>
      </c>
      <c r="P27" s="341" t="str">
        <f>IF('House Rules'!$B$4="Prohibited","No",IF(O27&lt;CharacterSheet!$V$34,"Yes","No"))</f>
        <v>No</v>
      </c>
      <c r="Q27" s="341">
        <v>6</v>
      </c>
      <c r="R27" s="344" t="s">
        <v>346</v>
      </c>
      <c r="S27" s="317"/>
      <c r="T27" s="319">
        <f t="shared" si="26"/>
        <v>0</v>
      </c>
      <c r="U27" s="345" t="s">
        <v>2413</v>
      </c>
      <c r="V27" s="341" t="s">
        <v>1209</v>
      </c>
      <c r="W27" s="346" t="s">
        <v>37</v>
      </c>
      <c r="X27" s="341">
        <v>6</v>
      </c>
      <c r="Y27" s="347" t="str">
        <f>IF(AND($D$2="Arete",CharacterSheet!$E$53&gt;2,CharacterSheet!$V$34&gt;X27,'House Rules'!$B$6="Free",'House Rules'!$D$6=W27),"Free",IF(AND($D$2="Arete",CharacterSheet!$E$53&gt;2,CharacterSheet!$V$34&gt;X27,Z26="Yes"),"Yes","No"))</f>
        <v>No</v>
      </c>
      <c r="Z27" s="572" t="s">
        <v>347</v>
      </c>
      <c r="AA27" s="556"/>
      <c r="AB27" s="319">
        <f t="shared" si="27"/>
        <v>0</v>
      </c>
      <c r="AC27" s="345" t="s">
        <v>2513</v>
      </c>
      <c r="AD27" s="341" t="s">
        <v>1209</v>
      </c>
      <c r="AE27" s="346" t="s">
        <v>47</v>
      </c>
      <c r="AF27" s="341">
        <v>6</v>
      </c>
      <c r="AG27" s="347" t="str">
        <f>IF(AND($D$2="Arete",CharacterSheet!$M$53&gt;2,CharacterSheet!$V$34&gt;AF27,'House Rules'!$B$6="Free",'House Rules'!$D$6=AE27),"Free",IF(AND($D$2="Arete",CharacterSheet!$M$53&gt;2,CharacterSheet!$V$34&gt;AF27,AH26="Yes"),"Yes","No"))</f>
        <v>No</v>
      </c>
      <c r="AH27" s="572" t="s">
        <v>347</v>
      </c>
      <c r="AJ27" s="319">
        <f t="shared" si="28"/>
        <v>0</v>
      </c>
      <c r="AK27" s="345" t="s">
        <v>2613</v>
      </c>
      <c r="AL27" s="341" t="s">
        <v>1209</v>
      </c>
      <c r="AM27" s="346" t="str">
        <f t="shared" ref="AM27" si="34">AM22</f>
        <v>Craft</v>
      </c>
      <c r="AN27" s="341">
        <v>6</v>
      </c>
      <c r="AO27" s="347" t="str">
        <f>IF(AND($D$2="Arete",$AS$37&gt;2,CharacterSheet!$V$34&gt;AN27,'House Rules'!$B$6="Free",'House Rules'!$D$6=AM27),"Free",IF(AND($D$2="Arete",$AS$37&gt;2,CharacterSheet!$V$34&gt;AN27,AP26="Yes"),"Yes","No"))</f>
        <v>No</v>
      </c>
      <c r="AP27" s="348" t="s">
        <v>347</v>
      </c>
      <c r="AR27" s="351" t="s">
        <v>58</v>
      </c>
      <c r="AS27" s="344">
        <f>COUNTIF(AP32:AP41,"Yes")</f>
        <v>0</v>
      </c>
      <c r="AT27" s="444">
        <f>VLOOKUP(AS27,Reference!$D$2:$E$12,2,FALSE)</f>
        <v>0</v>
      </c>
      <c r="BF27" s="319">
        <f t="shared" si="16"/>
        <v>0</v>
      </c>
      <c r="BG27" s="345" t="s">
        <v>2403</v>
      </c>
      <c r="BI27" s="319">
        <f t="shared" si="9"/>
        <v>0</v>
      </c>
      <c r="BJ27" s="319">
        <f t="shared" si="29"/>
        <v>0</v>
      </c>
      <c r="BK27" s="319">
        <f t="shared" si="29"/>
        <v>0</v>
      </c>
      <c r="BL27" s="319">
        <f t="shared" si="29"/>
        <v>0</v>
      </c>
      <c r="BM27" s="319">
        <f t="shared" si="29"/>
        <v>0</v>
      </c>
      <c r="BN27" s="319">
        <f t="shared" si="29"/>
        <v>0</v>
      </c>
      <c r="BO27" s="319">
        <f t="shared" si="29"/>
        <v>0</v>
      </c>
      <c r="BP27" s="319">
        <f t="shared" si="29"/>
        <v>0</v>
      </c>
      <c r="BQ27" s="319">
        <f t="shared" si="29"/>
        <v>0</v>
      </c>
      <c r="BR27" s="319">
        <f t="shared" si="29"/>
        <v>0</v>
      </c>
      <c r="BS27" s="319">
        <f t="shared" si="29"/>
        <v>0</v>
      </c>
      <c r="BT27" s="319">
        <f t="shared" si="29"/>
        <v>0</v>
      </c>
      <c r="BU27" s="319">
        <f t="shared" si="29"/>
        <v>0</v>
      </c>
      <c r="BV27" s="319">
        <f t="shared" si="29"/>
        <v>0</v>
      </c>
      <c r="BW27" s="319">
        <f t="shared" si="29"/>
        <v>0</v>
      </c>
      <c r="BX27" s="319">
        <f t="shared" si="29"/>
        <v>0</v>
      </c>
      <c r="BY27" s="319">
        <f t="shared" si="29"/>
        <v>0</v>
      </c>
      <c r="BZ27" s="319">
        <f t="shared" si="29"/>
        <v>0</v>
      </c>
      <c r="CA27" s="319">
        <f t="shared" si="29"/>
        <v>0</v>
      </c>
      <c r="CB27" s="319">
        <f t="shared" si="29"/>
        <v>0</v>
      </c>
      <c r="CC27" s="319">
        <f t="shared" si="29"/>
        <v>0</v>
      </c>
      <c r="CD27" s="319">
        <f t="shared" si="29"/>
        <v>0</v>
      </c>
      <c r="CE27" s="319">
        <f t="shared" si="29"/>
        <v>0</v>
      </c>
      <c r="CF27" s="319">
        <f t="shared" si="29"/>
        <v>0</v>
      </c>
      <c r="CG27" s="319">
        <f t="shared" si="29"/>
        <v>0</v>
      </c>
      <c r="CH27" s="319">
        <f t="shared" si="29"/>
        <v>0</v>
      </c>
      <c r="CI27" s="319">
        <f t="shared" si="29"/>
        <v>0</v>
      </c>
      <c r="CJ27" s="319">
        <f t="shared" si="29"/>
        <v>0</v>
      </c>
      <c r="CK27" s="319">
        <f t="shared" si="29"/>
        <v>0</v>
      </c>
      <c r="CL27" s="319">
        <f t="shared" si="29"/>
        <v>0</v>
      </c>
      <c r="CM27" s="319">
        <f t="shared" si="29"/>
        <v>0</v>
      </c>
      <c r="CN27" s="319">
        <f t="shared" si="29"/>
        <v>0</v>
      </c>
      <c r="CO27" s="319">
        <f t="shared" si="29"/>
        <v>0</v>
      </c>
      <c r="CP27" s="319">
        <f t="shared" si="29"/>
        <v>0</v>
      </c>
      <c r="CQ27" s="319">
        <f t="shared" si="29"/>
        <v>0</v>
      </c>
      <c r="CR27" s="319">
        <f t="shared" si="29"/>
        <v>0</v>
      </c>
      <c r="CS27" s="319">
        <f t="shared" si="29"/>
        <v>0</v>
      </c>
      <c r="CT27" s="319">
        <f t="shared" si="29"/>
        <v>0</v>
      </c>
      <c r="CU27" s="319">
        <f t="shared" si="29"/>
        <v>0</v>
      </c>
      <c r="CV27" s="319">
        <f t="shared" si="29"/>
        <v>0</v>
      </c>
    </row>
    <row r="28" spans="1:100" x14ac:dyDescent="0.25">
      <c r="A28" s="319">
        <f t="shared" si="3"/>
        <v>0</v>
      </c>
      <c r="B28" s="319">
        <f t="shared" si="13"/>
        <v>0</v>
      </c>
      <c r="C28" s="340" t="s">
        <v>1069</v>
      </c>
      <c r="D28" s="341" t="s">
        <v>353</v>
      </c>
      <c r="E28" s="341">
        <v>3</v>
      </c>
      <c r="F28" s="341" t="str">
        <f>IF(AND(E28&lt;CharacterSheet!$V$34,OR('House Rules'!$B$7="Standard",AND('House Rules'!$B$7="Ranked",G27="Yes"))),"Yes","No")</f>
        <v>No</v>
      </c>
      <c r="G28" s="564" t="s">
        <v>347</v>
      </c>
      <c r="H28" s="333" t="str">
        <f>IF(C28="","",VLOOKUP(C28,Boonref2!A:B,2,FALSE))</f>
        <v>Yes</v>
      </c>
      <c r="I28" s="333"/>
      <c r="J28" s="333" t="str">
        <f>VLOOKUP(C28,BoonRef!A:Z,17,FALSE)</f>
        <v>Yes</v>
      </c>
      <c r="K28" s="333" t="str">
        <f>IF(J28="God",'House Rules'!$B$2,IF(J28="Demi",'House Rules'!$B$1,IF(J28="Comp",'House Rules'!$B$4,IF(J28="Yaz",'House Rules'!$B$5,IF(J28="Rag",'House Rules'!$B$3,"Available")))))</f>
        <v>Available</v>
      </c>
      <c r="L28" s="333"/>
      <c r="M28" s="333"/>
      <c r="N28" s="340" t="s">
        <v>1458</v>
      </c>
      <c r="O28" s="341" t="s">
        <v>182</v>
      </c>
      <c r="P28" s="341" t="str">
        <f>IF('House Rules'!$B$4="Prohibited","No",IF(O28&lt;CharacterSheet!$V$34,"Yes","No"))</f>
        <v>No</v>
      </c>
      <c r="Q28" s="341">
        <v>7</v>
      </c>
      <c r="R28" s="344" t="s">
        <v>346</v>
      </c>
      <c r="S28" s="317"/>
      <c r="T28" s="319">
        <f t="shared" si="26"/>
        <v>0</v>
      </c>
      <c r="U28" s="345" t="s">
        <v>2414</v>
      </c>
      <c r="V28" s="341" t="s">
        <v>1210</v>
      </c>
      <c r="W28" s="346" t="s">
        <v>37</v>
      </c>
      <c r="X28" s="341">
        <v>7</v>
      </c>
      <c r="Y28" s="347" t="str">
        <f>IF(AND($D$2="Arete",CharacterSheet!$E$53&gt;2,CharacterSheet!$V$34&gt;X28,'House Rules'!$B$6="Free",'House Rules'!$D$6=W28),"Free",IF(AND($D$2="Arete",CharacterSheet!$E$53&gt;2,CharacterSheet!$V$34&gt;X28,Z27="Yes"),"Yes","No"))</f>
        <v>No</v>
      </c>
      <c r="Z28" s="572" t="s">
        <v>347</v>
      </c>
      <c r="AA28" s="556"/>
      <c r="AB28" s="319">
        <f t="shared" si="27"/>
        <v>0</v>
      </c>
      <c r="AC28" s="345" t="s">
        <v>2514</v>
      </c>
      <c r="AD28" s="341" t="s">
        <v>1210</v>
      </c>
      <c r="AE28" s="346" t="s">
        <v>47</v>
      </c>
      <c r="AF28" s="341">
        <v>7</v>
      </c>
      <c r="AG28" s="347" t="str">
        <f>IF(AND($D$2="Arete",CharacterSheet!$M$53&gt;2,CharacterSheet!$V$34&gt;AF28,'House Rules'!$B$6="Free",'House Rules'!$D$6=AE28),"Free",IF(AND($D$2="Arete",CharacterSheet!$M$53&gt;2,CharacterSheet!$V$34&gt;AF28,AH27="Yes"),"Yes","No"))</f>
        <v>No</v>
      </c>
      <c r="AH28" s="572" t="s">
        <v>347</v>
      </c>
      <c r="AJ28" s="319">
        <f t="shared" si="28"/>
        <v>0</v>
      </c>
      <c r="AK28" s="345" t="s">
        <v>2614</v>
      </c>
      <c r="AL28" s="341" t="s">
        <v>1210</v>
      </c>
      <c r="AM28" s="346" t="str">
        <f t="shared" ref="AM28" si="35">AM22</f>
        <v>Craft</v>
      </c>
      <c r="AN28" s="341">
        <v>7</v>
      </c>
      <c r="AO28" s="347" t="str">
        <f>IF(AND($D$2="Arete",$AS$37&gt;2,CharacterSheet!$V$34&gt;AN28,'House Rules'!$B$6="Free",'House Rules'!$D$6=AM28),"Free",IF(AND($D$2="Arete",$AS$37&gt;2,CharacterSheet!$V$34&gt;AN28,AP27="Yes"),"Yes","No"))</f>
        <v>No</v>
      </c>
      <c r="AP28" s="348" t="s">
        <v>347</v>
      </c>
      <c r="BF28" s="319">
        <f t="shared" si="16"/>
        <v>0</v>
      </c>
      <c r="BG28" s="345" t="s">
        <v>2404</v>
      </c>
      <c r="BI28" s="319">
        <f t="shared" si="9"/>
        <v>0</v>
      </c>
      <c r="BJ28" s="319">
        <f t="shared" si="29"/>
        <v>0</v>
      </c>
      <c r="BK28" s="319">
        <f t="shared" si="29"/>
        <v>0</v>
      </c>
      <c r="BL28" s="319">
        <f t="shared" si="29"/>
        <v>0</v>
      </c>
      <c r="BM28" s="319">
        <f t="shared" si="29"/>
        <v>0</v>
      </c>
      <c r="BN28" s="319">
        <f t="shared" si="29"/>
        <v>0</v>
      </c>
      <c r="BO28" s="319">
        <f t="shared" si="29"/>
        <v>0</v>
      </c>
      <c r="BP28" s="319">
        <f t="shared" si="29"/>
        <v>0</v>
      </c>
      <c r="BQ28" s="319">
        <f t="shared" si="29"/>
        <v>0</v>
      </c>
      <c r="BR28" s="319">
        <f t="shared" si="29"/>
        <v>0</v>
      </c>
      <c r="BS28" s="319">
        <f t="shared" si="29"/>
        <v>0</v>
      </c>
      <c r="BT28" s="319">
        <f t="shared" si="29"/>
        <v>0</v>
      </c>
      <c r="BU28" s="319">
        <f t="shared" si="29"/>
        <v>0</v>
      </c>
      <c r="BV28" s="319">
        <f t="shared" si="29"/>
        <v>0</v>
      </c>
      <c r="BW28" s="319">
        <f t="shared" si="29"/>
        <v>0</v>
      </c>
      <c r="BX28" s="319">
        <f t="shared" si="29"/>
        <v>0</v>
      </c>
      <c r="BY28" s="319">
        <f t="shared" si="29"/>
        <v>0</v>
      </c>
      <c r="BZ28" s="319">
        <f t="shared" si="29"/>
        <v>0</v>
      </c>
      <c r="CA28" s="319">
        <f t="shared" si="29"/>
        <v>0</v>
      </c>
      <c r="CB28" s="319">
        <f t="shared" si="29"/>
        <v>0</v>
      </c>
      <c r="CC28" s="319">
        <f t="shared" si="29"/>
        <v>0</v>
      </c>
      <c r="CD28" s="319">
        <f t="shared" si="29"/>
        <v>0</v>
      </c>
      <c r="CE28" s="319">
        <f t="shared" ref="BJ28:CV35" si="36">IF(AND($D28=CE$1,$G28="Yes"),$E28,0)</f>
        <v>0</v>
      </c>
      <c r="CF28" s="319">
        <f t="shared" si="36"/>
        <v>0</v>
      </c>
      <c r="CG28" s="319">
        <f t="shared" si="36"/>
        <v>0</v>
      </c>
      <c r="CH28" s="319">
        <f t="shared" si="36"/>
        <v>0</v>
      </c>
      <c r="CI28" s="319">
        <f t="shared" si="36"/>
        <v>0</v>
      </c>
      <c r="CJ28" s="319">
        <f t="shared" si="36"/>
        <v>0</v>
      </c>
      <c r="CK28" s="319">
        <f t="shared" si="36"/>
        <v>0</v>
      </c>
      <c r="CL28" s="319">
        <f t="shared" si="36"/>
        <v>0</v>
      </c>
      <c r="CM28" s="319">
        <f t="shared" si="36"/>
        <v>0</v>
      </c>
      <c r="CN28" s="319">
        <f t="shared" si="36"/>
        <v>0</v>
      </c>
      <c r="CO28" s="319">
        <f t="shared" si="36"/>
        <v>0</v>
      </c>
      <c r="CP28" s="319">
        <f t="shared" si="36"/>
        <v>0</v>
      </c>
      <c r="CQ28" s="319">
        <f t="shared" si="36"/>
        <v>0</v>
      </c>
      <c r="CR28" s="319">
        <f t="shared" si="36"/>
        <v>0</v>
      </c>
      <c r="CS28" s="319">
        <f t="shared" si="36"/>
        <v>0</v>
      </c>
      <c r="CT28" s="319">
        <f t="shared" si="36"/>
        <v>0</v>
      </c>
      <c r="CU28" s="319">
        <f t="shared" si="36"/>
        <v>0</v>
      </c>
      <c r="CV28" s="319">
        <f t="shared" si="36"/>
        <v>0</v>
      </c>
    </row>
    <row r="29" spans="1:100" x14ac:dyDescent="0.25">
      <c r="A29" s="319">
        <f t="shared" si="3"/>
        <v>0</v>
      </c>
      <c r="B29" s="319">
        <f t="shared" si="13"/>
        <v>0</v>
      </c>
      <c r="C29" s="340" t="s">
        <v>1147</v>
      </c>
      <c r="D29" s="341" t="s">
        <v>353</v>
      </c>
      <c r="E29" s="341">
        <v>4</v>
      </c>
      <c r="F29" s="341" t="str">
        <f>IF(AND(E29&lt;CharacterSheet!$V$34,'House Rules'!$B$1="Available",OR('House Rules'!$B$7="Standard",AND('House Rules'!$B$7="Ranked",G28="Yes"))),"Yes","No")</f>
        <v>No</v>
      </c>
      <c r="G29" s="564" t="s">
        <v>347</v>
      </c>
      <c r="H29" s="333" t="str">
        <f>IF(C29="","",VLOOKUP(C29,Boonref2!A:B,2,FALSE))</f>
        <v>Yes</v>
      </c>
      <c r="I29" s="333"/>
      <c r="J29" s="333" t="str">
        <f>VLOOKUP(C29,BoonRef!A:Z,17,FALSE)</f>
        <v>Yes</v>
      </c>
      <c r="K29" s="333" t="str">
        <f>IF(J29="God",'House Rules'!$B$2,IF(J29="Demi",'House Rules'!$B$1,IF(J29="Comp",'House Rules'!$B$4,IF(J29="Yaz",'House Rules'!$B$5,IF(J29="Rag",'House Rules'!$B$3,"Available")))))</f>
        <v>Available</v>
      </c>
      <c r="L29" s="333"/>
      <c r="M29" s="333"/>
      <c r="N29" s="340" t="s">
        <v>1459</v>
      </c>
      <c r="O29" s="341" t="s">
        <v>182</v>
      </c>
      <c r="P29" s="341" t="str">
        <f>IF('House Rules'!$B$4="Prohibited","No",IF(O29&lt;CharacterSheet!$V$34,"Yes","No"))</f>
        <v>No</v>
      </c>
      <c r="Q29" s="341">
        <v>8</v>
      </c>
      <c r="R29" s="344" t="s">
        <v>346</v>
      </c>
      <c r="S29" s="317"/>
      <c r="T29" s="319">
        <f t="shared" si="26"/>
        <v>0</v>
      </c>
      <c r="U29" s="345" t="s">
        <v>2415</v>
      </c>
      <c r="V29" s="341" t="s">
        <v>1306</v>
      </c>
      <c r="W29" s="346" t="s">
        <v>37</v>
      </c>
      <c r="X29" s="341">
        <v>8</v>
      </c>
      <c r="Y29" s="347" t="str">
        <f>IF(AND($D$2="Arete",CharacterSheet!$E$53&gt;2,CharacterSheet!$V$34&gt;X29,'House Rules'!$B$6="Free",'House Rules'!$D$6=W29),"Free",IF(AND($D$2="Arete",CharacterSheet!$E$53&gt;2,CharacterSheet!$V$34&gt;X29,Z28="Yes"),"Yes","No"))</f>
        <v>No</v>
      </c>
      <c r="Z29" s="572" t="s">
        <v>347</v>
      </c>
      <c r="AA29" s="556"/>
      <c r="AB29" s="319">
        <f t="shared" si="27"/>
        <v>0</v>
      </c>
      <c r="AC29" s="345" t="s">
        <v>2515</v>
      </c>
      <c r="AD29" s="341" t="s">
        <v>1306</v>
      </c>
      <c r="AE29" s="346" t="s">
        <v>47</v>
      </c>
      <c r="AF29" s="341">
        <v>8</v>
      </c>
      <c r="AG29" s="347" t="str">
        <f>IF(AND($D$2="Arete",CharacterSheet!$M$53&gt;2,CharacterSheet!$V$34&gt;AF29,'House Rules'!$B$6="Free",'House Rules'!$D$6=AE29),"Free",IF(AND($D$2="Arete",CharacterSheet!$M$53&gt;2,CharacterSheet!$V$34&gt;AF29,AH28="Yes"),"Yes","No"))</f>
        <v>No</v>
      </c>
      <c r="AH29" s="572" t="s">
        <v>347</v>
      </c>
      <c r="AJ29" s="319">
        <f t="shared" si="28"/>
        <v>0</v>
      </c>
      <c r="AK29" s="345" t="s">
        <v>2615</v>
      </c>
      <c r="AL29" s="341" t="s">
        <v>1306</v>
      </c>
      <c r="AM29" s="346" t="str">
        <f t="shared" ref="AM29" si="37">AM22</f>
        <v>Craft</v>
      </c>
      <c r="AN29" s="341">
        <v>8</v>
      </c>
      <c r="AO29" s="347" t="str">
        <f>IF(AND($D$2="Arete",$AS$37&gt;2,CharacterSheet!$V$34&gt;AN29,'House Rules'!$B$6="Free",'House Rules'!$D$6=AM29),"Free",IF(AND($D$2="Arete",$AS$37&gt;2,CharacterSheet!$V$34&gt;AN29,AP28="Yes"),"Yes","No"))</f>
        <v>No</v>
      </c>
      <c r="AP29" s="348" t="s">
        <v>347</v>
      </c>
      <c r="BF29" s="319">
        <f t="shared" si="16"/>
        <v>0</v>
      </c>
      <c r="BG29" s="345" t="s">
        <v>2405</v>
      </c>
      <c r="BI29" s="319">
        <f t="shared" si="9"/>
        <v>0</v>
      </c>
      <c r="BJ29" s="319">
        <f t="shared" si="36"/>
        <v>0</v>
      </c>
      <c r="BK29" s="319">
        <f t="shared" si="36"/>
        <v>0</v>
      </c>
      <c r="BL29" s="319">
        <f t="shared" si="36"/>
        <v>0</v>
      </c>
      <c r="BM29" s="319">
        <f t="shared" si="36"/>
        <v>0</v>
      </c>
      <c r="BN29" s="319">
        <f t="shared" si="36"/>
        <v>0</v>
      </c>
      <c r="BO29" s="319">
        <f t="shared" si="36"/>
        <v>0</v>
      </c>
      <c r="BP29" s="319">
        <f t="shared" si="36"/>
        <v>0</v>
      </c>
      <c r="BQ29" s="319">
        <f t="shared" si="36"/>
        <v>0</v>
      </c>
      <c r="BR29" s="319">
        <f t="shared" si="36"/>
        <v>0</v>
      </c>
      <c r="BS29" s="319">
        <f t="shared" si="36"/>
        <v>0</v>
      </c>
      <c r="BT29" s="319">
        <f t="shared" si="36"/>
        <v>0</v>
      </c>
      <c r="BU29" s="319">
        <f t="shared" si="36"/>
        <v>0</v>
      </c>
      <c r="BV29" s="319">
        <f t="shared" si="36"/>
        <v>0</v>
      </c>
      <c r="BW29" s="319">
        <f t="shared" si="36"/>
        <v>0</v>
      </c>
      <c r="BX29" s="319">
        <f t="shared" si="36"/>
        <v>0</v>
      </c>
      <c r="BY29" s="319">
        <f t="shared" si="36"/>
        <v>0</v>
      </c>
      <c r="BZ29" s="319">
        <f t="shared" si="36"/>
        <v>0</v>
      </c>
      <c r="CA29" s="319">
        <f t="shared" si="36"/>
        <v>0</v>
      </c>
      <c r="CB29" s="319">
        <f t="shared" si="36"/>
        <v>0</v>
      </c>
      <c r="CC29" s="319">
        <f t="shared" si="36"/>
        <v>0</v>
      </c>
      <c r="CD29" s="319">
        <f t="shared" si="36"/>
        <v>0</v>
      </c>
      <c r="CE29" s="319">
        <f t="shared" si="36"/>
        <v>0</v>
      </c>
      <c r="CF29" s="319">
        <f t="shared" si="36"/>
        <v>0</v>
      </c>
      <c r="CG29" s="319">
        <f t="shared" si="36"/>
        <v>0</v>
      </c>
      <c r="CH29" s="319">
        <f t="shared" si="36"/>
        <v>0</v>
      </c>
      <c r="CI29" s="319">
        <f t="shared" si="36"/>
        <v>0</v>
      </c>
      <c r="CJ29" s="319">
        <f t="shared" si="36"/>
        <v>0</v>
      </c>
      <c r="CK29" s="319">
        <f t="shared" si="36"/>
        <v>0</v>
      </c>
      <c r="CL29" s="319">
        <f t="shared" si="36"/>
        <v>0</v>
      </c>
      <c r="CM29" s="319">
        <f t="shared" si="36"/>
        <v>0</v>
      </c>
      <c r="CN29" s="319">
        <f t="shared" si="36"/>
        <v>0</v>
      </c>
      <c r="CO29" s="319">
        <f t="shared" si="36"/>
        <v>0</v>
      </c>
      <c r="CP29" s="319">
        <f t="shared" si="36"/>
        <v>0</v>
      </c>
      <c r="CQ29" s="319">
        <f t="shared" si="36"/>
        <v>0</v>
      </c>
      <c r="CR29" s="319">
        <f t="shared" si="36"/>
        <v>0</v>
      </c>
      <c r="CS29" s="319">
        <f t="shared" si="36"/>
        <v>0</v>
      </c>
      <c r="CT29" s="319">
        <f t="shared" si="36"/>
        <v>0</v>
      </c>
      <c r="CU29" s="319">
        <f t="shared" si="36"/>
        <v>0</v>
      </c>
      <c r="CV29" s="319">
        <f t="shared" si="36"/>
        <v>0</v>
      </c>
    </row>
    <row r="30" spans="1:100" x14ac:dyDescent="0.25">
      <c r="A30" s="319">
        <f t="shared" si="3"/>
        <v>0</v>
      </c>
      <c r="B30" s="319">
        <f t="shared" si="13"/>
        <v>0</v>
      </c>
      <c r="C30" s="340" t="s">
        <v>1381</v>
      </c>
      <c r="D30" s="341" t="s">
        <v>353</v>
      </c>
      <c r="E30" s="341">
        <v>5</v>
      </c>
      <c r="F30" s="341" t="str">
        <f>IF(AND(E30&lt;CharacterSheet!$V$34,'House Rules'!$B$4="Available",OR('House Rules'!$B$7="Standard",AND('House Rules'!$B$7="Ranked",G29="Yes"))),"Yes","No")</f>
        <v>No</v>
      </c>
      <c r="G30" s="564" t="s">
        <v>347</v>
      </c>
      <c r="H30" s="333" t="str">
        <f>IF(C30="","",VLOOKUP(C30,Boonref2!A:B,2,FALSE))</f>
        <v>Yes</v>
      </c>
      <c r="I30" s="333"/>
      <c r="J30" s="333" t="str">
        <f>VLOOKUP(C30,BoonRef!A:Z,17,FALSE)</f>
        <v>Yes</v>
      </c>
      <c r="K30" s="333" t="str">
        <f>IF(J30="God",'House Rules'!$B$2,IF(J30="Demi",'House Rules'!$B$1,IF(J30="Comp",'House Rules'!$B$4,IF(J30="Yaz",'House Rules'!$B$5,IF(J30="Rag",'House Rules'!$B$3,"Available")))))</f>
        <v>Available</v>
      </c>
      <c r="L30" s="333"/>
      <c r="M30" s="333"/>
      <c r="N30" s="340" t="s">
        <v>1460</v>
      </c>
      <c r="O30" s="341" t="s">
        <v>182</v>
      </c>
      <c r="P30" s="341" t="str">
        <f>IF('House Rules'!$B$4="Prohibited","No",IF(O30&lt;CharacterSheet!$V$34,"Yes","No"))</f>
        <v>No</v>
      </c>
      <c r="Q30" s="341">
        <v>9</v>
      </c>
      <c r="R30" s="344" t="s">
        <v>346</v>
      </c>
      <c r="S30" s="317"/>
      <c r="T30" s="319">
        <f t="shared" si="26"/>
        <v>0</v>
      </c>
      <c r="U30" s="345" t="s">
        <v>2416</v>
      </c>
      <c r="V30" s="341" t="s">
        <v>1307</v>
      </c>
      <c r="W30" s="346" t="s">
        <v>37</v>
      </c>
      <c r="X30" s="341">
        <v>9</v>
      </c>
      <c r="Y30" s="347" t="str">
        <f>IF(AND($D$2="Arete",CharacterSheet!$E$53&gt;2,CharacterSheet!$V$34&gt;X30,'House Rules'!$B$6="Free",'House Rules'!$D$6=W30),"Free",IF(AND($D$2="Arete",CharacterSheet!$E$53&gt;2,CharacterSheet!$V$34&gt;X30,Z29="Yes"),"Yes","No"))</f>
        <v>No</v>
      </c>
      <c r="Z30" s="572" t="s">
        <v>347</v>
      </c>
      <c r="AA30" s="556"/>
      <c r="AB30" s="319">
        <f t="shared" si="27"/>
        <v>0</v>
      </c>
      <c r="AC30" s="345" t="s">
        <v>2516</v>
      </c>
      <c r="AD30" s="341" t="s">
        <v>1307</v>
      </c>
      <c r="AE30" s="346" t="s">
        <v>47</v>
      </c>
      <c r="AF30" s="341">
        <v>9</v>
      </c>
      <c r="AG30" s="347" t="str">
        <f>IF(AND($D$2="Arete",CharacterSheet!$M$53&gt;2,CharacterSheet!$V$34&gt;AF30,'House Rules'!$B$6="Free",'House Rules'!$D$6=AE30),"Free",IF(AND($D$2="Arete",CharacterSheet!$M$53&gt;2,CharacterSheet!$V$34&gt;AF30,AH29="Yes"),"Yes","No"))</f>
        <v>No</v>
      </c>
      <c r="AH30" s="572" t="s">
        <v>347</v>
      </c>
      <c r="AJ30" s="319">
        <f t="shared" si="28"/>
        <v>0</v>
      </c>
      <c r="AK30" s="345" t="s">
        <v>2616</v>
      </c>
      <c r="AL30" s="341" t="s">
        <v>1307</v>
      </c>
      <c r="AM30" s="346" t="str">
        <f t="shared" ref="AM30" si="38">AM22</f>
        <v>Craft</v>
      </c>
      <c r="AN30" s="341">
        <v>9</v>
      </c>
      <c r="AO30" s="347" t="str">
        <f>IF(AND($D$2="Arete",$AS$37&gt;2,CharacterSheet!$V$34&gt;AN30,'House Rules'!$B$6="Free",'House Rules'!$D$6=AM30),"Free",IF(AND($D$2="Arete",$AS$37&gt;2,CharacterSheet!$V$34&gt;AN30,AP29="Yes"),"Yes","No"))</f>
        <v>No</v>
      </c>
      <c r="AP30" s="348" t="s">
        <v>347</v>
      </c>
      <c r="BF30" s="319">
        <f t="shared" si="16"/>
        <v>0</v>
      </c>
      <c r="BG30" s="345" t="s">
        <v>2406</v>
      </c>
      <c r="BI30" s="319">
        <f t="shared" si="9"/>
        <v>0</v>
      </c>
      <c r="BJ30" s="319">
        <f t="shared" si="36"/>
        <v>0</v>
      </c>
      <c r="BK30" s="319">
        <f t="shared" si="36"/>
        <v>0</v>
      </c>
      <c r="BL30" s="319">
        <f t="shared" si="36"/>
        <v>0</v>
      </c>
      <c r="BM30" s="319">
        <f t="shared" si="36"/>
        <v>0</v>
      </c>
      <c r="BN30" s="319">
        <f t="shared" si="36"/>
        <v>0</v>
      </c>
      <c r="BO30" s="319">
        <f t="shared" si="36"/>
        <v>0</v>
      </c>
      <c r="BP30" s="319">
        <f t="shared" si="36"/>
        <v>0</v>
      </c>
      <c r="BQ30" s="319">
        <f t="shared" si="36"/>
        <v>0</v>
      </c>
      <c r="BR30" s="319">
        <f t="shared" si="36"/>
        <v>0</v>
      </c>
      <c r="BS30" s="319">
        <f t="shared" si="36"/>
        <v>0</v>
      </c>
      <c r="BT30" s="319">
        <f t="shared" si="36"/>
        <v>0</v>
      </c>
      <c r="BU30" s="319">
        <f t="shared" si="36"/>
        <v>0</v>
      </c>
      <c r="BV30" s="319">
        <f t="shared" si="36"/>
        <v>0</v>
      </c>
      <c r="BW30" s="319">
        <f t="shared" si="36"/>
        <v>0</v>
      </c>
      <c r="BX30" s="319">
        <f t="shared" si="36"/>
        <v>0</v>
      </c>
      <c r="BY30" s="319">
        <f t="shared" si="36"/>
        <v>0</v>
      </c>
      <c r="BZ30" s="319">
        <f t="shared" si="36"/>
        <v>0</v>
      </c>
      <c r="CA30" s="319">
        <f t="shared" si="36"/>
        <v>0</v>
      </c>
      <c r="CB30" s="319">
        <f t="shared" si="36"/>
        <v>0</v>
      </c>
      <c r="CC30" s="319">
        <f t="shared" si="36"/>
        <v>0</v>
      </c>
      <c r="CD30" s="319">
        <f t="shared" si="36"/>
        <v>0</v>
      </c>
      <c r="CE30" s="319">
        <f t="shared" si="36"/>
        <v>0</v>
      </c>
      <c r="CF30" s="319">
        <f t="shared" si="36"/>
        <v>0</v>
      </c>
      <c r="CG30" s="319">
        <f t="shared" si="36"/>
        <v>0</v>
      </c>
      <c r="CH30" s="319">
        <f t="shared" si="36"/>
        <v>0</v>
      </c>
      <c r="CI30" s="319">
        <f t="shared" si="36"/>
        <v>0</v>
      </c>
      <c r="CJ30" s="319">
        <f t="shared" si="36"/>
        <v>0</v>
      </c>
      <c r="CK30" s="319">
        <f t="shared" si="36"/>
        <v>0</v>
      </c>
      <c r="CL30" s="319">
        <f t="shared" si="36"/>
        <v>0</v>
      </c>
      <c r="CM30" s="319">
        <f t="shared" si="36"/>
        <v>0</v>
      </c>
      <c r="CN30" s="319">
        <f t="shared" si="36"/>
        <v>0</v>
      </c>
      <c r="CO30" s="319">
        <f t="shared" si="36"/>
        <v>0</v>
      </c>
      <c r="CP30" s="319">
        <f t="shared" si="36"/>
        <v>0</v>
      </c>
      <c r="CQ30" s="319">
        <f t="shared" si="36"/>
        <v>0</v>
      </c>
      <c r="CR30" s="319">
        <f t="shared" si="36"/>
        <v>0</v>
      </c>
      <c r="CS30" s="319">
        <f t="shared" si="36"/>
        <v>0</v>
      </c>
      <c r="CT30" s="319">
        <f t="shared" si="36"/>
        <v>0</v>
      </c>
      <c r="CU30" s="319">
        <f t="shared" si="36"/>
        <v>0</v>
      </c>
      <c r="CV30" s="319">
        <f t="shared" si="36"/>
        <v>0</v>
      </c>
    </row>
    <row r="31" spans="1:100" ht="15.75" thickBot="1" x14ac:dyDescent="0.3">
      <c r="A31" s="319">
        <f t="shared" si="3"/>
        <v>0</v>
      </c>
      <c r="B31" s="319">
        <f t="shared" si="13"/>
        <v>0</v>
      </c>
      <c r="C31" s="340" t="s">
        <v>1148</v>
      </c>
      <c r="D31" s="341" t="s">
        <v>353</v>
      </c>
      <c r="E31" s="341">
        <v>5</v>
      </c>
      <c r="F31" s="341" t="str">
        <f>IF(AND(E31&lt;CharacterSheet!$V$34,'House Rules'!$B$1="Available",OR('House Rules'!$B$7="Standard",AND('House Rules'!$B$7="Ranked",G29="Yes"))),"Yes","No")</f>
        <v>No</v>
      </c>
      <c r="G31" s="564" t="s">
        <v>347</v>
      </c>
      <c r="H31" s="333" t="str">
        <f>IF(C31="","",VLOOKUP(C31,Boonref2!A:B,2,FALSE))</f>
        <v>Yes</v>
      </c>
      <c r="I31" s="333"/>
      <c r="J31" s="333" t="str">
        <f>VLOOKUP(C31,BoonRef!A:Z,17,FALSE)</f>
        <v>Yes</v>
      </c>
      <c r="K31" s="333" t="str">
        <f>IF(J31="God",'House Rules'!$B$2,IF(J31="Demi",'House Rules'!$B$1,IF(J31="Comp",'House Rules'!$B$4,IF(J31="Yaz",'House Rules'!$B$5,IF(J31="Rag",'House Rules'!$B$3,"Available")))))</f>
        <v>Available</v>
      </c>
      <c r="L31" s="333"/>
      <c r="M31" s="333"/>
      <c r="N31" s="340" t="s">
        <v>1461</v>
      </c>
      <c r="O31" s="341" t="s">
        <v>182</v>
      </c>
      <c r="P31" s="341" t="str">
        <f>IF('House Rules'!$B$4="Prohibited","No",IF(O31&lt;CharacterSheet!$V$34,"Yes","No"))</f>
        <v>No</v>
      </c>
      <c r="Q31" s="341">
        <v>10</v>
      </c>
      <c r="R31" s="344" t="s">
        <v>346</v>
      </c>
      <c r="S31" s="317"/>
      <c r="T31" s="319">
        <f>IF(Z31="Yes",LARGE($AJ$2:$AJ$11,1)+1,LARGE($AJ$2:$AJ$11,1))</f>
        <v>0</v>
      </c>
      <c r="U31" s="355" t="s">
        <v>2417</v>
      </c>
      <c r="V31" s="353" t="s">
        <v>1308</v>
      </c>
      <c r="W31" s="356" t="s">
        <v>37</v>
      </c>
      <c r="X31" s="353">
        <v>10</v>
      </c>
      <c r="Y31" s="347" t="str">
        <f>IF(AND($D$2="Arete",CharacterSheet!$E$53&gt;2,CharacterSheet!$V$34&gt;X31,'House Rules'!$B$6="Free",'House Rules'!$D$6=W31),"Free",IF(AND($D$2="Arete",CharacterSheet!$E$53&gt;2,CharacterSheet!$V$34&gt;X31,Z30="Yes"),"Yes","No"))</f>
        <v>No</v>
      </c>
      <c r="Z31" s="573" t="s">
        <v>347</v>
      </c>
      <c r="AA31" s="556"/>
      <c r="AB31" s="319">
        <f>IF(AH31="Yes",LARGE($AB$12:$AB$21,1)+1,LARGE($AB$12:$AB$21,1))</f>
        <v>0</v>
      </c>
      <c r="AC31" s="355" t="s">
        <v>2517</v>
      </c>
      <c r="AD31" s="353" t="s">
        <v>1308</v>
      </c>
      <c r="AE31" s="356" t="s">
        <v>47</v>
      </c>
      <c r="AF31" s="353">
        <v>10</v>
      </c>
      <c r="AG31" s="347" t="str">
        <f>IF(AND($D$2="Arete",CharacterSheet!$M$53&gt;2,CharacterSheet!$V$34&gt;AF31,'House Rules'!$B$6="Free",'House Rules'!$D$6=AE31),"Free",IF(AND($D$2="Arete",CharacterSheet!$M$53&gt;2,CharacterSheet!$V$34&gt;AF31,AH30="Yes"),"Yes","No"))</f>
        <v>No</v>
      </c>
      <c r="AH31" s="573" t="s">
        <v>347</v>
      </c>
      <c r="AJ31" s="319">
        <f>IF(AP31="Yes",LARGE($AJ$12:$AJ$21,1)+1,LARGE($AJ$12:$AJ$21,1))</f>
        <v>0</v>
      </c>
      <c r="AK31" s="355" t="s">
        <v>2617</v>
      </c>
      <c r="AL31" s="353" t="s">
        <v>1308</v>
      </c>
      <c r="AM31" s="356" t="str">
        <f t="shared" ref="AM31" si="39">AM22</f>
        <v>Craft</v>
      </c>
      <c r="AN31" s="353">
        <v>10</v>
      </c>
      <c r="AO31" s="347" t="str">
        <f>IF(AND($D$2="Arete",$AS$37&gt;2,CharacterSheet!$V$34&gt;AN31,'House Rules'!$B$6="Free",'House Rules'!$D$6=AM31),"Free",IF(AND($D$2="Arete",$AS$37&gt;2,CharacterSheet!$V$34&gt;AN31,AP30="Yes"),"Yes","No"))</f>
        <v>No</v>
      </c>
      <c r="AP31" s="357" t="s">
        <v>347</v>
      </c>
      <c r="BF31" s="319">
        <f t="shared" si="16"/>
        <v>0</v>
      </c>
      <c r="BG31" s="355" t="s">
        <v>2407</v>
      </c>
      <c r="BI31" s="319">
        <f t="shared" si="9"/>
        <v>0</v>
      </c>
      <c r="BJ31" s="319">
        <f t="shared" si="36"/>
        <v>0</v>
      </c>
      <c r="BK31" s="319">
        <f t="shared" si="36"/>
        <v>0</v>
      </c>
      <c r="BL31" s="319">
        <f t="shared" si="36"/>
        <v>0</v>
      </c>
      <c r="BM31" s="319">
        <f t="shared" si="36"/>
        <v>0</v>
      </c>
      <c r="BN31" s="319">
        <f t="shared" si="36"/>
        <v>0</v>
      </c>
      <c r="BO31" s="319">
        <f t="shared" si="36"/>
        <v>0</v>
      </c>
      <c r="BP31" s="319">
        <f t="shared" si="36"/>
        <v>0</v>
      </c>
      <c r="BQ31" s="319">
        <f t="shared" si="36"/>
        <v>0</v>
      </c>
      <c r="BR31" s="319">
        <f t="shared" si="36"/>
        <v>0</v>
      </c>
      <c r="BS31" s="319">
        <f t="shared" si="36"/>
        <v>0</v>
      </c>
      <c r="BT31" s="319">
        <f t="shared" si="36"/>
        <v>0</v>
      </c>
      <c r="BU31" s="319">
        <f t="shared" si="36"/>
        <v>0</v>
      </c>
      <c r="BV31" s="319">
        <f t="shared" si="36"/>
        <v>0</v>
      </c>
      <c r="BW31" s="319">
        <f t="shared" si="36"/>
        <v>0</v>
      </c>
      <c r="BX31" s="319">
        <f t="shared" si="36"/>
        <v>0</v>
      </c>
      <c r="BY31" s="319">
        <f t="shared" si="36"/>
        <v>0</v>
      </c>
      <c r="BZ31" s="319">
        <f t="shared" si="36"/>
        <v>0</v>
      </c>
      <c r="CA31" s="319">
        <f t="shared" si="36"/>
        <v>0</v>
      </c>
      <c r="CB31" s="319">
        <f t="shared" si="36"/>
        <v>0</v>
      </c>
      <c r="CC31" s="319">
        <f t="shared" si="36"/>
        <v>0</v>
      </c>
      <c r="CD31" s="319">
        <f t="shared" si="36"/>
        <v>0</v>
      </c>
      <c r="CE31" s="319">
        <f t="shared" si="36"/>
        <v>0</v>
      </c>
      <c r="CF31" s="319">
        <f t="shared" si="36"/>
        <v>0</v>
      </c>
      <c r="CG31" s="319">
        <f t="shared" si="36"/>
        <v>0</v>
      </c>
      <c r="CH31" s="319">
        <f t="shared" si="36"/>
        <v>0</v>
      </c>
      <c r="CI31" s="319">
        <f t="shared" si="36"/>
        <v>0</v>
      </c>
      <c r="CJ31" s="319">
        <f t="shared" si="36"/>
        <v>0</v>
      </c>
      <c r="CK31" s="319">
        <f t="shared" si="36"/>
        <v>0</v>
      </c>
      <c r="CL31" s="319">
        <f t="shared" si="36"/>
        <v>0</v>
      </c>
      <c r="CM31" s="319">
        <f t="shared" si="36"/>
        <v>0</v>
      </c>
      <c r="CN31" s="319">
        <f t="shared" si="36"/>
        <v>0</v>
      </c>
      <c r="CO31" s="319">
        <f t="shared" si="36"/>
        <v>0</v>
      </c>
      <c r="CP31" s="319">
        <f t="shared" si="36"/>
        <v>0</v>
      </c>
      <c r="CQ31" s="319">
        <f t="shared" si="36"/>
        <v>0</v>
      </c>
      <c r="CR31" s="319">
        <f t="shared" si="36"/>
        <v>0</v>
      </c>
      <c r="CS31" s="319">
        <f t="shared" si="36"/>
        <v>0</v>
      </c>
      <c r="CT31" s="319">
        <f t="shared" si="36"/>
        <v>0</v>
      </c>
      <c r="CU31" s="319">
        <f t="shared" si="36"/>
        <v>0</v>
      </c>
      <c r="CV31" s="319">
        <f t="shared" si="36"/>
        <v>0</v>
      </c>
    </row>
    <row r="32" spans="1:100" x14ac:dyDescent="0.25">
      <c r="A32" s="319">
        <f t="shared" si="3"/>
        <v>0</v>
      </c>
      <c r="B32" s="319">
        <f t="shared" si="13"/>
        <v>0</v>
      </c>
      <c r="C32" s="340" t="s">
        <v>1149</v>
      </c>
      <c r="D32" s="341" t="s">
        <v>353</v>
      </c>
      <c r="E32" s="341">
        <v>6</v>
      </c>
      <c r="F32" s="341" t="str">
        <f>IF(AND(E32&lt;CharacterSheet!$V$34,'House Rules'!$B$1="Available",OR('House Rules'!$B$7="Standard",AND('House Rules'!$B$7="Ranked",OR(G31="Yes",G30="Yes")))),"Yes","No")</f>
        <v>No</v>
      </c>
      <c r="G32" s="564" t="s">
        <v>347</v>
      </c>
      <c r="H32" s="333" t="str">
        <f>IF(C32="","",VLOOKUP(C32,Boonref2!A:B,2,FALSE))</f>
        <v>Yes</v>
      </c>
      <c r="I32" s="333"/>
      <c r="J32" s="333" t="str">
        <f>VLOOKUP(C32,BoonRef!A:Z,17,FALSE)</f>
        <v>Yes</v>
      </c>
      <c r="K32" s="333" t="str">
        <f>IF(J32="God",'House Rules'!$B$2,IF(J32="Demi",'House Rules'!$B$1,IF(J32="Comp",'House Rules'!$B$4,IF(J32="Yaz",'House Rules'!$B$5,IF(J32="Rag",'House Rules'!$B$3,"Available")))))</f>
        <v>Available</v>
      </c>
      <c r="L32" s="333"/>
      <c r="M32" s="333"/>
      <c r="N32" s="340" t="s">
        <v>1359</v>
      </c>
      <c r="O32" s="341" t="s">
        <v>179</v>
      </c>
      <c r="P32" s="341" t="str">
        <f>IF('House Rules'!$B$4="Prohibited","No",IF(O32&lt;CharacterSheet!$V$34,"Yes","No"))</f>
        <v>No</v>
      </c>
      <c r="Q32" s="341">
        <v>1</v>
      </c>
      <c r="R32" s="344" t="s">
        <v>346</v>
      </c>
      <c r="S32" s="317"/>
      <c r="T32" s="319">
        <f t="shared" ref="T32:T40" si="40">IF(AND(Z32="Yes",Z33="No"),LARGE($T$22:$T$31,1)+1,LARGE($T$22:$T$31,1))</f>
        <v>0</v>
      </c>
      <c r="U32" s="336" t="s">
        <v>2418</v>
      </c>
      <c r="V32" s="331" t="s">
        <v>1112</v>
      </c>
      <c r="W32" s="337" t="s">
        <v>38</v>
      </c>
      <c r="X32" s="331">
        <v>1</v>
      </c>
      <c r="Y32" s="338" t="str">
        <f>IF(AND($D$2="Arete",CharacterSheet!$E$54&gt;2,CharacterSheet!$V$34&gt;X32,'House Rules'!$B$6="Free",'House Rules'!$D$6=W32),"Free",IF(AND($D$2="Arete",CharacterSheet!$E$54&gt;2,CharacterSheet!$V$34&gt;X32),"Yes","No"))</f>
        <v>No</v>
      </c>
      <c r="Z32" s="571" t="s">
        <v>347</v>
      </c>
      <c r="AA32" s="556"/>
      <c r="AB32" s="319">
        <f t="shared" ref="AB32:AB40" si="41">IF(AND(AH32="Yes",AH33="No"),LARGE($AB$22:$AB$31,1)+1,LARGE($AB$22:$AB$31,1))</f>
        <v>0</v>
      </c>
      <c r="AC32" s="336" t="s">
        <v>2518</v>
      </c>
      <c r="AD32" s="331" t="s">
        <v>1112</v>
      </c>
      <c r="AE32" s="337" t="s">
        <v>48</v>
      </c>
      <c r="AF32" s="331">
        <v>1</v>
      </c>
      <c r="AG32" s="338" t="str">
        <f>IF(AND($D$2="Arete",CharacterSheet!$M$54&gt;2,CharacterSheet!$V$34&gt;AF32,'House Rules'!$B$6="Free",'House Rules'!$D$6=AE32),"Free",IF(AND($D$2="Arete",CharacterSheet!$M$54&gt;2,CharacterSheet!$V$34&gt;AF32),"Yes","No"))</f>
        <v>No</v>
      </c>
      <c r="AH32" s="571" t="s">
        <v>347</v>
      </c>
      <c r="AJ32" s="319">
        <f t="shared" ref="AJ32:AJ40" si="42">IF(AND(AP32="Yes",AP33="No"),LARGE($AB$62:$AB$71,1)+1,LARGE($AB$62:$AB$71,1))</f>
        <v>0</v>
      </c>
      <c r="AK32" s="336" t="s">
        <v>2618</v>
      </c>
      <c r="AL32" s="331" t="s">
        <v>1112</v>
      </c>
      <c r="AM32" s="337" t="s">
        <v>58</v>
      </c>
      <c r="AN32" s="331">
        <v>1</v>
      </c>
      <c r="AO32" s="338" t="str">
        <f>IF(AND($D$2="Arete",$AS$38&gt;2,CharacterSheet!$V$34&gt;AN32,'House Rules'!$B$6="Free",'House Rules'!$D$6=AM32),"Free",IF(AND($D$2="Arete",$AS$38&gt;2,CharacterSheet!$V$34&gt;AN32),"Yes","No"))</f>
        <v>No</v>
      </c>
      <c r="AP32" s="339" t="s">
        <v>347</v>
      </c>
      <c r="AR32" s="319" t="s">
        <v>346</v>
      </c>
      <c r="BF32" s="319">
        <f t="shared" ref="BF32:BF41" si="43">AJ2</f>
        <v>0</v>
      </c>
      <c r="BG32" s="336" t="s">
        <v>2588</v>
      </c>
      <c r="BI32" s="319">
        <f t="shared" si="9"/>
        <v>0</v>
      </c>
      <c r="BJ32" s="319">
        <f t="shared" si="36"/>
        <v>0</v>
      </c>
      <c r="BK32" s="319">
        <f t="shared" si="36"/>
        <v>0</v>
      </c>
      <c r="BL32" s="319">
        <f t="shared" si="36"/>
        <v>0</v>
      </c>
      <c r="BM32" s="319">
        <f t="shared" si="36"/>
        <v>0</v>
      </c>
      <c r="BN32" s="319">
        <f t="shared" si="36"/>
        <v>0</v>
      </c>
      <c r="BO32" s="319">
        <f t="shared" si="36"/>
        <v>0</v>
      </c>
      <c r="BP32" s="319">
        <f t="shared" si="36"/>
        <v>0</v>
      </c>
      <c r="BQ32" s="319">
        <f t="shared" si="36"/>
        <v>0</v>
      </c>
      <c r="BR32" s="319">
        <f t="shared" si="36"/>
        <v>0</v>
      </c>
      <c r="BS32" s="319">
        <f t="shared" si="36"/>
        <v>0</v>
      </c>
      <c r="BT32" s="319">
        <f t="shared" si="36"/>
        <v>0</v>
      </c>
      <c r="BU32" s="319">
        <f t="shared" si="36"/>
        <v>0</v>
      </c>
      <c r="BV32" s="319">
        <f t="shared" si="36"/>
        <v>0</v>
      </c>
      <c r="BW32" s="319">
        <f t="shared" si="36"/>
        <v>0</v>
      </c>
      <c r="BX32" s="319">
        <f t="shared" si="36"/>
        <v>0</v>
      </c>
      <c r="BY32" s="319">
        <f t="shared" si="36"/>
        <v>0</v>
      </c>
      <c r="BZ32" s="319">
        <f t="shared" si="36"/>
        <v>0</v>
      </c>
      <c r="CA32" s="319">
        <f t="shared" si="36"/>
        <v>0</v>
      </c>
      <c r="CB32" s="319">
        <f t="shared" si="36"/>
        <v>0</v>
      </c>
      <c r="CC32" s="319">
        <f t="shared" si="36"/>
        <v>0</v>
      </c>
      <c r="CD32" s="319">
        <f t="shared" si="36"/>
        <v>0</v>
      </c>
      <c r="CE32" s="319">
        <f t="shared" si="36"/>
        <v>0</v>
      </c>
      <c r="CF32" s="319">
        <f t="shared" si="36"/>
        <v>0</v>
      </c>
      <c r="CG32" s="319">
        <f t="shared" si="36"/>
        <v>0</v>
      </c>
      <c r="CH32" s="319">
        <f t="shared" si="36"/>
        <v>0</v>
      </c>
      <c r="CI32" s="319">
        <f t="shared" si="36"/>
        <v>0</v>
      </c>
      <c r="CJ32" s="319">
        <f t="shared" si="36"/>
        <v>0</v>
      </c>
      <c r="CK32" s="319">
        <f t="shared" si="36"/>
        <v>0</v>
      </c>
      <c r="CL32" s="319">
        <f t="shared" si="36"/>
        <v>0</v>
      </c>
      <c r="CM32" s="319">
        <f t="shared" si="36"/>
        <v>0</v>
      </c>
      <c r="CN32" s="319">
        <f t="shared" si="36"/>
        <v>0</v>
      </c>
      <c r="CO32" s="319">
        <f t="shared" si="36"/>
        <v>0</v>
      </c>
      <c r="CP32" s="319">
        <f t="shared" si="36"/>
        <v>0</v>
      </c>
      <c r="CQ32" s="319">
        <f t="shared" si="36"/>
        <v>0</v>
      </c>
      <c r="CR32" s="319">
        <f t="shared" si="36"/>
        <v>0</v>
      </c>
      <c r="CS32" s="319">
        <f t="shared" si="36"/>
        <v>0</v>
      </c>
      <c r="CT32" s="319">
        <f t="shared" si="36"/>
        <v>0</v>
      </c>
      <c r="CU32" s="319">
        <f t="shared" si="36"/>
        <v>0</v>
      </c>
      <c r="CV32" s="319">
        <f t="shared" si="36"/>
        <v>0</v>
      </c>
    </row>
    <row r="33" spans="1:100" x14ac:dyDescent="0.25">
      <c r="A33" s="319">
        <f t="shared" si="3"/>
        <v>0</v>
      </c>
      <c r="B33" s="319">
        <f t="shared" si="13"/>
        <v>0</v>
      </c>
      <c r="C33" s="340" t="s">
        <v>1150</v>
      </c>
      <c r="D33" s="341" t="s">
        <v>353</v>
      </c>
      <c r="E33" s="341">
        <v>7</v>
      </c>
      <c r="F33" s="341" t="str">
        <f>IF(AND(E33&lt;CharacterSheet!$V$34,'House Rules'!$B$1="Available",OR('House Rules'!$B$7="Standard",AND('House Rules'!$B$7="Ranked",G32="Yes"))),"Yes","No")</f>
        <v>No</v>
      </c>
      <c r="G33" s="564" t="s">
        <v>347</v>
      </c>
      <c r="H33" s="333" t="str">
        <f>IF(C33="","",VLOOKUP(C33,Boonref2!A:B,2,FALSE))</f>
        <v>Yes</v>
      </c>
      <c r="I33" s="333"/>
      <c r="J33" s="333" t="str">
        <f>VLOOKUP(C33,BoonRef!A:Z,17,FALSE)</f>
        <v>Yes</v>
      </c>
      <c r="K33" s="333" t="str">
        <f>IF(J33="God",'House Rules'!$B$2,IF(J33="Demi",'House Rules'!$B$1,IF(J33="Comp",'House Rules'!$B$4,IF(J33="Yaz",'House Rules'!$B$5,IF(J33="Rag",'House Rules'!$B$3,"Available")))))</f>
        <v>Available</v>
      </c>
      <c r="L33" s="333"/>
      <c r="M33" s="333"/>
      <c r="N33" s="340" t="s">
        <v>1360</v>
      </c>
      <c r="O33" s="341" t="s">
        <v>179</v>
      </c>
      <c r="P33" s="341" t="str">
        <f>IF('House Rules'!$B$4="Prohibited","No",IF(O33&lt;CharacterSheet!$V$34,"Yes","No"))</f>
        <v>No</v>
      </c>
      <c r="Q33" s="341">
        <v>2</v>
      </c>
      <c r="R33" s="344" t="s">
        <v>347</v>
      </c>
      <c r="S33" s="317"/>
      <c r="T33" s="319">
        <f t="shared" si="40"/>
        <v>0</v>
      </c>
      <c r="U33" s="345" t="s">
        <v>2419</v>
      </c>
      <c r="V33" s="341" t="s">
        <v>1113</v>
      </c>
      <c r="W33" s="346" t="s">
        <v>38</v>
      </c>
      <c r="X33" s="341">
        <v>2</v>
      </c>
      <c r="Y33" s="347" t="str">
        <f>IF(AND($D$2="Arete",CharacterSheet!$E$54&gt;2,CharacterSheet!$V$34&gt;X33,'House Rules'!$B$6="Free",'House Rules'!$D$6=W33),"Free",IF(AND($D$2="Arete",CharacterSheet!$E$54&gt;2,CharacterSheet!$V$34&gt;X33,Z32="Yes"),"Yes","No"))</f>
        <v>No</v>
      </c>
      <c r="Z33" s="572" t="s">
        <v>347</v>
      </c>
      <c r="AA33" s="556"/>
      <c r="AB33" s="319">
        <f t="shared" si="41"/>
        <v>0</v>
      </c>
      <c r="AC33" s="345" t="s">
        <v>2519</v>
      </c>
      <c r="AD33" s="341" t="s">
        <v>1113</v>
      </c>
      <c r="AE33" s="346" t="s">
        <v>48</v>
      </c>
      <c r="AF33" s="341">
        <v>2</v>
      </c>
      <c r="AG33" s="347" t="str">
        <f>IF(AND($D$2="Arete",CharacterSheet!$M$54&gt;2,CharacterSheet!$V$34&gt;AF33,'House Rules'!$B$6="Free",'House Rules'!$D$6=AE33),"Free",IF(AND($D$2="Arete",CharacterSheet!$M$54&gt;2,CharacterSheet!$V$34&gt;AF33,AH32="Yes"),"Yes","No"))</f>
        <v>No</v>
      </c>
      <c r="AH33" s="572" t="s">
        <v>347</v>
      </c>
      <c r="AJ33" s="319">
        <f t="shared" si="42"/>
        <v>0</v>
      </c>
      <c r="AK33" s="345" t="s">
        <v>2619</v>
      </c>
      <c r="AL33" s="341" t="s">
        <v>1113</v>
      </c>
      <c r="AM33" s="346" t="str">
        <f t="shared" ref="AM33" si="44">AM32</f>
        <v>Science</v>
      </c>
      <c r="AN33" s="341">
        <v>2</v>
      </c>
      <c r="AO33" s="347" t="str">
        <f>IF(AND($D$2="Arete",$AS$38&gt;2,CharacterSheet!$V$34&gt;AN33,'House Rules'!$B$6="Free",'House Rules'!$D$6=AM33),"Free",IF(AND($D$2="Arete",$AS$38&gt;2,CharacterSheet!$V$34&gt;AN33,AP32="Yes"),"Yes","No"))</f>
        <v>No</v>
      </c>
      <c r="AP33" s="348" t="s">
        <v>347</v>
      </c>
      <c r="BF33" s="319">
        <f t="shared" si="43"/>
        <v>0</v>
      </c>
      <c r="BG33" s="345" t="s">
        <v>2589</v>
      </c>
      <c r="BI33" s="319">
        <f t="shared" si="9"/>
        <v>0</v>
      </c>
      <c r="BJ33" s="319">
        <f t="shared" si="36"/>
        <v>0</v>
      </c>
      <c r="BK33" s="319">
        <f t="shared" si="36"/>
        <v>0</v>
      </c>
      <c r="BL33" s="319">
        <f t="shared" si="36"/>
        <v>0</v>
      </c>
      <c r="BM33" s="319">
        <f t="shared" si="36"/>
        <v>0</v>
      </c>
      <c r="BN33" s="319">
        <f t="shared" si="36"/>
        <v>0</v>
      </c>
      <c r="BO33" s="319">
        <f t="shared" si="36"/>
        <v>0</v>
      </c>
      <c r="BP33" s="319">
        <f t="shared" si="36"/>
        <v>0</v>
      </c>
      <c r="BQ33" s="319">
        <f t="shared" si="36"/>
        <v>0</v>
      </c>
      <c r="BR33" s="319">
        <f t="shared" si="36"/>
        <v>0</v>
      </c>
      <c r="BS33" s="319">
        <f t="shared" si="36"/>
        <v>0</v>
      </c>
      <c r="BT33" s="319">
        <f t="shared" si="36"/>
        <v>0</v>
      </c>
      <c r="BU33" s="319">
        <f t="shared" si="36"/>
        <v>0</v>
      </c>
      <c r="BV33" s="319">
        <f t="shared" si="36"/>
        <v>0</v>
      </c>
      <c r="BW33" s="319">
        <f t="shared" si="36"/>
        <v>0</v>
      </c>
      <c r="BX33" s="319">
        <f t="shared" si="36"/>
        <v>0</v>
      </c>
      <c r="BY33" s="319">
        <f t="shared" si="36"/>
        <v>0</v>
      </c>
      <c r="BZ33" s="319">
        <f t="shared" si="36"/>
        <v>0</v>
      </c>
      <c r="CA33" s="319">
        <f t="shared" si="36"/>
        <v>0</v>
      </c>
      <c r="CB33" s="319">
        <f t="shared" si="36"/>
        <v>0</v>
      </c>
      <c r="CC33" s="319">
        <f t="shared" si="36"/>
        <v>0</v>
      </c>
      <c r="CD33" s="319">
        <f t="shared" si="36"/>
        <v>0</v>
      </c>
      <c r="CE33" s="319">
        <f t="shared" si="36"/>
        <v>0</v>
      </c>
      <c r="CF33" s="319">
        <f t="shared" si="36"/>
        <v>0</v>
      </c>
      <c r="CG33" s="319">
        <f t="shared" si="36"/>
        <v>0</v>
      </c>
      <c r="CH33" s="319">
        <f t="shared" si="36"/>
        <v>0</v>
      </c>
      <c r="CI33" s="319">
        <f t="shared" si="36"/>
        <v>0</v>
      </c>
      <c r="CJ33" s="319">
        <f t="shared" si="36"/>
        <v>0</v>
      </c>
      <c r="CK33" s="319">
        <f t="shared" si="36"/>
        <v>0</v>
      </c>
      <c r="CL33" s="319">
        <f t="shared" si="36"/>
        <v>0</v>
      </c>
      <c r="CM33" s="319">
        <f t="shared" si="36"/>
        <v>0</v>
      </c>
      <c r="CN33" s="319">
        <f t="shared" si="36"/>
        <v>0</v>
      </c>
      <c r="CO33" s="319">
        <f t="shared" si="36"/>
        <v>0</v>
      </c>
      <c r="CP33" s="319">
        <f t="shared" si="36"/>
        <v>0</v>
      </c>
      <c r="CQ33" s="319">
        <f t="shared" si="36"/>
        <v>0</v>
      </c>
      <c r="CR33" s="319">
        <f t="shared" si="36"/>
        <v>0</v>
      </c>
      <c r="CS33" s="319">
        <f t="shared" si="36"/>
        <v>0</v>
      </c>
      <c r="CT33" s="319">
        <f t="shared" si="36"/>
        <v>0</v>
      </c>
      <c r="CU33" s="319">
        <f t="shared" si="36"/>
        <v>0</v>
      </c>
      <c r="CV33" s="319">
        <f t="shared" si="36"/>
        <v>0</v>
      </c>
    </row>
    <row r="34" spans="1:100" x14ac:dyDescent="0.25">
      <c r="A34" s="319">
        <f t="shared" si="3"/>
        <v>0</v>
      </c>
      <c r="B34" s="319">
        <f t="shared" si="13"/>
        <v>0</v>
      </c>
      <c r="C34" s="340" t="s">
        <v>1247</v>
      </c>
      <c r="D34" s="341" t="s">
        <v>353</v>
      </c>
      <c r="E34" s="341">
        <v>8</v>
      </c>
      <c r="F34" s="341" t="str">
        <f>IF(AND(E34&lt;CharacterSheet!$V$34,'House Rules'!$B$2="available",OR('House Rules'!$B$7="Standard",AND('House Rules'!$B$7="Ranked",G33="Yes"))),"Yes","No")</f>
        <v>No</v>
      </c>
      <c r="G34" s="564" t="s">
        <v>347</v>
      </c>
      <c r="H34" s="333" t="str">
        <f>IF(C34="","",VLOOKUP(C34,Boonref2!A:B,2,FALSE))</f>
        <v>Yes</v>
      </c>
      <c r="I34" s="333"/>
      <c r="J34" s="333" t="str">
        <f>VLOOKUP(C34,BoonRef!A:Z,17,FALSE)</f>
        <v>Yes</v>
      </c>
      <c r="K34" s="333" t="str">
        <f>IF(J34="God",'House Rules'!$B$2,IF(J34="Demi",'House Rules'!$B$1,IF(J34="Comp",'House Rules'!$B$4,IF(J34="Yaz",'House Rules'!$B$5,IF(J34="Rag",'House Rules'!$B$3,"Available")))))</f>
        <v>Available</v>
      </c>
      <c r="L34" s="333"/>
      <c r="M34" s="333"/>
      <c r="N34" s="340" t="s">
        <v>1361</v>
      </c>
      <c r="O34" s="341" t="s">
        <v>179</v>
      </c>
      <c r="P34" s="341" t="str">
        <f>IF('House Rules'!$B$4="Prohibited","No",IF(O34&lt;CharacterSheet!$V$34,"Yes","No"))</f>
        <v>No</v>
      </c>
      <c r="Q34" s="341">
        <v>3</v>
      </c>
      <c r="R34" s="344" t="s">
        <v>346</v>
      </c>
      <c r="S34" s="317"/>
      <c r="T34" s="319">
        <f t="shared" si="40"/>
        <v>0</v>
      </c>
      <c r="U34" s="345" t="s">
        <v>2420</v>
      </c>
      <c r="V34" s="341" t="s">
        <v>1114</v>
      </c>
      <c r="W34" s="346" t="s">
        <v>38</v>
      </c>
      <c r="X34" s="341">
        <v>3</v>
      </c>
      <c r="Y34" s="347" t="str">
        <f>IF(AND($D$2="Arete",CharacterSheet!$E$54&gt;2,CharacterSheet!$V$34&gt;X34,'House Rules'!$B$6="Free",'House Rules'!$D$6=W34),"Free",IF(AND($D$2="Arete",CharacterSheet!$E$54&gt;2,CharacterSheet!$V$34&gt;X34,Z33="Yes"),"Yes","No"))</f>
        <v>No</v>
      </c>
      <c r="Z34" s="572" t="s">
        <v>347</v>
      </c>
      <c r="AA34" s="556"/>
      <c r="AB34" s="319">
        <f t="shared" si="41"/>
        <v>0</v>
      </c>
      <c r="AC34" s="345" t="s">
        <v>2520</v>
      </c>
      <c r="AD34" s="341" t="s">
        <v>1114</v>
      </c>
      <c r="AE34" s="346" t="s">
        <v>48</v>
      </c>
      <c r="AF34" s="341">
        <v>3</v>
      </c>
      <c r="AG34" s="347" t="str">
        <f>IF(AND($D$2="Arete",CharacterSheet!$M$54&gt;2,CharacterSheet!$V$34&gt;AF34,'House Rules'!$B$6="Free",'House Rules'!$D$6=AE34),"Free",IF(AND($D$2="Arete",CharacterSheet!$M$54&gt;2,CharacterSheet!$V$34&gt;AF34,AH33="Yes"),"Yes","No"))</f>
        <v>No</v>
      </c>
      <c r="AH34" s="572" t="s">
        <v>347</v>
      </c>
      <c r="AJ34" s="319">
        <f t="shared" si="42"/>
        <v>0</v>
      </c>
      <c r="AK34" s="345" t="s">
        <v>2620</v>
      </c>
      <c r="AL34" s="341" t="s">
        <v>1114</v>
      </c>
      <c r="AM34" s="346" t="str">
        <f t="shared" ref="AM34" si="45">AM32</f>
        <v>Science</v>
      </c>
      <c r="AN34" s="341">
        <v>3</v>
      </c>
      <c r="AO34" s="347" t="str">
        <f>IF(AND($D$2="Arete",$AS$38&gt;2,CharacterSheet!$V$34&gt;AN34,'House Rules'!$B$6="Free",'House Rules'!$D$6=AM34),"Free",IF(AND($D$2="Arete",$AS$38&gt;2,CharacterSheet!$V$34&gt;AN34,AP33="Yes"),"Yes","No"))</f>
        <v>No</v>
      </c>
      <c r="AP34" s="348" t="s">
        <v>347</v>
      </c>
      <c r="BF34" s="319">
        <f t="shared" si="43"/>
        <v>0</v>
      </c>
      <c r="BG34" s="345" t="s">
        <v>2590</v>
      </c>
      <c r="BI34" s="319">
        <f t="shared" si="9"/>
        <v>0</v>
      </c>
      <c r="BJ34" s="319">
        <f t="shared" si="36"/>
        <v>0</v>
      </c>
      <c r="BK34" s="319">
        <f t="shared" si="36"/>
        <v>0</v>
      </c>
      <c r="BL34" s="319">
        <f t="shared" si="36"/>
        <v>0</v>
      </c>
      <c r="BM34" s="319">
        <f t="shared" si="36"/>
        <v>0</v>
      </c>
      <c r="BN34" s="319">
        <f t="shared" si="36"/>
        <v>0</v>
      </c>
      <c r="BO34" s="319">
        <f t="shared" si="36"/>
        <v>0</v>
      </c>
      <c r="BP34" s="319">
        <f t="shared" si="36"/>
        <v>0</v>
      </c>
      <c r="BQ34" s="319">
        <f t="shared" si="36"/>
        <v>0</v>
      </c>
      <c r="BR34" s="319">
        <f t="shared" si="36"/>
        <v>0</v>
      </c>
      <c r="BS34" s="319">
        <f t="shared" si="36"/>
        <v>0</v>
      </c>
      <c r="BT34" s="319">
        <f t="shared" si="36"/>
        <v>0</v>
      </c>
      <c r="BU34" s="319">
        <f t="shared" si="36"/>
        <v>0</v>
      </c>
      <c r="BV34" s="319">
        <f t="shared" si="36"/>
        <v>0</v>
      </c>
      <c r="BW34" s="319">
        <f t="shared" si="36"/>
        <v>0</v>
      </c>
      <c r="BX34" s="319">
        <f t="shared" si="36"/>
        <v>0</v>
      </c>
      <c r="BY34" s="319">
        <f t="shared" si="36"/>
        <v>0</v>
      </c>
      <c r="BZ34" s="319">
        <f t="shared" si="36"/>
        <v>0</v>
      </c>
      <c r="CA34" s="319">
        <f t="shared" si="36"/>
        <v>0</v>
      </c>
      <c r="CB34" s="319">
        <f t="shared" si="36"/>
        <v>0</v>
      </c>
      <c r="CC34" s="319">
        <f t="shared" si="36"/>
        <v>0</v>
      </c>
      <c r="CD34" s="319">
        <f t="shared" si="36"/>
        <v>0</v>
      </c>
      <c r="CE34" s="319">
        <f t="shared" si="36"/>
        <v>0</v>
      </c>
      <c r="CF34" s="319">
        <f t="shared" si="36"/>
        <v>0</v>
      </c>
      <c r="CG34" s="319">
        <f t="shared" si="36"/>
        <v>0</v>
      </c>
      <c r="CH34" s="319">
        <f t="shared" si="36"/>
        <v>0</v>
      </c>
      <c r="CI34" s="319">
        <f t="shared" si="36"/>
        <v>0</v>
      </c>
      <c r="CJ34" s="319">
        <f t="shared" si="36"/>
        <v>0</v>
      </c>
      <c r="CK34" s="319">
        <f t="shared" si="36"/>
        <v>0</v>
      </c>
      <c r="CL34" s="319">
        <f t="shared" si="36"/>
        <v>0</v>
      </c>
      <c r="CM34" s="319">
        <f t="shared" si="36"/>
        <v>0</v>
      </c>
      <c r="CN34" s="319">
        <f t="shared" si="36"/>
        <v>0</v>
      </c>
      <c r="CO34" s="319">
        <f t="shared" si="36"/>
        <v>0</v>
      </c>
      <c r="CP34" s="319">
        <f t="shared" si="36"/>
        <v>0</v>
      </c>
      <c r="CQ34" s="319">
        <f t="shared" si="36"/>
        <v>0</v>
      </c>
      <c r="CR34" s="319">
        <f t="shared" si="36"/>
        <v>0</v>
      </c>
      <c r="CS34" s="319">
        <f t="shared" si="36"/>
        <v>0</v>
      </c>
      <c r="CT34" s="319">
        <f t="shared" si="36"/>
        <v>0</v>
      </c>
      <c r="CU34" s="319">
        <f t="shared" si="36"/>
        <v>0</v>
      </c>
      <c r="CV34" s="319">
        <f t="shared" si="36"/>
        <v>0</v>
      </c>
    </row>
    <row r="35" spans="1:100" x14ac:dyDescent="0.25">
      <c r="A35" s="319">
        <f t="shared" si="3"/>
        <v>0</v>
      </c>
      <c r="B35" s="319">
        <f t="shared" si="13"/>
        <v>0</v>
      </c>
      <c r="C35" s="340" t="s">
        <v>1382</v>
      </c>
      <c r="D35" s="341" t="s">
        <v>353</v>
      </c>
      <c r="E35" s="341">
        <v>8</v>
      </c>
      <c r="F35" s="341" t="str">
        <f>IF(AND(E35&lt;CharacterSheet!$V$34,'House Rules'!$B$4="Available",OR('House Rules'!$B$7="Standard",AND('House Rules'!$B$7="Ranked",G33="Yes"))),"Yes","No")</f>
        <v>No</v>
      </c>
      <c r="G35" s="564" t="s">
        <v>347</v>
      </c>
      <c r="H35" s="333" t="str">
        <f>IF(C35="","",VLOOKUP(C35,Boonref2!A:B,2,FALSE))</f>
        <v>Yes</v>
      </c>
      <c r="I35" s="333"/>
      <c r="J35" s="333" t="str">
        <f>VLOOKUP(C35,BoonRef!A:Z,17,FALSE)</f>
        <v>Yes</v>
      </c>
      <c r="K35" s="333" t="str">
        <f>IF(J35="God",'House Rules'!$B$2,IF(J35="Demi",'House Rules'!$B$1,IF(J35="Comp",'House Rules'!$B$4,IF(J35="Yaz",'House Rules'!$B$5,IF(J35="Rag",'House Rules'!$B$3,"Available")))))</f>
        <v>Available</v>
      </c>
      <c r="L35" s="333"/>
      <c r="M35" s="333"/>
      <c r="N35" s="340" t="s">
        <v>1362</v>
      </c>
      <c r="O35" s="341" t="s">
        <v>179</v>
      </c>
      <c r="P35" s="341" t="str">
        <f>IF('House Rules'!$B$4="Prohibited","No",IF(O35&lt;CharacterSheet!$V$34,"Yes","No"))</f>
        <v>No</v>
      </c>
      <c r="Q35" s="341">
        <v>4</v>
      </c>
      <c r="R35" s="344" t="s">
        <v>346</v>
      </c>
      <c r="S35" s="317"/>
      <c r="T35" s="319">
        <f t="shared" si="40"/>
        <v>0</v>
      </c>
      <c r="U35" s="345" t="s">
        <v>2421</v>
      </c>
      <c r="V35" s="341" t="s">
        <v>1207</v>
      </c>
      <c r="W35" s="346" t="s">
        <v>38</v>
      </c>
      <c r="X35" s="341">
        <v>4</v>
      </c>
      <c r="Y35" s="347" t="str">
        <f>IF(AND($D$2="Arete",CharacterSheet!$E$54&gt;2,CharacterSheet!$V$34&gt;X35,'House Rules'!$B$6="Free",'House Rules'!$D$6=W35),"Free",IF(AND($D$2="Arete",CharacterSheet!$E$54&gt;2,CharacterSheet!$V$34&gt;X35,Z34="Yes"),"Yes","No"))</f>
        <v>No</v>
      </c>
      <c r="Z35" s="572" t="s">
        <v>347</v>
      </c>
      <c r="AA35" s="556"/>
      <c r="AB35" s="319">
        <f t="shared" si="41"/>
        <v>0</v>
      </c>
      <c r="AC35" s="345" t="s">
        <v>2521</v>
      </c>
      <c r="AD35" s="341" t="s">
        <v>1207</v>
      </c>
      <c r="AE35" s="346" t="s">
        <v>48</v>
      </c>
      <c r="AF35" s="341">
        <v>4</v>
      </c>
      <c r="AG35" s="347" t="str">
        <f>IF(AND($D$2="Arete",CharacterSheet!$M$54&gt;2,CharacterSheet!$V$34&gt;AF35,'House Rules'!$B$6="Free",'House Rules'!$D$6=AE35),"Free",IF(AND($D$2="Arete",CharacterSheet!$M$54&gt;2,CharacterSheet!$V$34&gt;AF35,AH34="Yes"),"Yes","No"))</f>
        <v>No</v>
      </c>
      <c r="AH35" s="572" t="s">
        <v>347</v>
      </c>
      <c r="AJ35" s="319">
        <f t="shared" si="42"/>
        <v>0</v>
      </c>
      <c r="AK35" s="345" t="s">
        <v>2621</v>
      </c>
      <c r="AL35" s="341" t="s">
        <v>1207</v>
      </c>
      <c r="AM35" s="346" t="str">
        <f t="shared" ref="AM35" si="46">AM32</f>
        <v>Science</v>
      </c>
      <c r="AN35" s="341">
        <v>4</v>
      </c>
      <c r="AO35" s="347" t="str">
        <f>IF(AND($D$2="Arete",$AS$38&gt;2,CharacterSheet!$V$34&gt;AN35,'House Rules'!$B$6="Free",'House Rules'!$D$6=AM35),"Free",IF(AND($D$2="Arete",$AS$38&gt;2,CharacterSheet!$V$34&gt;AN35,AP34="Yes"),"Yes","No"))</f>
        <v>No</v>
      </c>
      <c r="AP35" s="348" t="s">
        <v>347</v>
      </c>
      <c r="AR35" s="351" t="s">
        <v>55</v>
      </c>
      <c r="AS35" s="319">
        <f>IF(AP42="Single",LARGE(AV4:AV13,1),SUM(AV4:AV13))</f>
        <v>0</v>
      </c>
      <c r="BF35" s="319">
        <f t="shared" si="43"/>
        <v>0</v>
      </c>
      <c r="BG35" s="345" t="s">
        <v>2591</v>
      </c>
      <c r="BI35" s="319">
        <f t="shared" si="9"/>
        <v>0</v>
      </c>
      <c r="BJ35" s="319">
        <f t="shared" si="36"/>
        <v>0</v>
      </c>
      <c r="BK35" s="319">
        <f t="shared" si="36"/>
        <v>0</v>
      </c>
      <c r="BL35" s="319">
        <f t="shared" si="36"/>
        <v>0</v>
      </c>
      <c r="BM35" s="319">
        <f t="shared" ref="BJ35:CV41" si="47">IF(AND($D35=BM$1,$G35="Yes"),$E35,0)</f>
        <v>0</v>
      </c>
      <c r="BN35" s="319">
        <f t="shared" si="47"/>
        <v>0</v>
      </c>
      <c r="BO35" s="319">
        <f t="shared" si="47"/>
        <v>0</v>
      </c>
      <c r="BP35" s="319">
        <f t="shared" si="47"/>
        <v>0</v>
      </c>
      <c r="BQ35" s="319">
        <f t="shared" si="47"/>
        <v>0</v>
      </c>
      <c r="BR35" s="319">
        <f t="shared" si="47"/>
        <v>0</v>
      </c>
      <c r="BS35" s="319">
        <f t="shared" si="47"/>
        <v>0</v>
      </c>
      <c r="BT35" s="319">
        <f t="shared" si="47"/>
        <v>0</v>
      </c>
      <c r="BU35" s="319">
        <f t="shared" si="47"/>
        <v>0</v>
      </c>
      <c r="BV35" s="319">
        <f t="shared" si="47"/>
        <v>0</v>
      </c>
      <c r="BW35" s="319">
        <f t="shared" si="47"/>
        <v>0</v>
      </c>
      <c r="BX35" s="319">
        <f t="shared" si="47"/>
        <v>0</v>
      </c>
      <c r="BY35" s="319">
        <f t="shared" si="47"/>
        <v>0</v>
      </c>
      <c r="BZ35" s="319">
        <f t="shared" si="47"/>
        <v>0</v>
      </c>
      <c r="CA35" s="319">
        <f t="shared" si="47"/>
        <v>0</v>
      </c>
      <c r="CB35" s="319">
        <f t="shared" si="47"/>
        <v>0</v>
      </c>
      <c r="CC35" s="319">
        <f t="shared" si="47"/>
        <v>0</v>
      </c>
      <c r="CD35" s="319">
        <f t="shared" si="47"/>
        <v>0</v>
      </c>
      <c r="CE35" s="319">
        <f t="shared" si="47"/>
        <v>0</v>
      </c>
      <c r="CF35" s="319">
        <f t="shared" si="47"/>
        <v>0</v>
      </c>
      <c r="CG35" s="319">
        <f t="shared" si="47"/>
        <v>0</v>
      </c>
      <c r="CH35" s="319">
        <f t="shared" si="47"/>
        <v>0</v>
      </c>
      <c r="CI35" s="319">
        <f t="shared" si="47"/>
        <v>0</v>
      </c>
      <c r="CJ35" s="319">
        <f t="shared" si="47"/>
        <v>0</v>
      </c>
      <c r="CK35" s="319">
        <f t="shared" si="47"/>
        <v>0</v>
      </c>
      <c r="CL35" s="319">
        <f t="shared" si="47"/>
        <v>0</v>
      </c>
      <c r="CM35" s="319">
        <f t="shared" si="47"/>
        <v>0</v>
      </c>
      <c r="CN35" s="319">
        <f t="shared" si="47"/>
        <v>0</v>
      </c>
      <c r="CO35" s="319">
        <f t="shared" si="47"/>
        <v>0</v>
      </c>
      <c r="CP35" s="319">
        <f t="shared" si="47"/>
        <v>0</v>
      </c>
      <c r="CQ35" s="319">
        <f t="shared" si="47"/>
        <v>0</v>
      </c>
      <c r="CR35" s="319">
        <f t="shared" si="47"/>
        <v>0</v>
      </c>
      <c r="CS35" s="319">
        <f t="shared" si="47"/>
        <v>0</v>
      </c>
      <c r="CT35" s="319">
        <f t="shared" si="47"/>
        <v>0</v>
      </c>
      <c r="CU35" s="319">
        <f t="shared" si="47"/>
        <v>0</v>
      </c>
      <c r="CV35" s="319">
        <f t="shared" si="47"/>
        <v>0</v>
      </c>
    </row>
    <row r="36" spans="1:100" x14ac:dyDescent="0.25">
      <c r="A36" s="319">
        <f t="shared" si="3"/>
        <v>0</v>
      </c>
      <c r="B36" s="319">
        <f t="shared" si="13"/>
        <v>0</v>
      </c>
      <c r="C36" s="340" t="s">
        <v>2629</v>
      </c>
      <c r="D36" s="341" t="s">
        <v>353</v>
      </c>
      <c r="E36" s="341">
        <v>8</v>
      </c>
      <c r="F36" s="341" t="str">
        <f>IF(AND(E35&lt;CharacterSheet!$V$34,'House Rules'!$B$3="Available",OR('House Rules'!$B$7="Standard",AND('House Rules'!$B$7="Ranked",G33="Yes"))),"Yes","No")</f>
        <v>No</v>
      </c>
      <c r="G36" s="564" t="s">
        <v>347</v>
      </c>
      <c r="H36" s="333" t="str">
        <f>IF(C36="","",VLOOKUP(C36,Boonref2!A:B,2,FALSE))</f>
        <v>Yes</v>
      </c>
      <c r="I36" s="333"/>
      <c r="J36" s="333" t="str">
        <f>VLOOKUP(C36,BoonRef!A:Z,17,FALSE)</f>
        <v>Yes</v>
      </c>
      <c r="K36" s="333" t="str">
        <f>IF(J36="God",'House Rules'!$B$2,IF(J36="Demi",'House Rules'!$B$1,IF(J36="Comp",'House Rules'!$B$4,IF(J36="Yaz",'House Rules'!$B$5,IF(J36="Rag",'House Rules'!$B$3,"Available")))))</f>
        <v>Available</v>
      </c>
      <c r="L36" s="333"/>
      <c r="M36" s="333"/>
      <c r="N36" s="340" t="s">
        <v>1363</v>
      </c>
      <c r="O36" s="341" t="s">
        <v>179</v>
      </c>
      <c r="P36" s="341" t="str">
        <f>IF('House Rules'!$B$4="Prohibited","No",IF(O36&lt;CharacterSheet!$V$34,"Yes","No"))</f>
        <v>No</v>
      </c>
      <c r="Q36" s="341">
        <v>5</v>
      </c>
      <c r="R36" s="344" t="s">
        <v>346</v>
      </c>
      <c r="S36" s="317"/>
      <c r="T36" s="319">
        <f t="shared" si="40"/>
        <v>0</v>
      </c>
      <c r="U36" s="345" t="s">
        <v>2422</v>
      </c>
      <c r="V36" s="341" t="s">
        <v>1208</v>
      </c>
      <c r="W36" s="346" t="s">
        <v>38</v>
      </c>
      <c r="X36" s="341">
        <v>5</v>
      </c>
      <c r="Y36" s="347" t="str">
        <f>IF(AND($D$2="Arete",CharacterSheet!$E$54&gt;2,CharacterSheet!$V$34&gt;X36,'House Rules'!$B$6="Free",'House Rules'!$D$6=W36),"Free",IF(AND($D$2="Arete",CharacterSheet!$E$54&gt;2,CharacterSheet!$V$34&gt;X36,Z35="Yes"),"Yes","No"))</f>
        <v>No</v>
      </c>
      <c r="Z36" s="572" t="s">
        <v>347</v>
      </c>
      <c r="AA36" s="556"/>
      <c r="AB36" s="319">
        <f t="shared" si="41"/>
        <v>0</v>
      </c>
      <c r="AC36" s="345" t="s">
        <v>2522</v>
      </c>
      <c r="AD36" s="341" t="s">
        <v>1208</v>
      </c>
      <c r="AE36" s="346" t="s">
        <v>48</v>
      </c>
      <c r="AF36" s="341">
        <v>5</v>
      </c>
      <c r="AG36" s="347" t="str">
        <f>IF(AND($D$2="Arete",CharacterSheet!$M$54&gt;2,CharacterSheet!$V$34&gt;AF36,'House Rules'!$B$6="Free",'House Rules'!$D$6=AE36),"Free",IF(AND($D$2="Arete",CharacterSheet!$M$54&gt;2,CharacterSheet!$V$34&gt;AF36,AH35="Yes"),"Yes","No"))</f>
        <v>No</v>
      </c>
      <c r="AH36" s="572" t="s">
        <v>347</v>
      </c>
      <c r="AJ36" s="319">
        <f t="shared" si="42"/>
        <v>0</v>
      </c>
      <c r="AK36" s="345" t="s">
        <v>2622</v>
      </c>
      <c r="AL36" s="341" t="s">
        <v>1208</v>
      </c>
      <c r="AM36" s="346" t="str">
        <f t="shared" ref="AM36" si="48">AM32</f>
        <v>Science</v>
      </c>
      <c r="AN36" s="341">
        <v>5</v>
      </c>
      <c r="AO36" s="347" t="str">
        <f>IF(AND($D$2="Arete",$AS$38&gt;2,CharacterSheet!$V$34&gt;AN36,'House Rules'!$B$6="Free",'House Rules'!$D$6=AM36),"Free",IF(AND($D$2="Arete",$AS$38&gt;2,CharacterSheet!$V$34&gt;AN36,AP35="Yes"),"Yes","No"))</f>
        <v>No</v>
      </c>
      <c r="AP36" s="348" t="s">
        <v>347</v>
      </c>
      <c r="AR36" s="351" t="s">
        <v>56</v>
      </c>
      <c r="AS36" s="325">
        <f>IF(AP42="Single",LARGE(AX4:AX13,1),SUM(AX4:AX13))</f>
        <v>0</v>
      </c>
      <c r="BF36" s="319">
        <f t="shared" si="43"/>
        <v>0</v>
      </c>
      <c r="BG36" s="345" t="s">
        <v>2592</v>
      </c>
      <c r="BI36" s="319">
        <f t="shared" si="9"/>
        <v>0</v>
      </c>
      <c r="BJ36" s="319">
        <f t="shared" si="47"/>
        <v>0</v>
      </c>
      <c r="BK36" s="319">
        <f t="shared" si="47"/>
        <v>0</v>
      </c>
      <c r="BL36" s="319">
        <f t="shared" si="47"/>
        <v>0</v>
      </c>
      <c r="BM36" s="319">
        <f t="shared" si="47"/>
        <v>0</v>
      </c>
      <c r="BN36" s="319">
        <f t="shared" si="47"/>
        <v>0</v>
      </c>
      <c r="BO36" s="319">
        <f t="shared" si="47"/>
        <v>0</v>
      </c>
      <c r="BP36" s="319">
        <f t="shared" si="47"/>
        <v>0</v>
      </c>
      <c r="BQ36" s="319">
        <f t="shared" si="47"/>
        <v>0</v>
      </c>
      <c r="BR36" s="319">
        <f t="shared" si="47"/>
        <v>0</v>
      </c>
      <c r="BS36" s="319">
        <f t="shared" si="47"/>
        <v>0</v>
      </c>
      <c r="BT36" s="319">
        <f t="shared" si="47"/>
        <v>0</v>
      </c>
      <c r="BU36" s="319">
        <f t="shared" si="47"/>
        <v>0</v>
      </c>
      <c r="BV36" s="319">
        <f t="shared" si="47"/>
        <v>0</v>
      </c>
      <c r="BW36" s="319">
        <f t="shared" si="47"/>
        <v>0</v>
      </c>
      <c r="BX36" s="319">
        <f t="shared" si="47"/>
        <v>0</v>
      </c>
      <c r="BY36" s="319">
        <f t="shared" si="47"/>
        <v>0</v>
      </c>
      <c r="BZ36" s="319">
        <f t="shared" si="47"/>
        <v>0</v>
      </c>
      <c r="CA36" s="319">
        <f t="shared" si="47"/>
        <v>0</v>
      </c>
      <c r="CB36" s="319">
        <f t="shared" si="47"/>
        <v>0</v>
      </c>
      <c r="CC36" s="319">
        <f t="shared" si="47"/>
        <v>0</v>
      </c>
      <c r="CD36" s="319">
        <f t="shared" si="47"/>
        <v>0</v>
      </c>
      <c r="CE36" s="319">
        <f t="shared" si="47"/>
        <v>0</v>
      </c>
      <c r="CF36" s="319">
        <f t="shared" si="47"/>
        <v>0</v>
      </c>
      <c r="CG36" s="319">
        <f t="shared" si="47"/>
        <v>0</v>
      </c>
      <c r="CH36" s="319">
        <f t="shared" si="47"/>
        <v>0</v>
      </c>
      <c r="CI36" s="319">
        <f t="shared" si="47"/>
        <v>0</v>
      </c>
      <c r="CJ36" s="319">
        <f t="shared" si="47"/>
        <v>0</v>
      </c>
      <c r="CK36" s="319">
        <f t="shared" si="47"/>
        <v>0</v>
      </c>
      <c r="CL36" s="319">
        <f t="shared" si="47"/>
        <v>0</v>
      </c>
      <c r="CM36" s="319">
        <f t="shared" si="47"/>
        <v>0</v>
      </c>
      <c r="CN36" s="319">
        <f t="shared" si="47"/>
        <v>0</v>
      </c>
      <c r="CO36" s="319">
        <f t="shared" si="47"/>
        <v>0</v>
      </c>
      <c r="CP36" s="319">
        <f t="shared" si="47"/>
        <v>0</v>
      </c>
      <c r="CQ36" s="319">
        <f t="shared" si="47"/>
        <v>0</v>
      </c>
      <c r="CR36" s="319">
        <f t="shared" si="47"/>
        <v>0</v>
      </c>
      <c r="CS36" s="319">
        <f t="shared" si="47"/>
        <v>0</v>
      </c>
      <c r="CT36" s="319">
        <f t="shared" si="47"/>
        <v>0</v>
      </c>
      <c r="CU36" s="319">
        <f t="shared" si="47"/>
        <v>0</v>
      </c>
      <c r="CV36" s="319">
        <f t="shared" si="47"/>
        <v>0</v>
      </c>
    </row>
    <row r="37" spans="1:100" x14ac:dyDescent="0.25">
      <c r="A37" s="319">
        <f t="shared" si="3"/>
        <v>0</v>
      </c>
      <c r="B37" s="319">
        <f t="shared" si="13"/>
        <v>0</v>
      </c>
      <c r="C37" s="340" t="s">
        <v>1248</v>
      </c>
      <c r="D37" s="341" t="s">
        <v>353</v>
      </c>
      <c r="E37" s="341">
        <v>9</v>
      </c>
      <c r="F37" s="341" t="str">
        <f>IF(AND(E37&lt;CharacterSheet!$V$34,'House Rules'!$B$2="available",OR('House Rules'!$B$7="Standard",AND('House Rules'!$B$7="Ranked",OR(G35="Yes",G36="Yes",G34="Yes")))),"Yes","No")</f>
        <v>No</v>
      </c>
      <c r="G37" s="564" t="s">
        <v>347</v>
      </c>
      <c r="H37" s="333" t="str">
        <f>IF(C37="","",VLOOKUP(C37,Boonref2!A:B,2,FALSE))</f>
        <v>Yes</v>
      </c>
      <c r="I37" s="333"/>
      <c r="J37" s="333" t="str">
        <f>VLOOKUP(C37,BoonRef!A:Z,17,FALSE)</f>
        <v>Yes</v>
      </c>
      <c r="K37" s="333" t="str">
        <f>IF(J37="God",'House Rules'!$B$2,IF(J37="Demi",'House Rules'!$B$1,IF(J37="Comp",'House Rules'!$B$4,IF(J37="Yaz",'House Rules'!$B$5,IF(J37="Rag",'House Rules'!$B$3,"Available")))))</f>
        <v>Available</v>
      </c>
      <c r="L37" s="333"/>
      <c r="M37" s="333"/>
      <c r="N37" s="340" t="s">
        <v>1364</v>
      </c>
      <c r="O37" s="341" t="s">
        <v>179</v>
      </c>
      <c r="P37" s="341" t="str">
        <f>IF('House Rules'!$B$4="Prohibited","No",IF(O37&lt;CharacterSheet!$V$34,"Yes","No"))</f>
        <v>No</v>
      </c>
      <c r="Q37" s="341">
        <v>6</v>
      </c>
      <c r="R37" s="344" t="s">
        <v>346</v>
      </c>
      <c r="S37" s="317"/>
      <c r="T37" s="319">
        <f t="shared" si="40"/>
        <v>0</v>
      </c>
      <c r="U37" s="345" t="s">
        <v>2423</v>
      </c>
      <c r="V37" s="341" t="s">
        <v>1209</v>
      </c>
      <c r="W37" s="346" t="s">
        <v>38</v>
      </c>
      <c r="X37" s="341">
        <v>6</v>
      </c>
      <c r="Y37" s="347" t="str">
        <f>IF(AND($D$2="Arete",CharacterSheet!$E$54&gt;2,CharacterSheet!$V$34&gt;X37,'House Rules'!$B$6="Free",'House Rules'!$D$6=W37),"Free",IF(AND($D$2="Arete",CharacterSheet!$E$54&gt;2,CharacterSheet!$V$34&gt;X37,Z36="Yes"),"Yes","No"))</f>
        <v>No</v>
      </c>
      <c r="Z37" s="572" t="s">
        <v>347</v>
      </c>
      <c r="AA37" s="556"/>
      <c r="AB37" s="319">
        <f t="shared" si="41"/>
        <v>0</v>
      </c>
      <c r="AC37" s="345" t="s">
        <v>2523</v>
      </c>
      <c r="AD37" s="341" t="s">
        <v>1209</v>
      </c>
      <c r="AE37" s="346" t="s">
        <v>48</v>
      </c>
      <c r="AF37" s="341">
        <v>6</v>
      </c>
      <c r="AG37" s="347" t="str">
        <f>IF(AND($D$2="Arete",CharacterSheet!$M$54&gt;2,CharacterSheet!$V$34&gt;AF37,'House Rules'!$B$6="Free",'House Rules'!$D$6=AE37),"Free",IF(AND($D$2="Arete",CharacterSheet!$M$54&gt;2,CharacterSheet!$V$34&gt;AF37,AH36="Yes"),"Yes","No"))</f>
        <v>No</v>
      </c>
      <c r="AH37" s="572" t="s">
        <v>347</v>
      </c>
      <c r="AJ37" s="319">
        <f t="shared" si="42"/>
        <v>0</v>
      </c>
      <c r="AK37" s="345" t="s">
        <v>2623</v>
      </c>
      <c r="AL37" s="341" t="s">
        <v>1209</v>
      </c>
      <c r="AM37" s="346" t="str">
        <f t="shared" ref="AM37" si="49">AM32</f>
        <v>Science</v>
      </c>
      <c r="AN37" s="341">
        <v>6</v>
      </c>
      <c r="AO37" s="347" t="str">
        <f>IF(AND($D$2="Arete",$AS$38&gt;2,CharacterSheet!$V$34&gt;AN37,'House Rules'!$B$6="Free",'House Rules'!$D$6=AM37),"Free",IF(AND($D$2="Arete",$AS$38&gt;2,CharacterSheet!$V$34&gt;AN37,AP36="Yes"),"Yes","No"))</f>
        <v>No</v>
      </c>
      <c r="AP37" s="348" t="s">
        <v>347</v>
      </c>
      <c r="AR37" s="351" t="s">
        <v>57</v>
      </c>
      <c r="AS37" s="319">
        <f>IF(AP42="Single",LARGE(AZ4:AZ13,1),SUM(AZ4:AZ13))</f>
        <v>0</v>
      </c>
      <c r="BF37" s="319">
        <f t="shared" si="43"/>
        <v>0</v>
      </c>
      <c r="BG37" s="345" t="s">
        <v>2593</v>
      </c>
      <c r="BI37" s="319">
        <f t="shared" si="9"/>
        <v>0</v>
      </c>
      <c r="BJ37" s="319">
        <f t="shared" si="47"/>
        <v>0</v>
      </c>
      <c r="BK37" s="319">
        <f t="shared" si="47"/>
        <v>0</v>
      </c>
      <c r="BL37" s="319">
        <f t="shared" si="47"/>
        <v>0</v>
      </c>
      <c r="BM37" s="319">
        <f t="shared" si="47"/>
        <v>0</v>
      </c>
      <c r="BN37" s="319">
        <f t="shared" si="47"/>
        <v>0</v>
      </c>
      <c r="BO37" s="319">
        <f t="shared" si="47"/>
        <v>0</v>
      </c>
      <c r="BP37" s="319">
        <f t="shared" si="47"/>
        <v>0</v>
      </c>
      <c r="BQ37" s="319">
        <f t="shared" si="47"/>
        <v>0</v>
      </c>
      <c r="BR37" s="319">
        <f t="shared" si="47"/>
        <v>0</v>
      </c>
      <c r="BS37" s="319">
        <f t="shared" si="47"/>
        <v>0</v>
      </c>
      <c r="BT37" s="319">
        <f t="shared" si="47"/>
        <v>0</v>
      </c>
      <c r="BU37" s="319">
        <f t="shared" si="47"/>
        <v>0</v>
      </c>
      <c r="BV37" s="319">
        <f t="shared" si="47"/>
        <v>0</v>
      </c>
      <c r="BW37" s="319">
        <f t="shared" si="47"/>
        <v>0</v>
      </c>
      <c r="BX37" s="319">
        <f t="shared" si="47"/>
        <v>0</v>
      </c>
      <c r="BY37" s="319">
        <f t="shared" si="47"/>
        <v>0</v>
      </c>
      <c r="BZ37" s="319">
        <f t="shared" si="47"/>
        <v>0</v>
      </c>
      <c r="CA37" s="319">
        <f t="shared" si="47"/>
        <v>0</v>
      </c>
      <c r="CB37" s="319">
        <f t="shared" si="47"/>
        <v>0</v>
      </c>
      <c r="CC37" s="319">
        <f t="shared" si="47"/>
        <v>0</v>
      </c>
      <c r="CD37" s="319">
        <f t="shared" si="47"/>
        <v>0</v>
      </c>
      <c r="CE37" s="319">
        <f t="shared" si="47"/>
        <v>0</v>
      </c>
      <c r="CF37" s="319">
        <f t="shared" si="47"/>
        <v>0</v>
      </c>
      <c r="CG37" s="319">
        <f t="shared" si="47"/>
        <v>0</v>
      </c>
      <c r="CH37" s="319">
        <f t="shared" si="47"/>
        <v>0</v>
      </c>
      <c r="CI37" s="319">
        <f t="shared" si="47"/>
        <v>0</v>
      </c>
      <c r="CJ37" s="319">
        <f t="shared" si="47"/>
        <v>0</v>
      </c>
      <c r="CK37" s="319">
        <f t="shared" si="47"/>
        <v>0</v>
      </c>
      <c r="CL37" s="319">
        <f t="shared" si="47"/>
        <v>0</v>
      </c>
      <c r="CM37" s="319">
        <f t="shared" si="47"/>
        <v>0</v>
      </c>
      <c r="CN37" s="319">
        <f t="shared" si="47"/>
        <v>0</v>
      </c>
      <c r="CO37" s="319">
        <f t="shared" si="47"/>
        <v>0</v>
      </c>
      <c r="CP37" s="319">
        <f t="shared" si="47"/>
        <v>0</v>
      </c>
      <c r="CQ37" s="319">
        <f t="shared" si="47"/>
        <v>0</v>
      </c>
      <c r="CR37" s="319">
        <f t="shared" si="47"/>
        <v>0</v>
      </c>
      <c r="CS37" s="319">
        <f t="shared" si="47"/>
        <v>0</v>
      </c>
      <c r="CT37" s="319">
        <f t="shared" si="47"/>
        <v>0</v>
      </c>
      <c r="CU37" s="319">
        <f t="shared" si="47"/>
        <v>0</v>
      </c>
      <c r="CV37" s="319">
        <f t="shared" si="47"/>
        <v>0</v>
      </c>
    </row>
    <row r="38" spans="1:100" x14ac:dyDescent="0.25">
      <c r="A38" s="319">
        <f t="shared" si="3"/>
        <v>0</v>
      </c>
      <c r="B38" s="319">
        <f t="shared" si="13"/>
        <v>0</v>
      </c>
      <c r="C38" s="340" t="s">
        <v>1249</v>
      </c>
      <c r="D38" s="341" t="s">
        <v>353</v>
      </c>
      <c r="E38" s="341">
        <v>10</v>
      </c>
      <c r="F38" s="341" t="str">
        <f>IF(AND(E38&lt;CharacterSheet!$V$34,'House Rules'!$B$2="available",OR('House Rules'!$B$7="Standard",AND('House Rules'!$B$7="Ranked",G37="Yes"))),"Yes","No")</f>
        <v>No</v>
      </c>
      <c r="G38" s="564" t="s">
        <v>347</v>
      </c>
      <c r="H38" s="333" t="str">
        <f>IF(C38="","",VLOOKUP(C38,Boonref2!A:B,2,FALSE))</f>
        <v>Yes</v>
      </c>
      <c r="I38" s="333"/>
      <c r="J38" s="333" t="str">
        <f>VLOOKUP(C38,BoonRef!A:Z,17,FALSE)</f>
        <v>Yes</v>
      </c>
      <c r="K38" s="333" t="str">
        <f>IF(J38="God",'House Rules'!$B$2,IF(J38="Demi",'House Rules'!$B$1,IF(J38="Comp",'House Rules'!$B$4,IF(J38="Yaz",'House Rules'!$B$5,IF(J38="Rag",'House Rules'!$B$3,"Available")))))</f>
        <v>Available</v>
      </c>
      <c r="L38" s="333"/>
      <c r="M38" s="333"/>
      <c r="N38" s="340" t="s">
        <v>1365</v>
      </c>
      <c r="O38" s="341" t="s">
        <v>179</v>
      </c>
      <c r="P38" s="341" t="str">
        <f>IF('House Rules'!$B$4="Prohibited","No",IF(O38&lt;CharacterSheet!$V$34,"Yes","No"))</f>
        <v>No</v>
      </c>
      <c r="Q38" s="341">
        <v>7</v>
      </c>
      <c r="R38" s="344" t="s">
        <v>346</v>
      </c>
      <c r="S38" s="317"/>
      <c r="T38" s="319">
        <f t="shared" si="40"/>
        <v>0</v>
      </c>
      <c r="U38" s="345" t="s">
        <v>2424</v>
      </c>
      <c r="V38" s="341" t="s">
        <v>1210</v>
      </c>
      <c r="W38" s="346" t="s">
        <v>38</v>
      </c>
      <c r="X38" s="341">
        <v>7</v>
      </c>
      <c r="Y38" s="347" t="str">
        <f>IF(AND($D$2="Arete",CharacterSheet!$E$54&gt;2,CharacterSheet!$V$34&gt;X38,'House Rules'!$B$6="Free",'House Rules'!$D$6=W38),"Free",IF(AND($D$2="Arete",CharacterSheet!$E$54&gt;2,CharacterSheet!$V$34&gt;X38,Z37="Yes"),"Yes","No"))</f>
        <v>No</v>
      </c>
      <c r="Z38" s="572" t="s">
        <v>347</v>
      </c>
      <c r="AA38" s="556"/>
      <c r="AB38" s="319">
        <f t="shared" si="41"/>
        <v>0</v>
      </c>
      <c r="AC38" s="345" t="s">
        <v>2524</v>
      </c>
      <c r="AD38" s="341" t="s">
        <v>1210</v>
      </c>
      <c r="AE38" s="346" t="s">
        <v>48</v>
      </c>
      <c r="AF38" s="341">
        <v>7</v>
      </c>
      <c r="AG38" s="347" t="str">
        <f>IF(AND($D$2="Arete",CharacterSheet!$M$54&gt;2,CharacterSheet!$V$34&gt;AF38,'House Rules'!$B$6="Free",'House Rules'!$D$6=AE38),"Free",IF(AND($D$2="Arete",CharacterSheet!$M$54&gt;2,CharacterSheet!$V$34&gt;AF38,AH37="Yes"),"Yes","No"))</f>
        <v>No</v>
      </c>
      <c r="AH38" s="572" t="s">
        <v>347</v>
      </c>
      <c r="AJ38" s="319">
        <f t="shared" si="42"/>
        <v>0</v>
      </c>
      <c r="AK38" s="345" t="s">
        <v>2624</v>
      </c>
      <c r="AL38" s="341" t="s">
        <v>1210</v>
      </c>
      <c r="AM38" s="346" t="str">
        <f t="shared" ref="AM38" si="50">AM32</f>
        <v>Science</v>
      </c>
      <c r="AN38" s="341">
        <v>7</v>
      </c>
      <c r="AO38" s="347" t="str">
        <f>IF(AND($D$2="Arete",$AS$38&gt;2,CharacterSheet!$V$34&gt;AN38,'House Rules'!$B$6="Free",'House Rules'!$D$6=AM38),"Free",IF(AND($D$2="Arete",$AS$38&gt;2,CharacterSheet!$V$34&gt;AN38,AP37="Yes"),"Yes","No"))</f>
        <v>No</v>
      </c>
      <c r="AP38" s="348" t="s">
        <v>347</v>
      </c>
      <c r="AR38" s="351" t="s">
        <v>58</v>
      </c>
      <c r="AS38" s="319">
        <f>IF(AP42="Single",LARGE(BB4:BB13,1),SUM(BB4:BB13))</f>
        <v>0</v>
      </c>
      <c r="BF38" s="319">
        <f t="shared" si="43"/>
        <v>0</v>
      </c>
      <c r="BG38" s="345" t="s">
        <v>2594</v>
      </c>
      <c r="BI38" s="319">
        <f t="shared" si="9"/>
        <v>0</v>
      </c>
      <c r="BJ38" s="319">
        <f t="shared" si="47"/>
        <v>0</v>
      </c>
      <c r="BK38" s="319">
        <f t="shared" si="47"/>
        <v>0</v>
      </c>
      <c r="BL38" s="319">
        <f t="shared" si="47"/>
        <v>0</v>
      </c>
      <c r="BM38" s="319">
        <f t="shared" si="47"/>
        <v>0</v>
      </c>
      <c r="BN38" s="319">
        <f t="shared" si="47"/>
        <v>0</v>
      </c>
      <c r="BO38" s="319">
        <f t="shared" si="47"/>
        <v>0</v>
      </c>
      <c r="BP38" s="319">
        <f t="shared" si="47"/>
        <v>0</v>
      </c>
      <c r="BQ38" s="319">
        <f t="shared" si="47"/>
        <v>0</v>
      </c>
      <c r="BR38" s="319">
        <f t="shared" si="47"/>
        <v>0</v>
      </c>
      <c r="BS38" s="319">
        <f t="shared" si="47"/>
        <v>0</v>
      </c>
      <c r="BT38" s="319">
        <f t="shared" si="47"/>
        <v>0</v>
      </c>
      <c r="BU38" s="319">
        <f t="shared" si="47"/>
        <v>0</v>
      </c>
      <c r="BV38" s="319">
        <f t="shared" si="47"/>
        <v>0</v>
      </c>
      <c r="BW38" s="319">
        <f t="shared" si="47"/>
        <v>0</v>
      </c>
      <c r="BX38" s="319">
        <f t="shared" si="47"/>
        <v>0</v>
      </c>
      <c r="BY38" s="319">
        <f t="shared" si="47"/>
        <v>0</v>
      </c>
      <c r="BZ38" s="319">
        <f t="shared" si="47"/>
        <v>0</v>
      </c>
      <c r="CA38" s="319">
        <f t="shared" si="47"/>
        <v>0</v>
      </c>
      <c r="CB38" s="319">
        <f t="shared" si="47"/>
        <v>0</v>
      </c>
      <c r="CC38" s="319">
        <f t="shared" si="47"/>
        <v>0</v>
      </c>
      <c r="CD38" s="319">
        <f t="shared" si="47"/>
        <v>0</v>
      </c>
      <c r="CE38" s="319">
        <f t="shared" si="47"/>
        <v>0</v>
      </c>
      <c r="CF38" s="319">
        <f t="shared" si="47"/>
        <v>0</v>
      </c>
      <c r="CG38" s="319">
        <f t="shared" si="47"/>
        <v>0</v>
      </c>
      <c r="CH38" s="319">
        <f t="shared" si="47"/>
        <v>0</v>
      </c>
      <c r="CI38" s="319">
        <f t="shared" si="47"/>
        <v>0</v>
      </c>
      <c r="CJ38" s="319">
        <f t="shared" si="47"/>
        <v>0</v>
      </c>
      <c r="CK38" s="319">
        <f t="shared" si="47"/>
        <v>0</v>
      </c>
      <c r="CL38" s="319">
        <f t="shared" si="47"/>
        <v>0</v>
      </c>
      <c r="CM38" s="319">
        <f t="shared" si="47"/>
        <v>0</v>
      </c>
      <c r="CN38" s="319">
        <f t="shared" si="47"/>
        <v>0</v>
      </c>
      <c r="CO38" s="319">
        <f t="shared" si="47"/>
        <v>0</v>
      </c>
      <c r="CP38" s="319">
        <f t="shared" si="47"/>
        <v>0</v>
      </c>
      <c r="CQ38" s="319">
        <f t="shared" si="47"/>
        <v>0</v>
      </c>
      <c r="CR38" s="319">
        <f t="shared" si="47"/>
        <v>0</v>
      </c>
      <c r="CS38" s="319">
        <f t="shared" si="47"/>
        <v>0</v>
      </c>
      <c r="CT38" s="319">
        <f t="shared" si="47"/>
        <v>0</v>
      </c>
      <c r="CU38" s="319">
        <f t="shared" si="47"/>
        <v>0</v>
      </c>
      <c r="CV38" s="319">
        <f t="shared" si="47"/>
        <v>0</v>
      </c>
    </row>
    <row r="39" spans="1:100" ht="15.75" thickBot="1" x14ac:dyDescent="0.3">
      <c r="A39" s="319">
        <f t="shared" si="3"/>
        <v>0</v>
      </c>
      <c r="B39" s="319">
        <f t="shared" si="13"/>
        <v>0</v>
      </c>
      <c r="C39" s="352" t="s">
        <v>1250</v>
      </c>
      <c r="D39" s="353" t="s">
        <v>353</v>
      </c>
      <c r="E39" s="353">
        <v>11</v>
      </c>
      <c r="F39" s="353" t="str">
        <f>IF(AND(E25&lt;CharacterSheet!$V$34,G26="Yes",G27="Yes",G28="Yes",G29="Yes",G32="Yes",G33="Yes",G37="Yes",G38="Yes",OR(G30="Yes",G31="Yes"),OR(G34="Yes",G35="Yes",G36="Yes")),"Yes","No")</f>
        <v>No</v>
      </c>
      <c r="G39" s="565" t="s">
        <v>347</v>
      </c>
      <c r="H39" s="333" t="str">
        <f>IF(C39="","",VLOOKUP(C39,Boonref2!A:B,2,FALSE))</f>
        <v>No</v>
      </c>
      <c r="I39" s="333"/>
      <c r="J39" s="333" t="str">
        <f>VLOOKUP(C39,BoonRef!A:Z,17,FALSE)</f>
        <v>Yes</v>
      </c>
      <c r="K39" s="333" t="str">
        <f>IF(J39="God",'House Rules'!$B$2,IF(J39="Demi",'House Rules'!$B$1,IF(J39="Comp",'House Rules'!$B$4,IF(J39="Yaz",'House Rules'!$B$5,IF(J39="Rag",'House Rules'!$B$3,"Available")))))</f>
        <v>Available</v>
      </c>
      <c r="L39" s="333"/>
      <c r="M39" s="333"/>
      <c r="N39" s="340" t="s">
        <v>1366</v>
      </c>
      <c r="O39" s="341" t="s">
        <v>179</v>
      </c>
      <c r="P39" s="341" t="str">
        <f>IF('House Rules'!$B$4="Prohibited","No",IF(O39&lt;CharacterSheet!$V$34,"Yes","No"))</f>
        <v>No</v>
      </c>
      <c r="Q39" s="341">
        <v>8</v>
      </c>
      <c r="R39" s="344" t="s">
        <v>346</v>
      </c>
      <c r="S39" s="317"/>
      <c r="T39" s="319">
        <f t="shared" si="40"/>
        <v>0</v>
      </c>
      <c r="U39" s="345" t="s">
        <v>2425</v>
      </c>
      <c r="V39" s="341" t="s">
        <v>1306</v>
      </c>
      <c r="W39" s="346" t="s">
        <v>38</v>
      </c>
      <c r="X39" s="341">
        <v>8</v>
      </c>
      <c r="Y39" s="347" t="str">
        <f>IF(AND($D$2="Arete",CharacterSheet!$E$54&gt;2,CharacterSheet!$V$34&gt;X39,'House Rules'!$B$6="Free",'House Rules'!$D$6=W39),"Free",IF(AND($D$2="Arete",CharacterSheet!$E$54&gt;2,CharacterSheet!$V$34&gt;X39,Z38="Yes"),"Yes","No"))</f>
        <v>No</v>
      </c>
      <c r="Z39" s="572" t="s">
        <v>347</v>
      </c>
      <c r="AA39" s="556"/>
      <c r="AB39" s="319">
        <f t="shared" si="41"/>
        <v>0</v>
      </c>
      <c r="AC39" s="345" t="s">
        <v>2525</v>
      </c>
      <c r="AD39" s="341" t="s">
        <v>1306</v>
      </c>
      <c r="AE39" s="346" t="s">
        <v>48</v>
      </c>
      <c r="AF39" s="341">
        <v>8</v>
      </c>
      <c r="AG39" s="347" t="str">
        <f>IF(AND($D$2="Arete",CharacterSheet!$M$54&gt;2,CharacterSheet!$V$34&gt;AF39,'House Rules'!$B$6="Free",'House Rules'!$D$6=AE39),"Free",IF(AND($D$2="Arete",CharacterSheet!$M$54&gt;2,CharacterSheet!$V$34&gt;AF39,AH38="Yes"),"Yes","No"))</f>
        <v>No</v>
      </c>
      <c r="AH39" s="572" t="s">
        <v>347</v>
      </c>
      <c r="AJ39" s="319">
        <f t="shared" si="42"/>
        <v>0</v>
      </c>
      <c r="AK39" s="345" t="s">
        <v>2625</v>
      </c>
      <c r="AL39" s="341" t="s">
        <v>1306</v>
      </c>
      <c r="AM39" s="346" t="str">
        <f t="shared" ref="AM39" si="51">AM32</f>
        <v>Science</v>
      </c>
      <c r="AN39" s="341">
        <v>8</v>
      </c>
      <c r="AO39" s="347" t="str">
        <f>IF(AND($D$2="Arete",$AS$38&gt;2,CharacterSheet!$V$34&gt;AN39,'House Rules'!$B$6="Free",'House Rules'!$D$6=AM39),"Free",IF(AND($D$2="Arete",$AS$38&gt;2,CharacterSheet!$V$34&gt;AN39,AP38="Yes"),"Yes","No"))</f>
        <v>No</v>
      </c>
      <c r="AP39" s="348" t="s">
        <v>347</v>
      </c>
      <c r="BF39" s="319">
        <f t="shared" si="43"/>
        <v>0</v>
      </c>
      <c r="BG39" s="345" t="s">
        <v>2595</v>
      </c>
      <c r="BI39" s="319">
        <f t="shared" si="9"/>
        <v>0</v>
      </c>
      <c r="BJ39" s="319">
        <f t="shared" si="47"/>
        <v>0</v>
      </c>
      <c r="BK39" s="319">
        <f t="shared" si="47"/>
        <v>0</v>
      </c>
      <c r="BL39" s="319">
        <f t="shared" si="47"/>
        <v>0</v>
      </c>
      <c r="BM39" s="319">
        <f t="shared" si="47"/>
        <v>0</v>
      </c>
      <c r="BN39" s="319">
        <f t="shared" si="47"/>
        <v>0</v>
      </c>
      <c r="BO39" s="319">
        <f t="shared" si="47"/>
        <v>0</v>
      </c>
      <c r="BP39" s="319">
        <f t="shared" si="47"/>
        <v>0</v>
      </c>
      <c r="BQ39" s="319">
        <f t="shared" si="47"/>
        <v>0</v>
      </c>
      <c r="BR39" s="319">
        <f t="shared" si="47"/>
        <v>0</v>
      </c>
      <c r="BS39" s="319">
        <f t="shared" si="47"/>
        <v>0</v>
      </c>
      <c r="BT39" s="319">
        <f t="shared" si="47"/>
        <v>0</v>
      </c>
      <c r="BU39" s="319">
        <f t="shared" si="47"/>
        <v>0</v>
      </c>
      <c r="BV39" s="319">
        <f t="shared" si="47"/>
        <v>0</v>
      </c>
      <c r="BW39" s="319">
        <f t="shared" si="47"/>
        <v>0</v>
      </c>
      <c r="BX39" s="319">
        <f t="shared" si="47"/>
        <v>0</v>
      </c>
      <c r="BY39" s="319">
        <f t="shared" si="47"/>
        <v>0</v>
      </c>
      <c r="BZ39" s="319">
        <f t="shared" si="47"/>
        <v>0</v>
      </c>
      <c r="CA39" s="319">
        <f t="shared" si="47"/>
        <v>0</v>
      </c>
      <c r="CB39" s="319">
        <f t="shared" si="47"/>
        <v>0</v>
      </c>
      <c r="CC39" s="319">
        <f t="shared" si="47"/>
        <v>0</v>
      </c>
      <c r="CD39" s="319">
        <f t="shared" si="47"/>
        <v>0</v>
      </c>
      <c r="CE39" s="319">
        <f t="shared" si="47"/>
        <v>0</v>
      </c>
      <c r="CF39" s="319">
        <f t="shared" si="47"/>
        <v>0</v>
      </c>
      <c r="CG39" s="319">
        <f t="shared" si="47"/>
        <v>0</v>
      </c>
      <c r="CH39" s="319">
        <f t="shared" si="47"/>
        <v>0</v>
      </c>
      <c r="CI39" s="319">
        <f t="shared" si="47"/>
        <v>0</v>
      </c>
      <c r="CJ39" s="319">
        <f t="shared" si="47"/>
        <v>0</v>
      </c>
      <c r="CK39" s="319">
        <f t="shared" si="47"/>
        <v>0</v>
      </c>
      <c r="CL39" s="319">
        <f t="shared" si="47"/>
        <v>0</v>
      </c>
      <c r="CM39" s="319">
        <f t="shared" si="47"/>
        <v>0</v>
      </c>
      <c r="CN39" s="319">
        <f t="shared" si="47"/>
        <v>0</v>
      </c>
      <c r="CO39" s="319">
        <f t="shared" si="47"/>
        <v>0</v>
      </c>
      <c r="CP39" s="319">
        <f t="shared" si="47"/>
        <v>0</v>
      </c>
      <c r="CQ39" s="319">
        <f t="shared" si="47"/>
        <v>0</v>
      </c>
      <c r="CR39" s="319">
        <f t="shared" si="47"/>
        <v>0</v>
      </c>
      <c r="CS39" s="319">
        <f t="shared" si="47"/>
        <v>0</v>
      </c>
      <c r="CT39" s="319">
        <f t="shared" si="47"/>
        <v>0</v>
      </c>
      <c r="CU39" s="319">
        <f t="shared" si="47"/>
        <v>0</v>
      </c>
      <c r="CV39" s="319">
        <f t="shared" si="47"/>
        <v>0</v>
      </c>
    </row>
    <row r="40" spans="1:100" x14ac:dyDescent="0.25">
      <c r="A40" s="319">
        <f t="shared" si="3"/>
        <v>0</v>
      </c>
      <c r="B40" s="319">
        <f t="shared" si="13"/>
        <v>0</v>
      </c>
      <c r="C40" s="330" t="s">
        <v>1070</v>
      </c>
      <c r="D40" s="331" t="s">
        <v>354</v>
      </c>
      <c r="E40" s="331">
        <v>1</v>
      </c>
      <c r="F40" s="331" t="str">
        <f>IF(E40&lt;CharacterSheet!$V$34,"Yes","No")</f>
        <v>Yes</v>
      </c>
      <c r="G40" s="563" t="s">
        <v>347</v>
      </c>
      <c r="H40" s="333" t="str">
        <f>IF(C40="","",VLOOKUP(C40,Boonref2!A:B,2,FALSE))</f>
        <v>No</v>
      </c>
      <c r="I40" s="333"/>
      <c r="J40" s="333" t="str">
        <f>VLOOKUP(C40,BoonRef!A:Z,17,FALSE)</f>
        <v>Yes</v>
      </c>
      <c r="K40" s="333" t="str">
        <f>IF(J40="God",'House Rules'!$B$2,IF(J40="Demi",'House Rules'!$B$1,IF(J40="Comp",'House Rules'!$B$4,IF(J40="Yaz",'House Rules'!$B$5,IF(J40="Rag",'House Rules'!$B$3,"Available")))))</f>
        <v>Available</v>
      </c>
      <c r="L40" s="333"/>
      <c r="M40" s="333"/>
      <c r="N40" s="340" t="s">
        <v>1367</v>
      </c>
      <c r="O40" s="341" t="s">
        <v>179</v>
      </c>
      <c r="P40" s="341" t="str">
        <f>IF('House Rules'!$B$4="Prohibited","No",IF(O40&lt;CharacterSheet!$V$34,"Yes","No"))</f>
        <v>No</v>
      </c>
      <c r="Q40" s="341">
        <v>9</v>
      </c>
      <c r="R40" s="344" t="s">
        <v>346</v>
      </c>
      <c r="S40" s="317"/>
      <c r="T40" s="319">
        <f t="shared" si="40"/>
        <v>0</v>
      </c>
      <c r="U40" s="345" t="s">
        <v>2426</v>
      </c>
      <c r="V40" s="341" t="s">
        <v>1307</v>
      </c>
      <c r="W40" s="346" t="s">
        <v>38</v>
      </c>
      <c r="X40" s="341">
        <v>9</v>
      </c>
      <c r="Y40" s="347" t="str">
        <f>IF(AND($D$2="Arete",CharacterSheet!$E$54&gt;2,CharacterSheet!$V$34&gt;X40,'House Rules'!$B$6="Free",'House Rules'!$D$6=W40),"Free",IF(AND($D$2="Arete",CharacterSheet!$E$54&gt;2,CharacterSheet!$V$34&gt;X40,Z39="Yes"),"Yes","No"))</f>
        <v>No</v>
      </c>
      <c r="Z40" s="572" t="s">
        <v>347</v>
      </c>
      <c r="AA40" s="556"/>
      <c r="AB40" s="319">
        <f t="shared" si="41"/>
        <v>0</v>
      </c>
      <c r="AC40" s="345" t="s">
        <v>2526</v>
      </c>
      <c r="AD40" s="341" t="s">
        <v>1307</v>
      </c>
      <c r="AE40" s="346" t="s">
        <v>48</v>
      </c>
      <c r="AF40" s="341">
        <v>9</v>
      </c>
      <c r="AG40" s="347" t="str">
        <f>IF(AND($D$2="Arete",CharacterSheet!$M$54&gt;2,CharacterSheet!$V$34&gt;AF40,'House Rules'!$B$6="Free",'House Rules'!$D$6=AE40),"Free",IF(AND($D$2="Arete",CharacterSheet!$M$54&gt;2,CharacterSheet!$V$34&gt;AF40,AH39="Yes"),"Yes","No"))</f>
        <v>No</v>
      </c>
      <c r="AH40" s="572" t="s">
        <v>347</v>
      </c>
      <c r="AJ40" s="319">
        <f t="shared" si="42"/>
        <v>0</v>
      </c>
      <c r="AK40" s="345" t="s">
        <v>2626</v>
      </c>
      <c r="AL40" s="341" t="s">
        <v>1307</v>
      </c>
      <c r="AM40" s="346" t="str">
        <f t="shared" ref="AM40" si="52">AM32</f>
        <v>Science</v>
      </c>
      <c r="AN40" s="341">
        <v>9</v>
      </c>
      <c r="AO40" s="347" t="str">
        <f>IF(AND($D$2="Arete",$AS$38&gt;2,CharacterSheet!$V$34&gt;AN40,'House Rules'!$B$6="Free",'House Rules'!$D$6=AM40),"Free",IF(AND($D$2="Arete",$AS$38&gt;2,CharacterSheet!$V$34&gt;AN40,AP39="Yes"),"Yes","No"))</f>
        <v>No</v>
      </c>
      <c r="AP40" s="348" t="s">
        <v>347</v>
      </c>
      <c r="BF40" s="319">
        <f t="shared" si="43"/>
        <v>0</v>
      </c>
      <c r="BG40" s="345" t="s">
        <v>2596</v>
      </c>
      <c r="BI40" s="319">
        <f t="shared" si="9"/>
        <v>0</v>
      </c>
      <c r="BJ40" s="319">
        <f t="shared" si="47"/>
        <v>0</v>
      </c>
      <c r="BK40" s="319">
        <f t="shared" si="47"/>
        <v>0</v>
      </c>
      <c r="BL40" s="319">
        <f t="shared" si="47"/>
        <v>0</v>
      </c>
      <c r="BM40" s="319">
        <f t="shared" si="47"/>
        <v>0</v>
      </c>
      <c r="BN40" s="319">
        <f t="shared" si="47"/>
        <v>0</v>
      </c>
      <c r="BO40" s="319">
        <f t="shared" si="47"/>
        <v>0</v>
      </c>
      <c r="BP40" s="319">
        <f t="shared" si="47"/>
        <v>0</v>
      </c>
      <c r="BQ40" s="319">
        <f t="shared" si="47"/>
        <v>0</v>
      </c>
      <c r="BR40" s="319">
        <f t="shared" si="47"/>
        <v>0</v>
      </c>
      <c r="BS40" s="319">
        <f t="shared" si="47"/>
        <v>0</v>
      </c>
      <c r="BT40" s="319">
        <f t="shared" si="47"/>
        <v>0</v>
      </c>
      <c r="BU40" s="319">
        <f t="shared" si="47"/>
        <v>0</v>
      </c>
      <c r="BV40" s="319">
        <f t="shared" si="47"/>
        <v>0</v>
      </c>
      <c r="BW40" s="319">
        <f t="shared" si="47"/>
        <v>0</v>
      </c>
      <c r="BX40" s="319">
        <f t="shared" si="47"/>
        <v>0</v>
      </c>
      <c r="BY40" s="319">
        <f t="shared" si="47"/>
        <v>0</v>
      </c>
      <c r="BZ40" s="319">
        <f t="shared" si="47"/>
        <v>0</v>
      </c>
      <c r="CA40" s="319">
        <f t="shared" si="47"/>
        <v>0</v>
      </c>
      <c r="CB40" s="319">
        <f t="shared" si="47"/>
        <v>0</v>
      </c>
      <c r="CC40" s="319">
        <f t="shared" si="47"/>
        <v>0</v>
      </c>
      <c r="CD40" s="319">
        <f t="shared" si="47"/>
        <v>0</v>
      </c>
      <c r="CE40" s="319">
        <f t="shared" si="47"/>
        <v>0</v>
      </c>
      <c r="CF40" s="319">
        <f t="shared" si="47"/>
        <v>0</v>
      </c>
      <c r="CG40" s="319">
        <f t="shared" si="47"/>
        <v>0</v>
      </c>
      <c r="CH40" s="319">
        <f t="shared" si="47"/>
        <v>0</v>
      </c>
      <c r="CI40" s="319">
        <f t="shared" si="47"/>
        <v>0</v>
      </c>
      <c r="CJ40" s="319">
        <f t="shared" si="47"/>
        <v>0</v>
      </c>
      <c r="CK40" s="319">
        <f t="shared" si="47"/>
        <v>0</v>
      </c>
      <c r="CL40" s="319">
        <f t="shared" si="47"/>
        <v>0</v>
      </c>
      <c r="CM40" s="319">
        <f t="shared" si="47"/>
        <v>0</v>
      </c>
      <c r="CN40" s="319">
        <f t="shared" si="47"/>
        <v>0</v>
      </c>
      <c r="CO40" s="319">
        <f t="shared" si="47"/>
        <v>0</v>
      </c>
      <c r="CP40" s="319">
        <f t="shared" si="47"/>
        <v>0</v>
      </c>
      <c r="CQ40" s="319">
        <f t="shared" si="47"/>
        <v>0</v>
      </c>
      <c r="CR40" s="319">
        <f t="shared" si="47"/>
        <v>0</v>
      </c>
      <c r="CS40" s="319">
        <f t="shared" si="47"/>
        <v>0</v>
      </c>
      <c r="CT40" s="319">
        <f t="shared" si="47"/>
        <v>0</v>
      </c>
      <c r="CU40" s="319">
        <f t="shared" si="47"/>
        <v>0</v>
      </c>
      <c r="CV40" s="319">
        <f t="shared" si="47"/>
        <v>0</v>
      </c>
    </row>
    <row r="41" spans="1:100" ht="15.75" thickBot="1" x14ac:dyDescent="0.3">
      <c r="A41" s="319">
        <f t="shared" si="3"/>
        <v>0</v>
      </c>
      <c r="B41" s="319">
        <f t="shared" si="13"/>
        <v>0</v>
      </c>
      <c r="C41" s="340" t="s">
        <v>1383</v>
      </c>
      <c r="D41" s="341" t="s">
        <v>354</v>
      </c>
      <c r="E41" s="341">
        <v>2</v>
      </c>
      <c r="F41" s="341" t="str">
        <f>IF(AND(E41&lt;CharacterSheet!$V$34,'House Rules'!$B$4="Available",OR('House Rules'!$B$7="Standard",AND('House Rules'!$B$7="Ranked",G40="Yes"))),"Yes","No")</f>
        <v>No</v>
      </c>
      <c r="G41" s="564" t="s">
        <v>347</v>
      </c>
      <c r="H41" s="333" t="str">
        <f>IF(C41="","",VLOOKUP(C41,Boonref2!A:B,2,FALSE))</f>
        <v>Yes</v>
      </c>
      <c r="I41" s="333"/>
      <c r="J41" s="333" t="str">
        <f>VLOOKUP(C41,BoonRef!A:Z,17,FALSE)</f>
        <v>Yes</v>
      </c>
      <c r="K41" s="333" t="str">
        <f>IF(J41="God",'House Rules'!$B$2,IF(J41="Demi",'House Rules'!$B$1,IF(J41="Comp",'House Rules'!$B$4,IF(J41="Yaz",'House Rules'!$B$5,IF(J41="Rag",'House Rules'!$B$3,"Available")))))</f>
        <v>Available</v>
      </c>
      <c r="L41" s="333"/>
      <c r="M41" s="333"/>
      <c r="N41" s="340" t="s">
        <v>1368</v>
      </c>
      <c r="O41" s="341" t="s">
        <v>179</v>
      </c>
      <c r="P41" s="341" t="str">
        <f>IF('House Rules'!$B$4="Prohibited","No",IF(O41&lt;CharacterSheet!$V$34,"Yes","No"))</f>
        <v>No</v>
      </c>
      <c r="Q41" s="341">
        <v>10</v>
      </c>
      <c r="R41" s="344" t="s">
        <v>347</v>
      </c>
      <c r="S41" s="317"/>
      <c r="T41" s="319">
        <f>IF(Z41="Yes",LARGE($T$22:$T$31,1)+1,LARGE($T$22:$T$31,1))</f>
        <v>0</v>
      </c>
      <c r="U41" s="355" t="s">
        <v>2427</v>
      </c>
      <c r="V41" s="353" t="s">
        <v>1308</v>
      </c>
      <c r="W41" s="356" t="s">
        <v>38</v>
      </c>
      <c r="X41" s="353">
        <v>10</v>
      </c>
      <c r="Y41" s="347" t="str">
        <f>IF(AND($D$2="Arete",CharacterSheet!$E$54&gt;2,CharacterSheet!$V$34&gt;X41,'House Rules'!$B$6="Free",'House Rules'!$D$6=W41),"Free",IF(AND($D$2="Arete",CharacterSheet!$E$54&gt;2,CharacterSheet!$V$34&gt;X41,Z40="Yes"),"Yes","No"))</f>
        <v>No</v>
      </c>
      <c r="Z41" s="573" t="s">
        <v>347</v>
      </c>
      <c r="AA41" s="556"/>
      <c r="AB41" s="319">
        <f>IF(AH41="Yes",LARGE($AB$22:$AB$31,1)+1,LARGE($AB$22:$AB$31,1))</f>
        <v>0</v>
      </c>
      <c r="AC41" s="355" t="s">
        <v>2527</v>
      </c>
      <c r="AD41" s="353" t="s">
        <v>1308</v>
      </c>
      <c r="AE41" s="356" t="s">
        <v>48</v>
      </c>
      <c r="AF41" s="353">
        <v>10</v>
      </c>
      <c r="AG41" s="347" t="str">
        <f>IF(AND($D$2="Arete",CharacterSheet!$M$54&gt;2,CharacterSheet!$V$34&gt;AF41,'House Rules'!$B$6="Free",'House Rules'!$D$6=AE41),"Free",IF(AND($D$2="Arete",CharacterSheet!$M$54&gt;2,CharacterSheet!$V$34&gt;AF41,AH40="Yes"),"Yes","No"))</f>
        <v>No</v>
      </c>
      <c r="AH41" s="573" t="s">
        <v>347</v>
      </c>
      <c r="AJ41" s="319">
        <f>IF(AP41="Yes",LARGE($AB$62:$AB$71,1)+1,LARGE($AB$62:$AB$71,1))</f>
        <v>0</v>
      </c>
      <c r="AK41" s="495" t="s">
        <v>2627</v>
      </c>
      <c r="AL41" s="496" t="s">
        <v>1308</v>
      </c>
      <c r="AM41" s="497" t="str">
        <f t="shared" ref="AM41" si="53">AM32</f>
        <v>Science</v>
      </c>
      <c r="AN41" s="496">
        <v>10</v>
      </c>
      <c r="AO41" s="498" t="str">
        <f>IF(AND($D$2="Arete",$AS$38&gt;2,CharacterSheet!$V$34&gt;AN41,'House Rules'!$B$6="Free",'House Rules'!$D$6=AM41),"Free",IF(AND($D$2="Arete",$AS$38&gt;2,CharacterSheet!$V$34&gt;AN41,AP40="Yes"),"Yes","No"))</f>
        <v>No</v>
      </c>
      <c r="AP41" s="499" t="s">
        <v>347</v>
      </c>
      <c r="BF41" s="319">
        <f t="shared" si="43"/>
        <v>0</v>
      </c>
      <c r="BG41" s="355" t="s">
        <v>2597</v>
      </c>
      <c r="BI41" s="319">
        <f t="shared" si="9"/>
        <v>0</v>
      </c>
      <c r="BJ41" s="319">
        <f t="shared" si="47"/>
        <v>0</v>
      </c>
      <c r="BK41" s="319">
        <f t="shared" si="47"/>
        <v>0</v>
      </c>
      <c r="BL41" s="319">
        <f t="shared" si="47"/>
        <v>0</v>
      </c>
      <c r="BM41" s="319">
        <f t="shared" si="47"/>
        <v>0</v>
      </c>
      <c r="BN41" s="319">
        <f t="shared" si="47"/>
        <v>0</v>
      </c>
      <c r="BO41" s="319">
        <f t="shared" si="47"/>
        <v>0</v>
      </c>
      <c r="BP41" s="319">
        <f t="shared" si="47"/>
        <v>0</v>
      </c>
      <c r="BQ41" s="319">
        <f t="shared" si="47"/>
        <v>0</v>
      </c>
      <c r="BR41" s="319">
        <f t="shared" si="47"/>
        <v>0</v>
      </c>
      <c r="BS41" s="319">
        <f t="shared" si="47"/>
        <v>0</v>
      </c>
      <c r="BT41" s="319">
        <f t="shared" si="47"/>
        <v>0</v>
      </c>
      <c r="BU41" s="319">
        <f t="shared" si="47"/>
        <v>0</v>
      </c>
      <c r="BV41" s="319">
        <f t="shared" si="47"/>
        <v>0</v>
      </c>
      <c r="BW41" s="319">
        <f t="shared" si="47"/>
        <v>0</v>
      </c>
      <c r="BX41" s="319">
        <f t="shared" si="47"/>
        <v>0</v>
      </c>
      <c r="BY41" s="319">
        <f t="shared" si="47"/>
        <v>0</v>
      </c>
      <c r="BZ41" s="319">
        <f t="shared" si="47"/>
        <v>0</v>
      </c>
      <c r="CA41" s="319">
        <f t="shared" si="47"/>
        <v>0</v>
      </c>
      <c r="CB41" s="319">
        <f t="shared" si="47"/>
        <v>0</v>
      </c>
      <c r="CC41" s="319">
        <f t="shared" si="47"/>
        <v>0</v>
      </c>
      <c r="CD41" s="319">
        <f t="shared" si="47"/>
        <v>0</v>
      </c>
      <c r="CE41" s="319">
        <f t="shared" si="47"/>
        <v>0</v>
      </c>
      <c r="CF41" s="319">
        <f t="shared" si="47"/>
        <v>0</v>
      </c>
      <c r="CG41" s="319">
        <f t="shared" si="47"/>
        <v>0</v>
      </c>
      <c r="CH41" s="319">
        <f t="shared" ref="BJ41:CV48" si="54">IF(AND($D41=CH$1,$G41="Yes"),$E41,0)</f>
        <v>0</v>
      </c>
      <c r="CI41" s="319">
        <f t="shared" si="54"/>
        <v>0</v>
      </c>
      <c r="CJ41" s="319">
        <f t="shared" si="54"/>
        <v>0</v>
      </c>
      <c r="CK41" s="319">
        <f t="shared" si="54"/>
        <v>0</v>
      </c>
      <c r="CL41" s="319">
        <f t="shared" si="54"/>
        <v>0</v>
      </c>
      <c r="CM41" s="319">
        <f t="shared" si="54"/>
        <v>0</v>
      </c>
      <c r="CN41" s="319">
        <f t="shared" si="54"/>
        <v>0</v>
      </c>
      <c r="CO41" s="319">
        <f t="shared" si="54"/>
        <v>0</v>
      </c>
      <c r="CP41" s="319">
        <f t="shared" si="54"/>
        <v>0</v>
      </c>
      <c r="CQ41" s="319">
        <f t="shared" si="54"/>
        <v>0</v>
      </c>
      <c r="CR41" s="319">
        <f t="shared" si="54"/>
        <v>0</v>
      </c>
      <c r="CS41" s="319">
        <f t="shared" si="54"/>
        <v>0</v>
      </c>
      <c r="CT41" s="319">
        <f t="shared" si="54"/>
        <v>0</v>
      </c>
      <c r="CU41" s="319">
        <f t="shared" si="54"/>
        <v>0</v>
      </c>
      <c r="CV41" s="319">
        <f t="shared" si="54"/>
        <v>0</v>
      </c>
    </row>
    <row r="42" spans="1:100" ht="15" customHeight="1" x14ac:dyDescent="0.25">
      <c r="A42" s="319">
        <f t="shared" si="3"/>
        <v>0</v>
      </c>
      <c r="B42" s="319">
        <f t="shared" si="13"/>
        <v>0</v>
      </c>
      <c r="C42" s="340" t="s">
        <v>1071</v>
      </c>
      <c r="D42" s="341" t="s">
        <v>354</v>
      </c>
      <c r="E42" s="341">
        <v>2</v>
      </c>
      <c r="F42" s="341" t="str">
        <f>IF(AND(E42&lt;CharacterSheet!$V$34,OR('House Rules'!$B$7="Standard",AND('House Rules'!$B$7="Ranked",G40="Yes"))),"Yes","No")</f>
        <v>No</v>
      </c>
      <c r="G42" s="564" t="s">
        <v>347</v>
      </c>
      <c r="H42" s="333" t="str">
        <f>IF(C42="","",VLOOKUP(C42,Boonref2!A:B,2,FALSE))</f>
        <v>Yes</v>
      </c>
      <c r="I42" s="333"/>
      <c r="J42" s="333" t="str">
        <f>VLOOKUP(C42,BoonRef!A:Z,17,FALSE)</f>
        <v>Yes</v>
      </c>
      <c r="K42" s="333" t="str">
        <f>IF(J42="God",'House Rules'!$B$2,IF(J42="Demi",'House Rules'!$B$1,IF(J42="Comp",'House Rules'!$B$4,IF(J42="Yaz",'House Rules'!$B$5,IF(J42="Rag",'House Rules'!$B$3,"Available")))))</f>
        <v>Available</v>
      </c>
      <c r="L42" s="333"/>
      <c r="M42" s="333"/>
      <c r="N42" s="340" t="s">
        <v>1118</v>
      </c>
      <c r="O42" s="341" t="s">
        <v>178</v>
      </c>
      <c r="P42" s="341" t="str">
        <f>IF(O42&lt;CharacterSheet!$V$34,"Yes","No")</f>
        <v>No</v>
      </c>
      <c r="Q42" s="341">
        <v>1</v>
      </c>
      <c r="R42" s="344" t="s">
        <v>346</v>
      </c>
      <c r="S42" s="317"/>
      <c r="T42" s="319">
        <f t="shared" ref="T42:T50" si="55">IF(AND(Z42="Yes",Z43="No"),LARGE($T$32:$T$41,1)+1,LARGE($T$32:$T$41,1))</f>
        <v>0</v>
      </c>
      <c r="U42" s="336" t="s">
        <v>2428</v>
      </c>
      <c r="V42" s="331" t="s">
        <v>1112</v>
      </c>
      <c r="W42" s="337" t="s">
        <v>39</v>
      </c>
      <c r="X42" s="331">
        <v>1</v>
      </c>
      <c r="Y42" s="338" t="str">
        <f>IF(AND($D$2="Arete",CharacterSheet!$E$55&gt;2,CharacterSheet!$V$34&gt;X42,'House Rules'!$B$6="Free",'House Rules'!$D$6=W42),"Free",IF(AND($D$2="Arete",CharacterSheet!$E$55&gt;2,CharacterSheet!$V$34&gt;X42),"Yes","No"))</f>
        <v>No</v>
      </c>
      <c r="Z42" s="571" t="s">
        <v>347</v>
      </c>
      <c r="AA42" s="556"/>
      <c r="AB42" s="319">
        <f t="shared" ref="AB42:AB50" si="56">IF(AND(AH42="Yes",AH43="No"),LARGE($AB$32:$AB$41,1)+1,LARGE($AB$32:$AB$41,1))</f>
        <v>0</v>
      </c>
      <c r="AC42" s="336" t="s">
        <v>2528</v>
      </c>
      <c r="AD42" s="331" t="s">
        <v>1112</v>
      </c>
      <c r="AE42" s="337" t="s">
        <v>49</v>
      </c>
      <c r="AF42" s="331">
        <v>1</v>
      </c>
      <c r="AG42" s="338" t="str">
        <f>IF(AND($D$2="Arete",CharacterSheet!$M$55&gt;2,CharacterSheet!$V$34&gt;AF42,'House Rules'!$B$6="Free",'House Rules'!$D$6=AE42),"Free",IF(AND($D$2="Arete",CharacterSheet!$M$55&gt;2,CharacterSheet!$V$34&gt;AF42),"Yes","No"))</f>
        <v>No</v>
      </c>
      <c r="AH42" s="571" t="s">
        <v>347</v>
      </c>
      <c r="AK42" s="1092" t="s">
        <v>3581</v>
      </c>
      <c r="AL42" s="1093"/>
      <c r="AM42" s="1093"/>
      <c r="AN42" s="1093"/>
      <c r="AO42" s="1093"/>
      <c r="AP42" s="1098" t="s">
        <v>3582</v>
      </c>
      <c r="BF42" s="319">
        <f t="shared" ref="BF42:BF81" si="57">T22</f>
        <v>0</v>
      </c>
      <c r="BG42" s="336" t="s">
        <v>2408</v>
      </c>
      <c r="BI42" s="319">
        <f t="shared" si="9"/>
        <v>0</v>
      </c>
      <c r="BJ42" s="319">
        <f t="shared" si="54"/>
        <v>0</v>
      </c>
      <c r="BK42" s="319">
        <f t="shared" si="54"/>
        <v>0</v>
      </c>
      <c r="BL42" s="319">
        <f t="shared" si="54"/>
        <v>0</v>
      </c>
      <c r="BM42" s="319">
        <f t="shared" si="54"/>
        <v>0</v>
      </c>
      <c r="BN42" s="319">
        <f t="shared" si="54"/>
        <v>0</v>
      </c>
      <c r="BO42" s="319">
        <f t="shared" si="54"/>
        <v>0</v>
      </c>
      <c r="BP42" s="319">
        <f t="shared" si="54"/>
        <v>0</v>
      </c>
      <c r="BQ42" s="319">
        <f t="shared" si="54"/>
        <v>0</v>
      </c>
      <c r="BR42" s="319">
        <f t="shared" si="54"/>
        <v>0</v>
      </c>
      <c r="BS42" s="319">
        <f t="shared" si="54"/>
        <v>0</v>
      </c>
      <c r="BT42" s="319">
        <f t="shared" si="54"/>
        <v>0</v>
      </c>
      <c r="BU42" s="319">
        <f t="shared" si="54"/>
        <v>0</v>
      </c>
      <c r="BV42" s="319">
        <f t="shared" si="54"/>
        <v>0</v>
      </c>
      <c r="BW42" s="319">
        <f t="shared" si="54"/>
        <v>0</v>
      </c>
      <c r="BX42" s="319">
        <f t="shared" si="54"/>
        <v>0</v>
      </c>
      <c r="BY42" s="319">
        <f t="shared" si="54"/>
        <v>0</v>
      </c>
      <c r="BZ42" s="319">
        <f t="shared" si="54"/>
        <v>0</v>
      </c>
      <c r="CA42" s="319">
        <f t="shared" si="54"/>
        <v>0</v>
      </c>
      <c r="CB42" s="319">
        <f t="shared" si="54"/>
        <v>0</v>
      </c>
      <c r="CC42" s="319">
        <f t="shared" si="54"/>
        <v>0</v>
      </c>
      <c r="CD42" s="319">
        <f t="shared" si="54"/>
        <v>0</v>
      </c>
      <c r="CE42" s="319">
        <f t="shared" si="54"/>
        <v>0</v>
      </c>
      <c r="CF42" s="319">
        <f t="shared" si="54"/>
        <v>0</v>
      </c>
      <c r="CG42" s="319">
        <f t="shared" si="54"/>
        <v>0</v>
      </c>
      <c r="CH42" s="319">
        <f t="shared" si="54"/>
        <v>0</v>
      </c>
      <c r="CI42" s="319">
        <f t="shared" si="54"/>
        <v>0</v>
      </c>
      <c r="CJ42" s="319">
        <f t="shared" si="54"/>
        <v>0</v>
      </c>
      <c r="CK42" s="319">
        <f t="shared" si="54"/>
        <v>0</v>
      </c>
      <c r="CL42" s="319">
        <f t="shared" si="54"/>
        <v>0</v>
      </c>
      <c r="CM42" s="319">
        <f t="shared" si="54"/>
        <v>0</v>
      </c>
      <c r="CN42" s="319">
        <f t="shared" si="54"/>
        <v>0</v>
      </c>
      <c r="CO42" s="319">
        <f t="shared" si="54"/>
        <v>0</v>
      </c>
      <c r="CP42" s="319">
        <f t="shared" si="54"/>
        <v>0</v>
      </c>
      <c r="CQ42" s="319">
        <f t="shared" si="54"/>
        <v>0</v>
      </c>
      <c r="CR42" s="319">
        <f t="shared" si="54"/>
        <v>0</v>
      </c>
      <c r="CS42" s="319">
        <f t="shared" si="54"/>
        <v>0</v>
      </c>
      <c r="CT42" s="319">
        <f t="shared" si="54"/>
        <v>0</v>
      </c>
      <c r="CU42" s="319">
        <f t="shared" si="54"/>
        <v>0</v>
      </c>
      <c r="CV42" s="319">
        <f t="shared" si="54"/>
        <v>0</v>
      </c>
    </row>
    <row r="43" spans="1:100" x14ac:dyDescent="0.25">
      <c r="A43" s="319">
        <f t="shared" si="3"/>
        <v>0</v>
      </c>
      <c r="B43" s="319">
        <f t="shared" si="13"/>
        <v>0</v>
      </c>
      <c r="C43" s="340" t="s">
        <v>1072</v>
      </c>
      <c r="D43" s="341" t="s">
        <v>354</v>
      </c>
      <c r="E43" s="341">
        <v>3</v>
      </c>
      <c r="F43" s="341" t="str">
        <f>IF(AND(E43&lt;CharacterSheet!$V$34,OR('House Rules'!$B$7="Standard",AND('House Rules'!$B$7="Ranked",OR(G42="Yes",G41="Yes")))),"Yes","No")</f>
        <v>No</v>
      </c>
      <c r="G43" s="564" t="s">
        <v>347</v>
      </c>
      <c r="H43" s="333" t="str">
        <f>IF(C43="","",VLOOKUP(C43,Boonref2!A:B,2,FALSE))</f>
        <v>Yes</v>
      </c>
      <c r="I43" s="333"/>
      <c r="J43" s="333" t="str">
        <f>VLOOKUP(C43,BoonRef!A:Z,17,FALSE)</f>
        <v>Yes</v>
      </c>
      <c r="K43" s="333" t="str">
        <f>IF(J43="God",'House Rules'!$B$2,IF(J43="Demi",'House Rules'!$B$1,IF(J43="Comp",'House Rules'!$B$4,IF(J43="Yaz",'House Rules'!$B$5,IF(J43="Rag",'House Rules'!$B$3,"Available")))))</f>
        <v>Available</v>
      </c>
      <c r="L43" s="333"/>
      <c r="M43" s="333"/>
      <c r="N43" s="340" t="s">
        <v>1119</v>
      </c>
      <c r="O43" s="341" t="s">
        <v>178</v>
      </c>
      <c r="P43" s="341" t="str">
        <f>IF(O43&lt;CharacterSheet!$V$34,"Yes","No")</f>
        <v>No</v>
      </c>
      <c r="Q43" s="341">
        <v>2</v>
      </c>
      <c r="R43" s="344" t="s">
        <v>347</v>
      </c>
      <c r="S43" s="317"/>
      <c r="T43" s="319">
        <f t="shared" si="55"/>
        <v>0</v>
      </c>
      <c r="U43" s="345" t="s">
        <v>2429</v>
      </c>
      <c r="V43" s="341" t="s">
        <v>1113</v>
      </c>
      <c r="W43" s="346" t="s">
        <v>39</v>
      </c>
      <c r="X43" s="341">
        <v>2</v>
      </c>
      <c r="Y43" s="347" t="str">
        <f>IF(AND($D$2="Arete",CharacterSheet!$E$55&gt;2,CharacterSheet!$V$34&gt;X43,'House Rules'!$B$6="Free",'House Rules'!$D$6=W43),"Free",IF(AND($D$2="Arete",CharacterSheet!$E$55&gt;2,CharacterSheet!$V$34&gt;X43,Z42="Yes"),"Yes","No"))</f>
        <v>No</v>
      </c>
      <c r="Z43" s="572" t="s">
        <v>347</v>
      </c>
      <c r="AA43" s="556"/>
      <c r="AB43" s="319">
        <f t="shared" si="56"/>
        <v>0</v>
      </c>
      <c r="AC43" s="345" t="s">
        <v>2529</v>
      </c>
      <c r="AD43" s="341" t="s">
        <v>1113</v>
      </c>
      <c r="AE43" s="346" t="s">
        <v>49</v>
      </c>
      <c r="AF43" s="341">
        <v>2</v>
      </c>
      <c r="AG43" s="347" t="str">
        <f>IF(AND($D$2="Arete",CharacterSheet!$M$55&gt;2,CharacterSheet!$V$34&gt;AF43,'House Rules'!$B$6="Free",'House Rules'!$D$6=AE43),"Free",IF(AND($D$2="Arete",CharacterSheet!$M$55&gt;2,CharacterSheet!$V$34&gt;AF43,AH42="Yes"),"Yes","No"))</f>
        <v>No</v>
      </c>
      <c r="AH43" s="572" t="s">
        <v>347</v>
      </c>
      <c r="AK43" s="1094"/>
      <c r="AL43" s="1095"/>
      <c r="AM43" s="1095"/>
      <c r="AN43" s="1095"/>
      <c r="AO43" s="1095"/>
      <c r="AP43" s="1099"/>
      <c r="BF43" s="319">
        <f t="shared" si="57"/>
        <v>0</v>
      </c>
      <c r="BG43" s="345" t="s">
        <v>2409</v>
      </c>
      <c r="BI43" s="319">
        <f t="shared" si="9"/>
        <v>0</v>
      </c>
      <c r="BJ43" s="319">
        <f t="shared" si="54"/>
        <v>0</v>
      </c>
      <c r="BK43" s="319">
        <f t="shared" si="54"/>
        <v>0</v>
      </c>
      <c r="BL43" s="319">
        <f t="shared" si="54"/>
        <v>0</v>
      </c>
      <c r="BM43" s="319">
        <f t="shared" si="54"/>
        <v>0</v>
      </c>
      <c r="BN43" s="319">
        <f t="shared" si="54"/>
        <v>0</v>
      </c>
      <c r="BO43" s="319">
        <f t="shared" si="54"/>
        <v>0</v>
      </c>
      <c r="BP43" s="319">
        <f t="shared" si="54"/>
        <v>0</v>
      </c>
      <c r="BQ43" s="319">
        <f t="shared" si="54"/>
        <v>0</v>
      </c>
      <c r="BR43" s="319">
        <f t="shared" si="54"/>
        <v>0</v>
      </c>
      <c r="BS43" s="319">
        <f t="shared" si="54"/>
        <v>0</v>
      </c>
      <c r="BT43" s="319">
        <f t="shared" si="54"/>
        <v>0</v>
      </c>
      <c r="BU43" s="319">
        <f t="shared" si="54"/>
        <v>0</v>
      </c>
      <c r="BV43" s="319">
        <f t="shared" si="54"/>
        <v>0</v>
      </c>
      <c r="BW43" s="319">
        <f t="shared" si="54"/>
        <v>0</v>
      </c>
      <c r="BX43" s="319">
        <f t="shared" si="54"/>
        <v>0</v>
      </c>
      <c r="BY43" s="319">
        <f t="shared" si="54"/>
        <v>0</v>
      </c>
      <c r="BZ43" s="319">
        <f t="shared" si="54"/>
        <v>0</v>
      </c>
      <c r="CA43" s="319">
        <f t="shared" si="54"/>
        <v>0</v>
      </c>
      <c r="CB43" s="319">
        <f t="shared" si="54"/>
        <v>0</v>
      </c>
      <c r="CC43" s="319">
        <f t="shared" si="54"/>
        <v>0</v>
      </c>
      <c r="CD43" s="319">
        <f t="shared" si="54"/>
        <v>0</v>
      </c>
      <c r="CE43" s="319">
        <f t="shared" si="54"/>
        <v>0</v>
      </c>
      <c r="CF43" s="319">
        <f t="shared" si="54"/>
        <v>0</v>
      </c>
      <c r="CG43" s="319">
        <f t="shared" si="54"/>
        <v>0</v>
      </c>
      <c r="CH43" s="319">
        <f t="shared" si="54"/>
        <v>0</v>
      </c>
      <c r="CI43" s="319">
        <f t="shared" si="54"/>
        <v>0</v>
      </c>
      <c r="CJ43" s="319">
        <f t="shared" si="54"/>
        <v>0</v>
      </c>
      <c r="CK43" s="319">
        <f t="shared" si="54"/>
        <v>0</v>
      </c>
      <c r="CL43" s="319">
        <f t="shared" si="54"/>
        <v>0</v>
      </c>
      <c r="CM43" s="319">
        <f t="shared" si="54"/>
        <v>0</v>
      </c>
      <c r="CN43" s="319">
        <f t="shared" si="54"/>
        <v>0</v>
      </c>
      <c r="CO43" s="319">
        <f t="shared" si="54"/>
        <v>0</v>
      </c>
      <c r="CP43" s="319">
        <f t="shared" si="54"/>
        <v>0</v>
      </c>
      <c r="CQ43" s="319">
        <f t="shared" si="54"/>
        <v>0</v>
      </c>
      <c r="CR43" s="319">
        <f t="shared" si="54"/>
        <v>0</v>
      </c>
      <c r="CS43" s="319">
        <f t="shared" si="54"/>
        <v>0</v>
      </c>
      <c r="CT43" s="319">
        <f t="shared" si="54"/>
        <v>0</v>
      </c>
      <c r="CU43" s="319">
        <f t="shared" si="54"/>
        <v>0</v>
      </c>
      <c r="CV43" s="319">
        <f t="shared" si="54"/>
        <v>0</v>
      </c>
    </row>
    <row r="44" spans="1:100" x14ac:dyDescent="0.25">
      <c r="A44" s="319">
        <f t="shared" si="3"/>
        <v>0</v>
      </c>
      <c r="B44" s="319">
        <f t="shared" si="13"/>
        <v>0</v>
      </c>
      <c r="C44" s="340" t="s">
        <v>1384</v>
      </c>
      <c r="D44" s="341" t="s">
        <v>354</v>
      </c>
      <c r="E44" s="341">
        <v>4</v>
      </c>
      <c r="F44" s="341" t="str">
        <f>IF(AND(E44&lt;CharacterSheet!$V$34,'House Rules'!$B$4="Available",OR('House Rules'!$B$7="Standard",AND('House Rules'!$B$7="Ranked",G43="Yes"))),"Yes","No")</f>
        <v>No</v>
      </c>
      <c r="G44" s="564" t="s">
        <v>347</v>
      </c>
      <c r="H44" s="333" t="str">
        <f>IF(C44="","",VLOOKUP(C44,Boonref2!A:B,2,FALSE))</f>
        <v>No</v>
      </c>
      <c r="I44" s="333"/>
      <c r="J44" s="333" t="str">
        <f>VLOOKUP(C44,BoonRef!A:Z,17,FALSE)</f>
        <v>Yes</v>
      </c>
      <c r="K44" s="333" t="str">
        <f>IF(J44="God",'House Rules'!$B$2,IF(J44="Demi",'House Rules'!$B$1,IF(J44="Comp",'House Rules'!$B$4,IF(J44="Yaz",'House Rules'!$B$5,IF(J44="Rag",'House Rules'!$B$3,"Available")))))</f>
        <v>Available</v>
      </c>
      <c r="L44" s="333"/>
      <c r="M44" s="333"/>
      <c r="N44" s="340" t="s">
        <v>1120</v>
      </c>
      <c r="O44" s="341" t="s">
        <v>178</v>
      </c>
      <c r="P44" s="341" t="str">
        <f>IF(O44&lt;CharacterSheet!$V$34,"Yes","No")</f>
        <v>No</v>
      </c>
      <c r="Q44" s="341">
        <v>3</v>
      </c>
      <c r="R44" s="344" t="s">
        <v>346</v>
      </c>
      <c r="S44" s="317"/>
      <c r="T44" s="319">
        <f t="shared" si="55"/>
        <v>0</v>
      </c>
      <c r="U44" s="345" t="s">
        <v>2430</v>
      </c>
      <c r="V44" s="341" t="s">
        <v>1114</v>
      </c>
      <c r="W44" s="346" t="s">
        <v>39</v>
      </c>
      <c r="X44" s="341">
        <v>3</v>
      </c>
      <c r="Y44" s="347" t="str">
        <f>IF(AND($D$2="Arete",CharacterSheet!$E$55&gt;2,CharacterSheet!$V$34&gt;X44,'House Rules'!$B$6="Free",'House Rules'!$D$6=W44),"Free",IF(AND($D$2="Arete",CharacterSheet!$E$55&gt;2,CharacterSheet!$V$34&gt;X44,Z43="Yes"),"Yes","No"))</f>
        <v>No</v>
      </c>
      <c r="Z44" s="572" t="s">
        <v>347</v>
      </c>
      <c r="AA44" s="556"/>
      <c r="AB44" s="319">
        <f t="shared" si="56"/>
        <v>0</v>
      </c>
      <c r="AC44" s="345" t="s">
        <v>2530</v>
      </c>
      <c r="AD44" s="341" t="s">
        <v>1114</v>
      </c>
      <c r="AE44" s="346" t="s">
        <v>49</v>
      </c>
      <c r="AF44" s="341">
        <v>3</v>
      </c>
      <c r="AG44" s="347" t="str">
        <f>IF(AND($D$2="Arete",CharacterSheet!$M$55&gt;2,CharacterSheet!$V$34&gt;AF44,'House Rules'!$B$6="Free",'House Rules'!$D$6=AE44),"Free",IF(AND($D$2="Arete",CharacterSheet!$M$55&gt;2,CharacterSheet!$V$34&gt;AF44,AH43="Yes"),"Yes","No"))</f>
        <v>No</v>
      </c>
      <c r="AH44" s="572" t="s">
        <v>347</v>
      </c>
      <c r="AK44" s="1094"/>
      <c r="AL44" s="1095"/>
      <c r="AM44" s="1095"/>
      <c r="AN44" s="1095"/>
      <c r="AO44" s="1095"/>
      <c r="AP44" s="1099"/>
      <c r="BF44" s="319">
        <f t="shared" si="57"/>
        <v>0</v>
      </c>
      <c r="BG44" s="345" t="s">
        <v>2410</v>
      </c>
      <c r="BI44" s="319">
        <f t="shared" si="9"/>
        <v>0</v>
      </c>
      <c r="BJ44" s="319">
        <f t="shared" si="54"/>
        <v>0</v>
      </c>
      <c r="BK44" s="319">
        <f t="shared" si="54"/>
        <v>0</v>
      </c>
      <c r="BL44" s="319">
        <f t="shared" si="54"/>
        <v>0</v>
      </c>
      <c r="BM44" s="319">
        <f t="shared" si="54"/>
        <v>0</v>
      </c>
      <c r="BN44" s="319">
        <f t="shared" si="54"/>
        <v>0</v>
      </c>
      <c r="BO44" s="319">
        <f t="shared" si="54"/>
        <v>0</v>
      </c>
      <c r="BP44" s="319">
        <f t="shared" si="54"/>
        <v>0</v>
      </c>
      <c r="BQ44" s="319">
        <f t="shared" si="54"/>
        <v>0</v>
      </c>
      <c r="BR44" s="319">
        <f t="shared" si="54"/>
        <v>0</v>
      </c>
      <c r="BS44" s="319">
        <f t="shared" si="54"/>
        <v>0</v>
      </c>
      <c r="BT44" s="319">
        <f t="shared" si="54"/>
        <v>0</v>
      </c>
      <c r="BU44" s="319">
        <f t="shared" si="54"/>
        <v>0</v>
      </c>
      <c r="BV44" s="319">
        <f t="shared" si="54"/>
        <v>0</v>
      </c>
      <c r="BW44" s="319">
        <f t="shared" si="54"/>
        <v>0</v>
      </c>
      <c r="BX44" s="319">
        <f t="shared" si="54"/>
        <v>0</v>
      </c>
      <c r="BY44" s="319">
        <f t="shared" si="54"/>
        <v>0</v>
      </c>
      <c r="BZ44" s="319">
        <f t="shared" si="54"/>
        <v>0</v>
      </c>
      <c r="CA44" s="319">
        <f t="shared" si="54"/>
        <v>0</v>
      </c>
      <c r="CB44" s="319">
        <f t="shared" si="54"/>
        <v>0</v>
      </c>
      <c r="CC44" s="319">
        <f t="shared" si="54"/>
        <v>0</v>
      </c>
      <c r="CD44" s="319">
        <f t="shared" si="54"/>
        <v>0</v>
      </c>
      <c r="CE44" s="319">
        <f t="shared" si="54"/>
        <v>0</v>
      </c>
      <c r="CF44" s="319">
        <f t="shared" si="54"/>
        <v>0</v>
      </c>
      <c r="CG44" s="319">
        <f t="shared" si="54"/>
        <v>0</v>
      </c>
      <c r="CH44" s="319">
        <f t="shared" si="54"/>
        <v>0</v>
      </c>
      <c r="CI44" s="319">
        <f t="shared" si="54"/>
        <v>0</v>
      </c>
      <c r="CJ44" s="319">
        <f t="shared" si="54"/>
        <v>0</v>
      </c>
      <c r="CK44" s="319">
        <f t="shared" si="54"/>
        <v>0</v>
      </c>
      <c r="CL44" s="319">
        <f t="shared" si="54"/>
        <v>0</v>
      </c>
      <c r="CM44" s="319">
        <f t="shared" si="54"/>
        <v>0</v>
      </c>
      <c r="CN44" s="319">
        <f t="shared" si="54"/>
        <v>0</v>
      </c>
      <c r="CO44" s="319">
        <f t="shared" si="54"/>
        <v>0</v>
      </c>
      <c r="CP44" s="319">
        <f t="shared" si="54"/>
        <v>0</v>
      </c>
      <c r="CQ44" s="319">
        <f t="shared" si="54"/>
        <v>0</v>
      </c>
      <c r="CR44" s="319">
        <f t="shared" si="54"/>
        <v>0</v>
      </c>
      <c r="CS44" s="319">
        <f t="shared" si="54"/>
        <v>0</v>
      </c>
      <c r="CT44" s="319">
        <f t="shared" si="54"/>
        <v>0</v>
      </c>
      <c r="CU44" s="319">
        <f t="shared" si="54"/>
        <v>0</v>
      </c>
      <c r="CV44" s="319">
        <f t="shared" si="54"/>
        <v>0</v>
      </c>
    </row>
    <row r="45" spans="1:100" x14ac:dyDescent="0.25">
      <c r="A45" s="319">
        <f t="shared" si="3"/>
        <v>0</v>
      </c>
      <c r="B45" s="319">
        <f t="shared" si="13"/>
        <v>0</v>
      </c>
      <c r="C45" s="340" t="s">
        <v>1151</v>
      </c>
      <c r="D45" s="341" t="s">
        <v>354</v>
      </c>
      <c r="E45" s="341">
        <v>4</v>
      </c>
      <c r="F45" s="341" t="str">
        <f>IF(AND(E45&lt;CharacterSheet!$V$34,'House Rules'!$B$1="Available",OR('House Rules'!$B$7="Standard",AND('House Rules'!$B$7="Ranked",G43="Yes"))),"Yes","No")</f>
        <v>No</v>
      </c>
      <c r="G45" s="564" t="s">
        <v>347</v>
      </c>
      <c r="H45" s="333" t="str">
        <f>IF(C45="","",VLOOKUP(C45,Boonref2!A:B,2,FALSE))</f>
        <v>No</v>
      </c>
      <c r="I45" s="333"/>
      <c r="J45" s="333" t="str">
        <f>VLOOKUP(C45,BoonRef!A:Z,17,FALSE)</f>
        <v>Yes</v>
      </c>
      <c r="K45" s="333" t="str">
        <f>IF(J45="God",'House Rules'!$B$2,IF(J45="Demi",'House Rules'!$B$1,IF(J45="Comp",'House Rules'!$B$4,IF(J45="Yaz",'House Rules'!$B$5,IF(J45="Rag",'House Rules'!$B$3,"Available")))))</f>
        <v>Available</v>
      </c>
      <c r="L45" s="333"/>
      <c r="M45" s="333"/>
      <c r="N45" s="340" t="s">
        <v>1215</v>
      </c>
      <c r="O45" s="341" t="s">
        <v>178</v>
      </c>
      <c r="P45" s="341" t="str">
        <f>IF(O45&lt;CharacterSheet!$V$34,"Yes","No")</f>
        <v>No</v>
      </c>
      <c r="Q45" s="341">
        <v>4</v>
      </c>
      <c r="R45" s="344" t="s">
        <v>346</v>
      </c>
      <c r="S45" s="317"/>
      <c r="T45" s="319">
        <f t="shared" si="55"/>
        <v>0</v>
      </c>
      <c r="U45" s="345" t="s">
        <v>2431</v>
      </c>
      <c r="V45" s="341" t="s">
        <v>1207</v>
      </c>
      <c r="W45" s="346" t="s">
        <v>39</v>
      </c>
      <c r="X45" s="341">
        <v>4</v>
      </c>
      <c r="Y45" s="347" t="str">
        <f>IF(AND($D$2="Arete",CharacterSheet!$E$55&gt;2,CharacterSheet!$V$34&gt;X45,'House Rules'!$B$6="Free",'House Rules'!$D$6=W45),"Free",IF(AND($D$2="Arete",CharacterSheet!$E$55&gt;2,CharacterSheet!$V$34&gt;X45,Z44="Yes"),"Yes","No"))</f>
        <v>No</v>
      </c>
      <c r="Z45" s="572" t="s">
        <v>347</v>
      </c>
      <c r="AA45" s="556"/>
      <c r="AB45" s="319">
        <f t="shared" si="56"/>
        <v>0</v>
      </c>
      <c r="AC45" s="345" t="s">
        <v>2531</v>
      </c>
      <c r="AD45" s="341" t="s">
        <v>1207</v>
      </c>
      <c r="AE45" s="346" t="s">
        <v>49</v>
      </c>
      <c r="AF45" s="341">
        <v>4</v>
      </c>
      <c r="AG45" s="347" t="str">
        <f>IF(AND($D$2="Arete",CharacterSheet!$M$55&gt;2,CharacterSheet!$V$34&gt;AF45,'House Rules'!$B$6="Free",'House Rules'!$D$6=AE45),"Free",IF(AND($D$2="Arete",CharacterSheet!$M$55&gt;2,CharacterSheet!$V$34&gt;AF45,AH44="Yes"),"Yes","No"))</f>
        <v>No</v>
      </c>
      <c r="AH45" s="572" t="s">
        <v>347</v>
      </c>
      <c r="AK45" s="1094"/>
      <c r="AL45" s="1095"/>
      <c r="AM45" s="1095"/>
      <c r="AN45" s="1095"/>
      <c r="AO45" s="1095"/>
      <c r="AP45" s="1099"/>
      <c r="BF45" s="319">
        <f t="shared" si="57"/>
        <v>0</v>
      </c>
      <c r="BG45" s="345" t="s">
        <v>2411</v>
      </c>
      <c r="BI45" s="319">
        <f t="shared" si="9"/>
        <v>0</v>
      </c>
      <c r="BJ45" s="319">
        <f t="shared" si="54"/>
        <v>0</v>
      </c>
      <c r="BK45" s="319">
        <f t="shared" si="54"/>
        <v>0</v>
      </c>
      <c r="BL45" s="319">
        <f t="shared" si="54"/>
        <v>0</v>
      </c>
      <c r="BM45" s="319">
        <f t="shared" si="54"/>
        <v>0</v>
      </c>
      <c r="BN45" s="319">
        <f t="shared" si="54"/>
        <v>0</v>
      </c>
      <c r="BO45" s="319">
        <f t="shared" si="54"/>
        <v>0</v>
      </c>
      <c r="BP45" s="319">
        <f t="shared" si="54"/>
        <v>0</v>
      </c>
      <c r="BQ45" s="319">
        <f t="shared" si="54"/>
        <v>0</v>
      </c>
      <c r="BR45" s="319">
        <f t="shared" si="54"/>
        <v>0</v>
      </c>
      <c r="BS45" s="319">
        <f t="shared" si="54"/>
        <v>0</v>
      </c>
      <c r="BT45" s="319">
        <f t="shared" si="54"/>
        <v>0</v>
      </c>
      <c r="BU45" s="319">
        <f t="shared" si="54"/>
        <v>0</v>
      </c>
      <c r="BV45" s="319">
        <f t="shared" si="54"/>
        <v>0</v>
      </c>
      <c r="BW45" s="319">
        <f t="shared" si="54"/>
        <v>0</v>
      </c>
      <c r="BX45" s="319">
        <f t="shared" si="54"/>
        <v>0</v>
      </c>
      <c r="BY45" s="319">
        <f t="shared" si="54"/>
        <v>0</v>
      </c>
      <c r="BZ45" s="319">
        <f t="shared" si="54"/>
        <v>0</v>
      </c>
      <c r="CA45" s="319">
        <f t="shared" si="54"/>
        <v>0</v>
      </c>
      <c r="CB45" s="319">
        <f t="shared" si="54"/>
        <v>0</v>
      </c>
      <c r="CC45" s="319">
        <f t="shared" si="54"/>
        <v>0</v>
      </c>
      <c r="CD45" s="319">
        <f t="shared" si="54"/>
        <v>0</v>
      </c>
      <c r="CE45" s="319">
        <f t="shared" si="54"/>
        <v>0</v>
      </c>
      <c r="CF45" s="319">
        <f t="shared" si="54"/>
        <v>0</v>
      </c>
      <c r="CG45" s="319">
        <f t="shared" si="54"/>
        <v>0</v>
      </c>
      <c r="CH45" s="319">
        <f t="shared" si="54"/>
        <v>0</v>
      </c>
      <c r="CI45" s="319">
        <f t="shared" si="54"/>
        <v>0</v>
      </c>
      <c r="CJ45" s="319">
        <f t="shared" si="54"/>
        <v>0</v>
      </c>
      <c r="CK45" s="319">
        <f t="shared" si="54"/>
        <v>0</v>
      </c>
      <c r="CL45" s="319">
        <f t="shared" si="54"/>
        <v>0</v>
      </c>
      <c r="CM45" s="319">
        <f t="shared" si="54"/>
        <v>0</v>
      </c>
      <c r="CN45" s="319">
        <f t="shared" si="54"/>
        <v>0</v>
      </c>
      <c r="CO45" s="319">
        <f t="shared" si="54"/>
        <v>0</v>
      </c>
      <c r="CP45" s="319">
        <f t="shared" si="54"/>
        <v>0</v>
      </c>
      <c r="CQ45" s="319">
        <f t="shared" si="54"/>
        <v>0</v>
      </c>
      <c r="CR45" s="319">
        <f t="shared" si="54"/>
        <v>0</v>
      </c>
      <c r="CS45" s="319">
        <f t="shared" si="54"/>
        <v>0</v>
      </c>
      <c r="CT45" s="319">
        <f t="shared" si="54"/>
        <v>0</v>
      </c>
      <c r="CU45" s="319">
        <f t="shared" si="54"/>
        <v>0</v>
      </c>
      <c r="CV45" s="319">
        <f t="shared" si="54"/>
        <v>0</v>
      </c>
    </row>
    <row r="46" spans="1:100" ht="15.75" thickBot="1" x14ac:dyDescent="0.3">
      <c r="A46" s="319">
        <f t="shared" si="3"/>
        <v>0</v>
      </c>
      <c r="B46" s="319">
        <f t="shared" si="13"/>
        <v>0</v>
      </c>
      <c r="C46" s="340" t="s">
        <v>1152</v>
      </c>
      <c r="D46" s="341" t="s">
        <v>354</v>
      </c>
      <c r="E46" s="341">
        <v>5</v>
      </c>
      <c r="F46" s="341" t="str">
        <f>IF(AND(E46&lt;CharacterSheet!$V$34,'House Rules'!$B$1="Available",OR('House Rules'!$B$7="Standard",AND('House Rules'!$B$7="Ranked",OR(G45="Yes",G44="Yes")))),"Yes","No")</f>
        <v>No</v>
      </c>
      <c r="G46" s="564" t="s">
        <v>347</v>
      </c>
      <c r="H46" s="333" t="str">
        <f>IF(C46="","",VLOOKUP(C46,Boonref2!A:B,2,FALSE))</f>
        <v>Yes</v>
      </c>
      <c r="I46" s="333"/>
      <c r="J46" s="333" t="str">
        <f>VLOOKUP(C46,BoonRef!A:Z,17,FALSE)</f>
        <v>Yes</v>
      </c>
      <c r="K46" s="333" t="str">
        <f>IF(J46="God",'House Rules'!$B$2,IF(J46="Demi",'House Rules'!$B$1,IF(J46="Comp",'House Rules'!$B$4,IF(J46="Yaz",'House Rules'!$B$5,IF(J46="Rag",'House Rules'!$B$3,"Available")))))</f>
        <v>Available</v>
      </c>
      <c r="L46" s="333"/>
      <c r="M46" s="333"/>
      <c r="N46" s="340" t="s">
        <v>1216</v>
      </c>
      <c r="O46" s="341" t="s">
        <v>178</v>
      </c>
      <c r="P46" s="341" t="str">
        <f>IF(O46&lt;CharacterSheet!$V$34,"Yes","No")</f>
        <v>No</v>
      </c>
      <c r="Q46" s="341">
        <v>5</v>
      </c>
      <c r="R46" s="344" t="s">
        <v>346</v>
      </c>
      <c r="S46" s="317"/>
      <c r="T46" s="319">
        <f t="shared" si="55"/>
        <v>0</v>
      </c>
      <c r="U46" s="345" t="s">
        <v>2432</v>
      </c>
      <c r="V46" s="341" t="s">
        <v>1208</v>
      </c>
      <c r="W46" s="346" t="s">
        <v>39</v>
      </c>
      <c r="X46" s="341">
        <v>5</v>
      </c>
      <c r="Y46" s="347" t="str">
        <f>IF(AND($D$2="Arete",CharacterSheet!$E$55&gt;2,CharacterSheet!$V$34&gt;X46,'House Rules'!$B$6="Free",'House Rules'!$D$6=W46),"Free",IF(AND($D$2="Arete",CharacterSheet!$E$55&gt;2,CharacterSheet!$V$34&gt;X46,Z45="Yes"),"Yes","No"))</f>
        <v>No</v>
      </c>
      <c r="Z46" s="572" t="s">
        <v>347</v>
      </c>
      <c r="AA46" s="556"/>
      <c r="AB46" s="319">
        <f t="shared" si="56"/>
        <v>0</v>
      </c>
      <c r="AC46" s="345" t="s">
        <v>2532</v>
      </c>
      <c r="AD46" s="341" t="s">
        <v>1208</v>
      </c>
      <c r="AE46" s="346" t="s">
        <v>49</v>
      </c>
      <c r="AF46" s="341">
        <v>5</v>
      </c>
      <c r="AG46" s="347" t="str">
        <f>IF(AND($D$2="Arete",CharacterSheet!$M$55&gt;2,CharacterSheet!$V$34&gt;AF46,'House Rules'!$B$6="Free",'House Rules'!$D$6=AE46),"Free",IF(AND($D$2="Arete",CharacterSheet!$M$55&gt;2,CharacterSheet!$V$34&gt;AF46,AH45="Yes"),"Yes","No"))</f>
        <v>No</v>
      </c>
      <c r="AH46" s="572" t="s">
        <v>347</v>
      </c>
      <c r="AK46" s="1096"/>
      <c r="AL46" s="1097"/>
      <c r="AM46" s="1097"/>
      <c r="AN46" s="1097"/>
      <c r="AO46" s="1097"/>
      <c r="AP46" s="1100"/>
      <c r="BF46" s="319">
        <f t="shared" si="57"/>
        <v>0</v>
      </c>
      <c r="BG46" s="345" t="s">
        <v>2412</v>
      </c>
      <c r="BI46" s="319">
        <f t="shared" si="9"/>
        <v>0</v>
      </c>
      <c r="BJ46" s="319">
        <f t="shared" si="54"/>
        <v>0</v>
      </c>
      <c r="BK46" s="319">
        <f t="shared" si="54"/>
        <v>0</v>
      </c>
      <c r="BL46" s="319">
        <f t="shared" si="54"/>
        <v>0</v>
      </c>
      <c r="BM46" s="319">
        <f t="shared" si="54"/>
        <v>0</v>
      </c>
      <c r="BN46" s="319">
        <f t="shared" si="54"/>
        <v>0</v>
      </c>
      <c r="BO46" s="319">
        <f t="shared" si="54"/>
        <v>0</v>
      </c>
      <c r="BP46" s="319">
        <f t="shared" si="54"/>
        <v>0</v>
      </c>
      <c r="BQ46" s="319">
        <f t="shared" si="54"/>
        <v>0</v>
      </c>
      <c r="BR46" s="319">
        <f t="shared" si="54"/>
        <v>0</v>
      </c>
      <c r="BS46" s="319">
        <f t="shared" si="54"/>
        <v>0</v>
      </c>
      <c r="BT46" s="319">
        <f t="shared" si="54"/>
        <v>0</v>
      </c>
      <c r="BU46" s="319">
        <f t="shared" si="54"/>
        <v>0</v>
      </c>
      <c r="BV46" s="319">
        <f t="shared" si="54"/>
        <v>0</v>
      </c>
      <c r="BW46" s="319">
        <f t="shared" si="54"/>
        <v>0</v>
      </c>
      <c r="BX46" s="319">
        <f t="shared" si="54"/>
        <v>0</v>
      </c>
      <c r="BY46" s="319">
        <f t="shared" si="54"/>
        <v>0</v>
      </c>
      <c r="BZ46" s="319">
        <f t="shared" si="54"/>
        <v>0</v>
      </c>
      <c r="CA46" s="319">
        <f t="shared" si="54"/>
        <v>0</v>
      </c>
      <c r="CB46" s="319">
        <f t="shared" si="54"/>
        <v>0</v>
      </c>
      <c r="CC46" s="319">
        <f t="shared" si="54"/>
        <v>0</v>
      </c>
      <c r="CD46" s="319">
        <f t="shared" si="54"/>
        <v>0</v>
      </c>
      <c r="CE46" s="319">
        <f t="shared" si="54"/>
        <v>0</v>
      </c>
      <c r="CF46" s="319">
        <f t="shared" si="54"/>
        <v>0</v>
      </c>
      <c r="CG46" s="319">
        <f t="shared" si="54"/>
        <v>0</v>
      </c>
      <c r="CH46" s="319">
        <f t="shared" si="54"/>
        <v>0</v>
      </c>
      <c r="CI46" s="319">
        <f t="shared" si="54"/>
        <v>0</v>
      </c>
      <c r="CJ46" s="319">
        <f t="shared" si="54"/>
        <v>0</v>
      </c>
      <c r="CK46" s="319">
        <f t="shared" si="54"/>
        <v>0</v>
      </c>
      <c r="CL46" s="319">
        <f t="shared" si="54"/>
        <v>0</v>
      </c>
      <c r="CM46" s="319">
        <f t="shared" si="54"/>
        <v>0</v>
      </c>
      <c r="CN46" s="319">
        <f t="shared" si="54"/>
        <v>0</v>
      </c>
      <c r="CO46" s="319">
        <f t="shared" si="54"/>
        <v>0</v>
      </c>
      <c r="CP46" s="319">
        <f t="shared" si="54"/>
        <v>0</v>
      </c>
      <c r="CQ46" s="319">
        <f t="shared" si="54"/>
        <v>0</v>
      </c>
      <c r="CR46" s="319">
        <f t="shared" si="54"/>
        <v>0</v>
      </c>
      <c r="CS46" s="319">
        <f t="shared" si="54"/>
        <v>0</v>
      </c>
      <c r="CT46" s="319">
        <f t="shared" si="54"/>
        <v>0</v>
      </c>
      <c r="CU46" s="319">
        <f t="shared" si="54"/>
        <v>0</v>
      </c>
      <c r="CV46" s="319">
        <f t="shared" si="54"/>
        <v>0</v>
      </c>
    </row>
    <row r="47" spans="1:100" x14ac:dyDescent="0.25">
      <c r="A47" s="319">
        <f t="shared" si="3"/>
        <v>0</v>
      </c>
      <c r="B47" s="319">
        <f t="shared" si="13"/>
        <v>0</v>
      </c>
      <c r="C47" s="340" t="s">
        <v>1153</v>
      </c>
      <c r="D47" s="341" t="s">
        <v>354</v>
      </c>
      <c r="E47" s="341">
        <v>6</v>
      </c>
      <c r="F47" s="341" t="str">
        <f>IF(AND(E47&lt;CharacterSheet!$V$34,'House Rules'!$B$1="Available",OR('House Rules'!$B$7="Standard",AND('House Rules'!$B$7="Ranked",G46="Yes"))),"Yes","No")</f>
        <v>No</v>
      </c>
      <c r="G47" s="564" t="s">
        <v>347</v>
      </c>
      <c r="H47" s="333" t="str">
        <f>IF(C47="","",VLOOKUP(C47,Boonref2!A:B,2,FALSE))</f>
        <v>Yes</v>
      </c>
      <c r="I47" s="333"/>
      <c r="J47" s="333" t="str">
        <f>VLOOKUP(C47,BoonRef!A:Z,17,FALSE)</f>
        <v>Yes</v>
      </c>
      <c r="K47" s="333" t="str">
        <f>IF(J47="God",'House Rules'!$B$2,IF(J47="Demi",'House Rules'!$B$1,IF(J47="Comp",'House Rules'!$B$4,IF(J47="Yaz",'House Rules'!$B$5,IF(J47="Rag",'House Rules'!$B$3,"Available")))))</f>
        <v>Available</v>
      </c>
      <c r="L47" s="333"/>
      <c r="M47" s="333"/>
      <c r="N47" s="340" t="s">
        <v>1217</v>
      </c>
      <c r="O47" s="341" t="s">
        <v>178</v>
      </c>
      <c r="P47" s="341" t="str">
        <f>IF(O47&lt;CharacterSheet!$V$34,"Yes","No")</f>
        <v>No</v>
      </c>
      <c r="Q47" s="341">
        <v>6</v>
      </c>
      <c r="R47" s="344" t="s">
        <v>346</v>
      </c>
      <c r="S47" s="317"/>
      <c r="T47" s="319">
        <f t="shared" si="55"/>
        <v>0</v>
      </c>
      <c r="U47" s="345" t="s">
        <v>2433</v>
      </c>
      <c r="V47" s="341" t="s">
        <v>1209</v>
      </c>
      <c r="W47" s="346" t="s">
        <v>39</v>
      </c>
      <c r="X47" s="341">
        <v>6</v>
      </c>
      <c r="Y47" s="347" t="str">
        <f>IF(AND($D$2="Arete",CharacterSheet!$E$55&gt;2,CharacterSheet!$V$34&gt;X47,'House Rules'!$B$6="Free",'House Rules'!$D$6=W47),"Free",IF(AND($D$2="Arete",CharacterSheet!$E$55&gt;2,CharacterSheet!$V$34&gt;X47,Z46="Yes"),"Yes","No"))</f>
        <v>No</v>
      </c>
      <c r="Z47" s="572" t="s">
        <v>347</v>
      </c>
      <c r="AA47" s="556"/>
      <c r="AB47" s="319">
        <f t="shared" si="56"/>
        <v>0</v>
      </c>
      <c r="AC47" s="345" t="s">
        <v>2533</v>
      </c>
      <c r="AD47" s="341" t="s">
        <v>1209</v>
      </c>
      <c r="AE47" s="346" t="s">
        <v>49</v>
      </c>
      <c r="AF47" s="341">
        <v>6</v>
      </c>
      <c r="AG47" s="347" t="str">
        <f>IF(AND($D$2="Arete",CharacterSheet!$M$55&gt;2,CharacterSheet!$V$34&gt;AF47,'House Rules'!$B$6="Free",'House Rules'!$D$6=AE47),"Free",IF(AND($D$2="Arete",CharacterSheet!$M$55&gt;2,CharacterSheet!$V$34&gt;AF47,AH46="Yes"),"Yes","No"))</f>
        <v>No</v>
      </c>
      <c r="AH47" s="572" t="s">
        <v>347</v>
      </c>
      <c r="BF47" s="319">
        <f t="shared" si="57"/>
        <v>0</v>
      </c>
      <c r="BG47" s="345" t="s">
        <v>2413</v>
      </c>
      <c r="BI47" s="319">
        <f t="shared" si="9"/>
        <v>0</v>
      </c>
      <c r="BJ47" s="319">
        <f t="shared" si="54"/>
        <v>0</v>
      </c>
      <c r="BK47" s="319">
        <f t="shared" si="54"/>
        <v>0</v>
      </c>
      <c r="BL47" s="319">
        <f t="shared" si="54"/>
        <v>0</v>
      </c>
      <c r="BM47" s="319">
        <f t="shared" si="54"/>
        <v>0</v>
      </c>
      <c r="BN47" s="319">
        <f t="shared" si="54"/>
        <v>0</v>
      </c>
      <c r="BO47" s="319">
        <f t="shared" si="54"/>
        <v>0</v>
      </c>
      <c r="BP47" s="319">
        <f t="shared" si="54"/>
        <v>0</v>
      </c>
      <c r="BQ47" s="319">
        <f t="shared" si="54"/>
        <v>0</v>
      </c>
      <c r="BR47" s="319">
        <f t="shared" si="54"/>
        <v>0</v>
      </c>
      <c r="BS47" s="319">
        <f t="shared" si="54"/>
        <v>0</v>
      </c>
      <c r="BT47" s="319">
        <f t="shared" si="54"/>
        <v>0</v>
      </c>
      <c r="BU47" s="319">
        <f t="shared" si="54"/>
        <v>0</v>
      </c>
      <c r="BV47" s="319">
        <f t="shared" si="54"/>
        <v>0</v>
      </c>
      <c r="BW47" s="319">
        <f t="shared" si="54"/>
        <v>0</v>
      </c>
      <c r="BX47" s="319">
        <f t="shared" si="54"/>
        <v>0</v>
      </c>
      <c r="BY47" s="319">
        <f t="shared" si="54"/>
        <v>0</v>
      </c>
      <c r="BZ47" s="319">
        <f t="shared" si="54"/>
        <v>0</v>
      </c>
      <c r="CA47" s="319">
        <f t="shared" si="54"/>
        <v>0</v>
      </c>
      <c r="CB47" s="319">
        <f t="shared" si="54"/>
        <v>0</v>
      </c>
      <c r="CC47" s="319">
        <f t="shared" si="54"/>
        <v>0</v>
      </c>
      <c r="CD47" s="319">
        <f t="shared" si="54"/>
        <v>0</v>
      </c>
      <c r="CE47" s="319">
        <f t="shared" si="54"/>
        <v>0</v>
      </c>
      <c r="CF47" s="319">
        <f t="shared" si="54"/>
        <v>0</v>
      </c>
      <c r="CG47" s="319">
        <f t="shared" si="54"/>
        <v>0</v>
      </c>
      <c r="CH47" s="319">
        <f t="shared" si="54"/>
        <v>0</v>
      </c>
      <c r="CI47" s="319">
        <f t="shared" si="54"/>
        <v>0</v>
      </c>
      <c r="CJ47" s="319">
        <f t="shared" si="54"/>
        <v>0</v>
      </c>
      <c r="CK47" s="319">
        <f t="shared" si="54"/>
        <v>0</v>
      </c>
      <c r="CL47" s="319">
        <f t="shared" si="54"/>
        <v>0</v>
      </c>
      <c r="CM47" s="319">
        <f t="shared" si="54"/>
        <v>0</v>
      </c>
      <c r="CN47" s="319">
        <f t="shared" si="54"/>
        <v>0</v>
      </c>
      <c r="CO47" s="319">
        <f t="shared" si="54"/>
        <v>0</v>
      </c>
      <c r="CP47" s="319">
        <f t="shared" si="54"/>
        <v>0</v>
      </c>
      <c r="CQ47" s="319">
        <f t="shared" si="54"/>
        <v>0</v>
      </c>
      <c r="CR47" s="319">
        <f t="shared" si="54"/>
        <v>0</v>
      </c>
      <c r="CS47" s="319">
        <f t="shared" si="54"/>
        <v>0</v>
      </c>
      <c r="CT47" s="319">
        <f t="shared" si="54"/>
        <v>0</v>
      </c>
      <c r="CU47" s="319">
        <f t="shared" si="54"/>
        <v>0</v>
      </c>
      <c r="CV47" s="319">
        <f t="shared" si="54"/>
        <v>0</v>
      </c>
    </row>
    <row r="48" spans="1:100" x14ac:dyDescent="0.25">
      <c r="A48" s="319">
        <f t="shared" si="3"/>
        <v>0</v>
      </c>
      <c r="B48" s="319">
        <f t="shared" si="13"/>
        <v>0</v>
      </c>
      <c r="C48" s="340" t="s">
        <v>1154</v>
      </c>
      <c r="D48" s="341" t="s">
        <v>354</v>
      </c>
      <c r="E48" s="341">
        <v>7</v>
      </c>
      <c r="F48" s="341" t="str">
        <f>IF(AND(E48&lt;CharacterSheet!$V$34,'House Rules'!$B$1="Available",OR('House Rules'!$B$7="Standard",AND('House Rules'!$B$7="Ranked",G47="Yes"))),"Yes","No")</f>
        <v>No</v>
      </c>
      <c r="G48" s="564" t="s">
        <v>347</v>
      </c>
      <c r="H48" s="333" t="str">
        <f>IF(C48="","",VLOOKUP(C48,Boonref2!A:B,2,FALSE))</f>
        <v>Yes</v>
      </c>
      <c r="I48" s="333"/>
      <c r="J48" s="333" t="str">
        <f>VLOOKUP(C48,BoonRef!A:Z,17,FALSE)</f>
        <v>Yes</v>
      </c>
      <c r="K48" s="333" t="str">
        <f>IF(J48="God",'House Rules'!$B$2,IF(J48="Demi",'House Rules'!$B$1,IF(J48="Comp",'House Rules'!$B$4,IF(J48="Yaz",'House Rules'!$B$5,IF(J48="Rag",'House Rules'!$B$3,"Available")))))</f>
        <v>Available</v>
      </c>
      <c r="L48" s="333"/>
      <c r="M48" s="333"/>
      <c r="N48" s="340" t="s">
        <v>1218</v>
      </c>
      <c r="O48" s="341" t="s">
        <v>178</v>
      </c>
      <c r="P48" s="341" t="str">
        <f>IF(O48&lt;CharacterSheet!$V$34,"Yes","No")</f>
        <v>No</v>
      </c>
      <c r="Q48" s="341">
        <v>7</v>
      </c>
      <c r="R48" s="344" t="s">
        <v>346</v>
      </c>
      <c r="S48" s="317"/>
      <c r="T48" s="319">
        <f t="shared" si="55"/>
        <v>0</v>
      </c>
      <c r="U48" s="345" t="s">
        <v>2434</v>
      </c>
      <c r="V48" s="341" t="s">
        <v>1210</v>
      </c>
      <c r="W48" s="346" t="s">
        <v>39</v>
      </c>
      <c r="X48" s="341">
        <v>7</v>
      </c>
      <c r="Y48" s="347" t="str">
        <f>IF(AND($D$2="Arete",CharacterSheet!$E$55&gt;2,CharacterSheet!$V$34&gt;X48,'House Rules'!$B$6="Free",'House Rules'!$D$6=W48),"Free",IF(AND($D$2="Arete",CharacterSheet!$E$55&gt;2,CharacterSheet!$V$34&gt;X48,Z47="Yes"),"Yes","No"))</f>
        <v>No</v>
      </c>
      <c r="Z48" s="572" t="s">
        <v>347</v>
      </c>
      <c r="AA48" s="556"/>
      <c r="AB48" s="319">
        <f t="shared" si="56"/>
        <v>0</v>
      </c>
      <c r="AC48" s="345" t="s">
        <v>2534</v>
      </c>
      <c r="AD48" s="341" t="s">
        <v>1210</v>
      </c>
      <c r="AE48" s="346" t="s">
        <v>49</v>
      </c>
      <c r="AF48" s="341">
        <v>7</v>
      </c>
      <c r="AG48" s="347" t="str">
        <f>IF(AND($D$2="Arete",CharacterSheet!$M$55&gt;2,CharacterSheet!$V$34&gt;AF48,'House Rules'!$B$6="Free",'House Rules'!$D$6=AE48),"Free",IF(AND($D$2="Arete",CharacterSheet!$M$55&gt;2,CharacterSheet!$V$34&gt;AF48,AH47="Yes"),"Yes","No"))</f>
        <v>No</v>
      </c>
      <c r="AH48" s="572" t="s">
        <v>347</v>
      </c>
      <c r="BF48" s="319">
        <f t="shared" si="57"/>
        <v>0</v>
      </c>
      <c r="BG48" s="345" t="s">
        <v>2414</v>
      </c>
      <c r="BI48" s="319">
        <f t="shared" si="9"/>
        <v>0</v>
      </c>
      <c r="BJ48" s="319">
        <f t="shared" si="54"/>
        <v>0</v>
      </c>
      <c r="BK48" s="319">
        <f t="shared" si="54"/>
        <v>0</v>
      </c>
      <c r="BL48" s="319">
        <f t="shared" si="54"/>
        <v>0</v>
      </c>
      <c r="BM48" s="319">
        <f t="shared" si="54"/>
        <v>0</v>
      </c>
      <c r="BN48" s="319">
        <f t="shared" si="54"/>
        <v>0</v>
      </c>
      <c r="BO48" s="319">
        <f t="shared" si="54"/>
        <v>0</v>
      </c>
      <c r="BP48" s="319">
        <f t="shared" ref="BJ48:CV54" si="58">IF(AND($D48=BP$1,$G48="Yes"),$E48,0)</f>
        <v>0</v>
      </c>
      <c r="BQ48" s="319">
        <f t="shared" si="58"/>
        <v>0</v>
      </c>
      <c r="BR48" s="319">
        <f t="shared" si="58"/>
        <v>0</v>
      </c>
      <c r="BS48" s="319">
        <f t="shared" si="58"/>
        <v>0</v>
      </c>
      <c r="BT48" s="319">
        <f t="shared" si="58"/>
        <v>0</v>
      </c>
      <c r="BU48" s="319">
        <f t="shared" si="58"/>
        <v>0</v>
      </c>
      <c r="BV48" s="319">
        <f t="shared" si="58"/>
        <v>0</v>
      </c>
      <c r="BW48" s="319">
        <f t="shared" si="58"/>
        <v>0</v>
      </c>
      <c r="BX48" s="319">
        <f t="shared" si="58"/>
        <v>0</v>
      </c>
      <c r="BY48" s="319">
        <f t="shared" si="58"/>
        <v>0</v>
      </c>
      <c r="BZ48" s="319">
        <f t="shared" si="58"/>
        <v>0</v>
      </c>
      <c r="CA48" s="319">
        <f t="shared" si="58"/>
        <v>0</v>
      </c>
      <c r="CB48" s="319">
        <f t="shared" si="58"/>
        <v>0</v>
      </c>
      <c r="CC48" s="319">
        <f t="shared" si="58"/>
        <v>0</v>
      </c>
      <c r="CD48" s="319">
        <f t="shared" si="58"/>
        <v>0</v>
      </c>
      <c r="CE48" s="319">
        <f t="shared" si="58"/>
        <v>0</v>
      </c>
      <c r="CF48" s="319">
        <f t="shared" si="58"/>
        <v>0</v>
      </c>
      <c r="CG48" s="319">
        <f t="shared" si="58"/>
        <v>0</v>
      </c>
      <c r="CH48" s="319">
        <f t="shared" si="58"/>
        <v>0</v>
      </c>
      <c r="CI48" s="319">
        <f t="shared" si="58"/>
        <v>0</v>
      </c>
      <c r="CJ48" s="319">
        <f t="shared" si="58"/>
        <v>0</v>
      </c>
      <c r="CK48" s="319">
        <f t="shared" si="58"/>
        <v>0</v>
      </c>
      <c r="CL48" s="319">
        <f t="shared" si="58"/>
        <v>0</v>
      </c>
      <c r="CM48" s="319">
        <f t="shared" si="58"/>
        <v>0</v>
      </c>
      <c r="CN48" s="319">
        <f t="shared" si="58"/>
        <v>0</v>
      </c>
      <c r="CO48" s="319">
        <f t="shared" si="58"/>
        <v>0</v>
      </c>
      <c r="CP48" s="319">
        <f t="shared" si="58"/>
        <v>0</v>
      </c>
      <c r="CQ48" s="319">
        <f t="shared" si="58"/>
        <v>0</v>
      </c>
      <c r="CR48" s="319">
        <f t="shared" si="58"/>
        <v>0</v>
      </c>
      <c r="CS48" s="319">
        <f t="shared" si="58"/>
        <v>0</v>
      </c>
      <c r="CT48" s="319">
        <f t="shared" si="58"/>
        <v>0</v>
      </c>
      <c r="CU48" s="319">
        <f t="shared" si="58"/>
        <v>0</v>
      </c>
      <c r="CV48" s="319">
        <f t="shared" si="58"/>
        <v>0</v>
      </c>
    </row>
    <row r="49" spans="1:100" x14ac:dyDescent="0.25">
      <c r="A49" s="319">
        <f t="shared" si="3"/>
        <v>0</v>
      </c>
      <c r="B49" s="319">
        <f t="shared" si="13"/>
        <v>0</v>
      </c>
      <c r="C49" s="340" t="s">
        <v>1251</v>
      </c>
      <c r="D49" s="341" t="s">
        <v>354</v>
      </c>
      <c r="E49" s="341">
        <v>8</v>
      </c>
      <c r="F49" s="341" t="str">
        <f>IF(AND(E49&lt;CharacterSheet!$V$34,'House Rules'!$B$2="available",OR('House Rules'!$B$7="Standard",AND('House Rules'!$B$7="Ranked",G48="Yes"))),"Yes","No")</f>
        <v>No</v>
      </c>
      <c r="G49" s="564" t="s">
        <v>347</v>
      </c>
      <c r="H49" s="333" t="str">
        <f>IF(C49="","",VLOOKUP(C49,Boonref2!A:B,2,FALSE))</f>
        <v>Yes</v>
      </c>
      <c r="I49" s="333"/>
      <c r="J49" s="333" t="str">
        <f>VLOOKUP(C49,BoonRef!A:Z,17,FALSE)</f>
        <v>Yes</v>
      </c>
      <c r="K49" s="333" t="str">
        <f>IF(J49="God",'House Rules'!$B$2,IF(J49="Demi",'House Rules'!$B$1,IF(J49="Comp",'House Rules'!$B$4,IF(J49="Yaz",'House Rules'!$B$5,IF(J49="Rag",'House Rules'!$B$3,"Available")))))</f>
        <v>Available</v>
      </c>
      <c r="L49" s="333"/>
      <c r="M49" s="333"/>
      <c r="N49" s="340" t="s">
        <v>1312</v>
      </c>
      <c r="O49" s="341" t="s">
        <v>178</v>
      </c>
      <c r="P49" s="341" t="str">
        <f>IF(O49&lt;CharacterSheet!$V$34,"Yes","No")</f>
        <v>No</v>
      </c>
      <c r="Q49" s="341">
        <v>8</v>
      </c>
      <c r="R49" s="344" t="s">
        <v>347</v>
      </c>
      <c r="S49" s="317"/>
      <c r="T49" s="319">
        <f t="shared" si="55"/>
        <v>0</v>
      </c>
      <c r="U49" s="345" t="s">
        <v>2435</v>
      </c>
      <c r="V49" s="341" t="s">
        <v>1306</v>
      </c>
      <c r="W49" s="346" t="s">
        <v>39</v>
      </c>
      <c r="X49" s="341">
        <v>8</v>
      </c>
      <c r="Y49" s="347" t="str">
        <f>IF(AND($D$2="Arete",CharacterSheet!$E$55&gt;2,CharacterSheet!$V$34&gt;X49,'House Rules'!$B$6="Free",'House Rules'!$D$6=W49),"Free",IF(AND($D$2="Arete",CharacterSheet!$E$55&gt;2,CharacterSheet!$V$34&gt;X49,Z48="Yes"),"Yes","No"))</f>
        <v>No</v>
      </c>
      <c r="Z49" s="572" t="s">
        <v>347</v>
      </c>
      <c r="AA49" s="556"/>
      <c r="AB49" s="319">
        <f t="shared" si="56"/>
        <v>0</v>
      </c>
      <c r="AC49" s="345" t="s">
        <v>2535</v>
      </c>
      <c r="AD49" s="341" t="s">
        <v>1306</v>
      </c>
      <c r="AE49" s="346" t="s">
        <v>49</v>
      </c>
      <c r="AF49" s="341">
        <v>8</v>
      </c>
      <c r="AG49" s="347" t="str">
        <f>IF(AND($D$2="Arete",CharacterSheet!$M$55&gt;2,CharacterSheet!$V$34&gt;AF49,'House Rules'!$B$6="Free",'House Rules'!$D$6=AE49),"Free",IF(AND($D$2="Arete",CharacterSheet!$M$55&gt;2,CharacterSheet!$V$34&gt;AF49,AH48="Yes"),"Yes","No"))</f>
        <v>No</v>
      </c>
      <c r="AH49" s="572" t="s">
        <v>347</v>
      </c>
      <c r="BF49" s="319">
        <f t="shared" si="57"/>
        <v>0</v>
      </c>
      <c r="BG49" s="345" t="s">
        <v>2415</v>
      </c>
      <c r="BI49" s="319">
        <f t="shared" si="9"/>
        <v>0</v>
      </c>
      <c r="BJ49" s="319">
        <f t="shared" si="58"/>
        <v>0</v>
      </c>
      <c r="BK49" s="319">
        <f t="shared" si="58"/>
        <v>0</v>
      </c>
      <c r="BL49" s="319">
        <f t="shared" si="58"/>
        <v>0</v>
      </c>
      <c r="BM49" s="319">
        <f t="shared" si="58"/>
        <v>0</v>
      </c>
      <c r="BN49" s="319">
        <f t="shared" si="58"/>
        <v>0</v>
      </c>
      <c r="BO49" s="319">
        <f t="shared" si="58"/>
        <v>0</v>
      </c>
      <c r="BP49" s="319">
        <f t="shared" si="58"/>
        <v>0</v>
      </c>
      <c r="BQ49" s="319">
        <f t="shared" si="58"/>
        <v>0</v>
      </c>
      <c r="BR49" s="319">
        <f t="shared" si="58"/>
        <v>0</v>
      </c>
      <c r="BS49" s="319">
        <f t="shared" si="58"/>
        <v>0</v>
      </c>
      <c r="BT49" s="319">
        <f t="shared" si="58"/>
        <v>0</v>
      </c>
      <c r="BU49" s="319">
        <f t="shared" si="58"/>
        <v>0</v>
      </c>
      <c r="BV49" s="319">
        <f t="shared" si="58"/>
        <v>0</v>
      </c>
      <c r="BW49" s="319">
        <f t="shared" si="58"/>
        <v>0</v>
      </c>
      <c r="BX49" s="319">
        <f t="shared" si="58"/>
        <v>0</v>
      </c>
      <c r="BY49" s="319">
        <f t="shared" si="58"/>
        <v>0</v>
      </c>
      <c r="BZ49" s="319">
        <f t="shared" si="58"/>
        <v>0</v>
      </c>
      <c r="CA49" s="319">
        <f t="shared" si="58"/>
        <v>0</v>
      </c>
      <c r="CB49" s="319">
        <f t="shared" si="58"/>
        <v>0</v>
      </c>
      <c r="CC49" s="319">
        <f t="shared" si="58"/>
        <v>0</v>
      </c>
      <c r="CD49" s="319">
        <f t="shared" si="58"/>
        <v>0</v>
      </c>
      <c r="CE49" s="319">
        <f t="shared" si="58"/>
        <v>0</v>
      </c>
      <c r="CF49" s="319">
        <f t="shared" si="58"/>
        <v>0</v>
      </c>
      <c r="CG49" s="319">
        <f t="shared" si="58"/>
        <v>0</v>
      </c>
      <c r="CH49" s="319">
        <f t="shared" si="58"/>
        <v>0</v>
      </c>
      <c r="CI49" s="319">
        <f t="shared" si="58"/>
        <v>0</v>
      </c>
      <c r="CJ49" s="319">
        <f t="shared" si="58"/>
        <v>0</v>
      </c>
      <c r="CK49" s="319">
        <f t="shared" si="58"/>
        <v>0</v>
      </c>
      <c r="CL49" s="319">
        <f t="shared" si="58"/>
        <v>0</v>
      </c>
      <c r="CM49" s="319">
        <f t="shared" si="58"/>
        <v>0</v>
      </c>
      <c r="CN49" s="319">
        <f t="shared" si="58"/>
        <v>0</v>
      </c>
      <c r="CO49" s="319">
        <f t="shared" si="58"/>
        <v>0</v>
      </c>
      <c r="CP49" s="319">
        <f t="shared" si="58"/>
        <v>0</v>
      </c>
      <c r="CQ49" s="319">
        <f t="shared" si="58"/>
        <v>0</v>
      </c>
      <c r="CR49" s="319">
        <f t="shared" si="58"/>
        <v>0</v>
      </c>
      <c r="CS49" s="319">
        <f t="shared" si="58"/>
        <v>0</v>
      </c>
      <c r="CT49" s="319">
        <f t="shared" si="58"/>
        <v>0</v>
      </c>
      <c r="CU49" s="319">
        <f t="shared" si="58"/>
        <v>0</v>
      </c>
      <c r="CV49" s="319">
        <f t="shared" si="58"/>
        <v>0</v>
      </c>
    </row>
    <row r="50" spans="1:100" x14ac:dyDescent="0.25">
      <c r="A50" s="319">
        <f t="shared" si="3"/>
        <v>0</v>
      </c>
      <c r="B50" s="319">
        <f t="shared" si="13"/>
        <v>0</v>
      </c>
      <c r="C50" s="340" t="s">
        <v>2630</v>
      </c>
      <c r="D50" s="341" t="s">
        <v>354</v>
      </c>
      <c r="E50" s="341">
        <v>8</v>
      </c>
      <c r="F50" s="341" t="str">
        <f>IF(AND(E49&lt;CharacterSheet!$V$34,'House Rules'!$B$3="Available",OR('House Rules'!$B$7="Standard",AND('House Rules'!$B$7="Ranked",OR(G48="Yes")))),"Yes","No")</f>
        <v>No</v>
      </c>
      <c r="G50" s="564" t="s">
        <v>347</v>
      </c>
      <c r="H50" s="333" t="str">
        <f>IF(C50="","",VLOOKUP(C50,Boonref2!A:B,2,FALSE))</f>
        <v>Yes</v>
      </c>
      <c r="I50" s="333"/>
      <c r="J50" s="333" t="str">
        <f>VLOOKUP(C50,BoonRef!A:Z,17,FALSE)</f>
        <v>Yes</v>
      </c>
      <c r="K50" s="333" t="str">
        <f>IF(J50="God",'House Rules'!$B$2,IF(J50="Demi",'House Rules'!$B$1,IF(J50="Comp",'House Rules'!$B$4,IF(J50="Yaz",'House Rules'!$B$5,IF(J50="Rag",'House Rules'!$B$3,"Available")))))</f>
        <v>Available</v>
      </c>
      <c r="L50" s="333"/>
      <c r="M50" s="333"/>
      <c r="N50" s="340" t="s">
        <v>1313</v>
      </c>
      <c r="O50" s="341" t="s">
        <v>178</v>
      </c>
      <c r="P50" s="341" t="str">
        <f>IF(O50&lt;CharacterSheet!$V$34,"Yes","No")</f>
        <v>No</v>
      </c>
      <c r="Q50" s="341">
        <v>9</v>
      </c>
      <c r="R50" s="344" t="s">
        <v>346</v>
      </c>
      <c r="S50" s="317"/>
      <c r="T50" s="319">
        <f t="shared" si="55"/>
        <v>0</v>
      </c>
      <c r="U50" s="345" t="s">
        <v>2436</v>
      </c>
      <c r="V50" s="341" t="s">
        <v>1307</v>
      </c>
      <c r="W50" s="346" t="s">
        <v>39</v>
      </c>
      <c r="X50" s="341">
        <v>9</v>
      </c>
      <c r="Y50" s="347" t="str">
        <f>IF(AND($D$2="Arete",CharacterSheet!$E$55&gt;2,CharacterSheet!$V$34&gt;X50,'House Rules'!$B$6="Free",'House Rules'!$D$6=W50),"Free",IF(AND($D$2="Arete",CharacterSheet!$E$55&gt;2,CharacterSheet!$V$34&gt;X50,Z49="Yes"),"Yes","No"))</f>
        <v>No</v>
      </c>
      <c r="Z50" s="572" t="s">
        <v>347</v>
      </c>
      <c r="AA50" s="556"/>
      <c r="AB50" s="319">
        <f t="shared" si="56"/>
        <v>0</v>
      </c>
      <c r="AC50" s="345" t="s">
        <v>2536</v>
      </c>
      <c r="AD50" s="341" t="s">
        <v>1307</v>
      </c>
      <c r="AE50" s="346" t="s">
        <v>49</v>
      </c>
      <c r="AF50" s="341">
        <v>9</v>
      </c>
      <c r="AG50" s="347" t="str">
        <f>IF(AND($D$2="Arete",CharacterSheet!$M$55&gt;2,CharacterSheet!$V$34&gt;AF50,'House Rules'!$B$6="Free",'House Rules'!$D$6=AE50),"Free",IF(AND($D$2="Arete",CharacterSheet!$M$55&gt;2,CharacterSheet!$V$34&gt;AF50,AH49="Yes"),"Yes","No"))</f>
        <v>No</v>
      </c>
      <c r="AH50" s="572" t="s">
        <v>347</v>
      </c>
      <c r="BF50" s="319">
        <f t="shared" si="57"/>
        <v>0</v>
      </c>
      <c r="BG50" s="345" t="s">
        <v>2416</v>
      </c>
      <c r="BI50" s="319">
        <f t="shared" si="9"/>
        <v>0</v>
      </c>
      <c r="BJ50" s="319">
        <f t="shared" si="58"/>
        <v>0</v>
      </c>
      <c r="BK50" s="319">
        <f t="shared" si="58"/>
        <v>0</v>
      </c>
      <c r="BL50" s="319">
        <f t="shared" si="58"/>
        <v>0</v>
      </c>
      <c r="BM50" s="319">
        <f t="shared" si="58"/>
        <v>0</v>
      </c>
      <c r="BN50" s="319">
        <f t="shared" si="58"/>
        <v>0</v>
      </c>
      <c r="BO50" s="319">
        <f t="shared" si="58"/>
        <v>0</v>
      </c>
      <c r="BP50" s="319">
        <f t="shared" si="58"/>
        <v>0</v>
      </c>
      <c r="BQ50" s="319">
        <f t="shared" si="58"/>
        <v>0</v>
      </c>
      <c r="BR50" s="319">
        <f t="shared" si="58"/>
        <v>0</v>
      </c>
      <c r="BS50" s="319">
        <f t="shared" si="58"/>
        <v>0</v>
      </c>
      <c r="BT50" s="319">
        <f t="shared" si="58"/>
        <v>0</v>
      </c>
      <c r="BU50" s="319">
        <f t="shared" si="58"/>
        <v>0</v>
      </c>
      <c r="BV50" s="319">
        <f t="shared" si="58"/>
        <v>0</v>
      </c>
      <c r="BW50" s="319">
        <f t="shared" si="58"/>
        <v>0</v>
      </c>
      <c r="BX50" s="319">
        <f t="shared" si="58"/>
        <v>0</v>
      </c>
      <c r="BY50" s="319">
        <f t="shared" si="58"/>
        <v>0</v>
      </c>
      <c r="BZ50" s="319">
        <f t="shared" si="58"/>
        <v>0</v>
      </c>
      <c r="CA50" s="319">
        <f t="shared" si="58"/>
        <v>0</v>
      </c>
      <c r="CB50" s="319">
        <f t="shared" si="58"/>
        <v>0</v>
      </c>
      <c r="CC50" s="319">
        <f t="shared" si="58"/>
        <v>0</v>
      </c>
      <c r="CD50" s="319">
        <f t="shared" si="58"/>
        <v>0</v>
      </c>
      <c r="CE50" s="319">
        <f t="shared" si="58"/>
        <v>0</v>
      </c>
      <c r="CF50" s="319">
        <f t="shared" si="58"/>
        <v>0</v>
      </c>
      <c r="CG50" s="319">
        <f t="shared" si="58"/>
        <v>0</v>
      </c>
      <c r="CH50" s="319">
        <f t="shared" si="58"/>
        <v>0</v>
      </c>
      <c r="CI50" s="319">
        <f t="shared" si="58"/>
        <v>0</v>
      </c>
      <c r="CJ50" s="319">
        <f t="shared" si="58"/>
        <v>0</v>
      </c>
      <c r="CK50" s="319">
        <f t="shared" si="58"/>
        <v>0</v>
      </c>
      <c r="CL50" s="319">
        <f t="shared" si="58"/>
        <v>0</v>
      </c>
      <c r="CM50" s="319">
        <f t="shared" si="58"/>
        <v>0</v>
      </c>
      <c r="CN50" s="319">
        <f t="shared" si="58"/>
        <v>0</v>
      </c>
      <c r="CO50" s="319">
        <f t="shared" si="58"/>
        <v>0</v>
      </c>
      <c r="CP50" s="319">
        <f t="shared" si="58"/>
        <v>0</v>
      </c>
      <c r="CQ50" s="319">
        <f t="shared" si="58"/>
        <v>0</v>
      </c>
      <c r="CR50" s="319">
        <f t="shared" si="58"/>
        <v>0</v>
      </c>
      <c r="CS50" s="319">
        <f t="shared" si="58"/>
        <v>0</v>
      </c>
      <c r="CT50" s="319">
        <f t="shared" si="58"/>
        <v>0</v>
      </c>
      <c r="CU50" s="319">
        <f t="shared" si="58"/>
        <v>0</v>
      </c>
      <c r="CV50" s="319">
        <f t="shared" si="58"/>
        <v>0</v>
      </c>
    </row>
    <row r="51" spans="1:100" ht="15.75" thickBot="1" x14ac:dyDescent="0.3">
      <c r="A51" s="319">
        <f t="shared" si="3"/>
        <v>0</v>
      </c>
      <c r="B51" s="319">
        <f t="shared" si="13"/>
        <v>0</v>
      </c>
      <c r="C51" s="340" t="s">
        <v>1252</v>
      </c>
      <c r="D51" s="341" t="s">
        <v>354</v>
      </c>
      <c r="E51" s="341">
        <v>9</v>
      </c>
      <c r="F51" s="341" t="str">
        <f>IF(AND(E51&lt;CharacterSheet!$V$34,'House Rules'!$B$2="available",OR('House Rules'!$B$7="Standard",AND('House Rules'!$B$7="Ranked",OR(G49="Yes",G50="Yes")))),"Yes","No")</f>
        <v>No</v>
      </c>
      <c r="G51" s="564" t="s">
        <v>347</v>
      </c>
      <c r="H51" s="333" t="str">
        <f>IF(C51="","",VLOOKUP(C51,Boonref2!A:B,2,FALSE))</f>
        <v>Yes</v>
      </c>
      <c r="I51" s="333"/>
      <c r="J51" s="333" t="str">
        <f>VLOOKUP(C51,BoonRef!A:Z,17,FALSE)</f>
        <v>Yes</v>
      </c>
      <c r="K51" s="333" t="str">
        <f>IF(J51="God",'House Rules'!$B$2,IF(J51="Demi",'House Rules'!$B$1,IF(J51="Comp",'House Rules'!$B$4,IF(J51="Yaz",'House Rules'!$B$5,IF(J51="Rag",'House Rules'!$B$3,"Available")))))</f>
        <v>Available</v>
      </c>
      <c r="L51" s="333"/>
      <c r="M51" s="333"/>
      <c r="N51" s="340" t="s">
        <v>1314</v>
      </c>
      <c r="O51" s="341" t="s">
        <v>178</v>
      </c>
      <c r="P51" s="341" t="str">
        <f>IF(O51&lt;CharacterSheet!$V$34,"Yes","No")</f>
        <v>No</v>
      </c>
      <c r="Q51" s="341">
        <v>10</v>
      </c>
      <c r="R51" s="344" t="s">
        <v>346</v>
      </c>
      <c r="S51" s="317"/>
      <c r="T51" s="319">
        <f>IF(Z51="Yes",LARGE($T$32:$T$41,1)+1,LARGE($T$32:$T$41,1))</f>
        <v>0</v>
      </c>
      <c r="U51" s="355" t="s">
        <v>2437</v>
      </c>
      <c r="V51" s="353" t="s">
        <v>1308</v>
      </c>
      <c r="W51" s="356" t="s">
        <v>39</v>
      </c>
      <c r="X51" s="353">
        <v>10</v>
      </c>
      <c r="Y51" s="347" t="str">
        <f>IF(AND($D$2="Arete",CharacterSheet!$E$55&gt;2,CharacterSheet!$V$34&gt;X51,'House Rules'!$B$6="Free",'House Rules'!$D$6=W51),"Free",IF(AND($D$2="Arete",CharacterSheet!$E$55&gt;2,CharacterSheet!$V$34&gt;X51,Z50="Yes"),"Yes","No"))</f>
        <v>No</v>
      </c>
      <c r="Z51" s="573" t="s">
        <v>347</v>
      </c>
      <c r="AA51" s="556"/>
      <c r="AB51" s="319">
        <f>IF(AH51="Yes",LARGE($AB$32:$AB$41,1)+1,LARGE($AB$32:$AB$41,1))</f>
        <v>0</v>
      </c>
      <c r="AC51" s="355" t="s">
        <v>2537</v>
      </c>
      <c r="AD51" s="353" t="s">
        <v>1308</v>
      </c>
      <c r="AE51" s="356" t="s">
        <v>49</v>
      </c>
      <c r="AF51" s="353">
        <v>10</v>
      </c>
      <c r="AG51" s="347" t="str">
        <f>IF(AND($D$2="Arete",CharacterSheet!$M$55&gt;2,CharacterSheet!$V$34&gt;AF51,'House Rules'!$B$6="Free",'House Rules'!$D$6=AE51),"Free",IF(AND($D$2="Arete",CharacterSheet!$M$55&gt;2,CharacterSheet!$V$34&gt;AF51,AH50="Yes"),"Yes","No"))</f>
        <v>No</v>
      </c>
      <c r="AH51" s="573" t="s">
        <v>347</v>
      </c>
      <c r="BF51" s="319">
        <f t="shared" si="57"/>
        <v>0</v>
      </c>
      <c r="BG51" s="355" t="s">
        <v>2417</v>
      </c>
      <c r="BI51" s="319">
        <f t="shared" si="9"/>
        <v>0</v>
      </c>
      <c r="BJ51" s="319">
        <f t="shared" si="58"/>
        <v>0</v>
      </c>
      <c r="BK51" s="319">
        <f t="shared" si="58"/>
        <v>0</v>
      </c>
      <c r="BL51" s="319">
        <f t="shared" si="58"/>
        <v>0</v>
      </c>
      <c r="BM51" s="319">
        <f t="shared" si="58"/>
        <v>0</v>
      </c>
      <c r="BN51" s="319">
        <f t="shared" si="58"/>
        <v>0</v>
      </c>
      <c r="BO51" s="319">
        <f t="shared" si="58"/>
        <v>0</v>
      </c>
      <c r="BP51" s="319">
        <f t="shared" si="58"/>
        <v>0</v>
      </c>
      <c r="BQ51" s="319">
        <f t="shared" si="58"/>
        <v>0</v>
      </c>
      <c r="BR51" s="319">
        <f t="shared" si="58"/>
        <v>0</v>
      </c>
      <c r="BS51" s="319">
        <f t="shared" si="58"/>
        <v>0</v>
      </c>
      <c r="BT51" s="319">
        <f t="shared" si="58"/>
        <v>0</v>
      </c>
      <c r="BU51" s="319">
        <f t="shared" si="58"/>
        <v>0</v>
      </c>
      <c r="BV51" s="319">
        <f t="shared" si="58"/>
        <v>0</v>
      </c>
      <c r="BW51" s="319">
        <f t="shared" si="58"/>
        <v>0</v>
      </c>
      <c r="BX51" s="319">
        <f t="shared" si="58"/>
        <v>0</v>
      </c>
      <c r="BY51" s="319">
        <f t="shared" si="58"/>
        <v>0</v>
      </c>
      <c r="BZ51" s="319">
        <f t="shared" si="58"/>
        <v>0</v>
      </c>
      <c r="CA51" s="319">
        <f t="shared" si="58"/>
        <v>0</v>
      </c>
      <c r="CB51" s="319">
        <f t="shared" si="58"/>
        <v>0</v>
      </c>
      <c r="CC51" s="319">
        <f t="shared" si="58"/>
        <v>0</v>
      </c>
      <c r="CD51" s="319">
        <f t="shared" si="58"/>
        <v>0</v>
      </c>
      <c r="CE51" s="319">
        <f t="shared" si="58"/>
        <v>0</v>
      </c>
      <c r="CF51" s="319">
        <f t="shared" si="58"/>
        <v>0</v>
      </c>
      <c r="CG51" s="319">
        <f t="shared" si="58"/>
        <v>0</v>
      </c>
      <c r="CH51" s="319">
        <f t="shared" si="58"/>
        <v>0</v>
      </c>
      <c r="CI51" s="319">
        <f t="shared" si="58"/>
        <v>0</v>
      </c>
      <c r="CJ51" s="319">
        <f t="shared" si="58"/>
        <v>0</v>
      </c>
      <c r="CK51" s="319">
        <f t="shared" si="58"/>
        <v>0</v>
      </c>
      <c r="CL51" s="319">
        <f t="shared" si="58"/>
        <v>0</v>
      </c>
      <c r="CM51" s="319">
        <f t="shared" si="58"/>
        <v>0</v>
      </c>
      <c r="CN51" s="319">
        <f t="shared" si="58"/>
        <v>0</v>
      </c>
      <c r="CO51" s="319">
        <f t="shared" si="58"/>
        <v>0</v>
      </c>
      <c r="CP51" s="319">
        <f t="shared" si="58"/>
        <v>0</v>
      </c>
      <c r="CQ51" s="319">
        <f t="shared" si="58"/>
        <v>0</v>
      </c>
      <c r="CR51" s="319">
        <f t="shared" si="58"/>
        <v>0</v>
      </c>
      <c r="CS51" s="319">
        <f t="shared" si="58"/>
        <v>0</v>
      </c>
      <c r="CT51" s="319">
        <f t="shared" si="58"/>
        <v>0</v>
      </c>
      <c r="CU51" s="319">
        <f t="shared" si="58"/>
        <v>0</v>
      </c>
      <c r="CV51" s="319">
        <f t="shared" si="58"/>
        <v>0</v>
      </c>
    </row>
    <row r="52" spans="1:100" x14ac:dyDescent="0.25">
      <c r="A52" s="319">
        <f t="shared" si="3"/>
        <v>0</v>
      </c>
      <c r="B52" s="319">
        <f t="shared" si="13"/>
        <v>0</v>
      </c>
      <c r="C52" s="340" t="s">
        <v>1253</v>
      </c>
      <c r="D52" s="341" t="s">
        <v>354</v>
      </c>
      <c r="E52" s="341">
        <v>10</v>
      </c>
      <c r="F52" s="341" t="str">
        <f>IF(AND(E52&lt;CharacterSheet!$V$34,'House Rules'!$B$2="available",OR('House Rules'!$B$7="Standard",AND('House Rules'!$B$7="Ranked",G51="Yes"))),"Yes","No")</f>
        <v>No</v>
      </c>
      <c r="G52" s="564" t="s">
        <v>347</v>
      </c>
      <c r="H52" s="333" t="str">
        <f>IF(C52="","",VLOOKUP(C52,Boonref2!A:B,2,FALSE))</f>
        <v>Yes</v>
      </c>
      <c r="I52" s="333"/>
      <c r="J52" s="333" t="str">
        <f>VLOOKUP(C52,BoonRef!A:Z,17,FALSE)</f>
        <v>Yes</v>
      </c>
      <c r="K52" s="333" t="str">
        <f>IF(J52="God",'House Rules'!$B$2,IF(J52="Demi",'House Rules'!$B$1,IF(J52="Comp",'House Rules'!$B$4,IF(J52="Yaz",'House Rules'!$B$5,IF(J52="Rag",'House Rules'!$B$3,"Available")))))</f>
        <v>Available</v>
      </c>
      <c r="L52" s="333"/>
      <c r="M52" s="333"/>
      <c r="N52" s="340" t="s">
        <v>1442</v>
      </c>
      <c r="O52" s="341" t="s">
        <v>181</v>
      </c>
      <c r="P52" s="341" t="str">
        <f>IF('House Rules'!$B$34="Prohibited","No",IF(O52&lt;CharacterSheet!$V$34,"Yes","No"))</f>
        <v>No</v>
      </c>
      <c r="Q52" s="341">
        <v>1</v>
      </c>
      <c r="R52" s="344" t="s">
        <v>346</v>
      </c>
      <c r="S52" s="317"/>
      <c r="T52" s="319">
        <f t="shared" ref="T52:T60" si="59">IF(AND(Z52="Yes",Z53="No"),LARGE($T$42:$T$51,1)+1,LARGE($T$42:$T$51,1))</f>
        <v>0</v>
      </c>
      <c r="U52" s="336" t="s">
        <v>2438</v>
      </c>
      <c r="V52" s="331" t="s">
        <v>1112</v>
      </c>
      <c r="W52" s="337" t="s">
        <v>40</v>
      </c>
      <c r="X52" s="331">
        <v>1</v>
      </c>
      <c r="Y52" s="338" t="str">
        <f>IF(AND($D$2="Arete",CharacterSheet!$E$56&gt;2,CharacterSheet!$V$34&gt;X52,'House Rules'!$B$6="Free",'House Rules'!$D$6=W52),"Free",IF(AND($D$2="Arete",CharacterSheet!$E$56&gt;2,CharacterSheet!$V$34&gt;X52),"Yes","No"))</f>
        <v>No</v>
      </c>
      <c r="Z52" s="571" t="s">
        <v>347</v>
      </c>
      <c r="AA52" s="556"/>
      <c r="AB52" s="319">
        <f t="shared" ref="AB52:AB60" si="60">IF(AND(AH52="Yes",AH53="No"),LARGE($AB$42:$AB$51,1)+1,LARGE($AB$42:$AB$51,1))</f>
        <v>0</v>
      </c>
      <c r="AC52" s="336" t="s">
        <v>2538</v>
      </c>
      <c r="AD52" s="331" t="s">
        <v>1112</v>
      </c>
      <c r="AE52" s="337" t="s">
        <v>50</v>
      </c>
      <c r="AF52" s="331">
        <v>1</v>
      </c>
      <c r="AG52" s="338" t="str">
        <f>IF(AND($D$2="Arete",CharacterSheet!$M$56&gt;2,CharacterSheet!$V$34&gt;AF52,'House Rules'!$B$6="Free",'House Rules'!$D$6=AE52),"Free",IF(AND($D$2="Arete",CharacterSheet!$M$56&gt;2,CharacterSheet!$V$34&gt;AF52),"Yes","No"))</f>
        <v>No</v>
      </c>
      <c r="AH52" s="571" t="s">
        <v>347</v>
      </c>
      <c r="BF52" s="319">
        <f t="shared" si="57"/>
        <v>0</v>
      </c>
      <c r="BG52" s="336" t="s">
        <v>2418</v>
      </c>
      <c r="BI52" s="319">
        <f t="shared" si="9"/>
        <v>0</v>
      </c>
      <c r="BJ52" s="319">
        <f t="shared" si="58"/>
        <v>0</v>
      </c>
      <c r="BK52" s="319">
        <f t="shared" si="58"/>
        <v>0</v>
      </c>
      <c r="BL52" s="319">
        <f t="shared" si="58"/>
        <v>0</v>
      </c>
      <c r="BM52" s="319">
        <f t="shared" si="58"/>
        <v>0</v>
      </c>
      <c r="BN52" s="319">
        <f t="shared" si="58"/>
        <v>0</v>
      </c>
      <c r="BO52" s="319">
        <f t="shared" si="58"/>
        <v>0</v>
      </c>
      <c r="BP52" s="319">
        <f t="shared" si="58"/>
        <v>0</v>
      </c>
      <c r="BQ52" s="319">
        <f t="shared" si="58"/>
        <v>0</v>
      </c>
      <c r="BR52" s="319">
        <f t="shared" si="58"/>
        <v>0</v>
      </c>
      <c r="BS52" s="319">
        <f t="shared" si="58"/>
        <v>0</v>
      </c>
      <c r="BT52" s="319">
        <f t="shared" si="58"/>
        <v>0</v>
      </c>
      <c r="BU52" s="319">
        <f t="shared" si="58"/>
        <v>0</v>
      </c>
      <c r="BV52" s="319">
        <f t="shared" si="58"/>
        <v>0</v>
      </c>
      <c r="BW52" s="319">
        <f t="shared" si="58"/>
        <v>0</v>
      </c>
      <c r="BX52" s="319">
        <f t="shared" si="58"/>
        <v>0</v>
      </c>
      <c r="BY52" s="319">
        <f t="shared" si="58"/>
        <v>0</v>
      </c>
      <c r="BZ52" s="319">
        <f t="shared" si="58"/>
        <v>0</v>
      </c>
      <c r="CA52" s="319">
        <f t="shared" si="58"/>
        <v>0</v>
      </c>
      <c r="CB52" s="319">
        <f t="shared" si="58"/>
        <v>0</v>
      </c>
      <c r="CC52" s="319">
        <f t="shared" si="58"/>
        <v>0</v>
      </c>
      <c r="CD52" s="319">
        <f t="shared" si="58"/>
        <v>0</v>
      </c>
      <c r="CE52" s="319">
        <f t="shared" si="58"/>
        <v>0</v>
      </c>
      <c r="CF52" s="319">
        <f t="shared" si="58"/>
        <v>0</v>
      </c>
      <c r="CG52" s="319">
        <f t="shared" si="58"/>
        <v>0</v>
      </c>
      <c r="CH52" s="319">
        <f t="shared" si="58"/>
        <v>0</v>
      </c>
      <c r="CI52" s="319">
        <f t="shared" si="58"/>
        <v>0</v>
      </c>
      <c r="CJ52" s="319">
        <f t="shared" si="58"/>
        <v>0</v>
      </c>
      <c r="CK52" s="319">
        <f t="shared" si="58"/>
        <v>0</v>
      </c>
      <c r="CL52" s="319">
        <f t="shared" si="58"/>
        <v>0</v>
      </c>
      <c r="CM52" s="319">
        <f t="shared" si="58"/>
        <v>0</v>
      </c>
      <c r="CN52" s="319">
        <f t="shared" si="58"/>
        <v>0</v>
      </c>
      <c r="CO52" s="319">
        <f t="shared" si="58"/>
        <v>0</v>
      </c>
      <c r="CP52" s="319">
        <f t="shared" si="58"/>
        <v>0</v>
      </c>
      <c r="CQ52" s="319">
        <f t="shared" si="58"/>
        <v>0</v>
      </c>
      <c r="CR52" s="319">
        <f t="shared" si="58"/>
        <v>0</v>
      </c>
      <c r="CS52" s="319">
        <f t="shared" si="58"/>
        <v>0</v>
      </c>
      <c r="CT52" s="319">
        <f t="shared" si="58"/>
        <v>0</v>
      </c>
      <c r="CU52" s="319">
        <f t="shared" si="58"/>
        <v>0</v>
      </c>
      <c r="CV52" s="319">
        <f t="shared" si="58"/>
        <v>0</v>
      </c>
    </row>
    <row r="53" spans="1:100" ht="15.75" thickBot="1" x14ac:dyDescent="0.3">
      <c r="A53" s="319">
        <f t="shared" si="3"/>
        <v>0</v>
      </c>
      <c r="B53" s="319">
        <f t="shared" si="13"/>
        <v>0</v>
      </c>
      <c r="C53" s="352" t="s">
        <v>1254</v>
      </c>
      <c r="D53" s="353" t="s">
        <v>354</v>
      </c>
      <c r="E53" s="353">
        <v>11</v>
      </c>
      <c r="F53" s="353" t="str">
        <f>IF(AND(E25&lt;CharacterSheet!$V$34,G40="Yes",G43="Yes",G46="Yes",G47="Yes",G48="Yes",OR(G49="Yes",G22="Yes"),G51="Yes",G52="Yes",OR(G41="Yes",G42="Yes"),OR(G44="Yes",G45="Yes")),"Yes","No")</f>
        <v>No</v>
      </c>
      <c r="G53" s="565" t="s">
        <v>347</v>
      </c>
      <c r="H53" s="333" t="str">
        <f>IF(C53="","",VLOOKUP(C53,Boonref2!A:B,2,FALSE))</f>
        <v>No</v>
      </c>
      <c r="I53" s="333"/>
      <c r="J53" s="333" t="str">
        <f>VLOOKUP(C53,BoonRef!A:Z,17,FALSE)</f>
        <v>Yes</v>
      </c>
      <c r="K53" s="333" t="str">
        <f>IF(J53="God",'House Rules'!$B$2,IF(J53="Demi",'House Rules'!$B$1,IF(J53="Comp",'House Rules'!$B$4,IF(J53="Yaz",'House Rules'!$B$5,IF(J53="Rag",'House Rules'!$B$3,"Available")))))</f>
        <v>Available</v>
      </c>
      <c r="L53" s="333"/>
      <c r="M53" s="333"/>
      <c r="N53" s="340" t="s">
        <v>1443</v>
      </c>
      <c r="O53" s="341" t="s">
        <v>181</v>
      </c>
      <c r="P53" s="341" t="str">
        <f>IF('House Rules'!$B$35="Prohibited","No",IF(O53&lt;CharacterSheet!$V$34,"Yes","No"))</f>
        <v>No</v>
      </c>
      <c r="Q53" s="341">
        <v>2</v>
      </c>
      <c r="R53" s="344" t="s">
        <v>347</v>
      </c>
      <c r="S53" s="317"/>
      <c r="T53" s="319">
        <f t="shared" si="59"/>
        <v>0</v>
      </c>
      <c r="U53" s="345" t="s">
        <v>2439</v>
      </c>
      <c r="V53" s="341" t="s">
        <v>1113</v>
      </c>
      <c r="W53" s="346" t="s">
        <v>40</v>
      </c>
      <c r="X53" s="341">
        <v>2</v>
      </c>
      <c r="Y53" s="347" t="str">
        <f>IF(AND($D$2="Arete",CharacterSheet!$E$56&gt;2,CharacterSheet!$V$34&gt;X53,'House Rules'!$B$6="Free",'House Rules'!$D$6=W53),"Free",IF(AND($D$2="Arete",CharacterSheet!$E$56&gt;2,CharacterSheet!$V$34&gt;X53,Z52="Yes"),"Yes","No"))</f>
        <v>No</v>
      </c>
      <c r="Z53" s="572" t="s">
        <v>347</v>
      </c>
      <c r="AA53" s="556"/>
      <c r="AB53" s="319">
        <f t="shared" si="60"/>
        <v>0</v>
      </c>
      <c r="AC53" s="345" t="s">
        <v>2539</v>
      </c>
      <c r="AD53" s="341" t="s">
        <v>1113</v>
      </c>
      <c r="AE53" s="346" t="s">
        <v>50</v>
      </c>
      <c r="AF53" s="341">
        <v>2</v>
      </c>
      <c r="AG53" s="347" t="str">
        <f>IF(AND($D$2="Arete",CharacterSheet!$M$56&gt;2,CharacterSheet!$V$34&gt;AF53,'House Rules'!$B$6="Free",'House Rules'!$D$6=AE53),"Free",IF(AND($D$2="Arete",CharacterSheet!$M$56&gt;2,CharacterSheet!$V$34&gt;AF53,AH52="Yes"),"Yes","No"))</f>
        <v>No</v>
      </c>
      <c r="AH53" s="572" t="s">
        <v>347</v>
      </c>
      <c r="BF53" s="319">
        <f t="shared" si="57"/>
        <v>0</v>
      </c>
      <c r="BG53" s="345" t="s">
        <v>2419</v>
      </c>
      <c r="BI53" s="319">
        <f t="shared" si="9"/>
        <v>0</v>
      </c>
      <c r="BJ53" s="319">
        <f t="shared" si="58"/>
        <v>0</v>
      </c>
      <c r="BK53" s="319">
        <f t="shared" si="58"/>
        <v>0</v>
      </c>
      <c r="BL53" s="319">
        <f t="shared" si="58"/>
        <v>0</v>
      </c>
      <c r="BM53" s="319">
        <f t="shared" si="58"/>
        <v>0</v>
      </c>
      <c r="BN53" s="319">
        <f t="shared" si="58"/>
        <v>0</v>
      </c>
      <c r="BO53" s="319">
        <f t="shared" si="58"/>
        <v>0</v>
      </c>
      <c r="BP53" s="319">
        <f t="shared" si="58"/>
        <v>0</v>
      </c>
      <c r="BQ53" s="319">
        <f t="shared" si="58"/>
        <v>0</v>
      </c>
      <c r="BR53" s="319">
        <f t="shared" si="58"/>
        <v>0</v>
      </c>
      <c r="BS53" s="319">
        <f t="shared" si="58"/>
        <v>0</v>
      </c>
      <c r="BT53" s="319">
        <f t="shared" si="58"/>
        <v>0</v>
      </c>
      <c r="BU53" s="319">
        <f t="shared" si="58"/>
        <v>0</v>
      </c>
      <c r="BV53" s="319">
        <f t="shared" si="58"/>
        <v>0</v>
      </c>
      <c r="BW53" s="319">
        <f t="shared" si="58"/>
        <v>0</v>
      </c>
      <c r="BX53" s="319">
        <f t="shared" si="58"/>
        <v>0</v>
      </c>
      <c r="BY53" s="319">
        <f t="shared" si="58"/>
        <v>0</v>
      </c>
      <c r="BZ53" s="319">
        <f t="shared" si="58"/>
        <v>0</v>
      </c>
      <c r="CA53" s="319">
        <f t="shared" si="58"/>
        <v>0</v>
      </c>
      <c r="CB53" s="319">
        <f t="shared" si="58"/>
        <v>0</v>
      </c>
      <c r="CC53" s="319">
        <f t="shared" si="58"/>
        <v>0</v>
      </c>
      <c r="CD53" s="319">
        <f t="shared" si="58"/>
        <v>0</v>
      </c>
      <c r="CE53" s="319">
        <f t="shared" si="58"/>
        <v>0</v>
      </c>
      <c r="CF53" s="319">
        <f t="shared" si="58"/>
        <v>0</v>
      </c>
      <c r="CG53" s="319">
        <f t="shared" si="58"/>
        <v>0</v>
      </c>
      <c r="CH53" s="319">
        <f t="shared" si="58"/>
        <v>0</v>
      </c>
      <c r="CI53" s="319">
        <f t="shared" si="58"/>
        <v>0</v>
      </c>
      <c r="CJ53" s="319">
        <f t="shared" si="58"/>
        <v>0</v>
      </c>
      <c r="CK53" s="319">
        <f t="shared" si="58"/>
        <v>0</v>
      </c>
      <c r="CL53" s="319">
        <f t="shared" si="58"/>
        <v>0</v>
      </c>
      <c r="CM53" s="319">
        <f t="shared" si="58"/>
        <v>0</v>
      </c>
      <c r="CN53" s="319">
        <f t="shared" si="58"/>
        <v>0</v>
      </c>
      <c r="CO53" s="319">
        <f t="shared" si="58"/>
        <v>0</v>
      </c>
      <c r="CP53" s="319">
        <f t="shared" si="58"/>
        <v>0</v>
      </c>
      <c r="CQ53" s="319">
        <f t="shared" si="58"/>
        <v>0</v>
      </c>
      <c r="CR53" s="319">
        <f t="shared" si="58"/>
        <v>0</v>
      </c>
      <c r="CS53" s="319">
        <f t="shared" si="58"/>
        <v>0</v>
      </c>
      <c r="CT53" s="319">
        <f t="shared" si="58"/>
        <v>0</v>
      </c>
      <c r="CU53" s="319">
        <f t="shared" si="58"/>
        <v>0</v>
      </c>
      <c r="CV53" s="319">
        <f t="shared" si="58"/>
        <v>0</v>
      </c>
    </row>
    <row r="54" spans="1:100" x14ac:dyDescent="0.25">
      <c r="A54" s="319">
        <f t="shared" si="3"/>
        <v>0</v>
      </c>
      <c r="B54" s="319">
        <f t="shared" si="13"/>
        <v>0</v>
      </c>
      <c r="C54" s="330" t="s">
        <v>1073</v>
      </c>
      <c r="D54" s="331" t="s">
        <v>355</v>
      </c>
      <c r="E54" s="331">
        <v>1</v>
      </c>
      <c r="F54" s="331" t="str">
        <f>IF(E54&lt;CharacterSheet!$V$34,"Yes","No")</f>
        <v>Yes</v>
      </c>
      <c r="G54" s="563" t="s">
        <v>347</v>
      </c>
      <c r="H54" s="333" t="str">
        <f>IF(C54="","",VLOOKUP(C54,Boonref2!A:B,2,FALSE))</f>
        <v>No</v>
      </c>
      <c r="I54" s="333"/>
      <c r="J54" s="333" t="str">
        <f>VLOOKUP(C54,BoonRef!A:Z,17,FALSE)</f>
        <v>Yes</v>
      </c>
      <c r="K54" s="333" t="str">
        <f>IF(J54="God",'House Rules'!$B$2,IF(J54="Demi",'House Rules'!$B$1,IF(J54="Comp",'House Rules'!$B$4,IF(J54="Yaz",'House Rules'!$B$5,IF(J54="Rag",'House Rules'!$B$3,"Available")))))</f>
        <v>Available</v>
      </c>
      <c r="L54" s="333"/>
      <c r="M54" s="333"/>
      <c r="N54" s="340" t="s">
        <v>1444</v>
      </c>
      <c r="O54" s="341" t="s">
        <v>181</v>
      </c>
      <c r="P54" s="341" t="str">
        <f>IF('House Rules'!$B$36="Prohibited","No",IF(O54&lt;CharacterSheet!$V$34,"Yes","No"))</f>
        <v>No</v>
      </c>
      <c r="Q54" s="341">
        <v>3</v>
      </c>
      <c r="R54" s="344" t="s">
        <v>346</v>
      </c>
      <c r="S54" s="317"/>
      <c r="T54" s="319">
        <f t="shared" si="59"/>
        <v>0</v>
      </c>
      <c r="U54" s="345" t="s">
        <v>2440</v>
      </c>
      <c r="V54" s="341" t="s">
        <v>1114</v>
      </c>
      <c r="W54" s="346" t="s">
        <v>40</v>
      </c>
      <c r="X54" s="341">
        <v>3</v>
      </c>
      <c r="Y54" s="347" t="str">
        <f>IF(AND($D$2="Arete",CharacterSheet!$E$56&gt;2,CharacterSheet!$V$34&gt;X54,'House Rules'!$B$6="Free",'House Rules'!$D$6=W54),"Free",IF(AND($D$2="Arete",CharacterSheet!$E$56&gt;2,CharacterSheet!$V$34&gt;X54,Z53="Yes"),"Yes","No"))</f>
        <v>No</v>
      </c>
      <c r="Z54" s="572" t="s">
        <v>347</v>
      </c>
      <c r="AA54" s="556"/>
      <c r="AB54" s="319">
        <f t="shared" si="60"/>
        <v>0</v>
      </c>
      <c r="AC54" s="345" t="s">
        <v>2540</v>
      </c>
      <c r="AD54" s="341" t="s">
        <v>1114</v>
      </c>
      <c r="AE54" s="346" t="s">
        <v>50</v>
      </c>
      <c r="AF54" s="341">
        <v>3</v>
      </c>
      <c r="AG54" s="347" t="str">
        <f>IF(AND($D$2="Arete",CharacterSheet!$M$56&gt;2,CharacterSheet!$V$34&gt;AF54,'House Rules'!$B$6="Free",'House Rules'!$D$6=AE54),"Free",IF(AND($D$2="Arete",CharacterSheet!$M$56&gt;2,CharacterSheet!$V$34&gt;AF54,AH53="Yes"),"Yes","No"))</f>
        <v>No</v>
      </c>
      <c r="AH54" s="572" t="s">
        <v>347</v>
      </c>
      <c r="BF54" s="319">
        <f t="shared" si="57"/>
        <v>0</v>
      </c>
      <c r="BG54" s="345" t="s">
        <v>2420</v>
      </c>
      <c r="BI54" s="319">
        <f t="shared" si="9"/>
        <v>0</v>
      </c>
      <c r="BJ54" s="319">
        <f t="shared" si="58"/>
        <v>0</v>
      </c>
      <c r="BK54" s="319">
        <f t="shared" si="58"/>
        <v>0</v>
      </c>
      <c r="BL54" s="319">
        <f t="shared" si="58"/>
        <v>0</v>
      </c>
      <c r="BM54" s="319">
        <f t="shared" si="58"/>
        <v>0</v>
      </c>
      <c r="BN54" s="319">
        <f t="shared" si="58"/>
        <v>0</v>
      </c>
      <c r="BO54" s="319">
        <f t="shared" si="58"/>
        <v>0</v>
      </c>
      <c r="BP54" s="319">
        <f t="shared" si="58"/>
        <v>0</v>
      </c>
      <c r="BQ54" s="319">
        <f t="shared" si="58"/>
        <v>0</v>
      </c>
      <c r="BR54" s="319">
        <f t="shared" si="58"/>
        <v>0</v>
      </c>
      <c r="BS54" s="319">
        <f t="shared" si="58"/>
        <v>0</v>
      </c>
      <c r="BT54" s="319">
        <f t="shared" si="58"/>
        <v>0</v>
      </c>
      <c r="BU54" s="319">
        <f t="shared" si="58"/>
        <v>0</v>
      </c>
      <c r="BV54" s="319">
        <f t="shared" si="58"/>
        <v>0</v>
      </c>
      <c r="BW54" s="319">
        <f t="shared" si="58"/>
        <v>0</v>
      </c>
      <c r="BX54" s="319">
        <f t="shared" si="58"/>
        <v>0</v>
      </c>
      <c r="BY54" s="319">
        <f t="shared" si="58"/>
        <v>0</v>
      </c>
      <c r="BZ54" s="319">
        <f t="shared" si="58"/>
        <v>0</v>
      </c>
      <c r="CA54" s="319">
        <f t="shared" si="58"/>
        <v>0</v>
      </c>
      <c r="CB54" s="319">
        <f t="shared" si="58"/>
        <v>0</v>
      </c>
      <c r="CC54" s="319">
        <f t="shared" si="58"/>
        <v>0</v>
      </c>
      <c r="CD54" s="319">
        <f t="shared" si="58"/>
        <v>0</v>
      </c>
      <c r="CE54" s="319">
        <f t="shared" si="58"/>
        <v>0</v>
      </c>
      <c r="CF54" s="319">
        <f t="shared" si="58"/>
        <v>0</v>
      </c>
      <c r="CG54" s="319">
        <f t="shared" si="58"/>
        <v>0</v>
      </c>
      <c r="CH54" s="319">
        <f t="shared" si="58"/>
        <v>0</v>
      </c>
      <c r="CI54" s="319">
        <f t="shared" si="58"/>
        <v>0</v>
      </c>
      <c r="CJ54" s="319">
        <f t="shared" si="58"/>
        <v>0</v>
      </c>
      <c r="CK54" s="319">
        <f t="shared" ref="BJ54:CV61" si="61">IF(AND($D54=CK$1,$G54="Yes"),$E54,0)</f>
        <v>0</v>
      </c>
      <c r="CL54" s="319">
        <f t="shared" si="61"/>
        <v>0</v>
      </c>
      <c r="CM54" s="319">
        <f t="shared" si="61"/>
        <v>0</v>
      </c>
      <c r="CN54" s="319">
        <f t="shared" si="61"/>
        <v>0</v>
      </c>
      <c r="CO54" s="319">
        <f t="shared" si="61"/>
        <v>0</v>
      </c>
      <c r="CP54" s="319">
        <f t="shared" si="61"/>
        <v>0</v>
      </c>
      <c r="CQ54" s="319">
        <f t="shared" si="61"/>
        <v>0</v>
      </c>
      <c r="CR54" s="319">
        <f t="shared" si="61"/>
        <v>0</v>
      </c>
      <c r="CS54" s="319">
        <f t="shared" si="61"/>
        <v>0</v>
      </c>
      <c r="CT54" s="319">
        <f t="shared" si="61"/>
        <v>0</v>
      </c>
      <c r="CU54" s="319">
        <f t="shared" si="61"/>
        <v>0</v>
      </c>
      <c r="CV54" s="319">
        <f t="shared" si="61"/>
        <v>0</v>
      </c>
    </row>
    <row r="55" spans="1:100" x14ac:dyDescent="0.25">
      <c r="A55" s="319">
        <f t="shared" si="3"/>
        <v>0</v>
      </c>
      <c r="B55" s="319">
        <f t="shared" si="13"/>
        <v>0</v>
      </c>
      <c r="C55" s="340" t="s">
        <v>1385</v>
      </c>
      <c r="D55" s="341" t="s">
        <v>355</v>
      </c>
      <c r="E55" s="341">
        <v>1</v>
      </c>
      <c r="F55" s="341" t="str">
        <f>IF(AND(E55&lt;CharacterSheet!$V$34,'House Rules'!$B$4="Available"),"Yes","No")</f>
        <v>Yes</v>
      </c>
      <c r="G55" s="564" t="s">
        <v>347</v>
      </c>
      <c r="H55" s="333" t="str">
        <f>IF(C55="","",VLOOKUP(C55,Boonref2!A:B,2,FALSE))</f>
        <v>Yes</v>
      </c>
      <c r="I55" s="333"/>
      <c r="J55" s="333" t="str">
        <f>VLOOKUP(C55,BoonRef!A:Z,17,FALSE)</f>
        <v>Yes</v>
      </c>
      <c r="K55" s="333" t="str">
        <f>IF(J55="God",'House Rules'!$B$2,IF(J55="Demi",'House Rules'!$B$1,IF(J55="Comp",'House Rules'!$B$4,IF(J55="Yaz",'House Rules'!$B$5,IF(J55="Rag",'House Rules'!$B$3,"Available")))))</f>
        <v>Available</v>
      </c>
      <c r="L55" s="333"/>
      <c r="M55" s="333"/>
      <c r="N55" s="340" t="s">
        <v>1445</v>
      </c>
      <c r="O55" s="341" t="s">
        <v>181</v>
      </c>
      <c r="P55" s="341" t="str">
        <f>IF('House Rules'!$B$37="Prohibited","No",IF(O55&lt;CharacterSheet!$V$34,"Yes","No"))</f>
        <v>No</v>
      </c>
      <c r="Q55" s="341">
        <v>4</v>
      </c>
      <c r="R55" s="344" t="s">
        <v>346</v>
      </c>
      <c r="S55" s="317"/>
      <c r="T55" s="319">
        <f t="shared" si="59"/>
        <v>0</v>
      </c>
      <c r="U55" s="345" t="s">
        <v>2441</v>
      </c>
      <c r="V55" s="341" t="s">
        <v>1207</v>
      </c>
      <c r="W55" s="346" t="s">
        <v>40</v>
      </c>
      <c r="X55" s="341">
        <v>4</v>
      </c>
      <c r="Y55" s="347" t="str">
        <f>IF(AND($D$2="Arete",CharacterSheet!$E$56&gt;2,CharacterSheet!$V$34&gt;X55,'House Rules'!$B$6="Free",'House Rules'!$D$6=W55),"Free",IF(AND($D$2="Arete",CharacterSheet!$E$56&gt;2,CharacterSheet!$V$34&gt;X55,Z54="Yes"),"Yes","No"))</f>
        <v>No</v>
      </c>
      <c r="Z55" s="572" t="s">
        <v>347</v>
      </c>
      <c r="AA55" s="556"/>
      <c r="AB55" s="319">
        <f t="shared" si="60"/>
        <v>0</v>
      </c>
      <c r="AC55" s="345" t="s">
        <v>2541</v>
      </c>
      <c r="AD55" s="341" t="s">
        <v>1207</v>
      </c>
      <c r="AE55" s="346" t="s">
        <v>50</v>
      </c>
      <c r="AF55" s="341">
        <v>4</v>
      </c>
      <c r="AG55" s="347" t="str">
        <f>IF(AND($D$2="Arete",CharacterSheet!$M$56&gt;2,CharacterSheet!$V$34&gt;AF55,'House Rules'!$B$6="Free",'House Rules'!$D$6=AE55),"Free",IF(AND($D$2="Arete",CharacterSheet!$M$56&gt;2,CharacterSheet!$V$34&gt;AF55,AH54="Yes"),"Yes","No"))</f>
        <v>No</v>
      </c>
      <c r="AH55" s="572" t="s">
        <v>347</v>
      </c>
      <c r="BF55" s="319">
        <f t="shared" si="57"/>
        <v>0</v>
      </c>
      <c r="BG55" s="345" t="s">
        <v>2421</v>
      </c>
      <c r="BI55" s="319">
        <f t="shared" si="9"/>
        <v>0</v>
      </c>
      <c r="BJ55" s="319">
        <f t="shared" si="61"/>
        <v>0</v>
      </c>
      <c r="BK55" s="319">
        <f t="shared" si="61"/>
        <v>0</v>
      </c>
      <c r="BL55" s="319">
        <f t="shared" si="61"/>
        <v>0</v>
      </c>
      <c r="BM55" s="319">
        <f t="shared" si="61"/>
        <v>0</v>
      </c>
      <c r="BN55" s="319">
        <f t="shared" si="61"/>
        <v>0</v>
      </c>
      <c r="BO55" s="319">
        <f t="shared" si="61"/>
        <v>0</v>
      </c>
      <c r="BP55" s="319">
        <f t="shared" si="61"/>
        <v>0</v>
      </c>
      <c r="BQ55" s="319">
        <f t="shared" si="61"/>
        <v>0</v>
      </c>
      <c r="BR55" s="319">
        <f t="shared" si="61"/>
        <v>0</v>
      </c>
      <c r="BS55" s="319">
        <f t="shared" si="61"/>
        <v>0</v>
      </c>
      <c r="BT55" s="319">
        <f t="shared" si="61"/>
        <v>0</v>
      </c>
      <c r="BU55" s="319">
        <f t="shared" si="61"/>
        <v>0</v>
      </c>
      <c r="BV55" s="319">
        <f t="shared" si="61"/>
        <v>0</v>
      </c>
      <c r="BW55" s="319">
        <f t="shared" si="61"/>
        <v>0</v>
      </c>
      <c r="BX55" s="319">
        <f t="shared" si="61"/>
        <v>0</v>
      </c>
      <c r="BY55" s="319">
        <f t="shared" si="61"/>
        <v>0</v>
      </c>
      <c r="BZ55" s="319">
        <f t="shared" si="61"/>
        <v>0</v>
      </c>
      <c r="CA55" s="319">
        <f t="shared" si="61"/>
        <v>0</v>
      </c>
      <c r="CB55" s="319">
        <f t="shared" si="61"/>
        <v>0</v>
      </c>
      <c r="CC55" s="319">
        <f t="shared" si="61"/>
        <v>0</v>
      </c>
      <c r="CD55" s="319">
        <f t="shared" si="61"/>
        <v>0</v>
      </c>
      <c r="CE55" s="319">
        <f t="shared" si="61"/>
        <v>0</v>
      </c>
      <c r="CF55" s="319">
        <f t="shared" si="61"/>
        <v>0</v>
      </c>
      <c r="CG55" s="319">
        <f t="shared" si="61"/>
        <v>0</v>
      </c>
      <c r="CH55" s="319">
        <f t="shared" si="61"/>
        <v>0</v>
      </c>
      <c r="CI55" s="319">
        <f t="shared" si="61"/>
        <v>0</v>
      </c>
      <c r="CJ55" s="319">
        <f t="shared" si="61"/>
        <v>0</v>
      </c>
      <c r="CK55" s="319">
        <f t="shared" si="61"/>
        <v>0</v>
      </c>
      <c r="CL55" s="319">
        <f t="shared" si="61"/>
        <v>0</v>
      </c>
      <c r="CM55" s="319">
        <f t="shared" si="61"/>
        <v>0</v>
      </c>
      <c r="CN55" s="319">
        <f t="shared" si="61"/>
        <v>0</v>
      </c>
      <c r="CO55" s="319">
        <f t="shared" si="61"/>
        <v>0</v>
      </c>
      <c r="CP55" s="319">
        <f t="shared" si="61"/>
        <v>0</v>
      </c>
      <c r="CQ55" s="319">
        <f t="shared" si="61"/>
        <v>0</v>
      </c>
      <c r="CR55" s="319">
        <f t="shared" si="61"/>
        <v>0</v>
      </c>
      <c r="CS55" s="319">
        <f t="shared" si="61"/>
        <v>0</v>
      </c>
      <c r="CT55" s="319">
        <f t="shared" si="61"/>
        <v>0</v>
      </c>
      <c r="CU55" s="319">
        <f t="shared" si="61"/>
        <v>0</v>
      </c>
      <c r="CV55" s="319">
        <f t="shared" si="61"/>
        <v>0</v>
      </c>
    </row>
    <row r="56" spans="1:100" x14ac:dyDescent="0.25">
      <c r="A56" s="319">
        <f t="shared" si="3"/>
        <v>0</v>
      </c>
      <c r="B56" s="319">
        <f t="shared" si="13"/>
        <v>0</v>
      </c>
      <c r="C56" s="340" t="s">
        <v>1074</v>
      </c>
      <c r="D56" s="341" t="s">
        <v>355</v>
      </c>
      <c r="E56" s="341">
        <v>2</v>
      </c>
      <c r="F56" s="341" t="str">
        <f>IF(AND(E56&lt;CharacterSheet!$V$34,OR('House Rules'!$B$7="Standard",AND('House Rules'!$B$7="Ranked",OR(G55="Yes",G54="Yes")))),"Yes","No")</f>
        <v>No</v>
      </c>
      <c r="G56" s="564" t="s">
        <v>347</v>
      </c>
      <c r="H56" s="333" t="str">
        <f>IF(C56="","",VLOOKUP(C56,Boonref2!A:B,2,FALSE))</f>
        <v>Yes</v>
      </c>
      <c r="I56" s="333"/>
      <c r="J56" s="333" t="str">
        <f>VLOOKUP(C56,BoonRef!A:Z,17,FALSE)</f>
        <v>Yes</v>
      </c>
      <c r="K56" s="333" t="str">
        <f>IF(J56="God",'House Rules'!$B$2,IF(J56="Demi",'House Rules'!$B$1,IF(J56="Comp",'House Rules'!$B$4,IF(J56="Yaz",'House Rules'!$B$5,IF(J56="Rag",'House Rules'!$B$3,"Available")))))</f>
        <v>Available</v>
      </c>
      <c r="L56" s="333"/>
      <c r="M56" s="333"/>
      <c r="N56" s="340" t="s">
        <v>1446</v>
      </c>
      <c r="O56" s="341" t="s">
        <v>181</v>
      </c>
      <c r="P56" s="341" t="str">
        <f>IF('House Rules'!$B$38="Prohibited","No",IF(O56&lt;CharacterSheet!$V$34,"Yes","No"))</f>
        <v>No</v>
      </c>
      <c r="Q56" s="341">
        <v>5</v>
      </c>
      <c r="R56" s="344" t="s">
        <v>346</v>
      </c>
      <c r="S56" s="317"/>
      <c r="T56" s="319">
        <f t="shared" si="59"/>
        <v>0</v>
      </c>
      <c r="U56" s="345" t="s">
        <v>2442</v>
      </c>
      <c r="V56" s="341" t="s">
        <v>1208</v>
      </c>
      <c r="W56" s="346" t="s">
        <v>40</v>
      </c>
      <c r="X56" s="341">
        <v>5</v>
      </c>
      <c r="Y56" s="347" t="str">
        <f>IF(AND($D$2="Arete",CharacterSheet!$E$56&gt;2,CharacterSheet!$V$34&gt;X56,'House Rules'!$B$6="Free",'House Rules'!$D$6=W56),"Free",IF(AND($D$2="Arete",CharacterSheet!$E$56&gt;2,CharacterSheet!$V$34&gt;X56,Z55="Yes"),"Yes","No"))</f>
        <v>No</v>
      </c>
      <c r="Z56" s="572" t="s">
        <v>347</v>
      </c>
      <c r="AA56" s="556"/>
      <c r="AB56" s="319">
        <f t="shared" si="60"/>
        <v>0</v>
      </c>
      <c r="AC56" s="345" t="s">
        <v>2542</v>
      </c>
      <c r="AD56" s="341" t="s">
        <v>1208</v>
      </c>
      <c r="AE56" s="346" t="s">
        <v>50</v>
      </c>
      <c r="AF56" s="341">
        <v>5</v>
      </c>
      <c r="AG56" s="347" t="str">
        <f>IF(AND($D$2="Arete",CharacterSheet!$M$56&gt;2,CharacterSheet!$V$34&gt;AF56,'House Rules'!$B$6="Free",'House Rules'!$D$6=AE56),"Free",IF(AND($D$2="Arete",CharacterSheet!$M$56&gt;2,CharacterSheet!$V$34&gt;AF56,AH55="Yes"),"Yes","No"))</f>
        <v>No</v>
      </c>
      <c r="AH56" s="572" t="s">
        <v>347</v>
      </c>
      <c r="BF56" s="319">
        <f t="shared" si="57"/>
        <v>0</v>
      </c>
      <c r="BG56" s="345" t="s">
        <v>2422</v>
      </c>
      <c r="BI56" s="319">
        <f t="shared" si="9"/>
        <v>0</v>
      </c>
      <c r="BJ56" s="319">
        <f t="shared" si="61"/>
        <v>0</v>
      </c>
      <c r="BK56" s="319">
        <f t="shared" si="61"/>
        <v>0</v>
      </c>
      <c r="BL56" s="319">
        <f t="shared" si="61"/>
        <v>0</v>
      </c>
      <c r="BM56" s="319">
        <f t="shared" si="61"/>
        <v>0</v>
      </c>
      <c r="BN56" s="319">
        <f t="shared" si="61"/>
        <v>0</v>
      </c>
      <c r="BO56" s="319">
        <f t="shared" si="61"/>
        <v>0</v>
      </c>
      <c r="BP56" s="319">
        <f t="shared" si="61"/>
        <v>0</v>
      </c>
      <c r="BQ56" s="319">
        <f t="shared" si="61"/>
        <v>0</v>
      </c>
      <c r="BR56" s="319">
        <f t="shared" si="61"/>
        <v>0</v>
      </c>
      <c r="BS56" s="319">
        <f t="shared" si="61"/>
        <v>0</v>
      </c>
      <c r="BT56" s="319">
        <f t="shared" si="61"/>
        <v>0</v>
      </c>
      <c r="BU56" s="319">
        <f t="shared" si="61"/>
        <v>0</v>
      </c>
      <c r="BV56" s="319">
        <f t="shared" si="61"/>
        <v>0</v>
      </c>
      <c r="BW56" s="319">
        <f t="shared" si="61"/>
        <v>0</v>
      </c>
      <c r="BX56" s="319">
        <f t="shared" si="61"/>
        <v>0</v>
      </c>
      <c r="BY56" s="319">
        <f t="shared" si="61"/>
        <v>0</v>
      </c>
      <c r="BZ56" s="319">
        <f t="shared" si="61"/>
        <v>0</v>
      </c>
      <c r="CA56" s="319">
        <f t="shared" si="61"/>
        <v>0</v>
      </c>
      <c r="CB56" s="319">
        <f t="shared" si="61"/>
        <v>0</v>
      </c>
      <c r="CC56" s="319">
        <f t="shared" si="61"/>
        <v>0</v>
      </c>
      <c r="CD56" s="319">
        <f t="shared" si="61"/>
        <v>0</v>
      </c>
      <c r="CE56" s="319">
        <f t="shared" si="61"/>
        <v>0</v>
      </c>
      <c r="CF56" s="319">
        <f t="shared" si="61"/>
        <v>0</v>
      </c>
      <c r="CG56" s="319">
        <f t="shared" si="61"/>
        <v>0</v>
      </c>
      <c r="CH56" s="319">
        <f t="shared" si="61"/>
        <v>0</v>
      </c>
      <c r="CI56" s="319">
        <f t="shared" si="61"/>
        <v>0</v>
      </c>
      <c r="CJ56" s="319">
        <f t="shared" si="61"/>
        <v>0</v>
      </c>
      <c r="CK56" s="319">
        <f t="shared" si="61"/>
        <v>0</v>
      </c>
      <c r="CL56" s="319">
        <f t="shared" si="61"/>
        <v>0</v>
      </c>
      <c r="CM56" s="319">
        <f t="shared" si="61"/>
        <v>0</v>
      </c>
      <c r="CN56" s="319">
        <f t="shared" si="61"/>
        <v>0</v>
      </c>
      <c r="CO56" s="319">
        <f t="shared" si="61"/>
        <v>0</v>
      </c>
      <c r="CP56" s="319">
        <f t="shared" si="61"/>
        <v>0</v>
      </c>
      <c r="CQ56" s="319">
        <f t="shared" si="61"/>
        <v>0</v>
      </c>
      <c r="CR56" s="319">
        <f t="shared" si="61"/>
        <v>0</v>
      </c>
      <c r="CS56" s="319">
        <f t="shared" si="61"/>
        <v>0</v>
      </c>
      <c r="CT56" s="319">
        <f t="shared" si="61"/>
        <v>0</v>
      </c>
      <c r="CU56" s="319">
        <f t="shared" si="61"/>
        <v>0</v>
      </c>
      <c r="CV56" s="319">
        <f t="shared" si="61"/>
        <v>0</v>
      </c>
    </row>
    <row r="57" spans="1:100" x14ac:dyDescent="0.25">
      <c r="A57" s="319">
        <f t="shared" si="3"/>
        <v>0</v>
      </c>
      <c r="B57" s="319">
        <f t="shared" si="13"/>
        <v>0</v>
      </c>
      <c r="C57" s="340" t="s">
        <v>1075</v>
      </c>
      <c r="D57" s="341" t="s">
        <v>355</v>
      </c>
      <c r="E57" s="341">
        <v>3</v>
      </c>
      <c r="F57" s="341" t="str">
        <f>IF(AND(E57&lt;CharacterSheet!$V$34,OR('House Rules'!$B$7="Standard",AND('House Rules'!$B$7="Ranked",G56="Yes"))),"Yes","No")</f>
        <v>No</v>
      </c>
      <c r="G57" s="564" t="s">
        <v>347</v>
      </c>
      <c r="H57" s="333" t="str">
        <f>IF(C57="","",VLOOKUP(C57,Boonref2!A:B,2,FALSE))</f>
        <v>Yes</v>
      </c>
      <c r="I57" s="333"/>
      <c r="J57" s="333" t="str">
        <f>VLOOKUP(C57,BoonRef!A:Z,17,FALSE)</f>
        <v>Yes</v>
      </c>
      <c r="K57" s="333" t="str">
        <f>IF(J57="God",'House Rules'!$B$2,IF(J57="Demi",'House Rules'!$B$1,IF(J57="Comp",'House Rules'!$B$4,IF(J57="Yaz",'House Rules'!$B$5,IF(J57="Rag",'House Rules'!$B$3,"Available")))))</f>
        <v>Available</v>
      </c>
      <c r="L57" s="333"/>
      <c r="M57" s="333"/>
      <c r="N57" s="340" t="s">
        <v>1447</v>
      </c>
      <c r="O57" s="341" t="s">
        <v>181</v>
      </c>
      <c r="P57" s="341" t="str">
        <f>IF('House Rules'!$B$39="Prohibited","No",IF(O57&lt;CharacterSheet!$V$34,"Yes","No"))</f>
        <v>No</v>
      </c>
      <c r="Q57" s="341">
        <v>6</v>
      </c>
      <c r="R57" s="344" t="s">
        <v>346</v>
      </c>
      <c r="S57" s="317"/>
      <c r="T57" s="319">
        <f t="shared" si="59"/>
        <v>0</v>
      </c>
      <c r="U57" s="345" t="s">
        <v>2443</v>
      </c>
      <c r="V57" s="341" t="s">
        <v>1209</v>
      </c>
      <c r="W57" s="346" t="s">
        <v>40</v>
      </c>
      <c r="X57" s="341">
        <v>6</v>
      </c>
      <c r="Y57" s="347" t="str">
        <f>IF(AND($D$2="Arete",CharacterSheet!$E$56&gt;2,CharacterSheet!$V$34&gt;X57,'House Rules'!$B$6="Free",'House Rules'!$D$6=W57),"Free",IF(AND($D$2="Arete",CharacterSheet!$E$56&gt;2,CharacterSheet!$V$34&gt;X57,Z56="Yes"),"Yes","No"))</f>
        <v>No</v>
      </c>
      <c r="Z57" s="572" t="s">
        <v>347</v>
      </c>
      <c r="AA57" s="556"/>
      <c r="AB57" s="319">
        <f t="shared" si="60"/>
        <v>0</v>
      </c>
      <c r="AC57" s="345" t="s">
        <v>2543</v>
      </c>
      <c r="AD57" s="341" t="s">
        <v>1209</v>
      </c>
      <c r="AE57" s="346" t="s">
        <v>50</v>
      </c>
      <c r="AF57" s="341">
        <v>6</v>
      </c>
      <c r="AG57" s="347" t="str">
        <f>IF(AND($D$2="Arete",CharacterSheet!$M$56&gt;2,CharacterSheet!$V$34&gt;AF57,'House Rules'!$B$6="Free",'House Rules'!$D$6=AE57),"Free",IF(AND($D$2="Arete",CharacterSheet!$M$56&gt;2,CharacterSheet!$V$34&gt;AF57,AH56="Yes"),"Yes","No"))</f>
        <v>No</v>
      </c>
      <c r="AH57" s="572" t="s">
        <v>347</v>
      </c>
      <c r="BF57" s="319">
        <f t="shared" si="57"/>
        <v>0</v>
      </c>
      <c r="BG57" s="345" t="s">
        <v>2423</v>
      </c>
      <c r="BI57" s="319">
        <f t="shared" si="9"/>
        <v>0</v>
      </c>
      <c r="BJ57" s="319">
        <f t="shared" si="61"/>
        <v>0</v>
      </c>
      <c r="BK57" s="319">
        <f t="shared" si="61"/>
        <v>0</v>
      </c>
      <c r="BL57" s="319">
        <f t="shared" si="61"/>
        <v>0</v>
      </c>
      <c r="BM57" s="319">
        <f t="shared" si="61"/>
        <v>0</v>
      </c>
      <c r="BN57" s="319">
        <f t="shared" si="61"/>
        <v>0</v>
      </c>
      <c r="BO57" s="319">
        <f t="shared" si="61"/>
        <v>0</v>
      </c>
      <c r="BP57" s="319">
        <f t="shared" si="61"/>
        <v>0</v>
      </c>
      <c r="BQ57" s="319">
        <f t="shared" si="61"/>
        <v>0</v>
      </c>
      <c r="BR57" s="319">
        <f t="shared" si="61"/>
        <v>0</v>
      </c>
      <c r="BS57" s="319">
        <f t="shared" si="61"/>
        <v>0</v>
      </c>
      <c r="BT57" s="319">
        <f t="shared" si="61"/>
        <v>0</v>
      </c>
      <c r="BU57" s="319">
        <f t="shared" si="61"/>
        <v>0</v>
      </c>
      <c r="BV57" s="319">
        <f t="shared" si="61"/>
        <v>0</v>
      </c>
      <c r="BW57" s="319">
        <f t="shared" si="61"/>
        <v>0</v>
      </c>
      <c r="BX57" s="319">
        <f t="shared" si="61"/>
        <v>0</v>
      </c>
      <c r="BY57" s="319">
        <f t="shared" si="61"/>
        <v>0</v>
      </c>
      <c r="BZ57" s="319">
        <f t="shared" si="61"/>
        <v>0</v>
      </c>
      <c r="CA57" s="319">
        <f t="shared" si="61"/>
        <v>0</v>
      </c>
      <c r="CB57" s="319">
        <f t="shared" si="61"/>
        <v>0</v>
      </c>
      <c r="CC57" s="319">
        <f t="shared" si="61"/>
        <v>0</v>
      </c>
      <c r="CD57" s="319">
        <f t="shared" si="61"/>
        <v>0</v>
      </c>
      <c r="CE57" s="319">
        <f t="shared" si="61"/>
        <v>0</v>
      </c>
      <c r="CF57" s="319">
        <f t="shared" si="61"/>
        <v>0</v>
      </c>
      <c r="CG57" s="319">
        <f t="shared" si="61"/>
        <v>0</v>
      </c>
      <c r="CH57" s="319">
        <f t="shared" si="61"/>
        <v>0</v>
      </c>
      <c r="CI57" s="319">
        <f t="shared" si="61"/>
        <v>0</v>
      </c>
      <c r="CJ57" s="319">
        <f t="shared" si="61"/>
        <v>0</v>
      </c>
      <c r="CK57" s="319">
        <f t="shared" si="61"/>
        <v>0</v>
      </c>
      <c r="CL57" s="319">
        <f t="shared" si="61"/>
        <v>0</v>
      </c>
      <c r="CM57" s="319">
        <f t="shared" si="61"/>
        <v>0</v>
      </c>
      <c r="CN57" s="319">
        <f t="shared" si="61"/>
        <v>0</v>
      </c>
      <c r="CO57" s="319">
        <f t="shared" si="61"/>
        <v>0</v>
      </c>
      <c r="CP57" s="319">
        <f t="shared" si="61"/>
        <v>0</v>
      </c>
      <c r="CQ57" s="319">
        <f t="shared" si="61"/>
        <v>0</v>
      </c>
      <c r="CR57" s="319">
        <f t="shared" si="61"/>
        <v>0</v>
      </c>
      <c r="CS57" s="319">
        <f t="shared" si="61"/>
        <v>0</v>
      </c>
      <c r="CT57" s="319">
        <f t="shared" si="61"/>
        <v>0</v>
      </c>
      <c r="CU57" s="319">
        <f t="shared" si="61"/>
        <v>0</v>
      </c>
      <c r="CV57" s="319">
        <f t="shared" si="61"/>
        <v>0</v>
      </c>
    </row>
    <row r="58" spans="1:100" x14ac:dyDescent="0.25">
      <c r="A58" s="319">
        <f t="shared" si="3"/>
        <v>0</v>
      </c>
      <c r="B58" s="319">
        <f t="shared" si="13"/>
        <v>0</v>
      </c>
      <c r="C58" s="340" t="s">
        <v>1155</v>
      </c>
      <c r="D58" s="341" t="s">
        <v>355</v>
      </c>
      <c r="E58" s="341">
        <v>4</v>
      </c>
      <c r="F58" s="341" t="str">
        <f>IF(AND(E58&lt;CharacterSheet!$V$34,'House Rules'!$B$1="Available",OR('House Rules'!$B$7="Standard",AND('House Rules'!$B$7="Ranked",G57="Yes"))),"Yes","No")</f>
        <v>No</v>
      </c>
      <c r="G58" s="564" t="s">
        <v>347</v>
      </c>
      <c r="H58" s="333" t="str">
        <f>IF(C58="","",VLOOKUP(C58,Boonref2!A:B,2,FALSE))</f>
        <v>Yes</v>
      </c>
      <c r="I58" s="333"/>
      <c r="J58" s="333" t="str">
        <f>VLOOKUP(C58,BoonRef!A:Z,17,FALSE)</f>
        <v>Yes</v>
      </c>
      <c r="K58" s="333" t="str">
        <f>IF(J58="God",'House Rules'!$B$2,IF(J58="Demi",'House Rules'!$B$1,IF(J58="Comp",'House Rules'!$B$4,IF(J58="Yaz",'House Rules'!$B$5,IF(J58="Rag",'House Rules'!$B$3,"Available")))))</f>
        <v>Available</v>
      </c>
      <c r="L58" s="333"/>
      <c r="M58" s="333"/>
      <c r="N58" s="340" t="s">
        <v>1448</v>
      </c>
      <c r="O58" s="341" t="s">
        <v>181</v>
      </c>
      <c r="P58" s="341" t="str">
        <f>IF('House Rules'!$B$40="Prohibited","No",IF(O58&lt;CharacterSheet!$V$34,"Yes","No"))</f>
        <v>No</v>
      </c>
      <c r="Q58" s="341">
        <v>7</v>
      </c>
      <c r="R58" s="344" t="s">
        <v>346</v>
      </c>
      <c r="S58" s="317"/>
      <c r="T58" s="319">
        <f t="shared" si="59"/>
        <v>0</v>
      </c>
      <c r="U58" s="345" t="s">
        <v>2444</v>
      </c>
      <c r="V58" s="341" t="s">
        <v>1210</v>
      </c>
      <c r="W58" s="346" t="s">
        <v>40</v>
      </c>
      <c r="X58" s="341">
        <v>7</v>
      </c>
      <c r="Y58" s="347" t="str">
        <f>IF(AND($D$2="Arete",CharacterSheet!$E$56&gt;2,CharacterSheet!$V$34&gt;X58,'House Rules'!$B$6="Free",'House Rules'!$D$6=W58),"Free",IF(AND($D$2="Arete",CharacterSheet!$E$56&gt;2,CharacterSheet!$V$34&gt;X58,Z57="Yes"),"Yes","No"))</f>
        <v>No</v>
      </c>
      <c r="Z58" s="572" t="s">
        <v>347</v>
      </c>
      <c r="AA58" s="556"/>
      <c r="AB58" s="319">
        <f t="shared" si="60"/>
        <v>0</v>
      </c>
      <c r="AC58" s="345" t="s">
        <v>2544</v>
      </c>
      <c r="AD58" s="341" t="s">
        <v>1210</v>
      </c>
      <c r="AE58" s="346" t="s">
        <v>50</v>
      </c>
      <c r="AF58" s="341">
        <v>7</v>
      </c>
      <c r="AG58" s="347" t="str">
        <f>IF(AND($D$2="Arete",CharacterSheet!$M$56&gt;2,CharacterSheet!$V$34&gt;AF58,'House Rules'!$B$6="Free",'House Rules'!$D$6=AE58),"Free",IF(AND($D$2="Arete",CharacterSheet!$M$56&gt;2,CharacterSheet!$V$34&gt;AF58,AH57="Yes"),"Yes","No"))</f>
        <v>No</v>
      </c>
      <c r="AH58" s="572" t="s">
        <v>347</v>
      </c>
      <c r="BF58" s="319">
        <f t="shared" si="57"/>
        <v>0</v>
      </c>
      <c r="BG58" s="345" t="s">
        <v>2424</v>
      </c>
      <c r="BI58" s="319">
        <f t="shared" si="9"/>
        <v>0</v>
      </c>
      <c r="BJ58" s="319">
        <f t="shared" si="61"/>
        <v>0</v>
      </c>
      <c r="BK58" s="319">
        <f t="shared" si="61"/>
        <v>0</v>
      </c>
      <c r="BL58" s="319">
        <f t="shared" si="61"/>
        <v>0</v>
      </c>
      <c r="BM58" s="319">
        <f t="shared" si="61"/>
        <v>0</v>
      </c>
      <c r="BN58" s="319">
        <f t="shared" si="61"/>
        <v>0</v>
      </c>
      <c r="BO58" s="319">
        <f t="shared" si="61"/>
        <v>0</v>
      </c>
      <c r="BP58" s="319">
        <f t="shared" si="61"/>
        <v>0</v>
      </c>
      <c r="BQ58" s="319">
        <f t="shared" si="61"/>
        <v>0</v>
      </c>
      <c r="BR58" s="319">
        <f t="shared" si="61"/>
        <v>0</v>
      </c>
      <c r="BS58" s="319">
        <f t="shared" si="61"/>
        <v>0</v>
      </c>
      <c r="BT58" s="319">
        <f t="shared" si="61"/>
        <v>0</v>
      </c>
      <c r="BU58" s="319">
        <f t="shared" si="61"/>
        <v>0</v>
      </c>
      <c r="BV58" s="319">
        <f t="shared" si="61"/>
        <v>0</v>
      </c>
      <c r="BW58" s="319">
        <f t="shared" si="61"/>
        <v>0</v>
      </c>
      <c r="BX58" s="319">
        <f t="shared" si="61"/>
        <v>0</v>
      </c>
      <c r="BY58" s="319">
        <f t="shared" si="61"/>
        <v>0</v>
      </c>
      <c r="BZ58" s="319">
        <f t="shared" si="61"/>
        <v>0</v>
      </c>
      <c r="CA58" s="319">
        <f t="shared" si="61"/>
        <v>0</v>
      </c>
      <c r="CB58" s="319">
        <f t="shared" si="61"/>
        <v>0</v>
      </c>
      <c r="CC58" s="319">
        <f t="shared" si="61"/>
        <v>0</v>
      </c>
      <c r="CD58" s="319">
        <f t="shared" si="61"/>
        <v>0</v>
      </c>
      <c r="CE58" s="319">
        <f t="shared" si="61"/>
        <v>0</v>
      </c>
      <c r="CF58" s="319">
        <f t="shared" si="61"/>
        <v>0</v>
      </c>
      <c r="CG58" s="319">
        <f t="shared" si="61"/>
        <v>0</v>
      </c>
      <c r="CH58" s="319">
        <f t="shared" si="61"/>
        <v>0</v>
      </c>
      <c r="CI58" s="319">
        <f t="shared" si="61"/>
        <v>0</v>
      </c>
      <c r="CJ58" s="319">
        <f t="shared" si="61"/>
        <v>0</v>
      </c>
      <c r="CK58" s="319">
        <f t="shared" si="61"/>
        <v>0</v>
      </c>
      <c r="CL58" s="319">
        <f t="shared" si="61"/>
        <v>0</v>
      </c>
      <c r="CM58" s="319">
        <f t="shared" si="61"/>
        <v>0</v>
      </c>
      <c r="CN58" s="319">
        <f t="shared" si="61"/>
        <v>0</v>
      </c>
      <c r="CO58" s="319">
        <f t="shared" si="61"/>
        <v>0</v>
      </c>
      <c r="CP58" s="319">
        <f t="shared" si="61"/>
        <v>0</v>
      </c>
      <c r="CQ58" s="319">
        <f t="shared" si="61"/>
        <v>0</v>
      </c>
      <c r="CR58" s="319">
        <f t="shared" si="61"/>
        <v>0</v>
      </c>
      <c r="CS58" s="319">
        <f t="shared" si="61"/>
        <v>0</v>
      </c>
      <c r="CT58" s="319">
        <f t="shared" si="61"/>
        <v>0</v>
      </c>
      <c r="CU58" s="319">
        <f t="shared" si="61"/>
        <v>0</v>
      </c>
      <c r="CV58" s="319">
        <f t="shared" si="61"/>
        <v>0</v>
      </c>
    </row>
    <row r="59" spans="1:100" x14ac:dyDescent="0.25">
      <c r="A59" s="319">
        <f t="shared" si="3"/>
        <v>0</v>
      </c>
      <c r="B59" s="319">
        <f t="shared" si="13"/>
        <v>0</v>
      </c>
      <c r="C59" s="340" t="s">
        <v>1156</v>
      </c>
      <c r="D59" s="341" t="s">
        <v>355</v>
      </c>
      <c r="E59" s="341">
        <v>5</v>
      </c>
      <c r="F59" s="341" t="str">
        <f>IF(AND(E59&lt;CharacterSheet!$V$34,'House Rules'!$B$1="Available",OR('House Rules'!$B$7="Standard",AND('House Rules'!$B$7="Ranked",G58="Yes"))),"Yes","No")</f>
        <v>No</v>
      </c>
      <c r="G59" s="564" t="s">
        <v>347</v>
      </c>
      <c r="H59" s="333" t="str">
        <f>IF(C59="","",VLOOKUP(C59,Boonref2!A:B,2,FALSE))</f>
        <v>No</v>
      </c>
      <c r="I59" s="333"/>
      <c r="J59" s="333" t="str">
        <f>VLOOKUP(C59,BoonRef!A:Z,17,FALSE)</f>
        <v>Yes</v>
      </c>
      <c r="K59" s="333" t="str">
        <f>IF(J59="God",'House Rules'!$B$2,IF(J59="Demi",'House Rules'!$B$1,IF(J59="Comp",'House Rules'!$B$4,IF(J59="Yaz",'House Rules'!$B$5,IF(J59="Rag",'House Rules'!$B$3,"Available")))))</f>
        <v>Available</v>
      </c>
      <c r="L59" s="333"/>
      <c r="M59" s="333"/>
      <c r="N59" s="340" t="s">
        <v>1449</v>
      </c>
      <c r="O59" s="341" t="s">
        <v>181</v>
      </c>
      <c r="P59" s="341" t="str">
        <f>IF('House Rules'!$B$41="Prohibited","No",IF(O59&lt;CharacterSheet!$V$34,"Yes","No"))</f>
        <v>No</v>
      </c>
      <c r="Q59" s="341">
        <v>8</v>
      </c>
      <c r="R59" s="344" t="s">
        <v>346</v>
      </c>
      <c r="S59" s="317"/>
      <c r="T59" s="319">
        <f t="shared" si="59"/>
        <v>0</v>
      </c>
      <c r="U59" s="345" t="s">
        <v>2445</v>
      </c>
      <c r="V59" s="341" t="s">
        <v>1306</v>
      </c>
      <c r="W59" s="346" t="s">
        <v>40</v>
      </c>
      <c r="X59" s="341">
        <v>8</v>
      </c>
      <c r="Y59" s="347" t="str">
        <f>IF(AND($D$2="Arete",CharacterSheet!$E$56&gt;2,CharacterSheet!$V$34&gt;X59,'House Rules'!$B$6="Free",'House Rules'!$D$6=W59),"Free",IF(AND($D$2="Arete",CharacterSheet!$E$56&gt;2,CharacterSheet!$V$34&gt;X59,Z58="Yes"),"Yes","No"))</f>
        <v>No</v>
      </c>
      <c r="Z59" s="572" t="s">
        <v>347</v>
      </c>
      <c r="AA59" s="556"/>
      <c r="AB59" s="319">
        <f t="shared" si="60"/>
        <v>0</v>
      </c>
      <c r="AC59" s="345" t="s">
        <v>2545</v>
      </c>
      <c r="AD59" s="341" t="s">
        <v>1306</v>
      </c>
      <c r="AE59" s="346" t="s">
        <v>50</v>
      </c>
      <c r="AF59" s="341">
        <v>8</v>
      </c>
      <c r="AG59" s="347" t="str">
        <f>IF(AND($D$2="Arete",CharacterSheet!$M$56&gt;2,CharacterSheet!$V$34&gt;AF59,'House Rules'!$B$6="Free",'House Rules'!$D$6=AE59),"Free",IF(AND($D$2="Arete",CharacterSheet!$M$56&gt;2,CharacterSheet!$V$34&gt;AF59,AH58="Yes"),"Yes","No"))</f>
        <v>No</v>
      </c>
      <c r="AH59" s="572" t="s">
        <v>347</v>
      </c>
      <c r="BF59" s="319">
        <f t="shared" si="57"/>
        <v>0</v>
      </c>
      <c r="BG59" s="345" t="s">
        <v>2425</v>
      </c>
      <c r="BI59" s="319">
        <f t="shared" si="9"/>
        <v>0</v>
      </c>
      <c r="BJ59" s="319">
        <f t="shared" si="61"/>
        <v>0</v>
      </c>
      <c r="BK59" s="319">
        <f t="shared" si="61"/>
        <v>0</v>
      </c>
      <c r="BL59" s="319">
        <f t="shared" si="61"/>
        <v>0</v>
      </c>
      <c r="BM59" s="319">
        <f t="shared" si="61"/>
        <v>0</v>
      </c>
      <c r="BN59" s="319">
        <f t="shared" si="61"/>
        <v>0</v>
      </c>
      <c r="BO59" s="319">
        <f t="shared" si="61"/>
        <v>0</v>
      </c>
      <c r="BP59" s="319">
        <f t="shared" si="61"/>
        <v>0</v>
      </c>
      <c r="BQ59" s="319">
        <f t="shared" si="61"/>
        <v>0</v>
      </c>
      <c r="BR59" s="319">
        <f t="shared" si="61"/>
        <v>0</v>
      </c>
      <c r="BS59" s="319">
        <f t="shared" si="61"/>
        <v>0</v>
      </c>
      <c r="BT59" s="319">
        <f t="shared" si="61"/>
        <v>0</v>
      </c>
      <c r="BU59" s="319">
        <f t="shared" si="61"/>
        <v>0</v>
      </c>
      <c r="BV59" s="319">
        <f t="shared" si="61"/>
        <v>0</v>
      </c>
      <c r="BW59" s="319">
        <f t="shared" si="61"/>
        <v>0</v>
      </c>
      <c r="BX59" s="319">
        <f t="shared" si="61"/>
        <v>0</v>
      </c>
      <c r="BY59" s="319">
        <f t="shared" si="61"/>
        <v>0</v>
      </c>
      <c r="BZ59" s="319">
        <f t="shared" si="61"/>
        <v>0</v>
      </c>
      <c r="CA59" s="319">
        <f t="shared" si="61"/>
        <v>0</v>
      </c>
      <c r="CB59" s="319">
        <f t="shared" si="61"/>
        <v>0</v>
      </c>
      <c r="CC59" s="319">
        <f t="shared" si="61"/>
        <v>0</v>
      </c>
      <c r="CD59" s="319">
        <f t="shared" si="61"/>
        <v>0</v>
      </c>
      <c r="CE59" s="319">
        <f t="shared" si="61"/>
        <v>0</v>
      </c>
      <c r="CF59" s="319">
        <f t="shared" si="61"/>
        <v>0</v>
      </c>
      <c r="CG59" s="319">
        <f t="shared" si="61"/>
        <v>0</v>
      </c>
      <c r="CH59" s="319">
        <f t="shared" si="61"/>
        <v>0</v>
      </c>
      <c r="CI59" s="319">
        <f t="shared" si="61"/>
        <v>0</v>
      </c>
      <c r="CJ59" s="319">
        <f t="shared" si="61"/>
        <v>0</v>
      </c>
      <c r="CK59" s="319">
        <f t="shared" si="61"/>
        <v>0</v>
      </c>
      <c r="CL59" s="319">
        <f t="shared" si="61"/>
        <v>0</v>
      </c>
      <c r="CM59" s="319">
        <f t="shared" si="61"/>
        <v>0</v>
      </c>
      <c r="CN59" s="319">
        <f t="shared" si="61"/>
        <v>0</v>
      </c>
      <c r="CO59" s="319">
        <f t="shared" si="61"/>
        <v>0</v>
      </c>
      <c r="CP59" s="319">
        <f t="shared" si="61"/>
        <v>0</v>
      </c>
      <c r="CQ59" s="319">
        <f t="shared" si="61"/>
        <v>0</v>
      </c>
      <c r="CR59" s="319">
        <f t="shared" si="61"/>
        <v>0</v>
      </c>
      <c r="CS59" s="319">
        <f t="shared" si="61"/>
        <v>0</v>
      </c>
      <c r="CT59" s="319">
        <f t="shared" si="61"/>
        <v>0</v>
      </c>
      <c r="CU59" s="319">
        <f t="shared" si="61"/>
        <v>0</v>
      </c>
      <c r="CV59" s="319">
        <f t="shared" si="61"/>
        <v>0</v>
      </c>
    </row>
    <row r="60" spans="1:100" x14ac:dyDescent="0.25">
      <c r="A60" s="319">
        <f t="shared" si="3"/>
        <v>0</v>
      </c>
      <c r="B60" s="319">
        <f t="shared" si="13"/>
        <v>0</v>
      </c>
      <c r="C60" s="340" t="s">
        <v>1157</v>
      </c>
      <c r="D60" s="341" t="s">
        <v>355</v>
      </c>
      <c r="E60" s="341">
        <v>6</v>
      </c>
      <c r="F60" s="341" t="str">
        <f>IF(AND(E60&lt;CharacterSheet!$V$34,'House Rules'!$B$1="Available",OR('House Rules'!$B$7="Standard",AND('House Rules'!$B$7="Ranked",G59="Yes"))),"Yes","No")</f>
        <v>No</v>
      </c>
      <c r="G60" s="564" t="s">
        <v>347</v>
      </c>
      <c r="H60" s="333" t="str">
        <f>IF(C60="","",VLOOKUP(C60,Boonref2!A:B,2,FALSE))</f>
        <v>Yes</v>
      </c>
      <c r="I60" s="333"/>
      <c r="J60" s="333" t="str">
        <f>VLOOKUP(C60,BoonRef!A:Z,17,FALSE)</f>
        <v>Yes</v>
      </c>
      <c r="K60" s="333" t="str">
        <f>IF(J60="God",'House Rules'!$B$2,IF(J60="Demi",'House Rules'!$B$1,IF(J60="Comp",'House Rules'!$B$4,IF(J60="Yaz",'House Rules'!$B$5,IF(J60="Rag",'House Rules'!$B$3,"Available")))))</f>
        <v>Available</v>
      </c>
      <c r="L60" s="333"/>
      <c r="M60" s="333"/>
      <c r="N60" s="340" t="s">
        <v>1450</v>
      </c>
      <c r="O60" s="341" t="s">
        <v>181</v>
      </c>
      <c r="P60" s="341" t="str">
        <f>IF('House Rules'!$B$42="Prohibited","No",IF(O60&lt;CharacterSheet!$V$34,"Yes","No"))</f>
        <v>No</v>
      </c>
      <c r="Q60" s="341">
        <v>9</v>
      </c>
      <c r="R60" s="344" t="s">
        <v>346</v>
      </c>
      <c r="S60" s="317"/>
      <c r="T60" s="319">
        <f t="shared" si="59"/>
        <v>0</v>
      </c>
      <c r="U60" s="345" t="s">
        <v>2446</v>
      </c>
      <c r="V60" s="341" t="s">
        <v>1307</v>
      </c>
      <c r="W60" s="346" t="s">
        <v>40</v>
      </c>
      <c r="X60" s="341">
        <v>9</v>
      </c>
      <c r="Y60" s="347" t="str">
        <f>IF(AND($D$2="Arete",CharacterSheet!$E$56&gt;2,CharacterSheet!$V$34&gt;X60,'House Rules'!$B$6="Free",'House Rules'!$D$6=W60),"Free",IF(AND($D$2="Arete",CharacterSheet!$E$56&gt;2,CharacterSheet!$V$34&gt;X60,Z59="Yes"),"Yes","No"))</f>
        <v>No</v>
      </c>
      <c r="Z60" s="572" t="s">
        <v>347</v>
      </c>
      <c r="AA60" s="556"/>
      <c r="AB60" s="319">
        <f t="shared" si="60"/>
        <v>0</v>
      </c>
      <c r="AC60" s="345" t="s">
        <v>2546</v>
      </c>
      <c r="AD60" s="341" t="s">
        <v>1307</v>
      </c>
      <c r="AE60" s="346" t="s">
        <v>50</v>
      </c>
      <c r="AF60" s="341">
        <v>9</v>
      </c>
      <c r="AG60" s="347" t="str">
        <f>IF(AND($D$2="Arete",CharacterSheet!$M$56&gt;2,CharacterSheet!$V$34&gt;AF60,'House Rules'!$B$6="Free",'House Rules'!$D$6=AE60),"Free",IF(AND($D$2="Arete",CharacterSheet!$M$56&gt;2,CharacterSheet!$V$34&gt;AF60,AH59="Yes"),"Yes","No"))</f>
        <v>No</v>
      </c>
      <c r="AH60" s="572" t="s">
        <v>347</v>
      </c>
      <c r="BF60" s="319">
        <f t="shared" si="57"/>
        <v>0</v>
      </c>
      <c r="BG60" s="345" t="s">
        <v>2426</v>
      </c>
      <c r="BI60" s="319">
        <f t="shared" si="9"/>
        <v>0</v>
      </c>
      <c r="BJ60" s="319">
        <f t="shared" si="61"/>
        <v>0</v>
      </c>
      <c r="BK60" s="319">
        <f t="shared" si="61"/>
        <v>0</v>
      </c>
      <c r="BL60" s="319">
        <f t="shared" si="61"/>
        <v>0</v>
      </c>
      <c r="BM60" s="319">
        <f t="shared" si="61"/>
        <v>0</v>
      </c>
      <c r="BN60" s="319">
        <f t="shared" si="61"/>
        <v>0</v>
      </c>
      <c r="BO60" s="319">
        <f t="shared" si="61"/>
        <v>0</v>
      </c>
      <c r="BP60" s="319">
        <f t="shared" si="61"/>
        <v>0</v>
      </c>
      <c r="BQ60" s="319">
        <f t="shared" si="61"/>
        <v>0</v>
      </c>
      <c r="BR60" s="319">
        <f t="shared" si="61"/>
        <v>0</v>
      </c>
      <c r="BS60" s="319">
        <f t="shared" si="61"/>
        <v>0</v>
      </c>
      <c r="BT60" s="319">
        <f t="shared" si="61"/>
        <v>0</v>
      </c>
      <c r="BU60" s="319">
        <f t="shared" si="61"/>
        <v>0</v>
      </c>
      <c r="BV60" s="319">
        <f t="shared" si="61"/>
        <v>0</v>
      </c>
      <c r="BW60" s="319">
        <f t="shared" si="61"/>
        <v>0</v>
      </c>
      <c r="BX60" s="319">
        <f t="shared" si="61"/>
        <v>0</v>
      </c>
      <c r="BY60" s="319">
        <f t="shared" si="61"/>
        <v>0</v>
      </c>
      <c r="BZ60" s="319">
        <f t="shared" si="61"/>
        <v>0</v>
      </c>
      <c r="CA60" s="319">
        <f t="shared" si="61"/>
        <v>0</v>
      </c>
      <c r="CB60" s="319">
        <f t="shared" si="61"/>
        <v>0</v>
      </c>
      <c r="CC60" s="319">
        <f t="shared" si="61"/>
        <v>0</v>
      </c>
      <c r="CD60" s="319">
        <f t="shared" si="61"/>
        <v>0</v>
      </c>
      <c r="CE60" s="319">
        <f t="shared" si="61"/>
        <v>0</v>
      </c>
      <c r="CF60" s="319">
        <f t="shared" si="61"/>
        <v>0</v>
      </c>
      <c r="CG60" s="319">
        <f t="shared" si="61"/>
        <v>0</v>
      </c>
      <c r="CH60" s="319">
        <f t="shared" si="61"/>
        <v>0</v>
      </c>
      <c r="CI60" s="319">
        <f t="shared" si="61"/>
        <v>0</v>
      </c>
      <c r="CJ60" s="319">
        <f t="shared" si="61"/>
        <v>0</v>
      </c>
      <c r="CK60" s="319">
        <f t="shared" si="61"/>
        <v>0</v>
      </c>
      <c r="CL60" s="319">
        <f t="shared" si="61"/>
        <v>0</v>
      </c>
      <c r="CM60" s="319">
        <f t="shared" si="61"/>
        <v>0</v>
      </c>
      <c r="CN60" s="319">
        <f t="shared" si="61"/>
        <v>0</v>
      </c>
      <c r="CO60" s="319">
        <f t="shared" si="61"/>
        <v>0</v>
      </c>
      <c r="CP60" s="319">
        <f t="shared" si="61"/>
        <v>0</v>
      </c>
      <c r="CQ60" s="319">
        <f t="shared" si="61"/>
        <v>0</v>
      </c>
      <c r="CR60" s="319">
        <f t="shared" si="61"/>
        <v>0</v>
      </c>
      <c r="CS60" s="319">
        <f t="shared" si="61"/>
        <v>0</v>
      </c>
      <c r="CT60" s="319">
        <f t="shared" si="61"/>
        <v>0</v>
      </c>
      <c r="CU60" s="319">
        <f t="shared" si="61"/>
        <v>0</v>
      </c>
      <c r="CV60" s="319">
        <f t="shared" si="61"/>
        <v>0</v>
      </c>
    </row>
    <row r="61" spans="1:100" ht="15.75" thickBot="1" x14ac:dyDescent="0.3">
      <c r="A61" s="319">
        <f t="shared" si="3"/>
        <v>0</v>
      </c>
      <c r="B61" s="319">
        <f t="shared" si="13"/>
        <v>0</v>
      </c>
      <c r="C61" s="340" t="s">
        <v>1158</v>
      </c>
      <c r="D61" s="341" t="s">
        <v>355</v>
      </c>
      <c r="E61" s="341">
        <v>7</v>
      </c>
      <c r="F61" s="341" t="str">
        <f>IF(AND(E61&lt;CharacterSheet!$V$34,'House Rules'!$B$1="Available",OR('House Rules'!$B$7="Standard",AND('House Rules'!$B$7="Ranked",G60="Yes"))),"Yes","No")</f>
        <v>No</v>
      </c>
      <c r="G61" s="564" t="s">
        <v>347</v>
      </c>
      <c r="H61" s="333" t="str">
        <f>IF(C61="","",VLOOKUP(C61,Boonref2!A:B,2,FALSE))</f>
        <v>No</v>
      </c>
      <c r="I61" s="333"/>
      <c r="J61" s="333" t="str">
        <f>VLOOKUP(C61,BoonRef!A:Z,17,FALSE)</f>
        <v>Yes</v>
      </c>
      <c r="K61" s="333" t="str">
        <f>IF(J61="God",'House Rules'!$B$2,IF(J61="Demi",'House Rules'!$B$1,IF(J61="Comp",'House Rules'!$B$4,IF(J61="Yaz",'House Rules'!$B$5,IF(J61="Rag",'House Rules'!$B$3,"Available")))))</f>
        <v>Available</v>
      </c>
      <c r="L61" s="333"/>
      <c r="M61" s="333"/>
      <c r="N61" s="340" t="s">
        <v>1451</v>
      </c>
      <c r="O61" s="341" t="s">
        <v>181</v>
      </c>
      <c r="P61" s="341" t="str">
        <f>IF('House Rules'!$B$43="Prohibited","No",IF(O61&lt;CharacterSheet!$V$34,"Yes","No"))</f>
        <v>No</v>
      </c>
      <c r="Q61" s="341">
        <v>10</v>
      </c>
      <c r="R61" s="344" t="s">
        <v>346</v>
      </c>
      <c r="S61" s="317"/>
      <c r="T61" s="319">
        <f>IF(Z61="Yes",LARGE($T$42:$T$51,1)+1,LARGE($T$42:$T$51,1))</f>
        <v>0</v>
      </c>
      <c r="U61" s="355" t="s">
        <v>2447</v>
      </c>
      <c r="V61" s="353" t="s">
        <v>1308</v>
      </c>
      <c r="W61" s="356" t="s">
        <v>40</v>
      </c>
      <c r="X61" s="353">
        <v>10</v>
      </c>
      <c r="Y61" s="347" t="str">
        <f>IF(AND($D$2="Arete",CharacterSheet!$E$56&gt;2,CharacterSheet!$V$34&gt;X61,'House Rules'!$B$6="Free",'House Rules'!$D$6=W61),"Free",IF(AND($D$2="Arete",CharacterSheet!$E$56&gt;2,CharacterSheet!$V$34&gt;X61,Z60="Yes"),"Yes","No"))</f>
        <v>No</v>
      </c>
      <c r="Z61" s="573" t="s">
        <v>347</v>
      </c>
      <c r="AA61" s="556"/>
      <c r="AB61" s="319">
        <f>IF(AH61="Yes",LARGE($AB$42:$AB$51,1)+1,LARGE($AB$42:$AB$51,1))</f>
        <v>0</v>
      </c>
      <c r="AC61" s="355" t="s">
        <v>2547</v>
      </c>
      <c r="AD61" s="353" t="s">
        <v>1308</v>
      </c>
      <c r="AE61" s="356" t="s">
        <v>50</v>
      </c>
      <c r="AF61" s="353">
        <v>10</v>
      </c>
      <c r="AG61" s="347" t="str">
        <f>IF(AND($D$2="Arete",CharacterSheet!$M$56&gt;2,CharacterSheet!$V$34&gt;AF61,'House Rules'!$B$6="Free",'House Rules'!$D$6=AE61),"Free",IF(AND($D$2="Arete",CharacterSheet!$M$56&gt;2,CharacterSheet!$V$34&gt;AF61,AH60="Yes"),"Yes","No"))</f>
        <v>No</v>
      </c>
      <c r="AH61" s="573" t="s">
        <v>347</v>
      </c>
      <c r="BF61" s="319">
        <f t="shared" si="57"/>
        <v>0</v>
      </c>
      <c r="BG61" s="355" t="s">
        <v>2427</v>
      </c>
      <c r="BI61" s="319">
        <f t="shared" si="9"/>
        <v>0</v>
      </c>
      <c r="BJ61" s="319">
        <f t="shared" si="61"/>
        <v>0</v>
      </c>
      <c r="BK61" s="319">
        <f t="shared" si="61"/>
        <v>0</v>
      </c>
      <c r="BL61" s="319">
        <f t="shared" si="61"/>
        <v>0</v>
      </c>
      <c r="BM61" s="319">
        <f t="shared" si="61"/>
        <v>0</v>
      </c>
      <c r="BN61" s="319">
        <f t="shared" si="61"/>
        <v>0</v>
      </c>
      <c r="BO61" s="319">
        <f t="shared" si="61"/>
        <v>0</v>
      </c>
      <c r="BP61" s="319">
        <f t="shared" si="61"/>
        <v>0</v>
      </c>
      <c r="BQ61" s="319">
        <f t="shared" si="61"/>
        <v>0</v>
      </c>
      <c r="BR61" s="319">
        <f t="shared" si="61"/>
        <v>0</v>
      </c>
      <c r="BS61" s="319">
        <f t="shared" ref="BJ61:CV68" si="62">IF(AND($D61=BS$1,$G61="Yes"),$E61,0)</f>
        <v>0</v>
      </c>
      <c r="BT61" s="319">
        <f t="shared" si="62"/>
        <v>0</v>
      </c>
      <c r="BU61" s="319">
        <f t="shared" si="62"/>
        <v>0</v>
      </c>
      <c r="BV61" s="319">
        <f t="shared" si="62"/>
        <v>0</v>
      </c>
      <c r="BW61" s="319">
        <f t="shared" si="62"/>
        <v>0</v>
      </c>
      <c r="BX61" s="319">
        <f t="shared" si="62"/>
        <v>0</v>
      </c>
      <c r="BY61" s="319">
        <f t="shared" si="62"/>
        <v>0</v>
      </c>
      <c r="BZ61" s="319">
        <f t="shared" si="62"/>
        <v>0</v>
      </c>
      <c r="CA61" s="319">
        <f t="shared" si="62"/>
        <v>0</v>
      </c>
      <c r="CB61" s="319">
        <f t="shared" si="62"/>
        <v>0</v>
      </c>
      <c r="CC61" s="319">
        <f t="shared" si="62"/>
        <v>0</v>
      </c>
      <c r="CD61" s="319">
        <f t="shared" si="62"/>
        <v>0</v>
      </c>
      <c r="CE61" s="319">
        <f t="shared" si="62"/>
        <v>0</v>
      </c>
      <c r="CF61" s="319">
        <f t="shared" si="62"/>
        <v>0</v>
      </c>
      <c r="CG61" s="319">
        <f t="shared" si="62"/>
        <v>0</v>
      </c>
      <c r="CH61" s="319">
        <f t="shared" si="62"/>
        <v>0</v>
      </c>
      <c r="CI61" s="319">
        <f t="shared" si="62"/>
        <v>0</v>
      </c>
      <c r="CJ61" s="319">
        <f t="shared" si="62"/>
        <v>0</v>
      </c>
      <c r="CK61" s="319">
        <f t="shared" si="62"/>
        <v>0</v>
      </c>
      <c r="CL61" s="319">
        <f t="shared" si="62"/>
        <v>0</v>
      </c>
      <c r="CM61" s="319">
        <f t="shared" si="62"/>
        <v>0</v>
      </c>
      <c r="CN61" s="319">
        <f t="shared" si="62"/>
        <v>0</v>
      </c>
      <c r="CO61" s="319">
        <f t="shared" si="62"/>
        <v>0</v>
      </c>
      <c r="CP61" s="319">
        <f t="shared" si="62"/>
        <v>0</v>
      </c>
      <c r="CQ61" s="319">
        <f t="shared" si="62"/>
        <v>0</v>
      </c>
      <c r="CR61" s="319">
        <f t="shared" si="62"/>
        <v>0</v>
      </c>
      <c r="CS61" s="319">
        <f t="shared" si="62"/>
        <v>0</v>
      </c>
      <c r="CT61" s="319">
        <f t="shared" si="62"/>
        <v>0</v>
      </c>
      <c r="CU61" s="319">
        <f t="shared" si="62"/>
        <v>0</v>
      </c>
      <c r="CV61" s="319">
        <f t="shared" si="62"/>
        <v>0</v>
      </c>
    </row>
    <row r="62" spans="1:100" x14ac:dyDescent="0.25">
      <c r="A62" s="319">
        <f t="shared" si="3"/>
        <v>0</v>
      </c>
      <c r="B62" s="319">
        <f t="shared" si="13"/>
        <v>0</v>
      </c>
      <c r="C62" s="340" t="s">
        <v>1255</v>
      </c>
      <c r="D62" s="341" t="s">
        <v>355</v>
      </c>
      <c r="E62" s="341">
        <v>8</v>
      </c>
      <c r="F62" s="341" t="str">
        <f>IF(AND(E62&lt;CharacterSheet!$V$34,'House Rules'!$B$2="available",OR('House Rules'!$B$7="Standard",AND('House Rules'!$B$7="Ranked",G61="Yes"))),"Yes","No")</f>
        <v>No</v>
      </c>
      <c r="G62" s="564" t="s">
        <v>347</v>
      </c>
      <c r="H62" s="333" t="str">
        <f>IF(C62="","",VLOOKUP(C62,Boonref2!A:B,2,FALSE))</f>
        <v>Yes</v>
      </c>
      <c r="I62" s="333"/>
      <c r="J62" s="333" t="str">
        <f>VLOOKUP(C62,BoonRef!A:Z,17,FALSE)</f>
        <v>Yes</v>
      </c>
      <c r="K62" s="333" t="str">
        <f>IF(J62="God",'House Rules'!$B$2,IF(J62="Demi",'House Rules'!$B$1,IF(J62="Comp",'House Rules'!$B$4,IF(J62="Yaz",'House Rules'!$B$5,IF(J62="Rag",'House Rules'!$B$3,"Available")))))</f>
        <v>Available</v>
      </c>
      <c r="L62" s="333"/>
      <c r="M62" s="333"/>
      <c r="N62" s="340" t="s">
        <v>1121</v>
      </c>
      <c r="O62" s="341" t="s">
        <v>166</v>
      </c>
      <c r="P62" s="341" t="str">
        <f>IF(O62&lt;CharacterSheet!$V$34,"Yes","No")</f>
        <v>No</v>
      </c>
      <c r="Q62" s="341">
        <v>1</v>
      </c>
      <c r="R62" s="344" t="s">
        <v>347</v>
      </c>
      <c r="S62" s="317"/>
      <c r="T62" s="319">
        <f t="shared" ref="T62:T70" si="63">IF(AND(Z62="Yes",Z63="No"),LARGE($AJ$22:$AJ$31,1)+1,LARGE($AJ$22:$AJ$31,1))</f>
        <v>0</v>
      </c>
      <c r="U62" s="336" t="s">
        <v>2448</v>
      </c>
      <c r="V62" s="331" t="s">
        <v>1112</v>
      </c>
      <c r="W62" s="337" t="s">
        <v>41</v>
      </c>
      <c r="X62" s="331">
        <v>1</v>
      </c>
      <c r="Y62" s="338" t="str">
        <f>IF(AND($D$2="Arete",CharacterSheet!$E$57&gt;2,CharacterSheet!$V$34&gt;X62,'House Rules'!$B$6="Free",'House Rules'!$D$6=W62),"Free",IF(AND($D$2="Arete",CharacterSheet!$E$57&gt;2,CharacterSheet!$V$34&gt;X62),"Yes","No"))</f>
        <v>No</v>
      </c>
      <c r="Z62" s="571" t="s">
        <v>347</v>
      </c>
      <c r="AA62" s="556"/>
      <c r="AB62" s="319">
        <f t="shared" ref="AB62:AB70" si="64">IF(AND(AH62="Yes",AH63="No"),LARGE($AB$52:$AB$61,1)+1,LARGE($AB$52:$AB$61,1))</f>
        <v>0</v>
      </c>
      <c r="AC62" s="336" t="s">
        <v>2548</v>
      </c>
      <c r="AD62" s="331" t="s">
        <v>1112</v>
      </c>
      <c r="AE62" s="337" t="s">
        <v>51</v>
      </c>
      <c r="AF62" s="331">
        <v>1</v>
      </c>
      <c r="AG62" s="338" t="str">
        <f>IF(AND($D$2="Arete",CharacterSheet!$M$57&gt;2,CharacterSheet!$V$34&gt;AF62,'House Rules'!$B$6="Free",'House Rules'!$D$6=AE62),"Free",IF(AND($D$2="Arete",CharacterSheet!$M$57&gt;2,CharacterSheet!$V$34&gt;AF62),"Yes","No"))</f>
        <v>No</v>
      </c>
      <c r="AH62" s="571" t="s">
        <v>347</v>
      </c>
      <c r="BF62" s="319">
        <f t="shared" si="57"/>
        <v>0</v>
      </c>
      <c r="BG62" s="336" t="s">
        <v>2428</v>
      </c>
      <c r="BI62" s="319">
        <f t="shared" si="9"/>
        <v>0</v>
      </c>
      <c r="BJ62" s="319">
        <f t="shared" si="62"/>
        <v>0</v>
      </c>
      <c r="BK62" s="319">
        <f t="shared" si="62"/>
        <v>0</v>
      </c>
      <c r="BL62" s="319">
        <f t="shared" si="62"/>
        <v>0</v>
      </c>
      <c r="BM62" s="319">
        <f t="shared" si="62"/>
        <v>0</v>
      </c>
      <c r="BN62" s="319">
        <f t="shared" si="62"/>
        <v>0</v>
      </c>
      <c r="BO62" s="319">
        <f t="shared" si="62"/>
        <v>0</v>
      </c>
      <c r="BP62" s="319">
        <f t="shared" si="62"/>
        <v>0</v>
      </c>
      <c r="BQ62" s="319">
        <f t="shared" si="62"/>
        <v>0</v>
      </c>
      <c r="BR62" s="319">
        <f t="shared" si="62"/>
        <v>0</v>
      </c>
      <c r="BS62" s="319">
        <f t="shared" si="62"/>
        <v>0</v>
      </c>
      <c r="BT62" s="319">
        <f t="shared" si="62"/>
        <v>0</v>
      </c>
      <c r="BU62" s="319">
        <f t="shared" si="62"/>
        <v>0</v>
      </c>
      <c r="BV62" s="319">
        <f t="shared" si="62"/>
        <v>0</v>
      </c>
      <c r="BW62" s="319">
        <f t="shared" si="62"/>
        <v>0</v>
      </c>
      <c r="BX62" s="319">
        <f t="shared" si="62"/>
        <v>0</v>
      </c>
      <c r="BY62" s="319">
        <f t="shared" si="62"/>
        <v>0</v>
      </c>
      <c r="BZ62" s="319">
        <f t="shared" si="62"/>
        <v>0</v>
      </c>
      <c r="CA62" s="319">
        <f t="shared" si="62"/>
        <v>0</v>
      </c>
      <c r="CB62" s="319">
        <f t="shared" si="62"/>
        <v>0</v>
      </c>
      <c r="CC62" s="319">
        <f t="shared" si="62"/>
        <v>0</v>
      </c>
      <c r="CD62" s="319">
        <f t="shared" si="62"/>
        <v>0</v>
      </c>
      <c r="CE62" s="319">
        <f t="shared" si="62"/>
        <v>0</v>
      </c>
      <c r="CF62" s="319">
        <f t="shared" si="62"/>
        <v>0</v>
      </c>
      <c r="CG62" s="319">
        <f t="shared" si="62"/>
        <v>0</v>
      </c>
      <c r="CH62" s="319">
        <f t="shared" si="62"/>
        <v>0</v>
      </c>
      <c r="CI62" s="319">
        <f t="shared" si="62"/>
        <v>0</v>
      </c>
      <c r="CJ62" s="319">
        <f t="shared" si="62"/>
        <v>0</v>
      </c>
      <c r="CK62" s="319">
        <f t="shared" si="62"/>
        <v>0</v>
      </c>
      <c r="CL62" s="319">
        <f t="shared" si="62"/>
        <v>0</v>
      </c>
      <c r="CM62" s="319">
        <f t="shared" si="62"/>
        <v>0</v>
      </c>
      <c r="CN62" s="319">
        <f t="shared" si="62"/>
        <v>0</v>
      </c>
      <c r="CO62" s="319">
        <f t="shared" si="62"/>
        <v>0</v>
      </c>
      <c r="CP62" s="319">
        <f t="shared" si="62"/>
        <v>0</v>
      </c>
      <c r="CQ62" s="319">
        <f t="shared" si="62"/>
        <v>0</v>
      </c>
      <c r="CR62" s="319">
        <f t="shared" si="62"/>
        <v>0</v>
      </c>
      <c r="CS62" s="319">
        <f t="shared" si="62"/>
        <v>0</v>
      </c>
      <c r="CT62" s="319">
        <f t="shared" si="62"/>
        <v>0</v>
      </c>
      <c r="CU62" s="319">
        <f t="shared" si="62"/>
        <v>0</v>
      </c>
      <c r="CV62" s="319">
        <f t="shared" si="62"/>
        <v>0</v>
      </c>
    </row>
    <row r="63" spans="1:100" x14ac:dyDescent="0.25">
      <c r="A63" s="319">
        <f t="shared" si="3"/>
        <v>0</v>
      </c>
      <c r="B63" s="319">
        <f t="shared" si="13"/>
        <v>0</v>
      </c>
      <c r="C63" s="340" t="s">
        <v>2631</v>
      </c>
      <c r="D63" s="341" t="s">
        <v>355</v>
      </c>
      <c r="E63" s="341">
        <v>8</v>
      </c>
      <c r="F63" s="341" t="str">
        <f>IF(AND(E62&lt;CharacterSheet!$V$34,'House Rules'!$B$3="Available",OR('House Rules'!$B$7="Standard",AND('House Rules'!$B$7="Ranked",G61="Yes"))),"Yes","No")</f>
        <v>No</v>
      </c>
      <c r="G63" s="564" t="s">
        <v>347</v>
      </c>
      <c r="H63" s="333" t="str">
        <f>IF(C63="","",VLOOKUP(C63,Boonref2!A:B,2,FALSE))</f>
        <v>Yes</v>
      </c>
      <c r="I63" s="333"/>
      <c r="J63" s="333" t="str">
        <f>VLOOKUP(C63,BoonRef!A:Z,17,FALSE)</f>
        <v>Yes</v>
      </c>
      <c r="K63" s="333" t="str">
        <f>IF(J63="God",'House Rules'!$B$2,IF(J63="Demi",'House Rules'!$B$1,IF(J63="Comp",'House Rules'!$B$4,IF(J63="Yaz",'House Rules'!$B$5,IF(J63="Rag",'House Rules'!$B$3,"Available")))))</f>
        <v>Available</v>
      </c>
      <c r="L63" s="333"/>
      <c r="M63" s="333"/>
      <c r="N63" s="340" t="s">
        <v>1122</v>
      </c>
      <c r="O63" s="341" t="s">
        <v>166</v>
      </c>
      <c r="P63" s="341" t="str">
        <f>IF(O63&lt;CharacterSheet!$V$34,"Yes","No")</f>
        <v>No</v>
      </c>
      <c r="Q63" s="341">
        <v>2</v>
      </c>
      <c r="R63" s="344" t="s">
        <v>347</v>
      </c>
      <c r="S63" s="317"/>
      <c r="T63" s="319">
        <f t="shared" si="63"/>
        <v>0</v>
      </c>
      <c r="U63" s="345" t="s">
        <v>2449</v>
      </c>
      <c r="V63" s="341" t="s">
        <v>1113</v>
      </c>
      <c r="W63" s="346" t="s">
        <v>41</v>
      </c>
      <c r="X63" s="341">
        <v>2</v>
      </c>
      <c r="Y63" s="347" t="str">
        <f>IF(AND($D$2="Arete",CharacterSheet!$E$57&gt;2,CharacterSheet!$V$34&gt;X63,'House Rules'!$B$6="Free",'House Rules'!$D$6=W63),"Free",IF(AND($D$2="Arete",CharacterSheet!$E$57&gt;2,CharacterSheet!$V$34&gt;X63,Z62="Yes"),"Yes","No"))</f>
        <v>No</v>
      </c>
      <c r="Z63" s="572" t="s">
        <v>347</v>
      </c>
      <c r="AA63" s="556"/>
      <c r="AB63" s="319">
        <f t="shared" si="64"/>
        <v>0</v>
      </c>
      <c r="AC63" s="345" t="s">
        <v>2549</v>
      </c>
      <c r="AD63" s="341" t="s">
        <v>1113</v>
      </c>
      <c r="AE63" s="346" t="s">
        <v>51</v>
      </c>
      <c r="AF63" s="341">
        <v>2</v>
      </c>
      <c r="AG63" s="347" t="str">
        <f>IF(AND($D$2="Arete",CharacterSheet!$M$57&gt;2,CharacterSheet!$V$34&gt;AF63,'House Rules'!$B$6="Free",'House Rules'!$D$6=AE63),"Free",IF(AND($D$2="Arete",CharacterSheet!$M$57&gt;2,CharacterSheet!$V$34&gt;AF63,AH62="Yes"),"Yes","No"))</f>
        <v>No</v>
      </c>
      <c r="AH63" s="572" t="s">
        <v>347</v>
      </c>
      <c r="BF63" s="319">
        <f t="shared" si="57"/>
        <v>0</v>
      </c>
      <c r="BG63" s="345" t="s">
        <v>2429</v>
      </c>
      <c r="BI63" s="319">
        <f t="shared" si="9"/>
        <v>0</v>
      </c>
      <c r="BJ63" s="319">
        <f t="shared" si="62"/>
        <v>0</v>
      </c>
      <c r="BK63" s="319">
        <f t="shared" si="62"/>
        <v>0</v>
      </c>
      <c r="BL63" s="319">
        <f t="shared" si="62"/>
        <v>0</v>
      </c>
      <c r="BM63" s="319">
        <f t="shared" si="62"/>
        <v>0</v>
      </c>
      <c r="BN63" s="319">
        <f t="shared" si="62"/>
        <v>0</v>
      </c>
      <c r="BO63" s="319">
        <f t="shared" si="62"/>
        <v>0</v>
      </c>
      <c r="BP63" s="319">
        <f t="shared" si="62"/>
        <v>0</v>
      </c>
      <c r="BQ63" s="319">
        <f t="shared" si="62"/>
        <v>0</v>
      </c>
      <c r="BR63" s="319">
        <f t="shared" si="62"/>
        <v>0</v>
      </c>
      <c r="BS63" s="319">
        <f t="shared" si="62"/>
        <v>0</v>
      </c>
      <c r="BT63" s="319">
        <f t="shared" si="62"/>
        <v>0</v>
      </c>
      <c r="BU63" s="319">
        <f t="shared" si="62"/>
        <v>0</v>
      </c>
      <c r="BV63" s="319">
        <f t="shared" si="62"/>
        <v>0</v>
      </c>
      <c r="BW63" s="319">
        <f t="shared" si="62"/>
        <v>0</v>
      </c>
      <c r="BX63" s="319">
        <f t="shared" si="62"/>
        <v>0</v>
      </c>
      <c r="BY63" s="319">
        <f t="shared" si="62"/>
        <v>0</v>
      </c>
      <c r="BZ63" s="319">
        <f t="shared" si="62"/>
        <v>0</v>
      </c>
      <c r="CA63" s="319">
        <f t="shared" si="62"/>
        <v>0</v>
      </c>
      <c r="CB63" s="319">
        <f t="shared" si="62"/>
        <v>0</v>
      </c>
      <c r="CC63" s="319">
        <f t="shared" si="62"/>
        <v>0</v>
      </c>
      <c r="CD63" s="319">
        <f t="shared" si="62"/>
        <v>0</v>
      </c>
      <c r="CE63" s="319">
        <f t="shared" si="62"/>
        <v>0</v>
      </c>
      <c r="CF63" s="319">
        <f t="shared" si="62"/>
        <v>0</v>
      </c>
      <c r="CG63" s="319">
        <f t="shared" si="62"/>
        <v>0</v>
      </c>
      <c r="CH63" s="319">
        <f t="shared" si="62"/>
        <v>0</v>
      </c>
      <c r="CI63" s="319">
        <f t="shared" si="62"/>
        <v>0</v>
      </c>
      <c r="CJ63" s="319">
        <f t="shared" si="62"/>
        <v>0</v>
      </c>
      <c r="CK63" s="319">
        <f t="shared" si="62"/>
        <v>0</v>
      </c>
      <c r="CL63" s="319">
        <f t="shared" si="62"/>
        <v>0</v>
      </c>
      <c r="CM63" s="319">
        <f t="shared" si="62"/>
        <v>0</v>
      </c>
      <c r="CN63" s="319">
        <f t="shared" si="62"/>
        <v>0</v>
      </c>
      <c r="CO63" s="319">
        <f t="shared" si="62"/>
        <v>0</v>
      </c>
      <c r="CP63" s="319">
        <f t="shared" si="62"/>
        <v>0</v>
      </c>
      <c r="CQ63" s="319">
        <f t="shared" si="62"/>
        <v>0</v>
      </c>
      <c r="CR63" s="319">
        <f t="shared" si="62"/>
        <v>0</v>
      </c>
      <c r="CS63" s="319">
        <f t="shared" si="62"/>
        <v>0</v>
      </c>
      <c r="CT63" s="319">
        <f t="shared" si="62"/>
        <v>0</v>
      </c>
      <c r="CU63" s="319">
        <f t="shared" si="62"/>
        <v>0</v>
      </c>
      <c r="CV63" s="319">
        <f t="shared" si="62"/>
        <v>0</v>
      </c>
    </row>
    <row r="64" spans="1:100" x14ac:dyDescent="0.25">
      <c r="A64" s="319">
        <f t="shared" si="3"/>
        <v>0</v>
      </c>
      <c r="B64" s="319">
        <f t="shared" si="13"/>
        <v>0</v>
      </c>
      <c r="C64" s="340" t="s">
        <v>1256</v>
      </c>
      <c r="D64" s="341" t="s">
        <v>355</v>
      </c>
      <c r="E64" s="341">
        <v>9</v>
      </c>
      <c r="F64" s="341" t="str">
        <f>IF(AND(E64&lt;CharacterSheet!$V$34,'House Rules'!$B$2="available",OR('House Rules'!$B$7="Standard",AND('House Rules'!$B$7="Ranked",OR(G62="Yes",G63="Yes")))),"Yes","No")</f>
        <v>No</v>
      </c>
      <c r="G64" s="564" t="s">
        <v>347</v>
      </c>
      <c r="H64" s="333" t="str">
        <f>IF(C64="","",VLOOKUP(C64,Boonref2!A:B,2,FALSE))</f>
        <v>Yes</v>
      </c>
      <c r="I64" s="333"/>
      <c r="J64" s="333" t="str">
        <f>VLOOKUP(C64,BoonRef!A:Z,17,FALSE)</f>
        <v>Yes</v>
      </c>
      <c r="K64" s="333" t="str">
        <f>IF(J64="God",'House Rules'!$B$2,IF(J64="Demi",'House Rules'!$B$1,IF(J64="Comp",'House Rules'!$B$4,IF(J64="Yaz",'House Rules'!$B$5,IF(J64="Rag",'House Rules'!$B$3,"Available")))))</f>
        <v>Available</v>
      </c>
      <c r="L64" s="333"/>
      <c r="M64" s="333"/>
      <c r="N64" s="340" t="s">
        <v>1123</v>
      </c>
      <c r="O64" s="341" t="s">
        <v>166</v>
      </c>
      <c r="P64" s="341" t="str">
        <f>IF(O64&lt;CharacterSheet!$V$34,"Yes","No")</f>
        <v>No</v>
      </c>
      <c r="Q64" s="341">
        <v>3</v>
      </c>
      <c r="R64" s="344" t="s">
        <v>346</v>
      </c>
      <c r="S64" s="317"/>
      <c r="T64" s="319">
        <f t="shared" si="63"/>
        <v>0</v>
      </c>
      <c r="U64" s="345" t="s">
        <v>2450</v>
      </c>
      <c r="V64" s="341" t="s">
        <v>1114</v>
      </c>
      <c r="W64" s="346" t="s">
        <v>41</v>
      </c>
      <c r="X64" s="341">
        <v>3</v>
      </c>
      <c r="Y64" s="347" t="str">
        <f>IF(AND($D$2="Arete",CharacterSheet!$E$57&gt;2,CharacterSheet!$V$34&gt;X64,'House Rules'!$B$6="Free",'House Rules'!$D$6=W64),"Free",IF(AND($D$2="Arete",CharacterSheet!$E$57&gt;2,CharacterSheet!$V$34&gt;X64,Z63="Yes"),"Yes","No"))</f>
        <v>No</v>
      </c>
      <c r="Z64" s="572" t="s">
        <v>347</v>
      </c>
      <c r="AA64" s="556"/>
      <c r="AB64" s="319">
        <f t="shared" si="64"/>
        <v>0</v>
      </c>
      <c r="AC64" s="345" t="s">
        <v>2550</v>
      </c>
      <c r="AD64" s="341" t="s">
        <v>1114</v>
      </c>
      <c r="AE64" s="346" t="s">
        <v>51</v>
      </c>
      <c r="AF64" s="341">
        <v>3</v>
      </c>
      <c r="AG64" s="347" t="str">
        <f>IF(AND($D$2="Arete",CharacterSheet!$M$57&gt;2,CharacterSheet!$V$34&gt;AF64,'House Rules'!$B$6="Free",'House Rules'!$D$6=AE64),"Free",IF(AND($D$2="Arete",CharacterSheet!$M$57&gt;2,CharacterSheet!$V$34&gt;AF64,AH63="Yes"),"Yes","No"))</f>
        <v>No</v>
      </c>
      <c r="AH64" s="572" t="s">
        <v>347</v>
      </c>
      <c r="BF64" s="319">
        <f t="shared" si="57"/>
        <v>0</v>
      </c>
      <c r="BG64" s="345" t="s">
        <v>2430</v>
      </c>
      <c r="BI64" s="319">
        <f t="shared" si="9"/>
        <v>0</v>
      </c>
      <c r="BJ64" s="319">
        <f t="shared" si="62"/>
        <v>0</v>
      </c>
      <c r="BK64" s="319">
        <f t="shared" si="62"/>
        <v>0</v>
      </c>
      <c r="BL64" s="319">
        <f t="shared" si="62"/>
        <v>0</v>
      </c>
      <c r="BM64" s="319">
        <f t="shared" si="62"/>
        <v>0</v>
      </c>
      <c r="BN64" s="319">
        <f t="shared" si="62"/>
        <v>0</v>
      </c>
      <c r="BO64" s="319">
        <f t="shared" si="62"/>
        <v>0</v>
      </c>
      <c r="BP64" s="319">
        <f t="shared" si="62"/>
        <v>0</v>
      </c>
      <c r="BQ64" s="319">
        <f t="shared" si="62"/>
        <v>0</v>
      </c>
      <c r="BR64" s="319">
        <f t="shared" si="62"/>
        <v>0</v>
      </c>
      <c r="BS64" s="319">
        <f t="shared" si="62"/>
        <v>0</v>
      </c>
      <c r="BT64" s="319">
        <f t="shared" si="62"/>
        <v>0</v>
      </c>
      <c r="BU64" s="319">
        <f t="shared" si="62"/>
        <v>0</v>
      </c>
      <c r="BV64" s="319">
        <f t="shared" si="62"/>
        <v>0</v>
      </c>
      <c r="BW64" s="319">
        <f t="shared" si="62"/>
        <v>0</v>
      </c>
      <c r="BX64" s="319">
        <f t="shared" si="62"/>
        <v>0</v>
      </c>
      <c r="BY64" s="319">
        <f t="shared" si="62"/>
        <v>0</v>
      </c>
      <c r="BZ64" s="319">
        <f t="shared" si="62"/>
        <v>0</v>
      </c>
      <c r="CA64" s="319">
        <f t="shared" si="62"/>
        <v>0</v>
      </c>
      <c r="CB64" s="319">
        <f t="shared" si="62"/>
        <v>0</v>
      </c>
      <c r="CC64" s="319">
        <f t="shared" si="62"/>
        <v>0</v>
      </c>
      <c r="CD64" s="319">
        <f t="shared" si="62"/>
        <v>0</v>
      </c>
      <c r="CE64" s="319">
        <f t="shared" si="62"/>
        <v>0</v>
      </c>
      <c r="CF64" s="319">
        <f t="shared" si="62"/>
        <v>0</v>
      </c>
      <c r="CG64" s="319">
        <f t="shared" si="62"/>
        <v>0</v>
      </c>
      <c r="CH64" s="319">
        <f t="shared" si="62"/>
        <v>0</v>
      </c>
      <c r="CI64" s="319">
        <f t="shared" si="62"/>
        <v>0</v>
      </c>
      <c r="CJ64" s="319">
        <f t="shared" si="62"/>
        <v>0</v>
      </c>
      <c r="CK64" s="319">
        <f t="shared" si="62"/>
        <v>0</v>
      </c>
      <c r="CL64" s="319">
        <f t="shared" si="62"/>
        <v>0</v>
      </c>
      <c r="CM64" s="319">
        <f t="shared" si="62"/>
        <v>0</v>
      </c>
      <c r="CN64" s="319">
        <f t="shared" si="62"/>
        <v>0</v>
      </c>
      <c r="CO64" s="319">
        <f t="shared" si="62"/>
        <v>0</v>
      </c>
      <c r="CP64" s="319">
        <f t="shared" si="62"/>
        <v>0</v>
      </c>
      <c r="CQ64" s="319">
        <f t="shared" si="62"/>
        <v>0</v>
      </c>
      <c r="CR64" s="319">
        <f t="shared" si="62"/>
        <v>0</v>
      </c>
      <c r="CS64" s="319">
        <f t="shared" si="62"/>
        <v>0</v>
      </c>
      <c r="CT64" s="319">
        <f t="shared" si="62"/>
        <v>0</v>
      </c>
      <c r="CU64" s="319">
        <f t="shared" si="62"/>
        <v>0</v>
      </c>
      <c r="CV64" s="319">
        <f t="shared" si="62"/>
        <v>0</v>
      </c>
    </row>
    <row r="65" spans="1:100" x14ac:dyDescent="0.25">
      <c r="A65" s="319">
        <f t="shared" si="3"/>
        <v>0</v>
      </c>
      <c r="B65" s="319">
        <f t="shared" si="13"/>
        <v>0</v>
      </c>
      <c r="C65" s="340" t="s">
        <v>1386</v>
      </c>
      <c r="D65" s="341" t="s">
        <v>355</v>
      </c>
      <c r="E65" s="341">
        <v>10</v>
      </c>
      <c r="F65" s="341" t="str">
        <f>IF(AND(E65&lt;CharacterSheet!$V$34,'House Rules'!$B$4="Available",OR('House Rules'!$B$7="Standard",AND('House Rules'!$B$7="Ranked",G64="Yes"))),"Yes","No")</f>
        <v>No</v>
      </c>
      <c r="G65" s="564" t="s">
        <v>347</v>
      </c>
      <c r="H65" s="333" t="str">
        <f>IF(C65="","",VLOOKUP(C65,Boonref2!A:B,2,FALSE))</f>
        <v>Yes</v>
      </c>
      <c r="I65" s="333"/>
      <c r="J65" s="333" t="str">
        <f>VLOOKUP(C65,BoonRef!A:Z,17,FALSE)</f>
        <v>Yes</v>
      </c>
      <c r="K65" s="333" t="str">
        <f>IF(J65="God",'House Rules'!$B$2,IF(J65="Demi",'House Rules'!$B$1,IF(J65="Comp",'House Rules'!$B$4,IF(J65="Yaz",'House Rules'!$B$5,IF(J65="Rag",'House Rules'!$B$3,"Available")))))</f>
        <v>Available</v>
      </c>
      <c r="L65" s="333"/>
      <c r="M65" s="333"/>
      <c r="N65" s="340" t="s">
        <v>1219</v>
      </c>
      <c r="O65" s="341" t="s">
        <v>166</v>
      </c>
      <c r="P65" s="341" t="str">
        <f>IF(O65&lt;CharacterSheet!$V$34,"Yes","No")</f>
        <v>No</v>
      </c>
      <c r="Q65" s="341">
        <v>4</v>
      </c>
      <c r="R65" s="344" t="s">
        <v>347</v>
      </c>
      <c r="S65" s="317"/>
      <c r="T65" s="319">
        <f t="shared" si="63"/>
        <v>0</v>
      </c>
      <c r="U65" s="345" t="s">
        <v>2451</v>
      </c>
      <c r="V65" s="341" t="s">
        <v>1207</v>
      </c>
      <c r="W65" s="346" t="s">
        <v>41</v>
      </c>
      <c r="X65" s="341">
        <v>4</v>
      </c>
      <c r="Y65" s="347" t="str">
        <f>IF(AND($D$2="Arete",CharacterSheet!$E$57&gt;2,CharacterSheet!$V$34&gt;X65,'House Rules'!$B$6="Free",'House Rules'!$D$6=W65),"Free",IF(AND($D$2="Arete",CharacterSheet!$E$57&gt;2,CharacterSheet!$V$34&gt;X65,Z64="Yes"),"Yes","No"))</f>
        <v>No</v>
      </c>
      <c r="Z65" s="572" t="s">
        <v>347</v>
      </c>
      <c r="AA65" s="556"/>
      <c r="AB65" s="319">
        <f t="shared" si="64"/>
        <v>0</v>
      </c>
      <c r="AC65" s="345" t="s">
        <v>2551</v>
      </c>
      <c r="AD65" s="341" t="s">
        <v>1207</v>
      </c>
      <c r="AE65" s="346" t="s">
        <v>51</v>
      </c>
      <c r="AF65" s="341">
        <v>4</v>
      </c>
      <c r="AG65" s="347" t="str">
        <f>IF(AND($D$2="Arete",CharacterSheet!$M$57&gt;2,CharacterSheet!$V$34&gt;AF65,'House Rules'!$B$6="Free",'House Rules'!$D$6=AE65),"Free",IF(AND($D$2="Arete",CharacterSheet!$M$57&gt;2,CharacterSheet!$V$34&gt;AF65,AH64="Yes"),"Yes","No"))</f>
        <v>No</v>
      </c>
      <c r="AH65" s="572" t="s">
        <v>347</v>
      </c>
      <c r="BF65" s="319">
        <f t="shared" si="57"/>
        <v>0</v>
      </c>
      <c r="BG65" s="345" t="s">
        <v>2431</v>
      </c>
      <c r="BI65" s="319">
        <f t="shared" si="9"/>
        <v>0</v>
      </c>
      <c r="BJ65" s="319">
        <f t="shared" si="62"/>
        <v>0</v>
      </c>
      <c r="BK65" s="319">
        <f t="shared" si="62"/>
        <v>0</v>
      </c>
      <c r="BL65" s="319">
        <f t="shared" si="62"/>
        <v>0</v>
      </c>
      <c r="BM65" s="319">
        <f t="shared" si="62"/>
        <v>0</v>
      </c>
      <c r="BN65" s="319">
        <f t="shared" si="62"/>
        <v>0</v>
      </c>
      <c r="BO65" s="319">
        <f t="shared" si="62"/>
        <v>0</v>
      </c>
      <c r="BP65" s="319">
        <f t="shared" si="62"/>
        <v>0</v>
      </c>
      <c r="BQ65" s="319">
        <f t="shared" si="62"/>
        <v>0</v>
      </c>
      <c r="BR65" s="319">
        <f t="shared" si="62"/>
        <v>0</v>
      </c>
      <c r="BS65" s="319">
        <f t="shared" si="62"/>
        <v>0</v>
      </c>
      <c r="BT65" s="319">
        <f t="shared" si="62"/>
        <v>0</v>
      </c>
      <c r="BU65" s="319">
        <f t="shared" si="62"/>
        <v>0</v>
      </c>
      <c r="BV65" s="319">
        <f t="shared" si="62"/>
        <v>0</v>
      </c>
      <c r="BW65" s="319">
        <f t="shared" si="62"/>
        <v>0</v>
      </c>
      <c r="BX65" s="319">
        <f t="shared" si="62"/>
        <v>0</v>
      </c>
      <c r="BY65" s="319">
        <f t="shared" si="62"/>
        <v>0</v>
      </c>
      <c r="BZ65" s="319">
        <f t="shared" si="62"/>
        <v>0</v>
      </c>
      <c r="CA65" s="319">
        <f t="shared" si="62"/>
        <v>0</v>
      </c>
      <c r="CB65" s="319">
        <f t="shared" si="62"/>
        <v>0</v>
      </c>
      <c r="CC65" s="319">
        <f t="shared" si="62"/>
        <v>0</v>
      </c>
      <c r="CD65" s="319">
        <f t="shared" si="62"/>
        <v>0</v>
      </c>
      <c r="CE65" s="319">
        <f t="shared" si="62"/>
        <v>0</v>
      </c>
      <c r="CF65" s="319">
        <f t="shared" si="62"/>
        <v>0</v>
      </c>
      <c r="CG65" s="319">
        <f t="shared" si="62"/>
        <v>0</v>
      </c>
      <c r="CH65" s="319">
        <f t="shared" si="62"/>
        <v>0</v>
      </c>
      <c r="CI65" s="319">
        <f t="shared" si="62"/>
        <v>0</v>
      </c>
      <c r="CJ65" s="319">
        <f t="shared" si="62"/>
        <v>0</v>
      </c>
      <c r="CK65" s="319">
        <f t="shared" si="62"/>
        <v>0</v>
      </c>
      <c r="CL65" s="319">
        <f t="shared" si="62"/>
        <v>0</v>
      </c>
      <c r="CM65" s="319">
        <f t="shared" si="62"/>
        <v>0</v>
      </c>
      <c r="CN65" s="319">
        <f t="shared" si="62"/>
        <v>0</v>
      </c>
      <c r="CO65" s="319">
        <f t="shared" si="62"/>
        <v>0</v>
      </c>
      <c r="CP65" s="319">
        <f t="shared" si="62"/>
        <v>0</v>
      </c>
      <c r="CQ65" s="319">
        <f t="shared" si="62"/>
        <v>0</v>
      </c>
      <c r="CR65" s="319">
        <f t="shared" si="62"/>
        <v>0</v>
      </c>
      <c r="CS65" s="319">
        <f t="shared" si="62"/>
        <v>0</v>
      </c>
      <c r="CT65" s="319">
        <f t="shared" si="62"/>
        <v>0</v>
      </c>
      <c r="CU65" s="319">
        <f t="shared" si="62"/>
        <v>0</v>
      </c>
      <c r="CV65" s="319">
        <f t="shared" si="62"/>
        <v>0</v>
      </c>
    </row>
    <row r="66" spans="1:100" x14ac:dyDescent="0.25">
      <c r="A66" s="319">
        <f t="shared" si="3"/>
        <v>0</v>
      </c>
      <c r="B66" s="319">
        <f t="shared" si="13"/>
        <v>0</v>
      </c>
      <c r="C66" s="340" t="s">
        <v>1257</v>
      </c>
      <c r="D66" s="341" t="s">
        <v>355</v>
      </c>
      <c r="E66" s="341">
        <v>10</v>
      </c>
      <c r="F66" s="341" t="str">
        <f>IF(AND(E66&lt;CharacterSheet!$V$34,'House Rules'!$B$2="available",OR('House Rules'!$B$7="Standard",AND('House Rules'!$B$7="Ranked",G64="Yes"))),"Yes","No")</f>
        <v>No</v>
      </c>
      <c r="G66" s="564" t="s">
        <v>347</v>
      </c>
      <c r="H66" s="333" t="str">
        <f>IF(C66="","",VLOOKUP(C66,Boonref2!A:B,2,FALSE))</f>
        <v>Yes</v>
      </c>
      <c r="I66" s="333"/>
      <c r="J66" s="333" t="str">
        <f>VLOOKUP(C66,BoonRef!A:Z,17,FALSE)</f>
        <v>Yes</v>
      </c>
      <c r="K66" s="333" t="str">
        <f>IF(J66="God",'House Rules'!$B$2,IF(J66="Demi",'House Rules'!$B$1,IF(J66="Comp",'House Rules'!$B$4,IF(J66="Yaz",'House Rules'!$B$5,IF(J66="Rag",'House Rules'!$B$3,"Available")))))</f>
        <v>Available</v>
      </c>
      <c r="L66" s="333"/>
      <c r="M66" s="333"/>
      <c r="N66" s="340" t="s">
        <v>1220</v>
      </c>
      <c r="O66" s="341" t="s">
        <v>166</v>
      </c>
      <c r="P66" s="341" t="str">
        <f>IF(O66&lt;CharacterSheet!$V$34,"Yes","No")</f>
        <v>No</v>
      </c>
      <c r="Q66" s="341">
        <v>5</v>
      </c>
      <c r="R66" s="344" t="s">
        <v>346</v>
      </c>
      <c r="S66" s="317"/>
      <c r="T66" s="319">
        <f t="shared" si="63"/>
        <v>0</v>
      </c>
      <c r="U66" s="345" t="s">
        <v>2452</v>
      </c>
      <c r="V66" s="341" t="s">
        <v>1208</v>
      </c>
      <c r="W66" s="346" t="s">
        <v>41</v>
      </c>
      <c r="X66" s="341">
        <v>5</v>
      </c>
      <c r="Y66" s="347" t="str">
        <f>IF(AND($D$2="Arete",CharacterSheet!$E$57&gt;2,CharacterSheet!$V$34&gt;X66,'House Rules'!$B$6="Free",'House Rules'!$D$6=W66),"Free",IF(AND($D$2="Arete",CharacterSheet!$E$57&gt;2,CharacterSheet!$V$34&gt;X66,Z65="Yes"),"Yes","No"))</f>
        <v>No</v>
      </c>
      <c r="Z66" s="572" t="s">
        <v>347</v>
      </c>
      <c r="AA66" s="556"/>
      <c r="AB66" s="319">
        <f t="shared" si="64"/>
        <v>0</v>
      </c>
      <c r="AC66" s="345" t="s">
        <v>2552</v>
      </c>
      <c r="AD66" s="341" t="s">
        <v>1208</v>
      </c>
      <c r="AE66" s="346" t="s">
        <v>51</v>
      </c>
      <c r="AF66" s="341">
        <v>5</v>
      </c>
      <c r="AG66" s="347" t="str">
        <f>IF(AND($D$2="Arete",CharacterSheet!$M$57&gt;2,CharacterSheet!$V$34&gt;AF66,'House Rules'!$B$6="Free",'House Rules'!$D$6=AE66),"Free",IF(AND($D$2="Arete",CharacterSheet!$M$57&gt;2,CharacterSheet!$V$34&gt;AF66,AH65="Yes"),"Yes","No"))</f>
        <v>No</v>
      </c>
      <c r="AH66" s="572" t="s">
        <v>347</v>
      </c>
      <c r="BF66" s="319">
        <f t="shared" si="57"/>
        <v>0</v>
      </c>
      <c r="BG66" s="345" t="s">
        <v>2432</v>
      </c>
      <c r="BI66" s="319">
        <f t="shared" si="9"/>
        <v>0</v>
      </c>
      <c r="BJ66" s="319">
        <f t="shared" si="62"/>
        <v>0</v>
      </c>
      <c r="BK66" s="319">
        <f t="shared" si="62"/>
        <v>0</v>
      </c>
      <c r="BL66" s="319">
        <f t="shared" si="62"/>
        <v>0</v>
      </c>
      <c r="BM66" s="319">
        <f t="shared" si="62"/>
        <v>0</v>
      </c>
      <c r="BN66" s="319">
        <f t="shared" si="62"/>
        <v>0</v>
      </c>
      <c r="BO66" s="319">
        <f t="shared" si="62"/>
        <v>0</v>
      </c>
      <c r="BP66" s="319">
        <f t="shared" si="62"/>
        <v>0</v>
      </c>
      <c r="BQ66" s="319">
        <f t="shared" si="62"/>
        <v>0</v>
      </c>
      <c r="BR66" s="319">
        <f t="shared" si="62"/>
        <v>0</v>
      </c>
      <c r="BS66" s="319">
        <f t="shared" si="62"/>
        <v>0</v>
      </c>
      <c r="BT66" s="319">
        <f t="shared" si="62"/>
        <v>0</v>
      </c>
      <c r="BU66" s="319">
        <f t="shared" si="62"/>
        <v>0</v>
      </c>
      <c r="BV66" s="319">
        <f t="shared" si="62"/>
        <v>0</v>
      </c>
      <c r="BW66" s="319">
        <f t="shared" si="62"/>
        <v>0</v>
      </c>
      <c r="BX66" s="319">
        <f t="shared" si="62"/>
        <v>0</v>
      </c>
      <c r="BY66" s="319">
        <f t="shared" si="62"/>
        <v>0</v>
      </c>
      <c r="BZ66" s="319">
        <f t="shared" si="62"/>
        <v>0</v>
      </c>
      <c r="CA66" s="319">
        <f t="shared" si="62"/>
        <v>0</v>
      </c>
      <c r="CB66" s="319">
        <f t="shared" si="62"/>
        <v>0</v>
      </c>
      <c r="CC66" s="319">
        <f t="shared" si="62"/>
        <v>0</v>
      </c>
      <c r="CD66" s="319">
        <f t="shared" si="62"/>
        <v>0</v>
      </c>
      <c r="CE66" s="319">
        <f t="shared" si="62"/>
        <v>0</v>
      </c>
      <c r="CF66" s="319">
        <f t="shared" si="62"/>
        <v>0</v>
      </c>
      <c r="CG66" s="319">
        <f t="shared" si="62"/>
        <v>0</v>
      </c>
      <c r="CH66" s="319">
        <f t="shared" si="62"/>
        <v>0</v>
      </c>
      <c r="CI66" s="319">
        <f t="shared" si="62"/>
        <v>0</v>
      </c>
      <c r="CJ66" s="319">
        <f t="shared" si="62"/>
        <v>0</v>
      </c>
      <c r="CK66" s="319">
        <f t="shared" si="62"/>
        <v>0</v>
      </c>
      <c r="CL66" s="319">
        <f t="shared" si="62"/>
        <v>0</v>
      </c>
      <c r="CM66" s="319">
        <f t="shared" si="62"/>
        <v>0</v>
      </c>
      <c r="CN66" s="319">
        <f t="shared" si="62"/>
        <v>0</v>
      </c>
      <c r="CO66" s="319">
        <f t="shared" si="62"/>
        <v>0</v>
      </c>
      <c r="CP66" s="319">
        <f t="shared" si="62"/>
        <v>0</v>
      </c>
      <c r="CQ66" s="319">
        <f t="shared" si="62"/>
        <v>0</v>
      </c>
      <c r="CR66" s="319">
        <f t="shared" si="62"/>
        <v>0</v>
      </c>
      <c r="CS66" s="319">
        <f t="shared" si="62"/>
        <v>0</v>
      </c>
      <c r="CT66" s="319">
        <f t="shared" si="62"/>
        <v>0</v>
      </c>
      <c r="CU66" s="319">
        <f t="shared" si="62"/>
        <v>0</v>
      </c>
      <c r="CV66" s="319">
        <f t="shared" si="62"/>
        <v>0</v>
      </c>
    </row>
    <row r="67" spans="1:100" ht="15.75" thickBot="1" x14ac:dyDescent="0.3">
      <c r="A67" s="319">
        <f t="shared" ref="A67:A130" si="65">IF(AND(H67="Yes",G67="Yes"),A66+1,A66)</f>
        <v>0</v>
      </c>
      <c r="B67" s="319">
        <f t="shared" si="13"/>
        <v>0</v>
      </c>
      <c r="C67" s="352" t="s">
        <v>1258</v>
      </c>
      <c r="D67" s="353" t="s">
        <v>355</v>
      </c>
      <c r="E67" s="353">
        <v>11</v>
      </c>
      <c r="F67" s="353" t="str">
        <f>IF(AND(E25&lt;CharacterSheet!$V$34,G56="Yes",G57="Yes",G58="Yes",G59="Yes",G60="Yes",G61="Yes",OR(G62="Yes",G22="Yes"),G64="Yes",OR(G54="Yes",G55="Yes"),OR(G65="Yes",G66="Yes")),"Yes","No")</f>
        <v>No</v>
      </c>
      <c r="G67" s="565" t="s">
        <v>347</v>
      </c>
      <c r="H67" s="333" t="str">
        <f>IF(C67="","",VLOOKUP(C67,Boonref2!A:B,2,FALSE))</f>
        <v>No</v>
      </c>
      <c r="I67" s="333"/>
      <c r="J67" s="333" t="str">
        <f>VLOOKUP(C67,BoonRef!A:Z,17,FALSE)</f>
        <v>Yes</v>
      </c>
      <c r="K67" s="333" t="str">
        <f>IF(J67="God",'House Rules'!$B$2,IF(J67="Demi",'House Rules'!$B$1,IF(J67="Comp",'House Rules'!$B$4,IF(J67="Yaz",'House Rules'!$B$5,IF(J67="Rag",'House Rules'!$B$3,"Available")))))</f>
        <v>Available</v>
      </c>
      <c r="L67" s="333"/>
      <c r="M67" s="333"/>
      <c r="N67" s="340" t="s">
        <v>1221</v>
      </c>
      <c r="O67" s="341" t="s">
        <v>166</v>
      </c>
      <c r="P67" s="341" t="str">
        <f>IF(O67&lt;CharacterSheet!$V$34,"Yes","No")</f>
        <v>No</v>
      </c>
      <c r="Q67" s="341">
        <v>6</v>
      </c>
      <c r="R67" s="344" t="s">
        <v>347</v>
      </c>
      <c r="S67" s="317"/>
      <c r="T67" s="319">
        <f t="shared" si="63"/>
        <v>0</v>
      </c>
      <c r="U67" s="345" t="s">
        <v>2453</v>
      </c>
      <c r="V67" s="341" t="s">
        <v>1209</v>
      </c>
      <c r="W67" s="346" t="s">
        <v>41</v>
      </c>
      <c r="X67" s="341">
        <v>6</v>
      </c>
      <c r="Y67" s="347" t="str">
        <f>IF(AND($D$2="Arete",CharacterSheet!$E$57&gt;2,CharacterSheet!$V$34&gt;X67,'House Rules'!$B$6="Free",'House Rules'!$D$6=W67),"Free",IF(AND($D$2="Arete",CharacterSheet!$E$57&gt;2,CharacterSheet!$V$34&gt;X67,Z66="Yes"),"Yes","No"))</f>
        <v>No</v>
      </c>
      <c r="Z67" s="572" t="s">
        <v>347</v>
      </c>
      <c r="AA67" s="556"/>
      <c r="AB67" s="319">
        <f t="shared" si="64"/>
        <v>0</v>
      </c>
      <c r="AC67" s="345" t="s">
        <v>2553</v>
      </c>
      <c r="AD67" s="341" t="s">
        <v>1209</v>
      </c>
      <c r="AE67" s="346" t="s">
        <v>51</v>
      </c>
      <c r="AF67" s="341">
        <v>6</v>
      </c>
      <c r="AG67" s="347" t="str">
        <f>IF(AND($D$2="Arete",CharacterSheet!$M$57&gt;2,CharacterSheet!$V$34&gt;AF67,'House Rules'!$B$6="Free",'House Rules'!$D$6=AE67),"Free",IF(AND($D$2="Arete",CharacterSheet!$M$57&gt;2,CharacterSheet!$V$34&gt;AF67,AH66="Yes"),"Yes","No"))</f>
        <v>No</v>
      </c>
      <c r="AH67" s="572" t="s">
        <v>347</v>
      </c>
      <c r="BF67" s="319">
        <f t="shared" si="57"/>
        <v>0</v>
      </c>
      <c r="BG67" s="345" t="s">
        <v>2433</v>
      </c>
      <c r="BI67" s="319">
        <f t="shared" ref="BI67:BX130" si="66">IF(AND($D67=BI$1,$G67="Yes"),$E67,0)</f>
        <v>0</v>
      </c>
      <c r="BJ67" s="319">
        <f t="shared" si="66"/>
        <v>0</v>
      </c>
      <c r="BK67" s="319">
        <f t="shared" si="66"/>
        <v>0</v>
      </c>
      <c r="BL67" s="319">
        <f t="shared" si="66"/>
        <v>0</v>
      </c>
      <c r="BM67" s="319">
        <f t="shared" si="66"/>
        <v>0</v>
      </c>
      <c r="BN67" s="319">
        <f t="shared" si="66"/>
        <v>0</v>
      </c>
      <c r="BO67" s="319">
        <f t="shared" si="66"/>
        <v>0</v>
      </c>
      <c r="BP67" s="319">
        <f t="shared" si="66"/>
        <v>0</v>
      </c>
      <c r="BQ67" s="319">
        <f t="shared" si="66"/>
        <v>0</v>
      </c>
      <c r="BR67" s="319">
        <f t="shared" si="66"/>
        <v>0</v>
      </c>
      <c r="BS67" s="319">
        <f t="shared" si="66"/>
        <v>0</v>
      </c>
      <c r="BT67" s="319">
        <f t="shared" si="66"/>
        <v>0</v>
      </c>
      <c r="BU67" s="319">
        <f t="shared" si="66"/>
        <v>0</v>
      </c>
      <c r="BV67" s="319">
        <f t="shared" si="66"/>
        <v>0</v>
      </c>
      <c r="BW67" s="319">
        <f t="shared" si="66"/>
        <v>0</v>
      </c>
      <c r="BX67" s="319">
        <f t="shared" si="66"/>
        <v>0</v>
      </c>
      <c r="BY67" s="319">
        <f t="shared" si="62"/>
        <v>0</v>
      </c>
      <c r="BZ67" s="319">
        <f t="shared" si="62"/>
        <v>0</v>
      </c>
      <c r="CA67" s="319">
        <f t="shared" si="62"/>
        <v>0</v>
      </c>
      <c r="CB67" s="319">
        <f t="shared" si="62"/>
        <v>0</v>
      </c>
      <c r="CC67" s="319">
        <f t="shared" si="62"/>
        <v>0</v>
      </c>
      <c r="CD67" s="319">
        <f t="shared" si="62"/>
        <v>0</v>
      </c>
      <c r="CE67" s="319">
        <f t="shared" si="62"/>
        <v>0</v>
      </c>
      <c r="CF67" s="319">
        <f t="shared" si="62"/>
        <v>0</v>
      </c>
      <c r="CG67" s="319">
        <f t="shared" si="62"/>
        <v>0</v>
      </c>
      <c r="CH67" s="319">
        <f t="shared" si="62"/>
        <v>0</v>
      </c>
      <c r="CI67" s="319">
        <f t="shared" si="62"/>
        <v>0</v>
      </c>
      <c r="CJ67" s="319">
        <f t="shared" si="62"/>
        <v>0</v>
      </c>
      <c r="CK67" s="319">
        <f t="shared" si="62"/>
        <v>0</v>
      </c>
      <c r="CL67" s="319">
        <f t="shared" si="62"/>
        <v>0</v>
      </c>
      <c r="CM67" s="319">
        <f t="shared" si="62"/>
        <v>0</v>
      </c>
      <c r="CN67" s="319">
        <f t="shared" si="62"/>
        <v>0</v>
      </c>
      <c r="CO67" s="319">
        <f t="shared" si="62"/>
        <v>0</v>
      </c>
      <c r="CP67" s="319">
        <f t="shared" si="62"/>
        <v>0</v>
      </c>
      <c r="CQ67" s="319">
        <f t="shared" si="62"/>
        <v>0</v>
      </c>
      <c r="CR67" s="319">
        <f t="shared" si="62"/>
        <v>0</v>
      </c>
      <c r="CS67" s="319">
        <f t="shared" si="62"/>
        <v>0</v>
      </c>
      <c r="CT67" s="319">
        <f t="shared" si="62"/>
        <v>0</v>
      </c>
      <c r="CU67" s="319">
        <f t="shared" si="62"/>
        <v>0</v>
      </c>
      <c r="CV67" s="319">
        <f t="shared" si="62"/>
        <v>0</v>
      </c>
    </row>
    <row r="68" spans="1:100" x14ac:dyDescent="0.25">
      <c r="A68" s="319">
        <f t="shared" si="65"/>
        <v>0</v>
      </c>
      <c r="B68" s="319">
        <f t="shared" si="13"/>
        <v>0</v>
      </c>
      <c r="C68" s="330" t="s">
        <v>1076</v>
      </c>
      <c r="D68" s="331" t="s">
        <v>356</v>
      </c>
      <c r="E68" s="331">
        <v>1</v>
      </c>
      <c r="F68" s="331" t="str">
        <f>IF(E68&lt;CharacterSheet!$V$34,"Yes","No")</f>
        <v>Yes</v>
      </c>
      <c r="G68" s="563" t="s">
        <v>347</v>
      </c>
      <c r="H68" s="333" t="str">
        <f>IF(C68="","",VLOOKUP(C68,Boonref2!A:B,2,FALSE))</f>
        <v>No</v>
      </c>
      <c r="I68" s="333"/>
      <c r="J68" s="333" t="str">
        <f>VLOOKUP(C68,BoonRef!A:Z,17,FALSE)</f>
        <v>Yes</v>
      </c>
      <c r="K68" s="333" t="str">
        <f>IF(J68="God",'House Rules'!$B$2,IF(J68="Demi",'House Rules'!$B$1,IF(J68="Comp",'House Rules'!$B$4,IF(J68="Yaz",'House Rules'!$B$5,IF(J68="Rag",'House Rules'!$B$3,"Available")))))</f>
        <v>Available</v>
      </c>
      <c r="L68" s="333"/>
      <c r="M68" s="333"/>
      <c r="N68" s="340" t="s">
        <v>1222</v>
      </c>
      <c r="O68" s="341" t="s">
        <v>166</v>
      </c>
      <c r="P68" s="341" t="str">
        <f>IF(O68&lt;CharacterSheet!$V$34,"Yes","No")</f>
        <v>No</v>
      </c>
      <c r="Q68" s="341">
        <v>7</v>
      </c>
      <c r="R68" s="344" t="s">
        <v>347</v>
      </c>
      <c r="S68" s="317"/>
      <c r="T68" s="319">
        <f t="shared" si="63"/>
        <v>0</v>
      </c>
      <c r="U68" s="345" t="s">
        <v>2454</v>
      </c>
      <c r="V68" s="341" t="s">
        <v>1210</v>
      </c>
      <c r="W68" s="346" t="s">
        <v>41</v>
      </c>
      <c r="X68" s="341">
        <v>7</v>
      </c>
      <c r="Y68" s="347" t="str">
        <f>IF(AND($D$2="Arete",CharacterSheet!$E$57&gt;2,CharacterSheet!$V$34&gt;X68,'House Rules'!$B$6="Free",'House Rules'!$D$6=W68),"Free",IF(AND($D$2="Arete",CharacterSheet!$E$57&gt;2,CharacterSheet!$V$34&gt;X68,Z67="Yes"),"Yes","No"))</f>
        <v>No</v>
      </c>
      <c r="Z68" s="572" t="s">
        <v>347</v>
      </c>
      <c r="AA68" s="556"/>
      <c r="AB68" s="319">
        <f t="shared" si="64"/>
        <v>0</v>
      </c>
      <c r="AC68" s="345" t="s">
        <v>2554</v>
      </c>
      <c r="AD68" s="341" t="s">
        <v>1210</v>
      </c>
      <c r="AE68" s="346" t="s">
        <v>51</v>
      </c>
      <c r="AF68" s="341">
        <v>7</v>
      </c>
      <c r="AG68" s="347" t="str">
        <f>IF(AND($D$2="Arete",CharacterSheet!$M$57&gt;2,CharacterSheet!$V$34&gt;AF68,'House Rules'!$B$6="Free",'House Rules'!$D$6=AE68),"Free",IF(AND($D$2="Arete",CharacterSheet!$M$57&gt;2,CharacterSheet!$V$34&gt;AF68,AH67="Yes"),"Yes","No"))</f>
        <v>No</v>
      </c>
      <c r="AH68" s="572" t="s">
        <v>347</v>
      </c>
      <c r="BF68" s="319">
        <f t="shared" si="57"/>
        <v>0</v>
      </c>
      <c r="BG68" s="345" t="s">
        <v>2434</v>
      </c>
      <c r="BI68" s="319">
        <f t="shared" si="66"/>
        <v>0</v>
      </c>
      <c r="BJ68" s="319">
        <f t="shared" si="62"/>
        <v>0</v>
      </c>
      <c r="BK68" s="319">
        <f t="shared" si="62"/>
        <v>0</v>
      </c>
      <c r="BL68" s="319">
        <f t="shared" si="62"/>
        <v>0</v>
      </c>
      <c r="BM68" s="319">
        <f t="shared" si="62"/>
        <v>0</v>
      </c>
      <c r="BN68" s="319">
        <f t="shared" si="62"/>
        <v>0</v>
      </c>
      <c r="BO68" s="319">
        <f t="shared" si="62"/>
        <v>0</v>
      </c>
      <c r="BP68" s="319">
        <f t="shared" ref="BJ68:CV74" si="67">IF(AND($D68=BP$1,$G68="Yes"),$E68,0)</f>
        <v>0</v>
      </c>
      <c r="BQ68" s="319">
        <f t="shared" si="67"/>
        <v>0</v>
      </c>
      <c r="BR68" s="319">
        <f t="shared" si="67"/>
        <v>0</v>
      </c>
      <c r="BS68" s="319">
        <f t="shared" si="67"/>
        <v>0</v>
      </c>
      <c r="BT68" s="319">
        <f t="shared" si="67"/>
        <v>0</v>
      </c>
      <c r="BU68" s="319">
        <f t="shared" si="67"/>
        <v>0</v>
      </c>
      <c r="BV68" s="319">
        <f t="shared" si="67"/>
        <v>0</v>
      </c>
      <c r="BW68" s="319">
        <f t="shared" si="67"/>
        <v>0</v>
      </c>
      <c r="BX68" s="319">
        <f t="shared" si="67"/>
        <v>0</v>
      </c>
      <c r="BY68" s="319">
        <f t="shared" si="67"/>
        <v>0</v>
      </c>
      <c r="BZ68" s="319">
        <f t="shared" si="67"/>
        <v>0</v>
      </c>
      <c r="CA68" s="319">
        <f t="shared" si="67"/>
        <v>0</v>
      </c>
      <c r="CB68" s="319">
        <f t="shared" si="67"/>
        <v>0</v>
      </c>
      <c r="CC68" s="319">
        <f t="shared" si="67"/>
        <v>0</v>
      </c>
      <c r="CD68" s="319">
        <f t="shared" si="67"/>
        <v>0</v>
      </c>
      <c r="CE68" s="319">
        <f t="shared" si="67"/>
        <v>0</v>
      </c>
      <c r="CF68" s="319">
        <f t="shared" si="67"/>
        <v>0</v>
      </c>
      <c r="CG68" s="319">
        <f t="shared" si="67"/>
        <v>0</v>
      </c>
      <c r="CH68" s="319">
        <f t="shared" si="67"/>
        <v>0</v>
      </c>
      <c r="CI68" s="319">
        <f t="shared" si="67"/>
        <v>0</v>
      </c>
      <c r="CJ68" s="319">
        <f t="shared" si="67"/>
        <v>0</v>
      </c>
      <c r="CK68" s="319">
        <f t="shared" si="67"/>
        <v>0</v>
      </c>
      <c r="CL68" s="319">
        <f t="shared" si="67"/>
        <v>0</v>
      </c>
      <c r="CM68" s="319">
        <f t="shared" si="67"/>
        <v>0</v>
      </c>
      <c r="CN68" s="319">
        <f t="shared" si="67"/>
        <v>0</v>
      </c>
      <c r="CO68" s="319">
        <f t="shared" si="67"/>
        <v>0</v>
      </c>
      <c r="CP68" s="319">
        <f t="shared" si="67"/>
        <v>0</v>
      </c>
      <c r="CQ68" s="319">
        <f t="shared" si="67"/>
        <v>0</v>
      </c>
      <c r="CR68" s="319">
        <f t="shared" si="67"/>
        <v>0</v>
      </c>
      <c r="CS68" s="319">
        <f t="shared" si="67"/>
        <v>0</v>
      </c>
      <c r="CT68" s="319">
        <f t="shared" si="67"/>
        <v>0</v>
      </c>
      <c r="CU68" s="319">
        <f t="shared" si="67"/>
        <v>0</v>
      </c>
      <c r="CV68" s="319">
        <f t="shared" si="67"/>
        <v>0</v>
      </c>
    </row>
    <row r="69" spans="1:100" x14ac:dyDescent="0.25">
      <c r="A69" s="319">
        <f t="shared" si="65"/>
        <v>0</v>
      </c>
      <c r="B69" s="319">
        <f t="shared" si="13"/>
        <v>0</v>
      </c>
      <c r="C69" s="340" t="s">
        <v>1077</v>
      </c>
      <c r="D69" s="341" t="s">
        <v>356</v>
      </c>
      <c r="E69" s="341">
        <v>2</v>
      </c>
      <c r="F69" s="341" t="str">
        <f>IF(AND(E69&lt;CharacterSheet!$V$34,OR('House Rules'!$B$7="Standard",AND('House Rules'!$B$7="Ranked",G68="Yes"))),"Yes","No")</f>
        <v>No</v>
      </c>
      <c r="G69" s="564" t="s">
        <v>347</v>
      </c>
      <c r="H69" s="333" t="str">
        <f>IF(C69="","",VLOOKUP(C69,Boonref2!A:B,2,FALSE))</f>
        <v>Yes</v>
      </c>
      <c r="I69" s="333"/>
      <c r="J69" s="333" t="str">
        <f>VLOOKUP(C69,BoonRef!A:Z,17,FALSE)</f>
        <v>Yes</v>
      </c>
      <c r="K69" s="333" t="str">
        <f>IF(J69="God",'House Rules'!$B$2,IF(J69="Demi",'House Rules'!$B$1,IF(J69="Comp",'House Rules'!$B$4,IF(J69="Yaz",'House Rules'!$B$5,IF(J69="Rag",'House Rules'!$B$3,"Available")))))</f>
        <v>Available</v>
      </c>
      <c r="L69" s="333"/>
      <c r="M69" s="333"/>
      <c r="N69" s="340" t="s">
        <v>1315</v>
      </c>
      <c r="O69" s="341" t="s">
        <v>166</v>
      </c>
      <c r="P69" s="341" t="str">
        <f>IF(O69&lt;CharacterSheet!$V$34,"Yes","No")</f>
        <v>No</v>
      </c>
      <c r="Q69" s="341">
        <v>8</v>
      </c>
      <c r="R69" s="344" t="s">
        <v>346</v>
      </c>
      <c r="S69" s="317"/>
      <c r="T69" s="319">
        <f t="shared" si="63"/>
        <v>0</v>
      </c>
      <c r="U69" s="345" t="s">
        <v>2455</v>
      </c>
      <c r="V69" s="341" t="s">
        <v>1306</v>
      </c>
      <c r="W69" s="346" t="s">
        <v>41</v>
      </c>
      <c r="X69" s="341">
        <v>8</v>
      </c>
      <c r="Y69" s="347" t="str">
        <f>IF(AND($D$2="Arete",CharacterSheet!$E$57&gt;2,CharacterSheet!$V$34&gt;X69,'House Rules'!$B$6="Free",'House Rules'!$D$6=W69),"Free",IF(AND($D$2="Arete",CharacterSheet!$E$57&gt;2,CharacterSheet!$V$34&gt;X69,Z68="Yes"),"Yes","No"))</f>
        <v>No</v>
      </c>
      <c r="Z69" s="572" t="s">
        <v>347</v>
      </c>
      <c r="AA69" s="556"/>
      <c r="AB69" s="319">
        <f t="shared" si="64"/>
        <v>0</v>
      </c>
      <c r="AC69" s="345" t="s">
        <v>2555</v>
      </c>
      <c r="AD69" s="341" t="s">
        <v>1306</v>
      </c>
      <c r="AE69" s="346" t="s">
        <v>51</v>
      </c>
      <c r="AF69" s="341">
        <v>8</v>
      </c>
      <c r="AG69" s="347" t="str">
        <f>IF(AND($D$2="Arete",CharacterSheet!$M$57&gt;2,CharacterSheet!$V$34&gt;AF69,'House Rules'!$B$6="Free",'House Rules'!$D$6=AE69),"Free",IF(AND($D$2="Arete",CharacterSheet!$M$57&gt;2,CharacterSheet!$V$34&gt;AF69,AH68="Yes"),"Yes","No"))</f>
        <v>No</v>
      </c>
      <c r="AH69" s="572" t="s">
        <v>347</v>
      </c>
      <c r="BF69" s="319">
        <f t="shared" si="57"/>
        <v>0</v>
      </c>
      <c r="BG69" s="345" t="s">
        <v>2435</v>
      </c>
      <c r="BI69" s="319">
        <f t="shared" si="66"/>
        <v>0</v>
      </c>
      <c r="BJ69" s="319">
        <f t="shared" si="67"/>
        <v>0</v>
      </c>
      <c r="BK69" s="319">
        <f t="shared" si="67"/>
        <v>0</v>
      </c>
      <c r="BL69" s="319">
        <f t="shared" si="67"/>
        <v>0</v>
      </c>
      <c r="BM69" s="319">
        <f t="shared" si="67"/>
        <v>0</v>
      </c>
      <c r="BN69" s="319">
        <f t="shared" si="67"/>
        <v>0</v>
      </c>
      <c r="BO69" s="319">
        <f t="shared" si="67"/>
        <v>0</v>
      </c>
      <c r="BP69" s="319">
        <f t="shared" si="67"/>
        <v>0</v>
      </c>
      <c r="BQ69" s="319">
        <f t="shared" si="67"/>
        <v>0</v>
      </c>
      <c r="BR69" s="319">
        <f t="shared" si="67"/>
        <v>0</v>
      </c>
      <c r="BS69" s="319">
        <f t="shared" si="67"/>
        <v>0</v>
      </c>
      <c r="BT69" s="319">
        <f t="shared" si="67"/>
        <v>0</v>
      </c>
      <c r="BU69" s="319">
        <f t="shared" si="67"/>
        <v>0</v>
      </c>
      <c r="BV69" s="319">
        <f t="shared" si="67"/>
        <v>0</v>
      </c>
      <c r="BW69" s="319">
        <f t="shared" si="67"/>
        <v>0</v>
      </c>
      <c r="BX69" s="319">
        <f t="shared" si="67"/>
        <v>0</v>
      </c>
      <c r="BY69" s="319">
        <f t="shared" si="67"/>
        <v>0</v>
      </c>
      <c r="BZ69" s="319">
        <f t="shared" si="67"/>
        <v>0</v>
      </c>
      <c r="CA69" s="319">
        <f t="shared" si="67"/>
        <v>0</v>
      </c>
      <c r="CB69" s="319">
        <f t="shared" si="67"/>
        <v>0</v>
      </c>
      <c r="CC69" s="319">
        <f t="shared" si="67"/>
        <v>0</v>
      </c>
      <c r="CD69" s="319">
        <f t="shared" si="67"/>
        <v>0</v>
      </c>
      <c r="CE69" s="319">
        <f t="shared" si="67"/>
        <v>0</v>
      </c>
      <c r="CF69" s="319">
        <f t="shared" si="67"/>
        <v>0</v>
      </c>
      <c r="CG69" s="319">
        <f t="shared" si="67"/>
        <v>0</v>
      </c>
      <c r="CH69" s="319">
        <f t="shared" si="67"/>
        <v>0</v>
      </c>
      <c r="CI69" s="319">
        <f t="shared" si="67"/>
        <v>0</v>
      </c>
      <c r="CJ69" s="319">
        <f t="shared" si="67"/>
        <v>0</v>
      </c>
      <c r="CK69" s="319">
        <f t="shared" si="67"/>
        <v>0</v>
      </c>
      <c r="CL69" s="319">
        <f t="shared" si="67"/>
        <v>0</v>
      </c>
      <c r="CM69" s="319">
        <f t="shared" si="67"/>
        <v>0</v>
      </c>
      <c r="CN69" s="319">
        <f t="shared" si="67"/>
        <v>0</v>
      </c>
      <c r="CO69" s="319">
        <f t="shared" si="67"/>
        <v>0</v>
      </c>
      <c r="CP69" s="319">
        <f t="shared" si="67"/>
        <v>0</v>
      </c>
      <c r="CQ69" s="319">
        <f t="shared" si="67"/>
        <v>0</v>
      </c>
      <c r="CR69" s="319">
        <f t="shared" si="67"/>
        <v>0</v>
      </c>
      <c r="CS69" s="319">
        <f t="shared" si="67"/>
        <v>0</v>
      </c>
      <c r="CT69" s="319">
        <f t="shared" si="67"/>
        <v>0</v>
      </c>
      <c r="CU69" s="319">
        <f t="shared" si="67"/>
        <v>0</v>
      </c>
      <c r="CV69" s="319">
        <f t="shared" si="67"/>
        <v>0</v>
      </c>
    </row>
    <row r="70" spans="1:100" x14ac:dyDescent="0.25">
      <c r="A70" s="319">
        <f t="shared" si="65"/>
        <v>0</v>
      </c>
      <c r="B70" s="319">
        <f t="shared" si="13"/>
        <v>0</v>
      </c>
      <c r="C70" s="340" t="s">
        <v>1078</v>
      </c>
      <c r="D70" s="341" t="s">
        <v>356</v>
      </c>
      <c r="E70" s="341">
        <v>3</v>
      </c>
      <c r="F70" s="341" t="str">
        <f>IF(AND(E70&lt;CharacterSheet!$V$34,OR('House Rules'!$B$7="Standard",AND('House Rules'!$B$7="Ranked",G69="Yes"))),"Yes","No")</f>
        <v>No</v>
      </c>
      <c r="G70" s="564" t="s">
        <v>347</v>
      </c>
      <c r="H70" s="333" t="str">
        <f>IF(C70="","",VLOOKUP(C70,Boonref2!A:B,2,FALSE))</f>
        <v>Yes</v>
      </c>
      <c r="I70" s="333"/>
      <c r="J70" s="333" t="str">
        <f>VLOOKUP(C70,BoonRef!A:Z,17,FALSE)</f>
        <v>Yes</v>
      </c>
      <c r="K70" s="333" t="str">
        <f>IF(J70="God",'House Rules'!$B$2,IF(J70="Demi",'House Rules'!$B$1,IF(J70="Comp",'House Rules'!$B$4,IF(J70="Yaz",'House Rules'!$B$5,IF(J70="Rag",'House Rules'!$B$3,"Available")))))</f>
        <v>Available</v>
      </c>
      <c r="L70" s="333"/>
      <c r="M70" s="333"/>
      <c r="N70" s="340" t="s">
        <v>1316</v>
      </c>
      <c r="O70" s="341" t="s">
        <v>166</v>
      </c>
      <c r="P70" s="341" t="str">
        <f>IF(O70&lt;CharacterSheet!$V$34,"Yes","No")</f>
        <v>No</v>
      </c>
      <c r="Q70" s="341">
        <v>9</v>
      </c>
      <c r="R70" s="344" t="s">
        <v>347</v>
      </c>
      <c r="S70" s="317"/>
      <c r="T70" s="319">
        <f t="shared" si="63"/>
        <v>0</v>
      </c>
      <c r="U70" s="345" t="s">
        <v>2456</v>
      </c>
      <c r="V70" s="341" t="s">
        <v>1307</v>
      </c>
      <c r="W70" s="346" t="s">
        <v>41</v>
      </c>
      <c r="X70" s="341">
        <v>9</v>
      </c>
      <c r="Y70" s="347" t="str">
        <f>IF(AND($D$2="Arete",CharacterSheet!$E$57&gt;2,CharacterSheet!$V$34&gt;X70,'House Rules'!$B$6="Free",'House Rules'!$D$6=W70),"Free",IF(AND($D$2="Arete",CharacterSheet!$E$57&gt;2,CharacterSheet!$V$34&gt;X70,Z69="Yes"),"Yes","No"))</f>
        <v>No</v>
      </c>
      <c r="Z70" s="572" t="s">
        <v>347</v>
      </c>
      <c r="AA70" s="556"/>
      <c r="AB70" s="319">
        <f t="shared" si="64"/>
        <v>0</v>
      </c>
      <c r="AC70" s="345" t="s">
        <v>2556</v>
      </c>
      <c r="AD70" s="341" t="s">
        <v>1307</v>
      </c>
      <c r="AE70" s="346" t="s">
        <v>51</v>
      </c>
      <c r="AF70" s="341">
        <v>9</v>
      </c>
      <c r="AG70" s="347" t="str">
        <f>IF(AND($D$2="Arete",CharacterSheet!$M$57&gt;2,CharacterSheet!$V$34&gt;AF70,'House Rules'!$B$6="Free",'House Rules'!$D$6=AE70),"Free",IF(AND($D$2="Arete",CharacterSheet!$M$57&gt;2,CharacterSheet!$V$34&gt;AF70,AH69="Yes"),"Yes","No"))</f>
        <v>No</v>
      </c>
      <c r="AH70" s="572" t="s">
        <v>347</v>
      </c>
      <c r="BF70" s="319">
        <f t="shared" si="57"/>
        <v>0</v>
      </c>
      <c r="BG70" s="345" t="s">
        <v>2436</v>
      </c>
      <c r="BI70" s="319">
        <f t="shared" si="66"/>
        <v>0</v>
      </c>
      <c r="BJ70" s="319">
        <f t="shared" si="67"/>
        <v>0</v>
      </c>
      <c r="BK70" s="319">
        <f t="shared" si="67"/>
        <v>0</v>
      </c>
      <c r="BL70" s="319">
        <f t="shared" si="67"/>
        <v>0</v>
      </c>
      <c r="BM70" s="319">
        <f t="shared" si="67"/>
        <v>0</v>
      </c>
      <c r="BN70" s="319">
        <f t="shared" si="67"/>
        <v>0</v>
      </c>
      <c r="BO70" s="319">
        <f t="shared" si="67"/>
        <v>0</v>
      </c>
      <c r="BP70" s="319">
        <f t="shared" si="67"/>
        <v>0</v>
      </c>
      <c r="BQ70" s="319">
        <f t="shared" si="67"/>
        <v>0</v>
      </c>
      <c r="BR70" s="319">
        <f t="shared" si="67"/>
        <v>0</v>
      </c>
      <c r="BS70" s="319">
        <f t="shared" si="67"/>
        <v>0</v>
      </c>
      <c r="BT70" s="319">
        <f t="shared" si="67"/>
        <v>0</v>
      </c>
      <c r="BU70" s="319">
        <f t="shared" si="67"/>
        <v>0</v>
      </c>
      <c r="BV70" s="319">
        <f t="shared" si="67"/>
        <v>0</v>
      </c>
      <c r="BW70" s="319">
        <f t="shared" si="67"/>
        <v>0</v>
      </c>
      <c r="BX70" s="319">
        <f t="shared" si="67"/>
        <v>0</v>
      </c>
      <c r="BY70" s="319">
        <f t="shared" si="67"/>
        <v>0</v>
      </c>
      <c r="BZ70" s="319">
        <f t="shared" si="67"/>
        <v>0</v>
      </c>
      <c r="CA70" s="319">
        <f t="shared" si="67"/>
        <v>0</v>
      </c>
      <c r="CB70" s="319">
        <f t="shared" si="67"/>
        <v>0</v>
      </c>
      <c r="CC70" s="319">
        <f t="shared" si="67"/>
        <v>0</v>
      </c>
      <c r="CD70" s="319">
        <f t="shared" si="67"/>
        <v>0</v>
      </c>
      <c r="CE70" s="319">
        <f t="shared" si="67"/>
        <v>0</v>
      </c>
      <c r="CF70" s="319">
        <f t="shared" si="67"/>
        <v>0</v>
      </c>
      <c r="CG70" s="319">
        <f t="shared" si="67"/>
        <v>0</v>
      </c>
      <c r="CH70" s="319">
        <f t="shared" si="67"/>
        <v>0</v>
      </c>
      <c r="CI70" s="319">
        <f t="shared" si="67"/>
        <v>0</v>
      </c>
      <c r="CJ70" s="319">
        <f t="shared" si="67"/>
        <v>0</v>
      </c>
      <c r="CK70" s="319">
        <f t="shared" si="67"/>
        <v>0</v>
      </c>
      <c r="CL70" s="319">
        <f t="shared" si="67"/>
        <v>0</v>
      </c>
      <c r="CM70" s="319">
        <f t="shared" si="67"/>
        <v>0</v>
      </c>
      <c r="CN70" s="319">
        <f t="shared" si="67"/>
        <v>0</v>
      </c>
      <c r="CO70" s="319">
        <f t="shared" si="67"/>
        <v>0</v>
      </c>
      <c r="CP70" s="319">
        <f t="shared" si="67"/>
        <v>0</v>
      </c>
      <c r="CQ70" s="319">
        <f t="shared" si="67"/>
        <v>0</v>
      </c>
      <c r="CR70" s="319">
        <f t="shared" si="67"/>
        <v>0</v>
      </c>
      <c r="CS70" s="319">
        <f t="shared" si="67"/>
        <v>0</v>
      </c>
      <c r="CT70" s="319">
        <f t="shared" si="67"/>
        <v>0</v>
      </c>
      <c r="CU70" s="319">
        <f t="shared" si="67"/>
        <v>0</v>
      </c>
      <c r="CV70" s="319">
        <f t="shared" si="67"/>
        <v>0</v>
      </c>
    </row>
    <row r="71" spans="1:100" ht="15.75" thickBot="1" x14ac:dyDescent="0.3">
      <c r="A71" s="319">
        <f t="shared" si="65"/>
        <v>0</v>
      </c>
      <c r="B71" s="319">
        <f t="shared" si="13"/>
        <v>0</v>
      </c>
      <c r="C71" s="340" t="s">
        <v>1159</v>
      </c>
      <c r="D71" s="341" t="s">
        <v>356</v>
      </c>
      <c r="E71" s="341">
        <v>4</v>
      </c>
      <c r="F71" s="341" t="str">
        <f>IF(AND(E71&lt;CharacterSheet!$V$34,'House Rules'!$B$1="Available",OR('House Rules'!$B$7="Standard",AND('House Rules'!$B$7="Ranked",G70="Yes"))),"Yes","No")</f>
        <v>No</v>
      </c>
      <c r="G71" s="564" t="s">
        <v>347</v>
      </c>
      <c r="H71" s="333" t="str">
        <f>IF(C71="","",VLOOKUP(C71,Boonref2!A:B,2,FALSE))</f>
        <v>No</v>
      </c>
      <c r="I71" s="333"/>
      <c r="J71" s="333" t="str">
        <f>VLOOKUP(C71,BoonRef!A:Z,17,FALSE)</f>
        <v>Yes</v>
      </c>
      <c r="K71" s="333" t="str">
        <f>IF(J71="God",'House Rules'!$B$2,IF(J71="Demi",'House Rules'!$B$1,IF(J71="Comp",'House Rules'!$B$4,IF(J71="Yaz",'House Rules'!$B$5,IF(J71="Rag",'House Rules'!$B$3,"Available")))))</f>
        <v>Available</v>
      </c>
      <c r="L71" s="333"/>
      <c r="M71" s="333"/>
      <c r="N71" s="340" t="s">
        <v>1317</v>
      </c>
      <c r="O71" s="341" t="s">
        <v>166</v>
      </c>
      <c r="P71" s="341" t="str">
        <f>IF(O71&lt;CharacterSheet!$V$34,"Yes","No")</f>
        <v>No</v>
      </c>
      <c r="Q71" s="341">
        <v>10</v>
      </c>
      <c r="R71" s="344" t="s">
        <v>346</v>
      </c>
      <c r="S71" s="317"/>
      <c r="T71" s="319">
        <f>IF(Z71="Yes",LARGE($AJ$22:$AJ$31,1)+1,LARGE($AJ$22:$AJ$31,1))</f>
        <v>0</v>
      </c>
      <c r="U71" s="355" t="s">
        <v>2457</v>
      </c>
      <c r="V71" s="353" t="s">
        <v>1308</v>
      </c>
      <c r="W71" s="356" t="s">
        <v>41</v>
      </c>
      <c r="X71" s="353">
        <v>10</v>
      </c>
      <c r="Y71" s="347" t="str">
        <f>IF(AND($D$2="Arete",CharacterSheet!$E$57&gt;2,CharacterSheet!$V$34&gt;X71,'House Rules'!$B$6="Free",'House Rules'!$D$6=W71),"Free",IF(AND($D$2="Arete",CharacterSheet!$E$57&gt;2,CharacterSheet!$V$34&gt;X71,Z70="Yes"),"Yes","No"))</f>
        <v>No</v>
      </c>
      <c r="Z71" s="573" t="s">
        <v>347</v>
      </c>
      <c r="AA71" s="556"/>
      <c r="AB71" s="319">
        <f>IF(AH71="Yes",LARGE($AB$52:$AB$61,1)+1,LARGE($AB$52:$AB$61,1))</f>
        <v>0</v>
      </c>
      <c r="AC71" s="355" t="s">
        <v>2557</v>
      </c>
      <c r="AD71" s="353" t="s">
        <v>1308</v>
      </c>
      <c r="AE71" s="356" t="s">
        <v>51</v>
      </c>
      <c r="AF71" s="353">
        <v>10</v>
      </c>
      <c r="AG71" s="347" t="str">
        <f>IF(AND($D$2="Arete",CharacterSheet!$M$57&gt;2,CharacterSheet!$V$34&gt;AF71,'House Rules'!$B$6="Free",'House Rules'!$D$6=AE71),"Free",IF(AND($D$2="Arete",CharacterSheet!$M$57&gt;2,CharacterSheet!$V$34&gt;AF71,AH70="Yes"),"Yes","No"))</f>
        <v>No</v>
      </c>
      <c r="AH71" s="573" t="s">
        <v>347</v>
      </c>
      <c r="BF71" s="319">
        <f t="shared" si="57"/>
        <v>0</v>
      </c>
      <c r="BG71" s="355" t="s">
        <v>2437</v>
      </c>
      <c r="BI71" s="319">
        <f t="shared" si="66"/>
        <v>0</v>
      </c>
      <c r="BJ71" s="319">
        <f t="shared" si="67"/>
        <v>0</v>
      </c>
      <c r="BK71" s="319">
        <f t="shared" si="67"/>
        <v>0</v>
      </c>
      <c r="BL71" s="319">
        <f t="shared" si="67"/>
        <v>0</v>
      </c>
      <c r="BM71" s="319">
        <f t="shared" si="67"/>
        <v>0</v>
      </c>
      <c r="BN71" s="319">
        <f t="shared" si="67"/>
        <v>0</v>
      </c>
      <c r="BO71" s="319">
        <f t="shared" si="67"/>
        <v>0</v>
      </c>
      <c r="BP71" s="319">
        <f t="shared" si="67"/>
        <v>0</v>
      </c>
      <c r="BQ71" s="319">
        <f t="shared" si="67"/>
        <v>0</v>
      </c>
      <c r="BR71" s="319">
        <f t="shared" si="67"/>
        <v>0</v>
      </c>
      <c r="BS71" s="319">
        <f t="shared" si="67"/>
        <v>0</v>
      </c>
      <c r="BT71" s="319">
        <f t="shared" si="67"/>
        <v>0</v>
      </c>
      <c r="BU71" s="319">
        <f t="shared" si="67"/>
        <v>0</v>
      </c>
      <c r="BV71" s="319">
        <f t="shared" si="67"/>
        <v>0</v>
      </c>
      <c r="BW71" s="319">
        <f t="shared" si="67"/>
        <v>0</v>
      </c>
      <c r="BX71" s="319">
        <f t="shared" si="67"/>
        <v>0</v>
      </c>
      <c r="BY71" s="319">
        <f t="shared" si="67"/>
        <v>0</v>
      </c>
      <c r="BZ71" s="319">
        <f t="shared" si="67"/>
        <v>0</v>
      </c>
      <c r="CA71" s="319">
        <f t="shared" si="67"/>
        <v>0</v>
      </c>
      <c r="CB71" s="319">
        <f t="shared" si="67"/>
        <v>0</v>
      </c>
      <c r="CC71" s="319">
        <f t="shared" si="67"/>
        <v>0</v>
      </c>
      <c r="CD71" s="319">
        <f t="shared" si="67"/>
        <v>0</v>
      </c>
      <c r="CE71" s="319">
        <f t="shared" si="67"/>
        <v>0</v>
      </c>
      <c r="CF71" s="319">
        <f t="shared" si="67"/>
        <v>0</v>
      </c>
      <c r="CG71" s="319">
        <f t="shared" si="67"/>
        <v>0</v>
      </c>
      <c r="CH71" s="319">
        <f t="shared" si="67"/>
        <v>0</v>
      </c>
      <c r="CI71" s="319">
        <f t="shared" si="67"/>
        <v>0</v>
      </c>
      <c r="CJ71" s="319">
        <f t="shared" si="67"/>
        <v>0</v>
      </c>
      <c r="CK71" s="319">
        <f t="shared" si="67"/>
        <v>0</v>
      </c>
      <c r="CL71" s="319">
        <f t="shared" si="67"/>
        <v>0</v>
      </c>
      <c r="CM71" s="319">
        <f t="shared" si="67"/>
        <v>0</v>
      </c>
      <c r="CN71" s="319">
        <f t="shared" si="67"/>
        <v>0</v>
      </c>
      <c r="CO71" s="319">
        <f t="shared" si="67"/>
        <v>0</v>
      </c>
      <c r="CP71" s="319">
        <f t="shared" si="67"/>
        <v>0</v>
      </c>
      <c r="CQ71" s="319">
        <f t="shared" si="67"/>
        <v>0</v>
      </c>
      <c r="CR71" s="319">
        <f t="shared" si="67"/>
        <v>0</v>
      </c>
      <c r="CS71" s="319">
        <f t="shared" si="67"/>
        <v>0</v>
      </c>
      <c r="CT71" s="319">
        <f t="shared" si="67"/>
        <v>0</v>
      </c>
      <c r="CU71" s="319">
        <f t="shared" si="67"/>
        <v>0</v>
      </c>
      <c r="CV71" s="319">
        <f t="shared" si="67"/>
        <v>0</v>
      </c>
    </row>
    <row r="72" spans="1:100" x14ac:dyDescent="0.25">
      <c r="A72" s="319">
        <f t="shared" si="65"/>
        <v>0</v>
      </c>
      <c r="B72" s="319">
        <f t="shared" si="13"/>
        <v>0</v>
      </c>
      <c r="C72" s="340" t="s">
        <v>1387</v>
      </c>
      <c r="D72" s="341" t="s">
        <v>356</v>
      </c>
      <c r="E72" s="341">
        <v>4</v>
      </c>
      <c r="F72" s="341" t="str">
        <f>IF(AND(E72&lt;CharacterSheet!$V$34,'House Rules'!$B$4="Available",OR('House Rules'!$B$7="Standard",AND('House Rules'!$B$7="Ranked",G70="Yes"))),"Yes","No")</f>
        <v>No</v>
      </c>
      <c r="G72" s="564" t="s">
        <v>347</v>
      </c>
      <c r="H72" s="333" t="str">
        <f>IF(C72="","",VLOOKUP(C72,Boonref2!A:B,2,FALSE))</f>
        <v>No</v>
      </c>
      <c r="I72" s="333"/>
      <c r="J72" s="333" t="str">
        <f>VLOOKUP(C72,BoonRef!A:Z,17,FALSE)</f>
        <v>Yes</v>
      </c>
      <c r="K72" s="333" t="str">
        <f>IF(J72="God",'House Rules'!$B$2,IF(J72="Demi",'House Rules'!$B$1,IF(J72="Comp",'House Rules'!$B$4,IF(J72="Yaz",'House Rules'!$B$5,IF(J72="Rag",'House Rules'!$B$3,"Available")))))</f>
        <v>Available</v>
      </c>
      <c r="L72" s="333"/>
      <c r="M72" s="333"/>
      <c r="N72" s="340" t="s">
        <v>1124</v>
      </c>
      <c r="O72" s="341" t="s">
        <v>155</v>
      </c>
      <c r="P72" s="341" t="str">
        <f>IF(O72&lt;CharacterSheet!$V$34,"Yes","No")</f>
        <v>No</v>
      </c>
      <c r="Q72" s="341">
        <v>1</v>
      </c>
      <c r="R72" s="344" t="s">
        <v>347</v>
      </c>
      <c r="S72" s="317"/>
      <c r="T72" s="319">
        <f t="shared" ref="T72:T80" si="68">IF(AND(Z72="Yes",Z73="No"),LARGE($T$62:$T$71,1)+1,LARGE($T$62:$T$71,1))</f>
        <v>0</v>
      </c>
      <c r="U72" s="336" t="s">
        <v>2458</v>
      </c>
      <c r="V72" s="331" t="s">
        <v>1112</v>
      </c>
      <c r="W72" s="337" t="s">
        <v>42</v>
      </c>
      <c r="X72" s="331">
        <v>1</v>
      </c>
      <c r="Y72" s="338" t="str">
        <f>IF(AND($D$2="Arete",CharacterSheet!$E$58&gt;2,CharacterSheet!$V$34&gt;X72,'House Rules'!$B$6="Free",'House Rules'!$D$6=W72),"Free",IF(AND($D$2="Arete",CharacterSheet!$E$58&gt;2,CharacterSheet!$V$34&gt;X72),"Yes","No"))</f>
        <v>No</v>
      </c>
      <c r="Z72" s="571" t="s">
        <v>347</v>
      </c>
      <c r="AA72" s="556"/>
      <c r="AB72" s="319">
        <f t="shared" ref="AB72:AB80" si="69">IF(AND(AH72="Yes",AH73="No"),LARGE($AJ$32:$AJ$41,1)+1,LARGE($AJ$32:$AJ$41,1))</f>
        <v>0</v>
      </c>
      <c r="AC72" s="336" t="s">
        <v>2558</v>
      </c>
      <c r="AD72" s="331" t="s">
        <v>1112</v>
      </c>
      <c r="AE72" s="337" t="s">
        <v>52</v>
      </c>
      <c r="AF72" s="331">
        <v>1</v>
      </c>
      <c r="AG72" s="338" t="str">
        <f>IF(AND($D$2="Arete",CharacterSheet!$M$58&gt;2,CharacterSheet!$V$34&gt;AF72,'House Rules'!$B$6="Free",'House Rules'!$D$6=AE72),"Free",IF(AND($D$2="Arete",CharacterSheet!$M$58&gt;2,CharacterSheet!$V$34&gt;AF72),"Yes","No"))</f>
        <v>No</v>
      </c>
      <c r="AH72" s="571" t="s">
        <v>347</v>
      </c>
      <c r="BF72" s="319">
        <f t="shared" si="57"/>
        <v>0</v>
      </c>
      <c r="BG72" s="336" t="s">
        <v>2438</v>
      </c>
      <c r="BI72" s="319">
        <f t="shared" si="66"/>
        <v>0</v>
      </c>
      <c r="BJ72" s="319">
        <f t="shared" si="67"/>
        <v>0</v>
      </c>
      <c r="BK72" s="319">
        <f t="shared" si="67"/>
        <v>0</v>
      </c>
      <c r="BL72" s="319">
        <f t="shared" si="67"/>
        <v>0</v>
      </c>
      <c r="BM72" s="319">
        <f t="shared" si="67"/>
        <v>0</v>
      </c>
      <c r="BN72" s="319">
        <f t="shared" si="67"/>
        <v>0</v>
      </c>
      <c r="BO72" s="319">
        <f t="shared" si="67"/>
        <v>0</v>
      </c>
      <c r="BP72" s="319">
        <f t="shared" si="67"/>
        <v>0</v>
      </c>
      <c r="BQ72" s="319">
        <f t="shared" si="67"/>
        <v>0</v>
      </c>
      <c r="BR72" s="319">
        <f t="shared" si="67"/>
        <v>0</v>
      </c>
      <c r="BS72" s="319">
        <f t="shared" si="67"/>
        <v>0</v>
      </c>
      <c r="BT72" s="319">
        <f t="shared" si="67"/>
        <v>0</v>
      </c>
      <c r="BU72" s="319">
        <f t="shared" si="67"/>
        <v>0</v>
      </c>
      <c r="BV72" s="319">
        <f t="shared" si="67"/>
        <v>0</v>
      </c>
      <c r="BW72" s="319">
        <f t="shared" si="67"/>
        <v>0</v>
      </c>
      <c r="BX72" s="319">
        <f t="shared" si="67"/>
        <v>0</v>
      </c>
      <c r="BY72" s="319">
        <f t="shared" si="67"/>
        <v>0</v>
      </c>
      <c r="BZ72" s="319">
        <f t="shared" si="67"/>
        <v>0</v>
      </c>
      <c r="CA72" s="319">
        <f t="shared" si="67"/>
        <v>0</v>
      </c>
      <c r="CB72" s="319">
        <f t="shared" si="67"/>
        <v>0</v>
      </c>
      <c r="CC72" s="319">
        <f t="shared" si="67"/>
        <v>0</v>
      </c>
      <c r="CD72" s="319">
        <f t="shared" si="67"/>
        <v>0</v>
      </c>
      <c r="CE72" s="319">
        <f t="shared" si="67"/>
        <v>0</v>
      </c>
      <c r="CF72" s="319">
        <f t="shared" si="67"/>
        <v>0</v>
      </c>
      <c r="CG72" s="319">
        <f t="shared" si="67"/>
        <v>0</v>
      </c>
      <c r="CH72" s="319">
        <f t="shared" si="67"/>
        <v>0</v>
      </c>
      <c r="CI72" s="319">
        <f t="shared" si="67"/>
        <v>0</v>
      </c>
      <c r="CJ72" s="319">
        <f t="shared" si="67"/>
        <v>0</v>
      </c>
      <c r="CK72" s="319">
        <f t="shared" si="67"/>
        <v>0</v>
      </c>
      <c r="CL72" s="319">
        <f t="shared" si="67"/>
        <v>0</v>
      </c>
      <c r="CM72" s="319">
        <f t="shared" si="67"/>
        <v>0</v>
      </c>
      <c r="CN72" s="319">
        <f t="shared" si="67"/>
        <v>0</v>
      </c>
      <c r="CO72" s="319">
        <f t="shared" si="67"/>
        <v>0</v>
      </c>
      <c r="CP72" s="319">
        <f t="shared" si="67"/>
        <v>0</v>
      </c>
      <c r="CQ72" s="319">
        <f t="shared" si="67"/>
        <v>0</v>
      </c>
      <c r="CR72" s="319">
        <f t="shared" si="67"/>
        <v>0</v>
      </c>
      <c r="CS72" s="319">
        <f t="shared" si="67"/>
        <v>0</v>
      </c>
      <c r="CT72" s="319">
        <f t="shared" si="67"/>
        <v>0</v>
      </c>
      <c r="CU72" s="319">
        <f t="shared" si="67"/>
        <v>0</v>
      </c>
      <c r="CV72" s="319">
        <f t="shared" si="67"/>
        <v>0</v>
      </c>
    </row>
    <row r="73" spans="1:100" x14ac:dyDescent="0.25">
      <c r="A73" s="319">
        <f t="shared" si="65"/>
        <v>0</v>
      </c>
      <c r="B73" s="319">
        <f t="shared" si="13"/>
        <v>0</v>
      </c>
      <c r="C73" s="340" t="s">
        <v>1160</v>
      </c>
      <c r="D73" s="341" t="s">
        <v>356</v>
      </c>
      <c r="E73" s="341">
        <v>5</v>
      </c>
      <c r="F73" s="341" t="str">
        <f>IF(AND(E73&lt;CharacterSheet!$V$34,'House Rules'!$B$1="Available",OR('House Rules'!$B$7="Standard",AND('House Rules'!$B$7="Ranked",OR(G72="Yes",G71="Yes")))),"Yes","No")</f>
        <v>No</v>
      </c>
      <c r="G73" s="564" t="s">
        <v>347</v>
      </c>
      <c r="H73" s="333" t="str">
        <f>IF(C73="","",VLOOKUP(C73,Boonref2!A:B,2,FALSE))</f>
        <v>No</v>
      </c>
      <c r="I73" s="333"/>
      <c r="J73" s="333" t="str">
        <f>VLOOKUP(C73,BoonRef!A:Z,17,FALSE)</f>
        <v>Yes</v>
      </c>
      <c r="K73" s="333" t="str">
        <f>IF(J73="God",'House Rules'!$B$2,IF(J73="Demi",'House Rules'!$B$1,IF(J73="Comp",'House Rules'!$B$4,IF(J73="Yaz",'House Rules'!$B$5,IF(J73="Rag",'House Rules'!$B$3,"Available")))))</f>
        <v>Available</v>
      </c>
      <c r="L73" s="333"/>
      <c r="M73" s="333"/>
      <c r="N73" s="340" t="s">
        <v>1125</v>
      </c>
      <c r="O73" s="341" t="s">
        <v>155</v>
      </c>
      <c r="P73" s="341" t="str">
        <f>IF(O73&lt;CharacterSheet!$V$34,"Yes","No")</f>
        <v>No</v>
      </c>
      <c r="Q73" s="341">
        <v>2</v>
      </c>
      <c r="R73" s="344" t="s">
        <v>347</v>
      </c>
      <c r="S73" s="317"/>
      <c r="T73" s="319">
        <f t="shared" si="68"/>
        <v>0</v>
      </c>
      <c r="U73" s="345" t="s">
        <v>2459</v>
      </c>
      <c r="V73" s="341" t="s">
        <v>1113</v>
      </c>
      <c r="W73" s="346" t="s">
        <v>42</v>
      </c>
      <c r="X73" s="341">
        <v>2</v>
      </c>
      <c r="Y73" s="347" t="str">
        <f>IF(AND($D$2="Arete",CharacterSheet!$E$58&gt;2,CharacterSheet!$V$34&gt;X73,'House Rules'!$B$6="Free",'House Rules'!$D$6=W73),"Free",IF(AND($D$2="Arete",CharacterSheet!$E$58&gt;2,CharacterSheet!$V$34&gt;X73,Z72="Yes"),"Yes","No"))</f>
        <v>No</v>
      </c>
      <c r="Z73" s="572" t="s">
        <v>347</v>
      </c>
      <c r="AA73" s="556"/>
      <c r="AB73" s="319">
        <f t="shared" si="69"/>
        <v>0</v>
      </c>
      <c r="AC73" s="345" t="s">
        <v>2559</v>
      </c>
      <c r="AD73" s="341" t="s">
        <v>1113</v>
      </c>
      <c r="AE73" s="346" t="s">
        <v>52</v>
      </c>
      <c r="AF73" s="341">
        <v>2</v>
      </c>
      <c r="AG73" s="347" t="str">
        <f>IF(AND($D$2="Arete",CharacterSheet!$M$58&gt;2,CharacterSheet!$V$34&gt;AF73,'House Rules'!$B$6="Free",'House Rules'!$D$6=AE73),"Free",IF(AND($D$2="Arete",CharacterSheet!$M$58&gt;2,CharacterSheet!$V$34&gt;AF73,AH72="Yes"),"Yes","No"))</f>
        <v>No</v>
      </c>
      <c r="AH73" s="572" t="s">
        <v>347</v>
      </c>
      <c r="BF73" s="319">
        <f t="shared" si="57"/>
        <v>0</v>
      </c>
      <c r="BG73" s="345" t="s">
        <v>2439</v>
      </c>
      <c r="BI73" s="319">
        <f t="shared" si="66"/>
        <v>0</v>
      </c>
      <c r="BJ73" s="319">
        <f t="shared" si="67"/>
        <v>0</v>
      </c>
      <c r="BK73" s="319">
        <f t="shared" si="67"/>
        <v>0</v>
      </c>
      <c r="BL73" s="319">
        <f t="shared" si="67"/>
        <v>0</v>
      </c>
      <c r="BM73" s="319">
        <f t="shared" si="67"/>
        <v>0</v>
      </c>
      <c r="BN73" s="319">
        <f t="shared" si="67"/>
        <v>0</v>
      </c>
      <c r="BO73" s="319">
        <f t="shared" si="67"/>
        <v>0</v>
      </c>
      <c r="BP73" s="319">
        <f t="shared" si="67"/>
        <v>0</v>
      </c>
      <c r="BQ73" s="319">
        <f t="shared" si="67"/>
        <v>0</v>
      </c>
      <c r="BR73" s="319">
        <f t="shared" si="67"/>
        <v>0</v>
      </c>
      <c r="BS73" s="319">
        <f t="shared" si="67"/>
        <v>0</v>
      </c>
      <c r="BT73" s="319">
        <f t="shared" si="67"/>
        <v>0</v>
      </c>
      <c r="BU73" s="319">
        <f t="shared" si="67"/>
        <v>0</v>
      </c>
      <c r="BV73" s="319">
        <f t="shared" si="67"/>
        <v>0</v>
      </c>
      <c r="BW73" s="319">
        <f t="shared" si="67"/>
        <v>0</v>
      </c>
      <c r="BX73" s="319">
        <f t="shared" si="67"/>
        <v>0</v>
      </c>
      <c r="BY73" s="319">
        <f t="shared" si="67"/>
        <v>0</v>
      </c>
      <c r="BZ73" s="319">
        <f t="shared" si="67"/>
        <v>0</v>
      </c>
      <c r="CA73" s="319">
        <f t="shared" si="67"/>
        <v>0</v>
      </c>
      <c r="CB73" s="319">
        <f t="shared" si="67"/>
        <v>0</v>
      </c>
      <c r="CC73" s="319">
        <f t="shared" si="67"/>
        <v>0</v>
      </c>
      <c r="CD73" s="319">
        <f t="shared" si="67"/>
        <v>0</v>
      </c>
      <c r="CE73" s="319">
        <f t="shared" si="67"/>
        <v>0</v>
      </c>
      <c r="CF73" s="319">
        <f t="shared" si="67"/>
        <v>0</v>
      </c>
      <c r="CG73" s="319">
        <f t="shared" si="67"/>
        <v>0</v>
      </c>
      <c r="CH73" s="319">
        <f t="shared" si="67"/>
        <v>0</v>
      </c>
      <c r="CI73" s="319">
        <f t="shared" si="67"/>
        <v>0</v>
      </c>
      <c r="CJ73" s="319">
        <f t="shared" si="67"/>
        <v>0</v>
      </c>
      <c r="CK73" s="319">
        <f t="shared" si="67"/>
        <v>0</v>
      </c>
      <c r="CL73" s="319">
        <f t="shared" si="67"/>
        <v>0</v>
      </c>
      <c r="CM73" s="319">
        <f t="shared" si="67"/>
        <v>0</v>
      </c>
      <c r="CN73" s="319">
        <f t="shared" si="67"/>
        <v>0</v>
      </c>
      <c r="CO73" s="319">
        <f t="shared" si="67"/>
        <v>0</v>
      </c>
      <c r="CP73" s="319">
        <f t="shared" si="67"/>
        <v>0</v>
      </c>
      <c r="CQ73" s="319">
        <f t="shared" si="67"/>
        <v>0</v>
      </c>
      <c r="CR73" s="319">
        <f t="shared" si="67"/>
        <v>0</v>
      </c>
      <c r="CS73" s="319">
        <f t="shared" si="67"/>
        <v>0</v>
      </c>
      <c r="CT73" s="319">
        <f t="shared" si="67"/>
        <v>0</v>
      </c>
      <c r="CU73" s="319">
        <f t="shared" si="67"/>
        <v>0</v>
      </c>
      <c r="CV73" s="319">
        <f t="shared" si="67"/>
        <v>0</v>
      </c>
    </row>
    <row r="74" spans="1:100" x14ac:dyDescent="0.25">
      <c r="A74" s="319">
        <f t="shared" si="65"/>
        <v>0</v>
      </c>
      <c r="B74" s="319">
        <f t="shared" si="13"/>
        <v>0</v>
      </c>
      <c r="C74" s="340" t="s">
        <v>1161</v>
      </c>
      <c r="D74" s="341" t="s">
        <v>356</v>
      </c>
      <c r="E74" s="341">
        <v>6</v>
      </c>
      <c r="F74" s="341" t="str">
        <f>IF(AND(E74&lt;CharacterSheet!$V$34,'House Rules'!$B$1="Available",OR('House Rules'!$B$7="Standard",AND('House Rules'!$B$7="Ranked",G73="Yes"))),"Yes","No")</f>
        <v>No</v>
      </c>
      <c r="G74" s="564" t="s">
        <v>347</v>
      </c>
      <c r="H74" s="333" t="str">
        <f>IF(C74="","",VLOOKUP(C74,Boonref2!A:B,2,FALSE))</f>
        <v>No</v>
      </c>
      <c r="I74" s="333"/>
      <c r="J74" s="333" t="str">
        <f>VLOOKUP(C74,BoonRef!A:Z,17,FALSE)</f>
        <v>Yes</v>
      </c>
      <c r="K74" s="333" t="str">
        <f>IF(J74="God",'House Rules'!$B$2,IF(J74="Demi",'House Rules'!$B$1,IF(J74="Comp",'House Rules'!$B$4,IF(J74="Yaz",'House Rules'!$B$5,IF(J74="Rag",'House Rules'!$B$3,"Available")))))</f>
        <v>Available</v>
      </c>
      <c r="L74" s="333"/>
      <c r="M74" s="333"/>
      <c r="N74" s="340" t="s">
        <v>1126</v>
      </c>
      <c r="O74" s="341" t="s">
        <v>155</v>
      </c>
      <c r="P74" s="341" t="str">
        <f>IF(O74&lt;CharacterSheet!$V$34,"Yes","No")</f>
        <v>No</v>
      </c>
      <c r="Q74" s="341">
        <v>3</v>
      </c>
      <c r="R74" s="344" t="s">
        <v>347</v>
      </c>
      <c r="S74" s="317"/>
      <c r="T74" s="319">
        <f t="shared" si="68"/>
        <v>0</v>
      </c>
      <c r="U74" s="345" t="s">
        <v>2460</v>
      </c>
      <c r="V74" s="341" t="s">
        <v>1114</v>
      </c>
      <c r="W74" s="346" t="s">
        <v>42</v>
      </c>
      <c r="X74" s="341">
        <v>3</v>
      </c>
      <c r="Y74" s="347" t="str">
        <f>IF(AND($D$2="Arete",CharacterSheet!$E$58&gt;2,CharacterSheet!$V$34&gt;X74,'House Rules'!$B$6="Free",'House Rules'!$D$6=W74),"Free",IF(AND($D$2="Arete",CharacterSheet!$E$58&gt;2,CharacterSheet!$V$34&gt;X74,Z73="Yes"),"Yes","No"))</f>
        <v>No</v>
      </c>
      <c r="Z74" s="572" t="s">
        <v>347</v>
      </c>
      <c r="AA74" s="556"/>
      <c r="AB74" s="319">
        <f t="shared" si="69"/>
        <v>0</v>
      </c>
      <c r="AC74" s="345" t="s">
        <v>2560</v>
      </c>
      <c r="AD74" s="341" t="s">
        <v>1114</v>
      </c>
      <c r="AE74" s="346" t="s">
        <v>52</v>
      </c>
      <c r="AF74" s="341">
        <v>3</v>
      </c>
      <c r="AG74" s="347" t="str">
        <f>IF(AND($D$2="Arete",CharacterSheet!$M$58&gt;2,CharacterSheet!$V$34&gt;AF74,'House Rules'!$B$6="Free",'House Rules'!$D$6=AE74),"Free",IF(AND($D$2="Arete",CharacterSheet!$M$58&gt;2,CharacterSheet!$V$34&gt;AF74,AH73="Yes"),"Yes","No"))</f>
        <v>No</v>
      </c>
      <c r="AH74" s="572" t="s">
        <v>347</v>
      </c>
      <c r="BF74" s="319">
        <f t="shared" si="57"/>
        <v>0</v>
      </c>
      <c r="BG74" s="345" t="s">
        <v>2440</v>
      </c>
      <c r="BI74" s="319">
        <f t="shared" si="66"/>
        <v>0</v>
      </c>
      <c r="BJ74" s="319">
        <f t="shared" si="67"/>
        <v>0</v>
      </c>
      <c r="BK74" s="319">
        <f t="shared" si="67"/>
        <v>0</v>
      </c>
      <c r="BL74" s="319">
        <f t="shared" si="67"/>
        <v>0</v>
      </c>
      <c r="BM74" s="319">
        <f t="shared" si="67"/>
        <v>0</v>
      </c>
      <c r="BN74" s="319">
        <f t="shared" si="67"/>
        <v>0</v>
      </c>
      <c r="BO74" s="319">
        <f t="shared" si="67"/>
        <v>0</v>
      </c>
      <c r="BP74" s="319">
        <f t="shared" si="67"/>
        <v>0</v>
      </c>
      <c r="BQ74" s="319">
        <f t="shared" si="67"/>
        <v>0</v>
      </c>
      <c r="BR74" s="319">
        <f t="shared" si="67"/>
        <v>0</v>
      </c>
      <c r="BS74" s="319">
        <f t="shared" si="67"/>
        <v>0</v>
      </c>
      <c r="BT74" s="319">
        <f t="shared" si="67"/>
        <v>0</v>
      </c>
      <c r="BU74" s="319">
        <f t="shared" si="67"/>
        <v>0</v>
      </c>
      <c r="BV74" s="319">
        <f t="shared" si="67"/>
        <v>0</v>
      </c>
      <c r="BW74" s="319">
        <f t="shared" si="67"/>
        <v>0</v>
      </c>
      <c r="BX74" s="319">
        <f t="shared" si="67"/>
        <v>0</v>
      </c>
      <c r="BY74" s="319">
        <f t="shared" si="67"/>
        <v>0</v>
      </c>
      <c r="BZ74" s="319">
        <f t="shared" si="67"/>
        <v>0</v>
      </c>
      <c r="CA74" s="319">
        <f t="shared" si="67"/>
        <v>0</v>
      </c>
      <c r="CB74" s="319">
        <f t="shared" si="67"/>
        <v>0</v>
      </c>
      <c r="CC74" s="319">
        <f t="shared" si="67"/>
        <v>0</v>
      </c>
      <c r="CD74" s="319">
        <f t="shared" si="67"/>
        <v>0</v>
      </c>
      <c r="CE74" s="319">
        <f t="shared" si="67"/>
        <v>0</v>
      </c>
      <c r="CF74" s="319">
        <f t="shared" si="67"/>
        <v>0</v>
      </c>
      <c r="CG74" s="319">
        <f t="shared" si="67"/>
        <v>0</v>
      </c>
      <c r="CH74" s="319">
        <f t="shared" si="67"/>
        <v>0</v>
      </c>
      <c r="CI74" s="319">
        <f t="shared" si="67"/>
        <v>0</v>
      </c>
      <c r="CJ74" s="319">
        <f t="shared" si="67"/>
        <v>0</v>
      </c>
      <c r="CK74" s="319">
        <f t="shared" ref="BJ74:CV81" si="70">IF(AND($D74=CK$1,$G74="Yes"),$E74,0)</f>
        <v>0</v>
      </c>
      <c r="CL74" s="319">
        <f t="shared" si="70"/>
        <v>0</v>
      </c>
      <c r="CM74" s="319">
        <f t="shared" si="70"/>
        <v>0</v>
      </c>
      <c r="CN74" s="319">
        <f t="shared" si="70"/>
        <v>0</v>
      </c>
      <c r="CO74" s="319">
        <f t="shared" si="70"/>
        <v>0</v>
      </c>
      <c r="CP74" s="319">
        <f t="shared" si="70"/>
        <v>0</v>
      </c>
      <c r="CQ74" s="319">
        <f t="shared" si="70"/>
        <v>0</v>
      </c>
      <c r="CR74" s="319">
        <f t="shared" si="70"/>
        <v>0</v>
      </c>
      <c r="CS74" s="319">
        <f t="shared" si="70"/>
        <v>0</v>
      </c>
      <c r="CT74" s="319">
        <f t="shared" si="70"/>
        <v>0</v>
      </c>
      <c r="CU74" s="319">
        <f t="shared" si="70"/>
        <v>0</v>
      </c>
      <c r="CV74" s="319">
        <f t="shared" si="70"/>
        <v>0</v>
      </c>
    </row>
    <row r="75" spans="1:100" x14ac:dyDescent="0.25">
      <c r="A75" s="319">
        <f t="shared" si="65"/>
        <v>0</v>
      </c>
      <c r="B75" s="319">
        <f t="shared" si="13"/>
        <v>0</v>
      </c>
      <c r="C75" s="340" t="s">
        <v>1388</v>
      </c>
      <c r="D75" s="341" t="s">
        <v>356</v>
      </c>
      <c r="E75" s="341">
        <v>7</v>
      </c>
      <c r="F75" s="341" t="str">
        <f>IF(AND(E75&lt;CharacterSheet!$V$34,'House Rules'!$B$4="Available",OR('House Rules'!$B$7="Standard",AND('House Rules'!$B$7="Ranked",G74="Yes"))),"Yes","No")</f>
        <v>No</v>
      </c>
      <c r="G75" s="564" t="s">
        <v>347</v>
      </c>
      <c r="H75" s="333" t="str">
        <f>IF(C75="","",VLOOKUP(C75,Boonref2!A:B,2,FALSE))</f>
        <v>Yes</v>
      </c>
      <c r="I75" s="333"/>
      <c r="J75" s="333" t="str">
        <f>VLOOKUP(C75,BoonRef!A:Z,17,FALSE)</f>
        <v>Yes</v>
      </c>
      <c r="K75" s="333" t="str">
        <f>IF(J75="God",'House Rules'!$B$2,IF(J75="Demi",'House Rules'!$B$1,IF(J75="Comp",'House Rules'!$B$4,IF(J75="Yaz",'House Rules'!$B$5,IF(J75="Rag",'House Rules'!$B$3,"Available")))))</f>
        <v>Available</v>
      </c>
      <c r="L75" s="333"/>
      <c r="M75" s="333"/>
      <c r="N75" s="340" t="s">
        <v>1223</v>
      </c>
      <c r="O75" s="341" t="s">
        <v>155</v>
      </c>
      <c r="P75" s="341" t="str">
        <f>IF(O75&lt;CharacterSheet!$V$34,"Yes","No")</f>
        <v>No</v>
      </c>
      <c r="Q75" s="341">
        <v>4</v>
      </c>
      <c r="R75" s="344" t="s">
        <v>347</v>
      </c>
      <c r="S75" s="317"/>
      <c r="T75" s="319">
        <f t="shared" si="68"/>
        <v>0</v>
      </c>
      <c r="U75" s="345" t="s">
        <v>2461</v>
      </c>
      <c r="V75" s="341" t="s">
        <v>1207</v>
      </c>
      <c r="W75" s="346" t="s">
        <v>42</v>
      </c>
      <c r="X75" s="341">
        <v>4</v>
      </c>
      <c r="Y75" s="347" t="str">
        <f>IF(AND($D$2="Arete",CharacterSheet!$E$58&gt;2,CharacterSheet!$V$34&gt;X75,'House Rules'!$B$6="Free",'House Rules'!$D$6=W75),"Free",IF(AND($D$2="Arete",CharacterSheet!$E$58&gt;2,CharacterSheet!$V$34&gt;X75,Z74="Yes"),"Yes","No"))</f>
        <v>No</v>
      </c>
      <c r="Z75" s="572" t="s">
        <v>347</v>
      </c>
      <c r="AA75" s="556"/>
      <c r="AB75" s="319">
        <f t="shared" si="69"/>
        <v>0</v>
      </c>
      <c r="AC75" s="345" t="s">
        <v>2561</v>
      </c>
      <c r="AD75" s="341" t="s">
        <v>1207</v>
      </c>
      <c r="AE75" s="346" t="s">
        <v>52</v>
      </c>
      <c r="AF75" s="341">
        <v>4</v>
      </c>
      <c r="AG75" s="347" t="str">
        <f>IF(AND($D$2="Arete",CharacterSheet!$M$58&gt;2,CharacterSheet!$V$34&gt;AF75,'House Rules'!$B$6="Free",'House Rules'!$D$6=AE75),"Free",IF(AND($D$2="Arete",CharacterSheet!$M$58&gt;2,CharacterSheet!$V$34&gt;AF75,AH74="Yes"),"Yes","No"))</f>
        <v>No</v>
      </c>
      <c r="AH75" s="572" t="s">
        <v>347</v>
      </c>
      <c r="BF75" s="319">
        <f t="shared" si="57"/>
        <v>0</v>
      </c>
      <c r="BG75" s="345" t="s">
        <v>2441</v>
      </c>
      <c r="BI75" s="319">
        <f t="shared" si="66"/>
        <v>0</v>
      </c>
      <c r="BJ75" s="319">
        <f t="shared" si="70"/>
        <v>0</v>
      </c>
      <c r="BK75" s="319">
        <f t="shared" si="70"/>
        <v>0</v>
      </c>
      <c r="BL75" s="319">
        <f t="shared" si="70"/>
        <v>0</v>
      </c>
      <c r="BM75" s="319">
        <f t="shared" si="70"/>
        <v>0</v>
      </c>
      <c r="BN75" s="319">
        <f t="shared" si="70"/>
        <v>0</v>
      </c>
      <c r="BO75" s="319">
        <f t="shared" si="70"/>
        <v>0</v>
      </c>
      <c r="BP75" s="319">
        <f t="shared" si="70"/>
        <v>0</v>
      </c>
      <c r="BQ75" s="319">
        <f t="shared" si="70"/>
        <v>0</v>
      </c>
      <c r="BR75" s="319">
        <f t="shared" si="70"/>
        <v>0</v>
      </c>
      <c r="BS75" s="319">
        <f t="shared" si="70"/>
        <v>0</v>
      </c>
      <c r="BT75" s="319">
        <f t="shared" si="70"/>
        <v>0</v>
      </c>
      <c r="BU75" s="319">
        <f t="shared" si="70"/>
        <v>0</v>
      </c>
      <c r="BV75" s="319">
        <f t="shared" si="70"/>
        <v>0</v>
      </c>
      <c r="BW75" s="319">
        <f t="shared" si="70"/>
        <v>0</v>
      </c>
      <c r="BX75" s="319">
        <f t="shared" si="70"/>
        <v>0</v>
      </c>
      <c r="BY75" s="319">
        <f t="shared" si="70"/>
        <v>0</v>
      </c>
      <c r="BZ75" s="319">
        <f t="shared" si="70"/>
        <v>0</v>
      </c>
      <c r="CA75" s="319">
        <f t="shared" si="70"/>
        <v>0</v>
      </c>
      <c r="CB75" s="319">
        <f t="shared" si="70"/>
        <v>0</v>
      </c>
      <c r="CC75" s="319">
        <f t="shared" si="70"/>
        <v>0</v>
      </c>
      <c r="CD75" s="319">
        <f t="shared" si="70"/>
        <v>0</v>
      </c>
      <c r="CE75" s="319">
        <f t="shared" si="70"/>
        <v>0</v>
      </c>
      <c r="CF75" s="319">
        <f t="shared" si="70"/>
        <v>0</v>
      </c>
      <c r="CG75" s="319">
        <f t="shared" si="70"/>
        <v>0</v>
      </c>
      <c r="CH75" s="319">
        <f t="shared" si="70"/>
        <v>0</v>
      </c>
      <c r="CI75" s="319">
        <f t="shared" si="70"/>
        <v>0</v>
      </c>
      <c r="CJ75" s="319">
        <f t="shared" si="70"/>
        <v>0</v>
      </c>
      <c r="CK75" s="319">
        <f t="shared" si="70"/>
        <v>0</v>
      </c>
      <c r="CL75" s="319">
        <f t="shared" si="70"/>
        <v>0</v>
      </c>
      <c r="CM75" s="319">
        <f t="shared" si="70"/>
        <v>0</v>
      </c>
      <c r="CN75" s="319">
        <f t="shared" si="70"/>
        <v>0</v>
      </c>
      <c r="CO75" s="319">
        <f t="shared" si="70"/>
        <v>0</v>
      </c>
      <c r="CP75" s="319">
        <f t="shared" si="70"/>
        <v>0</v>
      </c>
      <c r="CQ75" s="319">
        <f t="shared" si="70"/>
        <v>0</v>
      </c>
      <c r="CR75" s="319">
        <f t="shared" si="70"/>
        <v>0</v>
      </c>
      <c r="CS75" s="319">
        <f t="shared" si="70"/>
        <v>0</v>
      </c>
      <c r="CT75" s="319">
        <f t="shared" si="70"/>
        <v>0</v>
      </c>
      <c r="CU75" s="319">
        <f t="shared" si="70"/>
        <v>0</v>
      </c>
      <c r="CV75" s="319">
        <f t="shared" si="70"/>
        <v>0</v>
      </c>
    </row>
    <row r="76" spans="1:100" x14ac:dyDescent="0.25">
      <c r="A76" s="319">
        <f t="shared" si="65"/>
        <v>0</v>
      </c>
      <c r="B76" s="319">
        <f t="shared" si="13"/>
        <v>0</v>
      </c>
      <c r="C76" s="340" t="s">
        <v>1162</v>
      </c>
      <c r="D76" s="341" t="s">
        <v>356</v>
      </c>
      <c r="E76" s="341">
        <v>7</v>
      </c>
      <c r="F76" s="341" t="str">
        <f>IF(AND(E76&lt;CharacterSheet!$V$34,'House Rules'!$B$1="Available",OR('House Rules'!$B$7="Standard",AND('House Rules'!$B$7="Ranked",G74="Yes"))),"Yes","No")</f>
        <v>No</v>
      </c>
      <c r="G76" s="564" t="s">
        <v>347</v>
      </c>
      <c r="H76" s="333" t="str">
        <f>IF(C76="","",VLOOKUP(C76,Boonref2!A:B,2,FALSE))</f>
        <v>Yes</v>
      </c>
      <c r="I76" s="333"/>
      <c r="J76" s="333" t="str">
        <f>VLOOKUP(C76,BoonRef!A:Z,17,FALSE)</f>
        <v>Yes</v>
      </c>
      <c r="K76" s="333" t="str">
        <f>IF(J76="God",'House Rules'!$B$2,IF(J76="Demi",'House Rules'!$B$1,IF(J76="Comp",'House Rules'!$B$4,IF(J76="Yaz",'House Rules'!$B$5,IF(J76="Rag",'House Rules'!$B$3,"Available")))))</f>
        <v>Available</v>
      </c>
      <c r="L76" s="333"/>
      <c r="M76" s="333"/>
      <c r="N76" s="340" t="s">
        <v>1224</v>
      </c>
      <c r="O76" s="341" t="s">
        <v>155</v>
      </c>
      <c r="P76" s="341" t="str">
        <f>IF(O76&lt;CharacterSheet!$V$34,"Yes","No")</f>
        <v>No</v>
      </c>
      <c r="Q76" s="341">
        <v>5</v>
      </c>
      <c r="R76" s="344" t="s">
        <v>347</v>
      </c>
      <c r="S76" s="317"/>
      <c r="T76" s="319">
        <f t="shared" si="68"/>
        <v>0</v>
      </c>
      <c r="U76" s="345" t="s">
        <v>2462</v>
      </c>
      <c r="V76" s="341" t="s">
        <v>1208</v>
      </c>
      <c r="W76" s="346" t="s">
        <v>42</v>
      </c>
      <c r="X76" s="341">
        <v>5</v>
      </c>
      <c r="Y76" s="347" t="str">
        <f>IF(AND($D$2="Arete",CharacterSheet!$E$58&gt;2,CharacterSheet!$V$34&gt;X76,'House Rules'!$B$6="Free",'House Rules'!$D$6=W76),"Free",IF(AND($D$2="Arete",CharacterSheet!$E$58&gt;2,CharacterSheet!$V$34&gt;X76,Z75="Yes"),"Yes","No"))</f>
        <v>No</v>
      </c>
      <c r="Z76" s="572" t="s">
        <v>347</v>
      </c>
      <c r="AA76" s="556"/>
      <c r="AB76" s="319">
        <f t="shared" si="69"/>
        <v>0</v>
      </c>
      <c r="AC76" s="345" t="s">
        <v>2562</v>
      </c>
      <c r="AD76" s="341" t="s">
        <v>1208</v>
      </c>
      <c r="AE76" s="346" t="s">
        <v>52</v>
      </c>
      <c r="AF76" s="341">
        <v>5</v>
      </c>
      <c r="AG76" s="347" t="str">
        <f>IF(AND($D$2="Arete",CharacterSheet!$M$58&gt;2,CharacterSheet!$V$34&gt;AF76,'House Rules'!$B$6="Free",'House Rules'!$D$6=AE76),"Free",IF(AND($D$2="Arete",CharacterSheet!$M$58&gt;2,CharacterSheet!$V$34&gt;AF76,AH75="Yes"),"Yes","No"))</f>
        <v>No</v>
      </c>
      <c r="AH76" s="572" t="s">
        <v>347</v>
      </c>
      <c r="BF76" s="319">
        <f t="shared" si="57"/>
        <v>0</v>
      </c>
      <c r="BG76" s="345" t="s">
        <v>2442</v>
      </c>
      <c r="BI76" s="319">
        <f t="shared" si="66"/>
        <v>0</v>
      </c>
      <c r="BJ76" s="319">
        <f t="shared" si="70"/>
        <v>0</v>
      </c>
      <c r="BK76" s="319">
        <f t="shared" si="70"/>
        <v>0</v>
      </c>
      <c r="BL76" s="319">
        <f t="shared" si="70"/>
        <v>0</v>
      </c>
      <c r="BM76" s="319">
        <f t="shared" si="70"/>
        <v>0</v>
      </c>
      <c r="BN76" s="319">
        <f t="shared" si="70"/>
        <v>0</v>
      </c>
      <c r="BO76" s="319">
        <f t="shared" si="70"/>
        <v>0</v>
      </c>
      <c r="BP76" s="319">
        <f t="shared" si="70"/>
        <v>0</v>
      </c>
      <c r="BQ76" s="319">
        <f t="shared" si="70"/>
        <v>0</v>
      </c>
      <c r="BR76" s="319">
        <f t="shared" si="70"/>
        <v>0</v>
      </c>
      <c r="BS76" s="319">
        <f t="shared" si="70"/>
        <v>0</v>
      </c>
      <c r="BT76" s="319">
        <f t="shared" si="70"/>
        <v>0</v>
      </c>
      <c r="BU76" s="319">
        <f t="shared" si="70"/>
        <v>0</v>
      </c>
      <c r="BV76" s="319">
        <f t="shared" si="70"/>
        <v>0</v>
      </c>
      <c r="BW76" s="319">
        <f t="shared" si="70"/>
        <v>0</v>
      </c>
      <c r="BX76" s="319">
        <f t="shared" si="70"/>
        <v>0</v>
      </c>
      <c r="BY76" s="319">
        <f t="shared" si="70"/>
        <v>0</v>
      </c>
      <c r="BZ76" s="319">
        <f t="shared" si="70"/>
        <v>0</v>
      </c>
      <c r="CA76" s="319">
        <f t="shared" si="70"/>
        <v>0</v>
      </c>
      <c r="CB76" s="319">
        <f t="shared" si="70"/>
        <v>0</v>
      </c>
      <c r="CC76" s="319">
        <f t="shared" si="70"/>
        <v>0</v>
      </c>
      <c r="CD76" s="319">
        <f t="shared" si="70"/>
        <v>0</v>
      </c>
      <c r="CE76" s="319">
        <f t="shared" si="70"/>
        <v>0</v>
      </c>
      <c r="CF76" s="319">
        <f t="shared" si="70"/>
        <v>0</v>
      </c>
      <c r="CG76" s="319">
        <f t="shared" si="70"/>
        <v>0</v>
      </c>
      <c r="CH76" s="319">
        <f t="shared" si="70"/>
        <v>0</v>
      </c>
      <c r="CI76" s="319">
        <f t="shared" si="70"/>
        <v>0</v>
      </c>
      <c r="CJ76" s="319">
        <f t="shared" si="70"/>
        <v>0</v>
      </c>
      <c r="CK76" s="319">
        <f t="shared" si="70"/>
        <v>0</v>
      </c>
      <c r="CL76" s="319">
        <f t="shared" si="70"/>
        <v>0</v>
      </c>
      <c r="CM76" s="319">
        <f t="shared" si="70"/>
        <v>0</v>
      </c>
      <c r="CN76" s="319">
        <f t="shared" si="70"/>
        <v>0</v>
      </c>
      <c r="CO76" s="319">
        <f t="shared" si="70"/>
        <v>0</v>
      </c>
      <c r="CP76" s="319">
        <f t="shared" si="70"/>
        <v>0</v>
      </c>
      <c r="CQ76" s="319">
        <f t="shared" si="70"/>
        <v>0</v>
      </c>
      <c r="CR76" s="319">
        <f t="shared" si="70"/>
        <v>0</v>
      </c>
      <c r="CS76" s="319">
        <f t="shared" si="70"/>
        <v>0</v>
      </c>
      <c r="CT76" s="319">
        <f t="shared" si="70"/>
        <v>0</v>
      </c>
      <c r="CU76" s="319">
        <f t="shared" si="70"/>
        <v>0</v>
      </c>
      <c r="CV76" s="319">
        <f t="shared" si="70"/>
        <v>0</v>
      </c>
    </row>
    <row r="77" spans="1:100" x14ac:dyDescent="0.25">
      <c r="A77" s="319">
        <f t="shared" si="65"/>
        <v>0</v>
      </c>
      <c r="B77" s="319">
        <f t="shared" ref="B77:B140" si="71">IF(G77="Yes",B76+1,B76)</f>
        <v>0</v>
      </c>
      <c r="C77" s="340" t="s">
        <v>1259</v>
      </c>
      <c r="D77" s="341" t="s">
        <v>356</v>
      </c>
      <c r="E77" s="341">
        <v>8</v>
      </c>
      <c r="F77" s="341" t="str">
        <f>IF(AND(E77&lt;CharacterSheet!$V$34,'House Rules'!$B$2="available",OR('House Rules'!$B$7="Standard",AND('House Rules'!$B$7="Ranked",OR(G76="Yes",G75="Yes")))),"Yes","No")</f>
        <v>No</v>
      </c>
      <c r="G77" s="564" t="s">
        <v>347</v>
      </c>
      <c r="H77" s="333" t="str">
        <f>IF(C77="","",VLOOKUP(C77,Boonref2!A:B,2,FALSE))</f>
        <v>Yes</v>
      </c>
      <c r="I77" s="333"/>
      <c r="J77" s="333" t="str">
        <f>VLOOKUP(C77,BoonRef!A:Z,17,FALSE)</f>
        <v>Yes</v>
      </c>
      <c r="K77" s="333" t="str">
        <f>IF(J77="God",'House Rules'!$B$2,IF(J77="Demi",'House Rules'!$B$1,IF(J77="Comp",'House Rules'!$B$4,IF(J77="Yaz",'House Rules'!$B$5,IF(J77="Rag",'House Rules'!$B$3,"Available")))))</f>
        <v>Available</v>
      </c>
      <c r="L77" s="333"/>
      <c r="M77" s="333"/>
      <c r="N77" s="340" t="s">
        <v>1225</v>
      </c>
      <c r="O77" s="341" t="s">
        <v>155</v>
      </c>
      <c r="P77" s="341" t="str">
        <f>IF(O77&lt;CharacterSheet!$V$34,"Yes","No")</f>
        <v>No</v>
      </c>
      <c r="Q77" s="341">
        <v>6</v>
      </c>
      <c r="R77" s="344" t="s">
        <v>347</v>
      </c>
      <c r="S77" s="317"/>
      <c r="T77" s="319">
        <f t="shared" si="68"/>
        <v>0</v>
      </c>
      <c r="U77" s="345" t="s">
        <v>2463</v>
      </c>
      <c r="V77" s="341" t="s">
        <v>1209</v>
      </c>
      <c r="W77" s="346" t="s">
        <v>42</v>
      </c>
      <c r="X77" s="341">
        <v>6</v>
      </c>
      <c r="Y77" s="347" t="str">
        <f>IF(AND($D$2="Arete",CharacterSheet!$E$58&gt;2,CharacterSheet!$V$34&gt;X77,'House Rules'!$B$6="Free",'House Rules'!$D$6=W77),"Free",IF(AND($D$2="Arete",CharacterSheet!$E$58&gt;2,CharacterSheet!$V$34&gt;X77,Z76="Yes"),"Yes","No"))</f>
        <v>No</v>
      </c>
      <c r="Z77" s="572" t="s">
        <v>347</v>
      </c>
      <c r="AA77" s="556"/>
      <c r="AB77" s="319">
        <f t="shared" si="69"/>
        <v>0</v>
      </c>
      <c r="AC77" s="345" t="s">
        <v>2563</v>
      </c>
      <c r="AD77" s="341" t="s">
        <v>1209</v>
      </c>
      <c r="AE77" s="346" t="s">
        <v>52</v>
      </c>
      <c r="AF77" s="341">
        <v>6</v>
      </c>
      <c r="AG77" s="347" t="str">
        <f>IF(AND($D$2="Arete",CharacterSheet!$M$58&gt;2,CharacterSheet!$V$34&gt;AF77,'House Rules'!$B$6="Free",'House Rules'!$D$6=AE77),"Free",IF(AND($D$2="Arete",CharacterSheet!$M$58&gt;2,CharacterSheet!$V$34&gt;AF77,AH76="Yes"),"Yes","No"))</f>
        <v>No</v>
      </c>
      <c r="AH77" s="572" t="s">
        <v>347</v>
      </c>
      <c r="BF77" s="319">
        <f t="shared" si="57"/>
        <v>0</v>
      </c>
      <c r="BG77" s="345" t="s">
        <v>2443</v>
      </c>
      <c r="BI77" s="319">
        <f t="shared" si="66"/>
        <v>0</v>
      </c>
      <c r="BJ77" s="319">
        <f t="shared" si="70"/>
        <v>0</v>
      </c>
      <c r="BK77" s="319">
        <f t="shared" si="70"/>
        <v>0</v>
      </c>
      <c r="BL77" s="319">
        <f t="shared" si="70"/>
        <v>0</v>
      </c>
      <c r="BM77" s="319">
        <f t="shared" si="70"/>
        <v>0</v>
      </c>
      <c r="BN77" s="319">
        <f t="shared" si="70"/>
        <v>0</v>
      </c>
      <c r="BO77" s="319">
        <f t="shared" si="70"/>
        <v>0</v>
      </c>
      <c r="BP77" s="319">
        <f t="shared" si="70"/>
        <v>0</v>
      </c>
      <c r="BQ77" s="319">
        <f t="shared" si="70"/>
        <v>0</v>
      </c>
      <c r="BR77" s="319">
        <f t="shared" si="70"/>
        <v>0</v>
      </c>
      <c r="BS77" s="319">
        <f t="shared" si="70"/>
        <v>0</v>
      </c>
      <c r="BT77" s="319">
        <f t="shared" si="70"/>
        <v>0</v>
      </c>
      <c r="BU77" s="319">
        <f t="shared" si="70"/>
        <v>0</v>
      </c>
      <c r="BV77" s="319">
        <f t="shared" si="70"/>
        <v>0</v>
      </c>
      <c r="BW77" s="319">
        <f t="shared" si="70"/>
        <v>0</v>
      </c>
      <c r="BX77" s="319">
        <f t="shared" si="70"/>
        <v>0</v>
      </c>
      <c r="BY77" s="319">
        <f t="shared" si="70"/>
        <v>0</v>
      </c>
      <c r="BZ77" s="319">
        <f t="shared" si="70"/>
        <v>0</v>
      </c>
      <c r="CA77" s="319">
        <f t="shared" si="70"/>
        <v>0</v>
      </c>
      <c r="CB77" s="319">
        <f t="shared" si="70"/>
        <v>0</v>
      </c>
      <c r="CC77" s="319">
        <f t="shared" si="70"/>
        <v>0</v>
      </c>
      <c r="CD77" s="319">
        <f t="shared" si="70"/>
        <v>0</v>
      </c>
      <c r="CE77" s="319">
        <f t="shared" si="70"/>
        <v>0</v>
      </c>
      <c r="CF77" s="319">
        <f t="shared" si="70"/>
        <v>0</v>
      </c>
      <c r="CG77" s="319">
        <f t="shared" si="70"/>
        <v>0</v>
      </c>
      <c r="CH77" s="319">
        <f t="shared" si="70"/>
        <v>0</v>
      </c>
      <c r="CI77" s="319">
        <f t="shared" si="70"/>
        <v>0</v>
      </c>
      <c r="CJ77" s="319">
        <f t="shared" si="70"/>
        <v>0</v>
      </c>
      <c r="CK77" s="319">
        <f t="shared" si="70"/>
        <v>0</v>
      </c>
      <c r="CL77" s="319">
        <f t="shared" si="70"/>
        <v>0</v>
      </c>
      <c r="CM77" s="319">
        <f t="shared" si="70"/>
        <v>0</v>
      </c>
      <c r="CN77" s="319">
        <f t="shared" si="70"/>
        <v>0</v>
      </c>
      <c r="CO77" s="319">
        <f t="shared" si="70"/>
        <v>0</v>
      </c>
      <c r="CP77" s="319">
        <f t="shared" si="70"/>
        <v>0</v>
      </c>
      <c r="CQ77" s="319">
        <f t="shared" si="70"/>
        <v>0</v>
      </c>
      <c r="CR77" s="319">
        <f t="shared" si="70"/>
        <v>0</v>
      </c>
      <c r="CS77" s="319">
        <f t="shared" si="70"/>
        <v>0</v>
      </c>
      <c r="CT77" s="319">
        <f t="shared" si="70"/>
        <v>0</v>
      </c>
      <c r="CU77" s="319">
        <f t="shared" si="70"/>
        <v>0</v>
      </c>
      <c r="CV77" s="319">
        <f t="shared" si="70"/>
        <v>0</v>
      </c>
    </row>
    <row r="78" spans="1:100" x14ac:dyDescent="0.25">
      <c r="A78" s="319">
        <f t="shared" si="65"/>
        <v>0</v>
      </c>
      <c r="B78" s="319">
        <f t="shared" si="71"/>
        <v>0</v>
      </c>
      <c r="C78" s="340" t="s">
        <v>2632</v>
      </c>
      <c r="D78" s="341" t="s">
        <v>356</v>
      </c>
      <c r="E78" s="341">
        <v>8</v>
      </c>
      <c r="F78" s="341" t="str">
        <f>IF(AND(E77&lt;CharacterSheet!$V$34,'House Rules'!$B$3="Available",OR('House Rules'!$B$7="Standard",AND('House Rules'!$B$7="Ranked",OR(G76="Yes",G75="Yes")))),"Yes","No")</f>
        <v>No</v>
      </c>
      <c r="G78" s="564" t="s">
        <v>347</v>
      </c>
      <c r="H78" s="333" t="str">
        <f>IF(C78="","",VLOOKUP(C78,Boonref2!A:B,2,FALSE))</f>
        <v>Yes</v>
      </c>
      <c r="I78" s="333"/>
      <c r="J78" s="333" t="str">
        <f>VLOOKUP(C78,BoonRef!A:Z,17,FALSE)</f>
        <v>Yes</v>
      </c>
      <c r="K78" s="333" t="str">
        <f>IF(J78="God",'House Rules'!$B$2,IF(J78="Demi",'House Rules'!$B$1,IF(J78="Comp",'House Rules'!$B$4,IF(J78="Yaz",'House Rules'!$B$5,IF(J78="Rag",'House Rules'!$B$3,"Available")))))</f>
        <v>Available</v>
      </c>
      <c r="L78" s="333"/>
      <c r="M78" s="333"/>
      <c r="N78" s="340" t="s">
        <v>1226</v>
      </c>
      <c r="O78" s="341" t="s">
        <v>155</v>
      </c>
      <c r="P78" s="341" t="str">
        <f>IF(O78&lt;CharacterSheet!$V$34,"Yes","No")</f>
        <v>No</v>
      </c>
      <c r="Q78" s="341">
        <v>7</v>
      </c>
      <c r="R78" s="344" t="s">
        <v>347</v>
      </c>
      <c r="S78" s="317"/>
      <c r="T78" s="319">
        <f t="shared" si="68"/>
        <v>0</v>
      </c>
      <c r="U78" s="345" t="s">
        <v>2464</v>
      </c>
      <c r="V78" s="341" t="s">
        <v>1210</v>
      </c>
      <c r="W78" s="346" t="s">
        <v>42</v>
      </c>
      <c r="X78" s="341">
        <v>7</v>
      </c>
      <c r="Y78" s="347" t="str">
        <f>IF(AND($D$2="Arete",CharacterSheet!$E$58&gt;2,CharacterSheet!$V$34&gt;X78,'House Rules'!$B$6="Free",'House Rules'!$D$6=W78),"Free",IF(AND($D$2="Arete",CharacterSheet!$E$58&gt;2,CharacterSheet!$V$34&gt;X78,Z77="Yes"),"Yes","No"))</f>
        <v>No</v>
      </c>
      <c r="Z78" s="572" t="s">
        <v>347</v>
      </c>
      <c r="AA78" s="556"/>
      <c r="AB78" s="319">
        <f t="shared" si="69"/>
        <v>0</v>
      </c>
      <c r="AC78" s="345" t="s">
        <v>2564</v>
      </c>
      <c r="AD78" s="341" t="s">
        <v>1210</v>
      </c>
      <c r="AE78" s="346" t="s">
        <v>52</v>
      </c>
      <c r="AF78" s="341">
        <v>7</v>
      </c>
      <c r="AG78" s="347" t="str">
        <f>IF(AND($D$2="Arete",CharacterSheet!$M$58&gt;2,CharacterSheet!$V$34&gt;AF78,'House Rules'!$B$6="Free",'House Rules'!$D$6=AE78),"Free",IF(AND($D$2="Arete",CharacterSheet!$M$58&gt;2,CharacterSheet!$V$34&gt;AF78,AH77="Yes"),"Yes","No"))</f>
        <v>No</v>
      </c>
      <c r="AH78" s="572" t="s">
        <v>347</v>
      </c>
      <c r="BF78" s="319">
        <f t="shared" si="57"/>
        <v>0</v>
      </c>
      <c r="BG78" s="345" t="s">
        <v>2444</v>
      </c>
      <c r="BI78" s="319">
        <f t="shared" si="66"/>
        <v>0</v>
      </c>
      <c r="BJ78" s="319">
        <f t="shared" si="70"/>
        <v>0</v>
      </c>
      <c r="BK78" s="319">
        <f t="shared" si="70"/>
        <v>0</v>
      </c>
      <c r="BL78" s="319">
        <f t="shared" si="70"/>
        <v>0</v>
      </c>
      <c r="BM78" s="319">
        <f t="shared" si="70"/>
        <v>0</v>
      </c>
      <c r="BN78" s="319">
        <f t="shared" si="70"/>
        <v>0</v>
      </c>
      <c r="BO78" s="319">
        <f t="shared" si="70"/>
        <v>0</v>
      </c>
      <c r="BP78" s="319">
        <f t="shared" si="70"/>
        <v>0</v>
      </c>
      <c r="BQ78" s="319">
        <f t="shared" si="70"/>
        <v>0</v>
      </c>
      <c r="BR78" s="319">
        <f t="shared" si="70"/>
        <v>0</v>
      </c>
      <c r="BS78" s="319">
        <f t="shared" si="70"/>
        <v>0</v>
      </c>
      <c r="BT78" s="319">
        <f t="shared" si="70"/>
        <v>0</v>
      </c>
      <c r="BU78" s="319">
        <f t="shared" si="70"/>
        <v>0</v>
      </c>
      <c r="BV78" s="319">
        <f t="shared" si="70"/>
        <v>0</v>
      </c>
      <c r="BW78" s="319">
        <f t="shared" si="70"/>
        <v>0</v>
      </c>
      <c r="BX78" s="319">
        <f t="shared" si="70"/>
        <v>0</v>
      </c>
      <c r="BY78" s="319">
        <f t="shared" si="70"/>
        <v>0</v>
      </c>
      <c r="BZ78" s="319">
        <f t="shared" si="70"/>
        <v>0</v>
      </c>
      <c r="CA78" s="319">
        <f t="shared" si="70"/>
        <v>0</v>
      </c>
      <c r="CB78" s="319">
        <f t="shared" si="70"/>
        <v>0</v>
      </c>
      <c r="CC78" s="319">
        <f t="shared" si="70"/>
        <v>0</v>
      </c>
      <c r="CD78" s="319">
        <f t="shared" si="70"/>
        <v>0</v>
      </c>
      <c r="CE78" s="319">
        <f t="shared" si="70"/>
        <v>0</v>
      </c>
      <c r="CF78" s="319">
        <f t="shared" si="70"/>
        <v>0</v>
      </c>
      <c r="CG78" s="319">
        <f t="shared" si="70"/>
        <v>0</v>
      </c>
      <c r="CH78" s="319">
        <f t="shared" si="70"/>
        <v>0</v>
      </c>
      <c r="CI78" s="319">
        <f t="shared" si="70"/>
        <v>0</v>
      </c>
      <c r="CJ78" s="319">
        <f t="shared" si="70"/>
        <v>0</v>
      </c>
      <c r="CK78" s="319">
        <f t="shared" si="70"/>
        <v>0</v>
      </c>
      <c r="CL78" s="319">
        <f t="shared" si="70"/>
        <v>0</v>
      </c>
      <c r="CM78" s="319">
        <f t="shared" si="70"/>
        <v>0</v>
      </c>
      <c r="CN78" s="319">
        <f t="shared" si="70"/>
        <v>0</v>
      </c>
      <c r="CO78" s="319">
        <f t="shared" si="70"/>
        <v>0</v>
      </c>
      <c r="CP78" s="319">
        <f t="shared" si="70"/>
        <v>0</v>
      </c>
      <c r="CQ78" s="319">
        <f t="shared" si="70"/>
        <v>0</v>
      </c>
      <c r="CR78" s="319">
        <f t="shared" si="70"/>
        <v>0</v>
      </c>
      <c r="CS78" s="319">
        <f t="shared" si="70"/>
        <v>0</v>
      </c>
      <c r="CT78" s="319">
        <f t="shared" si="70"/>
        <v>0</v>
      </c>
      <c r="CU78" s="319">
        <f t="shared" si="70"/>
        <v>0</v>
      </c>
      <c r="CV78" s="319">
        <f t="shared" si="70"/>
        <v>0</v>
      </c>
    </row>
    <row r="79" spans="1:100" x14ac:dyDescent="0.25">
      <c r="A79" s="319">
        <f t="shared" si="65"/>
        <v>0</v>
      </c>
      <c r="B79" s="319">
        <f t="shared" si="71"/>
        <v>0</v>
      </c>
      <c r="C79" s="340" t="s">
        <v>1260</v>
      </c>
      <c r="D79" s="341" t="s">
        <v>356</v>
      </c>
      <c r="E79" s="341">
        <v>9</v>
      </c>
      <c r="F79" s="341" t="str">
        <f>IF(AND(E79&lt;CharacterSheet!$V$34,'House Rules'!$B$2="available",OR('House Rules'!$B$7="Standard",AND('House Rules'!$B$7="Ranked",OR(G77="Yes",G78="Yes")))),"Yes","No")</f>
        <v>No</v>
      </c>
      <c r="G79" s="564" t="s">
        <v>347</v>
      </c>
      <c r="H79" s="333" t="str">
        <f>IF(C79="","",VLOOKUP(C79,Boonref2!A:B,2,FALSE))</f>
        <v>Yes</v>
      </c>
      <c r="I79" s="333"/>
      <c r="J79" s="333" t="str">
        <f>VLOOKUP(C79,BoonRef!A:Z,17,FALSE)</f>
        <v>Yes</v>
      </c>
      <c r="K79" s="333" t="str">
        <f>IF(J79="God",'House Rules'!$B$2,IF(J79="Demi",'House Rules'!$B$1,IF(J79="Comp",'House Rules'!$B$4,IF(J79="Yaz",'House Rules'!$B$5,IF(J79="Rag",'House Rules'!$B$3,"Available")))))</f>
        <v>Available</v>
      </c>
      <c r="L79" s="333"/>
      <c r="M79" s="333"/>
      <c r="N79" s="340" t="s">
        <v>1318</v>
      </c>
      <c r="O79" s="341" t="s">
        <v>155</v>
      </c>
      <c r="P79" s="341" t="str">
        <f>IF(O79&lt;CharacterSheet!$V$34,"Yes","No")</f>
        <v>No</v>
      </c>
      <c r="Q79" s="341">
        <v>8</v>
      </c>
      <c r="R79" s="344" t="s">
        <v>347</v>
      </c>
      <c r="S79" s="317"/>
      <c r="T79" s="319">
        <f t="shared" si="68"/>
        <v>0</v>
      </c>
      <c r="U79" s="345" t="s">
        <v>2465</v>
      </c>
      <c r="V79" s="341" t="s">
        <v>1306</v>
      </c>
      <c r="W79" s="346" t="s">
        <v>42</v>
      </c>
      <c r="X79" s="341">
        <v>8</v>
      </c>
      <c r="Y79" s="347" t="str">
        <f>IF(AND($D$2="Arete",CharacterSheet!$E$58&gt;2,CharacterSheet!$V$34&gt;X79,'House Rules'!$B$6="Free",'House Rules'!$D$6=W79),"Free",IF(AND($D$2="Arete",CharacterSheet!$E$58&gt;2,CharacterSheet!$V$34&gt;X79,Z78="Yes"),"Yes","No"))</f>
        <v>No</v>
      </c>
      <c r="Z79" s="572" t="s">
        <v>347</v>
      </c>
      <c r="AA79" s="556"/>
      <c r="AB79" s="319">
        <f t="shared" si="69"/>
        <v>0</v>
      </c>
      <c r="AC79" s="345" t="s">
        <v>2565</v>
      </c>
      <c r="AD79" s="341" t="s">
        <v>1306</v>
      </c>
      <c r="AE79" s="346" t="s">
        <v>52</v>
      </c>
      <c r="AF79" s="341">
        <v>8</v>
      </c>
      <c r="AG79" s="347" t="str">
        <f>IF(AND($D$2="Arete",CharacterSheet!$M$58&gt;2,CharacterSheet!$V$34&gt;AF79,'House Rules'!$B$6="Free",'House Rules'!$D$6=AE79),"Free",IF(AND($D$2="Arete",CharacterSheet!$M$58&gt;2,CharacterSheet!$V$34&gt;AF79,AH78="Yes"),"Yes","No"))</f>
        <v>No</v>
      </c>
      <c r="AH79" s="572" t="s">
        <v>347</v>
      </c>
      <c r="BF79" s="319">
        <f t="shared" si="57"/>
        <v>0</v>
      </c>
      <c r="BG79" s="345" t="s">
        <v>2445</v>
      </c>
      <c r="BI79" s="319">
        <f t="shared" si="66"/>
        <v>0</v>
      </c>
      <c r="BJ79" s="319">
        <f t="shared" si="70"/>
        <v>0</v>
      </c>
      <c r="BK79" s="319">
        <f t="shared" si="70"/>
        <v>0</v>
      </c>
      <c r="BL79" s="319">
        <f t="shared" si="70"/>
        <v>0</v>
      </c>
      <c r="BM79" s="319">
        <f t="shared" si="70"/>
        <v>0</v>
      </c>
      <c r="BN79" s="319">
        <f t="shared" si="70"/>
        <v>0</v>
      </c>
      <c r="BO79" s="319">
        <f t="shared" si="70"/>
        <v>0</v>
      </c>
      <c r="BP79" s="319">
        <f t="shared" si="70"/>
        <v>0</v>
      </c>
      <c r="BQ79" s="319">
        <f t="shared" si="70"/>
        <v>0</v>
      </c>
      <c r="BR79" s="319">
        <f t="shared" si="70"/>
        <v>0</v>
      </c>
      <c r="BS79" s="319">
        <f t="shared" si="70"/>
        <v>0</v>
      </c>
      <c r="BT79" s="319">
        <f t="shared" si="70"/>
        <v>0</v>
      </c>
      <c r="BU79" s="319">
        <f t="shared" si="70"/>
        <v>0</v>
      </c>
      <c r="BV79" s="319">
        <f t="shared" si="70"/>
        <v>0</v>
      </c>
      <c r="BW79" s="319">
        <f t="shared" si="70"/>
        <v>0</v>
      </c>
      <c r="BX79" s="319">
        <f t="shared" si="70"/>
        <v>0</v>
      </c>
      <c r="BY79" s="319">
        <f t="shared" si="70"/>
        <v>0</v>
      </c>
      <c r="BZ79" s="319">
        <f t="shared" si="70"/>
        <v>0</v>
      </c>
      <c r="CA79" s="319">
        <f t="shared" si="70"/>
        <v>0</v>
      </c>
      <c r="CB79" s="319">
        <f t="shared" si="70"/>
        <v>0</v>
      </c>
      <c r="CC79" s="319">
        <f t="shared" si="70"/>
        <v>0</v>
      </c>
      <c r="CD79" s="319">
        <f t="shared" si="70"/>
        <v>0</v>
      </c>
      <c r="CE79" s="319">
        <f t="shared" si="70"/>
        <v>0</v>
      </c>
      <c r="CF79" s="319">
        <f t="shared" si="70"/>
        <v>0</v>
      </c>
      <c r="CG79" s="319">
        <f t="shared" si="70"/>
        <v>0</v>
      </c>
      <c r="CH79" s="319">
        <f t="shared" si="70"/>
        <v>0</v>
      </c>
      <c r="CI79" s="319">
        <f t="shared" si="70"/>
        <v>0</v>
      </c>
      <c r="CJ79" s="319">
        <f t="shared" si="70"/>
        <v>0</v>
      </c>
      <c r="CK79" s="319">
        <f t="shared" si="70"/>
        <v>0</v>
      </c>
      <c r="CL79" s="319">
        <f t="shared" si="70"/>
        <v>0</v>
      </c>
      <c r="CM79" s="319">
        <f t="shared" si="70"/>
        <v>0</v>
      </c>
      <c r="CN79" s="319">
        <f t="shared" si="70"/>
        <v>0</v>
      </c>
      <c r="CO79" s="319">
        <f t="shared" si="70"/>
        <v>0</v>
      </c>
      <c r="CP79" s="319">
        <f t="shared" si="70"/>
        <v>0</v>
      </c>
      <c r="CQ79" s="319">
        <f t="shared" si="70"/>
        <v>0</v>
      </c>
      <c r="CR79" s="319">
        <f t="shared" si="70"/>
        <v>0</v>
      </c>
      <c r="CS79" s="319">
        <f t="shared" si="70"/>
        <v>0</v>
      </c>
      <c r="CT79" s="319">
        <f t="shared" si="70"/>
        <v>0</v>
      </c>
      <c r="CU79" s="319">
        <f t="shared" si="70"/>
        <v>0</v>
      </c>
      <c r="CV79" s="319">
        <f t="shared" si="70"/>
        <v>0</v>
      </c>
    </row>
    <row r="80" spans="1:100" x14ac:dyDescent="0.25">
      <c r="A80" s="319">
        <f t="shared" si="65"/>
        <v>0</v>
      </c>
      <c r="B80" s="319">
        <f t="shared" si="71"/>
        <v>0</v>
      </c>
      <c r="C80" s="340" t="s">
        <v>1261</v>
      </c>
      <c r="D80" s="341" t="s">
        <v>356</v>
      </c>
      <c r="E80" s="341">
        <v>10</v>
      </c>
      <c r="F80" s="341" t="str">
        <f>IF(AND(E80&lt;CharacterSheet!$V$34,'House Rules'!$B$2="available",OR('House Rules'!$B$7="Standard",AND('House Rules'!$B$7="Ranked",G79="Yes"))),"Yes","No")</f>
        <v>No</v>
      </c>
      <c r="G80" s="564" t="s">
        <v>347</v>
      </c>
      <c r="H80" s="333" t="str">
        <f>IF(C80="","",VLOOKUP(C80,Boonref2!A:B,2,FALSE))</f>
        <v>Yes</v>
      </c>
      <c r="I80" s="333"/>
      <c r="J80" s="333" t="str">
        <f>VLOOKUP(C80,BoonRef!A:Z,17,FALSE)</f>
        <v>Yes</v>
      </c>
      <c r="K80" s="333" t="str">
        <f>IF(J80="God",'House Rules'!$B$2,IF(J80="Demi",'House Rules'!$B$1,IF(J80="Comp",'House Rules'!$B$4,IF(J80="Yaz",'House Rules'!$B$5,IF(J80="Rag",'House Rules'!$B$3,"Available")))))</f>
        <v>Available</v>
      </c>
      <c r="L80" s="333"/>
      <c r="M80" s="333"/>
      <c r="N80" s="340" t="s">
        <v>1319</v>
      </c>
      <c r="O80" s="341" t="s">
        <v>155</v>
      </c>
      <c r="P80" s="341" t="str">
        <f>IF(O80&lt;CharacterSheet!$V$34,"Yes","No")</f>
        <v>No</v>
      </c>
      <c r="Q80" s="341">
        <v>9</v>
      </c>
      <c r="R80" s="344" t="s">
        <v>347</v>
      </c>
      <c r="S80" s="317"/>
      <c r="T80" s="319">
        <f t="shared" si="68"/>
        <v>0</v>
      </c>
      <c r="U80" s="345" t="s">
        <v>2466</v>
      </c>
      <c r="V80" s="341" t="s">
        <v>1307</v>
      </c>
      <c r="W80" s="346" t="s">
        <v>42</v>
      </c>
      <c r="X80" s="341">
        <v>9</v>
      </c>
      <c r="Y80" s="347" t="str">
        <f>IF(AND($D$2="Arete",CharacterSheet!$E$58&gt;2,CharacterSheet!$V$34&gt;X80,'House Rules'!$B$6="Free",'House Rules'!$D$6=W80),"Free",IF(AND($D$2="Arete",CharacterSheet!$E$58&gt;2,CharacterSheet!$V$34&gt;X80,Z79="Yes"),"Yes","No"))</f>
        <v>No</v>
      </c>
      <c r="Z80" s="572" t="s">
        <v>347</v>
      </c>
      <c r="AA80" s="556"/>
      <c r="AB80" s="319">
        <f t="shared" si="69"/>
        <v>0</v>
      </c>
      <c r="AC80" s="345" t="s">
        <v>2566</v>
      </c>
      <c r="AD80" s="341" t="s">
        <v>1307</v>
      </c>
      <c r="AE80" s="346" t="s">
        <v>52</v>
      </c>
      <c r="AF80" s="341">
        <v>9</v>
      </c>
      <c r="AG80" s="347" t="str">
        <f>IF(AND($D$2="Arete",CharacterSheet!$M$58&gt;2,CharacterSheet!$V$34&gt;AF80,'House Rules'!$B$6="Free",'House Rules'!$D$6=AE80),"Free",IF(AND($D$2="Arete",CharacterSheet!$M$58&gt;2,CharacterSheet!$V$34&gt;AF80,AH79="Yes"),"Yes","No"))</f>
        <v>No</v>
      </c>
      <c r="AH80" s="572" t="s">
        <v>347</v>
      </c>
      <c r="BF80" s="319">
        <f t="shared" si="57"/>
        <v>0</v>
      </c>
      <c r="BG80" s="345" t="s">
        <v>2446</v>
      </c>
      <c r="BI80" s="319">
        <f t="shared" si="66"/>
        <v>0</v>
      </c>
      <c r="BJ80" s="319">
        <f t="shared" si="70"/>
        <v>0</v>
      </c>
      <c r="BK80" s="319">
        <f t="shared" si="70"/>
        <v>0</v>
      </c>
      <c r="BL80" s="319">
        <f t="shared" si="70"/>
        <v>0</v>
      </c>
      <c r="BM80" s="319">
        <f t="shared" si="70"/>
        <v>0</v>
      </c>
      <c r="BN80" s="319">
        <f t="shared" si="70"/>
        <v>0</v>
      </c>
      <c r="BO80" s="319">
        <f t="shared" si="70"/>
        <v>0</v>
      </c>
      <c r="BP80" s="319">
        <f t="shared" si="70"/>
        <v>0</v>
      </c>
      <c r="BQ80" s="319">
        <f t="shared" si="70"/>
        <v>0</v>
      </c>
      <c r="BR80" s="319">
        <f t="shared" si="70"/>
        <v>0</v>
      </c>
      <c r="BS80" s="319">
        <f t="shared" si="70"/>
        <v>0</v>
      </c>
      <c r="BT80" s="319">
        <f t="shared" si="70"/>
        <v>0</v>
      </c>
      <c r="BU80" s="319">
        <f t="shared" si="70"/>
        <v>0</v>
      </c>
      <c r="BV80" s="319">
        <f t="shared" si="70"/>
        <v>0</v>
      </c>
      <c r="BW80" s="319">
        <f t="shared" si="70"/>
        <v>0</v>
      </c>
      <c r="BX80" s="319">
        <f t="shared" si="70"/>
        <v>0</v>
      </c>
      <c r="BY80" s="319">
        <f t="shared" si="70"/>
        <v>0</v>
      </c>
      <c r="BZ80" s="319">
        <f t="shared" si="70"/>
        <v>0</v>
      </c>
      <c r="CA80" s="319">
        <f t="shared" si="70"/>
        <v>0</v>
      </c>
      <c r="CB80" s="319">
        <f t="shared" si="70"/>
        <v>0</v>
      </c>
      <c r="CC80" s="319">
        <f t="shared" si="70"/>
        <v>0</v>
      </c>
      <c r="CD80" s="319">
        <f t="shared" si="70"/>
        <v>0</v>
      </c>
      <c r="CE80" s="319">
        <f t="shared" si="70"/>
        <v>0</v>
      </c>
      <c r="CF80" s="319">
        <f t="shared" si="70"/>
        <v>0</v>
      </c>
      <c r="CG80" s="319">
        <f t="shared" si="70"/>
        <v>0</v>
      </c>
      <c r="CH80" s="319">
        <f t="shared" si="70"/>
        <v>0</v>
      </c>
      <c r="CI80" s="319">
        <f t="shared" si="70"/>
        <v>0</v>
      </c>
      <c r="CJ80" s="319">
        <f t="shared" si="70"/>
        <v>0</v>
      </c>
      <c r="CK80" s="319">
        <f t="shared" si="70"/>
        <v>0</v>
      </c>
      <c r="CL80" s="319">
        <f t="shared" si="70"/>
        <v>0</v>
      </c>
      <c r="CM80" s="319">
        <f t="shared" si="70"/>
        <v>0</v>
      </c>
      <c r="CN80" s="319">
        <f t="shared" si="70"/>
        <v>0</v>
      </c>
      <c r="CO80" s="319">
        <f t="shared" si="70"/>
        <v>0</v>
      </c>
      <c r="CP80" s="319">
        <f t="shared" si="70"/>
        <v>0</v>
      </c>
      <c r="CQ80" s="319">
        <f t="shared" si="70"/>
        <v>0</v>
      </c>
      <c r="CR80" s="319">
        <f t="shared" si="70"/>
        <v>0</v>
      </c>
      <c r="CS80" s="319">
        <f t="shared" si="70"/>
        <v>0</v>
      </c>
      <c r="CT80" s="319">
        <f t="shared" si="70"/>
        <v>0</v>
      </c>
      <c r="CU80" s="319">
        <f t="shared" si="70"/>
        <v>0</v>
      </c>
      <c r="CV80" s="319">
        <f t="shared" si="70"/>
        <v>0</v>
      </c>
    </row>
    <row r="81" spans="1:100" ht="15.75" thickBot="1" x14ac:dyDescent="0.3">
      <c r="A81" s="319">
        <f t="shared" si="65"/>
        <v>0</v>
      </c>
      <c r="B81" s="319">
        <f t="shared" si="71"/>
        <v>0</v>
      </c>
      <c r="C81" s="352" t="s">
        <v>1262</v>
      </c>
      <c r="D81" s="353" t="s">
        <v>356</v>
      </c>
      <c r="E81" s="353">
        <v>11</v>
      </c>
      <c r="F81" s="353" t="str">
        <f>IF(AND(E25&lt;CharacterSheet!$V$34,G68="Yes",G69="Yes",G70="Yes",G73="Yes",G74="Yes",OR(G77="Yes",G22="Yes"),G79="Yes",G80="Yes",OR(G71="Yes",G72="Yes"),OR(G75="Yes",G76="Yes")),"Yes","No")</f>
        <v>No</v>
      </c>
      <c r="G81" s="565" t="s">
        <v>347</v>
      </c>
      <c r="H81" s="333" t="str">
        <f>IF(C81="","",VLOOKUP(C81,Boonref2!A:B,2,FALSE))</f>
        <v>No</v>
      </c>
      <c r="I81" s="333"/>
      <c r="J81" s="333" t="str">
        <f>VLOOKUP(C81,BoonRef!A:Z,17,FALSE)</f>
        <v>Yes</v>
      </c>
      <c r="K81" s="333" t="str">
        <f>IF(J81="God",'House Rules'!$B$2,IF(J81="Demi",'House Rules'!$B$1,IF(J81="Comp",'House Rules'!$B$4,IF(J81="Yaz",'House Rules'!$B$5,IF(J81="Rag",'House Rules'!$B$3,"Available")))))</f>
        <v>Available</v>
      </c>
      <c r="L81" s="333"/>
      <c r="M81" s="333"/>
      <c r="N81" s="340" t="s">
        <v>1320</v>
      </c>
      <c r="O81" s="341" t="s">
        <v>155</v>
      </c>
      <c r="P81" s="341" t="str">
        <f>IF(O81&lt;CharacterSheet!$V$34,"Yes","No")</f>
        <v>No</v>
      </c>
      <c r="Q81" s="341">
        <v>10</v>
      </c>
      <c r="R81" s="344" t="s">
        <v>347</v>
      </c>
      <c r="S81" s="317"/>
      <c r="T81" s="319">
        <f>IF(Z81="Yes",LARGE($T$62:$T$71,1)+1,LARGE($T$62:$T$71,1))</f>
        <v>0</v>
      </c>
      <c r="U81" s="355" t="s">
        <v>2467</v>
      </c>
      <c r="V81" s="353" t="s">
        <v>1308</v>
      </c>
      <c r="W81" s="356" t="s">
        <v>42</v>
      </c>
      <c r="X81" s="353">
        <v>10</v>
      </c>
      <c r="Y81" s="347" t="str">
        <f>IF(AND($D$2="Arete",CharacterSheet!$E$58&gt;2,CharacterSheet!$V$34&gt;X81,'House Rules'!$B$6="Free",'House Rules'!$D$6=W81),"Free",IF(AND($D$2="Arete",CharacterSheet!$E$58&gt;2,CharacterSheet!$V$34&gt;X81,Z80="Yes"),"Yes","No"))</f>
        <v>No</v>
      </c>
      <c r="Z81" s="573" t="s">
        <v>347</v>
      </c>
      <c r="AA81" s="556"/>
      <c r="AB81" s="319">
        <f>IF(AH81="Yes",LARGE($AJ$32:$AJ$41,1)+1,LARGE($AJ$32:$AJ$41,1))</f>
        <v>0</v>
      </c>
      <c r="AC81" s="355" t="s">
        <v>2567</v>
      </c>
      <c r="AD81" s="353" t="s">
        <v>1308</v>
      </c>
      <c r="AE81" s="356" t="s">
        <v>52</v>
      </c>
      <c r="AF81" s="353">
        <v>10</v>
      </c>
      <c r="AG81" s="347" t="str">
        <f>IF(AND($D$2="Arete",CharacterSheet!$M$58&gt;2,CharacterSheet!$V$34&gt;AF81,'House Rules'!$B$6="Free",'House Rules'!$D$6=AE81),"Free",IF(AND($D$2="Arete",CharacterSheet!$M$58&gt;2,CharacterSheet!$V$34&gt;AF81,AH80="Yes"),"Yes","No"))</f>
        <v>No</v>
      </c>
      <c r="AH81" s="573" t="s">
        <v>347</v>
      </c>
      <c r="BF81" s="319">
        <f t="shared" si="57"/>
        <v>0</v>
      </c>
      <c r="BG81" s="355" t="s">
        <v>2447</v>
      </c>
      <c r="BI81" s="319">
        <f t="shared" si="66"/>
        <v>0</v>
      </c>
      <c r="BJ81" s="319">
        <f t="shared" si="70"/>
        <v>0</v>
      </c>
      <c r="BK81" s="319">
        <f t="shared" si="70"/>
        <v>0</v>
      </c>
      <c r="BL81" s="319">
        <f t="shared" si="70"/>
        <v>0</v>
      </c>
      <c r="BM81" s="319">
        <f t="shared" si="70"/>
        <v>0</v>
      </c>
      <c r="BN81" s="319">
        <f t="shared" si="70"/>
        <v>0</v>
      </c>
      <c r="BO81" s="319">
        <f t="shared" si="70"/>
        <v>0</v>
      </c>
      <c r="BP81" s="319">
        <f t="shared" si="70"/>
        <v>0</v>
      </c>
      <c r="BQ81" s="319">
        <f t="shared" si="70"/>
        <v>0</v>
      </c>
      <c r="BR81" s="319">
        <f t="shared" si="70"/>
        <v>0</v>
      </c>
      <c r="BS81" s="319">
        <f t="shared" ref="BJ81:CV87" si="72">IF(AND($D81=BS$1,$G81="Yes"),$E81,0)</f>
        <v>0</v>
      </c>
      <c r="BT81" s="319">
        <f t="shared" si="72"/>
        <v>0</v>
      </c>
      <c r="BU81" s="319">
        <f t="shared" si="72"/>
        <v>0</v>
      </c>
      <c r="BV81" s="319">
        <f t="shared" si="72"/>
        <v>0</v>
      </c>
      <c r="BW81" s="319">
        <f t="shared" si="72"/>
        <v>0</v>
      </c>
      <c r="BX81" s="319">
        <f t="shared" si="72"/>
        <v>0</v>
      </c>
      <c r="BY81" s="319">
        <f t="shared" si="72"/>
        <v>0</v>
      </c>
      <c r="BZ81" s="319">
        <f t="shared" si="72"/>
        <v>0</v>
      </c>
      <c r="CA81" s="319">
        <f t="shared" si="72"/>
        <v>0</v>
      </c>
      <c r="CB81" s="319">
        <f t="shared" si="72"/>
        <v>0</v>
      </c>
      <c r="CC81" s="319">
        <f t="shared" si="72"/>
        <v>0</v>
      </c>
      <c r="CD81" s="319">
        <f t="shared" si="72"/>
        <v>0</v>
      </c>
      <c r="CE81" s="319">
        <f t="shared" si="72"/>
        <v>0</v>
      </c>
      <c r="CF81" s="319">
        <f t="shared" si="72"/>
        <v>0</v>
      </c>
      <c r="CG81" s="319">
        <f t="shared" si="72"/>
        <v>0</v>
      </c>
      <c r="CH81" s="319">
        <f t="shared" si="72"/>
        <v>0</v>
      </c>
      <c r="CI81" s="319">
        <f t="shared" si="72"/>
        <v>0</v>
      </c>
      <c r="CJ81" s="319">
        <f t="shared" si="72"/>
        <v>0</v>
      </c>
      <c r="CK81" s="319">
        <f t="shared" si="72"/>
        <v>0</v>
      </c>
      <c r="CL81" s="319">
        <f t="shared" si="72"/>
        <v>0</v>
      </c>
      <c r="CM81" s="319">
        <f t="shared" si="72"/>
        <v>0</v>
      </c>
      <c r="CN81" s="319">
        <f t="shared" si="72"/>
        <v>0</v>
      </c>
      <c r="CO81" s="319">
        <f t="shared" si="72"/>
        <v>0</v>
      </c>
      <c r="CP81" s="319">
        <f t="shared" si="72"/>
        <v>0</v>
      </c>
      <c r="CQ81" s="319">
        <f t="shared" si="72"/>
        <v>0</v>
      </c>
      <c r="CR81" s="319">
        <f t="shared" si="72"/>
        <v>0</v>
      </c>
      <c r="CS81" s="319">
        <f t="shared" si="72"/>
        <v>0</v>
      </c>
      <c r="CT81" s="319">
        <f t="shared" si="72"/>
        <v>0</v>
      </c>
      <c r="CU81" s="319">
        <f t="shared" si="72"/>
        <v>0</v>
      </c>
      <c r="CV81" s="319">
        <f t="shared" si="72"/>
        <v>0</v>
      </c>
    </row>
    <row r="82" spans="1:100" x14ac:dyDescent="0.25">
      <c r="A82" s="319">
        <f t="shared" si="65"/>
        <v>0</v>
      </c>
      <c r="B82" s="319">
        <f t="shared" si="71"/>
        <v>0</v>
      </c>
      <c r="C82" s="330" t="s">
        <v>1079</v>
      </c>
      <c r="D82" s="331" t="s">
        <v>357</v>
      </c>
      <c r="E82" s="331">
        <v>1</v>
      </c>
      <c r="F82" s="331" t="str">
        <f>IF(E82&lt;CharacterSheet!$V$34,"Yes","No")</f>
        <v>Yes</v>
      </c>
      <c r="G82" s="563" t="s">
        <v>347</v>
      </c>
      <c r="H82" s="333" t="str">
        <f>IF(C82="","",VLOOKUP(C82,Boonref2!A:B,2,FALSE))</f>
        <v>No</v>
      </c>
      <c r="I82" s="333"/>
      <c r="J82" s="333" t="str">
        <f>VLOOKUP(C82,BoonRef!A:Z,17,FALSE)</f>
        <v>Yes</v>
      </c>
      <c r="K82" s="333" t="str">
        <f>IF(J82="God",'House Rules'!$B$2,IF(J82="Demi",'House Rules'!$B$1,IF(J82="Comp",'House Rules'!$B$4,IF(J82="Yaz",'House Rules'!$B$5,IF(J82="Rag",'House Rules'!$B$3,"Available")))))</f>
        <v>Available</v>
      </c>
      <c r="L82" s="333"/>
      <c r="M82" s="333"/>
      <c r="N82" s="340" t="s">
        <v>1431</v>
      </c>
      <c r="O82" s="341" t="s">
        <v>170</v>
      </c>
      <c r="P82" s="341" t="str">
        <f>IF('House Rules'!$B$4="Prohibited","No",IF(O82&lt;CharacterSheet!$V$34,"Yes","No"))</f>
        <v>No</v>
      </c>
      <c r="Q82" s="341">
        <v>1</v>
      </c>
      <c r="R82" s="344" t="s">
        <v>346</v>
      </c>
      <c r="S82" s="317"/>
      <c r="T82" s="319">
        <f t="shared" ref="T82:T90" si="73">IF(AND(Z82="Yes",Z83="No"),LARGE($T$72:$T$81,1)+1,LARGE($T$72:$T$81,1))</f>
        <v>0</v>
      </c>
      <c r="U82" s="336" t="s">
        <v>2468</v>
      </c>
      <c r="V82" s="331" t="s">
        <v>1112</v>
      </c>
      <c r="W82" s="337" t="s">
        <v>43</v>
      </c>
      <c r="X82" s="331">
        <v>1</v>
      </c>
      <c r="Y82" s="338" t="str">
        <f>IF(AND($D$2="Arete",CharacterSheet!$E$59&gt;2,CharacterSheet!$V$34&gt;X82,'House Rules'!$B$6="Free",'House Rules'!$D$6=W82),"Free",IF(AND($D$2="Arete",CharacterSheet!$E$59&gt;2,CharacterSheet!$V$34&gt;X82),"Yes","No"))</f>
        <v>No</v>
      </c>
      <c r="Z82" s="571" t="s">
        <v>347</v>
      </c>
      <c r="AA82" s="556"/>
      <c r="AB82" s="319">
        <f t="shared" ref="AB82:AB90" si="74">IF(AND(AH82="Yes",AH83="No"),LARGE($AB$72:$AB$81,1)+1,LARGE($AB$72:$AB$81,1))</f>
        <v>0</v>
      </c>
      <c r="AC82" s="336" t="s">
        <v>2568</v>
      </c>
      <c r="AD82" s="331" t="s">
        <v>1112</v>
      </c>
      <c r="AE82" s="337" t="s">
        <v>53</v>
      </c>
      <c r="AF82" s="331">
        <v>1</v>
      </c>
      <c r="AG82" s="338" t="str">
        <f>IF(AND($D$2="Arete",CharacterSheet!$M$59&gt;2,CharacterSheet!$V$34&gt;AF82,'House Rules'!$B$6="Free",'House Rules'!$D$6=AE82),"Free",IF(AND($D$2="Arete",CharacterSheet!$M$59&gt;2,CharacterSheet!$V$34&gt;AF82),"Yes","No"))</f>
        <v>No</v>
      </c>
      <c r="AH82" s="571" t="s">
        <v>347</v>
      </c>
      <c r="BF82" s="319">
        <f t="shared" ref="BF82:BF101" si="75">AJ12</f>
        <v>0</v>
      </c>
      <c r="BG82" s="336" t="s">
        <v>2598</v>
      </c>
      <c r="BI82" s="319">
        <f t="shared" si="66"/>
        <v>0</v>
      </c>
      <c r="BJ82" s="319">
        <f t="shared" si="72"/>
        <v>0</v>
      </c>
      <c r="BK82" s="319">
        <f t="shared" si="72"/>
        <v>0</v>
      </c>
      <c r="BL82" s="319">
        <f t="shared" si="72"/>
        <v>0</v>
      </c>
      <c r="BM82" s="319">
        <f t="shared" si="72"/>
        <v>0</v>
      </c>
      <c r="BN82" s="319">
        <f t="shared" si="72"/>
        <v>0</v>
      </c>
      <c r="BO82" s="319">
        <f t="shared" si="72"/>
        <v>0</v>
      </c>
      <c r="BP82" s="319">
        <f t="shared" si="72"/>
        <v>0</v>
      </c>
      <c r="BQ82" s="319">
        <f t="shared" si="72"/>
        <v>0</v>
      </c>
      <c r="BR82" s="319">
        <f t="shared" si="72"/>
        <v>0</v>
      </c>
      <c r="BS82" s="319">
        <f t="shared" si="72"/>
        <v>0</v>
      </c>
      <c r="BT82" s="319">
        <f t="shared" si="72"/>
        <v>0</v>
      </c>
      <c r="BU82" s="319">
        <f t="shared" si="72"/>
        <v>0</v>
      </c>
      <c r="BV82" s="319">
        <f t="shared" si="72"/>
        <v>0</v>
      </c>
      <c r="BW82" s="319">
        <f t="shared" si="72"/>
        <v>0</v>
      </c>
      <c r="BX82" s="319">
        <f t="shared" si="72"/>
        <v>0</v>
      </c>
      <c r="BY82" s="319">
        <f t="shared" si="72"/>
        <v>0</v>
      </c>
      <c r="BZ82" s="319">
        <f t="shared" si="72"/>
        <v>0</v>
      </c>
      <c r="CA82" s="319">
        <f t="shared" si="72"/>
        <v>0</v>
      </c>
      <c r="CB82" s="319">
        <f t="shared" si="72"/>
        <v>0</v>
      </c>
      <c r="CC82" s="319">
        <f t="shared" si="72"/>
        <v>0</v>
      </c>
      <c r="CD82" s="319">
        <f t="shared" si="72"/>
        <v>0</v>
      </c>
      <c r="CE82" s="319">
        <f t="shared" si="72"/>
        <v>0</v>
      </c>
      <c r="CF82" s="319">
        <f t="shared" si="72"/>
        <v>0</v>
      </c>
      <c r="CG82" s="319">
        <f t="shared" si="72"/>
        <v>0</v>
      </c>
      <c r="CH82" s="319">
        <f t="shared" si="72"/>
        <v>0</v>
      </c>
      <c r="CI82" s="319">
        <f t="shared" si="72"/>
        <v>0</v>
      </c>
      <c r="CJ82" s="319">
        <f t="shared" si="72"/>
        <v>0</v>
      </c>
      <c r="CK82" s="319">
        <f t="shared" si="72"/>
        <v>0</v>
      </c>
      <c r="CL82" s="319">
        <f t="shared" si="72"/>
        <v>0</v>
      </c>
      <c r="CM82" s="319">
        <f t="shared" si="72"/>
        <v>0</v>
      </c>
      <c r="CN82" s="319">
        <f t="shared" si="72"/>
        <v>0</v>
      </c>
      <c r="CO82" s="319">
        <f t="shared" si="72"/>
        <v>0</v>
      </c>
      <c r="CP82" s="319">
        <f t="shared" si="72"/>
        <v>0</v>
      </c>
      <c r="CQ82" s="319">
        <f t="shared" si="72"/>
        <v>0</v>
      </c>
      <c r="CR82" s="319">
        <f t="shared" si="72"/>
        <v>0</v>
      </c>
      <c r="CS82" s="319">
        <f t="shared" si="72"/>
        <v>0</v>
      </c>
      <c r="CT82" s="319">
        <f t="shared" si="72"/>
        <v>0</v>
      </c>
      <c r="CU82" s="319">
        <f t="shared" si="72"/>
        <v>0</v>
      </c>
      <c r="CV82" s="319">
        <f t="shared" si="72"/>
        <v>0</v>
      </c>
    </row>
    <row r="83" spans="1:100" x14ac:dyDescent="0.25">
      <c r="A83" s="319">
        <f t="shared" si="65"/>
        <v>0</v>
      </c>
      <c r="B83" s="319">
        <f t="shared" si="71"/>
        <v>0</v>
      </c>
      <c r="C83" s="340" t="s">
        <v>1080</v>
      </c>
      <c r="D83" s="341" t="s">
        <v>357</v>
      </c>
      <c r="E83" s="341">
        <v>2</v>
      </c>
      <c r="F83" s="341" t="str">
        <f>IF(AND(E83&lt;CharacterSheet!$V$34,OR('House Rules'!$B$7="Standard",AND('House Rules'!$B$7="Ranked",G82="Yes"))),"Yes","No")</f>
        <v>No</v>
      </c>
      <c r="G83" s="564" t="s">
        <v>347</v>
      </c>
      <c r="H83" s="333" t="str">
        <f>IF(C83="","",VLOOKUP(C83,Boonref2!A:B,2,FALSE))</f>
        <v>Yes</v>
      </c>
      <c r="I83" s="333"/>
      <c r="J83" s="333" t="str">
        <f>VLOOKUP(C83,BoonRef!A:Z,17,FALSE)</f>
        <v>Yes</v>
      </c>
      <c r="K83" s="333" t="str">
        <f>IF(J83="God",'House Rules'!$B$2,IF(J83="Demi",'House Rules'!$B$1,IF(J83="Comp",'House Rules'!$B$4,IF(J83="Yaz",'House Rules'!$B$5,IF(J83="Rag",'House Rules'!$B$3,"Available")))))</f>
        <v>Available</v>
      </c>
      <c r="L83" s="333"/>
      <c r="M83" s="333"/>
      <c r="N83" s="340" t="s">
        <v>1432</v>
      </c>
      <c r="O83" s="341" t="s">
        <v>170</v>
      </c>
      <c r="P83" s="341" t="str">
        <f>IF('House Rules'!$B$4="Prohibited","No",IF(O83&lt;CharacterSheet!$V$34,"Yes","No"))</f>
        <v>No</v>
      </c>
      <c r="Q83" s="341">
        <v>2</v>
      </c>
      <c r="R83" s="344" t="s">
        <v>347</v>
      </c>
      <c r="S83" s="317"/>
      <c r="T83" s="319">
        <f t="shared" si="73"/>
        <v>0</v>
      </c>
      <c r="U83" s="345" t="s">
        <v>2469</v>
      </c>
      <c r="V83" s="341" t="s">
        <v>1113</v>
      </c>
      <c r="W83" s="346" t="s">
        <v>43</v>
      </c>
      <c r="X83" s="341">
        <v>2</v>
      </c>
      <c r="Y83" s="347" t="str">
        <f>IF(AND($D$2="Arete",CharacterSheet!$E$59&gt;2,CharacterSheet!$V$34&gt;X83,'House Rules'!$B$6="Free",'House Rules'!$D$6=W83),"Free",IF(AND($D$2="Arete",CharacterSheet!$E$59&gt;2,CharacterSheet!$V$34&gt;X83,Z82="Yes"),"Yes","No"))</f>
        <v>No</v>
      </c>
      <c r="Z83" s="572" t="s">
        <v>347</v>
      </c>
      <c r="AA83" s="556"/>
      <c r="AB83" s="319">
        <f t="shared" si="74"/>
        <v>0</v>
      </c>
      <c r="AC83" s="345" t="s">
        <v>2569</v>
      </c>
      <c r="AD83" s="341" t="s">
        <v>1113</v>
      </c>
      <c r="AE83" s="346" t="s">
        <v>53</v>
      </c>
      <c r="AF83" s="341">
        <v>2</v>
      </c>
      <c r="AG83" s="347" t="str">
        <f>IF(AND($D$2="Arete",CharacterSheet!$M$59&gt;2,CharacterSheet!$V$34&gt;AF83,'House Rules'!$B$6="Free",'House Rules'!$D$6=AE83),"Free",IF(AND($D$2="Arete",CharacterSheet!$M$59&gt;2,CharacterSheet!$V$34&gt;AF83,AH82="Yes"),"Yes","No"))</f>
        <v>No</v>
      </c>
      <c r="AH83" s="572" t="s">
        <v>347</v>
      </c>
      <c r="BF83" s="319">
        <f t="shared" si="75"/>
        <v>0</v>
      </c>
      <c r="BG83" s="345" t="s">
        <v>2599</v>
      </c>
      <c r="BI83" s="319">
        <f t="shared" si="66"/>
        <v>0</v>
      </c>
      <c r="BJ83" s="319">
        <f t="shared" si="72"/>
        <v>0</v>
      </c>
      <c r="BK83" s="319">
        <f t="shared" si="72"/>
        <v>0</v>
      </c>
      <c r="BL83" s="319">
        <f t="shared" si="72"/>
        <v>0</v>
      </c>
      <c r="BM83" s="319">
        <f t="shared" si="72"/>
        <v>0</v>
      </c>
      <c r="BN83" s="319">
        <f t="shared" si="72"/>
        <v>0</v>
      </c>
      <c r="BO83" s="319">
        <f t="shared" si="72"/>
        <v>0</v>
      </c>
      <c r="BP83" s="319">
        <f t="shared" si="72"/>
        <v>0</v>
      </c>
      <c r="BQ83" s="319">
        <f t="shared" si="72"/>
        <v>0</v>
      </c>
      <c r="BR83" s="319">
        <f t="shared" si="72"/>
        <v>0</v>
      </c>
      <c r="BS83" s="319">
        <f t="shared" si="72"/>
        <v>0</v>
      </c>
      <c r="BT83" s="319">
        <f t="shared" si="72"/>
        <v>0</v>
      </c>
      <c r="BU83" s="319">
        <f t="shared" si="72"/>
        <v>0</v>
      </c>
      <c r="BV83" s="319">
        <f t="shared" si="72"/>
        <v>0</v>
      </c>
      <c r="BW83" s="319">
        <f t="shared" si="72"/>
        <v>0</v>
      </c>
      <c r="BX83" s="319">
        <f t="shared" si="72"/>
        <v>0</v>
      </c>
      <c r="BY83" s="319">
        <f t="shared" si="72"/>
        <v>0</v>
      </c>
      <c r="BZ83" s="319">
        <f t="shared" si="72"/>
        <v>0</v>
      </c>
      <c r="CA83" s="319">
        <f t="shared" si="72"/>
        <v>0</v>
      </c>
      <c r="CB83" s="319">
        <f t="shared" si="72"/>
        <v>0</v>
      </c>
      <c r="CC83" s="319">
        <f t="shared" si="72"/>
        <v>0</v>
      </c>
      <c r="CD83" s="319">
        <f t="shared" si="72"/>
        <v>0</v>
      </c>
      <c r="CE83" s="319">
        <f t="shared" si="72"/>
        <v>0</v>
      </c>
      <c r="CF83" s="319">
        <f t="shared" si="72"/>
        <v>0</v>
      </c>
      <c r="CG83" s="319">
        <f t="shared" si="72"/>
        <v>0</v>
      </c>
      <c r="CH83" s="319">
        <f t="shared" si="72"/>
        <v>0</v>
      </c>
      <c r="CI83" s="319">
        <f t="shared" si="72"/>
        <v>0</v>
      </c>
      <c r="CJ83" s="319">
        <f t="shared" si="72"/>
        <v>0</v>
      </c>
      <c r="CK83" s="319">
        <f t="shared" si="72"/>
        <v>0</v>
      </c>
      <c r="CL83" s="319">
        <f t="shared" si="72"/>
        <v>0</v>
      </c>
      <c r="CM83" s="319">
        <f t="shared" si="72"/>
        <v>0</v>
      </c>
      <c r="CN83" s="319">
        <f t="shared" si="72"/>
        <v>0</v>
      </c>
      <c r="CO83" s="319">
        <f t="shared" si="72"/>
        <v>0</v>
      </c>
      <c r="CP83" s="319">
        <f t="shared" si="72"/>
        <v>0</v>
      </c>
      <c r="CQ83" s="319">
        <f t="shared" si="72"/>
        <v>0</v>
      </c>
      <c r="CR83" s="319">
        <f t="shared" si="72"/>
        <v>0</v>
      </c>
      <c r="CS83" s="319">
        <f t="shared" si="72"/>
        <v>0</v>
      </c>
      <c r="CT83" s="319">
        <f t="shared" si="72"/>
        <v>0</v>
      </c>
      <c r="CU83" s="319">
        <f t="shared" si="72"/>
        <v>0</v>
      </c>
      <c r="CV83" s="319">
        <f t="shared" si="72"/>
        <v>0</v>
      </c>
    </row>
    <row r="84" spans="1:100" x14ac:dyDescent="0.25">
      <c r="A84" s="319">
        <f t="shared" si="65"/>
        <v>0</v>
      </c>
      <c r="B84" s="319">
        <f t="shared" si="71"/>
        <v>0</v>
      </c>
      <c r="C84" s="340" t="s">
        <v>1389</v>
      </c>
      <c r="D84" s="341" t="s">
        <v>357</v>
      </c>
      <c r="E84" s="341">
        <v>2</v>
      </c>
      <c r="F84" s="341" t="str">
        <f>IF(AND(E84&lt;CharacterSheet!$V$34,'House Rules'!$B$4="Available",OR('House Rules'!$B$7="Standard",AND('House Rules'!$B$7="Ranked",G82="Yes"))),"Yes","No")</f>
        <v>No</v>
      </c>
      <c r="G84" s="564" t="s">
        <v>347</v>
      </c>
      <c r="H84" s="333" t="str">
        <f>IF(C84="","",VLOOKUP(C84,Boonref2!A:B,2,FALSE))</f>
        <v>Yes</v>
      </c>
      <c r="I84" s="333"/>
      <c r="J84" s="333" t="str">
        <f>VLOOKUP(C84,BoonRef!A:Z,17,FALSE)</f>
        <v>Yes</v>
      </c>
      <c r="K84" s="333" t="str">
        <f>IF(J84="God",'House Rules'!$B$2,IF(J84="Demi",'House Rules'!$B$1,IF(J84="Comp",'House Rules'!$B$4,IF(J84="Yaz",'House Rules'!$B$5,IF(J84="Rag",'House Rules'!$B$3,"Available")))))</f>
        <v>Available</v>
      </c>
      <c r="L84" s="333"/>
      <c r="M84" s="333"/>
      <c r="N84" s="340" t="s">
        <v>1433</v>
      </c>
      <c r="O84" s="341" t="s">
        <v>170</v>
      </c>
      <c r="P84" s="341" t="str">
        <f>IF('House Rules'!$B$4="Prohibited","No",IF(O84&lt;CharacterSheet!$V$34,"Yes","No"))</f>
        <v>No</v>
      </c>
      <c r="Q84" s="341">
        <v>3</v>
      </c>
      <c r="R84" s="344" t="s">
        <v>346</v>
      </c>
      <c r="S84" s="317"/>
      <c r="T84" s="319">
        <f t="shared" si="73"/>
        <v>0</v>
      </c>
      <c r="U84" s="345" t="s">
        <v>2470</v>
      </c>
      <c r="V84" s="341" t="s">
        <v>1114</v>
      </c>
      <c r="W84" s="346" t="s">
        <v>43</v>
      </c>
      <c r="X84" s="341">
        <v>3</v>
      </c>
      <c r="Y84" s="347" t="str">
        <f>IF(AND($D$2="Arete",CharacterSheet!$E$59&gt;2,CharacterSheet!$V$34&gt;X84,'House Rules'!$B$6="Free",'House Rules'!$D$6=W84),"Free",IF(AND($D$2="Arete",CharacterSheet!$E$59&gt;2,CharacterSheet!$V$34&gt;X84,Z83="Yes"),"Yes","No"))</f>
        <v>No</v>
      </c>
      <c r="Z84" s="572" t="s">
        <v>347</v>
      </c>
      <c r="AA84" s="556"/>
      <c r="AB84" s="319">
        <f t="shared" si="74"/>
        <v>0</v>
      </c>
      <c r="AC84" s="345" t="s">
        <v>2570</v>
      </c>
      <c r="AD84" s="341" t="s">
        <v>1114</v>
      </c>
      <c r="AE84" s="346" t="s">
        <v>53</v>
      </c>
      <c r="AF84" s="341">
        <v>3</v>
      </c>
      <c r="AG84" s="347" t="str">
        <f>IF(AND($D$2="Arete",CharacterSheet!$M$59&gt;2,CharacterSheet!$V$34&gt;AF84,'House Rules'!$B$6="Free",'House Rules'!$D$6=AE84),"Free",IF(AND($D$2="Arete",CharacterSheet!$M$59&gt;2,CharacterSheet!$V$34&gt;AF84,AH83="Yes"),"Yes","No"))</f>
        <v>No</v>
      </c>
      <c r="AH84" s="572" t="s">
        <v>347</v>
      </c>
      <c r="BF84" s="319">
        <f t="shared" si="75"/>
        <v>0</v>
      </c>
      <c r="BG84" s="345" t="s">
        <v>2600</v>
      </c>
      <c r="BI84" s="319">
        <f t="shared" si="66"/>
        <v>0</v>
      </c>
      <c r="BJ84" s="319">
        <f t="shared" si="72"/>
        <v>0</v>
      </c>
      <c r="BK84" s="319">
        <f t="shared" si="72"/>
        <v>0</v>
      </c>
      <c r="BL84" s="319">
        <f t="shared" si="72"/>
        <v>0</v>
      </c>
      <c r="BM84" s="319">
        <f t="shared" si="72"/>
        <v>0</v>
      </c>
      <c r="BN84" s="319">
        <f t="shared" si="72"/>
        <v>0</v>
      </c>
      <c r="BO84" s="319">
        <f t="shared" si="72"/>
        <v>0</v>
      </c>
      <c r="BP84" s="319">
        <f t="shared" si="72"/>
        <v>0</v>
      </c>
      <c r="BQ84" s="319">
        <f t="shared" si="72"/>
        <v>0</v>
      </c>
      <c r="BR84" s="319">
        <f t="shared" si="72"/>
        <v>0</v>
      </c>
      <c r="BS84" s="319">
        <f t="shared" si="72"/>
        <v>0</v>
      </c>
      <c r="BT84" s="319">
        <f t="shared" si="72"/>
        <v>0</v>
      </c>
      <c r="BU84" s="319">
        <f t="shared" si="72"/>
        <v>0</v>
      </c>
      <c r="BV84" s="319">
        <f t="shared" si="72"/>
        <v>0</v>
      </c>
      <c r="BW84" s="319">
        <f t="shared" si="72"/>
        <v>0</v>
      </c>
      <c r="BX84" s="319">
        <f t="shared" si="72"/>
        <v>0</v>
      </c>
      <c r="BY84" s="319">
        <f t="shared" si="72"/>
        <v>0</v>
      </c>
      <c r="BZ84" s="319">
        <f t="shared" si="72"/>
        <v>0</v>
      </c>
      <c r="CA84" s="319">
        <f t="shared" si="72"/>
        <v>0</v>
      </c>
      <c r="CB84" s="319">
        <f t="shared" si="72"/>
        <v>0</v>
      </c>
      <c r="CC84" s="319">
        <f t="shared" si="72"/>
        <v>0</v>
      </c>
      <c r="CD84" s="319">
        <f t="shared" si="72"/>
        <v>0</v>
      </c>
      <c r="CE84" s="319">
        <f t="shared" si="72"/>
        <v>0</v>
      </c>
      <c r="CF84" s="319">
        <f t="shared" si="72"/>
        <v>0</v>
      </c>
      <c r="CG84" s="319">
        <f t="shared" si="72"/>
        <v>0</v>
      </c>
      <c r="CH84" s="319">
        <f t="shared" si="72"/>
        <v>0</v>
      </c>
      <c r="CI84" s="319">
        <f t="shared" si="72"/>
        <v>0</v>
      </c>
      <c r="CJ84" s="319">
        <f t="shared" si="72"/>
        <v>0</v>
      </c>
      <c r="CK84" s="319">
        <f t="shared" si="72"/>
        <v>0</v>
      </c>
      <c r="CL84" s="319">
        <f t="shared" si="72"/>
        <v>0</v>
      </c>
      <c r="CM84" s="319">
        <f t="shared" si="72"/>
        <v>0</v>
      </c>
      <c r="CN84" s="319">
        <f t="shared" si="72"/>
        <v>0</v>
      </c>
      <c r="CO84" s="319">
        <f t="shared" si="72"/>
        <v>0</v>
      </c>
      <c r="CP84" s="319">
        <f t="shared" si="72"/>
        <v>0</v>
      </c>
      <c r="CQ84" s="319">
        <f t="shared" si="72"/>
        <v>0</v>
      </c>
      <c r="CR84" s="319">
        <f t="shared" si="72"/>
        <v>0</v>
      </c>
      <c r="CS84" s="319">
        <f t="shared" si="72"/>
        <v>0</v>
      </c>
      <c r="CT84" s="319">
        <f t="shared" si="72"/>
        <v>0</v>
      </c>
      <c r="CU84" s="319">
        <f t="shared" si="72"/>
        <v>0</v>
      </c>
      <c r="CV84" s="319">
        <f t="shared" si="72"/>
        <v>0</v>
      </c>
    </row>
    <row r="85" spans="1:100" x14ac:dyDescent="0.25">
      <c r="A85" s="319">
        <f t="shared" si="65"/>
        <v>0</v>
      </c>
      <c r="B85" s="319">
        <f t="shared" si="71"/>
        <v>0</v>
      </c>
      <c r="C85" s="340" t="s">
        <v>1081</v>
      </c>
      <c r="D85" s="341" t="s">
        <v>357</v>
      </c>
      <c r="E85" s="341">
        <v>3</v>
      </c>
      <c r="F85" s="341" t="str">
        <f>IF(AND(E85&lt;CharacterSheet!$V$34,OR('House Rules'!$B$7="Standard",AND('House Rules'!$B$7="Ranked",OR(G84="Yes",G83="Yes")))),"Yes","No")</f>
        <v>No</v>
      </c>
      <c r="G85" s="564" t="s">
        <v>347</v>
      </c>
      <c r="H85" s="333" t="str">
        <f>IF(C85="","",VLOOKUP(C85,Boonref2!A:B,2,FALSE))</f>
        <v>Yes</v>
      </c>
      <c r="I85" s="333"/>
      <c r="J85" s="333" t="str">
        <f>VLOOKUP(C85,BoonRef!A:Z,17,FALSE)</f>
        <v>Yes</v>
      </c>
      <c r="K85" s="333" t="str">
        <f>IF(J85="God",'House Rules'!$B$2,IF(J85="Demi",'House Rules'!$B$1,IF(J85="Comp",'House Rules'!$B$4,IF(J85="Yaz",'House Rules'!$B$5,IF(J85="Rag",'House Rules'!$B$3,"Available")))))</f>
        <v>Available</v>
      </c>
      <c r="L85" s="333"/>
      <c r="M85" s="333"/>
      <c r="N85" s="340" t="s">
        <v>1434</v>
      </c>
      <c r="O85" s="341" t="s">
        <v>170</v>
      </c>
      <c r="P85" s="341" t="str">
        <f>IF('House Rules'!$B$4="Prohibited","No",IF(O85&lt;CharacterSheet!$V$34,"Yes","No"))</f>
        <v>No</v>
      </c>
      <c r="Q85" s="341">
        <v>4</v>
      </c>
      <c r="R85" s="344" t="s">
        <v>346</v>
      </c>
      <c r="S85" s="317"/>
      <c r="T85" s="319">
        <f t="shared" si="73"/>
        <v>0</v>
      </c>
      <c r="U85" s="345" t="s">
        <v>2471</v>
      </c>
      <c r="V85" s="341" t="s">
        <v>1207</v>
      </c>
      <c r="W85" s="346" t="s">
        <v>43</v>
      </c>
      <c r="X85" s="341">
        <v>4</v>
      </c>
      <c r="Y85" s="347" t="str">
        <f>IF(AND($D$2="Arete",CharacterSheet!$E$59&gt;2,CharacterSheet!$V$34&gt;X85,'House Rules'!$B$6="Free",'House Rules'!$D$6=W85),"Free",IF(AND($D$2="Arete",CharacterSheet!$E$59&gt;2,CharacterSheet!$V$34&gt;X85,Z84="Yes"),"Yes","No"))</f>
        <v>No</v>
      </c>
      <c r="Z85" s="572" t="s">
        <v>347</v>
      </c>
      <c r="AA85" s="556"/>
      <c r="AB85" s="319">
        <f t="shared" si="74"/>
        <v>0</v>
      </c>
      <c r="AC85" s="345" t="s">
        <v>2571</v>
      </c>
      <c r="AD85" s="341" t="s">
        <v>1207</v>
      </c>
      <c r="AE85" s="346" t="s">
        <v>53</v>
      </c>
      <c r="AF85" s="341">
        <v>4</v>
      </c>
      <c r="AG85" s="347" t="str">
        <f>IF(AND($D$2="Arete",CharacterSheet!$M$59&gt;2,CharacterSheet!$V$34&gt;AF85,'House Rules'!$B$6="Free",'House Rules'!$D$6=AE85),"Free",IF(AND($D$2="Arete",CharacterSheet!$M$59&gt;2,CharacterSheet!$V$34&gt;AF85,AH84="Yes"),"Yes","No"))</f>
        <v>No</v>
      </c>
      <c r="AH85" s="572" t="s">
        <v>347</v>
      </c>
      <c r="BF85" s="319">
        <f t="shared" si="75"/>
        <v>0</v>
      </c>
      <c r="BG85" s="345" t="s">
        <v>2601</v>
      </c>
      <c r="BI85" s="319">
        <f t="shared" si="66"/>
        <v>0</v>
      </c>
      <c r="BJ85" s="319">
        <f t="shared" si="72"/>
        <v>0</v>
      </c>
      <c r="BK85" s="319">
        <f t="shared" si="72"/>
        <v>0</v>
      </c>
      <c r="BL85" s="319">
        <f t="shared" si="72"/>
        <v>0</v>
      </c>
      <c r="BM85" s="319">
        <f t="shared" si="72"/>
        <v>0</v>
      </c>
      <c r="BN85" s="319">
        <f t="shared" si="72"/>
        <v>0</v>
      </c>
      <c r="BO85" s="319">
        <f t="shared" si="72"/>
        <v>0</v>
      </c>
      <c r="BP85" s="319">
        <f t="shared" si="72"/>
        <v>0</v>
      </c>
      <c r="BQ85" s="319">
        <f t="shared" si="72"/>
        <v>0</v>
      </c>
      <c r="BR85" s="319">
        <f t="shared" si="72"/>
        <v>0</v>
      </c>
      <c r="BS85" s="319">
        <f t="shared" si="72"/>
        <v>0</v>
      </c>
      <c r="BT85" s="319">
        <f t="shared" si="72"/>
        <v>0</v>
      </c>
      <c r="BU85" s="319">
        <f t="shared" si="72"/>
        <v>0</v>
      </c>
      <c r="BV85" s="319">
        <f t="shared" si="72"/>
        <v>0</v>
      </c>
      <c r="BW85" s="319">
        <f t="shared" si="72"/>
        <v>0</v>
      </c>
      <c r="BX85" s="319">
        <f t="shared" si="72"/>
        <v>0</v>
      </c>
      <c r="BY85" s="319">
        <f t="shared" si="72"/>
        <v>0</v>
      </c>
      <c r="BZ85" s="319">
        <f t="shared" si="72"/>
        <v>0</v>
      </c>
      <c r="CA85" s="319">
        <f t="shared" si="72"/>
        <v>0</v>
      </c>
      <c r="CB85" s="319">
        <f t="shared" si="72"/>
        <v>0</v>
      </c>
      <c r="CC85" s="319">
        <f t="shared" si="72"/>
        <v>0</v>
      </c>
      <c r="CD85" s="319">
        <f t="shared" si="72"/>
        <v>0</v>
      </c>
      <c r="CE85" s="319">
        <f t="shared" si="72"/>
        <v>0</v>
      </c>
      <c r="CF85" s="319">
        <f t="shared" si="72"/>
        <v>0</v>
      </c>
      <c r="CG85" s="319">
        <f t="shared" si="72"/>
        <v>0</v>
      </c>
      <c r="CH85" s="319">
        <f t="shared" si="72"/>
        <v>0</v>
      </c>
      <c r="CI85" s="319">
        <f t="shared" si="72"/>
        <v>0</v>
      </c>
      <c r="CJ85" s="319">
        <f t="shared" si="72"/>
        <v>0</v>
      </c>
      <c r="CK85" s="319">
        <f t="shared" si="72"/>
        <v>0</v>
      </c>
      <c r="CL85" s="319">
        <f t="shared" si="72"/>
        <v>0</v>
      </c>
      <c r="CM85" s="319">
        <f t="shared" si="72"/>
        <v>0</v>
      </c>
      <c r="CN85" s="319">
        <f t="shared" si="72"/>
        <v>0</v>
      </c>
      <c r="CO85" s="319">
        <f t="shared" si="72"/>
        <v>0</v>
      </c>
      <c r="CP85" s="319">
        <f t="shared" si="72"/>
        <v>0</v>
      </c>
      <c r="CQ85" s="319">
        <f t="shared" si="72"/>
        <v>0</v>
      </c>
      <c r="CR85" s="319">
        <f t="shared" si="72"/>
        <v>0</v>
      </c>
      <c r="CS85" s="319">
        <f t="shared" si="72"/>
        <v>0</v>
      </c>
      <c r="CT85" s="319">
        <f t="shared" si="72"/>
        <v>0</v>
      </c>
      <c r="CU85" s="319">
        <f t="shared" si="72"/>
        <v>0</v>
      </c>
      <c r="CV85" s="319">
        <f t="shared" si="72"/>
        <v>0</v>
      </c>
    </row>
    <row r="86" spans="1:100" x14ac:dyDescent="0.25">
      <c r="A86" s="319">
        <f t="shared" si="65"/>
        <v>0</v>
      </c>
      <c r="B86" s="319">
        <f t="shared" si="71"/>
        <v>0</v>
      </c>
      <c r="C86" s="340" t="s">
        <v>1390</v>
      </c>
      <c r="D86" s="341" t="s">
        <v>357</v>
      </c>
      <c r="E86" s="341">
        <v>3</v>
      </c>
      <c r="F86" s="341" t="str">
        <f>IF(AND(E86&lt;CharacterSheet!$V$34,'House Rules'!$B$4="Available",OR('House Rules'!$B$7="Standard",AND('House Rules'!$B$7="Ranked",OR(G83="Yes",G84="Yes")))),"Yes","No")</f>
        <v>No</v>
      </c>
      <c r="G86" s="564" t="s">
        <v>347</v>
      </c>
      <c r="H86" s="333" t="str">
        <f>IF(C86="","",VLOOKUP(C86,Boonref2!A:B,2,FALSE))</f>
        <v>No</v>
      </c>
      <c r="I86" s="333"/>
      <c r="J86" s="333" t="str">
        <f>VLOOKUP(C86,BoonRef!A:Z,17,FALSE)</f>
        <v>Yes</v>
      </c>
      <c r="K86" s="333" t="str">
        <f>IF(J86="God",'House Rules'!$B$2,IF(J86="Demi",'House Rules'!$B$1,IF(J86="Comp",'House Rules'!$B$4,IF(J86="Yaz",'House Rules'!$B$5,IF(J86="Rag",'House Rules'!$B$3,"Available")))))</f>
        <v>Available</v>
      </c>
      <c r="L86" s="333"/>
      <c r="M86" s="333"/>
      <c r="N86" s="340" t="s">
        <v>1435</v>
      </c>
      <c r="O86" s="341" t="s">
        <v>170</v>
      </c>
      <c r="P86" s="341" t="str">
        <f>IF('House Rules'!$B$4="Prohibited","No",IF(O86&lt;CharacterSheet!$V$34,"Yes","No"))</f>
        <v>No</v>
      </c>
      <c r="Q86" s="341">
        <v>5</v>
      </c>
      <c r="R86" s="344" t="s">
        <v>346</v>
      </c>
      <c r="S86" s="317"/>
      <c r="T86" s="319">
        <f t="shared" si="73"/>
        <v>0</v>
      </c>
      <c r="U86" s="345" t="s">
        <v>2472</v>
      </c>
      <c r="V86" s="341" t="s">
        <v>1208</v>
      </c>
      <c r="W86" s="346" t="s">
        <v>43</v>
      </c>
      <c r="X86" s="341">
        <v>5</v>
      </c>
      <c r="Y86" s="347" t="str">
        <f>IF(AND($D$2="Arete",CharacterSheet!$E$59&gt;2,CharacterSheet!$V$34&gt;X86,'House Rules'!$B$6="Free",'House Rules'!$D$6=W86),"Free",IF(AND($D$2="Arete",CharacterSheet!$E$59&gt;2,CharacterSheet!$V$34&gt;X86,Z85="Yes"),"Yes","No"))</f>
        <v>No</v>
      </c>
      <c r="Z86" s="572" t="s">
        <v>347</v>
      </c>
      <c r="AA86" s="556"/>
      <c r="AB86" s="319">
        <f t="shared" si="74"/>
        <v>0</v>
      </c>
      <c r="AC86" s="345" t="s">
        <v>2572</v>
      </c>
      <c r="AD86" s="341" t="s">
        <v>1208</v>
      </c>
      <c r="AE86" s="346" t="s">
        <v>53</v>
      </c>
      <c r="AF86" s="341">
        <v>5</v>
      </c>
      <c r="AG86" s="347" t="str">
        <f>IF(AND($D$2="Arete",CharacterSheet!$M$59&gt;2,CharacterSheet!$V$34&gt;AF86,'House Rules'!$B$6="Free",'House Rules'!$D$6=AE86),"Free",IF(AND($D$2="Arete",CharacterSheet!$M$59&gt;2,CharacterSheet!$V$34&gt;AF86,AH85="Yes"),"Yes","No"))</f>
        <v>No</v>
      </c>
      <c r="AH86" s="572" t="s">
        <v>347</v>
      </c>
      <c r="BF86" s="319">
        <f t="shared" si="75"/>
        <v>0</v>
      </c>
      <c r="BG86" s="345" t="s">
        <v>2602</v>
      </c>
      <c r="BI86" s="319">
        <f t="shared" si="66"/>
        <v>0</v>
      </c>
      <c r="BJ86" s="319">
        <f t="shared" si="72"/>
        <v>0</v>
      </c>
      <c r="BK86" s="319">
        <f t="shared" si="72"/>
        <v>0</v>
      </c>
      <c r="BL86" s="319">
        <f t="shared" si="72"/>
        <v>0</v>
      </c>
      <c r="BM86" s="319">
        <f t="shared" si="72"/>
        <v>0</v>
      </c>
      <c r="BN86" s="319">
        <f t="shared" si="72"/>
        <v>0</v>
      </c>
      <c r="BO86" s="319">
        <f t="shared" si="72"/>
        <v>0</v>
      </c>
      <c r="BP86" s="319">
        <f t="shared" si="72"/>
        <v>0</v>
      </c>
      <c r="BQ86" s="319">
        <f t="shared" si="72"/>
        <v>0</v>
      </c>
      <c r="BR86" s="319">
        <f t="shared" si="72"/>
        <v>0</v>
      </c>
      <c r="BS86" s="319">
        <f t="shared" si="72"/>
        <v>0</v>
      </c>
      <c r="BT86" s="319">
        <f t="shared" si="72"/>
        <v>0</v>
      </c>
      <c r="BU86" s="319">
        <f t="shared" si="72"/>
        <v>0</v>
      </c>
      <c r="BV86" s="319">
        <f t="shared" si="72"/>
        <v>0</v>
      </c>
      <c r="BW86" s="319">
        <f t="shared" si="72"/>
        <v>0</v>
      </c>
      <c r="BX86" s="319">
        <f t="shared" si="72"/>
        <v>0</v>
      </c>
      <c r="BY86" s="319">
        <f t="shared" si="72"/>
        <v>0</v>
      </c>
      <c r="BZ86" s="319">
        <f t="shared" si="72"/>
        <v>0</v>
      </c>
      <c r="CA86" s="319">
        <f t="shared" si="72"/>
        <v>0</v>
      </c>
      <c r="CB86" s="319">
        <f t="shared" si="72"/>
        <v>0</v>
      </c>
      <c r="CC86" s="319">
        <f t="shared" si="72"/>
        <v>0</v>
      </c>
      <c r="CD86" s="319">
        <f t="shared" si="72"/>
        <v>0</v>
      </c>
      <c r="CE86" s="319">
        <f t="shared" si="72"/>
        <v>0</v>
      </c>
      <c r="CF86" s="319">
        <f t="shared" si="72"/>
        <v>0</v>
      </c>
      <c r="CG86" s="319">
        <f t="shared" si="72"/>
        <v>0</v>
      </c>
      <c r="CH86" s="319">
        <f t="shared" si="72"/>
        <v>0</v>
      </c>
      <c r="CI86" s="319">
        <f t="shared" si="72"/>
        <v>0</v>
      </c>
      <c r="CJ86" s="319">
        <f t="shared" si="72"/>
        <v>0</v>
      </c>
      <c r="CK86" s="319">
        <f t="shared" si="72"/>
        <v>0</v>
      </c>
      <c r="CL86" s="319">
        <f t="shared" si="72"/>
        <v>0</v>
      </c>
      <c r="CM86" s="319">
        <f t="shared" si="72"/>
        <v>0</v>
      </c>
      <c r="CN86" s="319">
        <f t="shared" si="72"/>
        <v>0</v>
      </c>
      <c r="CO86" s="319">
        <f t="shared" si="72"/>
        <v>0</v>
      </c>
      <c r="CP86" s="319">
        <f t="shared" si="72"/>
        <v>0</v>
      </c>
      <c r="CQ86" s="319">
        <f t="shared" si="72"/>
        <v>0</v>
      </c>
      <c r="CR86" s="319">
        <f t="shared" si="72"/>
        <v>0</v>
      </c>
      <c r="CS86" s="319">
        <f t="shared" si="72"/>
        <v>0</v>
      </c>
      <c r="CT86" s="319">
        <f t="shared" si="72"/>
        <v>0</v>
      </c>
      <c r="CU86" s="319">
        <f t="shared" si="72"/>
        <v>0</v>
      </c>
      <c r="CV86" s="319">
        <f t="shared" si="72"/>
        <v>0</v>
      </c>
    </row>
    <row r="87" spans="1:100" x14ac:dyDescent="0.25">
      <c r="A87" s="319">
        <f t="shared" si="65"/>
        <v>0</v>
      </c>
      <c r="B87" s="319">
        <f t="shared" si="71"/>
        <v>0</v>
      </c>
      <c r="C87" s="340" t="s">
        <v>1163</v>
      </c>
      <c r="D87" s="341" t="s">
        <v>357</v>
      </c>
      <c r="E87" s="341">
        <v>4</v>
      </c>
      <c r="F87" s="341" t="str">
        <f>IF(AND(E87&lt;CharacterSheet!$V$34,'House Rules'!$B$1="Available",OR('House Rules'!$B$7="Standard",AND('House Rules'!$B$7="Ranked",OR(G86="Yes",G85="Yes")))),"Yes","No")</f>
        <v>No</v>
      </c>
      <c r="G87" s="564" t="s">
        <v>347</v>
      </c>
      <c r="H87" s="333" t="str">
        <f>IF(C87="","",VLOOKUP(C87,Boonref2!A:B,2,FALSE))</f>
        <v>Yes</v>
      </c>
      <c r="I87" s="333"/>
      <c r="J87" s="333" t="str">
        <f>VLOOKUP(C87,BoonRef!A:Z,17,FALSE)</f>
        <v>Yes</v>
      </c>
      <c r="K87" s="333" t="str">
        <f>IF(J87="God",'House Rules'!$B$2,IF(J87="Demi",'House Rules'!$B$1,IF(J87="Comp",'House Rules'!$B$4,IF(J87="Yaz",'House Rules'!$B$5,IF(J87="Rag",'House Rules'!$B$3,"Available")))))</f>
        <v>Available</v>
      </c>
      <c r="L87" s="333"/>
      <c r="M87" s="333"/>
      <c r="N87" s="340" t="s">
        <v>1436</v>
      </c>
      <c r="O87" s="341" t="s">
        <v>170</v>
      </c>
      <c r="P87" s="341" t="str">
        <f>IF('House Rules'!$B$4="Prohibited","No",IF(O87&lt;CharacterSheet!$V$34,"Yes","No"))</f>
        <v>No</v>
      </c>
      <c r="Q87" s="341">
        <v>6</v>
      </c>
      <c r="R87" s="344" t="s">
        <v>346</v>
      </c>
      <c r="S87" s="317"/>
      <c r="T87" s="319">
        <f t="shared" si="73"/>
        <v>0</v>
      </c>
      <c r="U87" s="345" t="s">
        <v>2473</v>
      </c>
      <c r="V87" s="341" t="s">
        <v>1209</v>
      </c>
      <c r="W87" s="346" t="s">
        <v>43</v>
      </c>
      <c r="X87" s="341">
        <v>6</v>
      </c>
      <c r="Y87" s="347" t="str">
        <f>IF(AND($D$2="Arete",CharacterSheet!$E$59&gt;2,CharacterSheet!$V$34&gt;X87,'House Rules'!$B$6="Free",'House Rules'!$D$6=W87),"Free",IF(AND($D$2="Arete",CharacterSheet!$E$59&gt;2,CharacterSheet!$V$34&gt;X87,Z86="Yes"),"Yes","No"))</f>
        <v>No</v>
      </c>
      <c r="Z87" s="572" t="s">
        <v>347</v>
      </c>
      <c r="AA87" s="556"/>
      <c r="AB87" s="319">
        <f t="shared" si="74"/>
        <v>0</v>
      </c>
      <c r="AC87" s="345" t="s">
        <v>2573</v>
      </c>
      <c r="AD87" s="341" t="s">
        <v>1209</v>
      </c>
      <c r="AE87" s="346" t="s">
        <v>53</v>
      </c>
      <c r="AF87" s="341">
        <v>6</v>
      </c>
      <c r="AG87" s="347" t="str">
        <f>IF(AND($D$2="Arete",CharacterSheet!$M$59&gt;2,CharacterSheet!$V$34&gt;AF87,'House Rules'!$B$6="Free",'House Rules'!$D$6=AE87),"Free",IF(AND($D$2="Arete",CharacterSheet!$M$59&gt;2,CharacterSheet!$V$34&gt;AF87,AH86="Yes"),"Yes","No"))</f>
        <v>No</v>
      </c>
      <c r="AH87" s="572" t="s">
        <v>347</v>
      </c>
      <c r="BF87" s="319">
        <f t="shared" si="75"/>
        <v>0</v>
      </c>
      <c r="BG87" s="345" t="s">
        <v>2603</v>
      </c>
      <c r="BI87" s="319">
        <f t="shared" si="66"/>
        <v>0</v>
      </c>
      <c r="BJ87" s="319">
        <f t="shared" si="72"/>
        <v>0</v>
      </c>
      <c r="BK87" s="319">
        <f t="shared" si="72"/>
        <v>0</v>
      </c>
      <c r="BL87" s="319">
        <f t="shared" si="72"/>
        <v>0</v>
      </c>
      <c r="BM87" s="319">
        <f t="shared" si="72"/>
        <v>0</v>
      </c>
      <c r="BN87" s="319">
        <f t="shared" si="72"/>
        <v>0</v>
      </c>
      <c r="BO87" s="319">
        <f t="shared" si="72"/>
        <v>0</v>
      </c>
      <c r="BP87" s="319">
        <f t="shared" si="72"/>
        <v>0</v>
      </c>
      <c r="BQ87" s="319">
        <f t="shared" si="72"/>
        <v>0</v>
      </c>
      <c r="BR87" s="319">
        <f t="shared" si="72"/>
        <v>0</v>
      </c>
      <c r="BS87" s="319">
        <f t="shared" si="72"/>
        <v>0</v>
      </c>
      <c r="BT87" s="319">
        <f t="shared" si="72"/>
        <v>0</v>
      </c>
      <c r="BU87" s="319">
        <f t="shared" si="72"/>
        <v>0</v>
      </c>
      <c r="BV87" s="319">
        <f t="shared" si="72"/>
        <v>0</v>
      </c>
      <c r="BW87" s="319">
        <f t="shared" si="72"/>
        <v>0</v>
      </c>
      <c r="BX87" s="319">
        <f t="shared" si="72"/>
        <v>0</v>
      </c>
      <c r="BY87" s="319">
        <f t="shared" si="72"/>
        <v>0</v>
      </c>
      <c r="BZ87" s="319">
        <f t="shared" si="72"/>
        <v>0</v>
      </c>
      <c r="CA87" s="319">
        <f t="shared" si="72"/>
        <v>0</v>
      </c>
      <c r="CB87" s="319">
        <f t="shared" si="72"/>
        <v>0</v>
      </c>
      <c r="CC87" s="319">
        <f t="shared" si="72"/>
        <v>0</v>
      </c>
      <c r="CD87" s="319">
        <f t="shared" si="72"/>
        <v>0</v>
      </c>
      <c r="CE87" s="319">
        <f t="shared" si="72"/>
        <v>0</v>
      </c>
      <c r="CF87" s="319">
        <f t="shared" si="72"/>
        <v>0</v>
      </c>
      <c r="CG87" s="319">
        <f t="shared" si="72"/>
        <v>0</v>
      </c>
      <c r="CH87" s="319">
        <f t="shared" si="72"/>
        <v>0</v>
      </c>
      <c r="CI87" s="319">
        <f t="shared" si="72"/>
        <v>0</v>
      </c>
      <c r="CJ87" s="319">
        <f t="shared" si="72"/>
        <v>0</v>
      </c>
      <c r="CK87" s="319">
        <f t="shared" si="72"/>
        <v>0</v>
      </c>
      <c r="CL87" s="319">
        <f t="shared" si="72"/>
        <v>0</v>
      </c>
      <c r="CM87" s="319">
        <f t="shared" si="72"/>
        <v>0</v>
      </c>
      <c r="CN87" s="319">
        <f t="shared" ref="BJ87:CV94" si="76">IF(AND($D87=CN$1,$G87="Yes"),$E87,0)</f>
        <v>0</v>
      </c>
      <c r="CO87" s="319">
        <f t="shared" si="76"/>
        <v>0</v>
      </c>
      <c r="CP87" s="319">
        <f t="shared" si="76"/>
        <v>0</v>
      </c>
      <c r="CQ87" s="319">
        <f t="shared" si="76"/>
        <v>0</v>
      </c>
      <c r="CR87" s="319">
        <f t="shared" si="76"/>
        <v>0</v>
      </c>
      <c r="CS87" s="319">
        <f t="shared" si="76"/>
        <v>0</v>
      </c>
      <c r="CT87" s="319">
        <f t="shared" si="76"/>
        <v>0</v>
      </c>
      <c r="CU87" s="319">
        <f t="shared" si="76"/>
        <v>0</v>
      </c>
      <c r="CV87" s="319">
        <f t="shared" si="76"/>
        <v>0</v>
      </c>
    </row>
    <row r="88" spans="1:100" x14ac:dyDescent="0.25">
      <c r="A88" s="319">
        <f t="shared" si="65"/>
        <v>0</v>
      </c>
      <c r="B88" s="319">
        <f t="shared" si="71"/>
        <v>0</v>
      </c>
      <c r="C88" s="340" t="s">
        <v>1164</v>
      </c>
      <c r="D88" s="341" t="s">
        <v>357</v>
      </c>
      <c r="E88" s="341">
        <v>5</v>
      </c>
      <c r="F88" s="341" t="str">
        <f>IF(AND(E88&lt;CharacterSheet!$V$34,'House Rules'!$B$1="Available",OR('House Rules'!$B$7="Standard",AND('House Rules'!$B$7="Ranked",G87="Yes"))),"Yes","No")</f>
        <v>No</v>
      </c>
      <c r="G88" s="564" t="s">
        <v>347</v>
      </c>
      <c r="H88" s="333" t="str">
        <f>IF(C88="","",VLOOKUP(C88,Boonref2!A:B,2,FALSE))</f>
        <v>Yes</v>
      </c>
      <c r="I88" s="333"/>
      <c r="J88" s="333" t="str">
        <f>VLOOKUP(C88,BoonRef!A:Z,17,FALSE)</f>
        <v>Yes</v>
      </c>
      <c r="K88" s="333" t="str">
        <f>IF(J88="God",'House Rules'!$B$2,IF(J88="Demi",'House Rules'!$B$1,IF(J88="Comp",'House Rules'!$B$4,IF(J88="Yaz",'House Rules'!$B$5,IF(J88="Rag",'House Rules'!$B$3,"Available")))))</f>
        <v>Available</v>
      </c>
      <c r="L88" s="333"/>
      <c r="M88" s="333"/>
      <c r="N88" s="340" t="s">
        <v>1437</v>
      </c>
      <c r="O88" s="341" t="s">
        <v>170</v>
      </c>
      <c r="P88" s="341" t="str">
        <f>IF('House Rules'!$B$4="Prohibited","No",IF(O88&lt;CharacterSheet!$V$34,"Yes","No"))</f>
        <v>No</v>
      </c>
      <c r="Q88" s="341">
        <v>7</v>
      </c>
      <c r="R88" s="344" t="s">
        <v>346</v>
      </c>
      <c r="S88" s="317"/>
      <c r="T88" s="319">
        <f t="shared" si="73"/>
        <v>0</v>
      </c>
      <c r="U88" s="345" t="s">
        <v>2474</v>
      </c>
      <c r="V88" s="341" t="s">
        <v>1210</v>
      </c>
      <c r="W88" s="346" t="s">
        <v>43</v>
      </c>
      <c r="X88" s="341">
        <v>7</v>
      </c>
      <c r="Y88" s="347" t="str">
        <f>IF(AND($D$2="Arete",CharacterSheet!$E$59&gt;2,CharacterSheet!$V$34&gt;X88,'House Rules'!$B$6="Free",'House Rules'!$D$6=W88),"Free",IF(AND($D$2="Arete",CharacterSheet!$E$59&gt;2,CharacterSheet!$V$34&gt;X88,Z87="Yes"),"Yes","No"))</f>
        <v>No</v>
      </c>
      <c r="Z88" s="572" t="s">
        <v>347</v>
      </c>
      <c r="AA88" s="556"/>
      <c r="AB88" s="319">
        <f t="shared" si="74"/>
        <v>0</v>
      </c>
      <c r="AC88" s="345" t="s">
        <v>2574</v>
      </c>
      <c r="AD88" s="341" t="s">
        <v>1210</v>
      </c>
      <c r="AE88" s="346" t="s">
        <v>53</v>
      </c>
      <c r="AF88" s="341">
        <v>7</v>
      </c>
      <c r="AG88" s="347" t="str">
        <f>IF(AND($D$2="Arete",CharacterSheet!$M$59&gt;2,CharacterSheet!$V$34&gt;AF88,'House Rules'!$B$6="Free",'House Rules'!$D$6=AE88),"Free",IF(AND($D$2="Arete",CharacterSheet!$M$59&gt;2,CharacterSheet!$V$34&gt;AF88,AH87="Yes"),"Yes","No"))</f>
        <v>No</v>
      </c>
      <c r="AH88" s="572" t="s">
        <v>347</v>
      </c>
      <c r="BF88" s="319">
        <f t="shared" si="75"/>
        <v>0</v>
      </c>
      <c r="BG88" s="345" t="s">
        <v>2604</v>
      </c>
      <c r="BI88" s="319">
        <f t="shared" si="66"/>
        <v>0</v>
      </c>
      <c r="BJ88" s="319">
        <f t="shared" si="76"/>
        <v>0</v>
      </c>
      <c r="BK88" s="319">
        <f t="shared" si="76"/>
        <v>0</v>
      </c>
      <c r="BL88" s="319">
        <f t="shared" si="76"/>
        <v>0</v>
      </c>
      <c r="BM88" s="319">
        <f t="shared" si="76"/>
        <v>0</v>
      </c>
      <c r="BN88" s="319">
        <f t="shared" si="76"/>
        <v>0</v>
      </c>
      <c r="BO88" s="319">
        <f t="shared" si="76"/>
        <v>0</v>
      </c>
      <c r="BP88" s="319">
        <f t="shared" si="76"/>
        <v>0</v>
      </c>
      <c r="BQ88" s="319">
        <f t="shared" si="76"/>
        <v>0</v>
      </c>
      <c r="BR88" s="319">
        <f t="shared" si="76"/>
        <v>0</v>
      </c>
      <c r="BS88" s="319">
        <f t="shared" si="76"/>
        <v>0</v>
      </c>
      <c r="BT88" s="319">
        <f t="shared" si="76"/>
        <v>0</v>
      </c>
      <c r="BU88" s="319">
        <f t="shared" si="76"/>
        <v>0</v>
      </c>
      <c r="BV88" s="319">
        <f t="shared" si="76"/>
        <v>0</v>
      </c>
      <c r="BW88" s="319">
        <f t="shared" si="76"/>
        <v>0</v>
      </c>
      <c r="BX88" s="319">
        <f t="shared" si="76"/>
        <v>0</v>
      </c>
      <c r="BY88" s="319">
        <f t="shared" si="76"/>
        <v>0</v>
      </c>
      <c r="BZ88" s="319">
        <f t="shared" si="76"/>
        <v>0</v>
      </c>
      <c r="CA88" s="319">
        <f t="shared" si="76"/>
        <v>0</v>
      </c>
      <c r="CB88" s="319">
        <f t="shared" si="76"/>
        <v>0</v>
      </c>
      <c r="CC88" s="319">
        <f t="shared" si="76"/>
        <v>0</v>
      </c>
      <c r="CD88" s="319">
        <f t="shared" si="76"/>
        <v>0</v>
      </c>
      <c r="CE88" s="319">
        <f t="shared" si="76"/>
        <v>0</v>
      </c>
      <c r="CF88" s="319">
        <f t="shared" si="76"/>
        <v>0</v>
      </c>
      <c r="CG88" s="319">
        <f t="shared" si="76"/>
        <v>0</v>
      </c>
      <c r="CH88" s="319">
        <f t="shared" si="76"/>
        <v>0</v>
      </c>
      <c r="CI88" s="319">
        <f t="shared" si="76"/>
        <v>0</v>
      </c>
      <c r="CJ88" s="319">
        <f t="shared" si="76"/>
        <v>0</v>
      </c>
      <c r="CK88" s="319">
        <f t="shared" si="76"/>
        <v>0</v>
      </c>
      <c r="CL88" s="319">
        <f t="shared" si="76"/>
        <v>0</v>
      </c>
      <c r="CM88" s="319">
        <f t="shared" si="76"/>
        <v>0</v>
      </c>
      <c r="CN88" s="319">
        <f t="shared" si="76"/>
        <v>0</v>
      </c>
      <c r="CO88" s="319">
        <f t="shared" si="76"/>
        <v>0</v>
      </c>
      <c r="CP88" s="319">
        <f t="shared" si="76"/>
        <v>0</v>
      </c>
      <c r="CQ88" s="319">
        <f t="shared" si="76"/>
        <v>0</v>
      </c>
      <c r="CR88" s="319">
        <f t="shared" si="76"/>
        <v>0</v>
      </c>
      <c r="CS88" s="319">
        <f t="shared" si="76"/>
        <v>0</v>
      </c>
      <c r="CT88" s="319">
        <f t="shared" si="76"/>
        <v>0</v>
      </c>
      <c r="CU88" s="319">
        <f t="shared" si="76"/>
        <v>0</v>
      </c>
      <c r="CV88" s="319">
        <f t="shared" si="76"/>
        <v>0</v>
      </c>
    </row>
    <row r="89" spans="1:100" x14ac:dyDescent="0.25">
      <c r="A89" s="319">
        <f t="shared" si="65"/>
        <v>0</v>
      </c>
      <c r="B89" s="319">
        <f t="shared" si="71"/>
        <v>0</v>
      </c>
      <c r="C89" s="340" t="s">
        <v>1165</v>
      </c>
      <c r="D89" s="341" t="s">
        <v>357</v>
      </c>
      <c r="E89" s="341">
        <v>6</v>
      </c>
      <c r="F89" s="341" t="str">
        <f>IF(AND(E89&lt;CharacterSheet!$V$34,'House Rules'!$B$1="Available",OR('House Rules'!$B$7="Standard",AND('House Rules'!$B$7="Ranked",G88="Yes"))),"Yes","No")</f>
        <v>No</v>
      </c>
      <c r="G89" s="564" t="s">
        <v>347</v>
      </c>
      <c r="H89" s="333" t="str">
        <f>IF(C89="","",VLOOKUP(C89,Boonref2!A:B,2,FALSE))</f>
        <v>Yes</v>
      </c>
      <c r="I89" s="333"/>
      <c r="J89" s="333" t="str">
        <f>VLOOKUP(C89,BoonRef!A:Z,17,FALSE)</f>
        <v>Yes</v>
      </c>
      <c r="K89" s="333" t="str">
        <f>IF(J89="God",'House Rules'!$B$2,IF(J89="Demi",'House Rules'!$B$1,IF(J89="Comp",'House Rules'!$B$4,IF(J89="Yaz",'House Rules'!$B$5,IF(J89="Rag",'House Rules'!$B$3,"Available")))))</f>
        <v>Available</v>
      </c>
      <c r="L89" s="333"/>
      <c r="M89" s="333"/>
      <c r="N89" s="340" t="s">
        <v>1438</v>
      </c>
      <c r="O89" s="341" t="s">
        <v>170</v>
      </c>
      <c r="P89" s="341" t="str">
        <f>IF('House Rules'!$B$4="Prohibited","No",IF(O89&lt;CharacterSheet!$V$34,"Yes","No"))</f>
        <v>No</v>
      </c>
      <c r="Q89" s="341">
        <v>8</v>
      </c>
      <c r="R89" s="344" t="s">
        <v>346</v>
      </c>
      <c r="S89" s="317"/>
      <c r="T89" s="319">
        <f t="shared" si="73"/>
        <v>0</v>
      </c>
      <c r="U89" s="345" t="s">
        <v>2475</v>
      </c>
      <c r="V89" s="341" t="s">
        <v>1306</v>
      </c>
      <c r="W89" s="346" t="s">
        <v>43</v>
      </c>
      <c r="X89" s="341">
        <v>8</v>
      </c>
      <c r="Y89" s="347" t="str">
        <f>IF(AND($D$2="Arete",CharacterSheet!$E$59&gt;2,CharacterSheet!$V$34&gt;X89,'House Rules'!$B$6="Free",'House Rules'!$D$6=W89),"Free",IF(AND($D$2="Arete",CharacterSheet!$E$59&gt;2,CharacterSheet!$V$34&gt;X89,Z88="Yes"),"Yes","No"))</f>
        <v>No</v>
      </c>
      <c r="Z89" s="572" t="s">
        <v>347</v>
      </c>
      <c r="AA89" s="556"/>
      <c r="AB89" s="319">
        <f t="shared" si="74"/>
        <v>0</v>
      </c>
      <c r="AC89" s="345" t="s">
        <v>2575</v>
      </c>
      <c r="AD89" s="341" t="s">
        <v>1306</v>
      </c>
      <c r="AE89" s="346" t="s">
        <v>53</v>
      </c>
      <c r="AF89" s="341">
        <v>8</v>
      </c>
      <c r="AG89" s="347" t="str">
        <f>IF(AND($D$2="Arete",CharacterSheet!$M$59&gt;2,CharacterSheet!$V$34&gt;AF89,'House Rules'!$B$6="Free",'House Rules'!$D$6=AE89),"Free",IF(AND($D$2="Arete",CharacterSheet!$M$59&gt;2,CharacterSheet!$V$34&gt;AF89,AH88="Yes"),"Yes","No"))</f>
        <v>No</v>
      </c>
      <c r="AH89" s="572" t="s">
        <v>347</v>
      </c>
      <c r="BF89" s="319">
        <f t="shared" si="75"/>
        <v>0</v>
      </c>
      <c r="BG89" s="345" t="s">
        <v>2605</v>
      </c>
      <c r="BI89" s="319">
        <f t="shared" si="66"/>
        <v>0</v>
      </c>
      <c r="BJ89" s="319">
        <f t="shared" si="76"/>
        <v>0</v>
      </c>
      <c r="BK89" s="319">
        <f t="shared" si="76"/>
        <v>0</v>
      </c>
      <c r="BL89" s="319">
        <f t="shared" si="76"/>
        <v>0</v>
      </c>
      <c r="BM89" s="319">
        <f t="shared" si="76"/>
        <v>0</v>
      </c>
      <c r="BN89" s="319">
        <f t="shared" si="76"/>
        <v>0</v>
      </c>
      <c r="BO89" s="319">
        <f t="shared" si="76"/>
        <v>0</v>
      </c>
      <c r="BP89" s="319">
        <f t="shared" si="76"/>
        <v>0</v>
      </c>
      <c r="BQ89" s="319">
        <f t="shared" si="76"/>
        <v>0</v>
      </c>
      <c r="BR89" s="319">
        <f t="shared" si="76"/>
        <v>0</v>
      </c>
      <c r="BS89" s="319">
        <f t="shared" si="76"/>
        <v>0</v>
      </c>
      <c r="BT89" s="319">
        <f t="shared" si="76"/>
        <v>0</v>
      </c>
      <c r="BU89" s="319">
        <f t="shared" si="76"/>
        <v>0</v>
      </c>
      <c r="BV89" s="319">
        <f t="shared" si="76"/>
        <v>0</v>
      </c>
      <c r="BW89" s="319">
        <f t="shared" si="76"/>
        <v>0</v>
      </c>
      <c r="BX89" s="319">
        <f t="shared" si="76"/>
        <v>0</v>
      </c>
      <c r="BY89" s="319">
        <f t="shared" si="76"/>
        <v>0</v>
      </c>
      <c r="BZ89" s="319">
        <f t="shared" si="76"/>
        <v>0</v>
      </c>
      <c r="CA89" s="319">
        <f t="shared" si="76"/>
        <v>0</v>
      </c>
      <c r="CB89" s="319">
        <f t="shared" si="76"/>
        <v>0</v>
      </c>
      <c r="CC89" s="319">
        <f t="shared" si="76"/>
        <v>0</v>
      </c>
      <c r="CD89" s="319">
        <f t="shared" si="76"/>
        <v>0</v>
      </c>
      <c r="CE89" s="319">
        <f t="shared" si="76"/>
        <v>0</v>
      </c>
      <c r="CF89" s="319">
        <f t="shared" si="76"/>
        <v>0</v>
      </c>
      <c r="CG89" s="319">
        <f t="shared" si="76"/>
        <v>0</v>
      </c>
      <c r="CH89" s="319">
        <f t="shared" si="76"/>
        <v>0</v>
      </c>
      <c r="CI89" s="319">
        <f t="shared" si="76"/>
        <v>0</v>
      </c>
      <c r="CJ89" s="319">
        <f t="shared" si="76"/>
        <v>0</v>
      </c>
      <c r="CK89" s="319">
        <f t="shared" si="76"/>
        <v>0</v>
      </c>
      <c r="CL89" s="319">
        <f t="shared" si="76"/>
        <v>0</v>
      </c>
      <c r="CM89" s="319">
        <f t="shared" si="76"/>
        <v>0</v>
      </c>
      <c r="CN89" s="319">
        <f t="shared" si="76"/>
        <v>0</v>
      </c>
      <c r="CO89" s="319">
        <f t="shared" si="76"/>
        <v>0</v>
      </c>
      <c r="CP89" s="319">
        <f t="shared" si="76"/>
        <v>0</v>
      </c>
      <c r="CQ89" s="319">
        <f t="shared" si="76"/>
        <v>0</v>
      </c>
      <c r="CR89" s="319">
        <f t="shared" si="76"/>
        <v>0</v>
      </c>
      <c r="CS89" s="319">
        <f t="shared" si="76"/>
        <v>0</v>
      </c>
      <c r="CT89" s="319">
        <f t="shared" si="76"/>
        <v>0</v>
      </c>
      <c r="CU89" s="319">
        <f t="shared" si="76"/>
        <v>0</v>
      </c>
      <c r="CV89" s="319">
        <f t="shared" si="76"/>
        <v>0</v>
      </c>
    </row>
    <row r="90" spans="1:100" x14ac:dyDescent="0.25">
      <c r="A90" s="319">
        <f t="shared" si="65"/>
        <v>0</v>
      </c>
      <c r="B90" s="319">
        <f t="shared" si="71"/>
        <v>0</v>
      </c>
      <c r="C90" s="340" t="s">
        <v>1166</v>
      </c>
      <c r="D90" s="341" t="s">
        <v>357</v>
      </c>
      <c r="E90" s="341">
        <v>7</v>
      </c>
      <c r="F90" s="341" t="str">
        <f>IF(AND(E90&lt;CharacterSheet!$V$34,'House Rules'!$B$1="Available",OR('House Rules'!$B$7="Standard",AND('House Rules'!$B$7="Ranked",G89="Yes"))),"Yes","No")</f>
        <v>No</v>
      </c>
      <c r="G90" s="564" t="s">
        <v>347</v>
      </c>
      <c r="H90" s="333" t="str">
        <f>IF(C90="","",VLOOKUP(C90,Boonref2!A:B,2,FALSE))</f>
        <v>Yes</v>
      </c>
      <c r="I90" s="333"/>
      <c r="J90" s="333" t="str">
        <f>VLOOKUP(C90,BoonRef!A:Z,17,FALSE)</f>
        <v>Yes</v>
      </c>
      <c r="K90" s="333" t="str">
        <f>IF(J90="God",'House Rules'!$B$2,IF(J90="Demi",'House Rules'!$B$1,IF(J90="Comp",'House Rules'!$B$4,IF(J90="Yaz",'House Rules'!$B$5,IF(J90="Rag",'House Rules'!$B$3,"Available")))))</f>
        <v>Available</v>
      </c>
      <c r="L90" s="333"/>
      <c r="M90" s="333"/>
      <c r="N90" s="340" t="s">
        <v>1439</v>
      </c>
      <c r="O90" s="341" t="s">
        <v>170</v>
      </c>
      <c r="P90" s="341" t="str">
        <f>IF('House Rules'!$B$4="Prohibited","No",IF(O90&lt;CharacterSheet!$V$34,"Yes","No"))</f>
        <v>No</v>
      </c>
      <c r="Q90" s="341">
        <v>9</v>
      </c>
      <c r="R90" s="344" t="s">
        <v>347</v>
      </c>
      <c r="S90" s="317"/>
      <c r="T90" s="319">
        <f t="shared" si="73"/>
        <v>0</v>
      </c>
      <c r="U90" s="345" t="s">
        <v>2476</v>
      </c>
      <c r="V90" s="341" t="s">
        <v>1307</v>
      </c>
      <c r="W90" s="346" t="s">
        <v>43</v>
      </c>
      <c r="X90" s="341">
        <v>9</v>
      </c>
      <c r="Y90" s="347" t="str">
        <f>IF(AND($D$2="Arete",CharacterSheet!$E$59&gt;2,CharacterSheet!$V$34&gt;X90,'House Rules'!$B$6="Free",'House Rules'!$D$6=W90),"Free",IF(AND($D$2="Arete",CharacterSheet!$E$59&gt;2,CharacterSheet!$V$34&gt;X90,Z89="Yes"),"Yes","No"))</f>
        <v>No</v>
      </c>
      <c r="Z90" s="572" t="s">
        <v>347</v>
      </c>
      <c r="AA90" s="556"/>
      <c r="AB90" s="319">
        <f t="shared" si="74"/>
        <v>0</v>
      </c>
      <c r="AC90" s="345" t="s">
        <v>2576</v>
      </c>
      <c r="AD90" s="341" t="s">
        <v>1307</v>
      </c>
      <c r="AE90" s="346" t="s">
        <v>53</v>
      </c>
      <c r="AF90" s="341">
        <v>9</v>
      </c>
      <c r="AG90" s="347" t="str">
        <f>IF(AND($D$2="Arete",CharacterSheet!$M$59&gt;2,CharacterSheet!$V$34&gt;AF90,'House Rules'!$B$6="Free",'House Rules'!$D$6=AE90),"Free",IF(AND($D$2="Arete",CharacterSheet!$M$59&gt;2,CharacterSheet!$V$34&gt;AF90,AH89="Yes"),"Yes","No"))</f>
        <v>No</v>
      </c>
      <c r="AH90" s="572" t="s">
        <v>347</v>
      </c>
      <c r="BF90" s="319">
        <f t="shared" si="75"/>
        <v>0</v>
      </c>
      <c r="BG90" s="345" t="s">
        <v>2606</v>
      </c>
      <c r="BI90" s="319">
        <f t="shared" si="66"/>
        <v>0</v>
      </c>
      <c r="BJ90" s="319">
        <f t="shared" si="76"/>
        <v>0</v>
      </c>
      <c r="BK90" s="319">
        <f t="shared" si="76"/>
        <v>0</v>
      </c>
      <c r="BL90" s="319">
        <f t="shared" si="76"/>
        <v>0</v>
      </c>
      <c r="BM90" s="319">
        <f t="shared" si="76"/>
        <v>0</v>
      </c>
      <c r="BN90" s="319">
        <f t="shared" si="76"/>
        <v>0</v>
      </c>
      <c r="BO90" s="319">
        <f t="shared" si="76"/>
        <v>0</v>
      </c>
      <c r="BP90" s="319">
        <f t="shared" si="76"/>
        <v>0</v>
      </c>
      <c r="BQ90" s="319">
        <f t="shared" si="76"/>
        <v>0</v>
      </c>
      <c r="BR90" s="319">
        <f t="shared" si="76"/>
        <v>0</v>
      </c>
      <c r="BS90" s="319">
        <f t="shared" si="76"/>
        <v>0</v>
      </c>
      <c r="BT90" s="319">
        <f t="shared" si="76"/>
        <v>0</v>
      </c>
      <c r="BU90" s="319">
        <f t="shared" si="76"/>
        <v>0</v>
      </c>
      <c r="BV90" s="319">
        <f t="shared" si="76"/>
        <v>0</v>
      </c>
      <c r="BW90" s="319">
        <f t="shared" si="76"/>
        <v>0</v>
      </c>
      <c r="BX90" s="319">
        <f t="shared" si="76"/>
        <v>0</v>
      </c>
      <c r="BY90" s="319">
        <f t="shared" si="76"/>
        <v>0</v>
      </c>
      <c r="BZ90" s="319">
        <f t="shared" si="76"/>
        <v>0</v>
      </c>
      <c r="CA90" s="319">
        <f t="shared" si="76"/>
        <v>0</v>
      </c>
      <c r="CB90" s="319">
        <f t="shared" si="76"/>
        <v>0</v>
      </c>
      <c r="CC90" s="319">
        <f t="shared" si="76"/>
        <v>0</v>
      </c>
      <c r="CD90" s="319">
        <f t="shared" si="76"/>
        <v>0</v>
      </c>
      <c r="CE90" s="319">
        <f t="shared" si="76"/>
        <v>0</v>
      </c>
      <c r="CF90" s="319">
        <f t="shared" si="76"/>
        <v>0</v>
      </c>
      <c r="CG90" s="319">
        <f t="shared" si="76"/>
        <v>0</v>
      </c>
      <c r="CH90" s="319">
        <f t="shared" si="76"/>
        <v>0</v>
      </c>
      <c r="CI90" s="319">
        <f t="shared" si="76"/>
        <v>0</v>
      </c>
      <c r="CJ90" s="319">
        <f t="shared" si="76"/>
        <v>0</v>
      </c>
      <c r="CK90" s="319">
        <f t="shared" si="76"/>
        <v>0</v>
      </c>
      <c r="CL90" s="319">
        <f t="shared" si="76"/>
        <v>0</v>
      </c>
      <c r="CM90" s="319">
        <f t="shared" si="76"/>
        <v>0</v>
      </c>
      <c r="CN90" s="319">
        <f t="shared" si="76"/>
        <v>0</v>
      </c>
      <c r="CO90" s="319">
        <f t="shared" si="76"/>
        <v>0</v>
      </c>
      <c r="CP90" s="319">
        <f t="shared" si="76"/>
        <v>0</v>
      </c>
      <c r="CQ90" s="319">
        <f t="shared" si="76"/>
        <v>0</v>
      </c>
      <c r="CR90" s="319">
        <f t="shared" si="76"/>
        <v>0</v>
      </c>
      <c r="CS90" s="319">
        <f t="shared" si="76"/>
        <v>0</v>
      </c>
      <c r="CT90" s="319">
        <f t="shared" si="76"/>
        <v>0</v>
      </c>
      <c r="CU90" s="319">
        <f t="shared" si="76"/>
        <v>0</v>
      </c>
      <c r="CV90" s="319">
        <f t="shared" si="76"/>
        <v>0</v>
      </c>
    </row>
    <row r="91" spans="1:100" ht="15.75" thickBot="1" x14ac:dyDescent="0.3">
      <c r="A91" s="319">
        <f t="shared" si="65"/>
        <v>0</v>
      </c>
      <c r="B91" s="319">
        <f t="shared" si="71"/>
        <v>0</v>
      </c>
      <c r="C91" s="340" t="s">
        <v>1263</v>
      </c>
      <c r="D91" s="341" t="s">
        <v>357</v>
      </c>
      <c r="E91" s="341">
        <v>8</v>
      </c>
      <c r="F91" s="341" t="str">
        <f>IF(AND(E91&lt;CharacterSheet!$V$34,'House Rules'!$B$2="available",OR('House Rules'!$B$7="Standard",AND('House Rules'!$B$7="Ranked",G90="Yes"))),"Yes","No")</f>
        <v>No</v>
      </c>
      <c r="G91" s="564" t="s">
        <v>347</v>
      </c>
      <c r="H91" s="333" t="str">
        <f>IF(C91="","",VLOOKUP(C91,Boonref2!A:B,2,FALSE))</f>
        <v>Yes</v>
      </c>
      <c r="I91" s="333"/>
      <c r="J91" s="333" t="str">
        <f>VLOOKUP(C91,BoonRef!A:Z,17,FALSE)</f>
        <v>Yes</v>
      </c>
      <c r="K91" s="333" t="str">
        <f>IF(J91="God",'House Rules'!$B$2,IF(J91="Demi",'House Rules'!$B$1,IF(J91="Comp",'House Rules'!$B$4,IF(J91="Yaz",'House Rules'!$B$5,IF(J91="Rag",'House Rules'!$B$3,"Available")))))</f>
        <v>Available</v>
      </c>
      <c r="L91" s="333"/>
      <c r="M91" s="333"/>
      <c r="N91" s="340" t="s">
        <v>1440</v>
      </c>
      <c r="O91" s="341" t="s">
        <v>170</v>
      </c>
      <c r="P91" s="341" t="str">
        <f>IF('House Rules'!$B$4="Prohibited","No",IF(O91&lt;CharacterSheet!$V$34,"Yes","No"))</f>
        <v>No</v>
      </c>
      <c r="Q91" s="341">
        <v>10</v>
      </c>
      <c r="R91" s="344" t="s">
        <v>346</v>
      </c>
      <c r="S91" s="317"/>
      <c r="T91" s="319">
        <f>IF(Z91="Yes",LARGE($T$72:$T$81,1)+1,LARGE($T$72:$T$81,1))</f>
        <v>0</v>
      </c>
      <c r="U91" s="355" t="s">
        <v>2477</v>
      </c>
      <c r="V91" s="353" t="s">
        <v>1308</v>
      </c>
      <c r="W91" s="356" t="s">
        <v>43</v>
      </c>
      <c r="X91" s="353">
        <v>10</v>
      </c>
      <c r="Y91" s="347" t="str">
        <f>IF(AND($D$2="Arete",CharacterSheet!$E$59&gt;2,CharacterSheet!$V$34&gt;X91,'House Rules'!$B$6="Free",'House Rules'!$D$6=W91),"Free",IF(AND($D$2="Arete",CharacterSheet!$E$59&gt;2,CharacterSheet!$V$34&gt;X91,Z90="Yes"),"Yes","No"))</f>
        <v>No</v>
      </c>
      <c r="Z91" s="573" t="s">
        <v>347</v>
      </c>
      <c r="AA91" s="556"/>
      <c r="AB91" s="319">
        <f>IF(AH91="Yes",LARGE($AB$72:$AB$81,1)+1,LARGE($AB$72:$AB$81,1))</f>
        <v>0</v>
      </c>
      <c r="AC91" s="355" t="s">
        <v>2577</v>
      </c>
      <c r="AD91" s="353" t="s">
        <v>1308</v>
      </c>
      <c r="AE91" s="356" t="s">
        <v>53</v>
      </c>
      <c r="AF91" s="353">
        <v>10</v>
      </c>
      <c r="AG91" s="347" t="str">
        <f>IF(AND($D$2="Arete",CharacterSheet!$M$59&gt;2,CharacterSheet!$V$34&gt;AF91,'House Rules'!$B$6="Free",'House Rules'!$D$6=AE91),"Free",IF(AND($D$2="Arete",CharacterSheet!$M$59&gt;2,CharacterSheet!$V$34&gt;AF91,AH90="Yes"),"Yes","No"))</f>
        <v>No</v>
      </c>
      <c r="AH91" s="573" t="s">
        <v>347</v>
      </c>
      <c r="BF91" s="319">
        <f t="shared" si="75"/>
        <v>0</v>
      </c>
      <c r="BG91" s="355" t="s">
        <v>2607</v>
      </c>
      <c r="BI91" s="319">
        <f t="shared" si="66"/>
        <v>0</v>
      </c>
      <c r="BJ91" s="319">
        <f t="shared" si="76"/>
        <v>0</v>
      </c>
      <c r="BK91" s="319">
        <f t="shared" si="76"/>
        <v>0</v>
      </c>
      <c r="BL91" s="319">
        <f t="shared" si="76"/>
        <v>0</v>
      </c>
      <c r="BM91" s="319">
        <f t="shared" si="76"/>
        <v>0</v>
      </c>
      <c r="BN91" s="319">
        <f t="shared" si="76"/>
        <v>0</v>
      </c>
      <c r="BO91" s="319">
        <f t="shared" si="76"/>
        <v>0</v>
      </c>
      <c r="BP91" s="319">
        <f t="shared" si="76"/>
        <v>0</v>
      </c>
      <c r="BQ91" s="319">
        <f t="shared" si="76"/>
        <v>0</v>
      </c>
      <c r="BR91" s="319">
        <f t="shared" si="76"/>
        <v>0</v>
      </c>
      <c r="BS91" s="319">
        <f t="shared" si="76"/>
        <v>0</v>
      </c>
      <c r="BT91" s="319">
        <f t="shared" si="76"/>
        <v>0</v>
      </c>
      <c r="BU91" s="319">
        <f t="shared" si="76"/>
        <v>0</v>
      </c>
      <c r="BV91" s="319">
        <f t="shared" si="76"/>
        <v>0</v>
      </c>
      <c r="BW91" s="319">
        <f t="shared" si="76"/>
        <v>0</v>
      </c>
      <c r="BX91" s="319">
        <f t="shared" si="76"/>
        <v>0</v>
      </c>
      <c r="BY91" s="319">
        <f t="shared" si="76"/>
        <v>0</v>
      </c>
      <c r="BZ91" s="319">
        <f t="shared" si="76"/>
        <v>0</v>
      </c>
      <c r="CA91" s="319">
        <f t="shared" si="76"/>
        <v>0</v>
      </c>
      <c r="CB91" s="319">
        <f t="shared" si="76"/>
        <v>0</v>
      </c>
      <c r="CC91" s="319">
        <f t="shared" si="76"/>
        <v>0</v>
      </c>
      <c r="CD91" s="319">
        <f t="shared" si="76"/>
        <v>0</v>
      </c>
      <c r="CE91" s="319">
        <f t="shared" si="76"/>
        <v>0</v>
      </c>
      <c r="CF91" s="319">
        <f t="shared" si="76"/>
        <v>0</v>
      </c>
      <c r="CG91" s="319">
        <f t="shared" si="76"/>
        <v>0</v>
      </c>
      <c r="CH91" s="319">
        <f t="shared" si="76"/>
        <v>0</v>
      </c>
      <c r="CI91" s="319">
        <f t="shared" si="76"/>
        <v>0</v>
      </c>
      <c r="CJ91" s="319">
        <f t="shared" si="76"/>
        <v>0</v>
      </c>
      <c r="CK91" s="319">
        <f t="shared" si="76"/>
        <v>0</v>
      </c>
      <c r="CL91" s="319">
        <f t="shared" si="76"/>
        <v>0</v>
      </c>
      <c r="CM91" s="319">
        <f t="shared" si="76"/>
        <v>0</v>
      </c>
      <c r="CN91" s="319">
        <f t="shared" si="76"/>
        <v>0</v>
      </c>
      <c r="CO91" s="319">
        <f t="shared" si="76"/>
        <v>0</v>
      </c>
      <c r="CP91" s="319">
        <f t="shared" si="76"/>
        <v>0</v>
      </c>
      <c r="CQ91" s="319">
        <f t="shared" si="76"/>
        <v>0</v>
      </c>
      <c r="CR91" s="319">
        <f t="shared" si="76"/>
        <v>0</v>
      </c>
      <c r="CS91" s="319">
        <f t="shared" si="76"/>
        <v>0</v>
      </c>
      <c r="CT91" s="319">
        <f t="shared" si="76"/>
        <v>0</v>
      </c>
      <c r="CU91" s="319">
        <f t="shared" si="76"/>
        <v>0</v>
      </c>
      <c r="CV91" s="319">
        <f t="shared" si="76"/>
        <v>0</v>
      </c>
    </row>
    <row r="92" spans="1:100" x14ac:dyDescent="0.25">
      <c r="A92" s="319">
        <f t="shared" si="65"/>
        <v>0</v>
      </c>
      <c r="B92" s="319">
        <f t="shared" si="71"/>
        <v>0</v>
      </c>
      <c r="C92" s="340" t="s">
        <v>2633</v>
      </c>
      <c r="D92" s="341" t="s">
        <v>357</v>
      </c>
      <c r="E92" s="341">
        <v>8</v>
      </c>
      <c r="F92" s="341" t="str">
        <f>IF(AND(E91&lt;CharacterSheet!$V$34,'House Rules'!$B$3="Available",OR('House Rules'!$B$7="Standard",AND('House Rules'!$B$7="Ranked",OR(G90="Yes")))),"Yes","No")</f>
        <v>No</v>
      </c>
      <c r="G92" s="564" t="s">
        <v>347</v>
      </c>
      <c r="H92" s="333" t="str">
        <f>IF(C92="","",VLOOKUP(C92,Boonref2!A:B,2,FALSE))</f>
        <v>Yes</v>
      </c>
      <c r="I92" s="333"/>
      <c r="J92" s="333" t="str">
        <f>VLOOKUP(C92,BoonRef!A:Z,17,FALSE)</f>
        <v>Yes</v>
      </c>
      <c r="K92" s="333" t="str">
        <f>IF(J92="God",'House Rules'!$B$2,IF(J92="Demi",'House Rules'!$B$1,IF(J92="Comp",'House Rules'!$B$4,IF(J92="Yaz",'House Rules'!$B$5,IF(J92="Rag",'House Rules'!$B$3,"Available")))))</f>
        <v>Available</v>
      </c>
      <c r="L92" s="333"/>
      <c r="M92" s="333"/>
      <c r="N92" s="340" t="s">
        <v>1369</v>
      </c>
      <c r="O92" s="341" t="s">
        <v>1343</v>
      </c>
      <c r="P92" s="341" t="str">
        <f>IF('House Rules'!$B$4="Prohibited","No",IF(O92&lt;CharacterSheet!$V$34,"Yes","No"))</f>
        <v>No</v>
      </c>
      <c r="Q92" s="341">
        <v>1</v>
      </c>
      <c r="R92" s="344" t="s">
        <v>347</v>
      </c>
      <c r="S92" s="317"/>
      <c r="T92" s="319">
        <f t="shared" ref="T92:T100" si="77">IF(AND(Z92="Yes",Z93="No"),LARGE($T$82:$T$91,1)+1,LARGE($T$82:$T$91,1))</f>
        <v>0</v>
      </c>
      <c r="U92" s="336" t="s">
        <v>2478</v>
      </c>
      <c r="V92" s="331" t="s">
        <v>1112</v>
      </c>
      <c r="W92" s="337" t="s">
        <v>44</v>
      </c>
      <c r="X92" s="331">
        <v>1</v>
      </c>
      <c r="Y92" s="338" t="str">
        <f>IF(AND($D$2="Arete",CharacterSheet!$E$60&gt;2,CharacterSheet!$V$34&gt;X92,'House Rules'!$B$6="Free",'House Rules'!$D$6=W92),"Free",IF(AND($D$2="Arete",CharacterSheet!$E$60&gt;2,CharacterSheet!$V$34&gt;X92),"Yes","No"))</f>
        <v>No</v>
      </c>
      <c r="Z92" s="571" t="s">
        <v>347</v>
      </c>
      <c r="AA92" s="556"/>
      <c r="AB92" s="319">
        <f t="shared" ref="AB92:AB100" si="78">IF(AND(AH92="Yes",AH93="No"),LARGE($AB$82:$AB$91,1)+1,LARGE($AB$82:$AB$91,1))</f>
        <v>0</v>
      </c>
      <c r="AC92" s="336" t="s">
        <v>2578</v>
      </c>
      <c r="AD92" s="331" t="s">
        <v>1112</v>
      </c>
      <c r="AE92" s="337" t="s">
        <v>54</v>
      </c>
      <c r="AF92" s="331">
        <v>1</v>
      </c>
      <c r="AG92" s="338" t="str">
        <f>IF(AND($D$2="Arete",CharacterSheet!$M$60&gt;2,CharacterSheet!$V$34&gt;AF92,'House Rules'!$B$6="Free",'House Rules'!$D$6=AE92),"Free",IF(AND($D$2="Arete",CharacterSheet!$M$60&gt;2,CharacterSheet!$V$34&gt;AF92),"Yes","No"))</f>
        <v>No</v>
      </c>
      <c r="AH92" s="571" t="s">
        <v>347</v>
      </c>
      <c r="BF92" s="319">
        <f t="shared" si="75"/>
        <v>0</v>
      </c>
      <c r="BG92" s="336" t="s">
        <v>2608</v>
      </c>
      <c r="BI92" s="319">
        <f t="shared" si="66"/>
        <v>0</v>
      </c>
      <c r="BJ92" s="319">
        <f t="shared" si="76"/>
        <v>0</v>
      </c>
      <c r="BK92" s="319">
        <f t="shared" si="76"/>
        <v>0</v>
      </c>
      <c r="BL92" s="319">
        <f t="shared" si="76"/>
        <v>0</v>
      </c>
      <c r="BM92" s="319">
        <f t="shared" si="76"/>
        <v>0</v>
      </c>
      <c r="BN92" s="319">
        <f t="shared" si="76"/>
        <v>0</v>
      </c>
      <c r="BO92" s="319">
        <f t="shared" si="76"/>
        <v>0</v>
      </c>
      <c r="BP92" s="319">
        <f t="shared" si="76"/>
        <v>0</v>
      </c>
      <c r="BQ92" s="319">
        <f t="shared" si="76"/>
        <v>0</v>
      </c>
      <c r="BR92" s="319">
        <f t="shared" si="76"/>
        <v>0</v>
      </c>
      <c r="BS92" s="319">
        <f t="shared" si="76"/>
        <v>0</v>
      </c>
      <c r="BT92" s="319">
        <f t="shared" si="76"/>
        <v>0</v>
      </c>
      <c r="BU92" s="319">
        <f t="shared" si="76"/>
        <v>0</v>
      </c>
      <c r="BV92" s="319">
        <f t="shared" si="76"/>
        <v>0</v>
      </c>
      <c r="BW92" s="319">
        <f t="shared" si="76"/>
        <v>0</v>
      </c>
      <c r="BX92" s="319">
        <f t="shared" si="76"/>
        <v>0</v>
      </c>
      <c r="BY92" s="319">
        <f t="shared" si="76"/>
        <v>0</v>
      </c>
      <c r="BZ92" s="319">
        <f t="shared" si="76"/>
        <v>0</v>
      </c>
      <c r="CA92" s="319">
        <f t="shared" si="76"/>
        <v>0</v>
      </c>
      <c r="CB92" s="319">
        <f t="shared" si="76"/>
        <v>0</v>
      </c>
      <c r="CC92" s="319">
        <f t="shared" si="76"/>
        <v>0</v>
      </c>
      <c r="CD92" s="319">
        <f t="shared" si="76"/>
        <v>0</v>
      </c>
      <c r="CE92" s="319">
        <f t="shared" si="76"/>
        <v>0</v>
      </c>
      <c r="CF92" s="319">
        <f t="shared" si="76"/>
        <v>0</v>
      </c>
      <c r="CG92" s="319">
        <f t="shared" si="76"/>
        <v>0</v>
      </c>
      <c r="CH92" s="319">
        <f t="shared" si="76"/>
        <v>0</v>
      </c>
      <c r="CI92" s="319">
        <f t="shared" si="76"/>
        <v>0</v>
      </c>
      <c r="CJ92" s="319">
        <f t="shared" si="76"/>
        <v>0</v>
      </c>
      <c r="CK92" s="319">
        <f t="shared" si="76"/>
        <v>0</v>
      </c>
      <c r="CL92" s="319">
        <f t="shared" si="76"/>
        <v>0</v>
      </c>
      <c r="CM92" s="319">
        <f t="shared" si="76"/>
        <v>0</v>
      </c>
      <c r="CN92" s="319">
        <f t="shared" si="76"/>
        <v>0</v>
      </c>
      <c r="CO92" s="319">
        <f t="shared" si="76"/>
        <v>0</v>
      </c>
      <c r="CP92" s="319">
        <f t="shared" si="76"/>
        <v>0</v>
      </c>
      <c r="CQ92" s="319">
        <f t="shared" si="76"/>
        <v>0</v>
      </c>
      <c r="CR92" s="319">
        <f t="shared" si="76"/>
        <v>0</v>
      </c>
      <c r="CS92" s="319">
        <f t="shared" si="76"/>
        <v>0</v>
      </c>
      <c r="CT92" s="319">
        <f t="shared" si="76"/>
        <v>0</v>
      </c>
      <c r="CU92" s="319">
        <f t="shared" si="76"/>
        <v>0</v>
      </c>
      <c r="CV92" s="319">
        <f t="shared" si="76"/>
        <v>0</v>
      </c>
    </row>
    <row r="93" spans="1:100" x14ac:dyDescent="0.25">
      <c r="A93" s="319">
        <f t="shared" si="65"/>
        <v>0</v>
      </c>
      <c r="B93" s="319">
        <f t="shared" si="71"/>
        <v>0</v>
      </c>
      <c r="C93" s="340" t="s">
        <v>1264</v>
      </c>
      <c r="D93" s="341" t="s">
        <v>357</v>
      </c>
      <c r="E93" s="341">
        <v>9</v>
      </c>
      <c r="F93" s="341" t="str">
        <f>IF(AND(E93&lt;CharacterSheet!$V$34,'House Rules'!$B$2="available",OR('House Rules'!$B$7="Standard",AND('House Rules'!$B$7="Ranked",OR(G91="Yes",G92="Yes")))),"Yes","No")</f>
        <v>No</v>
      </c>
      <c r="G93" s="564" t="s">
        <v>347</v>
      </c>
      <c r="H93" s="333" t="str">
        <f>IF(C93="","",VLOOKUP(C93,Boonref2!A:B,2,FALSE))</f>
        <v>Yes</v>
      </c>
      <c r="I93" s="333"/>
      <c r="J93" s="333" t="str">
        <f>VLOOKUP(C93,BoonRef!A:Z,17,FALSE)</f>
        <v>Yes</v>
      </c>
      <c r="K93" s="333" t="str">
        <f>IF(J93="God",'House Rules'!$B$2,IF(J93="Demi",'House Rules'!$B$1,IF(J93="Comp",'House Rules'!$B$4,IF(J93="Yaz",'House Rules'!$B$5,IF(J93="Rag",'House Rules'!$B$3,"Available")))))</f>
        <v>Available</v>
      </c>
      <c r="L93" s="333"/>
      <c r="M93" s="333"/>
      <c r="N93" s="340" t="s">
        <v>1370</v>
      </c>
      <c r="O93" s="341" t="s">
        <v>1343</v>
      </c>
      <c r="P93" s="341" t="str">
        <f>IF('House Rules'!$B$4="Prohibited","No",IF(O93&lt;CharacterSheet!$V$34,"Yes","No"))</f>
        <v>No</v>
      </c>
      <c r="Q93" s="341">
        <v>2</v>
      </c>
      <c r="R93" s="344" t="s">
        <v>346</v>
      </c>
      <c r="S93" s="317"/>
      <c r="T93" s="319">
        <f t="shared" si="77"/>
        <v>0</v>
      </c>
      <c r="U93" s="566" t="s">
        <v>2479</v>
      </c>
      <c r="V93" s="341" t="s">
        <v>1113</v>
      </c>
      <c r="W93" s="559" t="s">
        <v>44</v>
      </c>
      <c r="X93" s="341">
        <v>2</v>
      </c>
      <c r="Y93" s="347" t="str">
        <f>IF(AND($D$2="Arete",CharacterSheet!$E$60&gt;2,CharacterSheet!$V$34&gt;X93,'House Rules'!$B$6="Free",'House Rules'!$D$6=W93),"Free",IF(AND($D$2="Arete",CharacterSheet!$E$60&gt;2,CharacterSheet!$V$34&gt;X93,Z92="Yes"),"Yes","No"))</f>
        <v>No</v>
      </c>
      <c r="Z93" s="572" t="s">
        <v>347</v>
      </c>
      <c r="AA93" s="556"/>
      <c r="AB93" s="319">
        <f t="shared" si="78"/>
        <v>0</v>
      </c>
      <c r="AC93" s="566" t="s">
        <v>2579</v>
      </c>
      <c r="AD93" s="341" t="s">
        <v>1113</v>
      </c>
      <c r="AE93" s="559" t="s">
        <v>54</v>
      </c>
      <c r="AF93" s="341">
        <v>2</v>
      </c>
      <c r="AG93" s="347" t="str">
        <f>IF(AND($D$2="Arete",CharacterSheet!$M$60&gt;2,CharacterSheet!$V$34&gt;AF93,'House Rules'!$B$6="Free",'House Rules'!$D$6=AE93),"Free",IF(AND($D$2="Arete",CharacterSheet!$M$60&gt;2,CharacterSheet!$V$34&gt;AF93,AH92="Yes"),"Yes","No"))</f>
        <v>No</v>
      </c>
      <c r="AH93" s="572" t="s">
        <v>347</v>
      </c>
      <c r="BF93" s="319">
        <f t="shared" si="75"/>
        <v>0</v>
      </c>
      <c r="BG93" s="345" t="s">
        <v>2609</v>
      </c>
      <c r="BI93" s="319">
        <f t="shared" si="66"/>
        <v>0</v>
      </c>
      <c r="BJ93" s="319">
        <f t="shared" si="76"/>
        <v>0</v>
      </c>
      <c r="BK93" s="319">
        <f t="shared" si="76"/>
        <v>0</v>
      </c>
      <c r="BL93" s="319">
        <f t="shared" si="76"/>
        <v>0</v>
      </c>
      <c r="BM93" s="319">
        <f t="shared" si="76"/>
        <v>0</v>
      </c>
      <c r="BN93" s="319">
        <f t="shared" si="76"/>
        <v>0</v>
      </c>
      <c r="BO93" s="319">
        <f t="shared" si="76"/>
        <v>0</v>
      </c>
      <c r="BP93" s="319">
        <f t="shared" si="76"/>
        <v>0</v>
      </c>
      <c r="BQ93" s="319">
        <f t="shared" si="76"/>
        <v>0</v>
      </c>
      <c r="BR93" s="319">
        <f t="shared" si="76"/>
        <v>0</v>
      </c>
      <c r="BS93" s="319">
        <f t="shared" si="76"/>
        <v>0</v>
      </c>
      <c r="BT93" s="319">
        <f t="shared" si="76"/>
        <v>0</v>
      </c>
      <c r="BU93" s="319">
        <f t="shared" si="76"/>
        <v>0</v>
      </c>
      <c r="BV93" s="319">
        <f t="shared" si="76"/>
        <v>0</v>
      </c>
      <c r="BW93" s="319">
        <f t="shared" si="76"/>
        <v>0</v>
      </c>
      <c r="BX93" s="319">
        <f t="shared" si="76"/>
        <v>0</v>
      </c>
      <c r="BY93" s="319">
        <f t="shared" si="76"/>
        <v>0</v>
      </c>
      <c r="BZ93" s="319">
        <f t="shared" si="76"/>
        <v>0</v>
      </c>
      <c r="CA93" s="319">
        <f t="shared" si="76"/>
        <v>0</v>
      </c>
      <c r="CB93" s="319">
        <f t="shared" si="76"/>
        <v>0</v>
      </c>
      <c r="CC93" s="319">
        <f t="shared" si="76"/>
        <v>0</v>
      </c>
      <c r="CD93" s="319">
        <f t="shared" si="76"/>
        <v>0</v>
      </c>
      <c r="CE93" s="319">
        <f t="shared" si="76"/>
        <v>0</v>
      </c>
      <c r="CF93" s="319">
        <f t="shared" si="76"/>
        <v>0</v>
      </c>
      <c r="CG93" s="319">
        <f t="shared" si="76"/>
        <v>0</v>
      </c>
      <c r="CH93" s="319">
        <f t="shared" si="76"/>
        <v>0</v>
      </c>
      <c r="CI93" s="319">
        <f t="shared" si="76"/>
        <v>0</v>
      </c>
      <c r="CJ93" s="319">
        <f t="shared" si="76"/>
        <v>0</v>
      </c>
      <c r="CK93" s="319">
        <f t="shared" si="76"/>
        <v>0</v>
      </c>
      <c r="CL93" s="319">
        <f t="shared" si="76"/>
        <v>0</v>
      </c>
      <c r="CM93" s="319">
        <f t="shared" si="76"/>
        <v>0</v>
      </c>
      <c r="CN93" s="319">
        <f t="shared" si="76"/>
        <v>0</v>
      </c>
      <c r="CO93" s="319">
        <f t="shared" si="76"/>
        <v>0</v>
      </c>
      <c r="CP93" s="319">
        <f t="shared" si="76"/>
        <v>0</v>
      </c>
      <c r="CQ93" s="319">
        <f t="shared" si="76"/>
        <v>0</v>
      </c>
      <c r="CR93" s="319">
        <f t="shared" si="76"/>
        <v>0</v>
      </c>
      <c r="CS93" s="319">
        <f t="shared" si="76"/>
        <v>0</v>
      </c>
      <c r="CT93" s="319">
        <f t="shared" si="76"/>
        <v>0</v>
      </c>
      <c r="CU93" s="319">
        <f t="shared" si="76"/>
        <v>0</v>
      </c>
      <c r="CV93" s="319">
        <f t="shared" si="76"/>
        <v>0</v>
      </c>
    </row>
    <row r="94" spans="1:100" x14ac:dyDescent="0.25">
      <c r="A94" s="319">
        <f t="shared" si="65"/>
        <v>0</v>
      </c>
      <c r="B94" s="319">
        <f t="shared" si="71"/>
        <v>0</v>
      </c>
      <c r="C94" s="340" t="s">
        <v>1265</v>
      </c>
      <c r="D94" s="341" t="s">
        <v>357</v>
      </c>
      <c r="E94" s="341">
        <v>10</v>
      </c>
      <c r="F94" s="341" t="str">
        <f>IF(AND(E94&lt;CharacterSheet!$V$34,'House Rules'!$B$2="available",OR('House Rules'!$B$7="Standard",AND('House Rules'!$B$7="Ranked",G93="Yes"))),"Yes","No")</f>
        <v>No</v>
      </c>
      <c r="G94" s="564" t="s">
        <v>347</v>
      </c>
      <c r="H94" s="333" t="str">
        <f>IF(C94="","",VLOOKUP(C94,Boonref2!A:B,2,FALSE))</f>
        <v>Yes</v>
      </c>
      <c r="I94" s="333"/>
      <c r="J94" s="333" t="str">
        <f>VLOOKUP(C94,BoonRef!A:Z,17,FALSE)</f>
        <v>Yes</v>
      </c>
      <c r="K94" s="333" t="str">
        <f>IF(J94="God",'House Rules'!$B$2,IF(J94="Demi",'House Rules'!$B$1,IF(J94="Comp",'House Rules'!$B$4,IF(J94="Yaz",'House Rules'!$B$5,IF(J94="Rag",'House Rules'!$B$3,"Available")))))</f>
        <v>Available</v>
      </c>
      <c r="L94" s="333"/>
      <c r="M94" s="333"/>
      <c r="N94" s="340" t="s">
        <v>1371</v>
      </c>
      <c r="O94" s="341" t="s">
        <v>1343</v>
      </c>
      <c r="P94" s="341" t="str">
        <f>IF('House Rules'!$B$4="Prohibited","No",IF(O94&lt;CharacterSheet!$V$34,"Yes","No"))</f>
        <v>No</v>
      </c>
      <c r="Q94" s="341">
        <v>3</v>
      </c>
      <c r="R94" s="344" t="s">
        <v>347</v>
      </c>
      <c r="S94" s="317"/>
      <c r="T94" s="319">
        <f t="shared" si="77"/>
        <v>0</v>
      </c>
      <c r="U94" s="566" t="s">
        <v>2480</v>
      </c>
      <c r="V94" s="341" t="s">
        <v>1114</v>
      </c>
      <c r="W94" s="559" t="s">
        <v>44</v>
      </c>
      <c r="X94" s="341">
        <v>3</v>
      </c>
      <c r="Y94" s="347" t="str">
        <f>IF(AND($D$2="Arete",CharacterSheet!$E$60&gt;2,CharacterSheet!$V$34&gt;X94,'House Rules'!$B$6="Free",'House Rules'!$D$6=W94),"Free",IF(AND($D$2="Arete",CharacterSheet!$E$60&gt;2,CharacterSheet!$V$34&gt;X94,Z93="Yes"),"Yes","No"))</f>
        <v>No</v>
      </c>
      <c r="Z94" s="572" t="s">
        <v>347</v>
      </c>
      <c r="AA94" s="556"/>
      <c r="AB94" s="319">
        <f t="shared" si="78"/>
        <v>0</v>
      </c>
      <c r="AC94" s="566" t="s">
        <v>2580</v>
      </c>
      <c r="AD94" s="341" t="s">
        <v>1114</v>
      </c>
      <c r="AE94" s="559" t="s">
        <v>54</v>
      </c>
      <c r="AF94" s="341">
        <v>3</v>
      </c>
      <c r="AG94" s="347" t="str">
        <f>IF(AND($D$2="Arete",CharacterSheet!$M$60&gt;2,CharacterSheet!$V$34&gt;AF94,'House Rules'!$B$6="Free",'House Rules'!$D$6=AE94),"Free",IF(AND($D$2="Arete",CharacterSheet!$M$60&gt;2,CharacterSheet!$V$34&gt;AF94,AH93="Yes"),"Yes","No"))</f>
        <v>No</v>
      </c>
      <c r="AH94" s="572" t="s">
        <v>347</v>
      </c>
      <c r="BF94" s="319">
        <f t="shared" si="75"/>
        <v>0</v>
      </c>
      <c r="BG94" s="345" t="s">
        <v>2610</v>
      </c>
      <c r="BI94" s="319">
        <f t="shared" si="66"/>
        <v>0</v>
      </c>
      <c r="BJ94" s="319">
        <f t="shared" si="76"/>
        <v>0</v>
      </c>
      <c r="BK94" s="319">
        <f t="shared" si="76"/>
        <v>0</v>
      </c>
      <c r="BL94" s="319">
        <f t="shared" si="76"/>
        <v>0</v>
      </c>
      <c r="BM94" s="319">
        <f t="shared" si="76"/>
        <v>0</v>
      </c>
      <c r="BN94" s="319">
        <f t="shared" si="76"/>
        <v>0</v>
      </c>
      <c r="BO94" s="319">
        <f t="shared" si="76"/>
        <v>0</v>
      </c>
      <c r="BP94" s="319">
        <f t="shared" si="76"/>
        <v>0</v>
      </c>
      <c r="BQ94" s="319">
        <f t="shared" si="76"/>
        <v>0</v>
      </c>
      <c r="BR94" s="319">
        <f t="shared" si="76"/>
        <v>0</v>
      </c>
      <c r="BS94" s="319">
        <f t="shared" si="76"/>
        <v>0</v>
      </c>
      <c r="BT94" s="319">
        <f t="shared" si="76"/>
        <v>0</v>
      </c>
      <c r="BU94" s="319">
        <f t="shared" si="76"/>
        <v>0</v>
      </c>
      <c r="BV94" s="319">
        <f t="shared" ref="BJ94:CV100" si="79">IF(AND($D94=BV$1,$G94="Yes"),$E94,0)</f>
        <v>0</v>
      </c>
      <c r="BW94" s="319">
        <f t="shared" si="79"/>
        <v>0</v>
      </c>
      <c r="BX94" s="319">
        <f t="shared" si="79"/>
        <v>0</v>
      </c>
      <c r="BY94" s="319">
        <f t="shared" si="79"/>
        <v>0</v>
      </c>
      <c r="BZ94" s="319">
        <f t="shared" si="79"/>
        <v>0</v>
      </c>
      <c r="CA94" s="319">
        <f t="shared" si="79"/>
        <v>0</v>
      </c>
      <c r="CB94" s="319">
        <f t="shared" si="79"/>
        <v>0</v>
      </c>
      <c r="CC94" s="319">
        <f t="shared" si="79"/>
        <v>0</v>
      </c>
      <c r="CD94" s="319">
        <f t="shared" si="79"/>
        <v>0</v>
      </c>
      <c r="CE94" s="319">
        <f t="shared" si="79"/>
        <v>0</v>
      </c>
      <c r="CF94" s="319">
        <f t="shared" si="79"/>
        <v>0</v>
      </c>
      <c r="CG94" s="319">
        <f t="shared" si="79"/>
        <v>0</v>
      </c>
      <c r="CH94" s="319">
        <f t="shared" si="79"/>
        <v>0</v>
      </c>
      <c r="CI94" s="319">
        <f t="shared" si="79"/>
        <v>0</v>
      </c>
      <c r="CJ94" s="319">
        <f t="shared" si="79"/>
        <v>0</v>
      </c>
      <c r="CK94" s="319">
        <f t="shared" si="79"/>
        <v>0</v>
      </c>
      <c r="CL94" s="319">
        <f t="shared" si="79"/>
        <v>0</v>
      </c>
      <c r="CM94" s="319">
        <f t="shared" si="79"/>
        <v>0</v>
      </c>
      <c r="CN94" s="319">
        <f t="shared" si="79"/>
        <v>0</v>
      </c>
      <c r="CO94" s="319">
        <f t="shared" si="79"/>
        <v>0</v>
      </c>
      <c r="CP94" s="319">
        <f t="shared" si="79"/>
        <v>0</v>
      </c>
      <c r="CQ94" s="319">
        <f t="shared" si="79"/>
        <v>0</v>
      </c>
      <c r="CR94" s="319">
        <f t="shared" si="79"/>
        <v>0</v>
      </c>
      <c r="CS94" s="319">
        <f t="shared" si="79"/>
        <v>0</v>
      </c>
      <c r="CT94" s="319">
        <f t="shared" si="79"/>
        <v>0</v>
      </c>
      <c r="CU94" s="319">
        <f t="shared" si="79"/>
        <v>0</v>
      </c>
      <c r="CV94" s="319">
        <f t="shared" si="79"/>
        <v>0</v>
      </c>
    </row>
    <row r="95" spans="1:100" ht="15.75" thickBot="1" x14ac:dyDescent="0.3">
      <c r="A95" s="319">
        <f t="shared" si="65"/>
        <v>0</v>
      </c>
      <c r="B95" s="319">
        <f t="shared" si="71"/>
        <v>0</v>
      </c>
      <c r="C95" s="352" t="s">
        <v>1266</v>
      </c>
      <c r="D95" s="353" t="s">
        <v>357</v>
      </c>
      <c r="E95" s="353">
        <v>11</v>
      </c>
      <c r="F95" s="353" t="str">
        <f>IF(AND(E25&lt;CharacterSheet!$V$34,G82="Yes",G87="Yes",G88="Yes",G89="Yes",G90="Yes",OR(G91="Yes",G92="Yes"),G93="Yes",G94="Yes",OR(G83="Yes",G84="Yes"),OR(G85="Yes",G86="Yes")),"Yes","No")</f>
        <v>No</v>
      </c>
      <c r="G95" s="565" t="s">
        <v>347</v>
      </c>
      <c r="H95" s="333" t="str">
        <f>IF(C95="","",VLOOKUP(C95,Boonref2!A:B,2,FALSE))</f>
        <v>No</v>
      </c>
      <c r="I95" s="333"/>
      <c r="J95" s="333" t="str">
        <f>VLOOKUP(C95,BoonRef!A:Z,17,FALSE)</f>
        <v>Yes</v>
      </c>
      <c r="K95" s="333" t="str">
        <f>IF(J95="God",'House Rules'!$B$2,IF(J95="Demi",'House Rules'!$B$1,IF(J95="Comp",'House Rules'!$B$4,IF(J95="Yaz",'House Rules'!$B$5,IF(J95="Rag",'House Rules'!$B$3,"Available")))))</f>
        <v>Available</v>
      </c>
      <c r="L95" s="333"/>
      <c r="M95" s="333"/>
      <c r="N95" s="340" t="s">
        <v>1372</v>
      </c>
      <c r="O95" s="341" t="s">
        <v>1343</v>
      </c>
      <c r="P95" s="341" t="str">
        <f>IF('House Rules'!$B$4="Prohibited","No",IF(O95&lt;CharacterSheet!$V$34,"Yes","No"))</f>
        <v>No</v>
      </c>
      <c r="Q95" s="341">
        <v>4</v>
      </c>
      <c r="R95" s="344" t="s">
        <v>347</v>
      </c>
      <c r="S95" s="317"/>
      <c r="T95" s="319">
        <f t="shared" si="77"/>
        <v>0</v>
      </c>
      <c r="U95" s="566" t="s">
        <v>2481</v>
      </c>
      <c r="V95" s="341" t="s">
        <v>1207</v>
      </c>
      <c r="W95" s="559" t="s">
        <v>44</v>
      </c>
      <c r="X95" s="341">
        <v>4</v>
      </c>
      <c r="Y95" s="347" t="str">
        <f>IF(AND($D$2="Arete",CharacterSheet!$E$60&gt;2,CharacterSheet!$V$34&gt;X95,'House Rules'!$B$6="Free",'House Rules'!$D$6=W95),"Free",IF(AND($D$2="Arete",CharacterSheet!$E$60&gt;2,CharacterSheet!$V$34&gt;X95,Z94="Yes"),"Yes","No"))</f>
        <v>No</v>
      </c>
      <c r="Z95" s="572" t="s">
        <v>347</v>
      </c>
      <c r="AA95" s="556"/>
      <c r="AB95" s="319">
        <f t="shared" si="78"/>
        <v>0</v>
      </c>
      <c r="AC95" s="566" t="s">
        <v>2581</v>
      </c>
      <c r="AD95" s="341" t="s">
        <v>1207</v>
      </c>
      <c r="AE95" s="559" t="s">
        <v>54</v>
      </c>
      <c r="AF95" s="341">
        <v>4</v>
      </c>
      <c r="AG95" s="347" t="str">
        <f>IF(AND($D$2="Arete",CharacterSheet!$M$60&gt;2,CharacterSheet!$V$34&gt;AF95,'House Rules'!$B$6="Free",'House Rules'!$D$6=AE95),"Free",IF(AND($D$2="Arete",CharacterSheet!$M$60&gt;2,CharacterSheet!$V$34&gt;AF95,AH94="Yes"),"Yes","No"))</f>
        <v>No</v>
      </c>
      <c r="AH95" s="572" t="s">
        <v>347</v>
      </c>
      <c r="BF95" s="319">
        <f t="shared" si="75"/>
        <v>0</v>
      </c>
      <c r="BG95" s="345" t="s">
        <v>2611</v>
      </c>
      <c r="BI95" s="319">
        <f t="shared" si="66"/>
        <v>0</v>
      </c>
      <c r="BJ95" s="319">
        <f t="shared" si="79"/>
        <v>0</v>
      </c>
      <c r="BK95" s="319">
        <f t="shared" si="79"/>
        <v>0</v>
      </c>
      <c r="BL95" s="319">
        <f t="shared" si="79"/>
        <v>0</v>
      </c>
      <c r="BM95" s="319">
        <f t="shared" si="79"/>
        <v>0</v>
      </c>
      <c r="BN95" s="319">
        <f t="shared" si="79"/>
        <v>0</v>
      </c>
      <c r="BO95" s="319">
        <f t="shared" si="79"/>
        <v>0</v>
      </c>
      <c r="BP95" s="319">
        <f t="shared" si="79"/>
        <v>0</v>
      </c>
      <c r="BQ95" s="319">
        <f t="shared" si="79"/>
        <v>0</v>
      </c>
      <c r="BR95" s="319">
        <f t="shared" si="79"/>
        <v>0</v>
      </c>
      <c r="BS95" s="319">
        <f t="shared" si="79"/>
        <v>0</v>
      </c>
      <c r="BT95" s="319">
        <f t="shared" si="79"/>
        <v>0</v>
      </c>
      <c r="BU95" s="319">
        <f t="shared" si="79"/>
        <v>0</v>
      </c>
      <c r="BV95" s="319">
        <f t="shared" si="79"/>
        <v>0</v>
      </c>
      <c r="BW95" s="319">
        <f t="shared" si="79"/>
        <v>0</v>
      </c>
      <c r="BX95" s="319">
        <f t="shared" si="79"/>
        <v>0</v>
      </c>
      <c r="BY95" s="319">
        <f t="shared" si="79"/>
        <v>0</v>
      </c>
      <c r="BZ95" s="319">
        <f t="shared" si="79"/>
        <v>0</v>
      </c>
      <c r="CA95" s="319">
        <f t="shared" si="79"/>
        <v>0</v>
      </c>
      <c r="CB95" s="319">
        <f t="shared" si="79"/>
        <v>0</v>
      </c>
      <c r="CC95" s="319">
        <f t="shared" si="79"/>
        <v>0</v>
      </c>
      <c r="CD95" s="319">
        <f t="shared" si="79"/>
        <v>0</v>
      </c>
      <c r="CE95" s="319">
        <f t="shared" si="79"/>
        <v>0</v>
      </c>
      <c r="CF95" s="319">
        <f t="shared" si="79"/>
        <v>0</v>
      </c>
      <c r="CG95" s="319">
        <f t="shared" si="79"/>
        <v>0</v>
      </c>
      <c r="CH95" s="319">
        <f t="shared" si="79"/>
        <v>0</v>
      </c>
      <c r="CI95" s="319">
        <f t="shared" si="79"/>
        <v>0</v>
      </c>
      <c r="CJ95" s="319">
        <f t="shared" si="79"/>
        <v>0</v>
      </c>
      <c r="CK95" s="319">
        <f t="shared" si="79"/>
        <v>0</v>
      </c>
      <c r="CL95" s="319">
        <f t="shared" si="79"/>
        <v>0</v>
      </c>
      <c r="CM95" s="319">
        <f t="shared" si="79"/>
        <v>0</v>
      </c>
      <c r="CN95" s="319">
        <f t="shared" si="79"/>
        <v>0</v>
      </c>
      <c r="CO95" s="319">
        <f t="shared" si="79"/>
        <v>0</v>
      </c>
      <c r="CP95" s="319">
        <f t="shared" si="79"/>
        <v>0</v>
      </c>
      <c r="CQ95" s="319">
        <f t="shared" si="79"/>
        <v>0</v>
      </c>
      <c r="CR95" s="319">
        <f t="shared" si="79"/>
        <v>0</v>
      </c>
      <c r="CS95" s="319">
        <f t="shared" si="79"/>
        <v>0</v>
      </c>
      <c r="CT95" s="319">
        <f t="shared" si="79"/>
        <v>0</v>
      </c>
      <c r="CU95" s="319">
        <f t="shared" si="79"/>
        <v>0</v>
      </c>
      <c r="CV95" s="319">
        <f t="shared" si="79"/>
        <v>0</v>
      </c>
    </row>
    <row r="96" spans="1:100" x14ac:dyDescent="0.25">
      <c r="A96" s="319">
        <f t="shared" si="65"/>
        <v>0</v>
      </c>
      <c r="B96" s="319">
        <f t="shared" si="71"/>
        <v>0</v>
      </c>
      <c r="C96" s="330" t="s">
        <v>1082</v>
      </c>
      <c r="D96" s="331" t="s">
        <v>358</v>
      </c>
      <c r="E96" s="331">
        <v>1</v>
      </c>
      <c r="F96" s="331" t="str">
        <f>IF(E96&lt;CharacterSheet!$V$34,"Yes","No")</f>
        <v>Yes</v>
      </c>
      <c r="G96" s="563" t="s">
        <v>347</v>
      </c>
      <c r="H96" s="333" t="str">
        <f>IF(C96="","",VLOOKUP(C96,Boonref2!A:B,2,FALSE))</f>
        <v>No</v>
      </c>
      <c r="I96" s="333"/>
      <c r="J96" s="333" t="str">
        <f>VLOOKUP(C96,BoonRef!A:Z,17,FALSE)</f>
        <v>Yes</v>
      </c>
      <c r="K96" s="333" t="str">
        <f>IF(J96="God",'House Rules'!$B$2,IF(J96="Demi",'House Rules'!$B$1,IF(J96="Comp",'House Rules'!$B$4,IF(J96="Yaz",'House Rules'!$B$5,IF(J96="Rag",'House Rules'!$B$3,"Available")))))</f>
        <v>Available</v>
      </c>
      <c r="L96" s="333"/>
      <c r="M96" s="333"/>
      <c r="N96" s="340" t="s">
        <v>1373</v>
      </c>
      <c r="O96" s="341" t="s">
        <v>1343</v>
      </c>
      <c r="P96" s="341" t="str">
        <f>IF('House Rules'!$B$4="Prohibited","No",IF(O96&lt;CharacterSheet!$V$34,"Yes","No"))</f>
        <v>No</v>
      </c>
      <c r="Q96" s="341">
        <v>5</v>
      </c>
      <c r="R96" s="344" t="s">
        <v>347</v>
      </c>
      <c r="S96" s="317"/>
      <c r="T96" s="319">
        <f t="shared" si="77"/>
        <v>0</v>
      </c>
      <c r="U96" s="566" t="s">
        <v>2482</v>
      </c>
      <c r="V96" s="341" t="s">
        <v>1208</v>
      </c>
      <c r="W96" s="559" t="s">
        <v>44</v>
      </c>
      <c r="X96" s="341">
        <v>5</v>
      </c>
      <c r="Y96" s="347" t="str">
        <f>IF(AND($D$2="Arete",CharacterSheet!$E$60&gt;2,CharacterSheet!$V$34&gt;X96,'House Rules'!$B$6="Free",'House Rules'!$D$6=W96),"Free",IF(AND($D$2="Arete",CharacterSheet!$E$60&gt;2,CharacterSheet!$V$34&gt;X96,Z95="Yes"),"Yes","No"))</f>
        <v>No</v>
      </c>
      <c r="Z96" s="572" t="s">
        <v>347</v>
      </c>
      <c r="AA96" s="556"/>
      <c r="AB96" s="319">
        <f t="shared" si="78"/>
        <v>0</v>
      </c>
      <c r="AC96" s="566" t="s">
        <v>2582</v>
      </c>
      <c r="AD96" s="341" t="s">
        <v>1208</v>
      </c>
      <c r="AE96" s="559" t="s">
        <v>54</v>
      </c>
      <c r="AF96" s="341">
        <v>5</v>
      </c>
      <c r="AG96" s="347" t="str">
        <f>IF(AND($D$2="Arete",CharacterSheet!$M$60&gt;2,CharacterSheet!$V$34&gt;AF96,'House Rules'!$B$6="Free",'House Rules'!$D$6=AE96),"Free",IF(AND($D$2="Arete",CharacterSheet!$M$60&gt;2,CharacterSheet!$V$34&gt;AF96,AH95="Yes"),"Yes","No"))</f>
        <v>No</v>
      </c>
      <c r="AH96" s="572" t="s">
        <v>347</v>
      </c>
      <c r="BF96" s="319">
        <f t="shared" si="75"/>
        <v>0</v>
      </c>
      <c r="BG96" s="345" t="s">
        <v>2612</v>
      </c>
      <c r="BI96" s="319">
        <f t="shared" si="66"/>
        <v>0</v>
      </c>
      <c r="BJ96" s="319">
        <f t="shared" si="79"/>
        <v>0</v>
      </c>
      <c r="BK96" s="319">
        <f t="shared" si="79"/>
        <v>0</v>
      </c>
      <c r="BL96" s="319">
        <f t="shared" si="79"/>
        <v>0</v>
      </c>
      <c r="BM96" s="319">
        <f t="shared" si="79"/>
        <v>0</v>
      </c>
      <c r="BN96" s="319">
        <f t="shared" si="79"/>
        <v>0</v>
      </c>
      <c r="BO96" s="319">
        <f t="shared" si="79"/>
        <v>0</v>
      </c>
      <c r="BP96" s="319">
        <f t="shared" si="79"/>
        <v>0</v>
      </c>
      <c r="BQ96" s="319">
        <f t="shared" si="79"/>
        <v>0</v>
      </c>
      <c r="BR96" s="319">
        <f t="shared" si="79"/>
        <v>0</v>
      </c>
      <c r="BS96" s="319">
        <f t="shared" si="79"/>
        <v>0</v>
      </c>
      <c r="BT96" s="319">
        <f t="shared" si="79"/>
        <v>0</v>
      </c>
      <c r="BU96" s="319">
        <f t="shared" si="79"/>
        <v>0</v>
      </c>
      <c r="BV96" s="319">
        <f t="shared" si="79"/>
        <v>0</v>
      </c>
      <c r="BW96" s="319">
        <f t="shared" si="79"/>
        <v>0</v>
      </c>
      <c r="BX96" s="319">
        <f t="shared" si="79"/>
        <v>0</v>
      </c>
      <c r="BY96" s="319">
        <f t="shared" si="79"/>
        <v>0</v>
      </c>
      <c r="BZ96" s="319">
        <f t="shared" si="79"/>
        <v>0</v>
      </c>
      <c r="CA96" s="319">
        <f t="shared" si="79"/>
        <v>0</v>
      </c>
      <c r="CB96" s="319">
        <f t="shared" si="79"/>
        <v>0</v>
      </c>
      <c r="CC96" s="319">
        <f t="shared" si="79"/>
        <v>0</v>
      </c>
      <c r="CD96" s="319">
        <f t="shared" si="79"/>
        <v>0</v>
      </c>
      <c r="CE96" s="319">
        <f t="shared" si="79"/>
        <v>0</v>
      </c>
      <c r="CF96" s="319">
        <f t="shared" si="79"/>
        <v>0</v>
      </c>
      <c r="CG96" s="319">
        <f t="shared" si="79"/>
        <v>0</v>
      </c>
      <c r="CH96" s="319">
        <f t="shared" si="79"/>
        <v>0</v>
      </c>
      <c r="CI96" s="319">
        <f t="shared" si="79"/>
        <v>0</v>
      </c>
      <c r="CJ96" s="319">
        <f t="shared" si="79"/>
        <v>0</v>
      </c>
      <c r="CK96" s="319">
        <f t="shared" si="79"/>
        <v>0</v>
      </c>
      <c r="CL96" s="319">
        <f t="shared" si="79"/>
        <v>0</v>
      </c>
      <c r="CM96" s="319">
        <f t="shared" si="79"/>
        <v>0</v>
      </c>
      <c r="CN96" s="319">
        <f t="shared" si="79"/>
        <v>0</v>
      </c>
      <c r="CO96" s="319">
        <f t="shared" si="79"/>
        <v>0</v>
      </c>
      <c r="CP96" s="319">
        <f t="shared" si="79"/>
        <v>0</v>
      </c>
      <c r="CQ96" s="319">
        <f t="shared" si="79"/>
        <v>0</v>
      </c>
      <c r="CR96" s="319">
        <f t="shared" si="79"/>
        <v>0</v>
      </c>
      <c r="CS96" s="319">
        <f t="shared" si="79"/>
        <v>0</v>
      </c>
      <c r="CT96" s="319">
        <f t="shared" si="79"/>
        <v>0</v>
      </c>
      <c r="CU96" s="319">
        <f t="shared" si="79"/>
        <v>0</v>
      </c>
      <c r="CV96" s="319">
        <f t="shared" si="79"/>
        <v>0</v>
      </c>
    </row>
    <row r="97" spans="1:100" x14ac:dyDescent="0.25">
      <c r="A97" s="319">
        <f t="shared" si="65"/>
        <v>0</v>
      </c>
      <c r="B97" s="319">
        <f t="shared" si="71"/>
        <v>0</v>
      </c>
      <c r="C97" s="340" t="s">
        <v>1083</v>
      </c>
      <c r="D97" s="341" t="s">
        <v>358</v>
      </c>
      <c r="E97" s="341">
        <v>2</v>
      </c>
      <c r="F97" s="341" t="str">
        <f>IF(AND(E97&lt;CharacterSheet!$V$34,OR('House Rules'!$B$7="Standard",AND('House Rules'!$B$7="Ranked",G96="Yes"))),"Yes","No")</f>
        <v>No</v>
      </c>
      <c r="G97" s="564" t="s">
        <v>347</v>
      </c>
      <c r="H97" s="333" t="str">
        <f>IF(C97="","",VLOOKUP(C97,Boonref2!A:B,2,FALSE))</f>
        <v>No</v>
      </c>
      <c r="I97" s="333"/>
      <c r="J97" s="333" t="str">
        <f>VLOOKUP(C97,BoonRef!A:Z,17,FALSE)</f>
        <v>Yes</v>
      </c>
      <c r="K97" s="333" t="str">
        <f>IF(J97="God",'House Rules'!$B$2,IF(J97="Demi",'House Rules'!$B$1,IF(J97="Comp",'House Rules'!$B$4,IF(J97="Yaz",'House Rules'!$B$5,IF(J97="Rag",'House Rules'!$B$3,"Available")))))</f>
        <v>Available</v>
      </c>
      <c r="L97" s="333"/>
      <c r="M97" s="333"/>
      <c r="N97" s="340" t="s">
        <v>1374</v>
      </c>
      <c r="O97" s="341" t="s">
        <v>1343</v>
      </c>
      <c r="P97" s="341" t="str">
        <f>IF('House Rules'!$B$4="Prohibited","No",IF(O97&lt;CharacterSheet!$V$34,"Yes","No"))</f>
        <v>No</v>
      </c>
      <c r="Q97" s="341">
        <v>6</v>
      </c>
      <c r="R97" s="344" t="s">
        <v>346</v>
      </c>
      <c r="S97" s="317"/>
      <c r="T97" s="319">
        <f t="shared" si="77"/>
        <v>0</v>
      </c>
      <c r="U97" s="566" t="s">
        <v>2483</v>
      </c>
      <c r="V97" s="341" t="s">
        <v>1209</v>
      </c>
      <c r="W97" s="559" t="s">
        <v>44</v>
      </c>
      <c r="X97" s="341">
        <v>6</v>
      </c>
      <c r="Y97" s="347" t="str">
        <f>IF(AND($D$2="Arete",CharacterSheet!$E$60&gt;2,CharacterSheet!$V$34&gt;X97,'House Rules'!$B$6="Free",'House Rules'!$D$6=W97),"Free",IF(AND($D$2="Arete",CharacterSheet!$E$60&gt;2,CharacterSheet!$V$34&gt;X97,Z96="Yes"),"Yes","No"))</f>
        <v>No</v>
      </c>
      <c r="Z97" s="572" t="s">
        <v>347</v>
      </c>
      <c r="AA97" s="556"/>
      <c r="AB97" s="319">
        <f t="shared" si="78"/>
        <v>0</v>
      </c>
      <c r="AC97" s="566" t="s">
        <v>2583</v>
      </c>
      <c r="AD97" s="341" t="s">
        <v>1209</v>
      </c>
      <c r="AE97" s="559" t="s">
        <v>54</v>
      </c>
      <c r="AF97" s="341">
        <v>6</v>
      </c>
      <c r="AG97" s="347" t="str">
        <f>IF(AND($D$2="Arete",CharacterSheet!$M$60&gt;2,CharacterSheet!$V$34&gt;AF97,'House Rules'!$B$6="Free",'House Rules'!$D$6=AE97),"Free",IF(AND($D$2="Arete",CharacterSheet!$M$60&gt;2,CharacterSheet!$V$34&gt;AF97,AH96="Yes"),"Yes","No"))</f>
        <v>No</v>
      </c>
      <c r="AH97" s="572" t="s">
        <v>347</v>
      </c>
      <c r="BF97" s="319">
        <f t="shared" si="75"/>
        <v>0</v>
      </c>
      <c r="BG97" s="345" t="s">
        <v>2613</v>
      </c>
      <c r="BI97" s="319">
        <f t="shared" si="66"/>
        <v>0</v>
      </c>
      <c r="BJ97" s="319">
        <f t="shared" si="79"/>
        <v>0</v>
      </c>
      <c r="BK97" s="319">
        <f t="shared" si="79"/>
        <v>0</v>
      </c>
      <c r="BL97" s="319">
        <f t="shared" si="79"/>
        <v>0</v>
      </c>
      <c r="BM97" s="319">
        <f t="shared" si="79"/>
        <v>0</v>
      </c>
      <c r="BN97" s="319">
        <f t="shared" si="79"/>
        <v>0</v>
      </c>
      <c r="BO97" s="319">
        <f t="shared" si="79"/>
        <v>0</v>
      </c>
      <c r="BP97" s="319">
        <f t="shared" si="79"/>
        <v>0</v>
      </c>
      <c r="BQ97" s="319">
        <f t="shared" si="79"/>
        <v>0</v>
      </c>
      <c r="BR97" s="319">
        <f t="shared" si="79"/>
        <v>0</v>
      </c>
      <c r="BS97" s="319">
        <f t="shared" si="79"/>
        <v>0</v>
      </c>
      <c r="BT97" s="319">
        <f t="shared" si="79"/>
        <v>0</v>
      </c>
      <c r="BU97" s="319">
        <f t="shared" si="79"/>
        <v>0</v>
      </c>
      <c r="BV97" s="319">
        <f t="shared" si="79"/>
        <v>0</v>
      </c>
      <c r="BW97" s="319">
        <f t="shared" si="79"/>
        <v>0</v>
      </c>
      <c r="BX97" s="319">
        <f t="shared" si="79"/>
        <v>0</v>
      </c>
      <c r="BY97" s="319">
        <f t="shared" si="79"/>
        <v>0</v>
      </c>
      <c r="BZ97" s="319">
        <f t="shared" si="79"/>
        <v>0</v>
      </c>
      <c r="CA97" s="319">
        <f t="shared" si="79"/>
        <v>0</v>
      </c>
      <c r="CB97" s="319">
        <f t="shared" si="79"/>
        <v>0</v>
      </c>
      <c r="CC97" s="319">
        <f t="shared" si="79"/>
        <v>0</v>
      </c>
      <c r="CD97" s="319">
        <f t="shared" si="79"/>
        <v>0</v>
      </c>
      <c r="CE97" s="319">
        <f t="shared" si="79"/>
        <v>0</v>
      </c>
      <c r="CF97" s="319">
        <f t="shared" si="79"/>
        <v>0</v>
      </c>
      <c r="CG97" s="319">
        <f t="shared" si="79"/>
        <v>0</v>
      </c>
      <c r="CH97" s="319">
        <f t="shared" si="79"/>
        <v>0</v>
      </c>
      <c r="CI97" s="319">
        <f t="shared" si="79"/>
        <v>0</v>
      </c>
      <c r="CJ97" s="319">
        <f t="shared" si="79"/>
        <v>0</v>
      </c>
      <c r="CK97" s="319">
        <f t="shared" si="79"/>
        <v>0</v>
      </c>
      <c r="CL97" s="319">
        <f t="shared" si="79"/>
        <v>0</v>
      </c>
      <c r="CM97" s="319">
        <f t="shared" si="79"/>
        <v>0</v>
      </c>
      <c r="CN97" s="319">
        <f t="shared" si="79"/>
        <v>0</v>
      </c>
      <c r="CO97" s="319">
        <f t="shared" si="79"/>
        <v>0</v>
      </c>
      <c r="CP97" s="319">
        <f t="shared" si="79"/>
        <v>0</v>
      </c>
      <c r="CQ97" s="319">
        <f t="shared" si="79"/>
        <v>0</v>
      </c>
      <c r="CR97" s="319">
        <f t="shared" si="79"/>
        <v>0</v>
      </c>
      <c r="CS97" s="319">
        <f t="shared" si="79"/>
        <v>0</v>
      </c>
      <c r="CT97" s="319">
        <f t="shared" si="79"/>
        <v>0</v>
      </c>
      <c r="CU97" s="319">
        <f t="shared" si="79"/>
        <v>0</v>
      </c>
      <c r="CV97" s="319">
        <f t="shared" si="79"/>
        <v>0</v>
      </c>
    </row>
    <row r="98" spans="1:100" x14ac:dyDescent="0.25">
      <c r="A98" s="319">
        <f t="shared" si="65"/>
        <v>0</v>
      </c>
      <c r="B98" s="319">
        <f t="shared" si="71"/>
        <v>0</v>
      </c>
      <c r="C98" s="340" t="s">
        <v>1084</v>
      </c>
      <c r="D98" s="341" t="s">
        <v>358</v>
      </c>
      <c r="E98" s="341">
        <v>3</v>
      </c>
      <c r="F98" s="341" t="str">
        <f>IF(AND(E98&lt;CharacterSheet!$V$34,OR('House Rules'!$B$7="Standard",AND('House Rules'!$B$7="Ranked",G97="Yes"))),"Yes","No")</f>
        <v>No</v>
      </c>
      <c r="G98" s="564" t="s">
        <v>347</v>
      </c>
      <c r="H98" s="333" t="str">
        <f>IF(C98="","",VLOOKUP(C98,Boonref2!A:B,2,FALSE))</f>
        <v>Yes</v>
      </c>
      <c r="I98" s="333"/>
      <c r="J98" s="333" t="str">
        <f>VLOOKUP(C98,BoonRef!A:Z,17,FALSE)</f>
        <v>Yes</v>
      </c>
      <c r="K98" s="333" t="str">
        <f>IF(J98="God",'House Rules'!$B$2,IF(J98="Demi",'House Rules'!$B$1,IF(J98="Comp",'House Rules'!$B$4,IF(J98="Yaz",'House Rules'!$B$5,IF(J98="Rag",'House Rules'!$B$3,"Available")))))</f>
        <v>Available</v>
      </c>
      <c r="L98" s="333"/>
      <c r="M98" s="333"/>
      <c r="N98" s="340" t="s">
        <v>1375</v>
      </c>
      <c r="O98" s="341" t="s">
        <v>1343</v>
      </c>
      <c r="P98" s="341" t="str">
        <f>IF('House Rules'!$B$4="Prohibited","No",IF(O98&lt;CharacterSheet!$V$34,"Yes","No"))</f>
        <v>No</v>
      </c>
      <c r="Q98" s="341">
        <v>7</v>
      </c>
      <c r="R98" s="344" t="s">
        <v>346</v>
      </c>
      <c r="S98" s="317"/>
      <c r="T98" s="319">
        <f t="shared" si="77"/>
        <v>0</v>
      </c>
      <c r="U98" s="566" t="s">
        <v>2484</v>
      </c>
      <c r="V98" s="341" t="s">
        <v>1210</v>
      </c>
      <c r="W98" s="559" t="s">
        <v>44</v>
      </c>
      <c r="X98" s="341">
        <v>7</v>
      </c>
      <c r="Y98" s="347" t="str">
        <f>IF(AND($D$2="Arete",CharacterSheet!$E$60&gt;2,CharacterSheet!$V$34&gt;X98,'House Rules'!$B$6="Free",'House Rules'!$D$6=W98),"Free",IF(AND($D$2="Arete",CharacterSheet!$E$60&gt;2,CharacterSheet!$V$34&gt;X98,Z97="Yes"),"Yes","No"))</f>
        <v>No</v>
      </c>
      <c r="Z98" s="572" t="s">
        <v>347</v>
      </c>
      <c r="AA98" s="556"/>
      <c r="AB98" s="319">
        <f t="shared" si="78"/>
        <v>0</v>
      </c>
      <c r="AC98" s="566" t="s">
        <v>2584</v>
      </c>
      <c r="AD98" s="341" t="s">
        <v>1210</v>
      </c>
      <c r="AE98" s="559" t="s">
        <v>54</v>
      </c>
      <c r="AF98" s="341">
        <v>7</v>
      </c>
      <c r="AG98" s="347" t="str">
        <f>IF(AND($D$2="Arete",CharacterSheet!$M$60&gt;2,CharacterSheet!$V$34&gt;AF98,'House Rules'!$B$6="Free",'House Rules'!$D$6=AE98),"Free",IF(AND($D$2="Arete",CharacterSheet!$M$60&gt;2,CharacterSheet!$V$34&gt;AF98,AH97="Yes"),"Yes","No"))</f>
        <v>No</v>
      </c>
      <c r="AH98" s="572" t="s">
        <v>347</v>
      </c>
      <c r="BF98" s="319">
        <f t="shared" si="75"/>
        <v>0</v>
      </c>
      <c r="BG98" s="345" t="s">
        <v>2614</v>
      </c>
      <c r="BI98" s="319">
        <f t="shared" si="66"/>
        <v>0</v>
      </c>
      <c r="BJ98" s="319">
        <f t="shared" si="79"/>
        <v>0</v>
      </c>
      <c r="BK98" s="319">
        <f t="shared" si="79"/>
        <v>0</v>
      </c>
      <c r="BL98" s="319">
        <f t="shared" si="79"/>
        <v>0</v>
      </c>
      <c r="BM98" s="319">
        <f t="shared" si="79"/>
        <v>0</v>
      </c>
      <c r="BN98" s="319">
        <f t="shared" si="79"/>
        <v>0</v>
      </c>
      <c r="BO98" s="319">
        <f t="shared" si="79"/>
        <v>0</v>
      </c>
      <c r="BP98" s="319">
        <f t="shared" si="79"/>
        <v>0</v>
      </c>
      <c r="BQ98" s="319">
        <f t="shared" si="79"/>
        <v>0</v>
      </c>
      <c r="BR98" s="319">
        <f t="shared" si="79"/>
        <v>0</v>
      </c>
      <c r="BS98" s="319">
        <f t="shared" si="79"/>
        <v>0</v>
      </c>
      <c r="BT98" s="319">
        <f t="shared" si="79"/>
        <v>0</v>
      </c>
      <c r="BU98" s="319">
        <f t="shared" si="79"/>
        <v>0</v>
      </c>
      <c r="BV98" s="319">
        <f t="shared" si="79"/>
        <v>0</v>
      </c>
      <c r="BW98" s="319">
        <f t="shared" si="79"/>
        <v>0</v>
      </c>
      <c r="BX98" s="319">
        <f t="shared" si="79"/>
        <v>0</v>
      </c>
      <c r="BY98" s="319">
        <f t="shared" si="79"/>
        <v>0</v>
      </c>
      <c r="BZ98" s="319">
        <f t="shared" si="79"/>
        <v>0</v>
      </c>
      <c r="CA98" s="319">
        <f t="shared" si="79"/>
        <v>0</v>
      </c>
      <c r="CB98" s="319">
        <f t="shared" si="79"/>
        <v>0</v>
      </c>
      <c r="CC98" s="319">
        <f t="shared" si="79"/>
        <v>0</v>
      </c>
      <c r="CD98" s="319">
        <f t="shared" si="79"/>
        <v>0</v>
      </c>
      <c r="CE98" s="319">
        <f t="shared" si="79"/>
        <v>0</v>
      </c>
      <c r="CF98" s="319">
        <f t="shared" si="79"/>
        <v>0</v>
      </c>
      <c r="CG98" s="319">
        <f t="shared" si="79"/>
        <v>0</v>
      </c>
      <c r="CH98" s="319">
        <f t="shared" si="79"/>
        <v>0</v>
      </c>
      <c r="CI98" s="319">
        <f t="shared" si="79"/>
        <v>0</v>
      </c>
      <c r="CJ98" s="319">
        <f t="shared" si="79"/>
        <v>0</v>
      </c>
      <c r="CK98" s="319">
        <f t="shared" si="79"/>
        <v>0</v>
      </c>
      <c r="CL98" s="319">
        <f t="shared" si="79"/>
        <v>0</v>
      </c>
      <c r="CM98" s="319">
        <f t="shared" si="79"/>
        <v>0</v>
      </c>
      <c r="CN98" s="319">
        <f t="shared" si="79"/>
        <v>0</v>
      </c>
      <c r="CO98" s="319">
        <f t="shared" si="79"/>
        <v>0</v>
      </c>
      <c r="CP98" s="319">
        <f t="shared" si="79"/>
        <v>0</v>
      </c>
      <c r="CQ98" s="319">
        <f t="shared" si="79"/>
        <v>0</v>
      </c>
      <c r="CR98" s="319">
        <f t="shared" si="79"/>
        <v>0</v>
      </c>
      <c r="CS98" s="319">
        <f t="shared" si="79"/>
        <v>0</v>
      </c>
      <c r="CT98" s="319">
        <f t="shared" si="79"/>
        <v>0</v>
      </c>
      <c r="CU98" s="319">
        <f t="shared" si="79"/>
        <v>0</v>
      </c>
      <c r="CV98" s="319">
        <f t="shared" si="79"/>
        <v>0</v>
      </c>
    </row>
    <row r="99" spans="1:100" x14ac:dyDescent="0.25">
      <c r="A99" s="319">
        <f t="shared" si="65"/>
        <v>0</v>
      </c>
      <c r="B99" s="319">
        <f t="shared" si="71"/>
        <v>0</v>
      </c>
      <c r="C99" s="340" t="s">
        <v>1167</v>
      </c>
      <c r="D99" s="341" t="s">
        <v>358</v>
      </c>
      <c r="E99" s="341">
        <v>4</v>
      </c>
      <c r="F99" s="341" t="str">
        <f>IF(AND(E99&lt;CharacterSheet!$V$34,'House Rules'!$B$1="Available",OR('House Rules'!$B$7="Standard",AND('House Rules'!$B$7="Ranked",G98="Yes"))),"Yes","No")</f>
        <v>No</v>
      </c>
      <c r="G99" s="564" t="s">
        <v>347</v>
      </c>
      <c r="H99" s="333" t="str">
        <f>IF(C99="","",VLOOKUP(C99,Boonref2!A:B,2,FALSE))</f>
        <v>No</v>
      </c>
      <c r="I99" s="333"/>
      <c r="J99" s="333" t="str">
        <f>VLOOKUP(C99,BoonRef!A:Z,17,FALSE)</f>
        <v>Yes</v>
      </c>
      <c r="K99" s="333" t="str">
        <f>IF(J99="God",'House Rules'!$B$2,IF(J99="Demi",'House Rules'!$B$1,IF(J99="Comp",'House Rules'!$B$4,IF(J99="Yaz",'House Rules'!$B$5,IF(J99="Rag",'House Rules'!$B$3,"Available")))))</f>
        <v>Available</v>
      </c>
      <c r="L99" s="333"/>
      <c r="M99" s="333"/>
      <c r="N99" s="340" t="s">
        <v>1376</v>
      </c>
      <c r="O99" s="341" t="s">
        <v>1343</v>
      </c>
      <c r="P99" s="341" t="str">
        <f>IF('House Rules'!$B$4="Prohibited","No",IF(O99&lt;CharacterSheet!$V$34,"Yes","No"))</f>
        <v>No</v>
      </c>
      <c r="Q99" s="341">
        <v>8</v>
      </c>
      <c r="R99" s="344" t="s">
        <v>347</v>
      </c>
      <c r="S99" s="317"/>
      <c r="T99" s="319">
        <f t="shared" si="77"/>
        <v>0</v>
      </c>
      <c r="U99" s="566" t="s">
        <v>2485</v>
      </c>
      <c r="V99" s="341" t="s">
        <v>1306</v>
      </c>
      <c r="W99" s="559" t="s">
        <v>44</v>
      </c>
      <c r="X99" s="341">
        <v>8</v>
      </c>
      <c r="Y99" s="347" t="str">
        <f>IF(AND($D$2="Arete",CharacterSheet!$E$60&gt;2,CharacterSheet!$V$34&gt;X99,'House Rules'!$B$6="Free",'House Rules'!$D$6=W99),"Free",IF(AND($D$2="Arete",CharacterSheet!$E$60&gt;2,CharacterSheet!$V$34&gt;X99,Z98="Yes"),"Yes","No"))</f>
        <v>No</v>
      </c>
      <c r="Z99" s="572" t="s">
        <v>347</v>
      </c>
      <c r="AA99" s="556"/>
      <c r="AB99" s="319">
        <f t="shared" si="78"/>
        <v>0</v>
      </c>
      <c r="AC99" s="566" t="s">
        <v>2585</v>
      </c>
      <c r="AD99" s="341" t="s">
        <v>1306</v>
      </c>
      <c r="AE99" s="559" t="s">
        <v>54</v>
      </c>
      <c r="AF99" s="341">
        <v>8</v>
      </c>
      <c r="AG99" s="347" t="str">
        <f>IF(AND($D$2="Arete",CharacterSheet!$M$60&gt;2,CharacterSheet!$V$34&gt;AF99,'House Rules'!$B$6="Free",'House Rules'!$D$6=AE99),"Free",IF(AND($D$2="Arete",CharacterSheet!$M$60&gt;2,CharacterSheet!$V$34&gt;AF99,AH98="Yes"),"Yes","No"))</f>
        <v>No</v>
      </c>
      <c r="AH99" s="572" t="s">
        <v>347</v>
      </c>
      <c r="BF99" s="319">
        <f t="shared" si="75"/>
        <v>0</v>
      </c>
      <c r="BG99" s="345" t="s">
        <v>2615</v>
      </c>
      <c r="BI99" s="319">
        <f t="shared" si="66"/>
        <v>0</v>
      </c>
      <c r="BJ99" s="319">
        <f t="shared" si="79"/>
        <v>0</v>
      </c>
      <c r="BK99" s="319">
        <f t="shared" si="79"/>
        <v>0</v>
      </c>
      <c r="BL99" s="319">
        <f t="shared" si="79"/>
        <v>0</v>
      </c>
      <c r="BM99" s="319">
        <f t="shared" si="79"/>
        <v>0</v>
      </c>
      <c r="BN99" s="319">
        <f t="shared" si="79"/>
        <v>0</v>
      </c>
      <c r="BO99" s="319">
        <f t="shared" si="79"/>
        <v>0</v>
      </c>
      <c r="BP99" s="319">
        <f t="shared" si="79"/>
        <v>0</v>
      </c>
      <c r="BQ99" s="319">
        <f t="shared" si="79"/>
        <v>0</v>
      </c>
      <c r="BR99" s="319">
        <f t="shared" si="79"/>
        <v>0</v>
      </c>
      <c r="BS99" s="319">
        <f t="shared" si="79"/>
        <v>0</v>
      </c>
      <c r="BT99" s="319">
        <f t="shared" si="79"/>
        <v>0</v>
      </c>
      <c r="BU99" s="319">
        <f t="shared" si="79"/>
        <v>0</v>
      </c>
      <c r="BV99" s="319">
        <f t="shared" si="79"/>
        <v>0</v>
      </c>
      <c r="BW99" s="319">
        <f t="shared" si="79"/>
        <v>0</v>
      </c>
      <c r="BX99" s="319">
        <f t="shared" si="79"/>
        <v>0</v>
      </c>
      <c r="BY99" s="319">
        <f t="shared" si="79"/>
        <v>0</v>
      </c>
      <c r="BZ99" s="319">
        <f t="shared" si="79"/>
        <v>0</v>
      </c>
      <c r="CA99" s="319">
        <f t="shared" si="79"/>
        <v>0</v>
      </c>
      <c r="CB99" s="319">
        <f t="shared" si="79"/>
        <v>0</v>
      </c>
      <c r="CC99" s="319">
        <f t="shared" si="79"/>
        <v>0</v>
      </c>
      <c r="CD99" s="319">
        <f t="shared" si="79"/>
        <v>0</v>
      </c>
      <c r="CE99" s="319">
        <f t="shared" si="79"/>
        <v>0</v>
      </c>
      <c r="CF99" s="319">
        <f t="shared" si="79"/>
        <v>0</v>
      </c>
      <c r="CG99" s="319">
        <f t="shared" si="79"/>
        <v>0</v>
      </c>
      <c r="CH99" s="319">
        <f t="shared" si="79"/>
        <v>0</v>
      </c>
      <c r="CI99" s="319">
        <f t="shared" si="79"/>
        <v>0</v>
      </c>
      <c r="CJ99" s="319">
        <f t="shared" si="79"/>
        <v>0</v>
      </c>
      <c r="CK99" s="319">
        <f t="shared" si="79"/>
        <v>0</v>
      </c>
      <c r="CL99" s="319">
        <f t="shared" si="79"/>
        <v>0</v>
      </c>
      <c r="CM99" s="319">
        <f t="shared" si="79"/>
        <v>0</v>
      </c>
      <c r="CN99" s="319">
        <f t="shared" si="79"/>
        <v>0</v>
      </c>
      <c r="CO99" s="319">
        <f t="shared" si="79"/>
        <v>0</v>
      </c>
      <c r="CP99" s="319">
        <f t="shared" si="79"/>
        <v>0</v>
      </c>
      <c r="CQ99" s="319">
        <f t="shared" si="79"/>
        <v>0</v>
      </c>
      <c r="CR99" s="319">
        <f t="shared" si="79"/>
        <v>0</v>
      </c>
      <c r="CS99" s="319">
        <f t="shared" si="79"/>
        <v>0</v>
      </c>
      <c r="CT99" s="319">
        <f t="shared" si="79"/>
        <v>0</v>
      </c>
      <c r="CU99" s="319">
        <f t="shared" si="79"/>
        <v>0</v>
      </c>
      <c r="CV99" s="319">
        <f t="shared" si="79"/>
        <v>0</v>
      </c>
    </row>
    <row r="100" spans="1:100" x14ac:dyDescent="0.25">
      <c r="A100" s="319">
        <f t="shared" si="65"/>
        <v>0</v>
      </c>
      <c r="B100" s="319">
        <f t="shared" si="71"/>
        <v>0</v>
      </c>
      <c r="C100" s="340" t="s">
        <v>1391</v>
      </c>
      <c r="D100" s="341" t="s">
        <v>358</v>
      </c>
      <c r="E100" s="341">
        <v>4</v>
      </c>
      <c r="F100" s="341" t="str">
        <f>IF(AND(E100&lt;CharacterSheet!$V$34,'House Rules'!$B$4="Available",OR('House Rules'!$B$7="Standard",AND('House Rules'!$B$7="Ranked",G98="Yes"))),"Yes","No")</f>
        <v>No</v>
      </c>
      <c r="G100" s="564" t="s">
        <v>347</v>
      </c>
      <c r="H100" s="333" t="str">
        <f>IF(C100="","",VLOOKUP(C100,Boonref2!A:B,2,FALSE))</f>
        <v>No</v>
      </c>
      <c r="I100" s="333"/>
      <c r="J100" s="333" t="str">
        <f>VLOOKUP(C100,BoonRef!A:Z,17,FALSE)</f>
        <v>Yes</v>
      </c>
      <c r="K100" s="333" t="str">
        <f>IF(J100="God",'House Rules'!$B$2,IF(J100="Demi",'House Rules'!$B$1,IF(J100="Comp",'House Rules'!$B$4,IF(J100="Yaz",'House Rules'!$B$5,IF(J100="Rag",'House Rules'!$B$3,"Available")))))</f>
        <v>Available</v>
      </c>
      <c r="L100" s="333"/>
      <c r="M100" s="333"/>
      <c r="N100" s="340" t="s">
        <v>1377</v>
      </c>
      <c r="O100" s="341" t="s">
        <v>1343</v>
      </c>
      <c r="P100" s="341" t="str">
        <f>IF('House Rules'!$B$4="Prohibited","No",IF(O100&lt;CharacterSheet!$V$34,"Yes","No"))</f>
        <v>No</v>
      </c>
      <c r="Q100" s="341">
        <v>9</v>
      </c>
      <c r="R100" s="344" t="s">
        <v>346</v>
      </c>
      <c r="S100" s="317"/>
      <c r="T100" s="319">
        <f t="shared" si="77"/>
        <v>0</v>
      </c>
      <c r="U100" s="566" t="s">
        <v>2486</v>
      </c>
      <c r="V100" s="341" t="s">
        <v>1307</v>
      </c>
      <c r="W100" s="559" t="s">
        <v>44</v>
      </c>
      <c r="X100" s="341">
        <v>9</v>
      </c>
      <c r="Y100" s="347" t="str">
        <f>IF(AND($D$2="Arete",CharacterSheet!$E$60&gt;2,CharacterSheet!$V$34&gt;X100,'House Rules'!$B$6="Free",'House Rules'!$D$6=W100),"Free",IF(AND($D$2="Arete",CharacterSheet!$E$60&gt;2,CharacterSheet!$V$34&gt;X100,Z99="Yes"),"Yes","No"))</f>
        <v>No</v>
      </c>
      <c r="Z100" s="572" t="s">
        <v>347</v>
      </c>
      <c r="AA100" s="556"/>
      <c r="AB100" s="319">
        <f t="shared" si="78"/>
        <v>0</v>
      </c>
      <c r="AC100" s="566" t="s">
        <v>2586</v>
      </c>
      <c r="AD100" s="341" t="s">
        <v>1307</v>
      </c>
      <c r="AE100" s="559" t="s">
        <v>54</v>
      </c>
      <c r="AF100" s="341">
        <v>9</v>
      </c>
      <c r="AG100" s="347" t="str">
        <f>IF(AND($D$2="Arete",CharacterSheet!$M$60&gt;2,CharacterSheet!$V$34&gt;AF100,'House Rules'!$B$6="Free",'House Rules'!$D$6=AE100),"Free",IF(AND($D$2="Arete",CharacterSheet!$M$60&gt;2,CharacterSheet!$V$34&gt;AF100,AH99="Yes"),"Yes","No"))</f>
        <v>No</v>
      </c>
      <c r="AH100" s="572" t="s">
        <v>347</v>
      </c>
      <c r="BF100" s="319">
        <f t="shared" si="75"/>
        <v>0</v>
      </c>
      <c r="BG100" s="345" t="s">
        <v>2616</v>
      </c>
      <c r="BI100" s="319">
        <f t="shared" si="66"/>
        <v>0</v>
      </c>
      <c r="BJ100" s="319">
        <f t="shared" si="79"/>
        <v>0</v>
      </c>
      <c r="BK100" s="319">
        <f t="shared" si="79"/>
        <v>0</v>
      </c>
      <c r="BL100" s="319">
        <f t="shared" si="79"/>
        <v>0</v>
      </c>
      <c r="BM100" s="319">
        <f t="shared" si="79"/>
        <v>0</v>
      </c>
      <c r="BN100" s="319">
        <f t="shared" si="79"/>
        <v>0</v>
      </c>
      <c r="BO100" s="319">
        <f t="shared" si="79"/>
        <v>0</v>
      </c>
      <c r="BP100" s="319">
        <f t="shared" si="79"/>
        <v>0</v>
      </c>
      <c r="BQ100" s="319">
        <f t="shared" si="79"/>
        <v>0</v>
      </c>
      <c r="BR100" s="319">
        <f t="shared" si="79"/>
        <v>0</v>
      </c>
      <c r="BS100" s="319">
        <f t="shared" si="79"/>
        <v>0</v>
      </c>
      <c r="BT100" s="319">
        <f t="shared" si="79"/>
        <v>0</v>
      </c>
      <c r="BU100" s="319">
        <f t="shared" si="79"/>
        <v>0</v>
      </c>
      <c r="BV100" s="319">
        <f t="shared" si="79"/>
        <v>0</v>
      </c>
      <c r="BW100" s="319">
        <f t="shared" si="79"/>
        <v>0</v>
      </c>
      <c r="BX100" s="319">
        <f t="shared" si="79"/>
        <v>0</v>
      </c>
      <c r="BY100" s="319">
        <f t="shared" si="79"/>
        <v>0</v>
      </c>
      <c r="BZ100" s="319">
        <f t="shared" si="79"/>
        <v>0</v>
      </c>
      <c r="CA100" s="319">
        <f t="shared" si="79"/>
        <v>0</v>
      </c>
      <c r="CB100" s="319">
        <f t="shared" si="79"/>
        <v>0</v>
      </c>
      <c r="CC100" s="319">
        <f t="shared" si="79"/>
        <v>0</v>
      </c>
      <c r="CD100" s="319">
        <f t="shared" si="79"/>
        <v>0</v>
      </c>
      <c r="CE100" s="319">
        <f t="shared" si="79"/>
        <v>0</v>
      </c>
      <c r="CF100" s="319">
        <f t="shared" si="79"/>
        <v>0</v>
      </c>
      <c r="CG100" s="319">
        <f t="shared" si="79"/>
        <v>0</v>
      </c>
      <c r="CH100" s="319">
        <f t="shared" si="79"/>
        <v>0</v>
      </c>
      <c r="CI100" s="319">
        <f t="shared" si="79"/>
        <v>0</v>
      </c>
      <c r="CJ100" s="319">
        <f t="shared" si="79"/>
        <v>0</v>
      </c>
      <c r="CK100" s="319">
        <f t="shared" si="79"/>
        <v>0</v>
      </c>
      <c r="CL100" s="319">
        <f t="shared" si="79"/>
        <v>0</v>
      </c>
      <c r="CM100" s="319">
        <f t="shared" si="79"/>
        <v>0</v>
      </c>
      <c r="CN100" s="319">
        <f t="shared" si="79"/>
        <v>0</v>
      </c>
      <c r="CO100" s="319">
        <f t="shared" si="79"/>
        <v>0</v>
      </c>
      <c r="CP100" s="319">
        <f t="shared" si="79"/>
        <v>0</v>
      </c>
      <c r="CQ100" s="319">
        <f t="shared" ref="BJ100:CV107" si="80">IF(AND($D100=CQ$1,$G100="Yes"),$E100,0)</f>
        <v>0</v>
      </c>
      <c r="CR100" s="319">
        <f t="shared" si="80"/>
        <v>0</v>
      </c>
      <c r="CS100" s="319">
        <f t="shared" si="80"/>
        <v>0</v>
      </c>
      <c r="CT100" s="319">
        <f t="shared" si="80"/>
        <v>0</v>
      </c>
      <c r="CU100" s="319">
        <f t="shared" si="80"/>
        <v>0</v>
      </c>
      <c r="CV100" s="319">
        <f t="shared" si="80"/>
        <v>0</v>
      </c>
    </row>
    <row r="101" spans="1:100" ht="15.75" thickBot="1" x14ac:dyDescent="0.3">
      <c r="A101" s="319">
        <f t="shared" si="65"/>
        <v>0</v>
      </c>
      <c r="B101" s="319">
        <f t="shared" si="71"/>
        <v>0</v>
      </c>
      <c r="C101" s="340" t="s">
        <v>1168</v>
      </c>
      <c r="D101" s="341" t="s">
        <v>358</v>
      </c>
      <c r="E101" s="341">
        <v>5</v>
      </c>
      <c r="F101" s="341" t="str">
        <f>IF(AND(E101&lt;CharacterSheet!$V$34,'House Rules'!$B$1="Available",OR('House Rules'!$B$7="Standard",AND('House Rules'!$B$7="Ranked",OR(G100="Yes",G99="Yes")))),"Yes","No")</f>
        <v>No</v>
      </c>
      <c r="G101" s="564" t="s">
        <v>347</v>
      </c>
      <c r="H101" s="333" t="str">
        <f>IF(C101="","",VLOOKUP(C101,Boonref2!A:B,2,FALSE))</f>
        <v>No</v>
      </c>
      <c r="I101" s="333"/>
      <c r="J101" s="333" t="str">
        <f>VLOOKUP(C101,BoonRef!A:Z,17,FALSE)</f>
        <v>Yes</v>
      </c>
      <c r="K101" s="333" t="str">
        <f>IF(J101="God",'House Rules'!$B$2,IF(J101="Demi",'House Rules'!$B$1,IF(J101="Comp",'House Rules'!$B$4,IF(J101="Yaz",'House Rules'!$B$5,IF(J101="Rag",'House Rules'!$B$3,"Available")))))</f>
        <v>Available</v>
      </c>
      <c r="L101" s="333"/>
      <c r="M101" s="333"/>
      <c r="N101" s="340" t="s">
        <v>1378</v>
      </c>
      <c r="O101" s="341" t="s">
        <v>1343</v>
      </c>
      <c r="P101" s="341" t="str">
        <f>IF('House Rules'!$B$4="Prohibited","No",IF(O101&lt;CharacterSheet!$V$34,"Yes","No"))</f>
        <v>No</v>
      </c>
      <c r="Q101" s="341">
        <v>10</v>
      </c>
      <c r="R101" s="344" t="s">
        <v>346</v>
      </c>
      <c r="S101" s="317"/>
      <c r="T101" s="319">
        <f>IF(Z101="Yes",LARGE($T$82:$T$91,1)+1,LARGE($T$82:$T$91,1))</f>
        <v>0</v>
      </c>
      <c r="U101" s="355" t="s">
        <v>2487</v>
      </c>
      <c r="V101" s="353" t="s">
        <v>1308</v>
      </c>
      <c r="W101" s="356" t="s">
        <v>44</v>
      </c>
      <c r="X101" s="353">
        <v>10</v>
      </c>
      <c r="Y101" s="576" t="str">
        <f>IF(AND($D$2="Arete",CharacterSheet!$E$60&gt;2,CharacterSheet!$V$34&gt;X101,'House Rules'!$B$6="Free",'House Rules'!$D$6=W101),"Free",IF(AND($D$2="Arete",CharacterSheet!$E$60&gt;2,CharacterSheet!$V$34&gt;X101,Z100="Yes"),"Yes","No"))</f>
        <v>No</v>
      </c>
      <c r="Z101" s="573" t="s">
        <v>347</v>
      </c>
      <c r="AA101" s="556"/>
      <c r="AB101" s="319">
        <f>IF(AH101="Yes",LARGE($AB$82:$AB$91,1)+1,LARGE($AB$82:$AB$91,1))</f>
        <v>0</v>
      </c>
      <c r="AC101" s="355" t="s">
        <v>2587</v>
      </c>
      <c r="AD101" s="353" t="s">
        <v>1308</v>
      </c>
      <c r="AE101" s="356" t="s">
        <v>54</v>
      </c>
      <c r="AF101" s="353">
        <v>10</v>
      </c>
      <c r="AG101" s="576" t="str">
        <f>IF(AND($D$2="Arete",CharacterSheet!$M$60&gt;2,CharacterSheet!$V$34&gt;AF101,'House Rules'!$B$6="Free",'House Rules'!$D$6=AE101),"Free",IF(AND($D$2="Arete",CharacterSheet!$M$60&gt;2,CharacterSheet!$V$34&gt;AF101,AH100="Yes"),"Yes","No"))</f>
        <v>No</v>
      </c>
      <c r="AH101" s="573" t="s">
        <v>347</v>
      </c>
      <c r="BF101" s="319">
        <f t="shared" si="75"/>
        <v>0</v>
      </c>
      <c r="BG101" s="355" t="s">
        <v>2617</v>
      </c>
      <c r="BI101" s="319">
        <f t="shared" si="66"/>
        <v>0</v>
      </c>
      <c r="BJ101" s="319">
        <f t="shared" si="80"/>
        <v>0</v>
      </c>
      <c r="BK101" s="319">
        <f t="shared" si="80"/>
        <v>0</v>
      </c>
      <c r="BL101" s="319">
        <f t="shared" si="80"/>
        <v>0</v>
      </c>
      <c r="BM101" s="319">
        <f t="shared" si="80"/>
        <v>0</v>
      </c>
      <c r="BN101" s="319">
        <f t="shared" si="80"/>
        <v>0</v>
      </c>
      <c r="BO101" s="319">
        <f t="shared" si="80"/>
        <v>0</v>
      </c>
      <c r="BP101" s="319">
        <f t="shared" si="80"/>
        <v>0</v>
      </c>
      <c r="BQ101" s="319">
        <f t="shared" si="80"/>
        <v>0</v>
      </c>
      <c r="BR101" s="319">
        <f t="shared" si="80"/>
        <v>0</v>
      </c>
      <c r="BS101" s="319">
        <f t="shared" si="80"/>
        <v>0</v>
      </c>
      <c r="BT101" s="319">
        <f t="shared" si="80"/>
        <v>0</v>
      </c>
      <c r="BU101" s="319">
        <f t="shared" si="80"/>
        <v>0</v>
      </c>
      <c r="BV101" s="319">
        <f t="shared" si="80"/>
        <v>0</v>
      </c>
      <c r="BW101" s="319">
        <f t="shared" si="80"/>
        <v>0</v>
      </c>
      <c r="BX101" s="319">
        <f t="shared" si="80"/>
        <v>0</v>
      </c>
      <c r="BY101" s="319">
        <f t="shared" si="80"/>
        <v>0</v>
      </c>
      <c r="BZ101" s="319">
        <f t="shared" si="80"/>
        <v>0</v>
      </c>
      <c r="CA101" s="319">
        <f t="shared" si="80"/>
        <v>0</v>
      </c>
      <c r="CB101" s="319">
        <f t="shared" si="80"/>
        <v>0</v>
      </c>
      <c r="CC101" s="319">
        <f t="shared" si="80"/>
        <v>0</v>
      </c>
      <c r="CD101" s="319">
        <f t="shared" si="80"/>
        <v>0</v>
      </c>
      <c r="CE101" s="319">
        <f t="shared" si="80"/>
        <v>0</v>
      </c>
      <c r="CF101" s="319">
        <f t="shared" si="80"/>
        <v>0</v>
      </c>
      <c r="CG101" s="319">
        <f t="shared" si="80"/>
        <v>0</v>
      </c>
      <c r="CH101" s="319">
        <f t="shared" si="80"/>
        <v>0</v>
      </c>
      <c r="CI101" s="319">
        <f t="shared" si="80"/>
        <v>0</v>
      </c>
      <c r="CJ101" s="319">
        <f t="shared" si="80"/>
        <v>0</v>
      </c>
      <c r="CK101" s="319">
        <f t="shared" si="80"/>
        <v>0</v>
      </c>
      <c r="CL101" s="319">
        <f t="shared" si="80"/>
        <v>0</v>
      </c>
      <c r="CM101" s="319">
        <f t="shared" si="80"/>
        <v>0</v>
      </c>
      <c r="CN101" s="319">
        <f t="shared" si="80"/>
        <v>0</v>
      </c>
      <c r="CO101" s="319">
        <f t="shared" si="80"/>
        <v>0</v>
      </c>
      <c r="CP101" s="319">
        <f t="shared" si="80"/>
        <v>0</v>
      </c>
      <c r="CQ101" s="319">
        <f t="shared" si="80"/>
        <v>0</v>
      </c>
      <c r="CR101" s="319">
        <f t="shared" si="80"/>
        <v>0</v>
      </c>
      <c r="CS101" s="319">
        <f t="shared" si="80"/>
        <v>0</v>
      </c>
      <c r="CT101" s="319">
        <f t="shared" si="80"/>
        <v>0</v>
      </c>
      <c r="CU101" s="319">
        <f t="shared" si="80"/>
        <v>0</v>
      </c>
      <c r="CV101" s="319">
        <f t="shared" si="80"/>
        <v>0</v>
      </c>
    </row>
    <row r="102" spans="1:100" x14ac:dyDescent="0.25">
      <c r="A102" s="319">
        <f t="shared" si="65"/>
        <v>0</v>
      </c>
      <c r="B102" s="319">
        <f t="shared" si="71"/>
        <v>0</v>
      </c>
      <c r="C102" s="340" t="s">
        <v>1169</v>
      </c>
      <c r="D102" s="341" t="s">
        <v>358</v>
      </c>
      <c r="E102" s="341">
        <v>6</v>
      </c>
      <c r="F102" s="341" t="str">
        <f>IF(AND(E102&lt;CharacterSheet!$V$34,'House Rules'!$B$1="Available",OR('House Rules'!$B$7="Standard",AND('House Rules'!$B$7="Ranked",G101="Yes"))),"Yes","No")</f>
        <v>No</v>
      </c>
      <c r="G102" s="564" t="s">
        <v>347</v>
      </c>
      <c r="H102" s="333" t="str">
        <f>IF(C102="","",VLOOKUP(C102,Boonref2!A:B,2,FALSE))</f>
        <v>Yes</v>
      </c>
      <c r="I102" s="333"/>
      <c r="J102" s="333" t="str">
        <f>VLOOKUP(C102,BoonRef!A:Z,17,FALSE)</f>
        <v>Yes</v>
      </c>
      <c r="K102" s="333" t="str">
        <f>IF(J102="God",'House Rules'!$B$2,IF(J102="Demi",'House Rules'!$B$1,IF(J102="Comp",'House Rules'!$B$4,IF(J102="Yaz",'House Rules'!$B$5,IF(J102="Rag",'House Rules'!$B$3,"Available")))))</f>
        <v>Available</v>
      </c>
      <c r="L102" s="333"/>
      <c r="M102" s="333"/>
      <c r="N102" s="340" t="s">
        <v>1421</v>
      </c>
      <c r="O102" s="341" t="s">
        <v>168</v>
      </c>
      <c r="P102" s="341" t="str">
        <f>IF('House Rules'!$B$4="Prohibited","No",IF(O102&lt;CharacterSheet!$V$34,"Yes","No"))</f>
        <v>No</v>
      </c>
      <c r="Q102" s="341">
        <v>1</v>
      </c>
      <c r="R102" s="344" t="s">
        <v>347</v>
      </c>
      <c r="S102" s="317"/>
      <c r="BF102" s="319">
        <f>T62</f>
        <v>0</v>
      </c>
      <c r="BG102" s="336" t="s">
        <v>2448</v>
      </c>
      <c r="BI102" s="319">
        <f t="shared" si="66"/>
        <v>0</v>
      </c>
      <c r="BJ102" s="319">
        <f t="shared" si="80"/>
        <v>0</v>
      </c>
      <c r="BK102" s="319">
        <f t="shared" si="80"/>
        <v>0</v>
      </c>
      <c r="BL102" s="319">
        <f t="shared" si="80"/>
        <v>0</v>
      </c>
      <c r="BM102" s="319">
        <f t="shared" si="80"/>
        <v>0</v>
      </c>
      <c r="BN102" s="319">
        <f t="shared" si="80"/>
        <v>0</v>
      </c>
      <c r="BO102" s="319">
        <f t="shared" si="80"/>
        <v>0</v>
      </c>
      <c r="BP102" s="319">
        <f t="shared" si="80"/>
        <v>0</v>
      </c>
      <c r="BQ102" s="319">
        <f t="shared" si="80"/>
        <v>0</v>
      </c>
      <c r="BR102" s="319">
        <f t="shared" si="80"/>
        <v>0</v>
      </c>
      <c r="BS102" s="319">
        <f t="shared" si="80"/>
        <v>0</v>
      </c>
      <c r="BT102" s="319">
        <f t="shared" si="80"/>
        <v>0</v>
      </c>
      <c r="BU102" s="319">
        <f t="shared" si="80"/>
        <v>0</v>
      </c>
      <c r="BV102" s="319">
        <f t="shared" si="80"/>
        <v>0</v>
      </c>
      <c r="BW102" s="319">
        <f t="shared" si="80"/>
        <v>0</v>
      </c>
      <c r="BX102" s="319">
        <f t="shared" si="80"/>
        <v>0</v>
      </c>
      <c r="BY102" s="319">
        <f t="shared" si="80"/>
        <v>0</v>
      </c>
      <c r="BZ102" s="319">
        <f t="shared" si="80"/>
        <v>0</v>
      </c>
      <c r="CA102" s="319">
        <f t="shared" si="80"/>
        <v>0</v>
      </c>
      <c r="CB102" s="319">
        <f t="shared" si="80"/>
        <v>0</v>
      </c>
      <c r="CC102" s="319">
        <f t="shared" si="80"/>
        <v>0</v>
      </c>
      <c r="CD102" s="319">
        <f t="shared" si="80"/>
        <v>0</v>
      </c>
      <c r="CE102" s="319">
        <f t="shared" si="80"/>
        <v>0</v>
      </c>
      <c r="CF102" s="319">
        <f t="shared" si="80"/>
        <v>0</v>
      </c>
      <c r="CG102" s="319">
        <f t="shared" si="80"/>
        <v>0</v>
      </c>
      <c r="CH102" s="319">
        <f t="shared" si="80"/>
        <v>0</v>
      </c>
      <c r="CI102" s="319">
        <f t="shared" si="80"/>
        <v>0</v>
      </c>
      <c r="CJ102" s="319">
        <f t="shared" si="80"/>
        <v>0</v>
      </c>
      <c r="CK102" s="319">
        <f t="shared" si="80"/>
        <v>0</v>
      </c>
      <c r="CL102" s="319">
        <f t="shared" si="80"/>
        <v>0</v>
      </c>
      <c r="CM102" s="319">
        <f t="shared" si="80"/>
        <v>0</v>
      </c>
      <c r="CN102" s="319">
        <f t="shared" si="80"/>
        <v>0</v>
      </c>
      <c r="CO102" s="319">
        <f t="shared" si="80"/>
        <v>0</v>
      </c>
      <c r="CP102" s="319">
        <f t="shared" si="80"/>
        <v>0</v>
      </c>
      <c r="CQ102" s="319">
        <f t="shared" si="80"/>
        <v>0</v>
      </c>
      <c r="CR102" s="319">
        <f t="shared" si="80"/>
        <v>0</v>
      </c>
      <c r="CS102" s="319">
        <f t="shared" si="80"/>
        <v>0</v>
      </c>
      <c r="CT102" s="319">
        <f t="shared" si="80"/>
        <v>0</v>
      </c>
      <c r="CU102" s="319">
        <f t="shared" si="80"/>
        <v>0</v>
      </c>
      <c r="CV102" s="319">
        <f t="shared" si="80"/>
        <v>0</v>
      </c>
    </row>
    <row r="103" spans="1:100" x14ac:dyDescent="0.25">
      <c r="A103" s="319">
        <f t="shared" si="65"/>
        <v>0</v>
      </c>
      <c r="B103" s="319">
        <f t="shared" si="71"/>
        <v>0</v>
      </c>
      <c r="C103" s="340" t="s">
        <v>1170</v>
      </c>
      <c r="D103" s="341" t="s">
        <v>358</v>
      </c>
      <c r="E103" s="341">
        <v>7</v>
      </c>
      <c r="F103" s="341" t="str">
        <f>IF(AND(E103&lt;CharacterSheet!$V$34,'House Rules'!$B$1="Available",OR('House Rules'!$B$7="Standard",AND('House Rules'!$B$7="Ranked",G102="Yes"))),"Yes","No")</f>
        <v>No</v>
      </c>
      <c r="G103" s="564" t="s">
        <v>347</v>
      </c>
      <c r="H103" s="333" t="str">
        <f>IF(C103="","",VLOOKUP(C103,Boonref2!A:B,2,FALSE))</f>
        <v>No</v>
      </c>
      <c r="I103" s="333"/>
      <c r="J103" s="333" t="str">
        <f>VLOOKUP(C103,BoonRef!A:Z,17,FALSE)</f>
        <v>Yes</v>
      </c>
      <c r="K103" s="333" t="str">
        <f>IF(J103="God",'House Rules'!$B$2,IF(J103="Demi",'House Rules'!$B$1,IF(J103="Comp",'House Rules'!$B$4,IF(J103="Yaz",'House Rules'!$B$5,IF(J103="Rag",'House Rules'!$B$3,"Available")))))</f>
        <v>Available</v>
      </c>
      <c r="L103" s="333"/>
      <c r="M103" s="333"/>
      <c r="N103" s="340" t="s">
        <v>1422</v>
      </c>
      <c r="O103" s="341" t="s">
        <v>168</v>
      </c>
      <c r="P103" s="341" t="str">
        <f>IF('House Rules'!$B$4="Prohibited","No",IF(O103&lt;CharacterSheet!$V$34,"Yes","No"))</f>
        <v>No</v>
      </c>
      <c r="Q103" s="341">
        <v>2</v>
      </c>
      <c r="R103" s="344" t="s">
        <v>346</v>
      </c>
      <c r="S103" s="317"/>
      <c r="BF103" s="319">
        <f>T63</f>
        <v>0</v>
      </c>
      <c r="BG103" s="345" t="s">
        <v>2449</v>
      </c>
      <c r="BI103" s="319">
        <f t="shared" si="66"/>
        <v>0</v>
      </c>
      <c r="BJ103" s="319">
        <f t="shared" si="80"/>
        <v>0</v>
      </c>
      <c r="BK103" s="319">
        <f t="shared" si="80"/>
        <v>0</v>
      </c>
      <c r="BL103" s="319">
        <f t="shared" si="80"/>
        <v>0</v>
      </c>
      <c r="BM103" s="319">
        <f t="shared" si="80"/>
        <v>0</v>
      </c>
      <c r="BN103" s="319">
        <f t="shared" si="80"/>
        <v>0</v>
      </c>
      <c r="BO103" s="319">
        <f t="shared" si="80"/>
        <v>0</v>
      </c>
      <c r="BP103" s="319">
        <f t="shared" si="80"/>
        <v>0</v>
      </c>
      <c r="BQ103" s="319">
        <f t="shared" si="80"/>
        <v>0</v>
      </c>
      <c r="BR103" s="319">
        <f t="shared" si="80"/>
        <v>0</v>
      </c>
      <c r="BS103" s="319">
        <f t="shared" si="80"/>
        <v>0</v>
      </c>
      <c r="BT103" s="319">
        <f t="shared" si="80"/>
        <v>0</v>
      </c>
      <c r="BU103" s="319">
        <f t="shared" si="80"/>
        <v>0</v>
      </c>
      <c r="BV103" s="319">
        <f t="shared" si="80"/>
        <v>0</v>
      </c>
      <c r="BW103" s="319">
        <f t="shared" si="80"/>
        <v>0</v>
      </c>
      <c r="BX103" s="319">
        <f t="shared" si="80"/>
        <v>0</v>
      </c>
      <c r="BY103" s="319">
        <f t="shared" si="80"/>
        <v>0</v>
      </c>
      <c r="BZ103" s="319">
        <f t="shared" si="80"/>
        <v>0</v>
      </c>
      <c r="CA103" s="319">
        <f t="shared" si="80"/>
        <v>0</v>
      </c>
      <c r="CB103" s="319">
        <f t="shared" si="80"/>
        <v>0</v>
      </c>
      <c r="CC103" s="319">
        <f t="shared" si="80"/>
        <v>0</v>
      </c>
      <c r="CD103" s="319">
        <f t="shared" si="80"/>
        <v>0</v>
      </c>
      <c r="CE103" s="319">
        <f t="shared" si="80"/>
        <v>0</v>
      </c>
      <c r="CF103" s="319">
        <f t="shared" si="80"/>
        <v>0</v>
      </c>
      <c r="CG103" s="319">
        <f t="shared" si="80"/>
        <v>0</v>
      </c>
      <c r="CH103" s="319">
        <f t="shared" si="80"/>
        <v>0</v>
      </c>
      <c r="CI103" s="319">
        <f t="shared" si="80"/>
        <v>0</v>
      </c>
      <c r="CJ103" s="319">
        <f t="shared" si="80"/>
        <v>0</v>
      </c>
      <c r="CK103" s="319">
        <f t="shared" si="80"/>
        <v>0</v>
      </c>
      <c r="CL103" s="319">
        <f t="shared" si="80"/>
        <v>0</v>
      </c>
      <c r="CM103" s="319">
        <f t="shared" si="80"/>
        <v>0</v>
      </c>
      <c r="CN103" s="319">
        <f t="shared" si="80"/>
        <v>0</v>
      </c>
      <c r="CO103" s="319">
        <f t="shared" si="80"/>
        <v>0</v>
      </c>
      <c r="CP103" s="319">
        <f t="shared" si="80"/>
        <v>0</v>
      </c>
      <c r="CQ103" s="319">
        <f t="shared" si="80"/>
        <v>0</v>
      </c>
      <c r="CR103" s="319">
        <f t="shared" si="80"/>
        <v>0</v>
      </c>
      <c r="CS103" s="319">
        <f t="shared" si="80"/>
        <v>0</v>
      </c>
      <c r="CT103" s="319">
        <f t="shared" si="80"/>
        <v>0</v>
      </c>
      <c r="CU103" s="319">
        <f t="shared" si="80"/>
        <v>0</v>
      </c>
      <c r="CV103" s="319">
        <f t="shared" si="80"/>
        <v>0</v>
      </c>
    </row>
    <row r="104" spans="1:100" x14ac:dyDescent="0.25">
      <c r="A104" s="319">
        <f t="shared" si="65"/>
        <v>0</v>
      </c>
      <c r="B104" s="319">
        <f t="shared" si="71"/>
        <v>0</v>
      </c>
      <c r="C104" s="340" t="s">
        <v>1267</v>
      </c>
      <c r="D104" s="341" t="s">
        <v>358</v>
      </c>
      <c r="E104" s="341">
        <v>8</v>
      </c>
      <c r="F104" s="341" t="str">
        <f>IF(AND(E104&lt;CharacterSheet!$V$34,'House Rules'!$B$2="available",OR('House Rules'!$B$7="Standard",AND('House Rules'!$B$7="Ranked",G103="Yes"))),"Yes","No")</f>
        <v>No</v>
      </c>
      <c r="G104" s="564" t="s">
        <v>347</v>
      </c>
      <c r="H104" s="333" t="str">
        <f>IF(C104="","",VLOOKUP(C104,Boonref2!A:B,2,FALSE))</f>
        <v>Yes</v>
      </c>
      <c r="I104" s="333"/>
      <c r="J104" s="333" t="str">
        <f>VLOOKUP(C104,BoonRef!A:Z,17,FALSE)</f>
        <v>Yes</v>
      </c>
      <c r="K104" s="333" t="str">
        <f>IF(J104="God",'House Rules'!$B$2,IF(J104="Demi",'House Rules'!$B$1,IF(J104="Comp",'House Rules'!$B$4,IF(J104="Yaz",'House Rules'!$B$5,IF(J104="Rag",'House Rules'!$B$3,"Available")))))</f>
        <v>Available</v>
      </c>
      <c r="L104" s="333"/>
      <c r="M104" s="333"/>
      <c r="N104" s="340" t="s">
        <v>1423</v>
      </c>
      <c r="O104" s="341" t="s">
        <v>168</v>
      </c>
      <c r="P104" s="341" t="str">
        <f>IF('House Rules'!$B$4="Prohibited","No",IF(O104&lt;CharacterSheet!$V$34,"Yes","No"))</f>
        <v>No</v>
      </c>
      <c r="Q104" s="341">
        <v>3</v>
      </c>
      <c r="R104" s="344" t="s">
        <v>347</v>
      </c>
      <c r="S104" s="317"/>
      <c r="BF104" s="319">
        <f>T64</f>
        <v>0</v>
      </c>
      <c r="BG104" s="345" t="s">
        <v>2450</v>
      </c>
      <c r="BI104" s="319">
        <f t="shared" si="66"/>
        <v>0</v>
      </c>
      <c r="BJ104" s="319">
        <f t="shared" si="80"/>
        <v>0</v>
      </c>
      <c r="BK104" s="319">
        <f t="shared" si="80"/>
        <v>0</v>
      </c>
      <c r="BL104" s="319">
        <f t="shared" si="80"/>
        <v>0</v>
      </c>
      <c r="BM104" s="319">
        <f t="shared" si="80"/>
        <v>0</v>
      </c>
      <c r="BN104" s="319">
        <f t="shared" si="80"/>
        <v>0</v>
      </c>
      <c r="BO104" s="319">
        <f t="shared" si="80"/>
        <v>0</v>
      </c>
      <c r="BP104" s="319">
        <f t="shared" si="80"/>
        <v>0</v>
      </c>
      <c r="BQ104" s="319">
        <f t="shared" si="80"/>
        <v>0</v>
      </c>
      <c r="BR104" s="319">
        <f t="shared" si="80"/>
        <v>0</v>
      </c>
      <c r="BS104" s="319">
        <f t="shared" si="80"/>
        <v>0</v>
      </c>
      <c r="BT104" s="319">
        <f t="shared" si="80"/>
        <v>0</v>
      </c>
      <c r="BU104" s="319">
        <f t="shared" si="80"/>
        <v>0</v>
      </c>
      <c r="BV104" s="319">
        <f t="shared" si="80"/>
        <v>0</v>
      </c>
      <c r="BW104" s="319">
        <f t="shared" si="80"/>
        <v>0</v>
      </c>
      <c r="BX104" s="319">
        <f t="shared" si="80"/>
        <v>0</v>
      </c>
      <c r="BY104" s="319">
        <f t="shared" si="80"/>
        <v>0</v>
      </c>
      <c r="BZ104" s="319">
        <f t="shared" si="80"/>
        <v>0</v>
      </c>
      <c r="CA104" s="319">
        <f t="shared" si="80"/>
        <v>0</v>
      </c>
      <c r="CB104" s="319">
        <f t="shared" si="80"/>
        <v>0</v>
      </c>
      <c r="CC104" s="319">
        <f t="shared" si="80"/>
        <v>0</v>
      </c>
      <c r="CD104" s="319">
        <f t="shared" si="80"/>
        <v>0</v>
      </c>
      <c r="CE104" s="319">
        <f t="shared" si="80"/>
        <v>0</v>
      </c>
      <c r="CF104" s="319">
        <f t="shared" si="80"/>
        <v>0</v>
      </c>
      <c r="CG104" s="319">
        <f t="shared" si="80"/>
        <v>0</v>
      </c>
      <c r="CH104" s="319">
        <f t="shared" si="80"/>
        <v>0</v>
      </c>
      <c r="CI104" s="319">
        <f t="shared" si="80"/>
        <v>0</v>
      </c>
      <c r="CJ104" s="319">
        <f t="shared" si="80"/>
        <v>0</v>
      </c>
      <c r="CK104" s="319">
        <f t="shared" si="80"/>
        <v>0</v>
      </c>
      <c r="CL104" s="319">
        <f t="shared" si="80"/>
        <v>0</v>
      </c>
      <c r="CM104" s="319">
        <f t="shared" si="80"/>
        <v>0</v>
      </c>
      <c r="CN104" s="319">
        <f t="shared" si="80"/>
        <v>0</v>
      </c>
      <c r="CO104" s="319">
        <f t="shared" si="80"/>
        <v>0</v>
      </c>
      <c r="CP104" s="319">
        <f t="shared" si="80"/>
        <v>0</v>
      </c>
      <c r="CQ104" s="319">
        <f t="shared" si="80"/>
        <v>0</v>
      </c>
      <c r="CR104" s="319">
        <f t="shared" si="80"/>
        <v>0</v>
      </c>
      <c r="CS104" s="319">
        <f t="shared" si="80"/>
        <v>0</v>
      </c>
      <c r="CT104" s="319">
        <f t="shared" si="80"/>
        <v>0</v>
      </c>
      <c r="CU104" s="319">
        <f t="shared" si="80"/>
        <v>0</v>
      </c>
      <c r="CV104" s="319">
        <f t="shared" si="80"/>
        <v>0</v>
      </c>
    </row>
    <row r="105" spans="1:100" x14ac:dyDescent="0.25">
      <c r="A105" s="319">
        <f t="shared" si="65"/>
        <v>0</v>
      </c>
      <c r="B105" s="319">
        <f t="shared" si="71"/>
        <v>0</v>
      </c>
      <c r="C105" s="340" t="s">
        <v>2634</v>
      </c>
      <c r="D105" s="341" t="s">
        <v>358</v>
      </c>
      <c r="E105" s="341">
        <v>8</v>
      </c>
      <c r="F105" s="341" t="str">
        <f>IF(AND(E104&lt;CharacterSheet!$V$34,'House Rules'!$B$3="Available",OR('House Rules'!$B$7="Standard",AND('House Rules'!$B$7="Ranked",OR(G103="Yes")))),"Yes","No")</f>
        <v>No</v>
      </c>
      <c r="G105" s="564" t="s">
        <v>347</v>
      </c>
      <c r="H105" s="333" t="str">
        <f>IF(C105="","",VLOOKUP(C105,Boonref2!A:B,2,FALSE))</f>
        <v>Yes</v>
      </c>
      <c r="I105" s="333"/>
      <c r="J105" s="333" t="str">
        <f>VLOOKUP(C105,BoonRef!A:Z,17,FALSE)</f>
        <v>Yes</v>
      </c>
      <c r="K105" s="333" t="str">
        <f>IF(J105="God",'House Rules'!$B$2,IF(J105="Demi",'House Rules'!$B$1,IF(J105="Comp",'House Rules'!$B$4,IF(J105="Yaz",'House Rules'!$B$5,IF(J105="Rag",'House Rules'!$B$3,"Available")))))</f>
        <v>Available</v>
      </c>
      <c r="L105" s="333"/>
      <c r="M105" s="333"/>
      <c r="N105" s="340" t="s">
        <v>1424</v>
      </c>
      <c r="O105" s="341" t="s">
        <v>168</v>
      </c>
      <c r="P105" s="341" t="str">
        <f>IF('House Rules'!$B$4="Prohibited","No",IF(O105&lt;CharacterSheet!$V$34,"Yes","No"))</f>
        <v>No</v>
      </c>
      <c r="Q105" s="341">
        <v>4</v>
      </c>
      <c r="R105" s="344" t="s">
        <v>346</v>
      </c>
      <c r="S105" s="317"/>
      <c r="BF105" s="319">
        <f>T65</f>
        <v>0</v>
      </c>
      <c r="BG105" s="345" t="s">
        <v>2451</v>
      </c>
      <c r="BI105" s="319">
        <f t="shared" si="66"/>
        <v>0</v>
      </c>
      <c r="BJ105" s="319">
        <f t="shared" si="80"/>
        <v>0</v>
      </c>
      <c r="BK105" s="319">
        <f t="shared" si="80"/>
        <v>0</v>
      </c>
      <c r="BL105" s="319">
        <f t="shared" si="80"/>
        <v>0</v>
      </c>
      <c r="BM105" s="319">
        <f t="shared" si="80"/>
        <v>0</v>
      </c>
      <c r="BN105" s="319">
        <f t="shared" si="80"/>
        <v>0</v>
      </c>
      <c r="BO105" s="319">
        <f t="shared" si="80"/>
        <v>0</v>
      </c>
      <c r="BP105" s="319">
        <f t="shared" si="80"/>
        <v>0</v>
      </c>
      <c r="BQ105" s="319">
        <f t="shared" si="80"/>
        <v>0</v>
      </c>
      <c r="BR105" s="319">
        <f t="shared" si="80"/>
        <v>0</v>
      </c>
      <c r="BS105" s="319">
        <f t="shared" si="80"/>
        <v>0</v>
      </c>
      <c r="BT105" s="319">
        <f t="shared" si="80"/>
        <v>0</v>
      </c>
      <c r="BU105" s="319">
        <f t="shared" si="80"/>
        <v>0</v>
      </c>
      <c r="BV105" s="319">
        <f t="shared" si="80"/>
        <v>0</v>
      </c>
      <c r="BW105" s="319">
        <f t="shared" si="80"/>
        <v>0</v>
      </c>
      <c r="BX105" s="319">
        <f t="shared" si="80"/>
        <v>0</v>
      </c>
      <c r="BY105" s="319">
        <f t="shared" si="80"/>
        <v>0</v>
      </c>
      <c r="BZ105" s="319">
        <f t="shared" si="80"/>
        <v>0</v>
      </c>
      <c r="CA105" s="319">
        <f t="shared" si="80"/>
        <v>0</v>
      </c>
      <c r="CB105" s="319">
        <f t="shared" si="80"/>
        <v>0</v>
      </c>
      <c r="CC105" s="319">
        <f t="shared" si="80"/>
        <v>0</v>
      </c>
      <c r="CD105" s="319">
        <f t="shared" si="80"/>
        <v>0</v>
      </c>
      <c r="CE105" s="319">
        <f t="shared" si="80"/>
        <v>0</v>
      </c>
      <c r="CF105" s="319">
        <f t="shared" si="80"/>
        <v>0</v>
      </c>
      <c r="CG105" s="319">
        <f t="shared" si="80"/>
        <v>0</v>
      </c>
      <c r="CH105" s="319">
        <f t="shared" si="80"/>
        <v>0</v>
      </c>
      <c r="CI105" s="319">
        <f t="shared" si="80"/>
        <v>0</v>
      </c>
      <c r="CJ105" s="319">
        <f t="shared" si="80"/>
        <v>0</v>
      </c>
      <c r="CK105" s="319">
        <f t="shared" si="80"/>
        <v>0</v>
      </c>
      <c r="CL105" s="319">
        <f t="shared" si="80"/>
        <v>0</v>
      </c>
      <c r="CM105" s="319">
        <f t="shared" si="80"/>
        <v>0</v>
      </c>
      <c r="CN105" s="319">
        <f t="shared" si="80"/>
        <v>0</v>
      </c>
      <c r="CO105" s="319">
        <f t="shared" si="80"/>
        <v>0</v>
      </c>
      <c r="CP105" s="319">
        <f t="shared" si="80"/>
        <v>0</v>
      </c>
      <c r="CQ105" s="319">
        <f t="shared" si="80"/>
        <v>0</v>
      </c>
      <c r="CR105" s="319">
        <f t="shared" si="80"/>
        <v>0</v>
      </c>
      <c r="CS105" s="319">
        <f t="shared" si="80"/>
        <v>0</v>
      </c>
      <c r="CT105" s="319">
        <f t="shared" si="80"/>
        <v>0</v>
      </c>
      <c r="CU105" s="319">
        <f t="shared" si="80"/>
        <v>0</v>
      </c>
      <c r="CV105" s="319">
        <f t="shared" si="80"/>
        <v>0</v>
      </c>
    </row>
    <row r="106" spans="1:100" x14ac:dyDescent="0.25">
      <c r="A106" s="319">
        <f t="shared" si="65"/>
        <v>0</v>
      </c>
      <c r="B106" s="319">
        <f t="shared" si="71"/>
        <v>0</v>
      </c>
      <c r="C106" s="340" t="s">
        <v>1392</v>
      </c>
      <c r="D106" s="341" t="s">
        <v>358</v>
      </c>
      <c r="E106" s="341">
        <v>9</v>
      </c>
      <c r="F106" s="341" t="str">
        <f>IF(AND(E106&lt;CharacterSheet!$V$34,'House Rules'!$B$4="Available",OR('House Rules'!$B$7="Standard",AND('House Rules'!$B$7="Ranked",OR(G104="Yes",G105="Yes")))),"Yes","No")</f>
        <v>No</v>
      </c>
      <c r="G106" s="564" t="s">
        <v>347</v>
      </c>
      <c r="H106" s="333" t="str">
        <f>IF(C106="","",VLOOKUP(C106,Boonref2!A:B,2,FALSE))</f>
        <v>Yes</v>
      </c>
      <c r="I106" s="333"/>
      <c r="J106" s="333" t="str">
        <f>VLOOKUP(C106,BoonRef!A:Z,17,FALSE)</f>
        <v>Yes</v>
      </c>
      <c r="K106" s="333" t="str">
        <f>IF(J106="God",'House Rules'!$B$2,IF(J106="Demi",'House Rules'!$B$1,IF(J106="Comp",'House Rules'!$B$4,IF(J106="Yaz",'House Rules'!$B$5,IF(J106="Rag",'House Rules'!$B$3,"Available")))))</f>
        <v>Available</v>
      </c>
      <c r="L106" s="333"/>
      <c r="M106" s="333"/>
      <c r="N106" s="340" t="s">
        <v>1425</v>
      </c>
      <c r="O106" s="341" t="s">
        <v>168</v>
      </c>
      <c r="P106" s="341" t="str">
        <f>IF('House Rules'!$B$4="Prohibited","No",IF(O106&lt;CharacterSheet!$V$34,"Yes","No"))</f>
        <v>No</v>
      </c>
      <c r="Q106" s="341">
        <v>5</v>
      </c>
      <c r="R106" s="344" t="s">
        <v>347</v>
      </c>
      <c r="S106" s="317"/>
      <c r="BF106" s="319">
        <f>T66</f>
        <v>0</v>
      </c>
      <c r="BG106" s="345" t="s">
        <v>2452</v>
      </c>
      <c r="BI106" s="319">
        <f t="shared" si="66"/>
        <v>0</v>
      </c>
      <c r="BJ106" s="319">
        <f t="shared" si="80"/>
        <v>0</v>
      </c>
      <c r="BK106" s="319">
        <f t="shared" si="80"/>
        <v>0</v>
      </c>
      <c r="BL106" s="319">
        <f t="shared" si="80"/>
        <v>0</v>
      </c>
      <c r="BM106" s="319">
        <f t="shared" si="80"/>
        <v>0</v>
      </c>
      <c r="BN106" s="319">
        <f t="shared" si="80"/>
        <v>0</v>
      </c>
      <c r="BO106" s="319">
        <f t="shared" si="80"/>
        <v>0</v>
      </c>
      <c r="BP106" s="319">
        <f t="shared" si="80"/>
        <v>0</v>
      </c>
      <c r="BQ106" s="319">
        <f t="shared" si="80"/>
        <v>0</v>
      </c>
      <c r="BR106" s="319">
        <f t="shared" si="80"/>
        <v>0</v>
      </c>
      <c r="BS106" s="319">
        <f t="shared" si="80"/>
        <v>0</v>
      </c>
      <c r="BT106" s="319">
        <f t="shared" si="80"/>
        <v>0</v>
      </c>
      <c r="BU106" s="319">
        <f t="shared" si="80"/>
        <v>0</v>
      </c>
      <c r="BV106" s="319">
        <f t="shared" si="80"/>
        <v>0</v>
      </c>
      <c r="BW106" s="319">
        <f t="shared" si="80"/>
        <v>0</v>
      </c>
      <c r="BX106" s="319">
        <f t="shared" si="80"/>
        <v>0</v>
      </c>
      <c r="BY106" s="319">
        <f t="shared" si="80"/>
        <v>0</v>
      </c>
      <c r="BZ106" s="319">
        <f t="shared" si="80"/>
        <v>0</v>
      </c>
      <c r="CA106" s="319">
        <f t="shared" si="80"/>
        <v>0</v>
      </c>
      <c r="CB106" s="319">
        <f t="shared" si="80"/>
        <v>0</v>
      </c>
      <c r="CC106" s="319">
        <f t="shared" si="80"/>
        <v>0</v>
      </c>
      <c r="CD106" s="319">
        <f t="shared" si="80"/>
        <v>0</v>
      </c>
      <c r="CE106" s="319">
        <f t="shared" si="80"/>
        <v>0</v>
      </c>
      <c r="CF106" s="319">
        <f t="shared" si="80"/>
        <v>0</v>
      </c>
      <c r="CG106" s="319">
        <f t="shared" si="80"/>
        <v>0</v>
      </c>
      <c r="CH106" s="319">
        <f t="shared" si="80"/>
        <v>0</v>
      </c>
      <c r="CI106" s="319">
        <f t="shared" si="80"/>
        <v>0</v>
      </c>
      <c r="CJ106" s="319">
        <f t="shared" si="80"/>
        <v>0</v>
      </c>
      <c r="CK106" s="319">
        <f t="shared" si="80"/>
        <v>0</v>
      </c>
      <c r="CL106" s="319">
        <f t="shared" si="80"/>
        <v>0</v>
      </c>
      <c r="CM106" s="319">
        <f t="shared" si="80"/>
        <v>0</v>
      </c>
      <c r="CN106" s="319">
        <f t="shared" si="80"/>
        <v>0</v>
      </c>
      <c r="CO106" s="319">
        <f t="shared" si="80"/>
        <v>0</v>
      </c>
      <c r="CP106" s="319">
        <f t="shared" si="80"/>
        <v>0</v>
      </c>
      <c r="CQ106" s="319">
        <f t="shared" si="80"/>
        <v>0</v>
      </c>
      <c r="CR106" s="319">
        <f t="shared" si="80"/>
        <v>0</v>
      </c>
      <c r="CS106" s="319">
        <f t="shared" si="80"/>
        <v>0</v>
      </c>
      <c r="CT106" s="319">
        <f t="shared" si="80"/>
        <v>0</v>
      </c>
      <c r="CU106" s="319">
        <f t="shared" si="80"/>
        <v>0</v>
      </c>
      <c r="CV106" s="319">
        <f t="shared" si="80"/>
        <v>0</v>
      </c>
    </row>
    <row r="107" spans="1:100" x14ac:dyDescent="0.25">
      <c r="A107" s="319">
        <f t="shared" si="65"/>
        <v>0</v>
      </c>
      <c r="B107" s="319">
        <f t="shared" si="71"/>
        <v>0</v>
      </c>
      <c r="C107" s="340" t="s">
        <v>1268</v>
      </c>
      <c r="D107" s="341" t="s">
        <v>358</v>
      </c>
      <c r="E107" s="341">
        <v>9</v>
      </c>
      <c r="F107" s="341" t="str">
        <f>IF(AND(E107&lt;CharacterSheet!$V$34,'House Rules'!$B$2="available",OR('House Rules'!$B$7="Standard",AND('House Rules'!$B$7="Ranked",G104="Yes"))),"Yes","No")</f>
        <v>No</v>
      </c>
      <c r="G107" s="564" t="s">
        <v>347</v>
      </c>
      <c r="H107" s="333" t="str">
        <f>IF(C107="","",VLOOKUP(C107,Boonref2!A:B,2,FALSE))</f>
        <v>Yes</v>
      </c>
      <c r="I107" s="333"/>
      <c r="J107" s="333" t="str">
        <f>VLOOKUP(C107,BoonRef!A:Z,17,FALSE)</f>
        <v>Yes</v>
      </c>
      <c r="K107" s="333" t="str">
        <f>IF(J107="God",'House Rules'!$B$2,IF(J107="Demi",'House Rules'!$B$1,IF(J107="Comp",'House Rules'!$B$4,IF(J107="Yaz",'House Rules'!$B$5,IF(J107="Rag",'House Rules'!$B$3,"Available")))))</f>
        <v>Available</v>
      </c>
      <c r="L107" s="333"/>
      <c r="M107" s="333"/>
      <c r="N107" s="340" t="s">
        <v>1426</v>
      </c>
      <c r="O107" s="341" t="s">
        <v>168</v>
      </c>
      <c r="P107" s="341" t="str">
        <f>IF('House Rules'!$B$4="Prohibited","No",IF(O107&lt;CharacterSheet!$V$34,"Yes","No"))</f>
        <v>No</v>
      </c>
      <c r="Q107" s="341">
        <v>6</v>
      </c>
      <c r="R107" s="344" t="s">
        <v>346</v>
      </c>
      <c r="S107" s="317"/>
      <c r="BF107" s="319">
        <f t="shared" ref="BF107:BF141" si="81">T67</f>
        <v>0</v>
      </c>
      <c r="BG107" s="345" t="s">
        <v>2453</v>
      </c>
      <c r="BI107" s="319">
        <f t="shared" si="66"/>
        <v>0</v>
      </c>
      <c r="BJ107" s="319">
        <f t="shared" si="80"/>
        <v>0</v>
      </c>
      <c r="BK107" s="319">
        <f t="shared" si="80"/>
        <v>0</v>
      </c>
      <c r="BL107" s="319">
        <f t="shared" si="80"/>
        <v>0</v>
      </c>
      <c r="BM107" s="319">
        <f t="shared" si="80"/>
        <v>0</v>
      </c>
      <c r="BN107" s="319">
        <f t="shared" si="80"/>
        <v>0</v>
      </c>
      <c r="BO107" s="319">
        <f t="shared" si="80"/>
        <v>0</v>
      </c>
      <c r="BP107" s="319">
        <f t="shared" si="80"/>
        <v>0</v>
      </c>
      <c r="BQ107" s="319">
        <f t="shared" si="80"/>
        <v>0</v>
      </c>
      <c r="BR107" s="319">
        <f t="shared" si="80"/>
        <v>0</v>
      </c>
      <c r="BS107" s="319">
        <f t="shared" si="80"/>
        <v>0</v>
      </c>
      <c r="BT107" s="319">
        <f t="shared" si="80"/>
        <v>0</v>
      </c>
      <c r="BU107" s="319">
        <f t="shared" si="80"/>
        <v>0</v>
      </c>
      <c r="BV107" s="319">
        <f t="shared" si="80"/>
        <v>0</v>
      </c>
      <c r="BW107" s="319">
        <f t="shared" si="80"/>
        <v>0</v>
      </c>
      <c r="BX107" s="319">
        <f t="shared" si="80"/>
        <v>0</v>
      </c>
      <c r="BY107" s="319">
        <f t="shared" ref="BJ107:CV113" si="82">IF(AND($D107=BY$1,$G107="Yes"),$E107,0)</f>
        <v>0</v>
      </c>
      <c r="BZ107" s="319">
        <f t="shared" si="82"/>
        <v>0</v>
      </c>
      <c r="CA107" s="319">
        <f t="shared" si="82"/>
        <v>0</v>
      </c>
      <c r="CB107" s="319">
        <f t="shared" si="82"/>
        <v>0</v>
      </c>
      <c r="CC107" s="319">
        <f t="shared" si="82"/>
        <v>0</v>
      </c>
      <c r="CD107" s="319">
        <f t="shared" si="82"/>
        <v>0</v>
      </c>
      <c r="CE107" s="319">
        <f t="shared" si="82"/>
        <v>0</v>
      </c>
      <c r="CF107" s="319">
        <f t="shared" si="82"/>
        <v>0</v>
      </c>
      <c r="CG107" s="319">
        <f t="shared" si="82"/>
        <v>0</v>
      </c>
      <c r="CH107" s="319">
        <f t="shared" si="82"/>
        <v>0</v>
      </c>
      <c r="CI107" s="319">
        <f t="shared" si="82"/>
        <v>0</v>
      </c>
      <c r="CJ107" s="319">
        <f t="shared" si="82"/>
        <v>0</v>
      </c>
      <c r="CK107" s="319">
        <f t="shared" si="82"/>
        <v>0</v>
      </c>
      <c r="CL107" s="319">
        <f t="shared" si="82"/>
        <v>0</v>
      </c>
      <c r="CM107" s="319">
        <f t="shared" si="82"/>
        <v>0</v>
      </c>
      <c r="CN107" s="319">
        <f t="shared" si="82"/>
        <v>0</v>
      </c>
      <c r="CO107" s="319">
        <f t="shared" si="82"/>
        <v>0</v>
      </c>
      <c r="CP107" s="319">
        <f t="shared" si="82"/>
        <v>0</v>
      </c>
      <c r="CQ107" s="319">
        <f t="shared" si="82"/>
        <v>0</v>
      </c>
      <c r="CR107" s="319">
        <f t="shared" si="82"/>
        <v>0</v>
      </c>
      <c r="CS107" s="319">
        <f t="shared" si="82"/>
        <v>0</v>
      </c>
      <c r="CT107" s="319">
        <f t="shared" si="82"/>
        <v>0</v>
      </c>
      <c r="CU107" s="319">
        <f t="shared" si="82"/>
        <v>0</v>
      </c>
      <c r="CV107" s="319">
        <f t="shared" si="82"/>
        <v>0</v>
      </c>
    </row>
    <row r="108" spans="1:100" x14ac:dyDescent="0.25">
      <c r="A108" s="319">
        <f t="shared" si="65"/>
        <v>0</v>
      </c>
      <c r="B108" s="319">
        <f t="shared" si="71"/>
        <v>0</v>
      </c>
      <c r="C108" s="340" t="s">
        <v>1269</v>
      </c>
      <c r="D108" s="341" t="s">
        <v>358</v>
      </c>
      <c r="E108" s="341">
        <v>10</v>
      </c>
      <c r="F108" s="341" t="str">
        <f>IF(AND(E108&lt;CharacterSheet!$V$34,'House Rules'!$B$2="available",OR('House Rules'!$B$7="Standard",AND('House Rules'!$B$7="Ranked",OR(G107="Yes",G106="Yes")))),"Yes","No")</f>
        <v>No</v>
      </c>
      <c r="G108" s="564" t="s">
        <v>347</v>
      </c>
      <c r="H108" s="333" t="str">
        <f>IF(C108="","",VLOOKUP(C108,Boonref2!A:B,2,FALSE))</f>
        <v>Yes</v>
      </c>
      <c r="I108" s="333"/>
      <c r="J108" s="333" t="str">
        <f>VLOOKUP(C108,BoonRef!A:Z,17,FALSE)</f>
        <v>Yes</v>
      </c>
      <c r="K108" s="333" t="str">
        <f>IF(J108="God",'House Rules'!$B$2,IF(J108="Demi",'House Rules'!$B$1,IF(J108="Comp",'House Rules'!$B$4,IF(J108="Yaz",'House Rules'!$B$5,IF(J108="Rag",'House Rules'!$B$3,"Available")))))</f>
        <v>Available</v>
      </c>
      <c r="L108" s="333"/>
      <c r="M108" s="333"/>
      <c r="N108" s="340" t="s">
        <v>1427</v>
      </c>
      <c r="O108" s="341" t="s">
        <v>168</v>
      </c>
      <c r="P108" s="341" t="str">
        <f>IF('House Rules'!$B$4="Prohibited","No",IF(O108&lt;CharacterSheet!$V$34,"Yes","No"))</f>
        <v>No</v>
      </c>
      <c r="Q108" s="341">
        <v>7</v>
      </c>
      <c r="R108" s="344" t="s">
        <v>347</v>
      </c>
      <c r="S108" s="317"/>
      <c r="BF108" s="319">
        <f t="shared" si="81"/>
        <v>0</v>
      </c>
      <c r="BG108" s="345" t="s">
        <v>2454</v>
      </c>
      <c r="BI108" s="319">
        <f t="shared" si="66"/>
        <v>0</v>
      </c>
      <c r="BJ108" s="319">
        <f t="shared" si="82"/>
        <v>0</v>
      </c>
      <c r="BK108" s="319">
        <f t="shared" si="82"/>
        <v>0</v>
      </c>
      <c r="BL108" s="319">
        <f t="shared" si="82"/>
        <v>0</v>
      </c>
      <c r="BM108" s="319">
        <f t="shared" si="82"/>
        <v>0</v>
      </c>
      <c r="BN108" s="319">
        <f t="shared" si="82"/>
        <v>0</v>
      </c>
      <c r="BO108" s="319">
        <f t="shared" si="82"/>
        <v>0</v>
      </c>
      <c r="BP108" s="319">
        <f t="shared" si="82"/>
        <v>0</v>
      </c>
      <c r="BQ108" s="319">
        <f t="shared" si="82"/>
        <v>0</v>
      </c>
      <c r="BR108" s="319">
        <f t="shared" si="82"/>
        <v>0</v>
      </c>
      <c r="BS108" s="319">
        <f t="shared" si="82"/>
        <v>0</v>
      </c>
      <c r="BT108" s="319">
        <f t="shared" si="82"/>
        <v>0</v>
      </c>
      <c r="BU108" s="319">
        <f t="shared" si="82"/>
        <v>0</v>
      </c>
      <c r="BV108" s="319">
        <f t="shared" si="82"/>
        <v>0</v>
      </c>
      <c r="BW108" s="319">
        <f t="shared" si="82"/>
        <v>0</v>
      </c>
      <c r="BX108" s="319">
        <f t="shared" si="82"/>
        <v>0</v>
      </c>
      <c r="BY108" s="319">
        <f t="shared" si="82"/>
        <v>0</v>
      </c>
      <c r="BZ108" s="319">
        <f t="shared" si="82"/>
        <v>0</v>
      </c>
      <c r="CA108" s="319">
        <f t="shared" si="82"/>
        <v>0</v>
      </c>
      <c r="CB108" s="319">
        <f t="shared" si="82"/>
        <v>0</v>
      </c>
      <c r="CC108" s="319">
        <f t="shared" si="82"/>
        <v>0</v>
      </c>
      <c r="CD108" s="319">
        <f t="shared" si="82"/>
        <v>0</v>
      </c>
      <c r="CE108" s="319">
        <f t="shared" si="82"/>
        <v>0</v>
      </c>
      <c r="CF108" s="319">
        <f t="shared" si="82"/>
        <v>0</v>
      </c>
      <c r="CG108" s="319">
        <f t="shared" si="82"/>
        <v>0</v>
      </c>
      <c r="CH108" s="319">
        <f t="shared" si="82"/>
        <v>0</v>
      </c>
      <c r="CI108" s="319">
        <f t="shared" si="82"/>
        <v>0</v>
      </c>
      <c r="CJ108" s="319">
        <f t="shared" si="82"/>
        <v>0</v>
      </c>
      <c r="CK108" s="319">
        <f t="shared" si="82"/>
        <v>0</v>
      </c>
      <c r="CL108" s="319">
        <f t="shared" si="82"/>
        <v>0</v>
      </c>
      <c r="CM108" s="319">
        <f t="shared" si="82"/>
        <v>0</v>
      </c>
      <c r="CN108" s="319">
        <f t="shared" si="82"/>
        <v>0</v>
      </c>
      <c r="CO108" s="319">
        <f t="shared" si="82"/>
        <v>0</v>
      </c>
      <c r="CP108" s="319">
        <f t="shared" si="82"/>
        <v>0</v>
      </c>
      <c r="CQ108" s="319">
        <f t="shared" si="82"/>
        <v>0</v>
      </c>
      <c r="CR108" s="319">
        <f t="shared" si="82"/>
        <v>0</v>
      </c>
      <c r="CS108" s="319">
        <f t="shared" si="82"/>
        <v>0</v>
      </c>
      <c r="CT108" s="319">
        <f t="shared" si="82"/>
        <v>0</v>
      </c>
      <c r="CU108" s="319">
        <f t="shared" si="82"/>
        <v>0</v>
      </c>
      <c r="CV108" s="319">
        <f t="shared" si="82"/>
        <v>0</v>
      </c>
    </row>
    <row r="109" spans="1:100" ht="15.75" thickBot="1" x14ac:dyDescent="0.3">
      <c r="A109" s="319">
        <f t="shared" si="65"/>
        <v>0</v>
      </c>
      <c r="B109" s="319">
        <f t="shared" si="71"/>
        <v>0</v>
      </c>
      <c r="C109" s="352" t="s">
        <v>1270</v>
      </c>
      <c r="D109" s="353" t="s">
        <v>358</v>
      </c>
      <c r="E109" s="353">
        <v>11</v>
      </c>
      <c r="F109" s="353" t="str">
        <f>IF(AND(E25&lt;CharacterSheet!$V$34,G96="Yes",G97="Yes",G98="Yes",G101="Yes",G102="Yes",G103="Yes",OR(G104="Yes",G105="Yes"),G108="Yes",OR(G99="Yes",G100="Yes"),OR(G106="Yes",G107="Yes")),"Yes","No")</f>
        <v>No</v>
      </c>
      <c r="G109" s="565" t="s">
        <v>347</v>
      </c>
      <c r="H109" s="333" t="str">
        <f>IF(C109="","",VLOOKUP(C109,Boonref2!A:B,2,FALSE))</f>
        <v>No</v>
      </c>
      <c r="I109" s="333"/>
      <c r="J109" s="333" t="str">
        <f>VLOOKUP(C109,BoonRef!A:Z,17,FALSE)</f>
        <v>Yes</v>
      </c>
      <c r="K109" s="333" t="str">
        <f>IF(J109="God",'House Rules'!$B$2,IF(J109="Demi",'House Rules'!$B$1,IF(J109="Comp",'House Rules'!$B$4,IF(J109="Yaz",'House Rules'!$B$5,IF(J109="Rag",'House Rules'!$B$3,"Available")))))</f>
        <v>Available</v>
      </c>
      <c r="L109" s="333"/>
      <c r="M109" s="333"/>
      <c r="N109" s="340" t="s">
        <v>1428</v>
      </c>
      <c r="O109" s="341" t="s">
        <v>168</v>
      </c>
      <c r="P109" s="341" t="str">
        <f>IF('House Rules'!$B$4="Prohibited","No",IF(O109&lt;CharacterSheet!$V$34,"Yes","No"))</f>
        <v>No</v>
      </c>
      <c r="Q109" s="341">
        <v>8</v>
      </c>
      <c r="R109" s="344" t="s">
        <v>347</v>
      </c>
      <c r="S109" s="317"/>
      <c r="BF109" s="319">
        <f t="shared" si="81"/>
        <v>0</v>
      </c>
      <c r="BG109" s="345" t="s">
        <v>2455</v>
      </c>
      <c r="BI109" s="319">
        <f t="shared" si="66"/>
        <v>0</v>
      </c>
      <c r="BJ109" s="319">
        <f t="shared" si="82"/>
        <v>0</v>
      </c>
      <c r="BK109" s="319">
        <f t="shared" si="82"/>
        <v>0</v>
      </c>
      <c r="BL109" s="319">
        <f t="shared" si="82"/>
        <v>0</v>
      </c>
      <c r="BM109" s="319">
        <f t="shared" si="82"/>
        <v>0</v>
      </c>
      <c r="BN109" s="319">
        <f t="shared" si="82"/>
        <v>0</v>
      </c>
      <c r="BO109" s="319">
        <f t="shared" si="82"/>
        <v>0</v>
      </c>
      <c r="BP109" s="319">
        <f t="shared" si="82"/>
        <v>0</v>
      </c>
      <c r="BQ109" s="319">
        <f t="shared" si="82"/>
        <v>0</v>
      </c>
      <c r="BR109" s="319">
        <f t="shared" si="82"/>
        <v>0</v>
      </c>
      <c r="BS109" s="319">
        <f t="shared" si="82"/>
        <v>0</v>
      </c>
      <c r="BT109" s="319">
        <f t="shared" si="82"/>
        <v>0</v>
      </c>
      <c r="BU109" s="319">
        <f t="shared" si="82"/>
        <v>0</v>
      </c>
      <c r="BV109" s="319">
        <f t="shared" si="82"/>
        <v>0</v>
      </c>
      <c r="BW109" s="319">
        <f t="shared" si="82"/>
        <v>0</v>
      </c>
      <c r="BX109" s="319">
        <f t="shared" si="82"/>
        <v>0</v>
      </c>
      <c r="BY109" s="319">
        <f t="shared" si="82"/>
        <v>0</v>
      </c>
      <c r="BZ109" s="319">
        <f t="shared" si="82"/>
        <v>0</v>
      </c>
      <c r="CA109" s="319">
        <f t="shared" si="82"/>
        <v>0</v>
      </c>
      <c r="CB109" s="319">
        <f t="shared" si="82"/>
        <v>0</v>
      </c>
      <c r="CC109" s="319">
        <f t="shared" si="82"/>
        <v>0</v>
      </c>
      <c r="CD109" s="319">
        <f t="shared" si="82"/>
        <v>0</v>
      </c>
      <c r="CE109" s="319">
        <f t="shared" si="82"/>
        <v>0</v>
      </c>
      <c r="CF109" s="319">
        <f t="shared" si="82"/>
        <v>0</v>
      </c>
      <c r="CG109" s="319">
        <f t="shared" si="82"/>
        <v>0</v>
      </c>
      <c r="CH109" s="319">
        <f t="shared" si="82"/>
        <v>0</v>
      </c>
      <c r="CI109" s="319">
        <f t="shared" si="82"/>
        <v>0</v>
      </c>
      <c r="CJ109" s="319">
        <f t="shared" si="82"/>
        <v>0</v>
      </c>
      <c r="CK109" s="319">
        <f t="shared" si="82"/>
        <v>0</v>
      </c>
      <c r="CL109" s="319">
        <f t="shared" si="82"/>
        <v>0</v>
      </c>
      <c r="CM109" s="319">
        <f t="shared" si="82"/>
        <v>0</v>
      </c>
      <c r="CN109" s="319">
        <f t="shared" si="82"/>
        <v>0</v>
      </c>
      <c r="CO109" s="319">
        <f t="shared" si="82"/>
        <v>0</v>
      </c>
      <c r="CP109" s="319">
        <f t="shared" si="82"/>
        <v>0</v>
      </c>
      <c r="CQ109" s="319">
        <f t="shared" si="82"/>
        <v>0</v>
      </c>
      <c r="CR109" s="319">
        <f t="shared" si="82"/>
        <v>0</v>
      </c>
      <c r="CS109" s="319">
        <f t="shared" si="82"/>
        <v>0</v>
      </c>
      <c r="CT109" s="319">
        <f t="shared" si="82"/>
        <v>0</v>
      </c>
      <c r="CU109" s="319">
        <f t="shared" si="82"/>
        <v>0</v>
      </c>
      <c r="CV109" s="319">
        <f t="shared" si="82"/>
        <v>0</v>
      </c>
    </row>
    <row r="110" spans="1:100" x14ac:dyDescent="0.25">
      <c r="A110" s="319">
        <f t="shared" si="65"/>
        <v>0</v>
      </c>
      <c r="B110" s="319">
        <f t="shared" si="71"/>
        <v>0</v>
      </c>
      <c r="C110" s="330" t="s">
        <v>1485</v>
      </c>
      <c r="D110" s="331" t="s">
        <v>690</v>
      </c>
      <c r="E110" s="331">
        <v>1</v>
      </c>
      <c r="F110" s="331" t="str">
        <f>IF(AND(E110&lt;CharacterSheet!$V$34,'House Rules'!$B$3="Available"),"Yes","No")</f>
        <v>Yes</v>
      </c>
      <c r="G110" s="563" t="s">
        <v>347</v>
      </c>
      <c r="H110" s="333" t="str">
        <f>IF(C110="","",VLOOKUP(C110,Boonref2!A:B,2,FALSE))</f>
        <v>No</v>
      </c>
      <c r="I110" s="333"/>
      <c r="J110" s="333" t="str">
        <f>VLOOKUP(C110,BoonRef!A:Z,17,FALSE)</f>
        <v>Yes</v>
      </c>
      <c r="K110" s="333" t="str">
        <f>IF(J110="God",'House Rules'!$B$2,IF(J110="Demi",'House Rules'!$B$1,IF(J110="Comp",'House Rules'!$B$4,IF(J110="Yaz",'House Rules'!$B$5,IF(J110="Rag",'House Rules'!$B$3,"Available")))))</f>
        <v>Available</v>
      </c>
      <c r="L110" s="333"/>
      <c r="M110" s="333"/>
      <c r="N110" s="340" t="s">
        <v>1429</v>
      </c>
      <c r="O110" s="341" t="s">
        <v>168</v>
      </c>
      <c r="P110" s="341" t="str">
        <f>IF('House Rules'!$B$4="Prohibited","No",IF(O110&lt;CharacterSheet!$V$34,"Yes","No"))</f>
        <v>No</v>
      </c>
      <c r="Q110" s="341">
        <v>9</v>
      </c>
      <c r="R110" s="344" t="s">
        <v>346</v>
      </c>
      <c r="S110" s="317"/>
      <c r="BF110" s="319">
        <f t="shared" si="81"/>
        <v>0</v>
      </c>
      <c r="BG110" s="345" t="s">
        <v>2456</v>
      </c>
      <c r="BI110" s="319">
        <f t="shared" si="66"/>
        <v>0</v>
      </c>
      <c r="BJ110" s="319">
        <f t="shared" si="82"/>
        <v>0</v>
      </c>
      <c r="BK110" s="319">
        <f t="shared" si="82"/>
        <v>0</v>
      </c>
      <c r="BL110" s="319">
        <f t="shared" si="82"/>
        <v>0</v>
      </c>
      <c r="BM110" s="319">
        <f t="shared" si="82"/>
        <v>0</v>
      </c>
      <c r="BN110" s="319">
        <f t="shared" si="82"/>
        <v>0</v>
      </c>
      <c r="BO110" s="319">
        <f t="shared" si="82"/>
        <v>0</v>
      </c>
      <c r="BP110" s="319">
        <f t="shared" si="82"/>
        <v>0</v>
      </c>
      <c r="BQ110" s="319">
        <f t="shared" si="82"/>
        <v>0</v>
      </c>
      <c r="BR110" s="319">
        <f t="shared" si="82"/>
        <v>0</v>
      </c>
      <c r="BS110" s="319">
        <f t="shared" si="82"/>
        <v>0</v>
      </c>
      <c r="BT110" s="319">
        <f t="shared" si="82"/>
        <v>0</v>
      </c>
      <c r="BU110" s="319">
        <f t="shared" si="82"/>
        <v>0</v>
      </c>
      <c r="BV110" s="319">
        <f t="shared" si="82"/>
        <v>0</v>
      </c>
      <c r="BW110" s="319">
        <f t="shared" si="82"/>
        <v>0</v>
      </c>
      <c r="BX110" s="319">
        <f t="shared" si="82"/>
        <v>0</v>
      </c>
      <c r="BY110" s="319">
        <f t="shared" si="82"/>
        <v>0</v>
      </c>
      <c r="BZ110" s="319">
        <f t="shared" si="82"/>
        <v>0</v>
      </c>
      <c r="CA110" s="319">
        <f t="shared" si="82"/>
        <v>0</v>
      </c>
      <c r="CB110" s="319">
        <f t="shared" si="82"/>
        <v>0</v>
      </c>
      <c r="CC110" s="319">
        <f t="shared" si="82"/>
        <v>0</v>
      </c>
      <c r="CD110" s="319">
        <f t="shared" si="82"/>
        <v>0</v>
      </c>
      <c r="CE110" s="319">
        <f t="shared" si="82"/>
        <v>0</v>
      </c>
      <c r="CF110" s="319">
        <f t="shared" si="82"/>
        <v>0</v>
      </c>
      <c r="CG110" s="319">
        <f t="shared" si="82"/>
        <v>0</v>
      </c>
      <c r="CH110" s="319">
        <f t="shared" si="82"/>
        <v>0</v>
      </c>
      <c r="CI110" s="319">
        <f t="shared" si="82"/>
        <v>0</v>
      </c>
      <c r="CJ110" s="319">
        <f t="shared" si="82"/>
        <v>0</v>
      </c>
      <c r="CK110" s="319">
        <f t="shared" si="82"/>
        <v>0</v>
      </c>
      <c r="CL110" s="319">
        <f t="shared" si="82"/>
        <v>0</v>
      </c>
      <c r="CM110" s="319">
        <f t="shared" si="82"/>
        <v>0</v>
      </c>
      <c r="CN110" s="319">
        <f t="shared" si="82"/>
        <v>0</v>
      </c>
      <c r="CO110" s="319">
        <f t="shared" si="82"/>
        <v>0</v>
      </c>
      <c r="CP110" s="319">
        <f t="shared" si="82"/>
        <v>0</v>
      </c>
      <c r="CQ110" s="319">
        <f t="shared" si="82"/>
        <v>0</v>
      </c>
      <c r="CR110" s="319">
        <f t="shared" si="82"/>
        <v>0</v>
      </c>
      <c r="CS110" s="319">
        <f t="shared" si="82"/>
        <v>0</v>
      </c>
      <c r="CT110" s="319">
        <f t="shared" si="82"/>
        <v>0</v>
      </c>
      <c r="CU110" s="319">
        <f t="shared" si="82"/>
        <v>0</v>
      </c>
      <c r="CV110" s="319">
        <f t="shared" si="82"/>
        <v>0</v>
      </c>
    </row>
    <row r="111" spans="1:100" ht="15.75" thickBot="1" x14ac:dyDescent="0.3">
      <c r="A111" s="319">
        <f t="shared" si="65"/>
        <v>0</v>
      </c>
      <c r="B111" s="319">
        <f t="shared" si="71"/>
        <v>0</v>
      </c>
      <c r="C111" s="340" t="s">
        <v>1486</v>
      </c>
      <c r="D111" s="341" t="s">
        <v>690</v>
      </c>
      <c r="E111" s="341">
        <v>2</v>
      </c>
      <c r="F111" s="341" t="str">
        <f>IF(AND(E111&lt;CharacterSheet!$V$34,'House Rules'!$B$3="Available",OR('House Rules'!$B$7="Standard",AND('House Rules'!$B$7="Ranked",G110="Yes"))),"Yes","No")</f>
        <v>No</v>
      </c>
      <c r="G111" s="564" t="s">
        <v>347</v>
      </c>
      <c r="H111" s="333" t="str">
        <f>IF(C111="","",VLOOKUP(C111,Boonref2!A:B,2,FALSE))</f>
        <v>No</v>
      </c>
      <c r="I111" s="333"/>
      <c r="J111" s="333" t="str">
        <f>VLOOKUP(C111,BoonRef!A:Z,17,FALSE)</f>
        <v>Yes</v>
      </c>
      <c r="K111" s="333" t="str">
        <f>IF(J111="God",'House Rules'!$B$2,IF(J111="Demi",'House Rules'!$B$1,IF(J111="Comp",'House Rules'!$B$4,IF(J111="Yaz",'House Rules'!$B$5,IF(J111="Rag",'House Rules'!$B$3,"Available")))))</f>
        <v>Available</v>
      </c>
      <c r="L111" s="333"/>
      <c r="M111" s="333"/>
      <c r="N111" s="340" t="s">
        <v>1430</v>
      </c>
      <c r="O111" s="341" t="s">
        <v>168</v>
      </c>
      <c r="P111" s="341" t="str">
        <f>IF('House Rules'!$B$4="Prohibited","No",IF(O111&lt;CharacterSheet!$V$34,"Yes","No"))</f>
        <v>No</v>
      </c>
      <c r="Q111" s="341">
        <v>10</v>
      </c>
      <c r="R111" s="344" t="s">
        <v>346</v>
      </c>
      <c r="S111" s="317"/>
      <c r="BF111" s="319">
        <f t="shared" si="81"/>
        <v>0</v>
      </c>
      <c r="BG111" s="355" t="s">
        <v>2457</v>
      </c>
      <c r="BI111" s="319">
        <f t="shared" si="66"/>
        <v>0</v>
      </c>
      <c r="BJ111" s="319">
        <f t="shared" si="82"/>
        <v>0</v>
      </c>
      <c r="BK111" s="319">
        <f t="shared" si="82"/>
        <v>0</v>
      </c>
      <c r="BL111" s="319">
        <f t="shared" si="82"/>
        <v>0</v>
      </c>
      <c r="BM111" s="319">
        <f t="shared" si="82"/>
        <v>0</v>
      </c>
      <c r="BN111" s="319">
        <f t="shared" si="82"/>
        <v>0</v>
      </c>
      <c r="BO111" s="319">
        <f t="shared" si="82"/>
        <v>0</v>
      </c>
      <c r="BP111" s="319">
        <f t="shared" si="82"/>
        <v>0</v>
      </c>
      <c r="BQ111" s="319">
        <f t="shared" si="82"/>
        <v>0</v>
      </c>
      <c r="BR111" s="319">
        <f t="shared" si="82"/>
        <v>0</v>
      </c>
      <c r="BS111" s="319">
        <f t="shared" si="82"/>
        <v>0</v>
      </c>
      <c r="BT111" s="319">
        <f t="shared" si="82"/>
        <v>0</v>
      </c>
      <c r="BU111" s="319">
        <f t="shared" si="82"/>
        <v>0</v>
      </c>
      <c r="BV111" s="319">
        <f t="shared" si="82"/>
        <v>0</v>
      </c>
      <c r="BW111" s="319">
        <f t="shared" si="82"/>
        <v>0</v>
      </c>
      <c r="BX111" s="319">
        <f t="shared" si="82"/>
        <v>0</v>
      </c>
      <c r="BY111" s="319">
        <f t="shared" si="82"/>
        <v>0</v>
      </c>
      <c r="BZ111" s="319">
        <f t="shared" si="82"/>
        <v>0</v>
      </c>
      <c r="CA111" s="319">
        <f t="shared" si="82"/>
        <v>0</v>
      </c>
      <c r="CB111" s="319">
        <f t="shared" si="82"/>
        <v>0</v>
      </c>
      <c r="CC111" s="319">
        <f t="shared" si="82"/>
        <v>0</v>
      </c>
      <c r="CD111" s="319">
        <f t="shared" si="82"/>
        <v>0</v>
      </c>
      <c r="CE111" s="319">
        <f t="shared" si="82"/>
        <v>0</v>
      </c>
      <c r="CF111" s="319">
        <f t="shared" si="82"/>
        <v>0</v>
      </c>
      <c r="CG111" s="319">
        <f t="shared" si="82"/>
        <v>0</v>
      </c>
      <c r="CH111" s="319">
        <f t="shared" si="82"/>
        <v>0</v>
      </c>
      <c r="CI111" s="319">
        <f t="shared" si="82"/>
        <v>0</v>
      </c>
      <c r="CJ111" s="319">
        <f t="shared" si="82"/>
        <v>0</v>
      </c>
      <c r="CK111" s="319">
        <f t="shared" si="82"/>
        <v>0</v>
      </c>
      <c r="CL111" s="319">
        <f t="shared" si="82"/>
        <v>0</v>
      </c>
      <c r="CM111" s="319">
        <f t="shared" si="82"/>
        <v>0</v>
      </c>
      <c r="CN111" s="319">
        <f t="shared" si="82"/>
        <v>0</v>
      </c>
      <c r="CO111" s="319">
        <f t="shared" si="82"/>
        <v>0</v>
      </c>
      <c r="CP111" s="319">
        <f t="shared" si="82"/>
        <v>0</v>
      </c>
      <c r="CQ111" s="319">
        <f t="shared" si="82"/>
        <v>0</v>
      </c>
      <c r="CR111" s="319">
        <f t="shared" si="82"/>
        <v>0</v>
      </c>
      <c r="CS111" s="319">
        <f t="shared" si="82"/>
        <v>0</v>
      </c>
      <c r="CT111" s="319">
        <f t="shared" si="82"/>
        <v>0</v>
      </c>
      <c r="CU111" s="319">
        <f t="shared" si="82"/>
        <v>0</v>
      </c>
      <c r="CV111" s="319">
        <f t="shared" si="82"/>
        <v>0</v>
      </c>
    </row>
    <row r="112" spans="1:100" x14ac:dyDescent="0.25">
      <c r="A112" s="319">
        <f t="shared" si="65"/>
        <v>0</v>
      </c>
      <c r="B112" s="319">
        <f t="shared" si="71"/>
        <v>0</v>
      </c>
      <c r="C112" s="340" t="s">
        <v>1487</v>
      </c>
      <c r="D112" s="341" t="s">
        <v>690</v>
      </c>
      <c r="E112" s="341">
        <v>3</v>
      </c>
      <c r="F112" s="341" t="str">
        <f>IF(AND(E112&lt;CharacterSheet!$V$34,'House Rules'!$B$3="Available",OR('House Rules'!$B$7="Standard",AND('House Rules'!$B$7="Ranked",G111="Yes"))),"Yes","No")</f>
        <v>No</v>
      </c>
      <c r="G112" s="564" t="s">
        <v>347</v>
      </c>
      <c r="H112" s="333" t="str">
        <f>IF(C112="","",VLOOKUP(C112,Boonref2!A:B,2,FALSE))</f>
        <v>No</v>
      </c>
      <c r="I112" s="333"/>
      <c r="J112" s="333" t="str">
        <f>VLOOKUP(C112,BoonRef!A:Z,17,FALSE)</f>
        <v>Yes</v>
      </c>
      <c r="K112" s="333" t="str">
        <f>IF(J112="God",'House Rules'!$B$2,IF(J112="Demi",'House Rules'!$B$1,IF(J112="Comp",'House Rules'!$B$4,IF(J112="Yaz",'House Rules'!$B$5,IF(J112="Rag",'House Rules'!$B$3,"Available")))))</f>
        <v>Available</v>
      </c>
      <c r="L112" s="333"/>
      <c r="M112" s="333"/>
      <c r="N112" s="340" t="s">
        <v>1127</v>
      </c>
      <c r="O112" s="341" t="s">
        <v>691</v>
      </c>
      <c r="P112" s="341" t="str">
        <f>IF(O112&lt;CharacterSheet!$V$34,"Yes","No")</f>
        <v>No</v>
      </c>
      <c r="Q112" s="341">
        <v>1</v>
      </c>
      <c r="R112" s="344" t="s">
        <v>346</v>
      </c>
      <c r="S112" s="317"/>
      <c r="BF112" s="319">
        <f t="shared" si="81"/>
        <v>0</v>
      </c>
      <c r="BG112" s="336" t="s">
        <v>2458</v>
      </c>
      <c r="BI112" s="319">
        <f t="shared" si="66"/>
        <v>0</v>
      </c>
      <c r="BJ112" s="319">
        <f t="shared" si="82"/>
        <v>0</v>
      </c>
      <c r="BK112" s="319">
        <f t="shared" si="82"/>
        <v>0</v>
      </c>
      <c r="BL112" s="319">
        <f t="shared" si="82"/>
        <v>0</v>
      </c>
      <c r="BM112" s="319">
        <f t="shared" si="82"/>
        <v>0</v>
      </c>
      <c r="BN112" s="319">
        <f t="shared" si="82"/>
        <v>0</v>
      </c>
      <c r="BO112" s="319">
        <f t="shared" si="82"/>
        <v>0</v>
      </c>
      <c r="BP112" s="319">
        <f t="shared" si="82"/>
        <v>0</v>
      </c>
      <c r="BQ112" s="319">
        <f t="shared" si="82"/>
        <v>0</v>
      </c>
      <c r="BR112" s="319">
        <f t="shared" si="82"/>
        <v>0</v>
      </c>
      <c r="BS112" s="319">
        <f t="shared" si="82"/>
        <v>0</v>
      </c>
      <c r="BT112" s="319">
        <f t="shared" si="82"/>
        <v>0</v>
      </c>
      <c r="BU112" s="319">
        <f t="shared" si="82"/>
        <v>0</v>
      </c>
      <c r="BV112" s="319">
        <f t="shared" si="82"/>
        <v>0</v>
      </c>
      <c r="BW112" s="319">
        <f t="shared" si="82"/>
        <v>0</v>
      </c>
      <c r="BX112" s="319">
        <f t="shared" si="82"/>
        <v>0</v>
      </c>
      <c r="BY112" s="319">
        <f t="shared" si="82"/>
        <v>0</v>
      </c>
      <c r="BZ112" s="319">
        <f t="shared" si="82"/>
        <v>0</v>
      </c>
      <c r="CA112" s="319">
        <f t="shared" si="82"/>
        <v>0</v>
      </c>
      <c r="CB112" s="319">
        <f t="shared" si="82"/>
        <v>0</v>
      </c>
      <c r="CC112" s="319">
        <f t="shared" si="82"/>
        <v>0</v>
      </c>
      <c r="CD112" s="319">
        <f t="shared" si="82"/>
        <v>0</v>
      </c>
      <c r="CE112" s="319">
        <f t="shared" si="82"/>
        <v>0</v>
      </c>
      <c r="CF112" s="319">
        <f t="shared" si="82"/>
        <v>0</v>
      </c>
      <c r="CG112" s="319">
        <f t="shared" si="82"/>
        <v>0</v>
      </c>
      <c r="CH112" s="319">
        <f t="shared" si="82"/>
        <v>0</v>
      </c>
      <c r="CI112" s="319">
        <f t="shared" si="82"/>
        <v>0</v>
      </c>
      <c r="CJ112" s="319">
        <f t="shared" si="82"/>
        <v>0</v>
      </c>
      <c r="CK112" s="319">
        <f t="shared" si="82"/>
        <v>0</v>
      </c>
      <c r="CL112" s="319">
        <f t="shared" si="82"/>
        <v>0</v>
      </c>
      <c r="CM112" s="319">
        <f t="shared" si="82"/>
        <v>0</v>
      </c>
      <c r="CN112" s="319">
        <f t="shared" si="82"/>
        <v>0</v>
      </c>
      <c r="CO112" s="319">
        <f t="shared" si="82"/>
        <v>0</v>
      </c>
      <c r="CP112" s="319">
        <f t="shared" si="82"/>
        <v>0</v>
      </c>
      <c r="CQ112" s="319">
        <f t="shared" si="82"/>
        <v>0</v>
      </c>
      <c r="CR112" s="319">
        <f t="shared" si="82"/>
        <v>0</v>
      </c>
      <c r="CS112" s="319">
        <f t="shared" si="82"/>
        <v>0</v>
      </c>
      <c r="CT112" s="319">
        <f t="shared" si="82"/>
        <v>0</v>
      </c>
      <c r="CU112" s="319">
        <f t="shared" si="82"/>
        <v>0</v>
      </c>
      <c r="CV112" s="319">
        <f t="shared" si="82"/>
        <v>0</v>
      </c>
    </row>
    <row r="113" spans="1:100" x14ac:dyDescent="0.25">
      <c r="A113" s="319">
        <f t="shared" si="65"/>
        <v>0</v>
      </c>
      <c r="B113" s="319">
        <f t="shared" si="71"/>
        <v>0</v>
      </c>
      <c r="C113" s="340" t="s">
        <v>1488</v>
      </c>
      <c r="D113" s="341" t="s">
        <v>690</v>
      </c>
      <c r="E113" s="341">
        <v>4</v>
      </c>
      <c r="F113" s="341" t="str">
        <f>IF(AND(E113&lt;CharacterSheet!$V$34,'House Rules'!$B$3="Available",OR('House Rules'!$B$7="Standard",AND('House Rules'!$B$7="Ranked",G112="Yes"))),"Yes","No")</f>
        <v>No</v>
      </c>
      <c r="G113" s="564" t="s">
        <v>347</v>
      </c>
      <c r="H113" s="333" t="str">
        <f>IF(C113="","",VLOOKUP(C113,Boonref2!A:B,2,FALSE))</f>
        <v>Yes</v>
      </c>
      <c r="I113" s="333"/>
      <c r="J113" s="333" t="str">
        <f>VLOOKUP(C113,BoonRef!A:Z,17,FALSE)</f>
        <v>Yes</v>
      </c>
      <c r="K113" s="333" t="str">
        <f>IF(J113="God",'House Rules'!$B$2,IF(J113="Demi",'House Rules'!$B$1,IF(J113="Comp",'House Rules'!$B$4,IF(J113="Yaz",'House Rules'!$B$5,IF(J113="Rag",'House Rules'!$B$3,"Available")))))</f>
        <v>Available</v>
      </c>
      <c r="L113" s="333"/>
      <c r="M113" s="333"/>
      <c r="N113" s="340" t="s">
        <v>1128</v>
      </c>
      <c r="O113" s="341" t="s">
        <v>691</v>
      </c>
      <c r="P113" s="341" t="str">
        <f>IF(O113&lt;CharacterSheet!$V$34,"Yes","No")</f>
        <v>No</v>
      </c>
      <c r="Q113" s="341">
        <v>2</v>
      </c>
      <c r="R113" s="344" t="s">
        <v>346</v>
      </c>
      <c r="S113" s="317"/>
      <c r="BF113" s="319">
        <f t="shared" si="81"/>
        <v>0</v>
      </c>
      <c r="BG113" s="345" t="s">
        <v>2459</v>
      </c>
      <c r="BI113" s="319">
        <f t="shared" si="66"/>
        <v>0</v>
      </c>
      <c r="BJ113" s="319">
        <f t="shared" si="82"/>
        <v>0</v>
      </c>
      <c r="BK113" s="319">
        <f t="shared" si="82"/>
        <v>0</v>
      </c>
      <c r="BL113" s="319">
        <f t="shared" si="82"/>
        <v>0</v>
      </c>
      <c r="BM113" s="319">
        <f t="shared" si="82"/>
        <v>0</v>
      </c>
      <c r="BN113" s="319">
        <f t="shared" si="82"/>
        <v>0</v>
      </c>
      <c r="BO113" s="319">
        <f t="shared" si="82"/>
        <v>0</v>
      </c>
      <c r="BP113" s="319">
        <f t="shared" si="82"/>
        <v>0</v>
      </c>
      <c r="BQ113" s="319">
        <f t="shared" si="82"/>
        <v>0</v>
      </c>
      <c r="BR113" s="319">
        <f t="shared" si="82"/>
        <v>0</v>
      </c>
      <c r="BS113" s="319">
        <f t="shared" si="82"/>
        <v>0</v>
      </c>
      <c r="BT113" s="319">
        <f t="shared" si="82"/>
        <v>0</v>
      </c>
      <c r="BU113" s="319">
        <f t="shared" si="82"/>
        <v>0</v>
      </c>
      <c r="BV113" s="319">
        <f t="shared" si="82"/>
        <v>0</v>
      </c>
      <c r="BW113" s="319">
        <f t="shared" si="82"/>
        <v>0</v>
      </c>
      <c r="BX113" s="319">
        <f t="shared" si="82"/>
        <v>0</v>
      </c>
      <c r="BY113" s="319">
        <f t="shared" si="82"/>
        <v>0</v>
      </c>
      <c r="BZ113" s="319">
        <f t="shared" si="82"/>
        <v>0</v>
      </c>
      <c r="CA113" s="319">
        <f t="shared" si="82"/>
        <v>0</v>
      </c>
      <c r="CB113" s="319">
        <f t="shared" si="82"/>
        <v>0</v>
      </c>
      <c r="CC113" s="319">
        <f t="shared" si="82"/>
        <v>0</v>
      </c>
      <c r="CD113" s="319">
        <f t="shared" si="82"/>
        <v>0</v>
      </c>
      <c r="CE113" s="319">
        <f t="shared" si="82"/>
        <v>0</v>
      </c>
      <c r="CF113" s="319">
        <f t="shared" si="82"/>
        <v>0</v>
      </c>
      <c r="CG113" s="319">
        <f t="shared" si="82"/>
        <v>0</v>
      </c>
      <c r="CH113" s="319">
        <f t="shared" si="82"/>
        <v>0</v>
      </c>
      <c r="CI113" s="319">
        <f t="shared" si="82"/>
        <v>0</v>
      </c>
      <c r="CJ113" s="319">
        <f t="shared" si="82"/>
        <v>0</v>
      </c>
      <c r="CK113" s="319">
        <f t="shared" si="82"/>
        <v>0</v>
      </c>
      <c r="CL113" s="319">
        <f t="shared" si="82"/>
        <v>0</v>
      </c>
      <c r="CM113" s="319">
        <f t="shared" si="82"/>
        <v>0</v>
      </c>
      <c r="CN113" s="319">
        <f t="shared" si="82"/>
        <v>0</v>
      </c>
      <c r="CO113" s="319">
        <f t="shared" si="82"/>
        <v>0</v>
      </c>
      <c r="CP113" s="319">
        <f t="shared" si="82"/>
        <v>0</v>
      </c>
      <c r="CQ113" s="319">
        <f t="shared" si="82"/>
        <v>0</v>
      </c>
      <c r="CR113" s="319">
        <f t="shared" si="82"/>
        <v>0</v>
      </c>
      <c r="CS113" s="319">
        <f t="shared" si="82"/>
        <v>0</v>
      </c>
      <c r="CT113" s="319">
        <f t="shared" ref="BJ113:CV120" si="83">IF(AND($D113=CT$1,$G113="Yes"),$E113,0)</f>
        <v>0</v>
      </c>
      <c r="CU113" s="319">
        <f t="shared" si="83"/>
        <v>0</v>
      </c>
      <c r="CV113" s="319">
        <f t="shared" si="83"/>
        <v>0</v>
      </c>
    </row>
    <row r="114" spans="1:100" x14ac:dyDescent="0.25">
      <c r="A114" s="319">
        <f t="shared" si="65"/>
        <v>0</v>
      </c>
      <c r="B114" s="319">
        <f t="shared" si="71"/>
        <v>0</v>
      </c>
      <c r="C114" s="340" t="s">
        <v>1489</v>
      </c>
      <c r="D114" s="341" t="s">
        <v>690</v>
      </c>
      <c r="E114" s="341">
        <v>5</v>
      </c>
      <c r="F114" s="341" t="str">
        <f>IF(AND(E114&lt;CharacterSheet!$V$34,'House Rules'!$B$3="Available",OR('House Rules'!$B$7="Standard",AND('House Rules'!$B$7="Ranked",G113="Yes"))),"Yes","No")</f>
        <v>No</v>
      </c>
      <c r="G114" s="564" t="s">
        <v>347</v>
      </c>
      <c r="H114" s="333" t="str">
        <f>IF(C114="","",VLOOKUP(C114,Boonref2!A:B,2,FALSE))</f>
        <v>No</v>
      </c>
      <c r="I114" s="333"/>
      <c r="J114" s="333" t="str">
        <f>VLOOKUP(C114,BoonRef!A:Z,17,FALSE)</f>
        <v>Yes</v>
      </c>
      <c r="K114" s="333" t="str">
        <f>IF(J114="God",'House Rules'!$B$2,IF(J114="Demi",'House Rules'!$B$1,IF(J114="Comp",'House Rules'!$B$4,IF(J114="Yaz",'House Rules'!$B$5,IF(J114="Rag",'House Rules'!$B$3,"Available")))))</f>
        <v>Available</v>
      </c>
      <c r="L114" s="333"/>
      <c r="M114" s="333"/>
      <c r="N114" s="340" t="s">
        <v>1129</v>
      </c>
      <c r="O114" s="341" t="s">
        <v>691</v>
      </c>
      <c r="P114" s="341" t="str">
        <f>IF(O114&lt;CharacterSheet!$V$34,"Yes","No")</f>
        <v>No</v>
      </c>
      <c r="Q114" s="341">
        <v>3</v>
      </c>
      <c r="R114" s="344" t="s">
        <v>346</v>
      </c>
      <c r="S114" s="317"/>
      <c r="BF114" s="319">
        <f t="shared" si="81"/>
        <v>0</v>
      </c>
      <c r="BG114" s="345" t="s">
        <v>2460</v>
      </c>
      <c r="BI114" s="319">
        <f t="shared" si="66"/>
        <v>0</v>
      </c>
      <c r="BJ114" s="319">
        <f t="shared" si="83"/>
        <v>0</v>
      </c>
      <c r="BK114" s="319">
        <f t="shared" si="83"/>
        <v>0</v>
      </c>
      <c r="BL114" s="319">
        <f t="shared" si="83"/>
        <v>0</v>
      </c>
      <c r="BM114" s="319">
        <f t="shared" si="83"/>
        <v>0</v>
      </c>
      <c r="BN114" s="319">
        <f t="shared" si="83"/>
        <v>0</v>
      </c>
      <c r="BO114" s="319">
        <f t="shared" si="83"/>
        <v>0</v>
      </c>
      <c r="BP114" s="319">
        <f t="shared" si="83"/>
        <v>0</v>
      </c>
      <c r="BQ114" s="319">
        <f t="shared" si="83"/>
        <v>0</v>
      </c>
      <c r="BR114" s="319">
        <f t="shared" si="83"/>
        <v>0</v>
      </c>
      <c r="BS114" s="319">
        <f t="shared" si="83"/>
        <v>0</v>
      </c>
      <c r="BT114" s="319">
        <f t="shared" si="83"/>
        <v>0</v>
      </c>
      <c r="BU114" s="319">
        <f t="shared" si="83"/>
        <v>0</v>
      </c>
      <c r="BV114" s="319">
        <f t="shared" si="83"/>
        <v>0</v>
      </c>
      <c r="BW114" s="319">
        <f t="shared" si="83"/>
        <v>0</v>
      </c>
      <c r="BX114" s="319">
        <f t="shared" si="83"/>
        <v>0</v>
      </c>
      <c r="BY114" s="319">
        <f t="shared" si="83"/>
        <v>0</v>
      </c>
      <c r="BZ114" s="319">
        <f t="shared" si="83"/>
        <v>0</v>
      </c>
      <c r="CA114" s="319">
        <f t="shared" si="83"/>
        <v>0</v>
      </c>
      <c r="CB114" s="319">
        <f t="shared" si="83"/>
        <v>0</v>
      </c>
      <c r="CC114" s="319">
        <f t="shared" si="83"/>
        <v>0</v>
      </c>
      <c r="CD114" s="319">
        <f t="shared" si="83"/>
        <v>0</v>
      </c>
      <c r="CE114" s="319">
        <f t="shared" si="83"/>
        <v>0</v>
      </c>
      <c r="CF114" s="319">
        <f t="shared" si="83"/>
        <v>0</v>
      </c>
      <c r="CG114" s="319">
        <f t="shared" si="83"/>
        <v>0</v>
      </c>
      <c r="CH114" s="319">
        <f t="shared" si="83"/>
        <v>0</v>
      </c>
      <c r="CI114" s="319">
        <f t="shared" si="83"/>
        <v>0</v>
      </c>
      <c r="CJ114" s="319">
        <f t="shared" si="83"/>
        <v>0</v>
      </c>
      <c r="CK114" s="319">
        <f t="shared" si="83"/>
        <v>0</v>
      </c>
      <c r="CL114" s="319">
        <f t="shared" si="83"/>
        <v>0</v>
      </c>
      <c r="CM114" s="319">
        <f t="shared" si="83"/>
        <v>0</v>
      </c>
      <c r="CN114" s="319">
        <f t="shared" si="83"/>
        <v>0</v>
      </c>
      <c r="CO114" s="319">
        <f t="shared" si="83"/>
        <v>0</v>
      </c>
      <c r="CP114" s="319">
        <f t="shared" si="83"/>
        <v>0</v>
      </c>
      <c r="CQ114" s="319">
        <f t="shared" si="83"/>
        <v>0</v>
      </c>
      <c r="CR114" s="319">
        <f t="shared" si="83"/>
        <v>0</v>
      </c>
      <c r="CS114" s="319">
        <f t="shared" si="83"/>
        <v>0</v>
      </c>
      <c r="CT114" s="319">
        <f t="shared" si="83"/>
        <v>0</v>
      </c>
      <c r="CU114" s="319">
        <f t="shared" si="83"/>
        <v>0</v>
      </c>
      <c r="CV114" s="319">
        <f t="shared" si="83"/>
        <v>0</v>
      </c>
    </row>
    <row r="115" spans="1:100" x14ac:dyDescent="0.25">
      <c r="A115" s="319">
        <f t="shared" si="65"/>
        <v>0</v>
      </c>
      <c r="B115" s="319">
        <f t="shared" si="71"/>
        <v>0</v>
      </c>
      <c r="C115" s="340" t="s">
        <v>1490</v>
      </c>
      <c r="D115" s="341" t="s">
        <v>690</v>
      </c>
      <c r="E115" s="341">
        <v>6</v>
      </c>
      <c r="F115" s="341" t="str">
        <f>IF(AND(E115&lt;CharacterSheet!$V$34,'House Rules'!$B$3="Available",OR('House Rules'!$B$7="Standard",AND('House Rules'!$B$7="Ranked",G114="Yes"))),"Yes","No")</f>
        <v>No</v>
      </c>
      <c r="G115" s="564" t="s">
        <v>347</v>
      </c>
      <c r="H115" s="333" t="str">
        <f>IF(C115="","",VLOOKUP(C115,Boonref2!A:B,2,FALSE))</f>
        <v>Yes</v>
      </c>
      <c r="I115" s="333"/>
      <c r="J115" s="333" t="str">
        <f>VLOOKUP(C115,BoonRef!A:Z,17,FALSE)</f>
        <v>Yes</v>
      </c>
      <c r="K115" s="333" t="str">
        <f>IF(J115="God",'House Rules'!$B$2,IF(J115="Demi",'House Rules'!$B$1,IF(J115="Comp",'House Rules'!$B$4,IF(J115="Yaz",'House Rules'!$B$5,IF(J115="Rag",'House Rules'!$B$3,"Available")))))</f>
        <v>Available</v>
      </c>
      <c r="L115" s="333"/>
      <c r="M115" s="333"/>
      <c r="N115" s="340" t="s">
        <v>1227</v>
      </c>
      <c r="O115" s="341" t="s">
        <v>691</v>
      </c>
      <c r="P115" s="341" t="str">
        <f>IF(O115&lt;CharacterSheet!$V$34,"Yes","No")</f>
        <v>No</v>
      </c>
      <c r="Q115" s="341">
        <v>4</v>
      </c>
      <c r="R115" s="344" t="s">
        <v>346</v>
      </c>
      <c r="S115" s="317"/>
      <c r="BF115" s="319">
        <f t="shared" si="81"/>
        <v>0</v>
      </c>
      <c r="BG115" s="345" t="s">
        <v>2461</v>
      </c>
      <c r="BI115" s="319">
        <f t="shared" si="66"/>
        <v>0</v>
      </c>
      <c r="BJ115" s="319">
        <f t="shared" si="83"/>
        <v>0</v>
      </c>
      <c r="BK115" s="319">
        <f t="shared" si="83"/>
        <v>0</v>
      </c>
      <c r="BL115" s="319">
        <f t="shared" si="83"/>
        <v>0</v>
      </c>
      <c r="BM115" s="319">
        <f t="shared" si="83"/>
        <v>0</v>
      </c>
      <c r="BN115" s="319">
        <f t="shared" si="83"/>
        <v>0</v>
      </c>
      <c r="BO115" s="319">
        <f t="shared" si="83"/>
        <v>0</v>
      </c>
      <c r="BP115" s="319">
        <f t="shared" si="83"/>
        <v>0</v>
      </c>
      <c r="BQ115" s="319">
        <f t="shared" si="83"/>
        <v>0</v>
      </c>
      <c r="BR115" s="319">
        <f t="shared" si="83"/>
        <v>0</v>
      </c>
      <c r="BS115" s="319">
        <f t="shared" si="83"/>
        <v>0</v>
      </c>
      <c r="BT115" s="319">
        <f t="shared" si="83"/>
        <v>0</v>
      </c>
      <c r="BU115" s="319">
        <f t="shared" si="83"/>
        <v>0</v>
      </c>
      <c r="BV115" s="319">
        <f t="shared" si="83"/>
        <v>0</v>
      </c>
      <c r="BW115" s="319">
        <f t="shared" si="83"/>
        <v>0</v>
      </c>
      <c r="BX115" s="319">
        <f t="shared" si="83"/>
        <v>0</v>
      </c>
      <c r="BY115" s="319">
        <f t="shared" si="83"/>
        <v>0</v>
      </c>
      <c r="BZ115" s="319">
        <f t="shared" si="83"/>
        <v>0</v>
      </c>
      <c r="CA115" s="319">
        <f t="shared" si="83"/>
        <v>0</v>
      </c>
      <c r="CB115" s="319">
        <f t="shared" si="83"/>
        <v>0</v>
      </c>
      <c r="CC115" s="319">
        <f t="shared" si="83"/>
        <v>0</v>
      </c>
      <c r="CD115" s="319">
        <f t="shared" si="83"/>
        <v>0</v>
      </c>
      <c r="CE115" s="319">
        <f t="shared" si="83"/>
        <v>0</v>
      </c>
      <c r="CF115" s="319">
        <f t="shared" si="83"/>
        <v>0</v>
      </c>
      <c r="CG115" s="319">
        <f t="shared" si="83"/>
        <v>0</v>
      </c>
      <c r="CH115" s="319">
        <f t="shared" si="83"/>
        <v>0</v>
      </c>
      <c r="CI115" s="319">
        <f t="shared" si="83"/>
        <v>0</v>
      </c>
      <c r="CJ115" s="319">
        <f t="shared" si="83"/>
        <v>0</v>
      </c>
      <c r="CK115" s="319">
        <f t="shared" si="83"/>
        <v>0</v>
      </c>
      <c r="CL115" s="319">
        <f t="shared" si="83"/>
        <v>0</v>
      </c>
      <c r="CM115" s="319">
        <f t="shared" si="83"/>
        <v>0</v>
      </c>
      <c r="CN115" s="319">
        <f t="shared" si="83"/>
        <v>0</v>
      </c>
      <c r="CO115" s="319">
        <f t="shared" si="83"/>
        <v>0</v>
      </c>
      <c r="CP115" s="319">
        <f t="shared" si="83"/>
        <v>0</v>
      </c>
      <c r="CQ115" s="319">
        <f t="shared" si="83"/>
        <v>0</v>
      </c>
      <c r="CR115" s="319">
        <f t="shared" si="83"/>
        <v>0</v>
      </c>
      <c r="CS115" s="319">
        <f t="shared" si="83"/>
        <v>0</v>
      </c>
      <c r="CT115" s="319">
        <f t="shared" si="83"/>
        <v>0</v>
      </c>
      <c r="CU115" s="319">
        <f t="shared" si="83"/>
        <v>0</v>
      </c>
      <c r="CV115" s="319">
        <f t="shared" si="83"/>
        <v>0</v>
      </c>
    </row>
    <row r="116" spans="1:100" x14ac:dyDescent="0.25">
      <c r="A116" s="319">
        <f t="shared" si="65"/>
        <v>0</v>
      </c>
      <c r="B116" s="319">
        <f t="shared" si="71"/>
        <v>0</v>
      </c>
      <c r="C116" s="340" t="s">
        <v>1491</v>
      </c>
      <c r="D116" s="341" t="s">
        <v>690</v>
      </c>
      <c r="E116" s="341">
        <v>7</v>
      </c>
      <c r="F116" s="341" t="str">
        <f>IF(AND(E116&lt;CharacterSheet!$V$34,'House Rules'!$B$3="Available",OR('House Rules'!$B$7="Standard",AND('House Rules'!$B$7="Ranked",G115="Yes"))),"Yes","No")</f>
        <v>No</v>
      </c>
      <c r="G116" s="564" t="s">
        <v>347</v>
      </c>
      <c r="H116" s="333" t="str">
        <f>IF(C116="","",VLOOKUP(C116,Boonref2!A:B,2,FALSE))</f>
        <v>Yes</v>
      </c>
      <c r="I116" s="333"/>
      <c r="J116" s="333" t="str">
        <f>VLOOKUP(C116,BoonRef!A:Z,17,FALSE)</f>
        <v>Yes</v>
      </c>
      <c r="K116" s="333" t="str">
        <f>IF(J116="God",'House Rules'!$B$2,IF(J116="Demi",'House Rules'!$B$1,IF(J116="Comp",'House Rules'!$B$4,IF(J116="Yaz",'House Rules'!$B$5,IF(J116="Rag",'House Rules'!$B$3,"Available")))))</f>
        <v>Available</v>
      </c>
      <c r="L116" s="333"/>
      <c r="M116" s="333"/>
      <c r="N116" s="340" t="s">
        <v>1228</v>
      </c>
      <c r="O116" s="341" t="s">
        <v>691</v>
      </c>
      <c r="P116" s="341" t="str">
        <f>IF(O116&lt;CharacterSheet!$V$34,"Yes","No")</f>
        <v>No</v>
      </c>
      <c r="Q116" s="341">
        <v>5</v>
      </c>
      <c r="R116" s="344" t="s">
        <v>346</v>
      </c>
      <c r="S116" s="317"/>
      <c r="BF116" s="319">
        <f t="shared" si="81"/>
        <v>0</v>
      </c>
      <c r="BG116" s="345" t="s">
        <v>2462</v>
      </c>
      <c r="BI116" s="319">
        <f t="shared" si="66"/>
        <v>0</v>
      </c>
      <c r="BJ116" s="319">
        <f t="shared" si="83"/>
        <v>0</v>
      </c>
      <c r="BK116" s="319">
        <f t="shared" si="83"/>
        <v>0</v>
      </c>
      <c r="BL116" s="319">
        <f t="shared" si="83"/>
        <v>0</v>
      </c>
      <c r="BM116" s="319">
        <f t="shared" si="83"/>
        <v>0</v>
      </c>
      <c r="BN116" s="319">
        <f t="shared" si="83"/>
        <v>0</v>
      </c>
      <c r="BO116" s="319">
        <f t="shared" si="83"/>
        <v>0</v>
      </c>
      <c r="BP116" s="319">
        <f t="shared" si="83"/>
        <v>0</v>
      </c>
      <c r="BQ116" s="319">
        <f t="shared" si="83"/>
        <v>0</v>
      </c>
      <c r="BR116" s="319">
        <f t="shared" si="83"/>
        <v>0</v>
      </c>
      <c r="BS116" s="319">
        <f t="shared" si="83"/>
        <v>0</v>
      </c>
      <c r="BT116" s="319">
        <f t="shared" si="83"/>
        <v>0</v>
      </c>
      <c r="BU116" s="319">
        <f t="shared" si="83"/>
        <v>0</v>
      </c>
      <c r="BV116" s="319">
        <f t="shared" si="83"/>
        <v>0</v>
      </c>
      <c r="BW116" s="319">
        <f t="shared" si="83"/>
        <v>0</v>
      </c>
      <c r="BX116" s="319">
        <f t="shared" si="83"/>
        <v>0</v>
      </c>
      <c r="BY116" s="319">
        <f t="shared" si="83"/>
        <v>0</v>
      </c>
      <c r="BZ116" s="319">
        <f t="shared" si="83"/>
        <v>0</v>
      </c>
      <c r="CA116" s="319">
        <f t="shared" si="83"/>
        <v>0</v>
      </c>
      <c r="CB116" s="319">
        <f t="shared" si="83"/>
        <v>0</v>
      </c>
      <c r="CC116" s="319">
        <f t="shared" si="83"/>
        <v>0</v>
      </c>
      <c r="CD116" s="319">
        <f t="shared" si="83"/>
        <v>0</v>
      </c>
      <c r="CE116" s="319">
        <f t="shared" si="83"/>
        <v>0</v>
      </c>
      <c r="CF116" s="319">
        <f t="shared" si="83"/>
        <v>0</v>
      </c>
      <c r="CG116" s="319">
        <f t="shared" si="83"/>
        <v>0</v>
      </c>
      <c r="CH116" s="319">
        <f t="shared" si="83"/>
        <v>0</v>
      </c>
      <c r="CI116" s="319">
        <f t="shared" si="83"/>
        <v>0</v>
      </c>
      <c r="CJ116" s="319">
        <f t="shared" si="83"/>
        <v>0</v>
      </c>
      <c r="CK116" s="319">
        <f t="shared" si="83"/>
        <v>0</v>
      </c>
      <c r="CL116" s="319">
        <f t="shared" si="83"/>
        <v>0</v>
      </c>
      <c r="CM116" s="319">
        <f t="shared" si="83"/>
        <v>0</v>
      </c>
      <c r="CN116" s="319">
        <f t="shared" si="83"/>
        <v>0</v>
      </c>
      <c r="CO116" s="319">
        <f t="shared" si="83"/>
        <v>0</v>
      </c>
      <c r="CP116" s="319">
        <f t="shared" si="83"/>
        <v>0</v>
      </c>
      <c r="CQ116" s="319">
        <f t="shared" si="83"/>
        <v>0</v>
      </c>
      <c r="CR116" s="319">
        <f t="shared" si="83"/>
        <v>0</v>
      </c>
      <c r="CS116" s="319">
        <f t="shared" si="83"/>
        <v>0</v>
      </c>
      <c r="CT116" s="319">
        <f t="shared" si="83"/>
        <v>0</v>
      </c>
      <c r="CU116" s="319">
        <f t="shared" si="83"/>
        <v>0</v>
      </c>
      <c r="CV116" s="319">
        <f t="shared" si="83"/>
        <v>0</v>
      </c>
    </row>
    <row r="117" spans="1:100" x14ac:dyDescent="0.25">
      <c r="A117" s="319">
        <f t="shared" si="65"/>
        <v>0</v>
      </c>
      <c r="B117" s="319">
        <f t="shared" si="71"/>
        <v>0</v>
      </c>
      <c r="C117" s="340" t="s">
        <v>1492</v>
      </c>
      <c r="D117" s="341" t="s">
        <v>690</v>
      </c>
      <c r="E117" s="341">
        <v>8</v>
      </c>
      <c r="F117" s="341" t="str">
        <f>IF(AND(E117&lt;CharacterSheet!$V$34,'House Rules'!$B$3="Available",OR('House Rules'!$B$7="Standard",AND('House Rules'!$B$7="Ranked",G116="Yes"))),"Yes","No")</f>
        <v>No</v>
      </c>
      <c r="G117" s="564" t="s">
        <v>347</v>
      </c>
      <c r="H117" s="333" t="str">
        <f>IF(C117="","",VLOOKUP(C117,Boonref2!A:B,2,FALSE))</f>
        <v>Yes</v>
      </c>
      <c r="I117" s="333"/>
      <c r="J117" s="333" t="str">
        <f>VLOOKUP(C117,BoonRef!A:Z,17,FALSE)</f>
        <v>Yes</v>
      </c>
      <c r="K117" s="333" t="str">
        <f>IF(J117="God",'House Rules'!$B$2,IF(J117="Demi",'House Rules'!$B$1,IF(J117="Comp",'House Rules'!$B$4,IF(J117="Yaz",'House Rules'!$B$5,IF(J117="Rag",'House Rules'!$B$3,"Available")))))</f>
        <v>Available</v>
      </c>
      <c r="L117" s="333"/>
      <c r="M117" s="333"/>
      <c r="N117" s="340" t="s">
        <v>1229</v>
      </c>
      <c r="O117" s="341" t="s">
        <v>691</v>
      </c>
      <c r="P117" s="341" t="str">
        <f>IF(O117&lt;CharacterSheet!$V$34,"Yes","No")</f>
        <v>No</v>
      </c>
      <c r="Q117" s="341">
        <v>6</v>
      </c>
      <c r="R117" s="344" t="s">
        <v>346</v>
      </c>
      <c r="S117" s="317"/>
      <c r="BF117" s="319">
        <f t="shared" si="81"/>
        <v>0</v>
      </c>
      <c r="BG117" s="345" t="s">
        <v>2463</v>
      </c>
      <c r="BI117" s="319">
        <f t="shared" si="66"/>
        <v>0</v>
      </c>
      <c r="BJ117" s="319">
        <f t="shared" si="83"/>
        <v>0</v>
      </c>
      <c r="BK117" s="319">
        <f t="shared" si="83"/>
        <v>0</v>
      </c>
      <c r="BL117" s="319">
        <f t="shared" si="83"/>
        <v>0</v>
      </c>
      <c r="BM117" s="319">
        <f t="shared" si="83"/>
        <v>0</v>
      </c>
      <c r="BN117" s="319">
        <f t="shared" si="83"/>
        <v>0</v>
      </c>
      <c r="BO117" s="319">
        <f t="shared" si="83"/>
        <v>0</v>
      </c>
      <c r="BP117" s="319">
        <f t="shared" si="83"/>
        <v>0</v>
      </c>
      <c r="BQ117" s="319">
        <f t="shared" si="83"/>
        <v>0</v>
      </c>
      <c r="BR117" s="319">
        <f t="shared" si="83"/>
        <v>0</v>
      </c>
      <c r="BS117" s="319">
        <f t="shared" si="83"/>
        <v>0</v>
      </c>
      <c r="BT117" s="319">
        <f t="shared" si="83"/>
        <v>0</v>
      </c>
      <c r="BU117" s="319">
        <f t="shared" si="83"/>
        <v>0</v>
      </c>
      <c r="BV117" s="319">
        <f t="shared" si="83"/>
        <v>0</v>
      </c>
      <c r="BW117" s="319">
        <f t="shared" si="83"/>
        <v>0</v>
      </c>
      <c r="BX117" s="319">
        <f t="shared" si="83"/>
        <v>0</v>
      </c>
      <c r="BY117" s="319">
        <f t="shared" si="83"/>
        <v>0</v>
      </c>
      <c r="BZ117" s="319">
        <f t="shared" si="83"/>
        <v>0</v>
      </c>
      <c r="CA117" s="319">
        <f t="shared" si="83"/>
        <v>0</v>
      </c>
      <c r="CB117" s="319">
        <f t="shared" si="83"/>
        <v>0</v>
      </c>
      <c r="CC117" s="319">
        <f t="shared" si="83"/>
        <v>0</v>
      </c>
      <c r="CD117" s="319">
        <f t="shared" si="83"/>
        <v>0</v>
      </c>
      <c r="CE117" s="319">
        <f t="shared" si="83"/>
        <v>0</v>
      </c>
      <c r="CF117" s="319">
        <f t="shared" si="83"/>
        <v>0</v>
      </c>
      <c r="CG117" s="319">
        <f t="shared" si="83"/>
        <v>0</v>
      </c>
      <c r="CH117" s="319">
        <f t="shared" si="83"/>
        <v>0</v>
      </c>
      <c r="CI117" s="319">
        <f t="shared" si="83"/>
        <v>0</v>
      </c>
      <c r="CJ117" s="319">
        <f t="shared" si="83"/>
        <v>0</v>
      </c>
      <c r="CK117" s="319">
        <f t="shared" si="83"/>
        <v>0</v>
      </c>
      <c r="CL117" s="319">
        <f t="shared" si="83"/>
        <v>0</v>
      </c>
      <c r="CM117" s="319">
        <f t="shared" si="83"/>
        <v>0</v>
      </c>
      <c r="CN117" s="319">
        <f t="shared" si="83"/>
        <v>0</v>
      </c>
      <c r="CO117" s="319">
        <f t="shared" si="83"/>
        <v>0</v>
      </c>
      <c r="CP117" s="319">
        <f t="shared" si="83"/>
        <v>0</v>
      </c>
      <c r="CQ117" s="319">
        <f t="shared" si="83"/>
        <v>0</v>
      </c>
      <c r="CR117" s="319">
        <f t="shared" si="83"/>
        <v>0</v>
      </c>
      <c r="CS117" s="319">
        <f t="shared" si="83"/>
        <v>0</v>
      </c>
      <c r="CT117" s="319">
        <f t="shared" si="83"/>
        <v>0</v>
      </c>
      <c r="CU117" s="319">
        <f t="shared" si="83"/>
        <v>0</v>
      </c>
      <c r="CV117" s="319">
        <f t="shared" si="83"/>
        <v>0</v>
      </c>
    </row>
    <row r="118" spans="1:100" x14ac:dyDescent="0.25">
      <c r="A118" s="319">
        <f t="shared" si="65"/>
        <v>0</v>
      </c>
      <c r="B118" s="319">
        <f t="shared" si="71"/>
        <v>0</v>
      </c>
      <c r="C118" s="340" t="s">
        <v>2635</v>
      </c>
      <c r="D118" s="341" t="s">
        <v>690</v>
      </c>
      <c r="E118" s="341">
        <v>8</v>
      </c>
      <c r="F118" s="341" t="str">
        <f>IF(AND(E117&lt;CharacterSheet!$V$34,'House Rules'!$B$3="Available",OR('House Rules'!$B$7="Standard",AND('House Rules'!$B$7="Ranked",OR(G116="Yes")))),"Yes","No")</f>
        <v>No</v>
      </c>
      <c r="G118" s="564" t="s">
        <v>347</v>
      </c>
      <c r="H118" s="333" t="str">
        <f>IF(C118="","",VLOOKUP(C118,Boonref2!A:B,2,FALSE))</f>
        <v>Yes</v>
      </c>
      <c r="I118" s="333"/>
      <c r="J118" s="333" t="str">
        <f>VLOOKUP(C118,BoonRef!A:Z,17,FALSE)</f>
        <v>Yes</v>
      </c>
      <c r="K118" s="333" t="str">
        <f>IF(J118="God",'House Rules'!$B$2,IF(J118="Demi",'House Rules'!$B$1,IF(J118="Comp",'House Rules'!$B$4,IF(J118="Yaz",'House Rules'!$B$5,IF(J118="Rag",'House Rules'!$B$3,"Available")))))</f>
        <v>Available</v>
      </c>
      <c r="L118" s="333"/>
      <c r="M118" s="333"/>
      <c r="N118" s="340" t="s">
        <v>1230</v>
      </c>
      <c r="O118" s="341" t="s">
        <v>691</v>
      </c>
      <c r="P118" s="341" t="str">
        <f>IF(O118&lt;CharacterSheet!$V$34,"Yes","No")</f>
        <v>No</v>
      </c>
      <c r="Q118" s="341">
        <v>7</v>
      </c>
      <c r="R118" s="344" t="s">
        <v>346</v>
      </c>
      <c r="S118" s="317"/>
      <c r="BF118" s="319">
        <f t="shared" si="81"/>
        <v>0</v>
      </c>
      <c r="BG118" s="345" t="s">
        <v>2464</v>
      </c>
      <c r="BI118" s="319">
        <f t="shared" si="66"/>
        <v>0</v>
      </c>
      <c r="BJ118" s="319">
        <f t="shared" si="83"/>
        <v>0</v>
      </c>
      <c r="BK118" s="319">
        <f t="shared" si="83"/>
        <v>0</v>
      </c>
      <c r="BL118" s="319">
        <f t="shared" si="83"/>
        <v>0</v>
      </c>
      <c r="BM118" s="319">
        <f t="shared" si="83"/>
        <v>0</v>
      </c>
      <c r="BN118" s="319">
        <f t="shared" si="83"/>
        <v>0</v>
      </c>
      <c r="BO118" s="319">
        <f t="shared" si="83"/>
        <v>0</v>
      </c>
      <c r="BP118" s="319">
        <f t="shared" si="83"/>
        <v>0</v>
      </c>
      <c r="BQ118" s="319">
        <f t="shared" si="83"/>
        <v>0</v>
      </c>
      <c r="BR118" s="319">
        <f t="shared" si="83"/>
        <v>0</v>
      </c>
      <c r="BS118" s="319">
        <f t="shared" si="83"/>
        <v>0</v>
      </c>
      <c r="BT118" s="319">
        <f t="shared" si="83"/>
        <v>0</v>
      </c>
      <c r="BU118" s="319">
        <f t="shared" si="83"/>
        <v>0</v>
      </c>
      <c r="BV118" s="319">
        <f t="shared" si="83"/>
        <v>0</v>
      </c>
      <c r="BW118" s="319">
        <f t="shared" si="83"/>
        <v>0</v>
      </c>
      <c r="BX118" s="319">
        <f t="shared" si="83"/>
        <v>0</v>
      </c>
      <c r="BY118" s="319">
        <f t="shared" si="83"/>
        <v>0</v>
      </c>
      <c r="BZ118" s="319">
        <f t="shared" si="83"/>
        <v>0</v>
      </c>
      <c r="CA118" s="319">
        <f t="shared" si="83"/>
        <v>0</v>
      </c>
      <c r="CB118" s="319">
        <f t="shared" si="83"/>
        <v>0</v>
      </c>
      <c r="CC118" s="319">
        <f t="shared" si="83"/>
        <v>0</v>
      </c>
      <c r="CD118" s="319">
        <f t="shared" si="83"/>
        <v>0</v>
      </c>
      <c r="CE118" s="319">
        <f t="shared" si="83"/>
        <v>0</v>
      </c>
      <c r="CF118" s="319">
        <f t="shared" si="83"/>
        <v>0</v>
      </c>
      <c r="CG118" s="319">
        <f t="shared" si="83"/>
        <v>0</v>
      </c>
      <c r="CH118" s="319">
        <f t="shared" si="83"/>
        <v>0</v>
      </c>
      <c r="CI118" s="319">
        <f t="shared" si="83"/>
        <v>0</v>
      </c>
      <c r="CJ118" s="319">
        <f t="shared" si="83"/>
        <v>0</v>
      </c>
      <c r="CK118" s="319">
        <f t="shared" si="83"/>
        <v>0</v>
      </c>
      <c r="CL118" s="319">
        <f t="shared" si="83"/>
        <v>0</v>
      </c>
      <c r="CM118" s="319">
        <f t="shared" si="83"/>
        <v>0</v>
      </c>
      <c r="CN118" s="319">
        <f t="shared" si="83"/>
        <v>0</v>
      </c>
      <c r="CO118" s="319">
        <f t="shared" si="83"/>
        <v>0</v>
      </c>
      <c r="CP118" s="319">
        <f t="shared" si="83"/>
        <v>0</v>
      </c>
      <c r="CQ118" s="319">
        <f t="shared" si="83"/>
        <v>0</v>
      </c>
      <c r="CR118" s="319">
        <f t="shared" si="83"/>
        <v>0</v>
      </c>
      <c r="CS118" s="319">
        <f t="shared" si="83"/>
        <v>0</v>
      </c>
      <c r="CT118" s="319">
        <f t="shared" si="83"/>
        <v>0</v>
      </c>
      <c r="CU118" s="319">
        <f t="shared" si="83"/>
        <v>0</v>
      </c>
      <c r="CV118" s="319">
        <f t="shared" si="83"/>
        <v>0</v>
      </c>
    </row>
    <row r="119" spans="1:100" x14ac:dyDescent="0.25">
      <c r="A119" s="319">
        <f t="shared" si="65"/>
        <v>0</v>
      </c>
      <c r="B119" s="319">
        <f t="shared" si="71"/>
        <v>0</v>
      </c>
      <c r="C119" s="340" t="s">
        <v>1493</v>
      </c>
      <c r="D119" s="341" t="s">
        <v>690</v>
      </c>
      <c r="E119" s="341">
        <v>9</v>
      </c>
      <c r="F119" s="341" t="str">
        <f>IF(AND(E119&lt;CharacterSheet!$V$34,'House Rules'!$B$3="Available",OR('House Rules'!$B$7="Standard",AND('House Rules'!$B$7="Ranked",OR(G117="Yes",G118="Yes")))),"Yes","No")</f>
        <v>No</v>
      </c>
      <c r="G119" s="564" t="s">
        <v>347</v>
      </c>
      <c r="H119" s="333" t="str">
        <f>IF(C119="","",VLOOKUP(C119,Boonref2!A:B,2,FALSE))</f>
        <v>Yes</v>
      </c>
      <c r="I119" s="333"/>
      <c r="J119" s="333" t="str">
        <f>VLOOKUP(C119,BoonRef!A:Z,17,FALSE)</f>
        <v>Yes</v>
      </c>
      <c r="K119" s="333" t="str">
        <f>IF(J119="God",'House Rules'!$B$2,IF(J119="Demi",'House Rules'!$B$1,IF(J119="Comp",'House Rules'!$B$4,IF(J119="Yaz",'House Rules'!$B$5,IF(J119="Rag",'House Rules'!$B$3,"Available")))))</f>
        <v>Available</v>
      </c>
      <c r="L119" s="333"/>
      <c r="M119" s="333"/>
      <c r="N119" s="340" t="s">
        <v>1321</v>
      </c>
      <c r="O119" s="341" t="s">
        <v>691</v>
      </c>
      <c r="P119" s="341" t="str">
        <f>IF(O119&lt;CharacterSheet!$V$34,"Yes","No")</f>
        <v>No</v>
      </c>
      <c r="Q119" s="341">
        <v>8</v>
      </c>
      <c r="R119" s="344" t="s">
        <v>346</v>
      </c>
      <c r="S119" s="317"/>
      <c r="BF119" s="319">
        <f t="shared" si="81"/>
        <v>0</v>
      </c>
      <c r="BG119" s="345" t="s">
        <v>2465</v>
      </c>
      <c r="BI119" s="319">
        <f t="shared" si="66"/>
        <v>0</v>
      </c>
      <c r="BJ119" s="319">
        <f t="shared" si="83"/>
        <v>0</v>
      </c>
      <c r="BK119" s="319">
        <f t="shared" si="83"/>
        <v>0</v>
      </c>
      <c r="BL119" s="319">
        <f t="shared" si="83"/>
        <v>0</v>
      </c>
      <c r="BM119" s="319">
        <f t="shared" si="83"/>
        <v>0</v>
      </c>
      <c r="BN119" s="319">
        <f t="shared" si="83"/>
        <v>0</v>
      </c>
      <c r="BO119" s="319">
        <f t="shared" si="83"/>
        <v>0</v>
      </c>
      <c r="BP119" s="319">
        <f t="shared" si="83"/>
        <v>0</v>
      </c>
      <c r="BQ119" s="319">
        <f t="shared" si="83"/>
        <v>0</v>
      </c>
      <c r="BR119" s="319">
        <f t="shared" si="83"/>
        <v>0</v>
      </c>
      <c r="BS119" s="319">
        <f t="shared" si="83"/>
        <v>0</v>
      </c>
      <c r="BT119" s="319">
        <f t="shared" si="83"/>
        <v>0</v>
      </c>
      <c r="BU119" s="319">
        <f t="shared" si="83"/>
        <v>0</v>
      </c>
      <c r="BV119" s="319">
        <f t="shared" si="83"/>
        <v>0</v>
      </c>
      <c r="BW119" s="319">
        <f t="shared" si="83"/>
        <v>0</v>
      </c>
      <c r="BX119" s="319">
        <f t="shared" si="83"/>
        <v>0</v>
      </c>
      <c r="BY119" s="319">
        <f t="shared" si="83"/>
        <v>0</v>
      </c>
      <c r="BZ119" s="319">
        <f t="shared" si="83"/>
        <v>0</v>
      </c>
      <c r="CA119" s="319">
        <f t="shared" si="83"/>
        <v>0</v>
      </c>
      <c r="CB119" s="319">
        <f t="shared" si="83"/>
        <v>0</v>
      </c>
      <c r="CC119" s="319">
        <f t="shared" si="83"/>
        <v>0</v>
      </c>
      <c r="CD119" s="319">
        <f t="shared" si="83"/>
        <v>0</v>
      </c>
      <c r="CE119" s="319">
        <f t="shared" si="83"/>
        <v>0</v>
      </c>
      <c r="CF119" s="319">
        <f t="shared" si="83"/>
        <v>0</v>
      </c>
      <c r="CG119" s="319">
        <f t="shared" si="83"/>
        <v>0</v>
      </c>
      <c r="CH119" s="319">
        <f t="shared" si="83"/>
        <v>0</v>
      </c>
      <c r="CI119" s="319">
        <f t="shared" si="83"/>
        <v>0</v>
      </c>
      <c r="CJ119" s="319">
        <f t="shared" si="83"/>
        <v>0</v>
      </c>
      <c r="CK119" s="319">
        <f t="shared" si="83"/>
        <v>0</v>
      </c>
      <c r="CL119" s="319">
        <f t="shared" si="83"/>
        <v>0</v>
      </c>
      <c r="CM119" s="319">
        <f t="shared" si="83"/>
        <v>0</v>
      </c>
      <c r="CN119" s="319">
        <f t="shared" si="83"/>
        <v>0</v>
      </c>
      <c r="CO119" s="319">
        <f t="shared" si="83"/>
        <v>0</v>
      </c>
      <c r="CP119" s="319">
        <f t="shared" si="83"/>
        <v>0</v>
      </c>
      <c r="CQ119" s="319">
        <f t="shared" si="83"/>
        <v>0</v>
      </c>
      <c r="CR119" s="319">
        <f t="shared" si="83"/>
        <v>0</v>
      </c>
      <c r="CS119" s="319">
        <f t="shared" si="83"/>
        <v>0</v>
      </c>
      <c r="CT119" s="319">
        <f t="shared" si="83"/>
        <v>0</v>
      </c>
      <c r="CU119" s="319">
        <f t="shared" si="83"/>
        <v>0</v>
      </c>
      <c r="CV119" s="319">
        <f t="shared" si="83"/>
        <v>0</v>
      </c>
    </row>
    <row r="120" spans="1:100" x14ac:dyDescent="0.25">
      <c r="A120" s="319">
        <f t="shared" si="65"/>
        <v>0</v>
      </c>
      <c r="B120" s="319">
        <f t="shared" si="71"/>
        <v>0</v>
      </c>
      <c r="C120" s="340" t="s">
        <v>1494</v>
      </c>
      <c r="D120" s="341" t="s">
        <v>690</v>
      </c>
      <c r="E120" s="341">
        <v>10</v>
      </c>
      <c r="F120" s="341" t="str">
        <f>IF(AND(E120&lt;CharacterSheet!$V$34,'House Rules'!$B$3="Available",OR('House Rules'!$B$7="Standard",AND('House Rules'!$B$7="Ranked",G119="Yes"))),"Yes","No")</f>
        <v>No</v>
      </c>
      <c r="G120" s="564" t="s">
        <v>347</v>
      </c>
      <c r="H120" s="333" t="str">
        <f>IF(C120="","",VLOOKUP(C120,Boonref2!A:B,2,FALSE))</f>
        <v>Yes</v>
      </c>
      <c r="I120" s="333"/>
      <c r="J120" s="333" t="str">
        <f>VLOOKUP(C120,BoonRef!A:Z,17,FALSE)</f>
        <v>Yes</v>
      </c>
      <c r="K120" s="333" t="str">
        <f>IF(J120="God",'House Rules'!$B$2,IF(J120="Demi",'House Rules'!$B$1,IF(J120="Comp",'House Rules'!$B$4,IF(J120="Yaz",'House Rules'!$B$5,IF(J120="Rag",'House Rules'!$B$3,"Available")))))</f>
        <v>Available</v>
      </c>
      <c r="L120" s="333"/>
      <c r="M120" s="333"/>
      <c r="N120" s="340" t="s">
        <v>1322</v>
      </c>
      <c r="O120" s="341" t="s">
        <v>691</v>
      </c>
      <c r="P120" s="341" t="str">
        <f>IF(O120&lt;CharacterSheet!$V$34,"Yes","No")</f>
        <v>No</v>
      </c>
      <c r="Q120" s="341">
        <v>9</v>
      </c>
      <c r="R120" s="344" t="s">
        <v>346</v>
      </c>
      <c r="S120" s="317"/>
      <c r="BF120" s="319">
        <f t="shared" si="81"/>
        <v>0</v>
      </c>
      <c r="BG120" s="345" t="s">
        <v>2466</v>
      </c>
      <c r="BI120" s="319">
        <f t="shared" si="66"/>
        <v>0</v>
      </c>
      <c r="BJ120" s="319">
        <f t="shared" si="83"/>
        <v>0</v>
      </c>
      <c r="BK120" s="319">
        <f t="shared" si="83"/>
        <v>0</v>
      </c>
      <c r="BL120" s="319">
        <f t="shared" si="83"/>
        <v>0</v>
      </c>
      <c r="BM120" s="319">
        <f t="shared" si="83"/>
        <v>0</v>
      </c>
      <c r="BN120" s="319">
        <f t="shared" si="83"/>
        <v>0</v>
      </c>
      <c r="BO120" s="319">
        <f t="shared" si="83"/>
        <v>0</v>
      </c>
      <c r="BP120" s="319">
        <f t="shared" si="83"/>
        <v>0</v>
      </c>
      <c r="BQ120" s="319">
        <f t="shared" si="83"/>
        <v>0</v>
      </c>
      <c r="BR120" s="319">
        <f t="shared" si="83"/>
        <v>0</v>
      </c>
      <c r="BS120" s="319">
        <f t="shared" si="83"/>
        <v>0</v>
      </c>
      <c r="BT120" s="319">
        <f t="shared" si="83"/>
        <v>0</v>
      </c>
      <c r="BU120" s="319">
        <f t="shared" si="83"/>
        <v>0</v>
      </c>
      <c r="BV120" s="319">
        <f t="shared" si="83"/>
        <v>0</v>
      </c>
      <c r="BW120" s="319">
        <f t="shared" si="83"/>
        <v>0</v>
      </c>
      <c r="BX120" s="319">
        <f t="shared" si="83"/>
        <v>0</v>
      </c>
      <c r="BY120" s="319">
        <f t="shared" si="83"/>
        <v>0</v>
      </c>
      <c r="BZ120" s="319">
        <f t="shared" si="83"/>
        <v>0</v>
      </c>
      <c r="CA120" s="319">
        <f t="shared" si="83"/>
        <v>0</v>
      </c>
      <c r="CB120" s="319">
        <f t="shared" ref="BJ120:CV126" si="84">IF(AND($D120=CB$1,$G120="Yes"),$E120,0)</f>
        <v>0</v>
      </c>
      <c r="CC120" s="319">
        <f t="shared" si="84"/>
        <v>0</v>
      </c>
      <c r="CD120" s="319">
        <f t="shared" si="84"/>
        <v>0</v>
      </c>
      <c r="CE120" s="319">
        <f t="shared" si="84"/>
        <v>0</v>
      </c>
      <c r="CF120" s="319">
        <f t="shared" si="84"/>
        <v>0</v>
      </c>
      <c r="CG120" s="319">
        <f t="shared" si="84"/>
        <v>0</v>
      </c>
      <c r="CH120" s="319">
        <f t="shared" si="84"/>
        <v>0</v>
      </c>
      <c r="CI120" s="319">
        <f t="shared" si="84"/>
        <v>0</v>
      </c>
      <c r="CJ120" s="319">
        <f t="shared" si="84"/>
        <v>0</v>
      </c>
      <c r="CK120" s="319">
        <f t="shared" si="84"/>
        <v>0</v>
      </c>
      <c r="CL120" s="319">
        <f t="shared" si="84"/>
        <v>0</v>
      </c>
      <c r="CM120" s="319">
        <f t="shared" si="84"/>
        <v>0</v>
      </c>
      <c r="CN120" s="319">
        <f t="shared" si="84"/>
        <v>0</v>
      </c>
      <c r="CO120" s="319">
        <f t="shared" si="84"/>
        <v>0</v>
      </c>
      <c r="CP120" s="319">
        <f t="shared" si="84"/>
        <v>0</v>
      </c>
      <c r="CQ120" s="319">
        <f t="shared" si="84"/>
        <v>0</v>
      </c>
      <c r="CR120" s="319">
        <f t="shared" si="84"/>
        <v>0</v>
      </c>
      <c r="CS120" s="319">
        <f t="shared" si="84"/>
        <v>0</v>
      </c>
      <c r="CT120" s="319">
        <f t="shared" si="84"/>
        <v>0</v>
      </c>
      <c r="CU120" s="319">
        <f t="shared" si="84"/>
        <v>0</v>
      </c>
      <c r="CV120" s="319">
        <f t="shared" si="84"/>
        <v>0</v>
      </c>
    </row>
    <row r="121" spans="1:100" ht="15.75" thickBot="1" x14ac:dyDescent="0.3">
      <c r="A121" s="319">
        <f t="shared" si="65"/>
        <v>0</v>
      </c>
      <c r="B121" s="319">
        <f t="shared" si="71"/>
        <v>0</v>
      </c>
      <c r="C121" s="352" t="s">
        <v>1495</v>
      </c>
      <c r="D121" s="353" t="s">
        <v>690</v>
      </c>
      <c r="E121" s="353">
        <v>11</v>
      </c>
      <c r="F121" s="353" t="str">
        <f>IF(AND(E25&lt;CharacterSheet!$V$34,G110="Yes",G111="Yes",G112="Yes",G114="Yes",G113="Yes",G115="Yes",G116="Yes",OR(G117="Yes",G118="Yes"),G119="Yes",G120="Yes"),"Yes","No")</f>
        <v>No</v>
      </c>
      <c r="G121" s="565" t="s">
        <v>347</v>
      </c>
      <c r="H121" s="333" t="str">
        <f>IF(C121="","",VLOOKUP(C121,Boonref2!A:B,2,FALSE))</f>
        <v>No</v>
      </c>
      <c r="I121" s="333"/>
      <c r="J121" s="333" t="str">
        <f>VLOOKUP(C121,BoonRef!A:Z,17,FALSE)</f>
        <v>Yes</v>
      </c>
      <c r="K121" s="333" t="str">
        <f>IF(J121="God",'House Rules'!$B$2,IF(J121="Demi",'House Rules'!$B$1,IF(J121="Comp",'House Rules'!$B$4,IF(J121="Yaz",'House Rules'!$B$5,IF(J121="Rag",'House Rules'!$B$3,"Available")))))</f>
        <v>Available</v>
      </c>
      <c r="L121" s="333"/>
      <c r="M121" s="333"/>
      <c r="N121" s="352" t="s">
        <v>1323</v>
      </c>
      <c r="O121" s="353" t="s">
        <v>691</v>
      </c>
      <c r="P121" s="353" t="str">
        <f>IF(O121&lt;CharacterSheet!$V$34,"Yes","No")</f>
        <v>No</v>
      </c>
      <c r="Q121" s="353">
        <v>10</v>
      </c>
      <c r="R121" s="360" t="s">
        <v>346</v>
      </c>
      <c r="S121" s="317"/>
      <c r="BF121" s="319">
        <f t="shared" si="81"/>
        <v>0</v>
      </c>
      <c r="BG121" s="355" t="s">
        <v>2467</v>
      </c>
      <c r="BI121" s="319">
        <f t="shared" si="66"/>
        <v>0</v>
      </c>
      <c r="BJ121" s="319">
        <f t="shared" si="84"/>
        <v>0</v>
      </c>
      <c r="BK121" s="319">
        <f t="shared" si="84"/>
        <v>0</v>
      </c>
      <c r="BL121" s="319">
        <f t="shared" si="84"/>
        <v>0</v>
      </c>
      <c r="BM121" s="319">
        <f t="shared" si="84"/>
        <v>0</v>
      </c>
      <c r="BN121" s="319">
        <f t="shared" si="84"/>
        <v>0</v>
      </c>
      <c r="BO121" s="319">
        <f t="shared" si="84"/>
        <v>0</v>
      </c>
      <c r="BP121" s="319">
        <f t="shared" si="84"/>
        <v>0</v>
      </c>
      <c r="BQ121" s="319">
        <f t="shared" si="84"/>
        <v>0</v>
      </c>
      <c r="BR121" s="319">
        <f t="shared" si="84"/>
        <v>0</v>
      </c>
      <c r="BS121" s="319">
        <f t="shared" si="84"/>
        <v>0</v>
      </c>
      <c r="BT121" s="319">
        <f t="shared" si="84"/>
        <v>0</v>
      </c>
      <c r="BU121" s="319">
        <f t="shared" si="84"/>
        <v>0</v>
      </c>
      <c r="BV121" s="319">
        <f t="shared" si="84"/>
        <v>0</v>
      </c>
      <c r="BW121" s="319">
        <f t="shared" si="84"/>
        <v>0</v>
      </c>
      <c r="BX121" s="319">
        <f t="shared" si="84"/>
        <v>0</v>
      </c>
      <c r="BY121" s="319">
        <f t="shared" si="84"/>
        <v>0</v>
      </c>
      <c r="BZ121" s="319">
        <f t="shared" si="84"/>
        <v>0</v>
      </c>
      <c r="CA121" s="319">
        <f t="shared" si="84"/>
        <v>0</v>
      </c>
      <c r="CB121" s="319">
        <f t="shared" si="84"/>
        <v>0</v>
      </c>
      <c r="CC121" s="319">
        <f t="shared" si="84"/>
        <v>0</v>
      </c>
      <c r="CD121" s="319">
        <f t="shared" si="84"/>
        <v>0</v>
      </c>
      <c r="CE121" s="319">
        <f t="shared" si="84"/>
        <v>0</v>
      </c>
      <c r="CF121" s="319">
        <f t="shared" si="84"/>
        <v>0</v>
      </c>
      <c r="CG121" s="319">
        <f t="shared" si="84"/>
        <v>0</v>
      </c>
      <c r="CH121" s="319">
        <f t="shared" si="84"/>
        <v>0</v>
      </c>
      <c r="CI121" s="319">
        <f t="shared" si="84"/>
        <v>0</v>
      </c>
      <c r="CJ121" s="319">
        <f t="shared" si="84"/>
        <v>0</v>
      </c>
      <c r="CK121" s="319">
        <f t="shared" si="84"/>
        <v>0</v>
      </c>
      <c r="CL121" s="319">
        <f t="shared" si="84"/>
        <v>0</v>
      </c>
      <c r="CM121" s="319">
        <f t="shared" si="84"/>
        <v>0</v>
      </c>
      <c r="CN121" s="319">
        <f t="shared" si="84"/>
        <v>0</v>
      </c>
      <c r="CO121" s="319">
        <f t="shared" si="84"/>
        <v>0</v>
      </c>
      <c r="CP121" s="319">
        <f t="shared" si="84"/>
        <v>0</v>
      </c>
      <c r="CQ121" s="319">
        <f t="shared" si="84"/>
        <v>0</v>
      </c>
      <c r="CR121" s="319">
        <f t="shared" si="84"/>
        <v>0</v>
      </c>
      <c r="CS121" s="319">
        <f t="shared" si="84"/>
        <v>0</v>
      </c>
      <c r="CT121" s="319">
        <f t="shared" si="84"/>
        <v>0</v>
      </c>
      <c r="CU121" s="319">
        <f t="shared" si="84"/>
        <v>0</v>
      </c>
      <c r="CV121" s="319">
        <f t="shared" si="84"/>
        <v>0</v>
      </c>
    </row>
    <row r="122" spans="1:100" x14ac:dyDescent="0.25">
      <c r="A122" s="319">
        <f t="shared" si="65"/>
        <v>0</v>
      </c>
      <c r="B122" s="319">
        <f t="shared" si="71"/>
        <v>0</v>
      </c>
      <c r="C122" s="330" t="s">
        <v>1085</v>
      </c>
      <c r="D122" s="331" t="s">
        <v>359</v>
      </c>
      <c r="E122" s="331">
        <v>1</v>
      </c>
      <c r="F122" s="331" t="str">
        <f>IF(E122&lt;CharacterSheet!$V$34,"Yes","No")</f>
        <v>Yes</v>
      </c>
      <c r="G122" s="563" t="s">
        <v>347</v>
      </c>
      <c r="H122" s="333" t="str">
        <f>IF(C122="","",VLOOKUP(C122,Boonref2!A:B,2,FALSE))</f>
        <v>Yes</v>
      </c>
      <c r="I122" s="333"/>
      <c r="J122" s="333" t="str">
        <f>VLOOKUP(C122,BoonRef!A:Z,17,FALSE)</f>
        <v>Yes</v>
      </c>
      <c r="K122" s="333" t="str">
        <f>IF(J122="God",'House Rules'!$B$2,IF(J122="Demi",'House Rules'!$B$1,IF(J122="Comp",'House Rules'!$B$4,IF(J122="Yaz",'House Rules'!$B$5,IF(J122="Rag",'House Rules'!$B$3,"Available")))))</f>
        <v>Available</v>
      </c>
      <c r="L122" s="333"/>
      <c r="M122" s="333"/>
      <c r="BF122" s="319">
        <f t="shared" si="81"/>
        <v>0</v>
      </c>
      <c r="BG122" s="336" t="s">
        <v>2468</v>
      </c>
      <c r="BI122" s="319">
        <f t="shared" si="66"/>
        <v>0</v>
      </c>
      <c r="BJ122" s="319">
        <f t="shared" si="84"/>
        <v>0</v>
      </c>
      <c r="BK122" s="319">
        <f t="shared" si="84"/>
        <v>0</v>
      </c>
      <c r="BL122" s="319">
        <f t="shared" si="84"/>
        <v>0</v>
      </c>
      <c r="BM122" s="319">
        <f t="shared" si="84"/>
        <v>0</v>
      </c>
      <c r="BN122" s="319">
        <f t="shared" si="84"/>
        <v>0</v>
      </c>
      <c r="BO122" s="319">
        <f t="shared" si="84"/>
        <v>0</v>
      </c>
      <c r="BP122" s="319">
        <f t="shared" si="84"/>
        <v>0</v>
      </c>
      <c r="BQ122" s="319">
        <f t="shared" si="84"/>
        <v>0</v>
      </c>
      <c r="BR122" s="319">
        <f t="shared" si="84"/>
        <v>0</v>
      </c>
      <c r="BS122" s="319">
        <f t="shared" si="84"/>
        <v>0</v>
      </c>
      <c r="BT122" s="319">
        <f t="shared" si="84"/>
        <v>0</v>
      </c>
      <c r="BU122" s="319">
        <f t="shared" si="84"/>
        <v>0</v>
      </c>
      <c r="BV122" s="319">
        <f t="shared" si="84"/>
        <v>0</v>
      </c>
      <c r="BW122" s="319">
        <f t="shared" si="84"/>
        <v>0</v>
      </c>
      <c r="BX122" s="319">
        <f t="shared" si="84"/>
        <v>0</v>
      </c>
      <c r="BY122" s="319">
        <f t="shared" si="84"/>
        <v>0</v>
      </c>
      <c r="BZ122" s="319">
        <f t="shared" si="84"/>
        <v>0</v>
      </c>
      <c r="CA122" s="319">
        <f t="shared" si="84"/>
        <v>0</v>
      </c>
      <c r="CB122" s="319">
        <f t="shared" si="84"/>
        <v>0</v>
      </c>
      <c r="CC122" s="319">
        <f t="shared" si="84"/>
        <v>0</v>
      </c>
      <c r="CD122" s="319">
        <f t="shared" si="84"/>
        <v>0</v>
      </c>
      <c r="CE122" s="319">
        <f t="shared" si="84"/>
        <v>0</v>
      </c>
      <c r="CF122" s="319">
        <f t="shared" si="84"/>
        <v>0</v>
      </c>
      <c r="CG122" s="319">
        <f t="shared" si="84"/>
        <v>0</v>
      </c>
      <c r="CH122" s="319">
        <f t="shared" si="84"/>
        <v>0</v>
      </c>
      <c r="CI122" s="319">
        <f t="shared" si="84"/>
        <v>0</v>
      </c>
      <c r="CJ122" s="319">
        <f t="shared" si="84"/>
        <v>0</v>
      </c>
      <c r="CK122" s="319">
        <f t="shared" si="84"/>
        <v>0</v>
      </c>
      <c r="CL122" s="319">
        <f t="shared" si="84"/>
        <v>0</v>
      </c>
      <c r="CM122" s="319">
        <f t="shared" si="84"/>
        <v>0</v>
      </c>
      <c r="CN122" s="319">
        <f t="shared" si="84"/>
        <v>0</v>
      </c>
      <c r="CO122" s="319">
        <f t="shared" si="84"/>
        <v>0</v>
      </c>
      <c r="CP122" s="319">
        <f t="shared" si="84"/>
        <v>0</v>
      </c>
      <c r="CQ122" s="319">
        <f t="shared" si="84"/>
        <v>0</v>
      </c>
      <c r="CR122" s="319">
        <f t="shared" si="84"/>
        <v>0</v>
      </c>
      <c r="CS122" s="319">
        <f t="shared" si="84"/>
        <v>0</v>
      </c>
      <c r="CT122" s="319">
        <f t="shared" si="84"/>
        <v>0</v>
      </c>
      <c r="CU122" s="319">
        <f t="shared" si="84"/>
        <v>0</v>
      </c>
      <c r="CV122" s="319">
        <f t="shared" si="84"/>
        <v>0</v>
      </c>
    </row>
    <row r="123" spans="1:100" x14ac:dyDescent="0.25">
      <c r="A123" s="319">
        <f t="shared" si="65"/>
        <v>0</v>
      </c>
      <c r="B123" s="319">
        <f t="shared" si="71"/>
        <v>0</v>
      </c>
      <c r="C123" s="340" t="s">
        <v>1393</v>
      </c>
      <c r="D123" s="341" t="s">
        <v>359</v>
      </c>
      <c r="E123" s="341">
        <v>1</v>
      </c>
      <c r="F123" s="341" t="str">
        <f>IF(AND(E123&lt;CharacterSheet!$V$34,'House Rules'!$B$4="Available"),"Yes","No")</f>
        <v>Yes</v>
      </c>
      <c r="G123" s="564" t="s">
        <v>347</v>
      </c>
      <c r="H123" s="333" t="str">
        <f>IF(C123="","",VLOOKUP(C123,Boonref2!A:B,2,FALSE))</f>
        <v>Yes</v>
      </c>
      <c r="I123" s="333"/>
      <c r="J123" s="333" t="str">
        <f>VLOOKUP(C123,BoonRef!A:Z,17,FALSE)</f>
        <v>Yes</v>
      </c>
      <c r="K123" s="333" t="str">
        <f>IF(J123="God",'House Rules'!$B$2,IF(J123="Demi",'House Rules'!$B$1,IF(J123="Comp",'House Rules'!$B$4,IF(J123="Yaz",'House Rules'!$B$5,IF(J123="Rag",'House Rules'!$B$3,"Available")))))</f>
        <v>Available</v>
      </c>
      <c r="L123" s="333"/>
      <c r="M123" s="333"/>
      <c r="BF123" s="319">
        <f t="shared" si="81"/>
        <v>0</v>
      </c>
      <c r="BG123" s="345" t="s">
        <v>2469</v>
      </c>
      <c r="BI123" s="319">
        <f t="shared" si="66"/>
        <v>0</v>
      </c>
      <c r="BJ123" s="319">
        <f t="shared" si="84"/>
        <v>0</v>
      </c>
      <c r="BK123" s="319">
        <f t="shared" si="84"/>
        <v>0</v>
      </c>
      <c r="BL123" s="319">
        <f t="shared" si="84"/>
        <v>0</v>
      </c>
      <c r="BM123" s="319">
        <f t="shared" si="84"/>
        <v>0</v>
      </c>
      <c r="BN123" s="319">
        <f t="shared" si="84"/>
        <v>0</v>
      </c>
      <c r="BO123" s="319">
        <f t="shared" si="84"/>
        <v>0</v>
      </c>
      <c r="BP123" s="319">
        <f t="shared" si="84"/>
        <v>0</v>
      </c>
      <c r="BQ123" s="319">
        <f t="shared" si="84"/>
        <v>0</v>
      </c>
      <c r="BR123" s="319">
        <f t="shared" si="84"/>
        <v>0</v>
      </c>
      <c r="BS123" s="319">
        <f t="shared" si="84"/>
        <v>0</v>
      </c>
      <c r="BT123" s="319">
        <f t="shared" si="84"/>
        <v>0</v>
      </c>
      <c r="BU123" s="319">
        <f t="shared" si="84"/>
        <v>0</v>
      </c>
      <c r="BV123" s="319">
        <f t="shared" si="84"/>
        <v>0</v>
      </c>
      <c r="BW123" s="319">
        <f t="shared" si="84"/>
        <v>0</v>
      </c>
      <c r="BX123" s="319">
        <f t="shared" si="84"/>
        <v>0</v>
      </c>
      <c r="BY123" s="319">
        <f t="shared" si="84"/>
        <v>0</v>
      </c>
      <c r="BZ123" s="319">
        <f t="shared" si="84"/>
        <v>0</v>
      </c>
      <c r="CA123" s="319">
        <f t="shared" si="84"/>
        <v>0</v>
      </c>
      <c r="CB123" s="319">
        <f t="shared" si="84"/>
        <v>0</v>
      </c>
      <c r="CC123" s="319">
        <f t="shared" si="84"/>
        <v>0</v>
      </c>
      <c r="CD123" s="319">
        <f t="shared" si="84"/>
        <v>0</v>
      </c>
      <c r="CE123" s="319">
        <f t="shared" si="84"/>
        <v>0</v>
      </c>
      <c r="CF123" s="319">
        <f t="shared" si="84"/>
        <v>0</v>
      </c>
      <c r="CG123" s="319">
        <f t="shared" si="84"/>
        <v>0</v>
      </c>
      <c r="CH123" s="319">
        <f t="shared" si="84"/>
        <v>0</v>
      </c>
      <c r="CI123" s="319">
        <f t="shared" si="84"/>
        <v>0</v>
      </c>
      <c r="CJ123" s="319">
        <f t="shared" si="84"/>
        <v>0</v>
      </c>
      <c r="CK123" s="319">
        <f t="shared" si="84"/>
        <v>0</v>
      </c>
      <c r="CL123" s="319">
        <f t="shared" si="84"/>
        <v>0</v>
      </c>
      <c r="CM123" s="319">
        <f t="shared" si="84"/>
        <v>0</v>
      </c>
      <c r="CN123" s="319">
        <f t="shared" si="84"/>
        <v>0</v>
      </c>
      <c r="CO123" s="319">
        <f t="shared" si="84"/>
        <v>0</v>
      </c>
      <c r="CP123" s="319">
        <f t="shared" si="84"/>
        <v>0</v>
      </c>
      <c r="CQ123" s="319">
        <f t="shared" si="84"/>
        <v>0</v>
      </c>
      <c r="CR123" s="319">
        <f t="shared" si="84"/>
        <v>0</v>
      </c>
      <c r="CS123" s="319">
        <f t="shared" si="84"/>
        <v>0</v>
      </c>
      <c r="CT123" s="319">
        <f t="shared" si="84"/>
        <v>0</v>
      </c>
      <c r="CU123" s="319">
        <f t="shared" si="84"/>
        <v>0</v>
      </c>
      <c r="CV123" s="319">
        <f t="shared" si="84"/>
        <v>0</v>
      </c>
    </row>
    <row r="124" spans="1:100" x14ac:dyDescent="0.25">
      <c r="A124" s="319">
        <f t="shared" si="65"/>
        <v>0</v>
      </c>
      <c r="B124" s="319">
        <f t="shared" si="71"/>
        <v>0</v>
      </c>
      <c r="C124" s="340" t="s">
        <v>1086</v>
      </c>
      <c r="D124" s="341" t="s">
        <v>359</v>
      </c>
      <c r="E124" s="341">
        <v>2</v>
      </c>
      <c r="F124" s="341" t="str">
        <f>IF(AND(E124&lt;CharacterSheet!$V$34,OR('House Rules'!$B$7="Standard",AND('House Rules'!$B$7="Ranked",OR(G123="Yes",G122="Yes")))),"Yes","No")</f>
        <v>No</v>
      </c>
      <c r="G124" s="564" t="s">
        <v>347</v>
      </c>
      <c r="H124" s="333" t="str">
        <f>IF(C124="","",VLOOKUP(C124,Boonref2!A:B,2,FALSE))</f>
        <v>Yes</v>
      </c>
      <c r="I124" s="333"/>
      <c r="J124" s="333" t="str">
        <f>VLOOKUP(C124,BoonRef!A:Z,17,FALSE)</f>
        <v>Yes</v>
      </c>
      <c r="K124" s="333" t="str">
        <f>IF(J124="God",'House Rules'!$B$2,IF(J124="Demi",'House Rules'!$B$1,IF(J124="Comp",'House Rules'!$B$4,IF(J124="Yaz",'House Rules'!$B$5,IF(J124="Rag",'House Rules'!$B$3,"Available")))))</f>
        <v>Available</v>
      </c>
      <c r="L124" s="333"/>
      <c r="M124" s="333"/>
      <c r="BF124" s="319">
        <f t="shared" si="81"/>
        <v>0</v>
      </c>
      <c r="BG124" s="345" t="s">
        <v>2470</v>
      </c>
      <c r="BI124" s="319">
        <f t="shared" si="66"/>
        <v>0</v>
      </c>
      <c r="BJ124" s="319">
        <f t="shared" si="84"/>
        <v>0</v>
      </c>
      <c r="BK124" s="319">
        <f t="shared" si="84"/>
        <v>0</v>
      </c>
      <c r="BL124" s="319">
        <f t="shared" si="84"/>
        <v>0</v>
      </c>
      <c r="BM124" s="319">
        <f t="shared" si="84"/>
        <v>0</v>
      </c>
      <c r="BN124" s="319">
        <f t="shared" si="84"/>
        <v>0</v>
      </c>
      <c r="BO124" s="319">
        <f t="shared" si="84"/>
        <v>0</v>
      </c>
      <c r="BP124" s="319">
        <f t="shared" si="84"/>
        <v>0</v>
      </c>
      <c r="BQ124" s="319">
        <f t="shared" si="84"/>
        <v>0</v>
      </c>
      <c r="BR124" s="319">
        <f t="shared" si="84"/>
        <v>0</v>
      </c>
      <c r="BS124" s="319">
        <f t="shared" si="84"/>
        <v>0</v>
      </c>
      <c r="BT124" s="319">
        <f t="shared" si="84"/>
        <v>0</v>
      </c>
      <c r="BU124" s="319">
        <f t="shared" si="84"/>
        <v>0</v>
      </c>
      <c r="BV124" s="319">
        <f t="shared" si="84"/>
        <v>0</v>
      </c>
      <c r="BW124" s="319">
        <f t="shared" si="84"/>
        <v>0</v>
      </c>
      <c r="BX124" s="319">
        <f t="shared" si="84"/>
        <v>0</v>
      </c>
      <c r="BY124" s="319">
        <f t="shared" si="84"/>
        <v>0</v>
      </c>
      <c r="BZ124" s="319">
        <f t="shared" si="84"/>
        <v>0</v>
      </c>
      <c r="CA124" s="319">
        <f t="shared" si="84"/>
        <v>0</v>
      </c>
      <c r="CB124" s="319">
        <f t="shared" si="84"/>
        <v>0</v>
      </c>
      <c r="CC124" s="319">
        <f t="shared" si="84"/>
        <v>0</v>
      </c>
      <c r="CD124" s="319">
        <f t="shared" si="84"/>
        <v>0</v>
      </c>
      <c r="CE124" s="319">
        <f t="shared" si="84"/>
        <v>0</v>
      </c>
      <c r="CF124" s="319">
        <f t="shared" si="84"/>
        <v>0</v>
      </c>
      <c r="CG124" s="319">
        <f t="shared" si="84"/>
        <v>0</v>
      </c>
      <c r="CH124" s="319">
        <f t="shared" si="84"/>
        <v>0</v>
      </c>
      <c r="CI124" s="319">
        <f t="shared" si="84"/>
        <v>0</v>
      </c>
      <c r="CJ124" s="319">
        <f t="shared" si="84"/>
        <v>0</v>
      </c>
      <c r="CK124" s="319">
        <f t="shared" si="84"/>
        <v>0</v>
      </c>
      <c r="CL124" s="319">
        <f t="shared" si="84"/>
        <v>0</v>
      </c>
      <c r="CM124" s="319">
        <f t="shared" si="84"/>
        <v>0</v>
      </c>
      <c r="CN124" s="319">
        <f t="shared" si="84"/>
        <v>0</v>
      </c>
      <c r="CO124" s="319">
        <f t="shared" si="84"/>
        <v>0</v>
      </c>
      <c r="CP124" s="319">
        <f t="shared" si="84"/>
        <v>0</v>
      </c>
      <c r="CQ124" s="319">
        <f t="shared" si="84"/>
        <v>0</v>
      </c>
      <c r="CR124" s="319">
        <f t="shared" si="84"/>
        <v>0</v>
      </c>
      <c r="CS124" s="319">
        <f t="shared" si="84"/>
        <v>0</v>
      </c>
      <c r="CT124" s="319">
        <f t="shared" si="84"/>
        <v>0</v>
      </c>
      <c r="CU124" s="319">
        <f t="shared" si="84"/>
        <v>0</v>
      </c>
      <c r="CV124" s="319">
        <f t="shared" si="84"/>
        <v>0</v>
      </c>
    </row>
    <row r="125" spans="1:100" x14ac:dyDescent="0.25">
      <c r="A125" s="319">
        <f t="shared" si="65"/>
        <v>0</v>
      </c>
      <c r="B125" s="319">
        <f t="shared" si="71"/>
        <v>0</v>
      </c>
      <c r="C125" s="340" t="s">
        <v>1087</v>
      </c>
      <c r="D125" s="341" t="s">
        <v>359</v>
      </c>
      <c r="E125" s="341">
        <v>3</v>
      </c>
      <c r="F125" s="341" t="str">
        <f>IF(AND(E125&lt;CharacterSheet!$V$34,OR('House Rules'!$B$7="Standard",AND('House Rules'!$B$7="Ranked",G124="Yes"))),"Yes","No")</f>
        <v>No</v>
      </c>
      <c r="G125" s="564" t="s">
        <v>347</v>
      </c>
      <c r="H125" s="333" t="str">
        <f>IF(C125="","",VLOOKUP(C125,Boonref2!A:B,2,FALSE))</f>
        <v>Yes</v>
      </c>
      <c r="I125" s="333"/>
      <c r="J125" s="333" t="str">
        <f>VLOOKUP(C125,BoonRef!A:Z,17,FALSE)</f>
        <v>Yes</v>
      </c>
      <c r="K125" s="333" t="str">
        <f>IF(J125="God",'House Rules'!$B$2,IF(J125="Demi",'House Rules'!$B$1,IF(J125="Comp",'House Rules'!$B$4,IF(J125="Yaz",'House Rules'!$B$5,IF(J125="Rag",'House Rules'!$B$3,"Available")))))</f>
        <v>Available</v>
      </c>
      <c r="L125" s="333"/>
      <c r="M125" s="333"/>
      <c r="BF125" s="319">
        <f t="shared" si="81"/>
        <v>0</v>
      </c>
      <c r="BG125" s="345" t="s">
        <v>2471</v>
      </c>
      <c r="BI125" s="319">
        <f t="shared" si="66"/>
        <v>0</v>
      </c>
      <c r="BJ125" s="319">
        <f t="shared" si="84"/>
        <v>0</v>
      </c>
      <c r="BK125" s="319">
        <f t="shared" si="84"/>
        <v>0</v>
      </c>
      <c r="BL125" s="319">
        <f t="shared" si="84"/>
        <v>0</v>
      </c>
      <c r="BM125" s="319">
        <f t="shared" si="84"/>
        <v>0</v>
      </c>
      <c r="BN125" s="319">
        <f t="shared" si="84"/>
        <v>0</v>
      </c>
      <c r="BO125" s="319">
        <f t="shared" si="84"/>
        <v>0</v>
      </c>
      <c r="BP125" s="319">
        <f t="shared" si="84"/>
        <v>0</v>
      </c>
      <c r="BQ125" s="319">
        <f t="shared" si="84"/>
        <v>0</v>
      </c>
      <c r="BR125" s="319">
        <f t="shared" si="84"/>
        <v>0</v>
      </c>
      <c r="BS125" s="319">
        <f t="shared" si="84"/>
        <v>0</v>
      </c>
      <c r="BT125" s="319">
        <f t="shared" si="84"/>
        <v>0</v>
      </c>
      <c r="BU125" s="319">
        <f t="shared" si="84"/>
        <v>0</v>
      </c>
      <c r="BV125" s="319">
        <f t="shared" si="84"/>
        <v>0</v>
      </c>
      <c r="BW125" s="319">
        <f t="shared" si="84"/>
        <v>0</v>
      </c>
      <c r="BX125" s="319">
        <f t="shared" si="84"/>
        <v>0</v>
      </c>
      <c r="BY125" s="319">
        <f t="shared" si="84"/>
        <v>0</v>
      </c>
      <c r="BZ125" s="319">
        <f t="shared" si="84"/>
        <v>0</v>
      </c>
      <c r="CA125" s="319">
        <f t="shared" si="84"/>
        <v>0</v>
      </c>
      <c r="CB125" s="319">
        <f t="shared" si="84"/>
        <v>0</v>
      </c>
      <c r="CC125" s="319">
        <f t="shared" si="84"/>
        <v>0</v>
      </c>
      <c r="CD125" s="319">
        <f t="shared" si="84"/>
        <v>0</v>
      </c>
      <c r="CE125" s="319">
        <f t="shared" si="84"/>
        <v>0</v>
      </c>
      <c r="CF125" s="319">
        <f t="shared" si="84"/>
        <v>0</v>
      </c>
      <c r="CG125" s="319">
        <f t="shared" si="84"/>
        <v>0</v>
      </c>
      <c r="CH125" s="319">
        <f t="shared" si="84"/>
        <v>0</v>
      </c>
      <c r="CI125" s="319">
        <f t="shared" si="84"/>
        <v>0</v>
      </c>
      <c r="CJ125" s="319">
        <f t="shared" si="84"/>
        <v>0</v>
      </c>
      <c r="CK125" s="319">
        <f t="shared" si="84"/>
        <v>0</v>
      </c>
      <c r="CL125" s="319">
        <f t="shared" si="84"/>
        <v>0</v>
      </c>
      <c r="CM125" s="319">
        <f t="shared" si="84"/>
        <v>0</v>
      </c>
      <c r="CN125" s="319">
        <f t="shared" si="84"/>
        <v>0</v>
      </c>
      <c r="CO125" s="319">
        <f t="shared" si="84"/>
        <v>0</v>
      </c>
      <c r="CP125" s="319">
        <f t="shared" si="84"/>
        <v>0</v>
      </c>
      <c r="CQ125" s="319">
        <f t="shared" si="84"/>
        <v>0</v>
      </c>
      <c r="CR125" s="319">
        <f t="shared" si="84"/>
        <v>0</v>
      </c>
      <c r="CS125" s="319">
        <f t="shared" si="84"/>
        <v>0</v>
      </c>
      <c r="CT125" s="319">
        <f t="shared" si="84"/>
        <v>0</v>
      </c>
      <c r="CU125" s="319">
        <f t="shared" si="84"/>
        <v>0</v>
      </c>
      <c r="CV125" s="319">
        <f t="shared" si="84"/>
        <v>0</v>
      </c>
    </row>
    <row r="126" spans="1:100" x14ac:dyDescent="0.25">
      <c r="A126" s="319">
        <f t="shared" si="65"/>
        <v>0</v>
      </c>
      <c r="B126" s="319">
        <f t="shared" si="71"/>
        <v>0</v>
      </c>
      <c r="C126" s="340" t="s">
        <v>1171</v>
      </c>
      <c r="D126" s="341" t="s">
        <v>359</v>
      </c>
      <c r="E126" s="341">
        <v>4</v>
      </c>
      <c r="F126" s="341" t="str">
        <f>IF(AND(E126&lt;CharacterSheet!$V$34,'House Rules'!$B$1="Available",OR('House Rules'!$B$7="Standard",AND('House Rules'!$B$7="Ranked",G125="Yes"))),"Yes","No")</f>
        <v>No</v>
      </c>
      <c r="G126" s="564" t="s">
        <v>347</v>
      </c>
      <c r="H126" s="333" t="str">
        <f>IF(C126="","",VLOOKUP(C126,Boonref2!A:B,2,FALSE))</f>
        <v>Yes</v>
      </c>
      <c r="I126" s="333"/>
      <c r="J126" s="333" t="str">
        <f>VLOOKUP(C126,BoonRef!A:Z,17,FALSE)</f>
        <v>Yes</v>
      </c>
      <c r="K126" s="333" t="str">
        <f>IF(J126="God",'House Rules'!$B$2,IF(J126="Demi",'House Rules'!$B$1,IF(J126="Comp",'House Rules'!$B$4,IF(J126="Yaz",'House Rules'!$B$5,IF(J126="Rag",'House Rules'!$B$3,"Available")))))</f>
        <v>Available</v>
      </c>
      <c r="L126" s="333"/>
      <c r="M126" s="333"/>
      <c r="BF126" s="319">
        <f t="shared" si="81"/>
        <v>0</v>
      </c>
      <c r="BG126" s="345" t="s">
        <v>2472</v>
      </c>
      <c r="BI126" s="319">
        <f t="shared" si="66"/>
        <v>0</v>
      </c>
      <c r="BJ126" s="319">
        <f t="shared" si="84"/>
        <v>0</v>
      </c>
      <c r="BK126" s="319">
        <f t="shared" si="84"/>
        <v>0</v>
      </c>
      <c r="BL126" s="319">
        <f t="shared" si="84"/>
        <v>0</v>
      </c>
      <c r="BM126" s="319">
        <f t="shared" si="84"/>
        <v>0</v>
      </c>
      <c r="BN126" s="319">
        <f t="shared" si="84"/>
        <v>0</v>
      </c>
      <c r="BO126" s="319">
        <f t="shared" si="84"/>
        <v>0</v>
      </c>
      <c r="BP126" s="319">
        <f t="shared" si="84"/>
        <v>0</v>
      </c>
      <c r="BQ126" s="319">
        <f t="shared" si="84"/>
        <v>0</v>
      </c>
      <c r="BR126" s="319">
        <f t="shared" si="84"/>
        <v>0</v>
      </c>
      <c r="BS126" s="319">
        <f t="shared" si="84"/>
        <v>0</v>
      </c>
      <c r="BT126" s="319">
        <f t="shared" si="84"/>
        <v>0</v>
      </c>
      <c r="BU126" s="319">
        <f t="shared" si="84"/>
        <v>0</v>
      </c>
      <c r="BV126" s="319">
        <f t="shared" si="84"/>
        <v>0</v>
      </c>
      <c r="BW126" s="319">
        <f t="shared" si="84"/>
        <v>0</v>
      </c>
      <c r="BX126" s="319">
        <f t="shared" si="84"/>
        <v>0</v>
      </c>
      <c r="BY126" s="319">
        <f t="shared" si="84"/>
        <v>0</v>
      </c>
      <c r="BZ126" s="319">
        <f t="shared" si="84"/>
        <v>0</v>
      </c>
      <c r="CA126" s="319">
        <f t="shared" si="84"/>
        <v>0</v>
      </c>
      <c r="CB126" s="319">
        <f t="shared" si="84"/>
        <v>0</v>
      </c>
      <c r="CC126" s="319">
        <f t="shared" si="84"/>
        <v>0</v>
      </c>
      <c r="CD126" s="319">
        <f t="shared" si="84"/>
        <v>0</v>
      </c>
      <c r="CE126" s="319">
        <f t="shared" si="84"/>
        <v>0</v>
      </c>
      <c r="CF126" s="319">
        <f t="shared" si="84"/>
        <v>0</v>
      </c>
      <c r="CG126" s="319">
        <f t="shared" si="84"/>
        <v>0</v>
      </c>
      <c r="CH126" s="319">
        <f t="shared" si="84"/>
        <v>0</v>
      </c>
      <c r="CI126" s="319">
        <f t="shared" si="84"/>
        <v>0</v>
      </c>
      <c r="CJ126" s="319">
        <f t="shared" si="84"/>
        <v>0</v>
      </c>
      <c r="CK126" s="319">
        <f t="shared" si="84"/>
        <v>0</v>
      </c>
      <c r="CL126" s="319">
        <f t="shared" si="84"/>
        <v>0</v>
      </c>
      <c r="CM126" s="319">
        <f t="shared" si="84"/>
        <v>0</v>
      </c>
      <c r="CN126" s="319">
        <f t="shared" si="84"/>
        <v>0</v>
      </c>
      <c r="CO126" s="319">
        <f t="shared" si="84"/>
        <v>0</v>
      </c>
      <c r="CP126" s="319">
        <f t="shared" si="84"/>
        <v>0</v>
      </c>
      <c r="CQ126" s="319">
        <f t="shared" si="84"/>
        <v>0</v>
      </c>
      <c r="CR126" s="319">
        <f t="shared" si="84"/>
        <v>0</v>
      </c>
      <c r="CS126" s="319">
        <f t="shared" si="84"/>
        <v>0</v>
      </c>
      <c r="CT126" s="319">
        <f t="shared" si="84"/>
        <v>0</v>
      </c>
      <c r="CU126" s="319">
        <f t="shared" si="84"/>
        <v>0</v>
      </c>
      <c r="CV126" s="319">
        <f t="shared" si="84"/>
        <v>0</v>
      </c>
    </row>
    <row r="127" spans="1:100" x14ac:dyDescent="0.25">
      <c r="A127" s="319">
        <f t="shared" si="65"/>
        <v>0</v>
      </c>
      <c r="B127" s="319">
        <f t="shared" si="71"/>
        <v>0</v>
      </c>
      <c r="C127" s="340" t="s">
        <v>1172</v>
      </c>
      <c r="D127" s="341" t="s">
        <v>359</v>
      </c>
      <c r="E127" s="341">
        <v>5</v>
      </c>
      <c r="F127" s="341" t="str">
        <f>IF(AND(E127&lt;CharacterSheet!$V$34,'House Rules'!$B$1="Available",OR('House Rules'!$B$7="Standard",AND('House Rules'!$B$7="Ranked",G126="Yes"))),"Yes","No")</f>
        <v>No</v>
      </c>
      <c r="G127" s="564" t="s">
        <v>347</v>
      </c>
      <c r="H127" s="333" t="str">
        <f>IF(C127="","",VLOOKUP(C127,Boonref2!A:B,2,FALSE))</f>
        <v>No</v>
      </c>
      <c r="I127" s="333"/>
      <c r="J127" s="333" t="str">
        <f>VLOOKUP(C127,BoonRef!A:Z,17,FALSE)</f>
        <v>Yes</v>
      </c>
      <c r="K127" s="333" t="str">
        <f>IF(J127="God",'House Rules'!$B$2,IF(J127="Demi",'House Rules'!$B$1,IF(J127="Comp",'House Rules'!$B$4,IF(J127="Yaz",'House Rules'!$B$5,IF(J127="Rag",'House Rules'!$B$3,"Available")))))</f>
        <v>Available</v>
      </c>
      <c r="L127" s="333"/>
      <c r="M127" s="333"/>
      <c r="BF127" s="319">
        <f t="shared" si="81"/>
        <v>0</v>
      </c>
      <c r="BG127" s="345" t="s">
        <v>2473</v>
      </c>
      <c r="BI127" s="319">
        <f t="shared" si="66"/>
        <v>0</v>
      </c>
      <c r="BJ127" s="319">
        <f t="shared" ref="BJ127:CV133" si="85">IF(AND($D127=BJ$1,$G127="Yes"),$E127,0)</f>
        <v>0</v>
      </c>
      <c r="BK127" s="319">
        <f t="shared" si="85"/>
        <v>0</v>
      </c>
      <c r="BL127" s="319">
        <f t="shared" si="85"/>
        <v>0</v>
      </c>
      <c r="BM127" s="319">
        <f t="shared" si="85"/>
        <v>0</v>
      </c>
      <c r="BN127" s="319">
        <f t="shared" si="85"/>
        <v>0</v>
      </c>
      <c r="BO127" s="319">
        <f t="shared" si="85"/>
        <v>0</v>
      </c>
      <c r="BP127" s="319">
        <f t="shared" si="85"/>
        <v>0</v>
      </c>
      <c r="BQ127" s="319">
        <f t="shared" si="85"/>
        <v>0</v>
      </c>
      <c r="BR127" s="319">
        <f t="shared" si="85"/>
        <v>0</v>
      </c>
      <c r="BS127" s="319">
        <f t="shared" si="85"/>
        <v>0</v>
      </c>
      <c r="BT127" s="319">
        <f t="shared" si="85"/>
        <v>0</v>
      </c>
      <c r="BU127" s="319">
        <f t="shared" si="85"/>
        <v>0</v>
      </c>
      <c r="BV127" s="319">
        <f t="shared" si="85"/>
        <v>0</v>
      </c>
      <c r="BW127" s="319">
        <f t="shared" si="85"/>
        <v>0</v>
      </c>
      <c r="BX127" s="319">
        <f t="shared" si="85"/>
        <v>0</v>
      </c>
      <c r="BY127" s="319">
        <f t="shared" si="85"/>
        <v>0</v>
      </c>
      <c r="BZ127" s="319">
        <f t="shared" si="85"/>
        <v>0</v>
      </c>
      <c r="CA127" s="319">
        <f t="shared" si="85"/>
        <v>0</v>
      </c>
      <c r="CB127" s="319">
        <f t="shared" si="85"/>
        <v>0</v>
      </c>
      <c r="CC127" s="319">
        <f t="shared" si="85"/>
        <v>0</v>
      </c>
      <c r="CD127" s="319">
        <f t="shared" si="85"/>
        <v>0</v>
      </c>
      <c r="CE127" s="319">
        <f t="shared" si="85"/>
        <v>0</v>
      </c>
      <c r="CF127" s="319">
        <f t="shared" si="85"/>
        <v>0</v>
      </c>
      <c r="CG127" s="319">
        <f t="shared" si="85"/>
        <v>0</v>
      </c>
      <c r="CH127" s="319">
        <f t="shared" si="85"/>
        <v>0</v>
      </c>
      <c r="CI127" s="319">
        <f t="shared" si="85"/>
        <v>0</v>
      </c>
      <c r="CJ127" s="319">
        <f t="shared" si="85"/>
        <v>0</v>
      </c>
      <c r="CK127" s="319">
        <f t="shared" si="85"/>
        <v>0</v>
      </c>
      <c r="CL127" s="319">
        <f t="shared" si="85"/>
        <v>0</v>
      </c>
      <c r="CM127" s="319">
        <f t="shared" si="85"/>
        <v>0</v>
      </c>
      <c r="CN127" s="319">
        <f t="shared" si="85"/>
        <v>0</v>
      </c>
      <c r="CO127" s="319">
        <f t="shared" si="85"/>
        <v>0</v>
      </c>
      <c r="CP127" s="319">
        <f t="shared" si="85"/>
        <v>0</v>
      </c>
      <c r="CQ127" s="319">
        <f t="shared" si="85"/>
        <v>0</v>
      </c>
      <c r="CR127" s="319">
        <f t="shared" si="85"/>
        <v>0</v>
      </c>
      <c r="CS127" s="319">
        <f t="shared" si="85"/>
        <v>0</v>
      </c>
      <c r="CT127" s="319">
        <f t="shared" si="85"/>
        <v>0</v>
      </c>
      <c r="CU127" s="319">
        <f t="shared" si="85"/>
        <v>0</v>
      </c>
      <c r="CV127" s="319">
        <f t="shared" si="85"/>
        <v>0</v>
      </c>
    </row>
    <row r="128" spans="1:100" x14ac:dyDescent="0.25">
      <c r="A128" s="319">
        <f t="shared" si="65"/>
        <v>0</v>
      </c>
      <c r="B128" s="319">
        <f t="shared" si="71"/>
        <v>0</v>
      </c>
      <c r="C128" s="340" t="s">
        <v>1498</v>
      </c>
      <c r="D128" s="341" t="s">
        <v>359</v>
      </c>
      <c r="E128" s="341">
        <v>5</v>
      </c>
      <c r="F128" s="341" t="str">
        <f>IF(AND(E128&lt;CharacterSheet!$V$34,'House Rules'!$B$3="Available",OR('House Rules'!$B$7="Standard",AND('House Rules'!$B$7="Ranked",G126="Yes"))),"Yes","No")</f>
        <v>No</v>
      </c>
      <c r="G128" s="564" t="s">
        <v>347</v>
      </c>
      <c r="H128" s="333" t="str">
        <f>IF(C128="","",VLOOKUP(C128,Boonref2!A:B,2,FALSE))</f>
        <v>Yes</v>
      </c>
      <c r="I128" s="333"/>
      <c r="J128" s="333" t="str">
        <f>VLOOKUP(C128,BoonRef!A:Z,17,FALSE)</f>
        <v>Yes</v>
      </c>
      <c r="K128" s="333" t="str">
        <f>IF(J128="God",'House Rules'!$B$2,IF(J128="Demi",'House Rules'!$B$1,IF(J128="Comp",'House Rules'!$B$4,IF(J128="Yaz",'House Rules'!$B$5,IF(J128="Rag",'House Rules'!$B$3,"Available")))))</f>
        <v>Available</v>
      </c>
      <c r="L128" s="333"/>
      <c r="M128" s="333"/>
      <c r="BF128" s="319">
        <f t="shared" si="81"/>
        <v>0</v>
      </c>
      <c r="BG128" s="345" t="s">
        <v>2474</v>
      </c>
      <c r="BI128" s="319">
        <f t="shared" si="66"/>
        <v>0</v>
      </c>
      <c r="BJ128" s="319">
        <f t="shared" si="85"/>
        <v>0</v>
      </c>
      <c r="BK128" s="319">
        <f t="shared" si="85"/>
        <v>0</v>
      </c>
      <c r="BL128" s="319">
        <f t="shared" si="85"/>
        <v>0</v>
      </c>
      <c r="BM128" s="319">
        <f t="shared" si="85"/>
        <v>0</v>
      </c>
      <c r="BN128" s="319">
        <f t="shared" si="85"/>
        <v>0</v>
      </c>
      <c r="BO128" s="319">
        <f t="shared" si="85"/>
        <v>0</v>
      </c>
      <c r="BP128" s="319">
        <f t="shared" si="85"/>
        <v>0</v>
      </c>
      <c r="BQ128" s="319">
        <f t="shared" si="85"/>
        <v>0</v>
      </c>
      <c r="BR128" s="319">
        <f t="shared" si="85"/>
        <v>0</v>
      </c>
      <c r="BS128" s="319">
        <f t="shared" si="85"/>
        <v>0</v>
      </c>
      <c r="BT128" s="319">
        <f t="shared" si="85"/>
        <v>0</v>
      </c>
      <c r="BU128" s="319">
        <f t="shared" si="85"/>
        <v>0</v>
      </c>
      <c r="BV128" s="319">
        <f t="shared" si="85"/>
        <v>0</v>
      </c>
      <c r="BW128" s="319">
        <f t="shared" si="85"/>
        <v>0</v>
      </c>
      <c r="BX128" s="319">
        <f t="shared" si="85"/>
        <v>0</v>
      </c>
      <c r="BY128" s="319">
        <f t="shared" si="85"/>
        <v>0</v>
      </c>
      <c r="BZ128" s="319">
        <f t="shared" si="85"/>
        <v>0</v>
      </c>
      <c r="CA128" s="319">
        <f t="shared" si="85"/>
        <v>0</v>
      </c>
      <c r="CB128" s="319">
        <f t="shared" si="85"/>
        <v>0</v>
      </c>
      <c r="CC128" s="319">
        <f t="shared" si="85"/>
        <v>0</v>
      </c>
      <c r="CD128" s="319">
        <f t="shared" si="85"/>
        <v>0</v>
      </c>
      <c r="CE128" s="319">
        <f t="shared" si="85"/>
        <v>0</v>
      </c>
      <c r="CF128" s="319">
        <f t="shared" si="85"/>
        <v>0</v>
      </c>
      <c r="CG128" s="319">
        <f t="shared" si="85"/>
        <v>0</v>
      </c>
      <c r="CH128" s="319">
        <f t="shared" si="85"/>
        <v>0</v>
      </c>
      <c r="CI128" s="319">
        <f t="shared" si="85"/>
        <v>0</v>
      </c>
      <c r="CJ128" s="319">
        <f t="shared" si="85"/>
        <v>0</v>
      </c>
      <c r="CK128" s="319">
        <f t="shared" si="85"/>
        <v>0</v>
      </c>
      <c r="CL128" s="319">
        <f t="shared" si="85"/>
        <v>0</v>
      </c>
      <c r="CM128" s="319">
        <f t="shared" si="85"/>
        <v>0</v>
      </c>
      <c r="CN128" s="319">
        <f t="shared" si="85"/>
        <v>0</v>
      </c>
      <c r="CO128" s="319">
        <f t="shared" si="85"/>
        <v>0</v>
      </c>
      <c r="CP128" s="319">
        <f t="shared" si="85"/>
        <v>0</v>
      </c>
      <c r="CQ128" s="319">
        <f t="shared" si="85"/>
        <v>0</v>
      </c>
      <c r="CR128" s="319">
        <f t="shared" si="85"/>
        <v>0</v>
      </c>
      <c r="CS128" s="319">
        <f t="shared" si="85"/>
        <v>0</v>
      </c>
      <c r="CT128" s="319">
        <f t="shared" si="85"/>
        <v>0</v>
      </c>
      <c r="CU128" s="319">
        <f t="shared" si="85"/>
        <v>0</v>
      </c>
      <c r="CV128" s="319">
        <f t="shared" si="85"/>
        <v>0</v>
      </c>
    </row>
    <row r="129" spans="1:100" x14ac:dyDescent="0.25">
      <c r="A129" s="319">
        <f t="shared" si="65"/>
        <v>0</v>
      </c>
      <c r="B129" s="319">
        <f t="shared" si="71"/>
        <v>0</v>
      </c>
      <c r="C129" s="340" t="s">
        <v>1173</v>
      </c>
      <c r="D129" s="341" t="s">
        <v>359</v>
      </c>
      <c r="E129" s="341">
        <v>6</v>
      </c>
      <c r="F129" s="341" t="str">
        <f>IF(AND(E129&lt;CharacterSheet!$V$34,'House Rules'!$B$1="Available",OR('House Rules'!$B$7="Standard",AND('House Rules'!$B$7="Ranked",OR(G128="Yes",G127="Yes")))),"Yes","No")</f>
        <v>No</v>
      </c>
      <c r="G129" s="564" t="s">
        <v>347</v>
      </c>
      <c r="H129" s="333" t="str">
        <f>IF(C129="","",VLOOKUP(C129,Boonref2!A:B,2,FALSE))</f>
        <v>No</v>
      </c>
      <c r="I129" s="333"/>
      <c r="J129" s="333" t="str">
        <f>VLOOKUP(C129,BoonRef!A:Z,17,FALSE)</f>
        <v>Yes</v>
      </c>
      <c r="K129" s="333" t="str">
        <f>IF(J129="God",'House Rules'!$B$2,IF(J129="Demi",'House Rules'!$B$1,IF(J129="Comp",'House Rules'!$B$4,IF(J129="Yaz",'House Rules'!$B$5,IF(J129="Rag",'House Rules'!$B$3,"Available")))))</f>
        <v>Available</v>
      </c>
      <c r="L129" s="333"/>
      <c r="M129" s="333"/>
      <c r="BF129" s="319">
        <f t="shared" si="81"/>
        <v>0</v>
      </c>
      <c r="BG129" s="345" t="s">
        <v>2475</v>
      </c>
      <c r="BI129" s="319">
        <f t="shared" si="66"/>
        <v>0</v>
      </c>
      <c r="BJ129" s="319">
        <f t="shared" si="85"/>
        <v>0</v>
      </c>
      <c r="BK129" s="319">
        <f t="shared" si="85"/>
        <v>0</v>
      </c>
      <c r="BL129" s="319">
        <f t="shared" si="85"/>
        <v>0</v>
      </c>
      <c r="BM129" s="319">
        <f t="shared" si="85"/>
        <v>0</v>
      </c>
      <c r="BN129" s="319">
        <f t="shared" si="85"/>
        <v>0</v>
      </c>
      <c r="BO129" s="319">
        <f t="shared" si="85"/>
        <v>0</v>
      </c>
      <c r="BP129" s="319">
        <f t="shared" si="85"/>
        <v>0</v>
      </c>
      <c r="BQ129" s="319">
        <f t="shared" si="85"/>
        <v>0</v>
      </c>
      <c r="BR129" s="319">
        <f t="shared" si="85"/>
        <v>0</v>
      </c>
      <c r="BS129" s="319">
        <f t="shared" si="85"/>
        <v>0</v>
      </c>
      <c r="BT129" s="319">
        <f t="shared" si="85"/>
        <v>0</v>
      </c>
      <c r="BU129" s="319">
        <f t="shared" si="85"/>
        <v>0</v>
      </c>
      <c r="BV129" s="319">
        <f t="shared" si="85"/>
        <v>0</v>
      </c>
      <c r="BW129" s="319">
        <f t="shared" si="85"/>
        <v>0</v>
      </c>
      <c r="BX129" s="319">
        <f t="shared" si="85"/>
        <v>0</v>
      </c>
      <c r="BY129" s="319">
        <f t="shared" si="85"/>
        <v>0</v>
      </c>
      <c r="BZ129" s="319">
        <f t="shared" si="85"/>
        <v>0</v>
      </c>
      <c r="CA129" s="319">
        <f t="shared" si="85"/>
        <v>0</v>
      </c>
      <c r="CB129" s="319">
        <f t="shared" si="85"/>
        <v>0</v>
      </c>
      <c r="CC129" s="319">
        <f t="shared" si="85"/>
        <v>0</v>
      </c>
      <c r="CD129" s="319">
        <f t="shared" si="85"/>
        <v>0</v>
      </c>
      <c r="CE129" s="319">
        <f t="shared" si="85"/>
        <v>0</v>
      </c>
      <c r="CF129" s="319">
        <f t="shared" si="85"/>
        <v>0</v>
      </c>
      <c r="CG129" s="319">
        <f t="shared" si="85"/>
        <v>0</v>
      </c>
      <c r="CH129" s="319">
        <f t="shared" si="85"/>
        <v>0</v>
      </c>
      <c r="CI129" s="319">
        <f t="shared" si="85"/>
        <v>0</v>
      </c>
      <c r="CJ129" s="319">
        <f t="shared" si="85"/>
        <v>0</v>
      </c>
      <c r="CK129" s="319">
        <f t="shared" si="85"/>
        <v>0</v>
      </c>
      <c r="CL129" s="319">
        <f t="shared" si="85"/>
        <v>0</v>
      </c>
      <c r="CM129" s="319">
        <f t="shared" si="85"/>
        <v>0</v>
      </c>
      <c r="CN129" s="319">
        <f t="shared" si="85"/>
        <v>0</v>
      </c>
      <c r="CO129" s="319">
        <f t="shared" si="85"/>
        <v>0</v>
      </c>
      <c r="CP129" s="319">
        <f t="shared" si="85"/>
        <v>0</v>
      </c>
      <c r="CQ129" s="319">
        <f t="shared" si="85"/>
        <v>0</v>
      </c>
      <c r="CR129" s="319">
        <f t="shared" si="85"/>
        <v>0</v>
      </c>
      <c r="CS129" s="319">
        <f t="shared" si="85"/>
        <v>0</v>
      </c>
      <c r="CT129" s="319">
        <f t="shared" si="85"/>
        <v>0</v>
      </c>
      <c r="CU129" s="319">
        <f t="shared" si="85"/>
        <v>0</v>
      </c>
      <c r="CV129" s="319">
        <f t="shared" si="85"/>
        <v>0</v>
      </c>
    </row>
    <row r="130" spans="1:100" x14ac:dyDescent="0.25">
      <c r="A130" s="319">
        <f t="shared" si="65"/>
        <v>0</v>
      </c>
      <c r="B130" s="319">
        <f t="shared" si="71"/>
        <v>0</v>
      </c>
      <c r="C130" s="340" t="s">
        <v>1394</v>
      </c>
      <c r="D130" s="341" t="s">
        <v>359</v>
      </c>
      <c r="E130" s="341">
        <v>6</v>
      </c>
      <c r="F130" s="341" t="str">
        <f>IF(AND(E130&lt;CharacterSheet!$V$34,'House Rules'!$B$4="Available",OR('House Rules'!$B$7="Standard",AND('House Rules'!$B$7="Ranked",OR(G128="Yes",G127="Yes")))),"Yes","No")</f>
        <v>No</v>
      </c>
      <c r="G130" s="564" t="s">
        <v>347</v>
      </c>
      <c r="H130" s="333" t="str">
        <f>IF(C130="","",VLOOKUP(C130,Boonref2!A:B,2,FALSE))</f>
        <v>No</v>
      </c>
      <c r="I130" s="333"/>
      <c r="J130" s="333" t="str">
        <f>VLOOKUP(C130,BoonRef!A:Z,17,FALSE)</f>
        <v>Yes</v>
      </c>
      <c r="K130" s="333" t="str">
        <f>IF(J130="God",'House Rules'!$B$2,IF(J130="Demi",'House Rules'!$B$1,IF(J130="Comp",'House Rules'!$B$4,IF(J130="Yaz",'House Rules'!$B$5,IF(J130="Rag",'House Rules'!$B$3,"Available")))))</f>
        <v>Available</v>
      </c>
      <c r="L130" s="333"/>
      <c r="M130" s="333"/>
      <c r="BF130" s="319">
        <f t="shared" si="81"/>
        <v>0</v>
      </c>
      <c r="BG130" s="345" t="s">
        <v>2476</v>
      </c>
      <c r="BI130" s="319">
        <f t="shared" si="66"/>
        <v>0</v>
      </c>
      <c r="BJ130" s="319">
        <f t="shared" si="85"/>
        <v>0</v>
      </c>
      <c r="BK130" s="319">
        <f t="shared" si="85"/>
        <v>0</v>
      </c>
      <c r="BL130" s="319">
        <f t="shared" si="85"/>
        <v>0</v>
      </c>
      <c r="BM130" s="319">
        <f t="shared" si="85"/>
        <v>0</v>
      </c>
      <c r="BN130" s="319">
        <f t="shared" si="85"/>
        <v>0</v>
      </c>
      <c r="BO130" s="319">
        <f t="shared" si="85"/>
        <v>0</v>
      </c>
      <c r="BP130" s="319">
        <f t="shared" si="85"/>
        <v>0</v>
      </c>
      <c r="BQ130" s="319">
        <f t="shared" si="85"/>
        <v>0</v>
      </c>
      <c r="BR130" s="319">
        <f t="shared" si="85"/>
        <v>0</v>
      </c>
      <c r="BS130" s="319">
        <f t="shared" si="85"/>
        <v>0</v>
      </c>
      <c r="BT130" s="319">
        <f t="shared" si="85"/>
        <v>0</v>
      </c>
      <c r="BU130" s="319">
        <f t="shared" si="85"/>
        <v>0</v>
      </c>
      <c r="BV130" s="319">
        <f t="shared" si="85"/>
        <v>0</v>
      </c>
      <c r="BW130" s="319">
        <f t="shared" si="85"/>
        <v>0</v>
      </c>
      <c r="BX130" s="319">
        <f t="shared" si="85"/>
        <v>0</v>
      </c>
      <c r="BY130" s="319">
        <f t="shared" si="85"/>
        <v>0</v>
      </c>
      <c r="BZ130" s="319">
        <f t="shared" si="85"/>
        <v>0</v>
      </c>
      <c r="CA130" s="319">
        <f t="shared" si="85"/>
        <v>0</v>
      </c>
      <c r="CB130" s="319">
        <f t="shared" si="85"/>
        <v>0</v>
      </c>
      <c r="CC130" s="319">
        <f t="shared" si="85"/>
        <v>0</v>
      </c>
      <c r="CD130" s="319">
        <f t="shared" si="85"/>
        <v>0</v>
      </c>
      <c r="CE130" s="319">
        <f t="shared" si="85"/>
        <v>0</v>
      </c>
      <c r="CF130" s="319">
        <f t="shared" si="85"/>
        <v>0</v>
      </c>
      <c r="CG130" s="319">
        <f t="shared" si="85"/>
        <v>0</v>
      </c>
      <c r="CH130" s="319">
        <f t="shared" si="85"/>
        <v>0</v>
      </c>
      <c r="CI130" s="319">
        <f t="shared" si="85"/>
        <v>0</v>
      </c>
      <c r="CJ130" s="319">
        <f t="shared" si="85"/>
        <v>0</v>
      </c>
      <c r="CK130" s="319">
        <f t="shared" si="85"/>
        <v>0</v>
      </c>
      <c r="CL130" s="319">
        <f t="shared" si="85"/>
        <v>0</v>
      </c>
      <c r="CM130" s="319">
        <f t="shared" si="85"/>
        <v>0</v>
      </c>
      <c r="CN130" s="319">
        <f t="shared" si="85"/>
        <v>0</v>
      </c>
      <c r="CO130" s="319">
        <f t="shared" si="85"/>
        <v>0</v>
      </c>
      <c r="CP130" s="319">
        <f t="shared" si="85"/>
        <v>0</v>
      </c>
      <c r="CQ130" s="319">
        <f t="shared" si="85"/>
        <v>0</v>
      </c>
      <c r="CR130" s="319">
        <f t="shared" si="85"/>
        <v>0</v>
      </c>
      <c r="CS130" s="319">
        <f t="shared" si="85"/>
        <v>0</v>
      </c>
      <c r="CT130" s="319">
        <f t="shared" si="85"/>
        <v>0</v>
      </c>
      <c r="CU130" s="319">
        <f t="shared" si="85"/>
        <v>0</v>
      </c>
      <c r="CV130" s="319">
        <f t="shared" si="85"/>
        <v>0</v>
      </c>
    </row>
    <row r="131" spans="1:100" ht="15.75" thickBot="1" x14ac:dyDescent="0.3">
      <c r="A131" s="319">
        <f t="shared" ref="A131:A194" si="86">IF(AND(H131="Yes",G131="Yes"),A130+1,A130)</f>
        <v>0</v>
      </c>
      <c r="B131" s="319">
        <f t="shared" si="71"/>
        <v>0</v>
      </c>
      <c r="C131" s="340" t="s">
        <v>1174</v>
      </c>
      <c r="D131" s="341" t="s">
        <v>359</v>
      </c>
      <c r="E131" s="341">
        <v>7</v>
      </c>
      <c r="F131" s="341" t="str">
        <f>IF(AND(E131&lt;CharacterSheet!$V$34,'House Rules'!$B$1="Available",OR('House Rules'!$B$7="Standard",AND('House Rules'!$B$7="Ranked",OR(G130="Yes",G129="Yes")))),"Yes","No")</f>
        <v>No</v>
      </c>
      <c r="G131" s="564" t="s">
        <v>347</v>
      </c>
      <c r="H131" s="333" t="str">
        <f>IF(C131="","",VLOOKUP(C131,Boonref2!A:B,2,FALSE))</f>
        <v>No</v>
      </c>
      <c r="I131" s="333"/>
      <c r="J131" s="333" t="str">
        <f>VLOOKUP(C131,BoonRef!A:Z,17,FALSE)</f>
        <v>Yes</v>
      </c>
      <c r="K131" s="333" t="str">
        <f>IF(J131="God",'House Rules'!$B$2,IF(J131="Demi",'House Rules'!$B$1,IF(J131="Comp",'House Rules'!$B$4,IF(J131="Yaz",'House Rules'!$B$5,IF(J131="Rag",'House Rules'!$B$3,"Available")))))</f>
        <v>Available</v>
      </c>
      <c r="L131" s="333"/>
      <c r="M131" s="333"/>
      <c r="BF131" s="319">
        <f t="shared" si="81"/>
        <v>0</v>
      </c>
      <c r="BG131" s="355" t="s">
        <v>2477</v>
      </c>
      <c r="BI131" s="319">
        <f t="shared" ref="BI131:BX194" si="87">IF(AND($D131=BI$1,$G131="Yes"),$E131,0)</f>
        <v>0</v>
      </c>
      <c r="BJ131" s="319">
        <f t="shared" si="87"/>
        <v>0</v>
      </c>
      <c r="BK131" s="319">
        <f t="shared" si="87"/>
        <v>0</v>
      </c>
      <c r="BL131" s="319">
        <f t="shared" si="87"/>
        <v>0</v>
      </c>
      <c r="BM131" s="319">
        <f t="shared" si="87"/>
        <v>0</v>
      </c>
      <c r="BN131" s="319">
        <f t="shared" si="87"/>
        <v>0</v>
      </c>
      <c r="BO131" s="319">
        <f t="shared" si="87"/>
        <v>0</v>
      </c>
      <c r="BP131" s="319">
        <f t="shared" si="87"/>
        <v>0</v>
      </c>
      <c r="BQ131" s="319">
        <f t="shared" si="87"/>
        <v>0</v>
      </c>
      <c r="BR131" s="319">
        <f t="shared" si="87"/>
        <v>0</v>
      </c>
      <c r="BS131" s="319">
        <f t="shared" si="87"/>
        <v>0</v>
      </c>
      <c r="BT131" s="319">
        <f t="shared" si="87"/>
        <v>0</v>
      </c>
      <c r="BU131" s="319">
        <f t="shared" si="87"/>
        <v>0</v>
      </c>
      <c r="BV131" s="319">
        <f t="shared" si="87"/>
        <v>0</v>
      </c>
      <c r="BW131" s="319">
        <f t="shared" si="87"/>
        <v>0</v>
      </c>
      <c r="BX131" s="319">
        <f t="shared" si="87"/>
        <v>0</v>
      </c>
      <c r="BY131" s="319">
        <f t="shared" si="85"/>
        <v>0</v>
      </c>
      <c r="BZ131" s="319">
        <f t="shared" si="85"/>
        <v>0</v>
      </c>
      <c r="CA131" s="319">
        <f t="shared" si="85"/>
        <v>0</v>
      </c>
      <c r="CB131" s="319">
        <f t="shared" si="85"/>
        <v>0</v>
      </c>
      <c r="CC131" s="319">
        <f t="shared" si="85"/>
        <v>0</v>
      </c>
      <c r="CD131" s="319">
        <f t="shared" si="85"/>
        <v>0</v>
      </c>
      <c r="CE131" s="319">
        <f t="shared" si="85"/>
        <v>0</v>
      </c>
      <c r="CF131" s="319">
        <f t="shared" si="85"/>
        <v>0</v>
      </c>
      <c r="CG131" s="319">
        <f t="shared" si="85"/>
        <v>0</v>
      </c>
      <c r="CH131" s="319">
        <f t="shared" si="85"/>
        <v>0</v>
      </c>
      <c r="CI131" s="319">
        <f t="shared" si="85"/>
        <v>0</v>
      </c>
      <c r="CJ131" s="319">
        <f t="shared" si="85"/>
        <v>0</v>
      </c>
      <c r="CK131" s="319">
        <f t="shared" si="85"/>
        <v>0</v>
      </c>
      <c r="CL131" s="319">
        <f t="shared" si="85"/>
        <v>0</v>
      </c>
      <c r="CM131" s="319">
        <f t="shared" si="85"/>
        <v>0</v>
      </c>
      <c r="CN131" s="319">
        <f t="shared" si="85"/>
        <v>0</v>
      </c>
      <c r="CO131" s="319">
        <f t="shared" si="85"/>
        <v>0</v>
      </c>
      <c r="CP131" s="319">
        <f t="shared" si="85"/>
        <v>0</v>
      </c>
      <c r="CQ131" s="319">
        <f t="shared" si="85"/>
        <v>0</v>
      </c>
      <c r="CR131" s="319">
        <f t="shared" si="85"/>
        <v>0</v>
      </c>
      <c r="CS131" s="319">
        <f t="shared" si="85"/>
        <v>0</v>
      </c>
      <c r="CT131" s="319">
        <f t="shared" si="85"/>
        <v>0</v>
      </c>
      <c r="CU131" s="319">
        <f t="shared" si="85"/>
        <v>0</v>
      </c>
      <c r="CV131" s="319">
        <f t="shared" si="85"/>
        <v>0</v>
      </c>
    </row>
    <row r="132" spans="1:100" x14ac:dyDescent="0.25">
      <c r="A132" s="319">
        <f t="shared" si="86"/>
        <v>0</v>
      </c>
      <c r="B132" s="319">
        <f t="shared" si="71"/>
        <v>0</v>
      </c>
      <c r="C132" s="340" t="s">
        <v>1271</v>
      </c>
      <c r="D132" s="341" t="s">
        <v>359</v>
      </c>
      <c r="E132" s="341">
        <v>8</v>
      </c>
      <c r="F132" s="341" t="str">
        <f>IF(AND(E132&lt;CharacterSheet!$V$34,'House Rules'!$B$2="available",OR('House Rules'!$B$7="Standard",AND('House Rules'!$B$7="Ranked",G131="Yes"))),"Yes","No")</f>
        <v>No</v>
      </c>
      <c r="G132" s="564" t="s">
        <v>347</v>
      </c>
      <c r="H132" s="333" t="str">
        <f>IF(C132="","",VLOOKUP(C132,Boonref2!A:B,2,FALSE))</f>
        <v>Yes</v>
      </c>
      <c r="I132" s="333"/>
      <c r="J132" s="333" t="str">
        <f>VLOOKUP(C132,BoonRef!A:Z,17,FALSE)</f>
        <v>Yes</v>
      </c>
      <c r="K132" s="333" t="str">
        <f>IF(J132="God",'House Rules'!$B$2,IF(J132="Demi",'House Rules'!$B$1,IF(J132="Comp",'House Rules'!$B$4,IF(J132="Yaz",'House Rules'!$B$5,IF(J132="Rag",'House Rules'!$B$3,"Available")))))</f>
        <v>Available</v>
      </c>
      <c r="L132" s="333"/>
      <c r="M132" s="333"/>
      <c r="BF132" s="319">
        <f t="shared" si="81"/>
        <v>0</v>
      </c>
      <c r="BG132" s="336" t="s">
        <v>2478</v>
      </c>
      <c r="BI132" s="319">
        <f t="shared" si="87"/>
        <v>0</v>
      </c>
      <c r="BJ132" s="319">
        <f t="shared" si="85"/>
        <v>0</v>
      </c>
      <c r="BK132" s="319">
        <f t="shared" si="85"/>
        <v>0</v>
      </c>
      <c r="BL132" s="319">
        <f t="shared" si="85"/>
        <v>0</v>
      </c>
      <c r="BM132" s="319">
        <f t="shared" si="85"/>
        <v>0</v>
      </c>
      <c r="BN132" s="319">
        <f t="shared" si="85"/>
        <v>0</v>
      </c>
      <c r="BO132" s="319">
        <f t="shared" si="85"/>
        <v>0</v>
      </c>
      <c r="BP132" s="319">
        <f t="shared" si="85"/>
        <v>0</v>
      </c>
      <c r="BQ132" s="319">
        <f t="shared" si="85"/>
        <v>0</v>
      </c>
      <c r="BR132" s="319">
        <f t="shared" si="85"/>
        <v>0</v>
      </c>
      <c r="BS132" s="319">
        <f t="shared" si="85"/>
        <v>0</v>
      </c>
      <c r="BT132" s="319">
        <f t="shared" si="85"/>
        <v>0</v>
      </c>
      <c r="BU132" s="319">
        <f t="shared" si="85"/>
        <v>0</v>
      </c>
      <c r="BV132" s="319">
        <f t="shared" si="85"/>
        <v>0</v>
      </c>
      <c r="BW132" s="319">
        <f t="shared" si="85"/>
        <v>0</v>
      </c>
      <c r="BX132" s="319">
        <f t="shared" si="85"/>
        <v>0</v>
      </c>
      <c r="BY132" s="319">
        <f t="shared" si="85"/>
        <v>0</v>
      </c>
      <c r="BZ132" s="319">
        <f t="shared" si="85"/>
        <v>0</v>
      </c>
      <c r="CA132" s="319">
        <f t="shared" si="85"/>
        <v>0</v>
      </c>
      <c r="CB132" s="319">
        <f t="shared" si="85"/>
        <v>0</v>
      </c>
      <c r="CC132" s="319">
        <f t="shared" si="85"/>
        <v>0</v>
      </c>
      <c r="CD132" s="319">
        <f t="shared" si="85"/>
        <v>0</v>
      </c>
      <c r="CE132" s="319">
        <f t="shared" si="85"/>
        <v>0</v>
      </c>
      <c r="CF132" s="319">
        <f t="shared" si="85"/>
        <v>0</v>
      </c>
      <c r="CG132" s="319">
        <f t="shared" si="85"/>
        <v>0</v>
      </c>
      <c r="CH132" s="319">
        <f t="shared" si="85"/>
        <v>0</v>
      </c>
      <c r="CI132" s="319">
        <f t="shared" si="85"/>
        <v>0</v>
      </c>
      <c r="CJ132" s="319">
        <f t="shared" si="85"/>
        <v>0</v>
      </c>
      <c r="CK132" s="319">
        <f t="shared" si="85"/>
        <v>0</v>
      </c>
      <c r="CL132" s="319">
        <f t="shared" si="85"/>
        <v>0</v>
      </c>
      <c r="CM132" s="319">
        <f t="shared" si="85"/>
        <v>0</v>
      </c>
      <c r="CN132" s="319">
        <f t="shared" si="85"/>
        <v>0</v>
      </c>
      <c r="CO132" s="319">
        <f t="shared" si="85"/>
        <v>0</v>
      </c>
      <c r="CP132" s="319">
        <f t="shared" si="85"/>
        <v>0</v>
      </c>
      <c r="CQ132" s="319">
        <f t="shared" si="85"/>
        <v>0</v>
      </c>
      <c r="CR132" s="319">
        <f t="shared" si="85"/>
        <v>0</v>
      </c>
      <c r="CS132" s="319">
        <f t="shared" si="85"/>
        <v>0</v>
      </c>
      <c r="CT132" s="319">
        <f t="shared" si="85"/>
        <v>0</v>
      </c>
      <c r="CU132" s="319">
        <f t="shared" si="85"/>
        <v>0</v>
      </c>
      <c r="CV132" s="319">
        <f t="shared" si="85"/>
        <v>0</v>
      </c>
    </row>
    <row r="133" spans="1:100" x14ac:dyDescent="0.25">
      <c r="A133" s="319">
        <f t="shared" si="86"/>
        <v>0</v>
      </c>
      <c r="B133" s="319">
        <f t="shared" si="71"/>
        <v>0</v>
      </c>
      <c r="C133" s="340" t="s">
        <v>2636</v>
      </c>
      <c r="D133" s="341" t="s">
        <v>359</v>
      </c>
      <c r="E133" s="341">
        <v>8</v>
      </c>
      <c r="F133" s="341" t="str">
        <f>IF(AND(E132&lt;CharacterSheet!$V$34,'House Rules'!$B$3="Available",OR('House Rules'!$B$7="Standard",AND('House Rules'!$B$7="Ranked",OR(G131="Yes")))),"Yes","No")</f>
        <v>No</v>
      </c>
      <c r="G133" s="564" t="s">
        <v>347</v>
      </c>
      <c r="H133" s="333" t="str">
        <f>IF(C133="","",VLOOKUP(C133,Boonref2!A:B,2,FALSE))</f>
        <v>Yes</v>
      </c>
      <c r="I133" s="333"/>
      <c r="J133" s="333" t="str">
        <f>VLOOKUP(C133,BoonRef!A:Z,17,FALSE)</f>
        <v>Yes</v>
      </c>
      <c r="K133" s="333" t="str">
        <f>IF(J133="God",'House Rules'!$B$2,IF(J133="Demi",'House Rules'!$B$1,IF(J133="Comp",'House Rules'!$B$4,IF(J133="Yaz",'House Rules'!$B$5,IF(J133="Rag",'House Rules'!$B$3,"Available")))))</f>
        <v>Available</v>
      </c>
      <c r="L133" s="333"/>
      <c r="M133" s="333"/>
      <c r="BF133" s="319">
        <f t="shared" si="81"/>
        <v>0</v>
      </c>
      <c r="BG133" s="345" t="s">
        <v>2479</v>
      </c>
      <c r="BI133" s="319">
        <f t="shared" si="87"/>
        <v>0</v>
      </c>
      <c r="BJ133" s="319">
        <f t="shared" si="85"/>
        <v>0</v>
      </c>
      <c r="BK133" s="319">
        <f t="shared" si="85"/>
        <v>0</v>
      </c>
      <c r="BL133" s="319">
        <f t="shared" si="85"/>
        <v>0</v>
      </c>
      <c r="BM133" s="319">
        <f t="shared" si="85"/>
        <v>0</v>
      </c>
      <c r="BN133" s="319">
        <f t="shared" si="85"/>
        <v>0</v>
      </c>
      <c r="BO133" s="319">
        <f t="shared" si="85"/>
        <v>0</v>
      </c>
      <c r="BP133" s="319">
        <f t="shared" si="85"/>
        <v>0</v>
      </c>
      <c r="BQ133" s="319">
        <f t="shared" si="85"/>
        <v>0</v>
      </c>
      <c r="BR133" s="319">
        <f t="shared" si="85"/>
        <v>0</v>
      </c>
      <c r="BS133" s="319">
        <f t="shared" si="85"/>
        <v>0</v>
      </c>
      <c r="BT133" s="319">
        <f t="shared" si="85"/>
        <v>0</v>
      </c>
      <c r="BU133" s="319">
        <f t="shared" si="85"/>
        <v>0</v>
      </c>
      <c r="BV133" s="319">
        <f t="shared" si="85"/>
        <v>0</v>
      </c>
      <c r="BW133" s="319">
        <f t="shared" si="85"/>
        <v>0</v>
      </c>
      <c r="BX133" s="319">
        <f t="shared" si="85"/>
        <v>0</v>
      </c>
      <c r="BY133" s="319">
        <f t="shared" si="85"/>
        <v>0</v>
      </c>
      <c r="BZ133" s="319">
        <f t="shared" si="85"/>
        <v>0</v>
      </c>
      <c r="CA133" s="319">
        <f t="shared" si="85"/>
        <v>0</v>
      </c>
      <c r="CB133" s="319">
        <f t="shared" si="85"/>
        <v>0</v>
      </c>
      <c r="CC133" s="319">
        <f t="shared" si="85"/>
        <v>0</v>
      </c>
      <c r="CD133" s="319">
        <f t="shared" si="85"/>
        <v>0</v>
      </c>
      <c r="CE133" s="319">
        <f t="shared" si="85"/>
        <v>0</v>
      </c>
      <c r="CF133" s="319">
        <f t="shared" si="85"/>
        <v>0</v>
      </c>
      <c r="CG133" s="319">
        <f t="shared" si="85"/>
        <v>0</v>
      </c>
      <c r="CH133" s="319">
        <f t="shared" si="85"/>
        <v>0</v>
      </c>
      <c r="CI133" s="319">
        <f t="shared" si="85"/>
        <v>0</v>
      </c>
      <c r="CJ133" s="319">
        <f t="shared" si="85"/>
        <v>0</v>
      </c>
      <c r="CK133" s="319">
        <f t="shared" si="85"/>
        <v>0</v>
      </c>
      <c r="CL133" s="319">
        <f t="shared" si="85"/>
        <v>0</v>
      </c>
      <c r="CM133" s="319">
        <f t="shared" si="85"/>
        <v>0</v>
      </c>
      <c r="CN133" s="319">
        <f t="shared" si="85"/>
        <v>0</v>
      </c>
      <c r="CO133" s="319">
        <f t="shared" si="85"/>
        <v>0</v>
      </c>
      <c r="CP133" s="319">
        <f t="shared" si="85"/>
        <v>0</v>
      </c>
      <c r="CQ133" s="319">
        <f t="shared" si="85"/>
        <v>0</v>
      </c>
      <c r="CR133" s="319">
        <f t="shared" si="85"/>
        <v>0</v>
      </c>
      <c r="CS133" s="319">
        <f t="shared" si="85"/>
        <v>0</v>
      </c>
      <c r="CT133" s="319">
        <f t="shared" ref="BJ133:CV140" si="88">IF(AND($D133=CT$1,$G133="Yes"),$E133,0)</f>
        <v>0</v>
      </c>
      <c r="CU133" s="319">
        <f t="shared" si="88"/>
        <v>0</v>
      </c>
      <c r="CV133" s="319">
        <f t="shared" si="88"/>
        <v>0</v>
      </c>
    </row>
    <row r="134" spans="1:100" x14ac:dyDescent="0.25">
      <c r="A134" s="319">
        <f t="shared" si="86"/>
        <v>0</v>
      </c>
      <c r="B134" s="319">
        <f t="shared" si="71"/>
        <v>0</v>
      </c>
      <c r="C134" s="340" t="s">
        <v>1272</v>
      </c>
      <c r="D134" s="341" t="s">
        <v>359</v>
      </c>
      <c r="E134" s="341">
        <v>9</v>
      </c>
      <c r="F134" s="341" t="str">
        <f>IF(AND(E134&lt;CharacterSheet!$V$34,'House Rules'!$B$2="available",OR('House Rules'!$B$7="Standard",AND('House Rules'!$B$7="Ranked",OR(G132="Yes",G133="Yes")))),"Yes","No")</f>
        <v>No</v>
      </c>
      <c r="G134" s="564" t="s">
        <v>347</v>
      </c>
      <c r="H134" s="333" t="str">
        <f>IF(C134="","",VLOOKUP(C134,Boonref2!A:B,2,FALSE))</f>
        <v>Yes</v>
      </c>
      <c r="I134" s="333"/>
      <c r="J134" s="333" t="str">
        <f>VLOOKUP(C134,BoonRef!A:Z,17,FALSE)</f>
        <v>Yes</v>
      </c>
      <c r="K134" s="333" t="str">
        <f>IF(J134="God",'House Rules'!$B$2,IF(J134="Demi",'House Rules'!$B$1,IF(J134="Comp",'House Rules'!$B$4,IF(J134="Yaz",'House Rules'!$B$5,IF(J134="Rag",'House Rules'!$B$3,"Available")))))</f>
        <v>Available</v>
      </c>
      <c r="L134" s="333"/>
      <c r="M134" s="333"/>
      <c r="BF134" s="319">
        <f t="shared" si="81"/>
        <v>0</v>
      </c>
      <c r="BG134" s="345" t="s">
        <v>2480</v>
      </c>
      <c r="BI134" s="319">
        <f t="shared" si="87"/>
        <v>0</v>
      </c>
      <c r="BJ134" s="319">
        <f t="shared" si="88"/>
        <v>0</v>
      </c>
      <c r="BK134" s="319">
        <f t="shared" si="88"/>
        <v>0</v>
      </c>
      <c r="BL134" s="319">
        <f t="shared" si="88"/>
        <v>0</v>
      </c>
      <c r="BM134" s="319">
        <f t="shared" si="88"/>
        <v>0</v>
      </c>
      <c r="BN134" s="319">
        <f t="shared" si="88"/>
        <v>0</v>
      </c>
      <c r="BO134" s="319">
        <f t="shared" si="88"/>
        <v>0</v>
      </c>
      <c r="BP134" s="319">
        <f t="shared" si="88"/>
        <v>0</v>
      </c>
      <c r="BQ134" s="319">
        <f t="shared" si="88"/>
        <v>0</v>
      </c>
      <c r="BR134" s="319">
        <f t="shared" si="88"/>
        <v>0</v>
      </c>
      <c r="BS134" s="319">
        <f t="shared" si="88"/>
        <v>0</v>
      </c>
      <c r="BT134" s="319">
        <f t="shared" si="88"/>
        <v>0</v>
      </c>
      <c r="BU134" s="319">
        <f t="shared" si="88"/>
        <v>0</v>
      </c>
      <c r="BV134" s="319">
        <f t="shared" si="88"/>
        <v>0</v>
      </c>
      <c r="BW134" s="319">
        <f t="shared" si="88"/>
        <v>0</v>
      </c>
      <c r="BX134" s="319">
        <f t="shared" si="88"/>
        <v>0</v>
      </c>
      <c r="BY134" s="319">
        <f t="shared" si="88"/>
        <v>0</v>
      </c>
      <c r="BZ134" s="319">
        <f t="shared" si="88"/>
        <v>0</v>
      </c>
      <c r="CA134" s="319">
        <f t="shared" si="88"/>
        <v>0</v>
      </c>
      <c r="CB134" s="319">
        <f t="shared" si="88"/>
        <v>0</v>
      </c>
      <c r="CC134" s="319">
        <f t="shared" si="88"/>
        <v>0</v>
      </c>
      <c r="CD134" s="319">
        <f t="shared" si="88"/>
        <v>0</v>
      </c>
      <c r="CE134" s="319">
        <f t="shared" si="88"/>
        <v>0</v>
      </c>
      <c r="CF134" s="319">
        <f t="shared" si="88"/>
        <v>0</v>
      </c>
      <c r="CG134" s="319">
        <f t="shared" si="88"/>
        <v>0</v>
      </c>
      <c r="CH134" s="319">
        <f t="shared" si="88"/>
        <v>0</v>
      </c>
      <c r="CI134" s="319">
        <f t="shared" si="88"/>
        <v>0</v>
      </c>
      <c r="CJ134" s="319">
        <f t="shared" si="88"/>
        <v>0</v>
      </c>
      <c r="CK134" s="319">
        <f t="shared" si="88"/>
        <v>0</v>
      </c>
      <c r="CL134" s="319">
        <f t="shared" si="88"/>
        <v>0</v>
      </c>
      <c r="CM134" s="319">
        <f t="shared" si="88"/>
        <v>0</v>
      </c>
      <c r="CN134" s="319">
        <f t="shared" si="88"/>
        <v>0</v>
      </c>
      <c r="CO134" s="319">
        <f t="shared" si="88"/>
        <v>0</v>
      </c>
      <c r="CP134" s="319">
        <f t="shared" si="88"/>
        <v>0</v>
      </c>
      <c r="CQ134" s="319">
        <f t="shared" si="88"/>
        <v>0</v>
      </c>
      <c r="CR134" s="319">
        <f t="shared" si="88"/>
        <v>0</v>
      </c>
      <c r="CS134" s="319">
        <f t="shared" si="88"/>
        <v>0</v>
      </c>
      <c r="CT134" s="319">
        <f t="shared" si="88"/>
        <v>0</v>
      </c>
      <c r="CU134" s="319">
        <f t="shared" si="88"/>
        <v>0</v>
      </c>
      <c r="CV134" s="319">
        <f t="shared" si="88"/>
        <v>0</v>
      </c>
    </row>
    <row r="135" spans="1:100" x14ac:dyDescent="0.25">
      <c r="A135" s="319">
        <f t="shared" si="86"/>
        <v>0</v>
      </c>
      <c r="B135" s="319">
        <f t="shared" si="71"/>
        <v>0</v>
      </c>
      <c r="C135" s="340" t="s">
        <v>1273</v>
      </c>
      <c r="D135" s="341" t="s">
        <v>359</v>
      </c>
      <c r="E135" s="341">
        <v>10</v>
      </c>
      <c r="F135" s="341" t="str">
        <f>IF(AND(E135&lt;CharacterSheet!$V$34,'House Rules'!$B$2="available",OR('House Rules'!$B$7="Standard",AND('House Rules'!$B$7="Ranked",G134="Yes"))),"Yes","No")</f>
        <v>No</v>
      </c>
      <c r="G135" s="564" t="s">
        <v>347</v>
      </c>
      <c r="H135" s="333" t="str">
        <f>IF(C135="","",VLOOKUP(C135,Boonref2!A:B,2,FALSE))</f>
        <v>No</v>
      </c>
      <c r="I135" s="333"/>
      <c r="J135" s="333" t="str">
        <f>VLOOKUP(C135,BoonRef!A:Z,17,FALSE)</f>
        <v>Yes</v>
      </c>
      <c r="K135" s="333" t="str">
        <f>IF(J135="God",'House Rules'!$B$2,IF(J135="Demi",'House Rules'!$B$1,IF(J135="Comp",'House Rules'!$B$4,IF(J135="Yaz",'House Rules'!$B$5,IF(J135="Rag",'House Rules'!$B$3,"Available")))))</f>
        <v>Available</v>
      </c>
      <c r="L135" s="333"/>
      <c r="M135" s="333"/>
      <c r="BF135" s="319">
        <f t="shared" si="81"/>
        <v>0</v>
      </c>
      <c r="BG135" s="345" t="s">
        <v>2481</v>
      </c>
      <c r="BI135" s="319">
        <f t="shared" si="87"/>
        <v>0</v>
      </c>
      <c r="BJ135" s="319">
        <f t="shared" si="88"/>
        <v>0</v>
      </c>
      <c r="BK135" s="319">
        <f t="shared" si="88"/>
        <v>0</v>
      </c>
      <c r="BL135" s="319">
        <f t="shared" si="88"/>
        <v>0</v>
      </c>
      <c r="BM135" s="319">
        <f t="shared" si="88"/>
        <v>0</v>
      </c>
      <c r="BN135" s="319">
        <f t="shared" si="88"/>
        <v>0</v>
      </c>
      <c r="BO135" s="319">
        <f t="shared" si="88"/>
        <v>0</v>
      </c>
      <c r="BP135" s="319">
        <f t="shared" si="88"/>
        <v>0</v>
      </c>
      <c r="BQ135" s="319">
        <f t="shared" si="88"/>
        <v>0</v>
      </c>
      <c r="BR135" s="319">
        <f t="shared" si="88"/>
        <v>0</v>
      </c>
      <c r="BS135" s="319">
        <f t="shared" si="88"/>
        <v>0</v>
      </c>
      <c r="BT135" s="319">
        <f t="shared" si="88"/>
        <v>0</v>
      </c>
      <c r="BU135" s="319">
        <f t="shared" si="88"/>
        <v>0</v>
      </c>
      <c r="BV135" s="319">
        <f t="shared" si="88"/>
        <v>0</v>
      </c>
      <c r="BW135" s="319">
        <f t="shared" si="88"/>
        <v>0</v>
      </c>
      <c r="BX135" s="319">
        <f t="shared" si="88"/>
        <v>0</v>
      </c>
      <c r="BY135" s="319">
        <f t="shared" si="88"/>
        <v>0</v>
      </c>
      <c r="BZ135" s="319">
        <f t="shared" si="88"/>
        <v>0</v>
      </c>
      <c r="CA135" s="319">
        <f t="shared" si="88"/>
        <v>0</v>
      </c>
      <c r="CB135" s="319">
        <f t="shared" si="88"/>
        <v>0</v>
      </c>
      <c r="CC135" s="319">
        <f t="shared" si="88"/>
        <v>0</v>
      </c>
      <c r="CD135" s="319">
        <f t="shared" si="88"/>
        <v>0</v>
      </c>
      <c r="CE135" s="319">
        <f t="shared" si="88"/>
        <v>0</v>
      </c>
      <c r="CF135" s="319">
        <f t="shared" si="88"/>
        <v>0</v>
      </c>
      <c r="CG135" s="319">
        <f t="shared" si="88"/>
        <v>0</v>
      </c>
      <c r="CH135" s="319">
        <f t="shared" si="88"/>
        <v>0</v>
      </c>
      <c r="CI135" s="319">
        <f t="shared" si="88"/>
        <v>0</v>
      </c>
      <c r="CJ135" s="319">
        <f t="shared" si="88"/>
        <v>0</v>
      </c>
      <c r="CK135" s="319">
        <f t="shared" si="88"/>
        <v>0</v>
      </c>
      <c r="CL135" s="319">
        <f t="shared" si="88"/>
        <v>0</v>
      </c>
      <c r="CM135" s="319">
        <f t="shared" si="88"/>
        <v>0</v>
      </c>
      <c r="CN135" s="319">
        <f t="shared" si="88"/>
        <v>0</v>
      </c>
      <c r="CO135" s="319">
        <f t="shared" si="88"/>
        <v>0</v>
      </c>
      <c r="CP135" s="319">
        <f t="shared" si="88"/>
        <v>0</v>
      </c>
      <c r="CQ135" s="319">
        <f t="shared" si="88"/>
        <v>0</v>
      </c>
      <c r="CR135" s="319">
        <f t="shared" si="88"/>
        <v>0</v>
      </c>
      <c r="CS135" s="319">
        <f t="shared" si="88"/>
        <v>0</v>
      </c>
      <c r="CT135" s="319">
        <f t="shared" si="88"/>
        <v>0</v>
      </c>
      <c r="CU135" s="319">
        <f t="shared" si="88"/>
        <v>0</v>
      </c>
      <c r="CV135" s="319">
        <f t="shared" si="88"/>
        <v>0</v>
      </c>
    </row>
    <row r="136" spans="1:100" ht="15.75" thickBot="1" x14ac:dyDescent="0.3">
      <c r="A136" s="319">
        <f t="shared" si="86"/>
        <v>0</v>
      </c>
      <c r="B136" s="319">
        <f t="shared" si="71"/>
        <v>0</v>
      </c>
      <c r="C136" s="352" t="s">
        <v>1274</v>
      </c>
      <c r="D136" s="353" t="s">
        <v>359</v>
      </c>
      <c r="E136" s="353">
        <v>11</v>
      </c>
      <c r="F136" s="353" t="str">
        <f>IF(AND(E25&lt;CharacterSheet!$V$34,G124="Yes",G125="Yes",G126="Yes",G131="Yes",OR(G132="Yes",G133="Yes"),G134="Yes",G135="Yes",OR(G122="Yes",G123="Yes"),OR(G127="Yes",G128="Yes"),OR(G129="Yes",G130="Yes")),"Yes","No")</f>
        <v>No</v>
      </c>
      <c r="G136" s="565" t="s">
        <v>347</v>
      </c>
      <c r="H136" s="333" t="str">
        <f>IF(C136="","",VLOOKUP(C136,Boonref2!A:B,2,FALSE))</f>
        <v>No</v>
      </c>
      <c r="I136" s="333"/>
      <c r="J136" s="333" t="str">
        <f>VLOOKUP(C136,BoonRef!A:Z,17,FALSE)</f>
        <v>Yes</v>
      </c>
      <c r="K136" s="333" t="str">
        <f>IF(J136="God",'House Rules'!$B$2,IF(J136="Demi",'House Rules'!$B$1,IF(J136="Comp",'House Rules'!$B$4,IF(J136="Yaz",'House Rules'!$B$5,IF(J136="Rag",'House Rules'!$B$3,"Available")))))</f>
        <v>Available</v>
      </c>
      <c r="L136" s="333"/>
      <c r="M136" s="333"/>
      <c r="BF136" s="319">
        <f t="shared" si="81"/>
        <v>0</v>
      </c>
      <c r="BG136" s="345" t="s">
        <v>2482</v>
      </c>
      <c r="BI136" s="319">
        <f t="shared" si="87"/>
        <v>0</v>
      </c>
      <c r="BJ136" s="319">
        <f t="shared" si="88"/>
        <v>0</v>
      </c>
      <c r="BK136" s="319">
        <f t="shared" si="88"/>
        <v>0</v>
      </c>
      <c r="BL136" s="319">
        <f t="shared" si="88"/>
        <v>0</v>
      </c>
      <c r="BM136" s="319">
        <f t="shared" si="88"/>
        <v>0</v>
      </c>
      <c r="BN136" s="319">
        <f t="shared" si="88"/>
        <v>0</v>
      </c>
      <c r="BO136" s="319">
        <f t="shared" si="88"/>
        <v>0</v>
      </c>
      <c r="BP136" s="319">
        <f t="shared" si="88"/>
        <v>0</v>
      </c>
      <c r="BQ136" s="319">
        <f t="shared" si="88"/>
        <v>0</v>
      </c>
      <c r="BR136" s="319">
        <f t="shared" si="88"/>
        <v>0</v>
      </c>
      <c r="BS136" s="319">
        <f t="shared" si="88"/>
        <v>0</v>
      </c>
      <c r="BT136" s="319">
        <f t="shared" si="88"/>
        <v>0</v>
      </c>
      <c r="BU136" s="319">
        <f t="shared" si="88"/>
        <v>0</v>
      </c>
      <c r="BV136" s="319">
        <f t="shared" si="88"/>
        <v>0</v>
      </c>
      <c r="BW136" s="319">
        <f t="shared" si="88"/>
        <v>0</v>
      </c>
      <c r="BX136" s="319">
        <f t="shared" si="88"/>
        <v>0</v>
      </c>
      <c r="BY136" s="319">
        <f t="shared" si="88"/>
        <v>0</v>
      </c>
      <c r="BZ136" s="319">
        <f t="shared" si="88"/>
        <v>0</v>
      </c>
      <c r="CA136" s="319">
        <f t="shared" si="88"/>
        <v>0</v>
      </c>
      <c r="CB136" s="319">
        <f t="shared" si="88"/>
        <v>0</v>
      </c>
      <c r="CC136" s="319">
        <f t="shared" si="88"/>
        <v>0</v>
      </c>
      <c r="CD136" s="319">
        <f t="shared" si="88"/>
        <v>0</v>
      </c>
      <c r="CE136" s="319">
        <f t="shared" si="88"/>
        <v>0</v>
      </c>
      <c r="CF136" s="319">
        <f t="shared" si="88"/>
        <v>0</v>
      </c>
      <c r="CG136" s="319">
        <f t="shared" si="88"/>
        <v>0</v>
      </c>
      <c r="CH136" s="319">
        <f t="shared" si="88"/>
        <v>0</v>
      </c>
      <c r="CI136" s="319">
        <f t="shared" si="88"/>
        <v>0</v>
      </c>
      <c r="CJ136" s="319">
        <f t="shared" si="88"/>
        <v>0</v>
      </c>
      <c r="CK136" s="319">
        <f t="shared" si="88"/>
        <v>0</v>
      </c>
      <c r="CL136" s="319">
        <f t="shared" si="88"/>
        <v>0</v>
      </c>
      <c r="CM136" s="319">
        <f t="shared" si="88"/>
        <v>0</v>
      </c>
      <c r="CN136" s="319">
        <f t="shared" si="88"/>
        <v>0</v>
      </c>
      <c r="CO136" s="319">
        <f t="shared" si="88"/>
        <v>0</v>
      </c>
      <c r="CP136" s="319">
        <f t="shared" si="88"/>
        <v>0</v>
      </c>
      <c r="CQ136" s="319">
        <f t="shared" si="88"/>
        <v>0</v>
      </c>
      <c r="CR136" s="319">
        <f t="shared" si="88"/>
        <v>0</v>
      </c>
      <c r="CS136" s="319">
        <f t="shared" si="88"/>
        <v>0</v>
      </c>
      <c r="CT136" s="319">
        <f t="shared" si="88"/>
        <v>0</v>
      </c>
      <c r="CU136" s="319">
        <f t="shared" si="88"/>
        <v>0</v>
      </c>
      <c r="CV136" s="319">
        <f t="shared" si="88"/>
        <v>0</v>
      </c>
    </row>
    <row r="137" spans="1:100" x14ac:dyDescent="0.25">
      <c r="A137" s="319">
        <f t="shared" si="86"/>
        <v>0</v>
      </c>
      <c r="B137" s="319">
        <f t="shared" si="71"/>
        <v>0</v>
      </c>
      <c r="C137" s="330" t="s">
        <v>1088</v>
      </c>
      <c r="D137" s="331" t="s">
        <v>108</v>
      </c>
      <c r="E137" s="331">
        <v>1</v>
      </c>
      <c r="F137" s="331" t="str">
        <f>IF(E137&lt;CharacterSheet!$V$34,"Yes","No")</f>
        <v>Yes</v>
      </c>
      <c r="G137" s="563" t="s">
        <v>347</v>
      </c>
      <c r="H137" s="333" t="str">
        <f>IF(C137="","",VLOOKUP(C137,Boonref2!A:B,2,FALSE))</f>
        <v>No</v>
      </c>
      <c r="I137" s="333"/>
      <c r="J137" s="333" t="str">
        <f>VLOOKUP(C137,BoonRef!A:Z,17,FALSE)</f>
        <v>Yes</v>
      </c>
      <c r="K137" s="333" t="str">
        <f>IF(J137="God",'House Rules'!$B$2,IF(J137="Demi",'House Rules'!$B$1,IF(J137="Comp",'House Rules'!$B$4,IF(J137="Yaz",'House Rules'!$B$5,IF(J137="Rag",'House Rules'!$B$3,"Available")))))</f>
        <v>Available</v>
      </c>
      <c r="L137" s="333"/>
      <c r="M137" s="333"/>
      <c r="BF137" s="319">
        <f t="shared" si="81"/>
        <v>0</v>
      </c>
      <c r="BG137" s="345" t="s">
        <v>2483</v>
      </c>
      <c r="BI137" s="319">
        <f t="shared" si="87"/>
        <v>0</v>
      </c>
      <c r="BJ137" s="319">
        <f t="shared" si="88"/>
        <v>0</v>
      </c>
      <c r="BK137" s="319">
        <f t="shared" si="88"/>
        <v>0</v>
      </c>
      <c r="BL137" s="319">
        <f t="shared" si="88"/>
        <v>0</v>
      </c>
      <c r="BM137" s="319">
        <f t="shared" si="88"/>
        <v>0</v>
      </c>
      <c r="BN137" s="319">
        <f t="shared" si="88"/>
        <v>0</v>
      </c>
      <c r="BO137" s="319">
        <f t="shared" si="88"/>
        <v>0</v>
      </c>
      <c r="BP137" s="319">
        <f t="shared" si="88"/>
        <v>0</v>
      </c>
      <c r="BQ137" s="319">
        <f t="shared" si="88"/>
        <v>0</v>
      </c>
      <c r="BR137" s="319">
        <f t="shared" si="88"/>
        <v>0</v>
      </c>
      <c r="BS137" s="319">
        <f t="shared" si="88"/>
        <v>0</v>
      </c>
      <c r="BT137" s="319">
        <f t="shared" si="88"/>
        <v>0</v>
      </c>
      <c r="BU137" s="319">
        <f t="shared" si="88"/>
        <v>0</v>
      </c>
      <c r="BV137" s="319">
        <f t="shared" si="88"/>
        <v>0</v>
      </c>
      <c r="BW137" s="319">
        <f t="shared" si="88"/>
        <v>0</v>
      </c>
      <c r="BX137" s="319">
        <f t="shared" si="88"/>
        <v>0</v>
      </c>
      <c r="BY137" s="319">
        <f t="shared" si="88"/>
        <v>0</v>
      </c>
      <c r="BZ137" s="319">
        <f t="shared" si="88"/>
        <v>0</v>
      </c>
      <c r="CA137" s="319">
        <f t="shared" si="88"/>
        <v>0</v>
      </c>
      <c r="CB137" s="319">
        <f t="shared" si="88"/>
        <v>0</v>
      </c>
      <c r="CC137" s="319">
        <f t="shared" si="88"/>
        <v>0</v>
      </c>
      <c r="CD137" s="319">
        <f t="shared" si="88"/>
        <v>0</v>
      </c>
      <c r="CE137" s="319">
        <f t="shared" si="88"/>
        <v>0</v>
      </c>
      <c r="CF137" s="319">
        <f t="shared" si="88"/>
        <v>0</v>
      </c>
      <c r="CG137" s="319">
        <f t="shared" si="88"/>
        <v>0</v>
      </c>
      <c r="CH137" s="319">
        <f t="shared" si="88"/>
        <v>0</v>
      </c>
      <c r="CI137" s="319">
        <f t="shared" si="88"/>
        <v>0</v>
      </c>
      <c r="CJ137" s="319">
        <f t="shared" si="88"/>
        <v>0</v>
      </c>
      <c r="CK137" s="319">
        <f t="shared" si="88"/>
        <v>0</v>
      </c>
      <c r="CL137" s="319">
        <f t="shared" si="88"/>
        <v>0</v>
      </c>
      <c r="CM137" s="319">
        <f t="shared" si="88"/>
        <v>0</v>
      </c>
      <c r="CN137" s="319">
        <f t="shared" si="88"/>
        <v>0</v>
      </c>
      <c r="CO137" s="319">
        <f t="shared" si="88"/>
        <v>0</v>
      </c>
      <c r="CP137" s="319">
        <f t="shared" si="88"/>
        <v>0</v>
      </c>
      <c r="CQ137" s="319">
        <f t="shared" si="88"/>
        <v>0</v>
      </c>
      <c r="CR137" s="319">
        <f t="shared" si="88"/>
        <v>0</v>
      </c>
      <c r="CS137" s="319">
        <f t="shared" si="88"/>
        <v>0</v>
      </c>
      <c r="CT137" s="319">
        <f t="shared" si="88"/>
        <v>0</v>
      </c>
      <c r="CU137" s="319">
        <f t="shared" si="88"/>
        <v>0</v>
      </c>
      <c r="CV137" s="319">
        <f t="shared" si="88"/>
        <v>0</v>
      </c>
    </row>
    <row r="138" spans="1:100" x14ac:dyDescent="0.25">
      <c r="A138" s="319">
        <f t="shared" si="86"/>
        <v>0</v>
      </c>
      <c r="B138" s="319">
        <f t="shared" si="71"/>
        <v>0</v>
      </c>
      <c r="C138" s="340" t="s">
        <v>1089</v>
      </c>
      <c r="D138" s="341" t="s">
        <v>108</v>
      </c>
      <c r="E138" s="341">
        <v>2</v>
      </c>
      <c r="F138" s="341" t="str">
        <f>IF(AND(E138&lt;CharacterSheet!$V$34,OR('House Rules'!$B$7="Standard",AND('House Rules'!$B$7="Ranked",G137="Yes"))),"Yes","No")</f>
        <v>No</v>
      </c>
      <c r="G138" s="564" t="s">
        <v>347</v>
      </c>
      <c r="H138" s="333" t="str">
        <f>IF(C138="","",VLOOKUP(C138,Boonref2!A:B,2,FALSE))</f>
        <v>Yes</v>
      </c>
      <c r="I138" s="333"/>
      <c r="J138" s="333" t="str">
        <f>VLOOKUP(C138,BoonRef!A:Z,17,FALSE)</f>
        <v>Yes</v>
      </c>
      <c r="K138" s="333" t="str">
        <f>IF(J138="God",'House Rules'!$B$2,IF(J138="Demi",'House Rules'!$B$1,IF(J138="Comp",'House Rules'!$B$4,IF(J138="Yaz",'House Rules'!$B$5,IF(J138="Rag",'House Rules'!$B$3,"Available")))))</f>
        <v>Available</v>
      </c>
      <c r="L138" s="333"/>
      <c r="M138" s="333"/>
      <c r="BF138" s="319">
        <f t="shared" si="81"/>
        <v>0</v>
      </c>
      <c r="BG138" s="345" t="s">
        <v>2484</v>
      </c>
      <c r="BI138" s="319">
        <f t="shared" si="87"/>
        <v>0</v>
      </c>
      <c r="BJ138" s="319">
        <f t="shared" si="88"/>
        <v>0</v>
      </c>
      <c r="BK138" s="319">
        <f t="shared" si="88"/>
        <v>0</v>
      </c>
      <c r="BL138" s="319">
        <f t="shared" si="88"/>
        <v>0</v>
      </c>
      <c r="BM138" s="319">
        <f t="shared" si="88"/>
        <v>0</v>
      </c>
      <c r="BN138" s="319">
        <f t="shared" si="88"/>
        <v>0</v>
      </c>
      <c r="BO138" s="319">
        <f t="shared" si="88"/>
        <v>0</v>
      </c>
      <c r="BP138" s="319">
        <f t="shared" si="88"/>
        <v>0</v>
      </c>
      <c r="BQ138" s="319">
        <f t="shared" si="88"/>
        <v>0</v>
      </c>
      <c r="BR138" s="319">
        <f t="shared" si="88"/>
        <v>0</v>
      </c>
      <c r="BS138" s="319">
        <f t="shared" si="88"/>
        <v>0</v>
      </c>
      <c r="BT138" s="319">
        <f t="shared" si="88"/>
        <v>0</v>
      </c>
      <c r="BU138" s="319">
        <f t="shared" si="88"/>
        <v>0</v>
      </c>
      <c r="BV138" s="319">
        <f t="shared" si="88"/>
        <v>0</v>
      </c>
      <c r="BW138" s="319">
        <f t="shared" si="88"/>
        <v>0</v>
      </c>
      <c r="BX138" s="319">
        <f t="shared" si="88"/>
        <v>0</v>
      </c>
      <c r="BY138" s="319">
        <f t="shared" si="88"/>
        <v>0</v>
      </c>
      <c r="BZ138" s="319">
        <f t="shared" si="88"/>
        <v>0</v>
      </c>
      <c r="CA138" s="319">
        <f t="shared" si="88"/>
        <v>0</v>
      </c>
      <c r="CB138" s="319">
        <f t="shared" si="88"/>
        <v>0</v>
      </c>
      <c r="CC138" s="319">
        <f t="shared" si="88"/>
        <v>0</v>
      </c>
      <c r="CD138" s="319">
        <f t="shared" si="88"/>
        <v>0</v>
      </c>
      <c r="CE138" s="319">
        <f t="shared" si="88"/>
        <v>0</v>
      </c>
      <c r="CF138" s="319">
        <f t="shared" si="88"/>
        <v>0</v>
      </c>
      <c r="CG138" s="319">
        <f t="shared" si="88"/>
        <v>0</v>
      </c>
      <c r="CH138" s="319">
        <f t="shared" si="88"/>
        <v>0</v>
      </c>
      <c r="CI138" s="319">
        <f t="shared" si="88"/>
        <v>0</v>
      </c>
      <c r="CJ138" s="319">
        <f t="shared" si="88"/>
        <v>0</v>
      </c>
      <c r="CK138" s="319">
        <f t="shared" si="88"/>
        <v>0</v>
      </c>
      <c r="CL138" s="319">
        <f t="shared" si="88"/>
        <v>0</v>
      </c>
      <c r="CM138" s="319">
        <f t="shared" si="88"/>
        <v>0</v>
      </c>
      <c r="CN138" s="319">
        <f t="shared" si="88"/>
        <v>0</v>
      </c>
      <c r="CO138" s="319">
        <f t="shared" si="88"/>
        <v>0</v>
      </c>
      <c r="CP138" s="319">
        <f t="shared" si="88"/>
        <v>0</v>
      </c>
      <c r="CQ138" s="319">
        <f t="shared" si="88"/>
        <v>0</v>
      </c>
      <c r="CR138" s="319">
        <f t="shared" si="88"/>
        <v>0</v>
      </c>
      <c r="CS138" s="319">
        <f t="shared" si="88"/>
        <v>0</v>
      </c>
      <c r="CT138" s="319">
        <f t="shared" si="88"/>
        <v>0</v>
      </c>
      <c r="CU138" s="319">
        <f t="shared" si="88"/>
        <v>0</v>
      </c>
      <c r="CV138" s="319">
        <f t="shared" si="88"/>
        <v>0</v>
      </c>
    </row>
    <row r="139" spans="1:100" x14ac:dyDescent="0.25">
      <c r="A139" s="319">
        <f t="shared" si="86"/>
        <v>0</v>
      </c>
      <c r="B139" s="319">
        <f t="shared" si="71"/>
        <v>0</v>
      </c>
      <c r="C139" s="340" t="s">
        <v>1395</v>
      </c>
      <c r="D139" s="341" t="s">
        <v>108</v>
      </c>
      <c r="E139" s="341">
        <v>2</v>
      </c>
      <c r="F139" s="341" t="str">
        <f>IF(AND(E139&lt;CharacterSheet!$V$34,'House Rules'!$B$4="Available",OR('House Rules'!$B$7="Standard",AND('House Rules'!$B$7="Ranked",G137="Yes"))),"Yes","No")</f>
        <v>No</v>
      </c>
      <c r="G139" s="564" t="s">
        <v>347</v>
      </c>
      <c r="H139" s="333" t="str">
        <f>IF(C139="","",VLOOKUP(C139,Boonref2!A:B,2,FALSE))</f>
        <v>Yes</v>
      </c>
      <c r="I139" s="333"/>
      <c r="J139" s="333" t="str">
        <f>VLOOKUP(C139,BoonRef!A:Z,17,FALSE)</f>
        <v>Yes</v>
      </c>
      <c r="K139" s="333" t="str">
        <f>IF(J139="God",'House Rules'!$B$2,IF(J139="Demi",'House Rules'!$B$1,IF(J139="Comp",'House Rules'!$B$4,IF(J139="Yaz",'House Rules'!$B$5,IF(J139="Rag",'House Rules'!$B$3,"Available")))))</f>
        <v>Available</v>
      </c>
      <c r="L139" s="333"/>
      <c r="M139" s="333"/>
      <c r="BF139" s="319">
        <f t="shared" si="81"/>
        <v>0</v>
      </c>
      <c r="BG139" s="345" t="s">
        <v>2485</v>
      </c>
      <c r="BI139" s="319">
        <f t="shared" si="87"/>
        <v>0</v>
      </c>
      <c r="BJ139" s="319">
        <f t="shared" si="88"/>
        <v>0</v>
      </c>
      <c r="BK139" s="319">
        <f t="shared" si="88"/>
        <v>0</v>
      </c>
      <c r="BL139" s="319">
        <f t="shared" si="88"/>
        <v>0</v>
      </c>
      <c r="BM139" s="319">
        <f t="shared" si="88"/>
        <v>0</v>
      </c>
      <c r="BN139" s="319">
        <f t="shared" si="88"/>
        <v>0</v>
      </c>
      <c r="BO139" s="319">
        <f t="shared" si="88"/>
        <v>0</v>
      </c>
      <c r="BP139" s="319">
        <f t="shared" si="88"/>
        <v>0</v>
      </c>
      <c r="BQ139" s="319">
        <f t="shared" si="88"/>
        <v>0</v>
      </c>
      <c r="BR139" s="319">
        <f t="shared" si="88"/>
        <v>0</v>
      </c>
      <c r="BS139" s="319">
        <f t="shared" si="88"/>
        <v>0</v>
      </c>
      <c r="BT139" s="319">
        <f t="shared" si="88"/>
        <v>0</v>
      </c>
      <c r="BU139" s="319">
        <f t="shared" si="88"/>
        <v>0</v>
      </c>
      <c r="BV139" s="319">
        <f t="shared" si="88"/>
        <v>0</v>
      </c>
      <c r="BW139" s="319">
        <f t="shared" si="88"/>
        <v>0</v>
      </c>
      <c r="BX139" s="319">
        <f t="shared" si="88"/>
        <v>0</v>
      </c>
      <c r="BY139" s="319">
        <f t="shared" si="88"/>
        <v>0</v>
      </c>
      <c r="BZ139" s="319">
        <f t="shared" si="88"/>
        <v>0</v>
      </c>
      <c r="CA139" s="319">
        <f t="shared" si="88"/>
        <v>0</v>
      </c>
      <c r="CB139" s="319">
        <f t="shared" si="88"/>
        <v>0</v>
      </c>
      <c r="CC139" s="319">
        <f t="shared" si="88"/>
        <v>0</v>
      </c>
      <c r="CD139" s="319">
        <f t="shared" si="88"/>
        <v>0</v>
      </c>
      <c r="CE139" s="319">
        <f t="shared" si="88"/>
        <v>0</v>
      </c>
      <c r="CF139" s="319">
        <f t="shared" si="88"/>
        <v>0</v>
      </c>
      <c r="CG139" s="319">
        <f t="shared" si="88"/>
        <v>0</v>
      </c>
      <c r="CH139" s="319">
        <f t="shared" si="88"/>
        <v>0</v>
      </c>
      <c r="CI139" s="319">
        <f t="shared" si="88"/>
        <v>0</v>
      </c>
      <c r="CJ139" s="319">
        <f t="shared" si="88"/>
        <v>0</v>
      </c>
      <c r="CK139" s="319">
        <f t="shared" si="88"/>
        <v>0</v>
      </c>
      <c r="CL139" s="319">
        <f t="shared" si="88"/>
        <v>0</v>
      </c>
      <c r="CM139" s="319">
        <f t="shared" si="88"/>
        <v>0</v>
      </c>
      <c r="CN139" s="319">
        <f t="shared" si="88"/>
        <v>0</v>
      </c>
      <c r="CO139" s="319">
        <f t="shared" si="88"/>
        <v>0</v>
      </c>
      <c r="CP139" s="319">
        <f t="shared" si="88"/>
        <v>0</v>
      </c>
      <c r="CQ139" s="319">
        <f t="shared" si="88"/>
        <v>0</v>
      </c>
      <c r="CR139" s="319">
        <f t="shared" si="88"/>
        <v>0</v>
      </c>
      <c r="CS139" s="319">
        <f t="shared" si="88"/>
        <v>0</v>
      </c>
      <c r="CT139" s="319">
        <f t="shared" si="88"/>
        <v>0</v>
      </c>
      <c r="CU139" s="319">
        <f t="shared" si="88"/>
        <v>0</v>
      </c>
      <c r="CV139" s="319">
        <f t="shared" si="88"/>
        <v>0</v>
      </c>
    </row>
    <row r="140" spans="1:100" x14ac:dyDescent="0.25">
      <c r="A140" s="319">
        <f t="shared" si="86"/>
        <v>0</v>
      </c>
      <c r="B140" s="319">
        <f t="shared" si="71"/>
        <v>0</v>
      </c>
      <c r="C140" s="340" t="s">
        <v>1090</v>
      </c>
      <c r="D140" s="341" t="s">
        <v>108</v>
      </c>
      <c r="E140" s="341">
        <v>3</v>
      </c>
      <c r="F140" s="341" t="str">
        <f>IF(AND(E140&lt;CharacterSheet!$V$34,OR('House Rules'!$B$7="Standard",AND('House Rules'!$B$7="Ranked",OR(G139="Yes",G138="Yes")))),"Yes","No")</f>
        <v>No</v>
      </c>
      <c r="G140" s="564" t="s">
        <v>347</v>
      </c>
      <c r="H140" s="333" t="str">
        <f>IF(C140="","",VLOOKUP(C140,Boonref2!A:B,2,FALSE))</f>
        <v>Yes</v>
      </c>
      <c r="I140" s="333"/>
      <c r="J140" s="333" t="str">
        <f>VLOOKUP(C140,BoonRef!A:Z,17,FALSE)</f>
        <v>Yes</v>
      </c>
      <c r="K140" s="333" t="str">
        <f>IF(J140="God",'House Rules'!$B$2,IF(J140="Demi",'House Rules'!$B$1,IF(J140="Comp",'House Rules'!$B$4,IF(J140="Yaz",'House Rules'!$B$5,IF(J140="Rag",'House Rules'!$B$3,"Available")))))</f>
        <v>Available</v>
      </c>
      <c r="L140" s="333"/>
      <c r="M140" s="333"/>
      <c r="BF140" s="319">
        <f t="shared" si="81"/>
        <v>0</v>
      </c>
      <c r="BG140" s="345" t="s">
        <v>2486</v>
      </c>
      <c r="BI140" s="319">
        <f t="shared" si="87"/>
        <v>0</v>
      </c>
      <c r="BJ140" s="319">
        <f t="shared" si="88"/>
        <v>0</v>
      </c>
      <c r="BK140" s="319">
        <f t="shared" si="88"/>
        <v>0</v>
      </c>
      <c r="BL140" s="319">
        <f t="shared" si="88"/>
        <v>0</v>
      </c>
      <c r="BM140" s="319">
        <f t="shared" si="88"/>
        <v>0</v>
      </c>
      <c r="BN140" s="319">
        <f t="shared" si="88"/>
        <v>0</v>
      </c>
      <c r="BO140" s="319">
        <f t="shared" si="88"/>
        <v>0</v>
      </c>
      <c r="BP140" s="319">
        <f t="shared" si="88"/>
        <v>0</v>
      </c>
      <c r="BQ140" s="319">
        <f t="shared" si="88"/>
        <v>0</v>
      </c>
      <c r="BR140" s="319">
        <f t="shared" si="88"/>
        <v>0</v>
      </c>
      <c r="BS140" s="319">
        <f t="shared" si="88"/>
        <v>0</v>
      </c>
      <c r="BT140" s="319">
        <f t="shared" si="88"/>
        <v>0</v>
      </c>
      <c r="BU140" s="319">
        <f t="shared" si="88"/>
        <v>0</v>
      </c>
      <c r="BV140" s="319">
        <f t="shared" si="88"/>
        <v>0</v>
      </c>
      <c r="BW140" s="319">
        <f t="shared" si="88"/>
        <v>0</v>
      </c>
      <c r="BX140" s="319">
        <f t="shared" si="88"/>
        <v>0</v>
      </c>
      <c r="BY140" s="319">
        <f t="shared" si="88"/>
        <v>0</v>
      </c>
      <c r="BZ140" s="319">
        <f t="shared" si="88"/>
        <v>0</v>
      </c>
      <c r="CA140" s="319">
        <f t="shared" si="88"/>
        <v>0</v>
      </c>
      <c r="CB140" s="319">
        <f t="shared" ref="BJ140:CV146" si="89">IF(AND($D140=CB$1,$G140="Yes"),$E140,0)</f>
        <v>0</v>
      </c>
      <c r="CC140" s="319">
        <f t="shared" si="89"/>
        <v>0</v>
      </c>
      <c r="CD140" s="319">
        <f t="shared" si="89"/>
        <v>0</v>
      </c>
      <c r="CE140" s="319">
        <f t="shared" si="89"/>
        <v>0</v>
      </c>
      <c r="CF140" s="319">
        <f t="shared" si="89"/>
        <v>0</v>
      </c>
      <c r="CG140" s="319">
        <f t="shared" si="89"/>
        <v>0</v>
      </c>
      <c r="CH140" s="319">
        <f t="shared" si="89"/>
        <v>0</v>
      </c>
      <c r="CI140" s="319">
        <f t="shared" si="89"/>
        <v>0</v>
      </c>
      <c r="CJ140" s="319">
        <f t="shared" si="89"/>
        <v>0</v>
      </c>
      <c r="CK140" s="319">
        <f t="shared" si="89"/>
        <v>0</v>
      </c>
      <c r="CL140" s="319">
        <f t="shared" si="89"/>
        <v>0</v>
      </c>
      <c r="CM140" s="319">
        <f t="shared" si="89"/>
        <v>0</v>
      </c>
      <c r="CN140" s="319">
        <f t="shared" si="89"/>
        <v>0</v>
      </c>
      <c r="CO140" s="319">
        <f t="shared" si="89"/>
        <v>0</v>
      </c>
      <c r="CP140" s="319">
        <f t="shared" si="89"/>
        <v>0</v>
      </c>
      <c r="CQ140" s="319">
        <f t="shared" si="89"/>
        <v>0</v>
      </c>
      <c r="CR140" s="319">
        <f t="shared" si="89"/>
        <v>0</v>
      </c>
      <c r="CS140" s="319">
        <f t="shared" si="89"/>
        <v>0</v>
      </c>
      <c r="CT140" s="319">
        <f t="shared" si="89"/>
        <v>0</v>
      </c>
      <c r="CU140" s="319">
        <f t="shared" si="89"/>
        <v>0</v>
      </c>
      <c r="CV140" s="319">
        <f t="shared" si="89"/>
        <v>0</v>
      </c>
    </row>
    <row r="141" spans="1:100" ht="15.75" thickBot="1" x14ac:dyDescent="0.3">
      <c r="A141" s="319">
        <f t="shared" si="86"/>
        <v>0</v>
      </c>
      <c r="B141" s="319">
        <f t="shared" ref="B141:B204" si="90">IF(G141="Yes",B140+1,B140)</f>
        <v>0</v>
      </c>
      <c r="C141" s="340" t="s">
        <v>1396</v>
      </c>
      <c r="D141" s="341" t="s">
        <v>108</v>
      </c>
      <c r="E141" s="341">
        <v>3</v>
      </c>
      <c r="F141" s="341" t="str">
        <f>IF(AND(E141&lt;CharacterSheet!$V$34,'House Rules'!$B$4="Available",OR('House Rules'!$B$7="Standard",AND('House Rules'!$B$7="Ranked",OR(G139="Yes",G138="Yes")))),"Yes","No")</f>
        <v>No</v>
      </c>
      <c r="G141" s="564" t="s">
        <v>347</v>
      </c>
      <c r="H141" s="333" t="str">
        <f>IF(C141="","",VLOOKUP(C141,Boonref2!A:B,2,FALSE))</f>
        <v>Yes</v>
      </c>
      <c r="I141" s="333"/>
      <c r="J141" s="333" t="str">
        <f>VLOOKUP(C141,BoonRef!A:Z,17,FALSE)</f>
        <v>Yes</v>
      </c>
      <c r="K141" s="333" t="str">
        <f>IF(J141="God",'House Rules'!$B$2,IF(J141="Demi",'House Rules'!$B$1,IF(J141="Comp",'House Rules'!$B$4,IF(J141="Yaz",'House Rules'!$B$5,IF(J141="Rag",'House Rules'!$B$3,"Available")))))</f>
        <v>Available</v>
      </c>
      <c r="L141" s="333"/>
      <c r="M141" s="333"/>
      <c r="BF141" s="319">
        <f t="shared" si="81"/>
        <v>0</v>
      </c>
      <c r="BG141" s="355" t="s">
        <v>2487</v>
      </c>
      <c r="BI141" s="319">
        <f t="shared" si="87"/>
        <v>0</v>
      </c>
      <c r="BJ141" s="319">
        <f t="shared" si="89"/>
        <v>0</v>
      </c>
      <c r="BK141" s="319">
        <f t="shared" si="89"/>
        <v>0</v>
      </c>
      <c r="BL141" s="319">
        <f t="shared" si="89"/>
        <v>0</v>
      </c>
      <c r="BM141" s="319">
        <f t="shared" si="89"/>
        <v>0</v>
      </c>
      <c r="BN141" s="319">
        <f t="shared" si="89"/>
        <v>0</v>
      </c>
      <c r="BO141" s="319">
        <f t="shared" si="89"/>
        <v>0</v>
      </c>
      <c r="BP141" s="319">
        <f t="shared" si="89"/>
        <v>0</v>
      </c>
      <c r="BQ141" s="319">
        <f t="shared" si="89"/>
        <v>0</v>
      </c>
      <c r="BR141" s="319">
        <f t="shared" si="89"/>
        <v>0</v>
      </c>
      <c r="BS141" s="319">
        <f t="shared" si="89"/>
        <v>0</v>
      </c>
      <c r="BT141" s="319">
        <f t="shared" si="89"/>
        <v>0</v>
      </c>
      <c r="BU141" s="319">
        <f t="shared" si="89"/>
        <v>0</v>
      </c>
      <c r="BV141" s="319">
        <f t="shared" si="89"/>
        <v>0</v>
      </c>
      <c r="BW141" s="319">
        <f t="shared" si="89"/>
        <v>0</v>
      </c>
      <c r="BX141" s="319">
        <f t="shared" si="89"/>
        <v>0</v>
      </c>
      <c r="BY141" s="319">
        <f t="shared" si="89"/>
        <v>0</v>
      </c>
      <c r="BZ141" s="319">
        <f t="shared" si="89"/>
        <v>0</v>
      </c>
      <c r="CA141" s="319">
        <f t="shared" si="89"/>
        <v>0</v>
      </c>
      <c r="CB141" s="319">
        <f t="shared" si="89"/>
        <v>0</v>
      </c>
      <c r="CC141" s="319">
        <f t="shared" si="89"/>
        <v>0</v>
      </c>
      <c r="CD141" s="319">
        <f t="shared" si="89"/>
        <v>0</v>
      </c>
      <c r="CE141" s="319">
        <f t="shared" si="89"/>
        <v>0</v>
      </c>
      <c r="CF141" s="319">
        <f t="shared" si="89"/>
        <v>0</v>
      </c>
      <c r="CG141" s="319">
        <f t="shared" si="89"/>
        <v>0</v>
      </c>
      <c r="CH141" s="319">
        <f t="shared" si="89"/>
        <v>0</v>
      </c>
      <c r="CI141" s="319">
        <f t="shared" si="89"/>
        <v>0</v>
      </c>
      <c r="CJ141" s="319">
        <f t="shared" si="89"/>
        <v>0</v>
      </c>
      <c r="CK141" s="319">
        <f t="shared" si="89"/>
        <v>0</v>
      </c>
      <c r="CL141" s="319">
        <f t="shared" si="89"/>
        <v>0</v>
      </c>
      <c r="CM141" s="319">
        <f t="shared" si="89"/>
        <v>0</v>
      </c>
      <c r="CN141" s="319">
        <f t="shared" si="89"/>
        <v>0</v>
      </c>
      <c r="CO141" s="319">
        <f t="shared" si="89"/>
        <v>0</v>
      </c>
      <c r="CP141" s="319">
        <f t="shared" si="89"/>
        <v>0</v>
      </c>
      <c r="CQ141" s="319">
        <f t="shared" si="89"/>
        <v>0</v>
      </c>
      <c r="CR141" s="319">
        <f t="shared" si="89"/>
        <v>0</v>
      </c>
      <c r="CS141" s="319">
        <f t="shared" si="89"/>
        <v>0</v>
      </c>
      <c r="CT141" s="319">
        <f t="shared" si="89"/>
        <v>0</v>
      </c>
      <c r="CU141" s="319">
        <f t="shared" si="89"/>
        <v>0</v>
      </c>
      <c r="CV141" s="319">
        <f t="shared" si="89"/>
        <v>0</v>
      </c>
    </row>
    <row r="142" spans="1:100" x14ac:dyDescent="0.25">
      <c r="A142" s="319">
        <f t="shared" si="86"/>
        <v>0</v>
      </c>
      <c r="B142" s="319">
        <f t="shared" si="90"/>
        <v>0</v>
      </c>
      <c r="C142" s="340" t="s">
        <v>1175</v>
      </c>
      <c r="D142" s="341" t="s">
        <v>108</v>
      </c>
      <c r="E142" s="341">
        <v>4</v>
      </c>
      <c r="F142" s="341" t="str">
        <f>IF(AND(E142&lt;CharacterSheet!$V$34,'House Rules'!$B$1="Available",OR('House Rules'!$B$7="Standard",AND('House Rules'!$B$7="Ranked",OR(G141="Yes",G140="Yes")))),"Yes","No")</f>
        <v>No</v>
      </c>
      <c r="G142" s="564" t="s">
        <v>347</v>
      </c>
      <c r="H142" s="333" t="str">
        <f>IF(C142="","",VLOOKUP(C142,Boonref2!A:B,2,FALSE))</f>
        <v>Yes</v>
      </c>
      <c r="I142" s="333"/>
      <c r="J142" s="333" t="str">
        <f>VLOOKUP(C142,BoonRef!A:Z,17,FALSE)</f>
        <v>Yes</v>
      </c>
      <c r="K142" s="333" t="str">
        <f>IF(J142="God",'House Rules'!$B$2,IF(J142="Demi",'House Rules'!$B$1,IF(J142="Comp",'House Rules'!$B$4,IF(J142="Yaz",'House Rules'!$B$5,IF(J142="Rag",'House Rules'!$B$3,"Available")))))</f>
        <v>Available</v>
      </c>
      <c r="L142" s="333"/>
      <c r="M142" s="333"/>
      <c r="BF142" s="319">
        <f>AB2</f>
        <v>0</v>
      </c>
      <c r="BG142" s="336" t="s">
        <v>2488</v>
      </c>
      <c r="BI142" s="319">
        <f t="shared" si="87"/>
        <v>0</v>
      </c>
      <c r="BJ142" s="319">
        <f t="shared" si="89"/>
        <v>0</v>
      </c>
      <c r="BK142" s="319">
        <f t="shared" si="89"/>
        <v>0</v>
      </c>
      <c r="BL142" s="319">
        <f t="shared" si="89"/>
        <v>0</v>
      </c>
      <c r="BM142" s="319">
        <f t="shared" si="89"/>
        <v>0</v>
      </c>
      <c r="BN142" s="319">
        <f t="shared" si="89"/>
        <v>0</v>
      </c>
      <c r="BO142" s="319">
        <f t="shared" si="89"/>
        <v>0</v>
      </c>
      <c r="BP142" s="319">
        <f t="shared" si="89"/>
        <v>0</v>
      </c>
      <c r="BQ142" s="319">
        <f t="shared" si="89"/>
        <v>0</v>
      </c>
      <c r="BR142" s="319">
        <f t="shared" si="89"/>
        <v>0</v>
      </c>
      <c r="BS142" s="319">
        <f t="shared" si="89"/>
        <v>0</v>
      </c>
      <c r="BT142" s="319">
        <f t="shared" si="89"/>
        <v>0</v>
      </c>
      <c r="BU142" s="319">
        <f t="shared" si="89"/>
        <v>0</v>
      </c>
      <c r="BV142" s="319">
        <f t="shared" si="89"/>
        <v>0</v>
      </c>
      <c r="BW142" s="319">
        <f t="shared" si="89"/>
        <v>0</v>
      </c>
      <c r="BX142" s="319">
        <f t="shared" si="89"/>
        <v>0</v>
      </c>
      <c r="BY142" s="319">
        <f t="shared" si="89"/>
        <v>0</v>
      </c>
      <c r="BZ142" s="319">
        <f t="shared" si="89"/>
        <v>0</v>
      </c>
      <c r="CA142" s="319">
        <f t="shared" si="89"/>
        <v>0</v>
      </c>
      <c r="CB142" s="319">
        <f t="shared" si="89"/>
        <v>0</v>
      </c>
      <c r="CC142" s="319">
        <f t="shared" si="89"/>
        <v>0</v>
      </c>
      <c r="CD142" s="319">
        <f t="shared" si="89"/>
        <v>0</v>
      </c>
      <c r="CE142" s="319">
        <f t="shared" si="89"/>
        <v>0</v>
      </c>
      <c r="CF142" s="319">
        <f t="shared" si="89"/>
        <v>0</v>
      </c>
      <c r="CG142" s="319">
        <f t="shared" si="89"/>
        <v>0</v>
      </c>
      <c r="CH142" s="319">
        <f t="shared" si="89"/>
        <v>0</v>
      </c>
      <c r="CI142" s="319">
        <f t="shared" si="89"/>
        <v>0</v>
      </c>
      <c r="CJ142" s="319">
        <f t="shared" si="89"/>
        <v>0</v>
      </c>
      <c r="CK142" s="319">
        <f t="shared" si="89"/>
        <v>0</v>
      </c>
      <c r="CL142" s="319">
        <f t="shared" si="89"/>
        <v>0</v>
      </c>
      <c r="CM142" s="319">
        <f t="shared" si="89"/>
        <v>0</v>
      </c>
      <c r="CN142" s="319">
        <f t="shared" si="89"/>
        <v>0</v>
      </c>
      <c r="CO142" s="319">
        <f t="shared" si="89"/>
        <v>0</v>
      </c>
      <c r="CP142" s="319">
        <f t="shared" si="89"/>
        <v>0</v>
      </c>
      <c r="CQ142" s="319">
        <f t="shared" si="89"/>
        <v>0</v>
      </c>
      <c r="CR142" s="319">
        <f t="shared" si="89"/>
        <v>0</v>
      </c>
      <c r="CS142" s="319">
        <f t="shared" si="89"/>
        <v>0</v>
      </c>
      <c r="CT142" s="319">
        <f t="shared" si="89"/>
        <v>0</v>
      </c>
      <c r="CU142" s="319">
        <f t="shared" si="89"/>
        <v>0</v>
      </c>
      <c r="CV142" s="319">
        <f t="shared" si="89"/>
        <v>0</v>
      </c>
    </row>
    <row r="143" spans="1:100" x14ac:dyDescent="0.25">
      <c r="A143" s="319">
        <f t="shared" si="86"/>
        <v>0</v>
      </c>
      <c r="B143" s="319">
        <f t="shared" si="90"/>
        <v>0</v>
      </c>
      <c r="C143" s="340" t="s">
        <v>1499</v>
      </c>
      <c r="D143" s="341" t="s">
        <v>108</v>
      </c>
      <c r="E143" s="341">
        <v>4</v>
      </c>
      <c r="F143" s="341" t="str">
        <f>IF(AND(E143&lt;CharacterSheet!$V$34,'House Rules'!$B$3="Available",OR('House Rules'!$B$7="Standard",AND('House Rules'!$B$7="Ranked",OR(G141="Yes",G140="Yes")))),"Yes","No")</f>
        <v>No</v>
      </c>
      <c r="G143" s="564" t="s">
        <v>347</v>
      </c>
      <c r="H143" s="333" t="str">
        <f>IF(C143="","",VLOOKUP(C143,Boonref2!A:B,2,FALSE))</f>
        <v>Yes</v>
      </c>
      <c r="I143" s="333"/>
      <c r="J143" s="333" t="str">
        <f>VLOOKUP(C143,BoonRef!A:Z,17,FALSE)</f>
        <v>Yes</v>
      </c>
      <c r="K143" s="333" t="str">
        <f>IF(J143="God",'House Rules'!$B$2,IF(J143="Demi",'House Rules'!$B$1,IF(J143="Comp",'House Rules'!$B$4,IF(J143="Yaz",'House Rules'!$B$5,IF(J143="Rag",'House Rules'!$B$3,"Available")))))</f>
        <v>Available</v>
      </c>
      <c r="L143" s="333"/>
      <c r="M143" s="333"/>
      <c r="BF143" s="319">
        <f t="shared" ref="BF143:BF177" si="91">AB3</f>
        <v>0</v>
      </c>
      <c r="BG143" s="345" t="s">
        <v>2489</v>
      </c>
      <c r="BI143" s="319">
        <f t="shared" si="87"/>
        <v>0</v>
      </c>
      <c r="BJ143" s="319">
        <f t="shared" si="89"/>
        <v>0</v>
      </c>
      <c r="BK143" s="319">
        <f t="shared" si="89"/>
        <v>0</v>
      </c>
      <c r="BL143" s="319">
        <f t="shared" si="89"/>
        <v>0</v>
      </c>
      <c r="BM143" s="319">
        <f t="shared" si="89"/>
        <v>0</v>
      </c>
      <c r="BN143" s="319">
        <f t="shared" si="89"/>
        <v>0</v>
      </c>
      <c r="BO143" s="319">
        <f t="shared" si="89"/>
        <v>0</v>
      </c>
      <c r="BP143" s="319">
        <f t="shared" si="89"/>
        <v>0</v>
      </c>
      <c r="BQ143" s="319">
        <f t="shared" si="89"/>
        <v>0</v>
      </c>
      <c r="BR143" s="319">
        <f t="shared" si="89"/>
        <v>0</v>
      </c>
      <c r="BS143" s="319">
        <f t="shared" si="89"/>
        <v>0</v>
      </c>
      <c r="BT143" s="319">
        <f t="shared" si="89"/>
        <v>0</v>
      </c>
      <c r="BU143" s="319">
        <f t="shared" si="89"/>
        <v>0</v>
      </c>
      <c r="BV143" s="319">
        <f t="shared" si="89"/>
        <v>0</v>
      </c>
      <c r="BW143" s="319">
        <f t="shared" si="89"/>
        <v>0</v>
      </c>
      <c r="BX143" s="319">
        <f t="shared" si="89"/>
        <v>0</v>
      </c>
      <c r="BY143" s="319">
        <f t="shared" si="89"/>
        <v>0</v>
      </c>
      <c r="BZ143" s="319">
        <f t="shared" si="89"/>
        <v>0</v>
      </c>
      <c r="CA143" s="319">
        <f t="shared" si="89"/>
        <v>0</v>
      </c>
      <c r="CB143" s="319">
        <f t="shared" si="89"/>
        <v>0</v>
      </c>
      <c r="CC143" s="319">
        <f t="shared" si="89"/>
        <v>0</v>
      </c>
      <c r="CD143" s="319">
        <f t="shared" si="89"/>
        <v>0</v>
      </c>
      <c r="CE143" s="319">
        <f t="shared" si="89"/>
        <v>0</v>
      </c>
      <c r="CF143" s="319">
        <f t="shared" si="89"/>
        <v>0</v>
      </c>
      <c r="CG143" s="319">
        <f t="shared" si="89"/>
        <v>0</v>
      </c>
      <c r="CH143" s="319">
        <f t="shared" si="89"/>
        <v>0</v>
      </c>
      <c r="CI143" s="319">
        <f t="shared" si="89"/>
        <v>0</v>
      </c>
      <c r="CJ143" s="319">
        <f t="shared" si="89"/>
        <v>0</v>
      </c>
      <c r="CK143" s="319">
        <f t="shared" si="89"/>
        <v>0</v>
      </c>
      <c r="CL143" s="319">
        <f t="shared" si="89"/>
        <v>0</v>
      </c>
      <c r="CM143" s="319">
        <f t="shared" si="89"/>
        <v>0</v>
      </c>
      <c r="CN143" s="319">
        <f t="shared" si="89"/>
        <v>0</v>
      </c>
      <c r="CO143" s="319">
        <f t="shared" si="89"/>
        <v>0</v>
      </c>
      <c r="CP143" s="319">
        <f t="shared" si="89"/>
        <v>0</v>
      </c>
      <c r="CQ143" s="319">
        <f t="shared" si="89"/>
        <v>0</v>
      </c>
      <c r="CR143" s="319">
        <f t="shared" si="89"/>
        <v>0</v>
      </c>
      <c r="CS143" s="319">
        <f t="shared" si="89"/>
        <v>0</v>
      </c>
      <c r="CT143" s="319">
        <f t="shared" si="89"/>
        <v>0</v>
      </c>
      <c r="CU143" s="319">
        <f t="shared" si="89"/>
        <v>0</v>
      </c>
      <c r="CV143" s="319">
        <f t="shared" si="89"/>
        <v>0</v>
      </c>
    </row>
    <row r="144" spans="1:100" x14ac:dyDescent="0.25">
      <c r="A144" s="319">
        <f t="shared" si="86"/>
        <v>0</v>
      </c>
      <c r="B144" s="319">
        <f t="shared" si="90"/>
        <v>0</v>
      </c>
      <c r="C144" s="340" t="s">
        <v>1176</v>
      </c>
      <c r="D144" s="341" t="s">
        <v>108</v>
      </c>
      <c r="E144" s="341">
        <v>5</v>
      </c>
      <c r="F144" s="341" t="str">
        <f>IF(AND(E144&lt;CharacterSheet!$V$34,'House Rules'!$B$1="Available",OR('House Rules'!$B$7="Standard",AND('House Rules'!$B$7="Ranked",OR(G143="Yes",G142="Yes")))),"Yes","No")</f>
        <v>No</v>
      </c>
      <c r="G144" s="564" t="s">
        <v>347</v>
      </c>
      <c r="H144" s="333" t="str">
        <f>IF(C144="","",VLOOKUP(C144,Boonref2!A:B,2,FALSE))</f>
        <v>Yes</v>
      </c>
      <c r="I144" s="333"/>
      <c r="J144" s="333" t="str">
        <f>VLOOKUP(C144,BoonRef!A:Z,17,FALSE)</f>
        <v>Yes</v>
      </c>
      <c r="K144" s="333" t="str">
        <f>IF(J144="God",'House Rules'!$B$2,IF(J144="Demi",'House Rules'!$B$1,IF(J144="Comp",'House Rules'!$B$4,IF(J144="Yaz",'House Rules'!$B$5,IF(J144="Rag",'House Rules'!$B$3,"Available")))))</f>
        <v>Available</v>
      </c>
      <c r="L144" s="333"/>
      <c r="M144" s="333"/>
      <c r="BF144" s="319">
        <f t="shared" si="91"/>
        <v>0</v>
      </c>
      <c r="BG144" s="345" t="s">
        <v>2490</v>
      </c>
      <c r="BI144" s="319">
        <f t="shared" si="87"/>
        <v>0</v>
      </c>
      <c r="BJ144" s="319">
        <f t="shared" si="89"/>
        <v>0</v>
      </c>
      <c r="BK144" s="319">
        <f t="shared" si="89"/>
        <v>0</v>
      </c>
      <c r="BL144" s="319">
        <f t="shared" si="89"/>
        <v>0</v>
      </c>
      <c r="BM144" s="319">
        <f t="shared" si="89"/>
        <v>0</v>
      </c>
      <c r="BN144" s="319">
        <f t="shared" si="89"/>
        <v>0</v>
      </c>
      <c r="BO144" s="319">
        <f t="shared" si="89"/>
        <v>0</v>
      </c>
      <c r="BP144" s="319">
        <f t="shared" si="89"/>
        <v>0</v>
      </c>
      <c r="BQ144" s="319">
        <f t="shared" si="89"/>
        <v>0</v>
      </c>
      <c r="BR144" s="319">
        <f t="shared" si="89"/>
        <v>0</v>
      </c>
      <c r="BS144" s="319">
        <f t="shared" si="89"/>
        <v>0</v>
      </c>
      <c r="BT144" s="319">
        <f t="shared" si="89"/>
        <v>0</v>
      </c>
      <c r="BU144" s="319">
        <f t="shared" si="89"/>
        <v>0</v>
      </c>
      <c r="BV144" s="319">
        <f t="shared" si="89"/>
        <v>0</v>
      </c>
      <c r="BW144" s="319">
        <f t="shared" si="89"/>
        <v>0</v>
      </c>
      <c r="BX144" s="319">
        <f t="shared" si="89"/>
        <v>0</v>
      </c>
      <c r="BY144" s="319">
        <f t="shared" si="89"/>
        <v>0</v>
      </c>
      <c r="BZ144" s="319">
        <f t="shared" si="89"/>
        <v>0</v>
      </c>
      <c r="CA144" s="319">
        <f t="shared" si="89"/>
        <v>0</v>
      </c>
      <c r="CB144" s="319">
        <f t="shared" si="89"/>
        <v>0</v>
      </c>
      <c r="CC144" s="319">
        <f t="shared" si="89"/>
        <v>0</v>
      </c>
      <c r="CD144" s="319">
        <f t="shared" si="89"/>
        <v>0</v>
      </c>
      <c r="CE144" s="319">
        <f t="shared" si="89"/>
        <v>0</v>
      </c>
      <c r="CF144" s="319">
        <f t="shared" si="89"/>
        <v>0</v>
      </c>
      <c r="CG144" s="319">
        <f t="shared" si="89"/>
        <v>0</v>
      </c>
      <c r="CH144" s="319">
        <f t="shared" si="89"/>
        <v>0</v>
      </c>
      <c r="CI144" s="319">
        <f t="shared" si="89"/>
        <v>0</v>
      </c>
      <c r="CJ144" s="319">
        <f t="shared" si="89"/>
        <v>0</v>
      </c>
      <c r="CK144" s="319">
        <f t="shared" si="89"/>
        <v>0</v>
      </c>
      <c r="CL144" s="319">
        <f t="shared" si="89"/>
        <v>0</v>
      </c>
      <c r="CM144" s="319">
        <f t="shared" si="89"/>
        <v>0</v>
      </c>
      <c r="CN144" s="319">
        <f t="shared" si="89"/>
        <v>0</v>
      </c>
      <c r="CO144" s="319">
        <f t="shared" si="89"/>
        <v>0</v>
      </c>
      <c r="CP144" s="319">
        <f t="shared" si="89"/>
        <v>0</v>
      </c>
      <c r="CQ144" s="319">
        <f t="shared" si="89"/>
        <v>0</v>
      </c>
      <c r="CR144" s="319">
        <f t="shared" si="89"/>
        <v>0</v>
      </c>
      <c r="CS144" s="319">
        <f t="shared" si="89"/>
        <v>0</v>
      </c>
      <c r="CT144" s="319">
        <f t="shared" si="89"/>
        <v>0</v>
      </c>
      <c r="CU144" s="319">
        <f t="shared" si="89"/>
        <v>0</v>
      </c>
      <c r="CV144" s="319">
        <f t="shared" si="89"/>
        <v>0</v>
      </c>
    </row>
    <row r="145" spans="1:100" x14ac:dyDescent="0.25">
      <c r="A145" s="319">
        <f t="shared" si="86"/>
        <v>0</v>
      </c>
      <c r="B145" s="319">
        <f t="shared" si="90"/>
        <v>0</v>
      </c>
      <c r="C145" s="340" t="s">
        <v>1177</v>
      </c>
      <c r="D145" s="341" t="s">
        <v>108</v>
      </c>
      <c r="E145" s="341">
        <v>6</v>
      </c>
      <c r="F145" s="341" t="str">
        <f>IF(AND(E145&lt;CharacterSheet!$V$34,'House Rules'!$B$1="Available",OR('House Rules'!$B$7="Standard",AND('House Rules'!$B$7="Ranked",G144="Yes"))),"Yes","No")</f>
        <v>No</v>
      </c>
      <c r="G145" s="564" t="s">
        <v>347</v>
      </c>
      <c r="H145" s="333" t="str">
        <f>IF(C145="","",VLOOKUP(C145,Boonref2!A:B,2,FALSE))</f>
        <v>Yes</v>
      </c>
      <c r="I145" s="333"/>
      <c r="J145" s="333" t="str">
        <f>VLOOKUP(C145,BoonRef!A:Z,17,FALSE)</f>
        <v>Yes</v>
      </c>
      <c r="K145" s="333" t="str">
        <f>IF(J145="God",'House Rules'!$B$2,IF(J145="Demi",'House Rules'!$B$1,IF(J145="Comp",'House Rules'!$B$4,IF(J145="Yaz",'House Rules'!$B$5,IF(J145="Rag",'House Rules'!$B$3,"Available")))))</f>
        <v>Available</v>
      </c>
      <c r="L145" s="333"/>
      <c r="M145" s="333"/>
      <c r="BF145" s="319">
        <f t="shared" si="91"/>
        <v>0</v>
      </c>
      <c r="BG145" s="345" t="s">
        <v>2491</v>
      </c>
      <c r="BI145" s="319">
        <f t="shared" si="87"/>
        <v>0</v>
      </c>
      <c r="BJ145" s="319">
        <f t="shared" si="89"/>
        <v>0</v>
      </c>
      <c r="BK145" s="319">
        <f t="shared" si="89"/>
        <v>0</v>
      </c>
      <c r="BL145" s="319">
        <f t="shared" si="89"/>
        <v>0</v>
      </c>
      <c r="BM145" s="319">
        <f t="shared" si="89"/>
        <v>0</v>
      </c>
      <c r="BN145" s="319">
        <f t="shared" si="89"/>
        <v>0</v>
      </c>
      <c r="BO145" s="319">
        <f t="shared" si="89"/>
        <v>0</v>
      </c>
      <c r="BP145" s="319">
        <f t="shared" si="89"/>
        <v>0</v>
      </c>
      <c r="BQ145" s="319">
        <f t="shared" si="89"/>
        <v>0</v>
      </c>
      <c r="BR145" s="319">
        <f t="shared" si="89"/>
        <v>0</v>
      </c>
      <c r="BS145" s="319">
        <f t="shared" si="89"/>
        <v>0</v>
      </c>
      <c r="BT145" s="319">
        <f t="shared" si="89"/>
        <v>0</v>
      </c>
      <c r="BU145" s="319">
        <f t="shared" si="89"/>
        <v>0</v>
      </c>
      <c r="BV145" s="319">
        <f t="shared" si="89"/>
        <v>0</v>
      </c>
      <c r="BW145" s="319">
        <f t="shared" si="89"/>
        <v>0</v>
      </c>
      <c r="BX145" s="319">
        <f t="shared" si="89"/>
        <v>0</v>
      </c>
      <c r="BY145" s="319">
        <f t="shared" si="89"/>
        <v>0</v>
      </c>
      <c r="BZ145" s="319">
        <f t="shared" si="89"/>
        <v>0</v>
      </c>
      <c r="CA145" s="319">
        <f t="shared" si="89"/>
        <v>0</v>
      </c>
      <c r="CB145" s="319">
        <f t="shared" si="89"/>
        <v>0</v>
      </c>
      <c r="CC145" s="319">
        <f t="shared" si="89"/>
        <v>0</v>
      </c>
      <c r="CD145" s="319">
        <f t="shared" si="89"/>
        <v>0</v>
      </c>
      <c r="CE145" s="319">
        <f t="shared" si="89"/>
        <v>0</v>
      </c>
      <c r="CF145" s="319">
        <f t="shared" si="89"/>
        <v>0</v>
      </c>
      <c r="CG145" s="319">
        <f t="shared" si="89"/>
        <v>0</v>
      </c>
      <c r="CH145" s="319">
        <f t="shared" si="89"/>
        <v>0</v>
      </c>
      <c r="CI145" s="319">
        <f t="shared" si="89"/>
        <v>0</v>
      </c>
      <c r="CJ145" s="319">
        <f t="shared" si="89"/>
        <v>0</v>
      </c>
      <c r="CK145" s="319">
        <f t="shared" si="89"/>
        <v>0</v>
      </c>
      <c r="CL145" s="319">
        <f t="shared" si="89"/>
        <v>0</v>
      </c>
      <c r="CM145" s="319">
        <f t="shared" si="89"/>
        <v>0</v>
      </c>
      <c r="CN145" s="319">
        <f t="shared" si="89"/>
        <v>0</v>
      </c>
      <c r="CO145" s="319">
        <f t="shared" si="89"/>
        <v>0</v>
      </c>
      <c r="CP145" s="319">
        <f t="shared" si="89"/>
        <v>0</v>
      </c>
      <c r="CQ145" s="319">
        <f t="shared" si="89"/>
        <v>0</v>
      </c>
      <c r="CR145" s="319">
        <f t="shared" si="89"/>
        <v>0</v>
      </c>
      <c r="CS145" s="319">
        <f t="shared" si="89"/>
        <v>0</v>
      </c>
      <c r="CT145" s="319">
        <f t="shared" si="89"/>
        <v>0</v>
      </c>
      <c r="CU145" s="319">
        <f t="shared" si="89"/>
        <v>0</v>
      </c>
      <c r="CV145" s="319">
        <f t="shared" si="89"/>
        <v>0</v>
      </c>
    </row>
    <row r="146" spans="1:100" x14ac:dyDescent="0.25">
      <c r="A146" s="319">
        <f t="shared" si="86"/>
        <v>0</v>
      </c>
      <c r="B146" s="319">
        <f t="shared" si="90"/>
        <v>0</v>
      </c>
      <c r="C146" s="340" t="s">
        <v>1178</v>
      </c>
      <c r="D146" s="341" t="s">
        <v>108</v>
      </c>
      <c r="E146" s="341">
        <v>7</v>
      </c>
      <c r="F146" s="341" t="str">
        <f>IF(AND(E146&lt;CharacterSheet!$V$34,'House Rules'!$B$1="Available",OR('House Rules'!$B$7="Standard",AND('House Rules'!$B$7="Ranked",G145="Yes"))),"Yes","No")</f>
        <v>No</v>
      </c>
      <c r="G146" s="564" t="s">
        <v>347</v>
      </c>
      <c r="H146" s="333" t="str">
        <f>IF(C146="","",VLOOKUP(C146,Boonref2!A:B,2,FALSE))</f>
        <v>Yes</v>
      </c>
      <c r="I146" s="333"/>
      <c r="J146" s="333" t="str">
        <f>VLOOKUP(C146,BoonRef!A:Z,17,FALSE)</f>
        <v>Yes</v>
      </c>
      <c r="K146" s="333" t="str">
        <f>IF(J146="God",'House Rules'!$B$2,IF(J146="Demi",'House Rules'!$B$1,IF(J146="Comp",'House Rules'!$B$4,IF(J146="Yaz",'House Rules'!$B$5,IF(J146="Rag",'House Rules'!$B$3,"Available")))))</f>
        <v>Available</v>
      </c>
      <c r="L146" s="333"/>
      <c r="M146" s="333"/>
      <c r="BF146" s="319">
        <f t="shared" si="91"/>
        <v>0</v>
      </c>
      <c r="BG146" s="345" t="s">
        <v>2492</v>
      </c>
      <c r="BI146" s="319">
        <f t="shared" si="87"/>
        <v>0</v>
      </c>
      <c r="BJ146" s="319">
        <f t="shared" si="89"/>
        <v>0</v>
      </c>
      <c r="BK146" s="319">
        <f t="shared" si="89"/>
        <v>0</v>
      </c>
      <c r="BL146" s="319">
        <f t="shared" si="89"/>
        <v>0</v>
      </c>
      <c r="BM146" s="319">
        <f t="shared" si="89"/>
        <v>0</v>
      </c>
      <c r="BN146" s="319">
        <f t="shared" si="89"/>
        <v>0</v>
      </c>
      <c r="BO146" s="319">
        <f t="shared" si="89"/>
        <v>0</v>
      </c>
      <c r="BP146" s="319">
        <f t="shared" si="89"/>
        <v>0</v>
      </c>
      <c r="BQ146" s="319">
        <f t="shared" si="89"/>
        <v>0</v>
      </c>
      <c r="BR146" s="319">
        <f t="shared" si="89"/>
        <v>0</v>
      </c>
      <c r="BS146" s="319">
        <f t="shared" si="89"/>
        <v>0</v>
      </c>
      <c r="BT146" s="319">
        <f t="shared" si="89"/>
        <v>0</v>
      </c>
      <c r="BU146" s="319">
        <f t="shared" si="89"/>
        <v>0</v>
      </c>
      <c r="BV146" s="319">
        <f t="shared" si="89"/>
        <v>0</v>
      </c>
      <c r="BW146" s="319">
        <f t="shared" si="89"/>
        <v>0</v>
      </c>
      <c r="BX146" s="319">
        <f t="shared" si="89"/>
        <v>0</v>
      </c>
      <c r="BY146" s="319">
        <f t="shared" si="89"/>
        <v>0</v>
      </c>
      <c r="BZ146" s="319">
        <f t="shared" si="89"/>
        <v>0</v>
      </c>
      <c r="CA146" s="319">
        <f t="shared" si="89"/>
        <v>0</v>
      </c>
      <c r="CB146" s="319">
        <f t="shared" si="89"/>
        <v>0</v>
      </c>
      <c r="CC146" s="319">
        <f t="shared" si="89"/>
        <v>0</v>
      </c>
      <c r="CD146" s="319">
        <f t="shared" si="89"/>
        <v>0</v>
      </c>
      <c r="CE146" s="319">
        <f t="shared" si="89"/>
        <v>0</v>
      </c>
      <c r="CF146" s="319">
        <f t="shared" si="89"/>
        <v>0</v>
      </c>
      <c r="CG146" s="319">
        <f t="shared" si="89"/>
        <v>0</v>
      </c>
      <c r="CH146" s="319">
        <f t="shared" si="89"/>
        <v>0</v>
      </c>
      <c r="CI146" s="319">
        <f t="shared" si="89"/>
        <v>0</v>
      </c>
      <c r="CJ146" s="319">
        <f t="shared" si="89"/>
        <v>0</v>
      </c>
      <c r="CK146" s="319">
        <f t="shared" si="89"/>
        <v>0</v>
      </c>
      <c r="CL146" s="319">
        <f t="shared" si="89"/>
        <v>0</v>
      </c>
      <c r="CM146" s="319">
        <f t="shared" si="89"/>
        <v>0</v>
      </c>
      <c r="CN146" s="319">
        <f t="shared" si="89"/>
        <v>0</v>
      </c>
      <c r="CO146" s="319">
        <f t="shared" si="89"/>
        <v>0</v>
      </c>
      <c r="CP146" s="319">
        <f t="shared" si="89"/>
        <v>0</v>
      </c>
      <c r="CQ146" s="319">
        <f t="shared" si="89"/>
        <v>0</v>
      </c>
      <c r="CR146" s="319">
        <f t="shared" si="89"/>
        <v>0</v>
      </c>
      <c r="CS146" s="319">
        <f t="shared" si="89"/>
        <v>0</v>
      </c>
      <c r="CT146" s="319">
        <f t="shared" si="89"/>
        <v>0</v>
      </c>
      <c r="CU146" s="319">
        <f t="shared" si="89"/>
        <v>0</v>
      </c>
      <c r="CV146" s="319">
        <f t="shared" si="89"/>
        <v>0</v>
      </c>
    </row>
    <row r="147" spans="1:100" x14ac:dyDescent="0.25">
      <c r="A147" s="319">
        <f t="shared" si="86"/>
        <v>0</v>
      </c>
      <c r="B147" s="319">
        <f t="shared" si="90"/>
        <v>0</v>
      </c>
      <c r="C147" s="340" t="s">
        <v>1275</v>
      </c>
      <c r="D147" s="341" t="s">
        <v>108</v>
      </c>
      <c r="E147" s="341">
        <v>8</v>
      </c>
      <c r="F147" s="341" t="str">
        <f>IF(AND(E147&lt;CharacterSheet!$V$34,'House Rules'!$B$2="available",OR('House Rules'!$B$7="Standard",AND('House Rules'!$B$7="Ranked",G146="Yes"))),"Yes","No")</f>
        <v>No</v>
      </c>
      <c r="G147" s="564" t="s">
        <v>347</v>
      </c>
      <c r="H147" s="333" t="str">
        <f>IF(C147="","",VLOOKUP(C147,Boonref2!A:B,2,FALSE))</f>
        <v>Yes</v>
      </c>
      <c r="I147" s="333"/>
      <c r="J147" s="333" t="str">
        <f>VLOOKUP(C147,BoonRef!A:Z,17,FALSE)</f>
        <v>Yes</v>
      </c>
      <c r="K147" s="333" t="str">
        <f>IF(J147="God",'House Rules'!$B$2,IF(J147="Demi",'House Rules'!$B$1,IF(J147="Comp",'House Rules'!$B$4,IF(J147="Yaz",'House Rules'!$B$5,IF(J147="Rag",'House Rules'!$B$3,"Available")))))</f>
        <v>Available</v>
      </c>
      <c r="L147" s="333"/>
      <c r="M147" s="333"/>
      <c r="BF147" s="319">
        <f t="shared" si="91"/>
        <v>0</v>
      </c>
      <c r="BG147" s="345" t="s">
        <v>2493</v>
      </c>
      <c r="BI147" s="319">
        <f t="shared" si="87"/>
        <v>0</v>
      </c>
      <c r="BJ147" s="319">
        <f t="shared" ref="BJ147:CV153" si="92">IF(AND($D147=BJ$1,$G147="Yes"),$E147,0)</f>
        <v>0</v>
      </c>
      <c r="BK147" s="319">
        <f t="shared" si="92"/>
        <v>0</v>
      </c>
      <c r="BL147" s="319">
        <f t="shared" si="92"/>
        <v>0</v>
      </c>
      <c r="BM147" s="319">
        <f t="shared" si="92"/>
        <v>0</v>
      </c>
      <c r="BN147" s="319">
        <f t="shared" si="92"/>
        <v>0</v>
      </c>
      <c r="BO147" s="319">
        <f t="shared" si="92"/>
        <v>0</v>
      </c>
      <c r="BP147" s="319">
        <f t="shared" si="92"/>
        <v>0</v>
      </c>
      <c r="BQ147" s="319">
        <f t="shared" si="92"/>
        <v>0</v>
      </c>
      <c r="BR147" s="319">
        <f t="shared" si="92"/>
        <v>0</v>
      </c>
      <c r="BS147" s="319">
        <f t="shared" si="92"/>
        <v>0</v>
      </c>
      <c r="BT147" s="319">
        <f t="shared" si="92"/>
        <v>0</v>
      </c>
      <c r="BU147" s="319">
        <f t="shared" si="92"/>
        <v>0</v>
      </c>
      <c r="BV147" s="319">
        <f t="shared" si="92"/>
        <v>0</v>
      </c>
      <c r="BW147" s="319">
        <f t="shared" si="92"/>
        <v>0</v>
      </c>
      <c r="BX147" s="319">
        <f t="shared" si="92"/>
        <v>0</v>
      </c>
      <c r="BY147" s="319">
        <f t="shared" si="92"/>
        <v>0</v>
      </c>
      <c r="BZ147" s="319">
        <f t="shared" si="92"/>
        <v>0</v>
      </c>
      <c r="CA147" s="319">
        <f t="shared" si="92"/>
        <v>0</v>
      </c>
      <c r="CB147" s="319">
        <f t="shared" si="92"/>
        <v>0</v>
      </c>
      <c r="CC147" s="319">
        <f t="shared" si="92"/>
        <v>0</v>
      </c>
      <c r="CD147" s="319">
        <f t="shared" si="92"/>
        <v>0</v>
      </c>
      <c r="CE147" s="319">
        <f t="shared" si="92"/>
        <v>0</v>
      </c>
      <c r="CF147" s="319">
        <f t="shared" si="92"/>
        <v>0</v>
      </c>
      <c r="CG147" s="319">
        <f t="shared" si="92"/>
        <v>0</v>
      </c>
      <c r="CH147" s="319">
        <f t="shared" si="92"/>
        <v>0</v>
      </c>
      <c r="CI147" s="319">
        <f t="shared" si="92"/>
        <v>0</v>
      </c>
      <c r="CJ147" s="319">
        <f t="shared" si="92"/>
        <v>0</v>
      </c>
      <c r="CK147" s="319">
        <f t="shared" si="92"/>
        <v>0</v>
      </c>
      <c r="CL147" s="319">
        <f t="shared" si="92"/>
        <v>0</v>
      </c>
      <c r="CM147" s="319">
        <f t="shared" si="92"/>
        <v>0</v>
      </c>
      <c r="CN147" s="319">
        <f t="shared" si="92"/>
        <v>0</v>
      </c>
      <c r="CO147" s="319">
        <f t="shared" si="92"/>
        <v>0</v>
      </c>
      <c r="CP147" s="319">
        <f t="shared" si="92"/>
        <v>0</v>
      </c>
      <c r="CQ147" s="319">
        <f t="shared" si="92"/>
        <v>0</v>
      </c>
      <c r="CR147" s="319">
        <f t="shared" si="92"/>
        <v>0</v>
      </c>
      <c r="CS147" s="319">
        <f t="shared" si="92"/>
        <v>0</v>
      </c>
      <c r="CT147" s="319">
        <f t="shared" si="92"/>
        <v>0</v>
      </c>
      <c r="CU147" s="319">
        <f t="shared" si="92"/>
        <v>0</v>
      </c>
      <c r="CV147" s="319">
        <f t="shared" si="92"/>
        <v>0</v>
      </c>
    </row>
    <row r="148" spans="1:100" x14ac:dyDescent="0.25">
      <c r="A148" s="319">
        <f t="shared" si="86"/>
        <v>0</v>
      </c>
      <c r="B148" s="319">
        <f t="shared" si="90"/>
        <v>0</v>
      </c>
      <c r="C148" s="340" t="s">
        <v>2637</v>
      </c>
      <c r="D148" s="341" t="s">
        <v>108</v>
      </c>
      <c r="E148" s="341">
        <v>8</v>
      </c>
      <c r="F148" s="341" t="str">
        <f>IF(AND(E147&lt;CharacterSheet!$V$34,'House Rules'!$B$3="Available",OR('House Rules'!$B$7="Standard",AND('House Rules'!$B$7="Ranked",OR(G146="Yes")))),"Yes","No")</f>
        <v>No</v>
      </c>
      <c r="G148" s="564" t="s">
        <v>347</v>
      </c>
      <c r="H148" s="333" t="str">
        <f>IF(C148="","",VLOOKUP(C148,Boonref2!A:B,2,FALSE))</f>
        <v>Yes</v>
      </c>
      <c r="I148" s="333"/>
      <c r="J148" s="333" t="str">
        <f>VLOOKUP(C148,BoonRef!A:Z,17,FALSE)</f>
        <v>Yes</v>
      </c>
      <c r="K148" s="333" t="str">
        <f>IF(J148="God",'House Rules'!$B$2,IF(J148="Demi",'House Rules'!$B$1,IF(J148="Comp",'House Rules'!$B$4,IF(J148="Yaz",'House Rules'!$B$5,IF(J148="Rag",'House Rules'!$B$3,"Available")))))</f>
        <v>Available</v>
      </c>
      <c r="L148" s="333"/>
      <c r="M148" s="333"/>
      <c r="BF148" s="319">
        <f t="shared" si="91"/>
        <v>0</v>
      </c>
      <c r="BG148" s="345" t="s">
        <v>2494</v>
      </c>
      <c r="BI148" s="319">
        <f t="shared" si="87"/>
        <v>0</v>
      </c>
      <c r="BJ148" s="319">
        <f t="shared" si="92"/>
        <v>0</v>
      </c>
      <c r="BK148" s="319">
        <f t="shared" si="92"/>
        <v>0</v>
      </c>
      <c r="BL148" s="319">
        <f t="shared" si="92"/>
        <v>0</v>
      </c>
      <c r="BM148" s="319">
        <f t="shared" si="92"/>
        <v>0</v>
      </c>
      <c r="BN148" s="319">
        <f t="shared" si="92"/>
        <v>0</v>
      </c>
      <c r="BO148" s="319">
        <f t="shared" si="92"/>
        <v>0</v>
      </c>
      <c r="BP148" s="319">
        <f t="shared" si="92"/>
        <v>0</v>
      </c>
      <c r="BQ148" s="319">
        <f t="shared" si="92"/>
        <v>0</v>
      </c>
      <c r="BR148" s="319">
        <f t="shared" si="92"/>
        <v>0</v>
      </c>
      <c r="BS148" s="319">
        <f t="shared" si="92"/>
        <v>0</v>
      </c>
      <c r="BT148" s="319">
        <f t="shared" si="92"/>
        <v>0</v>
      </c>
      <c r="BU148" s="319">
        <f t="shared" si="92"/>
        <v>0</v>
      </c>
      <c r="BV148" s="319">
        <f t="shared" si="92"/>
        <v>0</v>
      </c>
      <c r="BW148" s="319">
        <f t="shared" si="92"/>
        <v>0</v>
      </c>
      <c r="BX148" s="319">
        <f t="shared" si="92"/>
        <v>0</v>
      </c>
      <c r="BY148" s="319">
        <f t="shared" si="92"/>
        <v>0</v>
      </c>
      <c r="BZ148" s="319">
        <f t="shared" si="92"/>
        <v>0</v>
      </c>
      <c r="CA148" s="319">
        <f t="shared" si="92"/>
        <v>0</v>
      </c>
      <c r="CB148" s="319">
        <f t="shared" si="92"/>
        <v>0</v>
      </c>
      <c r="CC148" s="319">
        <f t="shared" si="92"/>
        <v>0</v>
      </c>
      <c r="CD148" s="319">
        <f t="shared" si="92"/>
        <v>0</v>
      </c>
      <c r="CE148" s="319">
        <f t="shared" si="92"/>
        <v>0</v>
      </c>
      <c r="CF148" s="319">
        <f t="shared" si="92"/>
        <v>0</v>
      </c>
      <c r="CG148" s="319">
        <f t="shared" si="92"/>
        <v>0</v>
      </c>
      <c r="CH148" s="319">
        <f t="shared" si="92"/>
        <v>0</v>
      </c>
      <c r="CI148" s="319">
        <f t="shared" si="92"/>
        <v>0</v>
      </c>
      <c r="CJ148" s="319">
        <f t="shared" si="92"/>
        <v>0</v>
      </c>
      <c r="CK148" s="319">
        <f t="shared" si="92"/>
        <v>0</v>
      </c>
      <c r="CL148" s="319">
        <f t="shared" si="92"/>
        <v>0</v>
      </c>
      <c r="CM148" s="319">
        <f t="shared" si="92"/>
        <v>0</v>
      </c>
      <c r="CN148" s="319">
        <f t="shared" si="92"/>
        <v>0</v>
      </c>
      <c r="CO148" s="319">
        <f t="shared" si="92"/>
        <v>0</v>
      </c>
      <c r="CP148" s="319">
        <f t="shared" si="92"/>
        <v>0</v>
      </c>
      <c r="CQ148" s="319">
        <f t="shared" si="92"/>
        <v>0</v>
      </c>
      <c r="CR148" s="319">
        <f t="shared" si="92"/>
        <v>0</v>
      </c>
      <c r="CS148" s="319">
        <f t="shared" si="92"/>
        <v>0</v>
      </c>
      <c r="CT148" s="319">
        <f t="shared" si="92"/>
        <v>0</v>
      </c>
      <c r="CU148" s="319">
        <f t="shared" si="92"/>
        <v>0</v>
      </c>
      <c r="CV148" s="319">
        <f t="shared" si="92"/>
        <v>0</v>
      </c>
    </row>
    <row r="149" spans="1:100" x14ac:dyDescent="0.25">
      <c r="A149" s="319">
        <f t="shared" si="86"/>
        <v>0</v>
      </c>
      <c r="B149" s="319">
        <f t="shared" si="90"/>
        <v>0</v>
      </c>
      <c r="C149" s="340" t="s">
        <v>1276</v>
      </c>
      <c r="D149" s="341" t="s">
        <v>108</v>
      </c>
      <c r="E149" s="341">
        <v>9</v>
      </c>
      <c r="F149" s="341" t="str">
        <f>IF(AND(E149&lt;CharacterSheet!$V$34,'House Rules'!$B$2="available",OR('House Rules'!$B$7="Standard",AND('House Rules'!$B$7="Ranked",OR(G147="Yes",G148="Yes")))),"Yes","No")</f>
        <v>No</v>
      </c>
      <c r="G149" s="564" t="s">
        <v>347</v>
      </c>
      <c r="H149" s="333" t="str">
        <f>IF(C149="","",VLOOKUP(C149,Boonref2!A:B,2,FALSE))</f>
        <v>Yes</v>
      </c>
      <c r="I149" s="333"/>
      <c r="J149" s="333" t="str">
        <f>VLOOKUP(C149,BoonRef!A:Z,17,FALSE)</f>
        <v>Yes</v>
      </c>
      <c r="K149" s="333" t="str">
        <f>IF(J149="God",'House Rules'!$B$2,IF(J149="Demi",'House Rules'!$B$1,IF(J149="Comp",'House Rules'!$B$4,IF(J149="Yaz",'House Rules'!$B$5,IF(J149="Rag",'House Rules'!$B$3,"Available")))))</f>
        <v>Available</v>
      </c>
      <c r="L149" s="333"/>
      <c r="M149" s="333"/>
      <c r="BF149" s="319">
        <f t="shared" si="91"/>
        <v>0</v>
      </c>
      <c r="BG149" s="345" t="s">
        <v>2495</v>
      </c>
      <c r="BI149" s="319">
        <f t="shared" si="87"/>
        <v>0</v>
      </c>
      <c r="BJ149" s="319">
        <f t="shared" si="92"/>
        <v>0</v>
      </c>
      <c r="BK149" s="319">
        <f t="shared" si="92"/>
        <v>0</v>
      </c>
      <c r="BL149" s="319">
        <f t="shared" si="92"/>
        <v>0</v>
      </c>
      <c r="BM149" s="319">
        <f t="shared" si="92"/>
        <v>0</v>
      </c>
      <c r="BN149" s="319">
        <f t="shared" si="92"/>
        <v>0</v>
      </c>
      <c r="BO149" s="319">
        <f t="shared" si="92"/>
        <v>0</v>
      </c>
      <c r="BP149" s="319">
        <f t="shared" si="92"/>
        <v>0</v>
      </c>
      <c r="BQ149" s="319">
        <f t="shared" si="92"/>
        <v>0</v>
      </c>
      <c r="BR149" s="319">
        <f t="shared" si="92"/>
        <v>0</v>
      </c>
      <c r="BS149" s="319">
        <f t="shared" si="92"/>
        <v>0</v>
      </c>
      <c r="BT149" s="319">
        <f t="shared" si="92"/>
        <v>0</v>
      </c>
      <c r="BU149" s="319">
        <f t="shared" si="92"/>
        <v>0</v>
      </c>
      <c r="BV149" s="319">
        <f t="shared" si="92"/>
        <v>0</v>
      </c>
      <c r="BW149" s="319">
        <f t="shared" si="92"/>
        <v>0</v>
      </c>
      <c r="BX149" s="319">
        <f t="shared" si="92"/>
        <v>0</v>
      </c>
      <c r="BY149" s="319">
        <f t="shared" si="92"/>
        <v>0</v>
      </c>
      <c r="BZ149" s="319">
        <f t="shared" si="92"/>
        <v>0</v>
      </c>
      <c r="CA149" s="319">
        <f t="shared" si="92"/>
        <v>0</v>
      </c>
      <c r="CB149" s="319">
        <f t="shared" si="92"/>
        <v>0</v>
      </c>
      <c r="CC149" s="319">
        <f t="shared" si="92"/>
        <v>0</v>
      </c>
      <c r="CD149" s="319">
        <f t="shared" si="92"/>
        <v>0</v>
      </c>
      <c r="CE149" s="319">
        <f t="shared" si="92"/>
        <v>0</v>
      </c>
      <c r="CF149" s="319">
        <f t="shared" si="92"/>
        <v>0</v>
      </c>
      <c r="CG149" s="319">
        <f t="shared" si="92"/>
        <v>0</v>
      </c>
      <c r="CH149" s="319">
        <f t="shared" si="92"/>
        <v>0</v>
      </c>
      <c r="CI149" s="319">
        <f t="shared" si="92"/>
        <v>0</v>
      </c>
      <c r="CJ149" s="319">
        <f t="shared" si="92"/>
        <v>0</v>
      </c>
      <c r="CK149" s="319">
        <f t="shared" si="92"/>
        <v>0</v>
      </c>
      <c r="CL149" s="319">
        <f t="shared" si="92"/>
        <v>0</v>
      </c>
      <c r="CM149" s="319">
        <f t="shared" si="92"/>
        <v>0</v>
      </c>
      <c r="CN149" s="319">
        <f t="shared" si="92"/>
        <v>0</v>
      </c>
      <c r="CO149" s="319">
        <f t="shared" si="92"/>
        <v>0</v>
      </c>
      <c r="CP149" s="319">
        <f t="shared" si="92"/>
        <v>0</v>
      </c>
      <c r="CQ149" s="319">
        <f t="shared" si="92"/>
        <v>0</v>
      </c>
      <c r="CR149" s="319">
        <f t="shared" si="92"/>
        <v>0</v>
      </c>
      <c r="CS149" s="319">
        <f t="shared" si="92"/>
        <v>0</v>
      </c>
      <c r="CT149" s="319">
        <f t="shared" si="92"/>
        <v>0</v>
      </c>
      <c r="CU149" s="319">
        <f t="shared" si="92"/>
        <v>0</v>
      </c>
      <c r="CV149" s="319">
        <f t="shared" si="92"/>
        <v>0</v>
      </c>
    </row>
    <row r="150" spans="1:100" x14ac:dyDescent="0.25">
      <c r="A150" s="319">
        <f t="shared" si="86"/>
        <v>0</v>
      </c>
      <c r="B150" s="319">
        <f t="shared" si="90"/>
        <v>0</v>
      </c>
      <c r="C150" s="340" t="s">
        <v>1277</v>
      </c>
      <c r="D150" s="341" t="s">
        <v>108</v>
      </c>
      <c r="E150" s="341">
        <v>10</v>
      </c>
      <c r="F150" s="341" t="str">
        <f>IF(AND(E150&lt;CharacterSheet!$V$34,'House Rules'!$B$2="available",OR('House Rules'!$B$7="Standard",AND('House Rules'!$B$7="Ranked",G149="Yes"))),"Yes","No")</f>
        <v>No</v>
      </c>
      <c r="G150" s="564" t="s">
        <v>347</v>
      </c>
      <c r="H150" s="333" t="str">
        <f>IF(C150="","",VLOOKUP(C150,Boonref2!A:B,2,FALSE))</f>
        <v>Yes</v>
      </c>
      <c r="I150" s="333"/>
      <c r="J150" s="333" t="str">
        <f>VLOOKUP(C150,BoonRef!A:Z,17,FALSE)</f>
        <v>Yes</v>
      </c>
      <c r="K150" s="333" t="str">
        <f>IF(J150="God",'House Rules'!$B$2,IF(J150="Demi",'House Rules'!$B$1,IF(J150="Comp",'House Rules'!$B$4,IF(J150="Yaz",'House Rules'!$B$5,IF(J150="Rag",'House Rules'!$B$3,"Available")))))</f>
        <v>Available</v>
      </c>
      <c r="L150" s="333"/>
      <c r="M150" s="333"/>
      <c r="BF150" s="319">
        <f t="shared" si="91"/>
        <v>0</v>
      </c>
      <c r="BG150" s="345" t="s">
        <v>2496</v>
      </c>
      <c r="BI150" s="319">
        <f t="shared" si="87"/>
        <v>0</v>
      </c>
      <c r="BJ150" s="319">
        <f t="shared" si="92"/>
        <v>0</v>
      </c>
      <c r="BK150" s="319">
        <f t="shared" si="92"/>
        <v>0</v>
      </c>
      <c r="BL150" s="319">
        <f t="shared" si="92"/>
        <v>0</v>
      </c>
      <c r="BM150" s="319">
        <f t="shared" si="92"/>
        <v>0</v>
      </c>
      <c r="BN150" s="319">
        <f t="shared" si="92"/>
        <v>0</v>
      </c>
      <c r="BO150" s="319">
        <f t="shared" si="92"/>
        <v>0</v>
      </c>
      <c r="BP150" s="319">
        <f t="shared" si="92"/>
        <v>0</v>
      </c>
      <c r="BQ150" s="319">
        <f t="shared" si="92"/>
        <v>0</v>
      </c>
      <c r="BR150" s="319">
        <f t="shared" si="92"/>
        <v>0</v>
      </c>
      <c r="BS150" s="319">
        <f t="shared" si="92"/>
        <v>0</v>
      </c>
      <c r="BT150" s="319">
        <f t="shared" si="92"/>
        <v>0</v>
      </c>
      <c r="BU150" s="319">
        <f t="shared" si="92"/>
        <v>0</v>
      </c>
      <c r="BV150" s="319">
        <f t="shared" si="92"/>
        <v>0</v>
      </c>
      <c r="BW150" s="319">
        <f t="shared" si="92"/>
        <v>0</v>
      </c>
      <c r="BX150" s="319">
        <f t="shared" si="92"/>
        <v>0</v>
      </c>
      <c r="BY150" s="319">
        <f t="shared" si="92"/>
        <v>0</v>
      </c>
      <c r="BZ150" s="319">
        <f t="shared" si="92"/>
        <v>0</v>
      </c>
      <c r="CA150" s="319">
        <f t="shared" si="92"/>
        <v>0</v>
      </c>
      <c r="CB150" s="319">
        <f t="shared" si="92"/>
        <v>0</v>
      </c>
      <c r="CC150" s="319">
        <f t="shared" si="92"/>
        <v>0</v>
      </c>
      <c r="CD150" s="319">
        <f t="shared" si="92"/>
        <v>0</v>
      </c>
      <c r="CE150" s="319">
        <f t="shared" si="92"/>
        <v>0</v>
      </c>
      <c r="CF150" s="319">
        <f t="shared" si="92"/>
        <v>0</v>
      </c>
      <c r="CG150" s="319">
        <f t="shared" si="92"/>
        <v>0</v>
      </c>
      <c r="CH150" s="319">
        <f t="shared" si="92"/>
        <v>0</v>
      </c>
      <c r="CI150" s="319">
        <f t="shared" si="92"/>
        <v>0</v>
      </c>
      <c r="CJ150" s="319">
        <f t="shared" si="92"/>
        <v>0</v>
      </c>
      <c r="CK150" s="319">
        <f t="shared" si="92"/>
        <v>0</v>
      </c>
      <c r="CL150" s="319">
        <f t="shared" si="92"/>
        <v>0</v>
      </c>
      <c r="CM150" s="319">
        <f t="shared" si="92"/>
        <v>0</v>
      </c>
      <c r="CN150" s="319">
        <f t="shared" si="92"/>
        <v>0</v>
      </c>
      <c r="CO150" s="319">
        <f t="shared" si="92"/>
        <v>0</v>
      </c>
      <c r="CP150" s="319">
        <f t="shared" si="92"/>
        <v>0</v>
      </c>
      <c r="CQ150" s="319">
        <f t="shared" si="92"/>
        <v>0</v>
      </c>
      <c r="CR150" s="319">
        <f t="shared" si="92"/>
        <v>0</v>
      </c>
      <c r="CS150" s="319">
        <f t="shared" si="92"/>
        <v>0</v>
      </c>
      <c r="CT150" s="319">
        <f t="shared" si="92"/>
        <v>0</v>
      </c>
      <c r="CU150" s="319">
        <f t="shared" si="92"/>
        <v>0</v>
      </c>
      <c r="CV150" s="319">
        <f t="shared" si="92"/>
        <v>0</v>
      </c>
    </row>
    <row r="151" spans="1:100" ht="15.75" thickBot="1" x14ac:dyDescent="0.3">
      <c r="A151" s="319">
        <f t="shared" si="86"/>
        <v>0</v>
      </c>
      <c r="B151" s="319">
        <f t="shared" si="90"/>
        <v>0</v>
      </c>
      <c r="C151" s="352" t="s">
        <v>1278</v>
      </c>
      <c r="D151" s="353" t="s">
        <v>108</v>
      </c>
      <c r="E151" s="353">
        <v>11</v>
      </c>
      <c r="F151" s="353" t="str">
        <f>IF(AND(E25&lt;CharacterSheet!$V$34,G137="Yes",G144="Yes",G145="Yes",G146="Yes",OR(G147="Yes",G148="Yes"),G149="Yes",G150="Yes",OR(G138="Yes",G139="Yes"),OR(G140="Yes",G141="Yes"),OR(G142="Yes",G143="Yes")),"Yes","No")</f>
        <v>No</v>
      </c>
      <c r="G151" s="565" t="s">
        <v>347</v>
      </c>
      <c r="H151" s="333" t="str">
        <f>IF(C151="","",VLOOKUP(C151,Boonref2!A:B,2,FALSE))</f>
        <v>No</v>
      </c>
      <c r="I151" s="333"/>
      <c r="J151" s="333" t="str">
        <f>VLOOKUP(C151,BoonRef!A:Z,17,FALSE)</f>
        <v>Yes</v>
      </c>
      <c r="K151" s="333" t="str">
        <f>IF(J151="God",'House Rules'!$B$2,IF(J151="Demi",'House Rules'!$B$1,IF(J151="Comp",'House Rules'!$B$4,IF(J151="Yaz",'House Rules'!$B$5,IF(J151="Rag",'House Rules'!$B$3,"Available")))))</f>
        <v>Available</v>
      </c>
      <c r="L151" s="333"/>
      <c r="M151" s="333"/>
      <c r="BF151" s="319">
        <f t="shared" si="91"/>
        <v>0</v>
      </c>
      <c r="BG151" s="355" t="s">
        <v>2497</v>
      </c>
      <c r="BI151" s="319">
        <f t="shared" si="87"/>
        <v>0</v>
      </c>
      <c r="BJ151" s="319">
        <f t="shared" si="92"/>
        <v>0</v>
      </c>
      <c r="BK151" s="319">
        <f t="shared" si="92"/>
        <v>0</v>
      </c>
      <c r="BL151" s="319">
        <f t="shared" si="92"/>
        <v>0</v>
      </c>
      <c r="BM151" s="319">
        <f t="shared" si="92"/>
        <v>0</v>
      </c>
      <c r="BN151" s="319">
        <f t="shared" si="92"/>
        <v>0</v>
      </c>
      <c r="BO151" s="319">
        <f t="shared" si="92"/>
        <v>0</v>
      </c>
      <c r="BP151" s="319">
        <f t="shared" si="92"/>
        <v>0</v>
      </c>
      <c r="BQ151" s="319">
        <f t="shared" si="92"/>
        <v>0</v>
      </c>
      <c r="BR151" s="319">
        <f t="shared" si="92"/>
        <v>0</v>
      </c>
      <c r="BS151" s="319">
        <f t="shared" si="92"/>
        <v>0</v>
      </c>
      <c r="BT151" s="319">
        <f t="shared" si="92"/>
        <v>0</v>
      </c>
      <c r="BU151" s="319">
        <f t="shared" si="92"/>
        <v>0</v>
      </c>
      <c r="BV151" s="319">
        <f t="shared" si="92"/>
        <v>0</v>
      </c>
      <c r="BW151" s="319">
        <f t="shared" si="92"/>
        <v>0</v>
      </c>
      <c r="BX151" s="319">
        <f t="shared" si="92"/>
        <v>0</v>
      </c>
      <c r="BY151" s="319">
        <f t="shared" si="92"/>
        <v>0</v>
      </c>
      <c r="BZ151" s="319">
        <f t="shared" si="92"/>
        <v>0</v>
      </c>
      <c r="CA151" s="319">
        <f t="shared" si="92"/>
        <v>0</v>
      </c>
      <c r="CB151" s="319">
        <f t="shared" si="92"/>
        <v>0</v>
      </c>
      <c r="CC151" s="319">
        <f t="shared" si="92"/>
        <v>0</v>
      </c>
      <c r="CD151" s="319">
        <f t="shared" si="92"/>
        <v>0</v>
      </c>
      <c r="CE151" s="319">
        <f t="shared" si="92"/>
        <v>0</v>
      </c>
      <c r="CF151" s="319">
        <f t="shared" si="92"/>
        <v>0</v>
      </c>
      <c r="CG151" s="319">
        <f t="shared" si="92"/>
        <v>0</v>
      </c>
      <c r="CH151" s="319">
        <f t="shared" si="92"/>
        <v>0</v>
      </c>
      <c r="CI151" s="319">
        <f t="shared" si="92"/>
        <v>0</v>
      </c>
      <c r="CJ151" s="319">
        <f t="shared" si="92"/>
        <v>0</v>
      </c>
      <c r="CK151" s="319">
        <f t="shared" si="92"/>
        <v>0</v>
      </c>
      <c r="CL151" s="319">
        <f t="shared" si="92"/>
        <v>0</v>
      </c>
      <c r="CM151" s="319">
        <f t="shared" si="92"/>
        <v>0</v>
      </c>
      <c r="CN151" s="319">
        <f t="shared" si="92"/>
        <v>0</v>
      </c>
      <c r="CO151" s="319">
        <f t="shared" si="92"/>
        <v>0</v>
      </c>
      <c r="CP151" s="319">
        <f t="shared" si="92"/>
        <v>0</v>
      </c>
      <c r="CQ151" s="319">
        <f t="shared" si="92"/>
        <v>0</v>
      </c>
      <c r="CR151" s="319">
        <f t="shared" si="92"/>
        <v>0</v>
      </c>
      <c r="CS151" s="319">
        <f t="shared" si="92"/>
        <v>0</v>
      </c>
      <c r="CT151" s="319">
        <f t="shared" si="92"/>
        <v>0</v>
      </c>
      <c r="CU151" s="319">
        <f t="shared" si="92"/>
        <v>0</v>
      </c>
      <c r="CV151" s="319">
        <f t="shared" si="92"/>
        <v>0</v>
      </c>
    </row>
    <row r="152" spans="1:100" x14ac:dyDescent="0.25">
      <c r="A152" s="319">
        <f t="shared" si="86"/>
        <v>0</v>
      </c>
      <c r="B152" s="319">
        <f t="shared" si="90"/>
        <v>0</v>
      </c>
      <c r="C152" s="330" t="s">
        <v>1496</v>
      </c>
      <c r="D152" s="331" t="s">
        <v>689</v>
      </c>
      <c r="E152" s="331">
        <v>1</v>
      </c>
      <c r="F152" s="331" t="str">
        <f>IF(AND(E152&lt;CharacterSheet!$V$34,'House Rules'!$B$3="Available",'House Rules'!$B$13="Boons"),"Yes","No")</f>
        <v>No</v>
      </c>
      <c r="G152" s="563" t="s">
        <v>347</v>
      </c>
      <c r="H152" s="333" t="str">
        <f>IF(C152="","",VLOOKUP(C152,Boonref2!A:B,2,FALSE))</f>
        <v>Yes</v>
      </c>
      <c r="I152" s="333"/>
      <c r="J152" s="333" t="str">
        <f>VLOOKUP(C152,BoonRef!A:Z,17,FALSE)</f>
        <v>Yes</v>
      </c>
      <c r="K152" s="333" t="str">
        <f>IF(J152="God",'House Rules'!$B$2,IF(J152="Demi",'House Rules'!$B$1,IF(J152="Comp",'House Rules'!$B$4,IF(J152="Yaz",'House Rules'!$B$5,IF(J152="Rag",'House Rules'!$B$3,"Available")))))</f>
        <v>Available</v>
      </c>
      <c r="L152" s="333"/>
      <c r="M152" s="333"/>
      <c r="BF152" s="319">
        <f t="shared" si="91"/>
        <v>0</v>
      </c>
      <c r="BG152" s="336" t="s">
        <v>2498</v>
      </c>
      <c r="BI152" s="319">
        <f t="shared" si="87"/>
        <v>0</v>
      </c>
      <c r="BJ152" s="319">
        <f t="shared" si="92"/>
        <v>0</v>
      </c>
      <c r="BK152" s="319">
        <f t="shared" si="92"/>
        <v>0</v>
      </c>
      <c r="BL152" s="319">
        <f t="shared" si="92"/>
        <v>0</v>
      </c>
      <c r="BM152" s="319">
        <f t="shared" si="92"/>
        <v>0</v>
      </c>
      <c r="BN152" s="319">
        <f t="shared" si="92"/>
        <v>0</v>
      </c>
      <c r="BO152" s="319">
        <f t="shared" si="92"/>
        <v>0</v>
      </c>
      <c r="BP152" s="319">
        <f t="shared" si="92"/>
        <v>0</v>
      </c>
      <c r="BQ152" s="319">
        <f t="shared" si="92"/>
        <v>0</v>
      </c>
      <c r="BR152" s="319">
        <f t="shared" si="92"/>
        <v>0</v>
      </c>
      <c r="BS152" s="319">
        <f t="shared" si="92"/>
        <v>0</v>
      </c>
      <c r="BT152" s="319">
        <f t="shared" si="92"/>
        <v>0</v>
      </c>
      <c r="BU152" s="319">
        <f t="shared" si="92"/>
        <v>0</v>
      </c>
      <c r="BV152" s="319">
        <f t="shared" si="92"/>
        <v>0</v>
      </c>
      <c r="BW152" s="319">
        <f t="shared" si="92"/>
        <v>0</v>
      </c>
      <c r="BX152" s="319">
        <f t="shared" si="92"/>
        <v>0</v>
      </c>
      <c r="BY152" s="319">
        <f t="shared" si="92"/>
        <v>0</v>
      </c>
      <c r="BZ152" s="319">
        <f t="shared" si="92"/>
        <v>0</v>
      </c>
      <c r="CA152" s="319">
        <f t="shared" si="92"/>
        <v>0</v>
      </c>
      <c r="CB152" s="319">
        <f t="shared" si="92"/>
        <v>0</v>
      </c>
      <c r="CC152" s="319">
        <f t="shared" si="92"/>
        <v>0</v>
      </c>
      <c r="CD152" s="319">
        <f t="shared" si="92"/>
        <v>0</v>
      </c>
      <c r="CE152" s="319">
        <f t="shared" si="92"/>
        <v>0</v>
      </c>
      <c r="CF152" s="319">
        <f t="shared" si="92"/>
        <v>0</v>
      </c>
      <c r="CG152" s="319">
        <f t="shared" si="92"/>
        <v>0</v>
      </c>
      <c r="CH152" s="319">
        <f t="shared" si="92"/>
        <v>0</v>
      </c>
      <c r="CI152" s="319">
        <f t="shared" si="92"/>
        <v>0</v>
      </c>
      <c r="CJ152" s="319">
        <f t="shared" si="92"/>
        <v>0</v>
      </c>
      <c r="CK152" s="319">
        <f t="shared" si="92"/>
        <v>0</v>
      </c>
      <c r="CL152" s="319">
        <f t="shared" si="92"/>
        <v>0</v>
      </c>
      <c r="CM152" s="319">
        <f t="shared" si="92"/>
        <v>0</v>
      </c>
      <c r="CN152" s="319">
        <f t="shared" si="92"/>
        <v>0</v>
      </c>
      <c r="CO152" s="319">
        <f t="shared" si="92"/>
        <v>0</v>
      </c>
      <c r="CP152" s="319">
        <f t="shared" si="92"/>
        <v>0</v>
      </c>
      <c r="CQ152" s="319">
        <f t="shared" si="92"/>
        <v>0</v>
      </c>
      <c r="CR152" s="319">
        <f t="shared" si="92"/>
        <v>0</v>
      </c>
      <c r="CS152" s="319">
        <f t="shared" si="92"/>
        <v>0</v>
      </c>
      <c r="CT152" s="319">
        <f t="shared" si="92"/>
        <v>0</v>
      </c>
      <c r="CU152" s="319">
        <f t="shared" si="92"/>
        <v>0</v>
      </c>
      <c r="CV152" s="319">
        <f t="shared" si="92"/>
        <v>0</v>
      </c>
    </row>
    <row r="153" spans="1:100" x14ac:dyDescent="0.25">
      <c r="A153" s="319">
        <f t="shared" si="86"/>
        <v>0</v>
      </c>
      <c r="B153" s="319">
        <f t="shared" si="90"/>
        <v>0</v>
      </c>
      <c r="C153" s="340" t="s">
        <v>1497</v>
      </c>
      <c r="D153" s="341" t="s">
        <v>689</v>
      </c>
      <c r="E153" s="341">
        <v>2</v>
      </c>
      <c r="F153" s="341" t="str">
        <f>IF(AND(E153&lt;CharacterSheet!$V$34,'House Rules'!$B$3="Available",'House Rules'!$B$13="Boons",OR('House Rules'!$B$7="Standard",AND('House Rules'!$B$7="Ranked",G152="Yes"))),"Yes","No")</f>
        <v>No</v>
      </c>
      <c r="G153" s="564" t="s">
        <v>347</v>
      </c>
      <c r="H153" s="333" t="str">
        <f>IF(C153="","",VLOOKUP(C153,Boonref2!A:B,2,FALSE))</f>
        <v>Yes</v>
      </c>
      <c r="I153" s="333"/>
      <c r="J153" s="333" t="str">
        <f>VLOOKUP(C153,BoonRef!A:Z,17,FALSE)</f>
        <v>Yes</v>
      </c>
      <c r="K153" s="333" t="str">
        <f>IF(J153="God",'House Rules'!$B$2,IF(J153="Demi",'House Rules'!$B$1,IF(J153="Comp",'House Rules'!$B$4,IF(J153="Yaz",'House Rules'!$B$5,IF(J153="Rag",'House Rules'!$B$3,"Available")))))</f>
        <v>Available</v>
      </c>
      <c r="L153" s="333"/>
      <c r="M153" s="333"/>
      <c r="BF153" s="319">
        <f t="shared" si="91"/>
        <v>0</v>
      </c>
      <c r="BG153" s="345" t="s">
        <v>2499</v>
      </c>
      <c r="BI153" s="319">
        <f t="shared" si="87"/>
        <v>0</v>
      </c>
      <c r="BJ153" s="319">
        <f t="shared" si="92"/>
        <v>0</v>
      </c>
      <c r="BK153" s="319">
        <f t="shared" si="92"/>
        <v>0</v>
      </c>
      <c r="BL153" s="319">
        <f t="shared" si="92"/>
        <v>0</v>
      </c>
      <c r="BM153" s="319">
        <f t="shared" si="92"/>
        <v>0</v>
      </c>
      <c r="BN153" s="319">
        <f t="shared" si="92"/>
        <v>0</v>
      </c>
      <c r="BO153" s="319">
        <f t="shared" si="92"/>
        <v>0</v>
      </c>
      <c r="BP153" s="319">
        <f t="shared" si="92"/>
        <v>0</v>
      </c>
      <c r="BQ153" s="319">
        <f t="shared" si="92"/>
        <v>0</v>
      </c>
      <c r="BR153" s="319">
        <f t="shared" si="92"/>
        <v>0</v>
      </c>
      <c r="BS153" s="319">
        <f t="shared" si="92"/>
        <v>0</v>
      </c>
      <c r="BT153" s="319">
        <f t="shared" si="92"/>
        <v>0</v>
      </c>
      <c r="BU153" s="319">
        <f t="shared" si="92"/>
        <v>0</v>
      </c>
      <c r="BV153" s="319">
        <f t="shared" si="92"/>
        <v>0</v>
      </c>
      <c r="BW153" s="319">
        <f t="shared" si="92"/>
        <v>0</v>
      </c>
      <c r="BX153" s="319">
        <f t="shared" si="92"/>
        <v>0</v>
      </c>
      <c r="BY153" s="319">
        <f t="shared" si="92"/>
        <v>0</v>
      </c>
      <c r="BZ153" s="319">
        <f t="shared" si="92"/>
        <v>0</v>
      </c>
      <c r="CA153" s="319">
        <f t="shared" si="92"/>
        <v>0</v>
      </c>
      <c r="CB153" s="319">
        <f t="shared" si="92"/>
        <v>0</v>
      </c>
      <c r="CC153" s="319">
        <f t="shared" si="92"/>
        <v>0</v>
      </c>
      <c r="CD153" s="319">
        <f t="shared" si="92"/>
        <v>0</v>
      </c>
      <c r="CE153" s="319">
        <f t="shared" ref="BJ153:CV160" si="93">IF(AND($D153=CE$1,$G153="Yes"),$E153,0)</f>
        <v>0</v>
      </c>
      <c r="CF153" s="319">
        <f t="shared" si="93"/>
        <v>0</v>
      </c>
      <c r="CG153" s="319">
        <f t="shared" si="93"/>
        <v>0</v>
      </c>
      <c r="CH153" s="319">
        <f t="shared" si="93"/>
        <v>0</v>
      </c>
      <c r="CI153" s="319">
        <f t="shared" si="93"/>
        <v>0</v>
      </c>
      <c r="CJ153" s="319">
        <f t="shared" si="93"/>
        <v>0</v>
      </c>
      <c r="CK153" s="319">
        <f t="shared" si="93"/>
        <v>0</v>
      </c>
      <c r="CL153" s="319">
        <f t="shared" si="93"/>
        <v>0</v>
      </c>
      <c r="CM153" s="319">
        <f t="shared" si="93"/>
        <v>0</v>
      </c>
      <c r="CN153" s="319">
        <f t="shared" si="93"/>
        <v>0</v>
      </c>
      <c r="CO153" s="319">
        <f t="shared" si="93"/>
        <v>0</v>
      </c>
      <c r="CP153" s="319">
        <f t="shared" si="93"/>
        <v>0</v>
      </c>
      <c r="CQ153" s="319">
        <f t="shared" si="93"/>
        <v>0</v>
      </c>
      <c r="CR153" s="319">
        <f t="shared" si="93"/>
        <v>0</v>
      </c>
      <c r="CS153" s="319">
        <f t="shared" si="93"/>
        <v>0</v>
      </c>
      <c r="CT153" s="319">
        <f t="shared" si="93"/>
        <v>0</v>
      </c>
      <c r="CU153" s="319">
        <f t="shared" si="93"/>
        <v>0</v>
      </c>
      <c r="CV153" s="319">
        <f t="shared" si="93"/>
        <v>0</v>
      </c>
    </row>
    <row r="154" spans="1:100" x14ac:dyDescent="0.25">
      <c r="A154" s="319">
        <f t="shared" si="86"/>
        <v>0</v>
      </c>
      <c r="B154" s="319">
        <f t="shared" si="90"/>
        <v>0</v>
      </c>
      <c r="C154" s="340" t="s">
        <v>1501</v>
      </c>
      <c r="D154" s="341" t="s">
        <v>689</v>
      </c>
      <c r="E154" s="341">
        <v>3</v>
      </c>
      <c r="F154" s="341" t="str">
        <f>IF(AND(E154&lt;CharacterSheet!$V$34,'House Rules'!$B$3="Available",'House Rules'!$B$13="Boons",OR('House Rules'!$B$7="Standard",AND('House Rules'!$B$7="Ranked",G153="Yes"))),"Yes","No")</f>
        <v>No</v>
      </c>
      <c r="G154" s="564" t="s">
        <v>347</v>
      </c>
      <c r="H154" s="333" t="str">
        <f>IF(C154="","",VLOOKUP(C154,Boonref2!A:B,2,FALSE))</f>
        <v>Yes</v>
      </c>
      <c r="I154" s="333"/>
      <c r="J154" s="333" t="str">
        <f>VLOOKUP(C154,BoonRef!A:Z,17,FALSE)</f>
        <v>Yes</v>
      </c>
      <c r="K154" s="333" t="str">
        <f>IF(J154="God",'House Rules'!$B$2,IF(J154="Demi",'House Rules'!$B$1,IF(J154="Comp",'House Rules'!$B$4,IF(J154="Yaz",'House Rules'!$B$5,IF(J154="Rag",'House Rules'!$B$3,"Available")))))</f>
        <v>Available</v>
      </c>
      <c r="L154" s="333"/>
      <c r="M154" s="333"/>
      <c r="BF154" s="319">
        <f t="shared" si="91"/>
        <v>0</v>
      </c>
      <c r="BG154" s="345" t="s">
        <v>2500</v>
      </c>
      <c r="BI154" s="319">
        <f t="shared" si="87"/>
        <v>0</v>
      </c>
      <c r="BJ154" s="319">
        <f t="shared" si="93"/>
        <v>0</v>
      </c>
      <c r="BK154" s="319">
        <f t="shared" si="93"/>
        <v>0</v>
      </c>
      <c r="BL154" s="319">
        <f t="shared" si="93"/>
        <v>0</v>
      </c>
      <c r="BM154" s="319">
        <f t="shared" si="93"/>
        <v>0</v>
      </c>
      <c r="BN154" s="319">
        <f t="shared" si="93"/>
        <v>0</v>
      </c>
      <c r="BO154" s="319">
        <f t="shared" si="93"/>
        <v>0</v>
      </c>
      <c r="BP154" s="319">
        <f t="shared" si="93"/>
        <v>0</v>
      </c>
      <c r="BQ154" s="319">
        <f t="shared" si="93"/>
        <v>0</v>
      </c>
      <c r="BR154" s="319">
        <f t="shared" si="93"/>
        <v>0</v>
      </c>
      <c r="BS154" s="319">
        <f t="shared" si="93"/>
        <v>0</v>
      </c>
      <c r="BT154" s="319">
        <f t="shared" si="93"/>
        <v>0</v>
      </c>
      <c r="BU154" s="319">
        <f t="shared" si="93"/>
        <v>0</v>
      </c>
      <c r="BV154" s="319">
        <f t="shared" si="93"/>
        <v>0</v>
      </c>
      <c r="BW154" s="319">
        <f t="shared" si="93"/>
        <v>0</v>
      </c>
      <c r="BX154" s="319">
        <f t="shared" si="93"/>
        <v>0</v>
      </c>
      <c r="BY154" s="319">
        <f t="shared" si="93"/>
        <v>0</v>
      </c>
      <c r="BZ154" s="319">
        <f t="shared" si="93"/>
        <v>0</v>
      </c>
      <c r="CA154" s="319">
        <f t="shared" si="93"/>
        <v>0</v>
      </c>
      <c r="CB154" s="319">
        <f t="shared" si="93"/>
        <v>0</v>
      </c>
      <c r="CC154" s="319">
        <f t="shared" si="93"/>
        <v>0</v>
      </c>
      <c r="CD154" s="319">
        <f t="shared" si="93"/>
        <v>0</v>
      </c>
      <c r="CE154" s="319">
        <f t="shared" si="93"/>
        <v>0</v>
      </c>
      <c r="CF154" s="319">
        <f t="shared" si="93"/>
        <v>0</v>
      </c>
      <c r="CG154" s="319">
        <f t="shared" si="93"/>
        <v>0</v>
      </c>
      <c r="CH154" s="319">
        <f t="shared" si="93"/>
        <v>0</v>
      </c>
      <c r="CI154" s="319">
        <f t="shared" si="93"/>
        <v>0</v>
      </c>
      <c r="CJ154" s="319">
        <f t="shared" si="93"/>
        <v>0</v>
      </c>
      <c r="CK154" s="319">
        <f t="shared" si="93"/>
        <v>0</v>
      </c>
      <c r="CL154" s="319">
        <f t="shared" si="93"/>
        <v>0</v>
      </c>
      <c r="CM154" s="319">
        <f t="shared" si="93"/>
        <v>0</v>
      </c>
      <c r="CN154" s="319">
        <f t="shared" si="93"/>
        <v>0</v>
      </c>
      <c r="CO154" s="319">
        <f t="shared" si="93"/>
        <v>0</v>
      </c>
      <c r="CP154" s="319">
        <f t="shared" si="93"/>
        <v>0</v>
      </c>
      <c r="CQ154" s="319">
        <f t="shared" si="93"/>
        <v>0</v>
      </c>
      <c r="CR154" s="319">
        <f t="shared" si="93"/>
        <v>0</v>
      </c>
      <c r="CS154" s="319">
        <f t="shared" si="93"/>
        <v>0</v>
      </c>
      <c r="CT154" s="319">
        <f t="shared" si="93"/>
        <v>0</v>
      </c>
      <c r="CU154" s="319">
        <f t="shared" si="93"/>
        <v>0</v>
      </c>
      <c r="CV154" s="319">
        <f t="shared" si="93"/>
        <v>0</v>
      </c>
    </row>
    <row r="155" spans="1:100" x14ac:dyDescent="0.25">
      <c r="A155" s="319">
        <f t="shared" si="86"/>
        <v>0</v>
      </c>
      <c r="B155" s="319">
        <f t="shared" si="90"/>
        <v>0</v>
      </c>
      <c r="C155" s="340" t="s">
        <v>1502</v>
      </c>
      <c r="D155" s="341" t="s">
        <v>689</v>
      </c>
      <c r="E155" s="341">
        <v>4</v>
      </c>
      <c r="F155" s="341" t="str">
        <f>IF(AND(E155&lt;CharacterSheet!$V$34,'House Rules'!$B$3="Available",'House Rules'!$B$13="Boons",OR('House Rules'!$B$7="Standard",AND('House Rules'!$B$7="Ranked",G154="Yes"))),"Yes","No")</f>
        <v>No</v>
      </c>
      <c r="G155" s="564" t="s">
        <v>347</v>
      </c>
      <c r="H155" s="333" t="str">
        <f>IF(C155="","",VLOOKUP(C155,Boonref2!A:B,2,FALSE))</f>
        <v>Yes</v>
      </c>
      <c r="I155" s="333"/>
      <c r="J155" s="333" t="str">
        <f>VLOOKUP(C155,BoonRef!A:Z,17,FALSE)</f>
        <v>Yes</v>
      </c>
      <c r="K155" s="333" t="str">
        <f>IF(J155="God",'House Rules'!$B$2,IF(J155="Demi",'House Rules'!$B$1,IF(J155="Comp",'House Rules'!$B$4,IF(J155="Yaz",'House Rules'!$B$5,IF(J155="Rag",'House Rules'!$B$3,"Available")))))</f>
        <v>Available</v>
      </c>
      <c r="L155" s="333"/>
      <c r="M155" s="333"/>
      <c r="BF155" s="319">
        <f t="shared" si="91"/>
        <v>0</v>
      </c>
      <c r="BG155" s="345" t="s">
        <v>2501</v>
      </c>
      <c r="BI155" s="319">
        <f t="shared" si="87"/>
        <v>0</v>
      </c>
      <c r="BJ155" s="319">
        <f t="shared" si="93"/>
        <v>0</v>
      </c>
      <c r="BK155" s="319">
        <f t="shared" si="93"/>
        <v>0</v>
      </c>
      <c r="BL155" s="319">
        <f t="shared" si="93"/>
        <v>0</v>
      </c>
      <c r="BM155" s="319">
        <f t="shared" si="93"/>
        <v>0</v>
      </c>
      <c r="BN155" s="319">
        <f t="shared" si="93"/>
        <v>0</v>
      </c>
      <c r="BO155" s="319">
        <f t="shared" si="93"/>
        <v>0</v>
      </c>
      <c r="BP155" s="319">
        <f t="shared" si="93"/>
        <v>0</v>
      </c>
      <c r="BQ155" s="319">
        <f t="shared" si="93"/>
        <v>0</v>
      </c>
      <c r="BR155" s="319">
        <f t="shared" si="93"/>
        <v>0</v>
      </c>
      <c r="BS155" s="319">
        <f t="shared" si="93"/>
        <v>0</v>
      </c>
      <c r="BT155" s="319">
        <f t="shared" si="93"/>
        <v>0</v>
      </c>
      <c r="BU155" s="319">
        <f t="shared" si="93"/>
        <v>0</v>
      </c>
      <c r="BV155" s="319">
        <f t="shared" si="93"/>
        <v>0</v>
      </c>
      <c r="BW155" s="319">
        <f t="shared" si="93"/>
        <v>0</v>
      </c>
      <c r="BX155" s="319">
        <f t="shared" si="93"/>
        <v>0</v>
      </c>
      <c r="BY155" s="319">
        <f t="shared" si="93"/>
        <v>0</v>
      </c>
      <c r="BZ155" s="319">
        <f t="shared" si="93"/>
        <v>0</v>
      </c>
      <c r="CA155" s="319">
        <f t="shared" si="93"/>
        <v>0</v>
      </c>
      <c r="CB155" s="319">
        <f t="shared" si="93"/>
        <v>0</v>
      </c>
      <c r="CC155" s="319">
        <f t="shared" si="93"/>
        <v>0</v>
      </c>
      <c r="CD155" s="319">
        <f t="shared" si="93"/>
        <v>0</v>
      </c>
      <c r="CE155" s="319">
        <f t="shared" si="93"/>
        <v>0</v>
      </c>
      <c r="CF155" s="319">
        <f t="shared" si="93"/>
        <v>0</v>
      </c>
      <c r="CG155" s="319">
        <f t="shared" si="93"/>
        <v>0</v>
      </c>
      <c r="CH155" s="319">
        <f t="shared" si="93"/>
        <v>0</v>
      </c>
      <c r="CI155" s="319">
        <f t="shared" si="93"/>
        <v>0</v>
      </c>
      <c r="CJ155" s="319">
        <f t="shared" si="93"/>
        <v>0</v>
      </c>
      <c r="CK155" s="319">
        <f t="shared" si="93"/>
        <v>0</v>
      </c>
      <c r="CL155" s="319">
        <f t="shared" si="93"/>
        <v>0</v>
      </c>
      <c r="CM155" s="319">
        <f t="shared" si="93"/>
        <v>0</v>
      </c>
      <c r="CN155" s="319">
        <f t="shared" si="93"/>
        <v>0</v>
      </c>
      <c r="CO155" s="319">
        <f t="shared" si="93"/>
        <v>0</v>
      </c>
      <c r="CP155" s="319">
        <f t="shared" si="93"/>
        <v>0</v>
      </c>
      <c r="CQ155" s="319">
        <f t="shared" si="93"/>
        <v>0</v>
      </c>
      <c r="CR155" s="319">
        <f t="shared" si="93"/>
        <v>0</v>
      </c>
      <c r="CS155" s="319">
        <f t="shared" si="93"/>
        <v>0</v>
      </c>
      <c r="CT155" s="319">
        <f t="shared" si="93"/>
        <v>0</v>
      </c>
      <c r="CU155" s="319">
        <f t="shared" si="93"/>
        <v>0</v>
      </c>
      <c r="CV155" s="319">
        <f t="shared" si="93"/>
        <v>0</v>
      </c>
    </row>
    <row r="156" spans="1:100" x14ac:dyDescent="0.25">
      <c r="A156" s="319">
        <f t="shared" si="86"/>
        <v>0</v>
      </c>
      <c r="B156" s="319">
        <f t="shared" si="90"/>
        <v>0</v>
      </c>
      <c r="C156" s="340" t="s">
        <v>1503</v>
      </c>
      <c r="D156" s="341" t="s">
        <v>689</v>
      </c>
      <c r="E156" s="341">
        <v>5</v>
      </c>
      <c r="F156" s="341" t="str">
        <f>IF(AND(E156&lt;CharacterSheet!$V$34,'House Rules'!$B$3="Available",'House Rules'!$B$13="Boons",OR('House Rules'!$B$7="Standard",AND('House Rules'!$B$7="Ranked",G155="Yes"))),"Yes","No")</f>
        <v>No</v>
      </c>
      <c r="G156" s="564" t="s">
        <v>347</v>
      </c>
      <c r="H156" s="333" t="str">
        <f>IF(C156="","",VLOOKUP(C156,Boonref2!A:B,2,FALSE))</f>
        <v>Yes</v>
      </c>
      <c r="I156" s="333"/>
      <c r="J156" s="333" t="str">
        <f>VLOOKUP(C156,BoonRef!A:Z,17,FALSE)</f>
        <v>Yes</v>
      </c>
      <c r="K156" s="333" t="str">
        <f>IF(J156="God",'House Rules'!$B$2,IF(J156="Demi",'House Rules'!$B$1,IF(J156="Comp",'House Rules'!$B$4,IF(J156="Yaz",'House Rules'!$B$5,IF(J156="Rag",'House Rules'!$B$3,"Available")))))</f>
        <v>Available</v>
      </c>
      <c r="L156" s="333"/>
      <c r="M156" s="333"/>
      <c r="BF156" s="319">
        <f t="shared" si="91"/>
        <v>0</v>
      </c>
      <c r="BG156" s="345" t="s">
        <v>2502</v>
      </c>
      <c r="BI156" s="319">
        <f t="shared" si="87"/>
        <v>0</v>
      </c>
      <c r="BJ156" s="319">
        <f t="shared" si="93"/>
        <v>0</v>
      </c>
      <c r="BK156" s="319">
        <f t="shared" si="93"/>
        <v>0</v>
      </c>
      <c r="BL156" s="319">
        <f t="shared" si="93"/>
        <v>0</v>
      </c>
      <c r="BM156" s="319">
        <f t="shared" si="93"/>
        <v>0</v>
      </c>
      <c r="BN156" s="319">
        <f t="shared" si="93"/>
        <v>0</v>
      </c>
      <c r="BO156" s="319">
        <f t="shared" si="93"/>
        <v>0</v>
      </c>
      <c r="BP156" s="319">
        <f t="shared" si="93"/>
        <v>0</v>
      </c>
      <c r="BQ156" s="319">
        <f t="shared" si="93"/>
        <v>0</v>
      </c>
      <c r="BR156" s="319">
        <f t="shared" si="93"/>
        <v>0</v>
      </c>
      <c r="BS156" s="319">
        <f t="shared" si="93"/>
        <v>0</v>
      </c>
      <c r="BT156" s="319">
        <f t="shared" si="93"/>
        <v>0</v>
      </c>
      <c r="BU156" s="319">
        <f t="shared" si="93"/>
        <v>0</v>
      </c>
      <c r="BV156" s="319">
        <f t="shared" si="93"/>
        <v>0</v>
      </c>
      <c r="BW156" s="319">
        <f t="shared" si="93"/>
        <v>0</v>
      </c>
      <c r="BX156" s="319">
        <f t="shared" si="93"/>
        <v>0</v>
      </c>
      <c r="BY156" s="319">
        <f t="shared" si="93"/>
        <v>0</v>
      </c>
      <c r="BZ156" s="319">
        <f t="shared" si="93"/>
        <v>0</v>
      </c>
      <c r="CA156" s="319">
        <f t="shared" si="93"/>
        <v>0</v>
      </c>
      <c r="CB156" s="319">
        <f t="shared" si="93"/>
        <v>0</v>
      </c>
      <c r="CC156" s="319">
        <f t="shared" si="93"/>
        <v>0</v>
      </c>
      <c r="CD156" s="319">
        <f t="shared" si="93"/>
        <v>0</v>
      </c>
      <c r="CE156" s="319">
        <f t="shared" si="93"/>
        <v>0</v>
      </c>
      <c r="CF156" s="319">
        <f t="shared" si="93"/>
        <v>0</v>
      </c>
      <c r="CG156" s="319">
        <f t="shared" si="93"/>
        <v>0</v>
      </c>
      <c r="CH156" s="319">
        <f t="shared" si="93"/>
        <v>0</v>
      </c>
      <c r="CI156" s="319">
        <f t="shared" si="93"/>
        <v>0</v>
      </c>
      <c r="CJ156" s="319">
        <f t="shared" si="93"/>
        <v>0</v>
      </c>
      <c r="CK156" s="319">
        <f t="shared" si="93"/>
        <v>0</v>
      </c>
      <c r="CL156" s="319">
        <f t="shared" si="93"/>
        <v>0</v>
      </c>
      <c r="CM156" s="319">
        <f t="shared" si="93"/>
        <v>0</v>
      </c>
      <c r="CN156" s="319">
        <f t="shared" si="93"/>
        <v>0</v>
      </c>
      <c r="CO156" s="319">
        <f t="shared" si="93"/>
        <v>0</v>
      </c>
      <c r="CP156" s="319">
        <f t="shared" si="93"/>
        <v>0</v>
      </c>
      <c r="CQ156" s="319">
        <f t="shared" si="93"/>
        <v>0</v>
      </c>
      <c r="CR156" s="319">
        <f t="shared" si="93"/>
        <v>0</v>
      </c>
      <c r="CS156" s="319">
        <f t="shared" si="93"/>
        <v>0</v>
      </c>
      <c r="CT156" s="319">
        <f t="shared" si="93"/>
        <v>0</v>
      </c>
      <c r="CU156" s="319">
        <f t="shared" si="93"/>
        <v>0</v>
      </c>
      <c r="CV156" s="319">
        <f t="shared" si="93"/>
        <v>0</v>
      </c>
    </row>
    <row r="157" spans="1:100" x14ac:dyDescent="0.25">
      <c r="A157" s="319">
        <f t="shared" si="86"/>
        <v>0</v>
      </c>
      <c r="B157" s="319">
        <f t="shared" si="90"/>
        <v>0</v>
      </c>
      <c r="C157" s="340" t="s">
        <v>1504</v>
      </c>
      <c r="D157" s="341" t="s">
        <v>689</v>
      </c>
      <c r="E157" s="341">
        <v>6</v>
      </c>
      <c r="F157" s="341" t="str">
        <f>IF(AND(E157&lt;CharacterSheet!$V$34,'House Rules'!$B$3="Available",'House Rules'!$B$13="Boons",OR('House Rules'!$B$7="Standard",AND('House Rules'!$B$7="Ranked",G156="Yes"))),"Yes","No")</f>
        <v>No</v>
      </c>
      <c r="G157" s="564" t="s">
        <v>347</v>
      </c>
      <c r="H157" s="333" t="str">
        <f>IF(C157="","",VLOOKUP(C157,Boonref2!A:B,2,FALSE))</f>
        <v>Yes</v>
      </c>
      <c r="I157" s="333"/>
      <c r="J157" s="333" t="str">
        <f>VLOOKUP(C157,BoonRef!A:Z,17,FALSE)</f>
        <v>Yes</v>
      </c>
      <c r="K157" s="333" t="str">
        <f>IF(J157="God",'House Rules'!$B$2,IF(J157="Demi",'House Rules'!$B$1,IF(J157="Comp",'House Rules'!$B$4,IF(J157="Yaz",'House Rules'!$B$5,IF(J157="Rag",'House Rules'!$B$3,"Available")))))</f>
        <v>Available</v>
      </c>
      <c r="L157" s="333"/>
      <c r="M157" s="333"/>
      <c r="BF157" s="319">
        <f t="shared" si="91"/>
        <v>0</v>
      </c>
      <c r="BG157" s="345" t="s">
        <v>2503</v>
      </c>
      <c r="BI157" s="319">
        <f t="shared" si="87"/>
        <v>0</v>
      </c>
      <c r="BJ157" s="319">
        <f t="shared" si="93"/>
        <v>0</v>
      </c>
      <c r="BK157" s="319">
        <f t="shared" si="93"/>
        <v>0</v>
      </c>
      <c r="BL157" s="319">
        <f t="shared" si="93"/>
        <v>0</v>
      </c>
      <c r="BM157" s="319">
        <f t="shared" si="93"/>
        <v>0</v>
      </c>
      <c r="BN157" s="319">
        <f t="shared" si="93"/>
        <v>0</v>
      </c>
      <c r="BO157" s="319">
        <f t="shared" si="93"/>
        <v>0</v>
      </c>
      <c r="BP157" s="319">
        <f t="shared" si="93"/>
        <v>0</v>
      </c>
      <c r="BQ157" s="319">
        <f t="shared" si="93"/>
        <v>0</v>
      </c>
      <c r="BR157" s="319">
        <f t="shared" si="93"/>
        <v>0</v>
      </c>
      <c r="BS157" s="319">
        <f t="shared" si="93"/>
        <v>0</v>
      </c>
      <c r="BT157" s="319">
        <f t="shared" si="93"/>
        <v>0</v>
      </c>
      <c r="BU157" s="319">
        <f t="shared" si="93"/>
        <v>0</v>
      </c>
      <c r="BV157" s="319">
        <f t="shared" si="93"/>
        <v>0</v>
      </c>
      <c r="BW157" s="319">
        <f t="shared" si="93"/>
        <v>0</v>
      </c>
      <c r="BX157" s="319">
        <f t="shared" si="93"/>
        <v>0</v>
      </c>
      <c r="BY157" s="319">
        <f t="shared" si="93"/>
        <v>0</v>
      </c>
      <c r="BZ157" s="319">
        <f t="shared" si="93"/>
        <v>0</v>
      </c>
      <c r="CA157" s="319">
        <f t="shared" si="93"/>
        <v>0</v>
      </c>
      <c r="CB157" s="319">
        <f t="shared" si="93"/>
        <v>0</v>
      </c>
      <c r="CC157" s="319">
        <f t="shared" si="93"/>
        <v>0</v>
      </c>
      <c r="CD157" s="319">
        <f t="shared" si="93"/>
        <v>0</v>
      </c>
      <c r="CE157" s="319">
        <f t="shared" si="93"/>
        <v>0</v>
      </c>
      <c r="CF157" s="319">
        <f t="shared" si="93"/>
        <v>0</v>
      </c>
      <c r="CG157" s="319">
        <f t="shared" si="93"/>
        <v>0</v>
      </c>
      <c r="CH157" s="319">
        <f t="shared" si="93"/>
        <v>0</v>
      </c>
      <c r="CI157" s="319">
        <f t="shared" si="93"/>
        <v>0</v>
      </c>
      <c r="CJ157" s="319">
        <f t="shared" si="93"/>
        <v>0</v>
      </c>
      <c r="CK157" s="319">
        <f t="shared" si="93"/>
        <v>0</v>
      </c>
      <c r="CL157" s="319">
        <f t="shared" si="93"/>
        <v>0</v>
      </c>
      <c r="CM157" s="319">
        <f t="shared" si="93"/>
        <v>0</v>
      </c>
      <c r="CN157" s="319">
        <f t="shared" si="93"/>
        <v>0</v>
      </c>
      <c r="CO157" s="319">
        <f t="shared" si="93"/>
        <v>0</v>
      </c>
      <c r="CP157" s="319">
        <f t="shared" si="93"/>
        <v>0</v>
      </c>
      <c r="CQ157" s="319">
        <f t="shared" si="93"/>
        <v>0</v>
      </c>
      <c r="CR157" s="319">
        <f t="shared" si="93"/>
        <v>0</v>
      </c>
      <c r="CS157" s="319">
        <f t="shared" si="93"/>
        <v>0</v>
      </c>
      <c r="CT157" s="319">
        <f t="shared" si="93"/>
        <v>0</v>
      </c>
      <c r="CU157" s="319">
        <f t="shared" si="93"/>
        <v>0</v>
      </c>
      <c r="CV157" s="319">
        <f t="shared" si="93"/>
        <v>0</v>
      </c>
    </row>
    <row r="158" spans="1:100" x14ac:dyDescent="0.25">
      <c r="A158" s="319">
        <f t="shared" si="86"/>
        <v>0</v>
      </c>
      <c r="B158" s="319">
        <f t="shared" si="90"/>
        <v>0</v>
      </c>
      <c r="C158" s="340" t="s">
        <v>1505</v>
      </c>
      <c r="D158" s="341" t="s">
        <v>689</v>
      </c>
      <c r="E158" s="341">
        <v>7</v>
      </c>
      <c r="F158" s="341" t="str">
        <f>IF(AND(E158&lt;CharacterSheet!$V$34,'House Rules'!$B$3="Available",'House Rules'!$B$13="Boons",OR('House Rules'!$B$7="Standard",AND('House Rules'!$B$7="Ranked",G157="Yes"))),"Yes","No")</f>
        <v>No</v>
      </c>
      <c r="G158" s="564" t="s">
        <v>347</v>
      </c>
      <c r="H158" s="333" t="str">
        <f>IF(C158="","",VLOOKUP(C158,Boonref2!A:B,2,FALSE))</f>
        <v>Yes</v>
      </c>
      <c r="I158" s="333"/>
      <c r="J158" s="333" t="str">
        <f>VLOOKUP(C158,BoonRef!A:Z,17,FALSE)</f>
        <v>Yes</v>
      </c>
      <c r="K158" s="333" t="str">
        <f>IF(J158="God",'House Rules'!$B$2,IF(J158="Demi",'House Rules'!$B$1,IF(J158="Comp",'House Rules'!$B$4,IF(J158="Yaz",'House Rules'!$B$5,IF(J158="Rag",'House Rules'!$B$3,"Available")))))</f>
        <v>Available</v>
      </c>
      <c r="L158" s="333"/>
      <c r="M158" s="333"/>
      <c r="BF158" s="319">
        <f t="shared" si="91"/>
        <v>0</v>
      </c>
      <c r="BG158" s="345" t="s">
        <v>2504</v>
      </c>
      <c r="BI158" s="319">
        <f t="shared" si="87"/>
        <v>0</v>
      </c>
      <c r="BJ158" s="319">
        <f t="shared" si="93"/>
        <v>0</v>
      </c>
      <c r="BK158" s="319">
        <f t="shared" si="93"/>
        <v>0</v>
      </c>
      <c r="BL158" s="319">
        <f t="shared" si="93"/>
        <v>0</v>
      </c>
      <c r="BM158" s="319">
        <f t="shared" si="93"/>
        <v>0</v>
      </c>
      <c r="BN158" s="319">
        <f t="shared" si="93"/>
        <v>0</v>
      </c>
      <c r="BO158" s="319">
        <f t="shared" si="93"/>
        <v>0</v>
      </c>
      <c r="BP158" s="319">
        <f t="shared" si="93"/>
        <v>0</v>
      </c>
      <c r="BQ158" s="319">
        <f t="shared" si="93"/>
        <v>0</v>
      </c>
      <c r="BR158" s="319">
        <f t="shared" si="93"/>
        <v>0</v>
      </c>
      <c r="BS158" s="319">
        <f t="shared" si="93"/>
        <v>0</v>
      </c>
      <c r="BT158" s="319">
        <f t="shared" si="93"/>
        <v>0</v>
      </c>
      <c r="BU158" s="319">
        <f t="shared" si="93"/>
        <v>0</v>
      </c>
      <c r="BV158" s="319">
        <f t="shared" si="93"/>
        <v>0</v>
      </c>
      <c r="BW158" s="319">
        <f t="shared" si="93"/>
        <v>0</v>
      </c>
      <c r="BX158" s="319">
        <f t="shared" si="93"/>
        <v>0</v>
      </c>
      <c r="BY158" s="319">
        <f t="shared" si="93"/>
        <v>0</v>
      </c>
      <c r="BZ158" s="319">
        <f t="shared" si="93"/>
        <v>0</v>
      </c>
      <c r="CA158" s="319">
        <f t="shared" si="93"/>
        <v>0</v>
      </c>
      <c r="CB158" s="319">
        <f t="shared" si="93"/>
        <v>0</v>
      </c>
      <c r="CC158" s="319">
        <f t="shared" si="93"/>
        <v>0</v>
      </c>
      <c r="CD158" s="319">
        <f t="shared" si="93"/>
        <v>0</v>
      </c>
      <c r="CE158" s="319">
        <f t="shared" si="93"/>
        <v>0</v>
      </c>
      <c r="CF158" s="319">
        <f t="shared" si="93"/>
        <v>0</v>
      </c>
      <c r="CG158" s="319">
        <f t="shared" si="93"/>
        <v>0</v>
      </c>
      <c r="CH158" s="319">
        <f t="shared" si="93"/>
        <v>0</v>
      </c>
      <c r="CI158" s="319">
        <f t="shared" si="93"/>
        <v>0</v>
      </c>
      <c r="CJ158" s="319">
        <f t="shared" si="93"/>
        <v>0</v>
      </c>
      <c r="CK158" s="319">
        <f t="shared" si="93"/>
        <v>0</v>
      </c>
      <c r="CL158" s="319">
        <f t="shared" si="93"/>
        <v>0</v>
      </c>
      <c r="CM158" s="319">
        <f t="shared" si="93"/>
        <v>0</v>
      </c>
      <c r="CN158" s="319">
        <f t="shared" si="93"/>
        <v>0</v>
      </c>
      <c r="CO158" s="319">
        <f t="shared" si="93"/>
        <v>0</v>
      </c>
      <c r="CP158" s="319">
        <f t="shared" si="93"/>
        <v>0</v>
      </c>
      <c r="CQ158" s="319">
        <f t="shared" si="93"/>
        <v>0</v>
      </c>
      <c r="CR158" s="319">
        <f t="shared" si="93"/>
        <v>0</v>
      </c>
      <c r="CS158" s="319">
        <f t="shared" si="93"/>
        <v>0</v>
      </c>
      <c r="CT158" s="319">
        <f t="shared" si="93"/>
        <v>0</v>
      </c>
      <c r="CU158" s="319">
        <f t="shared" si="93"/>
        <v>0</v>
      </c>
      <c r="CV158" s="319">
        <f t="shared" si="93"/>
        <v>0</v>
      </c>
    </row>
    <row r="159" spans="1:100" x14ac:dyDescent="0.25">
      <c r="A159" s="319">
        <f t="shared" si="86"/>
        <v>0</v>
      </c>
      <c r="B159" s="319">
        <f t="shared" si="90"/>
        <v>0</v>
      </c>
      <c r="C159" s="340" t="s">
        <v>1506</v>
      </c>
      <c r="D159" s="341" t="s">
        <v>689</v>
      </c>
      <c r="E159" s="341">
        <v>8</v>
      </c>
      <c r="F159" s="341" t="str">
        <f>IF(AND(E159&lt;CharacterSheet!$V$34,'House Rules'!$B$3="Available",'House Rules'!$B$13="Boons",OR('House Rules'!$B$7="Standard",AND('House Rules'!$B$7="Ranked",G158="Yes"))),"Yes","No")</f>
        <v>No</v>
      </c>
      <c r="G159" s="564" t="s">
        <v>347</v>
      </c>
      <c r="H159" s="333" t="str">
        <f>IF(C159="","",VLOOKUP(C159,Boonref2!A:B,2,FALSE))</f>
        <v>Yes</v>
      </c>
      <c r="I159" s="333"/>
      <c r="J159" s="333" t="str">
        <f>VLOOKUP(C159,BoonRef!A:Z,17,FALSE)</f>
        <v>Yes</v>
      </c>
      <c r="K159" s="333" t="str">
        <f>IF(J159="God",'House Rules'!$B$2,IF(J159="Demi",'House Rules'!$B$1,IF(J159="Comp",'House Rules'!$B$4,IF(J159="Yaz",'House Rules'!$B$5,IF(J159="Rag",'House Rules'!$B$3,"Available")))))</f>
        <v>Available</v>
      </c>
      <c r="L159" s="333"/>
      <c r="M159" s="333"/>
      <c r="BF159" s="319">
        <f t="shared" si="91"/>
        <v>0</v>
      </c>
      <c r="BG159" s="345" t="s">
        <v>2505</v>
      </c>
      <c r="BI159" s="319">
        <f t="shared" si="87"/>
        <v>0</v>
      </c>
      <c r="BJ159" s="319">
        <f t="shared" si="93"/>
        <v>0</v>
      </c>
      <c r="BK159" s="319">
        <f t="shared" si="93"/>
        <v>0</v>
      </c>
      <c r="BL159" s="319">
        <f t="shared" si="93"/>
        <v>0</v>
      </c>
      <c r="BM159" s="319">
        <f t="shared" si="93"/>
        <v>0</v>
      </c>
      <c r="BN159" s="319">
        <f t="shared" si="93"/>
        <v>0</v>
      </c>
      <c r="BO159" s="319">
        <f t="shared" si="93"/>
        <v>0</v>
      </c>
      <c r="BP159" s="319">
        <f t="shared" si="93"/>
        <v>0</v>
      </c>
      <c r="BQ159" s="319">
        <f t="shared" si="93"/>
        <v>0</v>
      </c>
      <c r="BR159" s="319">
        <f t="shared" si="93"/>
        <v>0</v>
      </c>
      <c r="BS159" s="319">
        <f t="shared" si="93"/>
        <v>0</v>
      </c>
      <c r="BT159" s="319">
        <f t="shared" si="93"/>
        <v>0</v>
      </c>
      <c r="BU159" s="319">
        <f t="shared" si="93"/>
        <v>0</v>
      </c>
      <c r="BV159" s="319">
        <f t="shared" si="93"/>
        <v>0</v>
      </c>
      <c r="BW159" s="319">
        <f t="shared" si="93"/>
        <v>0</v>
      </c>
      <c r="BX159" s="319">
        <f t="shared" si="93"/>
        <v>0</v>
      </c>
      <c r="BY159" s="319">
        <f t="shared" si="93"/>
        <v>0</v>
      </c>
      <c r="BZ159" s="319">
        <f t="shared" si="93"/>
        <v>0</v>
      </c>
      <c r="CA159" s="319">
        <f t="shared" si="93"/>
        <v>0</v>
      </c>
      <c r="CB159" s="319">
        <f t="shared" si="93"/>
        <v>0</v>
      </c>
      <c r="CC159" s="319">
        <f t="shared" si="93"/>
        <v>0</v>
      </c>
      <c r="CD159" s="319">
        <f t="shared" si="93"/>
        <v>0</v>
      </c>
      <c r="CE159" s="319">
        <f t="shared" si="93"/>
        <v>0</v>
      </c>
      <c r="CF159" s="319">
        <f t="shared" si="93"/>
        <v>0</v>
      </c>
      <c r="CG159" s="319">
        <f t="shared" si="93"/>
        <v>0</v>
      </c>
      <c r="CH159" s="319">
        <f t="shared" si="93"/>
        <v>0</v>
      </c>
      <c r="CI159" s="319">
        <f t="shared" si="93"/>
        <v>0</v>
      </c>
      <c r="CJ159" s="319">
        <f t="shared" si="93"/>
        <v>0</v>
      </c>
      <c r="CK159" s="319">
        <f t="shared" si="93"/>
        <v>0</v>
      </c>
      <c r="CL159" s="319">
        <f t="shared" si="93"/>
        <v>0</v>
      </c>
      <c r="CM159" s="319">
        <f t="shared" si="93"/>
        <v>0</v>
      </c>
      <c r="CN159" s="319">
        <f t="shared" si="93"/>
        <v>0</v>
      </c>
      <c r="CO159" s="319">
        <f t="shared" si="93"/>
        <v>0</v>
      </c>
      <c r="CP159" s="319">
        <f t="shared" si="93"/>
        <v>0</v>
      </c>
      <c r="CQ159" s="319">
        <f t="shared" si="93"/>
        <v>0</v>
      </c>
      <c r="CR159" s="319">
        <f t="shared" si="93"/>
        <v>0</v>
      </c>
      <c r="CS159" s="319">
        <f t="shared" si="93"/>
        <v>0</v>
      </c>
      <c r="CT159" s="319">
        <f t="shared" si="93"/>
        <v>0</v>
      </c>
      <c r="CU159" s="319">
        <f t="shared" si="93"/>
        <v>0</v>
      </c>
      <c r="CV159" s="319">
        <f t="shared" si="93"/>
        <v>0</v>
      </c>
    </row>
    <row r="160" spans="1:100" x14ac:dyDescent="0.25">
      <c r="A160" s="319">
        <f t="shared" si="86"/>
        <v>0</v>
      </c>
      <c r="B160" s="319">
        <f t="shared" si="90"/>
        <v>0</v>
      </c>
      <c r="C160" s="340" t="s">
        <v>1507</v>
      </c>
      <c r="D160" s="341" t="s">
        <v>689</v>
      </c>
      <c r="E160" s="341">
        <v>9</v>
      </c>
      <c r="F160" s="341" t="str">
        <f>IF(AND(E160&lt;CharacterSheet!$V$34,'House Rules'!$B$3="Available",'House Rules'!$B$13="Boons",OR('House Rules'!$B$7="Standard",AND('House Rules'!$B$7="Ranked",G159="Yes"))),"Yes","No")</f>
        <v>No</v>
      </c>
      <c r="G160" s="564" t="s">
        <v>347</v>
      </c>
      <c r="H160" s="333" t="str">
        <f>IF(C160="","",VLOOKUP(C160,Boonref2!A:B,2,FALSE))</f>
        <v>Yes</v>
      </c>
      <c r="I160" s="333"/>
      <c r="J160" s="333" t="str">
        <f>VLOOKUP(C160,BoonRef!A:Z,17,FALSE)</f>
        <v>Yes</v>
      </c>
      <c r="K160" s="333" t="str">
        <f>IF(J160="God",'House Rules'!$B$2,IF(J160="Demi",'House Rules'!$B$1,IF(J160="Comp",'House Rules'!$B$4,IF(J160="Yaz",'House Rules'!$B$5,IF(J160="Rag",'House Rules'!$B$3,"Available")))))</f>
        <v>Available</v>
      </c>
      <c r="L160" s="333"/>
      <c r="M160" s="333"/>
      <c r="BF160" s="319">
        <f t="shared" si="91"/>
        <v>0</v>
      </c>
      <c r="BG160" s="345" t="s">
        <v>2506</v>
      </c>
      <c r="BI160" s="319">
        <f t="shared" si="87"/>
        <v>0</v>
      </c>
      <c r="BJ160" s="319">
        <f t="shared" si="93"/>
        <v>0</v>
      </c>
      <c r="BK160" s="319">
        <f t="shared" si="93"/>
        <v>0</v>
      </c>
      <c r="BL160" s="319">
        <f t="shared" si="93"/>
        <v>0</v>
      </c>
      <c r="BM160" s="319">
        <f t="shared" ref="BJ160:CV166" si="94">IF(AND($D160=BM$1,$G160="Yes"),$E160,0)</f>
        <v>0</v>
      </c>
      <c r="BN160" s="319">
        <f t="shared" si="94"/>
        <v>0</v>
      </c>
      <c r="BO160" s="319">
        <f t="shared" si="94"/>
        <v>0</v>
      </c>
      <c r="BP160" s="319">
        <f t="shared" si="94"/>
        <v>0</v>
      </c>
      <c r="BQ160" s="319">
        <f t="shared" si="94"/>
        <v>0</v>
      </c>
      <c r="BR160" s="319">
        <f t="shared" si="94"/>
        <v>0</v>
      </c>
      <c r="BS160" s="319">
        <f t="shared" si="94"/>
        <v>0</v>
      </c>
      <c r="BT160" s="319">
        <f t="shared" si="94"/>
        <v>0</v>
      </c>
      <c r="BU160" s="319">
        <f t="shared" si="94"/>
        <v>0</v>
      </c>
      <c r="BV160" s="319">
        <f t="shared" si="94"/>
        <v>0</v>
      </c>
      <c r="BW160" s="319">
        <f t="shared" si="94"/>
        <v>0</v>
      </c>
      <c r="BX160" s="319">
        <f t="shared" si="94"/>
        <v>0</v>
      </c>
      <c r="BY160" s="319">
        <f t="shared" si="94"/>
        <v>0</v>
      </c>
      <c r="BZ160" s="319">
        <f t="shared" si="94"/>
        <v>0</v>
      </c>
      <c r="CA160" s="319">
        <f t="shared" si="94"/>
        <v>0</v>
      </c>
      <c r="CB160" s="319">
        <f t="shared" si="94"/>
        <v>0</v>
      </c>
      <c r="CC160" s="319">
        <f t="shared" si="94"/>
        <v>0</v>
      </c>
      <c r="CD160" s="319">
        <f t="shared" si="94"/>
        <v>0</v>
      </c>
      <c r="CE160" s="319">
        <f t="shared" si="94"/>
        <v>0</v>
      </c>
      <c r="CF160" s="319">
        <f t="shared" si="94"/>
        <v>0</v>
      </c>
      <c r="CG160" s="319">
        <f t="shared" si="94"/>
        <v>0</v>
      </c>
      <c r="CH160" s="319">
        <f t="shared" si="94"/>
        <v>0</v>
      </c>
      <c r="CI160" s="319">
        <f t="shared" si="94"/>
        <v>0</v>
      </c>
      <c r="CJ160" s="319">
        <f t="shared" si="94"/>
        <v>0</v>
      </c>
      <c r="CK160" s="319">
        <f t="shared" si="94"/>
        <v>0</v>
      </c>
      <c r="CL160" s="319">
        <f t="shared" si="94"/>
        <v>0</v>
      </c>
      <c r="CM160" s="319">
        <f t="shared" si="94"/>
        <v>0</v>
      </c>
      <c r="CN160" s="319">
        <f t="shared" si="94"/>
        <v>0</v>
      </c>
      <c r="CO160" s="319">
        <f t="shared" si="94"/>
        <v>0</v>
      </c>
      <c r="CP160" s="319">
        <f t="shared" si="94"/>
        <v>0</v>
      </c>
      <c r="CQ160" s="319">
        <f t="shared" si="94"/>
        <v>0</v>
      </c>
      <c r="CR160" s="319">
        <f t="shared" si="94"/>
        <v>0</v>
      </c>
      <c r="CS160" s="319">
        <f t="shared" si="94"/>
        <v>0</v>
      </c>
      <c r="CT160" s="319">
        <f t="shared" si="94"/>
        <v>0</v>
      </c>
      <c r="CU160" s="319">
        <f t="shared" si="94"/>
        <v>0</v>
      </c>
      <c r="CV160" s="319">
        <f t="shared" si="94"/>
        <v>0</v>
      </c>
    </row>
    <row r="161" spans="1:100" ht="15.75" thickBot="1" x14ac:dyDescent="0.3">
      <c r="A161" s="319">
        <f t="shared" si="86"/>
        <v>0</v>
      </c>
      <c r="B161" s="319">
        <f t="shared" si="90"/>
        <v>0</v>
      </c>
      <c r="C161" s="340" t="s">
        <v>1508</v>
      </c>
      <c r="D161" s="341" t="s">
        <v>689</v>
      </c>
      <c r="E161" s="341">
        <v>10</v>
      </c>
      <c r="F161" s="341" t="str">
        <f>IF(AND(E161&lt;CharacterSheet!$V$34,'House Rules'!$B$3="Available",'House Rules'!$B$13="Boons",OR('House Rules'!$B$7="Standard",AND('House Rules'!$B$7="Ranked",G160="Yes"))),"Yes","No")</f>
        <v>No</v>
      </c>
      <c r="G161" s="564" t="s">
        <v>347</v>
      </c>
      <c r="H161" s="333" t="str">
        <f>IF(C161="","",VLOOKUP(C161,Boonref2!A:B,2,FALSE))</f>
        <v>Yes</v>
      </c>
      <c r="I161" s="333"/>
      <c r="J161" s="333" t="str">
        <f>VLOOKUP(C161,BoonRef!A:Z,17,FALSE)</f>
        <v>Yes</v>
      </c>
      <c r="K161" s="333" t="str">
        <f>IF(J161="God",'House Rules'!$B$2,IF(J161="Demi",'House Rules'!$B$1,IF(J161="Comp",'House Rules'!$B$4,IF(J161="Yaz",'House Rules'!$B$5,IF(J161="Rag",'House Rules'!$B$3,"Available")))))</f>
        <v>Available</v>
      </c>
      <c r="L161" s="333"/>
      <c r="M161" s="333"/>
      <c r="BF161" s="319">
        <f t="shared" si="91"/>
        <v>0</v>
      </c>
      <c r="BG161" s="355" t="s">
        <v>2507</v>
      </c>
      <c r="BI161" s="319">
        <f t="shared" si="87"/>
        <v>0</v>
      </c>
      <c r="BJ161" s="319">
        <f t="shared" si="94"/>
        <v>0</v>
      </c>
      <c r="BK161" s="319">
        <f t="shared" si="94"/>
        <v>0</v>
      </c>
      <c r="BL161" s="319">
        <f t="shared" si="94"/>
        <v>0</v>
      </c>
      <c r="BM161" s="319">
        <f t="shared" si="94"/>
        <v>0</v>
      </c>
      <c r="BN161" s="319">
        <f t="shared" si="94"/>
        <v>0</v>
      </c>
      <c r="BO161" s="319">
        <f t="shared" si="94"/>
        <v>0</v>
      </c>
      <c r="BP161" s="319">
        <f t="shared" si="94"/>
        <v>0</v>
      </c>
      <c r="BQ161" s="319">
        <f t="shared" si="94"/>
        <v>0</v>
      </c>
      <c r="BR161" s="319">
        <f t="shared" si="94"/>
        <v>0</v>
      </c>
      <c r="BS161" s="319">
        <f t="shared" si="94"/>
        <v>0</v>
      </c>
      <c r="BT161" s="319">
        <f t="shared" si="94"/>
        <v>0</v>
      </c>
      <c r="BU161" s="319">
        <f t="shared" si="94"/>
        <v>0</v>
      </c>
      <c r="BV161" s="319">
        <f t="shared" si="94"/>
        <v>0</v>
      </c>
      <c r="BW161" s="319">
        <f t="shared" si="94"/>
        <v>0</v>
      </c>
      <c r="BX161" s="319">
        <f t="shared" si="94"/>
        <v>0</v>
      </c>
      <c r="BY161" s="319">
        <f t="shared" si="94"/>
        <v>0</v>
      </c>
      <c r="BZ161" s="319">
        <f t="shared" si="94"/>
        <v>0</v>
      </c>
      <c r="CA161" s="319">
        <f t="shared" si="94"/>
        <v>0</v>
      </c>
      <c r="CB161" s="319">
        <f t="shared" si="94"/>
        <v>0</v>
      </c>
      <c r="CC161" s="319">
        <f t="shared" si="94"/>
        <v>0</v>
      </c>
      <c r="CD161" s="319">
        <f t="shared" si="94"/>
        <v>0</v>
      </c>
      <c r="CE161" s="319">
        <f t="shared" si="94"/>
        <v>0</v>
      </c>
      <c r="CF161" s="319">
        <f t="shared" si="94"/>
        <v>0</v>
      </c>
      <c r="CG161" s="319">
        <f t="shared" si="94"/>
        <v>0</v>
      </c>
      <c r="CH161" s="319">
        <f t="shared" si="94"/>
        <v>0</v>
      </c>
      <c r="CI161" s="319">
        <f t="shared" si="94"/>
        <v>0</v>
      </c>
      <c r="CJ161" s="319">
        <f t="shared" si="94"/>
        <v>0</v>
      </c>
      <c r="CK161" s="319">
        <f t="shared" si="94"/>
        <v>0</v>
      </c>
      <c r="CL161" s="319">
        <f t="shared" si="94"/>
        <v>0</v>
      </c>
      <c r="CM161" s="319">
        <f t="shared" si="94"/>
        <v>0</v>
      </c>
      <c r="CN161" s="319">
        <f t="shared" si="94"/>
        <v>0</v>
      </c>
      <c r="CO161" s="319">
        <f t="shared" si="94"/>
        <v>0</v>
      </c>
      <c r="CP161" s="319">
        <f t="shared" si="94"/>
        <v>0</v>
      </c>
      <c r="CQ161" s="319">
        <f t="shared" si="94"/>
        <v>0</v>
      </c>
      <c r="CR161" s="319">
        <f t="shared" si="94"/>
        <v>0</v>
      </c>
      <c r="CS161" s="319">
        <f t="shared" si="94"/>
        <v>0</v>
      </c>
      <c r="CT161" s="319">
        <f t="shared" si="94"/>
        <v>0</v>
      </c>
      <c r="CU161" s="319">
        <f t="shared" si="94"/>
        <v>0</v>
      </c>
      <c r="CV161" s="319">
        <f t="shared" si="94"/>
        <v>0</v>
      </c>
    </row>
    <row r="162" spans="1:100" ht="15.75" thickBot="1" x14ac:dyDescent="0.3">
      <c r="A162" s="319">
        <f t="shared" si="86"/>
        <v>0</v>
      </c>
      <c r="B162" s="319">
        <f t="shared" si="90"/>
        <v>0</v>
      </c>
      <c r="C162" s="352" t="s">
        <v>1509</v>
      </c>
      <c r="D162" s="353" t="s">
        <v>689</v>
      </c>
      <c r="E162" s="353">
        <v>11</v>
      </c>
      <c r="F162" s="353" t="str">
        <f>IF(AND(E67&lt;CharacterSheet!$V$34,G152="Yes",G153="Yes",G154="Yes",G156="Yes",G155="Yes",G157="Yes",G158="Yes",G159="Yes",G160="Yes",G161="Yes"),"Yes","No")</f>
        <v>No</v>
      </c>
      <c r="G162" s="565" t="s">
        <v>347</v>
      </c>
      <c r="H162" s="333" t="str">
        <f>IF(C162="","",VLOOKUP(C162,Boonref2!A:B,2,FALSE))</f>
        <v>No</v>
      </c>
      <c r="I162" s="333"/>
      <c r="J162" s="333" t="str">
        <f>VLOOKUP(C162,BoonRef!A:Z,17,FALSE)</f>
        <v>Yes</v>
      </c>
      <c r="K162" s="333" t="str">
        <f>IF(J162="God",'House Rules'!$B$2,IF(J162="Demi",'House Rules'!$B$1,IF(J162="Comp",'House Rules'!$B$4,IF(J162="Yaz",'House Rules'!$B$5,IF(J162="Rag",'House Rules'!$B$3,"Available")))))</f>
        <v>Available</v>
      </c>
      <c r="L162" s="333"/>
      <c r="M162" s="333"/>
      <c r="BF162" s="319">
        <f t="shared" si="91"/>
        <v>0</v>
      </c>
      <c r="BG162" s="336" t="s">
        <v>2508</v>
      </c>
      <c r="BI162" s="319">
        <f t="shared" si="87"/>
        <v>0</v>
      </c>
      <c r="BJ162" s="319">
        <f t="shared" si="94"/>
        <v>0</v>
      </c>
      <c r="BK162" s="319">
        <f t="shared" si="94"/>
        <v>0</v>
      </c>
      <c r="BL162" s="319">
        <f t="shared" si="94"/>
        <v>0</v>
      </c>
      <c r="BM162" s="319">
        <f t="shared" si="94"/>
        <v>0</v>
      </c>
      <c r="BN162" s="319">
        <f t="shared" si="94"/>
        <v>0</v>
      </c>
      <c r="BO162" s="319">
        <f t="shared" si="94"/>
        <v>0</v>
      </c>
      <c r="BP162" s="319">
        <f t="shared" si="94"/>
        <v>0</v>
      </c>
      <c r="BQ162" s="319">
        <f t="shared" si="94"/>
        <v>0</v>
      </c>
      <c r="BR162" s="319">
        <f t="shared" si="94"/>
        <v>0</v>
      </c>
      <c r="BS162" s="319">
        <f t="shared" si="94"/>
        <v>0</v>
      </c>
      <c r="BT162" s="319">
        <f t="shared" si="94"/>
        <v>0</v>
      </c>
      <c r="BU162" s="319">
        <f t="shared" si="94"/>
        <v>0</v>
      </c>
      <c r="BV162" s="319">
        <f t="shared" si="94"/>
        <v>0</v>
      </c>
      <c r="BW162" s="319">
        <f t="shared" si="94"/>
        <v>0</v>
      </c>
      <c r="BX162" s="319">
        <f t="shared" si="94"/>
        <v>0</v>
      </c>
      <c r="BY162" s="319">
        <f t="shared" si="94"/>
        <v>0</v>
      </c>
      <c r="BZ162" s="319">
        <f t="shared" si="94"/>
        <v>0</v>
      </c>
      <c r="CA162" s="319">
        <f t="shared" si="94"/>
        <v>0</v>
      </c>
      <c r="CB162" s="319">
        <f t="shared" si="94"/>
        <v>0</v>
      </c>
      <c r="CC162" s="319">
        <f t="shared" si="94"/>
        <v>0</v>
      </c>
      <c r="CD162" s="319">
        <f t="shared" si="94"/>
        <v>0</v>
      </c>
      <c r="CE162" s="319">
        <f t="shared" si="94"/>
        <v>0</v>
      </c>
      <c r="CF162" s="319">
        <f t="shared" si="94"/>
        <v>0</v>
      </c>
      <c r="CG162" s="319">
        <f t="shared" si="94"/>
        <v>0</v>
      </c>
      <c r="CH162" s="319">
        <f t="shared" si="94"/>
        <v>0</v>
      </c>
      <c r="CI162" s="319">
        <f t="shared" si="94"/>
        <v>0</v>
      </c>
      <c r="CJ162" s="319">
        <f t="shared" si="94"/>
        <v>0</v>
      </c>
      <c r="CK162" s="319">
        <f t="shared" si="94"/>
        <v>0</v>
      </c>
      <c r="CL162" s="319">
        <f t="shared" si="94"/>
        <v>0</v>
      </c>
      <c r="CM162" s="319">
        <f t="shared" si="94"/>
        <v>0</v>
      </c>
      <c r="CN162" s="319">
        <f t="shared" si="94"/>
        <v>0</v>
      </c>
      <c r="CO162" s="319">
        <f t="shared" si="94"/>
        <v>0</v>
      </c>
      <c r="CP162" s="319">
        <f t="shared" si="94"/>
        <v>0</v>
      </c>
      <c r="CQ162" s="319">
        <f t="shared" si="94"/>
        <v>0</v>
      </c>
      <c r="CR162" s="319">
        <f t="shared" si="94"/>
        <v>0</v>
      </c>
      <c r="CS162" s="319">
        <f t="shared" si="94"/>
        <v>0</v>
      </c>
      <c r="CT162" s="319">
        <f t="shared" si="94"/>
        <v>0</v>
      </c>
      <c r="CU162" s="319">
        <f t="shared" si="94"/>
        <v>0</v>
      </c>
      <c r="CV162" s="319">
        <f t="shared" si="94"/>
        <v>0</v>
      </c>
    </row>
    <row r="163" spans="1:100" x14ac:dyDescent="0.25">
      <c r="A163" s="319">
        <f t="shared" si="86"/>
        <v>0</v>
      </c>
      <c r="B163" s="319">
        <f t="shared" si="90"/>
        <v>0</v>
      </c>
      <c r="C163" s="330" t="s">
        <v>1091</v>
      </c>
      <c r="D163" s="331" t="s">
        <v>360</v>
      </c>
      <c r="E163" s="331">
        <v>1</v>
      </c>
      <c r="F163" s="331" t="str">
        <f>IF(E163&lt;CharacterSheet!$V$34,"Yes","No")</f>
        <v>Yes</v>
      </c>
      <c r="G163" s="563" t="s">
        <v>347</v>
      </c>
      <c r="H163" s="333" t="str">
        <f>IF(C163="","",VLOOKUP(C163,Boonref2!A:B,2,FALSE))</f>
        <v>Yes</v>
      </c>
      <c r="I163" s="333"/>
      <c r="J163" s="333" t="str">
        <f>VLOOKUP(C163,BoonRef!A:Z,17,FALSE)</f>
        <v>Yes</v>
      </c>
      <c r="K163" s="333" t="str">
        <f>IF(J163="God",'House Rules'!$B$2,IF(J163="Demi",'House Rules'!$B$1,IF(J163="Comp",'House Rules'!$B$4,IF(J163="Yaz",'House Rules'!$B$5,IF(J163="Rag",'House Rules'!$B$3,"Available")))))</f>
        <v>Available</v>
      </c>
      <c r="L163" s="333"/>
      <c r="M163" s="333"/>
      <c r="BF163" s="319">
        <f t="shared" si="91"/>
        <v>0</v>
      </c>
      <c r="BG163" s="345" t="s">
        <v>2509</v>
      </c>
      <c r="BI163" s="319">
        <f t="shared" si="87"/>
        <v>0</v>
      </c>
      <c r="BJ163" s="319">
        <f t="shared" si="94"/>
        <v>0</v>
      </c>
      <c r="BK163" s="319">
        <f t="shared" si="94"/>
        <v>0</v>
      </c>
      <c r="BL163" s="319">
        <f t="shared" si="94"/>
        <v>0</v>
      </c>
      <c r="BM163" s="319">
        <f t="shared" si="94"/>
        <v>0</v>
      </c>
      <c r="BN163" s="319">
        <f t="shared" si="94"/>
        <v>0</v>
      </c>
      <c r="BO163" s="319">
        <f t="shared" si="94"/>
        <v>0</v>
      </c>
      <c r="BP163" s="319">
        <f t="shared" si="94"/>
        <v>0</v>
      </c>
      <c r="BQ163" s="319">
        <f t="shared" si="94"/>
        <v>0</v>
      </c>
      <c r="BR163" s="319">
        <f t="shared" si="94"/>
        <v>0</v>
      </c>
      <c r="BS163" s="319">
        <f t="shared" si="94"/>
        <v>0</v>
      </c>
      <c r="BT163" s="319">
        <f t="shared" si="94"/>
        <v>0</v>
      </c>
      <c r="BU163" s="319">
        <f t="shared" si="94"/>
        <v>0</v>
      </c>
      <c r="BV163" s="319">
        <f t="shared" si="94"/>
        <v>0</v>
      </c>
      <c r="BW163" s="319">
        <f t="shared" si="94"/>
        <v>0</v>
      </c>
      <c r="BX163" s="319">
        <f t="shared" si="94"/>
        <v>0</v>
      </c>
      <c r="BY163" s="319">
        <f t="shared" si="94"/>
        <v>0</v>
      </c>
      <c r="BZ163" s="319">
        <f t="shared" si="94"/>
        <v>0</v>
      </c>
      <c r="CA163" s="319">
        <f t="shared" si="94"/>
        <v>0</v>
      </c>
      <c r="CB163" s="319">
        <f t="shared" si="94"/>
        <v>0</v>
      </c>
      <c r="CC163" s="319">
        <f t="shared" si="94"/>
        <v>0</v>
      </c>
      <c r="CD163" s="319">
        <f t="shared" si="94"/>
        <v>0</v>
      </c>
      <c r="CE163" s="319">
        <f t="shared" si="94"/>
        <v>0</v>
      </c>
      <c r="CF163" s="319">
        <f t="shared" si="94"/>
        <v>0</v>
      </c>
      <c r="CG163" s="319">
        <f t="shared" si="94"/>
        <v>0</v>
      </c>
      <c r="CH163" s="319">
        <f t="shared" si="94"/>
        <v>0</v>
      </c>
      <c r="CI163" s="319">
        <f t="shared" si="94"/>
        <v>0</v>
      </c>
      <c r="CJ163" s="319">
        <f t="shared" si="94"/>
        <v>0</v>
      </c>
      <c r="CK163" s="319">
        <f t="shared" si="94"/>
        <v>0</v>
      </c>
      <c r="CL163" s="319">
        <f t="shared" si="94"/>
        <v>0</v>
      </c>
      <c r="CM163" s="319">
        <f t="shared" si="94"/>
        <v>0</v>
      </c>
      <c r="CN163" s="319">
        <f t="shared" si="94"/>
        <v>0</v>
      </c>
      <c r="CO163" s="319">
        <f t="shared" si="94"/>
        <v>0</v>
      </c>
      <c r="CP163" s="319">
        <f t="shared" si="94"/>
        <v>0</v>
      </c>
      <c r="CQ163" s="319">
        <f t="shared" si="94"/>
        <v>0</v>
      </c>
      <c r="CR163" s="319">
        <f t="shared" si="94"/>
        <v>0</v>
      </c>
      <c r="CS163" s="319">
        <f t="shared" si="94"/>
        <v>0</v>
      </c>
      <c r="CT163" s="319">
        <f t="shared" si="94"/>
        <v>0</v>
      </c>
      <c r="CU163" s="319">
        <f t="shared" si="94"/>
        <v>0</v>
      </c>
      <c r="CV163" s="319">
        <f t="shared" si="94"/>
        <v>0</v>
      </c>
    </row>
    <row r="164" spans="1:100" x14ac:dyDescent="0.25">
      <c r="A164" s="319">
        <f t="shared" si="86"/>
        <v>0</v>
      </c>
      <c r="B164" s="319">
        <f t="shared" si="90"/>
        <v>0</v>
      </c>
      <c r="C164" s="340" t="s">
        <v>1092</v>
      </c>
      <c r="D164" s="341" t="s">
        <v>360</v>
      </c>
      <c r="E164" s="341">
        <v>2</v>
      </c>
      <c r="F164" s="341" t="str">
        <f>IF(AND(E164&lt;CharacterSheet!$V$34,OR('House Rules'!$B$7="Standard",AND('House Rules'!$B$7="Ranked",G163="Yes"))),"Yes","No")</f>
        <v>No</v>
      </c>
      <c r="G164" s="564" t="s">
        <v>347</v>
      </c>
      <c r="H164" s="333" t="str">
        <f>IF(C164="","",VLOOKUP(C164,Boonref2!A:B,2,FALSE))</f>
        <v>Yes</v>
      </c>
      <c r="I164" s="333"/>
      <c r="J164" s="333" t="str">
        <f>VLOOKUP(C164,BoonRef!A:Z,17,FALSE)</f>
        <v>Yes</v>
      </c>
      <c r="K164" s="333" t="str">
        <f>IF(J164="God",'House Rules'!$B$2,IF(J164="Demi",'House Rules'!$B$1,IF(J164="Comp",'House Rules'!$B$4,IF(J164="Yaz",'House Rules'!$B$5,IF(J164="Rag",'House Rules'!$B$3,"Available")))))</f>
        <v>Available</v>
      </c>
      <c r="L164" s="333"/>
      <c r="M164" s="333"/>
      <c r="BF164" s="319">
        <f t="shared" si="91"/>
        <v>0</v>
      </c>
      <c r="BG164" s="345" t="s">
        <v>2510</v>
      </c>
      <c r="BI164" s="319">
        <f t="shared" si="87"/>
        <v>0</v>
      </c>
      <c r="BJ164" s="319">
        <f t="shared" si="94"/>
        <v>0</v>
      </c>
      <c r="BK164" s="319">
        <f t="shared" si="94"/>
        <v>0</v>
      </c>
      <c r="BL164" s="319">
        <f t="shared" si="94"/>
        <v>0</v>
      </c>
      <c r="BM164" s="319">
        <f t="shared" si="94"/>
        <v>0</v>
      </c>
      <c r="BN164" s="319">
        <f t="shared" si="94"/>
        <v>0</v>
      </c>
      <c r="BO164" s="319">
        <f t="shared" si="94"/>
        <v>0</v>
      </c>
      <c r="BP164" s="319">
        <f t="shared" si="94"/>
        <v>0</v>
      </c>
      <c r="BQ164" s="319">
        <f t="shared" si="94"/>
        <v>0</v>
      </c>
      <c r="BR164" s="319">
        <f t="shared" si="94"/>
        <v>0</v>
      </c>
      <c r="BS164" s="319">
        <f t="shared" si="94"/>
        <v>0</v>
      </c>
      <c r="BT164" s="319">
        <f t="shared" si="94"/>
        <v>0</v>
      </c>
      <c r="BU164" s="319">
        <f t="shared" si="94"/>
        <v>0</v>
      </c>
      <c r="BV164" s="319">
        <f t="shared" si="94"/>
        <v>0</v>
      </c>
      <c r="BW164" s="319">
        <f t="shared" si="94"/>
        <v>0</v>
      </c>
      <c r="BX164" s="319">
        <f t="shared" si="94"/>
        <v>0</v>
      </c>
      <c r="BY164" s="319">
        <f t="shared" si="94"/>
        <v>0</v>
      </c>
      <c r="BZ164" s="319">
        <f t="shared" si="94"/>
        <v>0</v>
      </c>
      <c r="CA164" s="319">
        <f t="shared" si="94"/>
        <v>0</v>
      </c>
      <c r="CB164" s="319">
        <f t="shared" si="94"/>
        <v>0</v>
      </c>
      <c r="CC164" s="319">
        <f t="shared" si="94"/>
        <v>0</v>
      </c>
      <c r="CD164" s="319">
        <f t="shared" si="94"/>
        <v>0</v>
      </c>
      <c r="CE164" s="319">
        <f t="shared" si="94"/>
        <v>0</v>
      </c>
      <c r="CF164" s="319">
        <f t="shared" si="94"/>
        <v>0</v>
      </c>
      <c r="CG164" s="319">
        <f t="shared" si="94"/>
        <v>0</v>
      </c>
      <c r="CH164" s="319">
        <f t="shared" si="94"/>
        <v>0</v>
      </c>
      <c r="CI164" s="319">
        <f t="shared" si="94"/>
        <v>0</v>
      </c>
      <c r="CJ164" s="319">
        <f t="shared" si="94"/>
        <v>0</v>
      </c>
      <c r="CK164" s="319">
        <f t="shared" si="94"/>
        <v>0</v>
      </c>
      <c r="CL164" s="319">
        <f t="shared" si="94"/>
        <v>0</v>
      </c>
      <c r="CM164" s="319">
        <f t="shared" si="94"/>
        <v>0</v>
      </c>
      <c r="CN164" s="319">
        <f t="shared" si="94"/>
        <v>0</v>
      </c>
      <c r="CO164" s="319">
        <f t="shared" si="94"/>
        <v>0</v>
      </c>
      <c r="CP164" s="319">
        <f t="shared" si="94"/>
        <v>0</v>
      </c>
      <c r="CQ164" s="319">
        <f t="shared" si="94"/>
        <v>0</v>
      </c>
      <c r="CR164" s="319">
        <f t="shared" si="94"/>
        <v>0</v>
      </c>
      <c r="CS164" s="319">
        <f t="shared" si="94"/>
        <v>0</v>
      </c>
      <c r="CT164" s="319">
        <f t="shared" si="94"/>
        <v>0</v>
      </c>
      <c r="CU164" s="319">
        <f t="shared" si="94"/>
        <v>0</v>
      </c>
      <c r="CV164" s="319">
        <f t="shared" si="94"/>
        <v>0</v>
      </c>
    </row>
    <row r="165" spans="1:100" x14ac:dyDescent="0.25">
      <c r="A165" s="319">
        <f t="shared" si="86"/>
        <v>0</v>
      </c>
      <c r="B165" s="319">
        <f t="shared" si="90"/>
        <v>0</v>
      </c>
      <c r="C165" s="340" t="s">
        <v>1397</v>
      </c>
      <c r="D165" s="341" t="s">
        <v>360</v>
      </c>
      <c r="E165" s="341">
        <v>3</v>
      </c>
      <c r="F165" s="341" t="str">
        <f>IF(AND(E165&lt;CharacterSheet!$V$34,'House Rules'!$B$4="Available",OR('House Rules'!$B$7="Standard",AND('House Rules'!$B$7="Ranked",G164="Yes"))),"Yes","No")</f>
        <v>No</v>
      </c>
      <c r="G165" s="564" t="s">
        <v>347</v>
      </c>
      <c r="H165" s="333" t="str">
        <f>IF(C165="","",VLOOKUP(C165,Boonref2!A:B,2,FALSE))</f>
        <v>Yes</v>
      </c>
      <c r="I165" s="333"/>
      <c r="J165" s="333" t="str">
        <f>VLOOKUP(C165,BoonRef!A:Z,17,FALSE)</f>
        <v>Yes</v>
      </c>
      <c r="K165" s="333" t="str">
        <f>IF(J165="God",'House Rules'!$B$2,IF(J165="Demi",'House Rules'!$B$1,IF(J165="Comp",'House Rules'!$B$4,IF(J165="Yaz",'House Rules'!$B$5,IF(J165="Rag",'House Rules'!$B$3,"Available")))))</f>
        <v>Available</v>
      </c>
      <c r="L165" s="333"/>
      <c r="M165" s="333"/>
      <c r="BF165" s="319">
        <f t="shared" si="91"/>
        <v>0</v>
      </c>
      <c r="BG165" s="345" t="s">
        <v>2511</v>
      </c>
      <c r="BI165" s="319">
        <f t="shared" si="87"/>
        <v>0</v>
      </c>
      <c r="BJ165" s="319">
        <f t="shared" si="94"/>
        <v>0</v>
      </c>
      <c r="BK165" s="319">
        <f t="shared" si="94"/>
        <v>0</v>
      </c>
      <c r="BL165" s="319">
        <f t="shared" si="94"/>
        <v>0</v>
      </c>
      <c r="BM165" s="319">
        <f t="shared" si="94"/>
        <v>0</v>
      </c>
      <c r="BN165" s="319">
        <f t="shared" si="94"/>
        <v>0</v>
      </c>
      <c r="BO165" s="319">
        <f t="shared" si="94"/>
        <v>0</v>
      </c>
      <c r="BP165" s="319">
        <f t="shared" si="94"/>
        <v>0</v>
      </c>
      <c r="BQ165" s="319">
        <f t="shared" si="94"/>
        <v>0</v>
      </c>
      <c r="BR165" s="319">
        <f t="shared" si="94"/>
        <v>0</v>
      </c>
      <c r="BS165" s="319">
        <f t="shared" si="94"/>
        <v>0</v>
      </c>
      <c r="BT165" s="319">
        <f t="shared" si="94"/>
        <v>0</v>
      </c>
      <c r="BU165" s="319">
        <f t="shared" si="94"/>
        <v>0</v>
      </c>
      <c r="BV165" s="319">
        <f t="shared" si="94"/>
        <v>0</v>
      </c>
      <c r="BW165" s="319">
        <f t="shared" si="94"/>
        <v>0</v>
      </c>
      <c r="BX165" s="319">
        <f t="shared" si="94"/>
        <v>0</v>
      </c>
      <c r="BY165" s="319">
        <f t="shared" si="94"/>
        <v>0</v>
      </c>
      <c r="BZ165" s="319">
        <f t="shared" si="94"/>
        <v>0</v>
      </c>
      <c r="CA165" s="319">
        <f t="shared" si="94"/>
        <v>0</v>
      </c>
      <c r="CB165" s="319">
        <f t="shared" si="94"/>
        <v>0</v>
      </c>
      <c r="CC165" s="319">
        <f t="shared" si="94"/>
        <v>0</v>
      </c>
      <c r="CD165" s="319">
        <f t="shared" si="94"/>
        <v>0</v>
      </c>
      <c r="CE165" s="319">
        <f t="shared" si="94"/>
        <v>0</v>
      </c>
      <c r="CF165" s="319">
        <f t="shared" si="94"/>
        <v>0</v>
      </c>
      <c r="CG165" s="319">
        <f t="shared" si="94"/>
        <v>0</v>
      </c>
      <c r="CH165" s="319">
        <f t="shared" si="94"/>
        <v>0</v>
      </c>
      <c r="CI165" s="319">
        <f t="shared" si="94"/>
        <v>0</v>
      </c>
      <c r="CJ165" s="319">
        <f t="shared" si="94"/>
        <v>0</v>
      </c>
      <c r="CK165" s="319">
        <f t="shared" si="94"/>
        <v>0</v>
      </c>
      <c r="CL165" s="319">
        <f t="shared" si="94"/>
        <v>0</v>
      </c>
      <c r="CM165" s="319">
        <f t="shared" si="94"/>
        <v>0</v>
      </c>
      <c r="CN165" s="319">
        <f t="shared" si="94"/>
        <v>0</v>
      </c>
      <c r="CO165" s="319">
        <f t="shared" si="94"/>
        <v>0</v>
      </c>
      <c r="CP165" s="319">
        <f t="shared" si="94"/>
        <v>0</v>
      </c>
      <c r="CQ165" s="319">
        <f t="shared" si="94"/>
        <v>0</v>
      </c>
      <c r="CR165" s="319">
        <f t="shared" si="94"/>
        <v>0</v>
      </c>
      <c r="CS165" s="319">
        <f t="shared" si="94"/>
        <v>0</v>
      </c>
      <c r="CT165" s="319">
        <f t="shared" si="94"/>
        <v>0</v>
      </c>
      <c r="CU165" s="319">
        <f t="shared" si="94"/>
        <v>0</v>
      </c>
      <c r="CV165" s="319">
        <f t="shared" si="94"/>
        <v>0</v>
      </c>
    </row>
    <row r="166" spans="1:100" x14ac:dyDescent="0.25">
      <c r="A166" s="319">
        <f t="shared" si="86"/>
        <v>0</v>
      </c>
      <c r="B166" s="319">
        <f t="shared" si="90"/>
        <v>0</v>
      </c>
      <c r="C166" s="340" t="s">
        <v>1093</v>
      </c>
      <c r="D166" s="341" t="s">
        <v>360</v>
      </c>
      <c r="E166" s="341">
        <v>3</v>
      </c>
      <c r="F166" s="341" t="str">
        <f>IF(AND(E166&lt;CharacterSheet!$V$34,OR('House Rules'!$B$7="Standard",AND('House Rules'!$B$7="Ranked",G164="Yes"))),"Yes","No")</f>
        <v>No</v>
      </c>
      <c r="G166" s="564" t="s">
        <v>347</v>
      </c>
      <c r="H166" s="333" t="str">
        <f>IF(C166="","",VLOOKUP(C166,Boonref2!A:B,2,FALSE))</f>
        <v>No</v>
      </c>
      <c r="I166" s="333"/>
      <c r="J166" s="333" t="str">
        <f>VLOOKUP(C166,BoonRef!A:Z,17,FALSE)</f>
        <v>Yes</v>
      </c>
      <c r="K166" s="333" t="str">
        <f>IF(J166="God",'House Rules'!$B$2,IF(J166="Demi",'House Rules'!$B$1,IF(J166="Comp",'House Rules'!$B$4,IF(J166="Yaz",'House Rules'!$B$5,IF(J166="Rag",'House Rules'!$B$3,"Available")))))</f>
        <v>Available</v>
      </c>
      <c r="L166" s="333"/>
      <c r="M166" s="333"/>
      <c r="BF166" s="319">
        <f t="shared" si="91"/>
        <v>0</v>
      </c>
      <c r="BG166" s="345" t="s">
        <v>2512</v>
      </c>
      <c r="BI166" s="319">
        <f t="shared" si="87"/>
        <v>0</v>
      </c>
      <c r="BJ166" s="319">
        <f t="shared" si="94"/>
        <v>0</v>
      </c>
      <c r="BK166" s="319">
        <f t="shared" si="94"/>
        <v>0</v>
      </c>
      <c r="BL166" s="319">
        <f t="shared" si="94"/>
        <v>0</v>
      </c>
      <c r="BM166" s="319">
        <f t="shared" si="94"/>
        <v>0</v>
      </c>
      <c r="BN166" s="319">
        <f t="shared" si="94"/>
        <v>0</v>
      </c>
      <c r="BO166" s="319">
        <f t="shared" si="94"/>
        <v>0</v>
      </c>
      <c r="BP166" s="319">
        <f t="shared" si="94"/>
        <v>0</v>
      </c>
      <c r="BQ166" s="319">
        <f t="shared" si="94"/>
        <v>0</v>
      </c>
      <c r="BR166" s="319">
        <f t="shared" si="94"/>
        <v>0</v>
      </c>
      <c r="BS166" s="319">
        <f t="shared" si="94"/>
        <v>0</v>
      </c>
      <c r="BT166" s="319">
        <f t="shared" si="94"/>
        <v>0</v>
      </c>
      <c r="BU166" s="319">
        <f t="shared" si="94"/>
        <v>0</v>
      </c>
      <c r="BV166" s="319">
        <f t="shared" si="94"/>
        <v>0</v>
      </c>
      <c r="BW166" s="319">
        <f t="shared" si="94"/>
        <v>0</v>
      </c>
      <c r="BX166" s="319">
        <f t="shared" si="94"/>
        <v>0</v>
      </c>
      <c r="BY166" s="319">
        <f t="shared" si="94"/>
        <v>0</v>
      </c>
      <c r="BZ166" s="319">
        <f t="shared" si="94"/>
        <v>0</v>
      </c>
      <c r="CA166" s="319">
        <f t="shared" si="94"/>
        <v>0</v>
      </c>
      <c r="CB166" s="319">
        <f t="shared" si="94"/>
        <v>0</v>
      </c>
      <c r="CC166" s="319">
        <f t="shared" si="94"/>
        <v>0</v>
      </c>
      <c r="CD166" s="319">
        <f t="shared" si="94"/>
        <v>0</v>
      </c>
      <c r="CE166" s="319">
        <f t="shared" si="94"/>
        <v>0</v>
      </c>
      <c r="CF166" s="319">
        <f t="shared" si="94"/>
        <v>0</v>
      </c>
      <c r="CG166" s="319">
        <f t="shared" si="94"/>
        <v>0</v>
      </c>
      <c r="CH166" s="319">
        <f t="shared" ref="BJ166:CV173" si="95">IF(AND($D166=CH$1,$G166="Yes"),$E166,0)</f>
        <v>0</v>
      </c>
      <c r="CI166" s="319">
        <f t="shared" si="95"/>
        <v>0</v>
      </c>
      <c r="CJ166" s="319">
        <f t="shared" si="95"/>
        <v>0</v>
      </c>
      <c r="CK166" s="319">
        <f t="shared" si="95"/>
        <v>0</v>
      </c>
      <c r="CL166" s="319">
        <f t="shared" si="95"/>
        <v>0</v>
      </c>
      <c r="CM166" s="319">
        <f t="shared" si="95"/>
        <v>0</v>
      </c>
      <c r="CN166" s="319">
        <f t="shared" si="95"/>
        <v>0</v>
      </c>
      <c r="CO166" s="319">
        <f t="shared" si="95"/>
        <v>0</v>
      </c>
      <c r="CP166" s="319">
        <f t="shared" si="95"/>
        <v>0</v>
      </c>
      <c r="CQ166" s="319">
        <f t="shared" si="95"/>
        <v>0</v>
      </c>
      <c r="CR166" s="319">
        <f t="shared" si="95"/>
        <v>0</v>
      </c>
      <c r="CS166" s="319">
        <f t="shared" si="95"/>
        <v>0</v>
      </c>
      <c r="CT166" s="319">
        <f t="shared" si="95"/>
        <v>0</v>
      </c>
      <c r="CU166" s="319">
        <f t="shared" si="95"/>
        <v>0</v>
      </c>
      <c r="CV166" s="319">
        <f t="shared" si="95"/>
        <v>0</v>
      </c>
    </row>
    <row r="167" spans="1:100" x14ac:dyDescent="0.25">
      <c r="A167" s="319">
        <f t="shared" si="86"/>
        <v>0</v>
      </c>
      <c r="B167" s="319">
        <f t="shared" si="90"/>
        <v>0</v>
      </c>
      <c r="C167" s="340" t="s">
        <v>1179</v>
      </c>
      <c r="D167" s="341" t="s">
        <v>360</v>
      </c>
      <c r="E167" s="341">
        <v>4</v>
      </c>
      <c r="F167" s="341" t="str">
        <f>IF(AND(E167&lt;CharacterSheet!$V$34,'House Rules'!$B$1="Available",OR('House Rules'!$B$7="Standard",AND('House Rules'!$B$7="Ranked",OR(G166="Yes",G165="Yes")))),"Yes","No")</f>
        <v>No</v>
      </c>
      <c r="G167" s="564" t="s">
        <v>347</v>
      </c>
      <c r="H167" s="333" t="str">
        <f>IF(C167="","",VLOOKUP(C167,Boonref2!A:B,2,FALSE))</f>
        <v>Yes</v>
      </c>
      <c r="I167" s="333"/>
      <c r="J167" s="333" t="str">
        <f>VLOOKUP(C167,BoonRef!A:Z,17,FALSE)</f>
        <v>Yes</v>
      </c>
      <c r="K167" s="333" t="str">
        <f>IF(J167="God",'House Rules'!$B$2,IF(J167="Demi",'House Rules'!$B$1,IF(J167="Comp",'House Rules'!$B$4,IF(J167="Yaz",'House Rules'!$B$5,IF(J167="Rag",'House Rules'!$B$3,"Available")))))</f>
        <v>Available</v>
      </c>
      <c r="L167" s="333"/>
      <c r="M167" s="333"/>
      <c r="BF167" s="319">
        <f t="shared" si="91"/>
        <v>0</v>
      </c>
      <c r="BG167" s="345" t="s">
        <v>2513</v>
      </c>
      <c r="BI167" s="319">
        <f t="shared" si="87"/>
        <v>0</v>
      </c>
      <c r="BJ167" s="319">
        <f t="shared" si="95"/>
        <v>0</v>
      </c>
      <c r="BK167" s="319">
        <f t="shared" si="95"/>
        <v>0</v>
      </c>
      <c r="BL167" s="319">
        <f t="shared" si="95"/>
        <v>0</v>
      </c>
      <c r="BM167" s="319">
        <f t="shared" si="95"/>
        <v>0</v>
      </c>
      <c r="BN167" s="319">
        <f t="shared" si="95"/>
        <v>0</v>
      </c>
      <c r="BO167" s="319">
        <f t="shared" si="95"/>
        <v>0</v>
      </c>
      <c r="BP167" s="319">
        <f t="shared" si="95"/>
        <v>0</v>
      </c>
      <c r="BQ167" s="319">
        <f t="shared" si="95"/>
        <v>0</v>
      </c>
      <c r="BR167" s="319">
        <f t="shared" si="95"/>
        <v>0</v>
      </c>
      <c r="BS167" s="319">
        <f t="shared" si="95"/>
        <v>0</v>
      </c>
      <c r="BT167" s="319">
        <f t="shared" si="95"/>
        <v>0</v>
      </c>
      <c r="BU167" s="319">
        <f t="shared" si="95"/>
        <v>0</v>
      </c>
      <c r="BV167" s="319">
        <f t="shared" si="95"/>
        <v>0</v>
      </c>
      <c r="BW167" s="319">
        <f t="shared" si="95"/>
        <v>0</v>
      </c>
      <c r="BX167" s="319">
        <f t="shared" si="95"/>
        <v>0</v>
      </c>
      <c r="BY167" s="319">
        <f t="shared" si="95"/>
        <v>0</v>
      </c>
      <c r="BZ167" s="319">
        <f t="shared" si="95"/>
        <v>0</v>
      </c>
      <c r="CA167" s="319">
        <f t="shared" si="95"/>
        <v>0</v>
      </c>
      <c r="CB167" s="319">
        <f t="shared" si="95"/>
        <v>0</v>
      </c>
      <c r="CC167" s="319">
        <f t="shared" si="95"/>
        <v>0</v>
      </c>
      <c r="CD167" s="319">
        <f t="shared" si="95"/>
        <v>0</v>
      </c>
      <c r="CE167" s="319">
        <f t="shared" si="95"/>
        <v>0</v>
      </c>
      <c r="CF167" s="319">
        <f t="shared" si="95"/>
        <v>0</v>
      </c>
      <c r="CG167" s="319">
        <f t="shared" si="95"/>
        <v>0</v>
      </c>
      <c r="CH167" s="319">
        <f t="shared" si="95"/>
        <v>0</v>
      </c>
      <c r="CI167" s="319">
        <f t="shared" si="95"/>
        <v>0</v>
      </c>
      <c r="CJ167" s="319">
        <f t="shared" si="95"/>
        <v>0</v>
      </c>
      <c r="CK167" s="319">
        <f t="shared" si="95"/>
        <v>0</v>
      </c>
      <c r="CL167" s="319">
        <f t="shared" si="95"/>
        <v>0</v>
      </c>
      <c r="CM167" s="319">
        <f t="shared" si="95"/>
        <v>0</v>
      </c>
      <c r="CN167" s="319">
        <f t="shared" si="95"/>
        <v>0</v>
      </c>
      <c r="CO167" s="319">
        <f t="shared" si="95"/>
        <v>0</v>
      </c>
      <c r="CP167" s="319">
        <f t="shared" si="95"/>
        <v>0</v>
      </c>
      <c r="CQ167" s="319">
        <f t="shared" si="95"/>
        <v>0</v>
      </c>
      <c r="CR167" s="319">
        <f t="shared" si="95"/>
        <v>0</v>
      </c>
      <c r="CS167" s="319">
        <f t="shared" si="95"/>
        <v>0</v>
      </c>
      <c r="CT167" s="319">
        <f t="shared" si="95"/>
        <v>0</v>
      </c>
      <c r="CU167" s="319">
        <f t="shared" si="95"/>
        <v>0</v>
      </c>
      <c r="CV167" s="319">
        <f t="shared" si="95"/>
        <v>0</v>
      </c>
    </row>
    <row r="168" spans="1:100" x14ac:dyDescent="0.25">
      <c r="A168" s="319">
        <f t="shared" si="86"/>
        <v>0</v>
      </c>
      <c r="B168" s="319">
        <f t="shared" si="90"/>
        <v>0</v>
      </c>
      <c r="C168" s="340" t="s">
        <v>1180</v>
      </c>
      <c r="D168" s="341" t="s">
        <v>360</v>
      </c>
      <c r="E168" s="341">
        <v>5</v>
      </c>
      <c r="F168" s="341" t="str">
        <f>IF(AND(E168&lt;CharacterSheet!$V$34,'House Rules'!$B$1="Available",OR('House Rules'!$B$7="Standard",AND('House Rules'!$B$7="Ranked",G167="Yes"))),"Yes","No")</f>
        <v>No</v>
      </c>
      <c r="G168" s="564" t="s">
        <v>347</v>
      </c>
      <c r="H168" s="333" t="str">
        <f>IF(C168="","",VLOOKUP(C168,Boonref2!A:B,2,FALSE))</f>
        <v>No</v>
      </c>
      <c r="I168" s="333"/>
      <c r="J168" s="333" t="str">
        <f>VLOOKUP(C168,BoonRef!A:Z,17,FALSE)</f>
        <v>Yes</v>
      </c>
      <c r="K168" s="333" t="str">
        <f>IF(J168="God",'House Rules'!$B$2,IF(J168="Demi",'House Rules'!$B$1,IF(J168="Comp",'House Rules'!$B$4,IF(J168="Yaz",'House Rules'!$B$5,IF(J168="Rag",'House Rules'!$B$3,"Available")))))</f>
        <v>Available</v>
      </c>
      <c r="L168" s="333"/>
      <c r="M168" s="333"/>
      <c r="BF168" s="319">
        <f t="shared" si="91"/>
        <v>0</v>
      </c>
      <c r="BG168" s="345" t="s">
        <v>2514</v>
      </c>
      <c r="BI168" s="319">
        <f t="shared" si="87"/>
        <v>0</v>
      </c>
      <c r="BJ168" s="319">
        <f t="shared" si="95"/>
        <v>0</v>
      </c>
      <c r="BK168" s="319">
        <f t="shared" si="95"/>
        <v>0</v>
      </c>
      <c r="BL168" s="319">
        <f t="shared" si="95"/>
        <v>0</v>
      </c>
      <c r="BM168" s="319">
        <f t="shared" si="95"/>
        <v>0</v>
      </c>
      <c r="BN168" s="319">
        <f t="shared" si="95"/>
        <v>0</v>
      </c>
      <c r="BO168" s="319">
        <f t="shared" si="95"/>
        <v>0</v>
      </c>
      <c r="BP168" s="319">
        <f t="shared" si="95"/>
        <v>0</v>
      </c>
      <c r="BQ168" s="319">
        <f t="shared" si="95"/>
        <v>0</v>
      </c>
      <c r="BR168" s="319">
        <f t="shared" si="95"/>
        <v>0</v>
      </c>
      <c r="BS168" s="319">
        <f t="shared" si="95"/>
        <v>0</v>
      </c>
      <c r="BT168" s="319">
        <f t="shared" si="95"/>
        <v>0</v>
      </c>
      <c r="BU168" s="319">
        <f t="shared" si="95"/>
        <v>0</v>
      </c>
      <c r="BV168" s="319">
        <f t="shared" si="95"/>
        <v>0</v>
      </c>
      <c r="BW168" s="319">
        <f t="shared" si="95"/>
        <v>0</v>
      </c>
      <c r="BX168" s="319">
        <f t="shared" si="95"/>
        <v>0</v>
      </c>
      <c r="BY168" s="319">
        <f t="shared" si="95"/>
        <v>0</v>
      </c>
      <c r="BZ168" s="319">
        <f t="shared" si="95"/>
        <v>0</v>
      </c>
      <c r="CA168" s="319">
        <f t="shared" si="95"/>
        <v>0</v>
      </c>
      <c r="CB168" s="319">
        <f t="shared" si="95"/>
        <v>0</v>
      </c>
      <c r="CC168" s="319">
        <f t="shared" si="95"/>
        <v>0</v>
      </c>
      <c r="CD168" s="319">
        <f t="shared" si="95"/>
        <v>0</v>
      </c>
      <c r="CE168" s="319">
        <f t="shared" si="95"/>
        <v>0</v>
      </c>
      <c r="CF168" s="319">
        <f t="shared" si="95"/>
        <v>0</v>
      </c>
      <c r="CG168" s="319">
        <f t="shared" si="95"/>
        <v>0</v>
      </c>
      <c r="CH168" s="319">
        <f t="shared" si="95"/>
        <v>0</v>
      </c>
      <c r="CI168" s="319">
        <f t="shared" si="95"/>
        <v>0</v>
      </c>
      <c r="CJ168" s="319">
        <f t="shared" si="95"/>
        <v>0</v>
      </c>
      <c r="CK168" s="319">
        <f t="shared" si="95"/>
        <v>0</v>
      </c>
      <c r="CL168" s="319">
        <f t="shared" si="95"/>
        <v>0</v>
      </c>
      <c r="CM168" s="319">
        <f t="shared" si="95"/>
        <v>0</v>
      </c>
      <c r="CN168" s="319">
        <f t="shared" si="95"/>
        <v>0</v>
      </c>
      <c r="CO168" s="319">
        <f t="shared" si="95"/>
        <v>0</v>
      </c>
      <c r="CP168" s="319">
        <f t="shared" si="95"/>
        <v>0</v>
      </c>
      <c r="CQ168" s="319">
        <f t="shared" si="95"/>
        <v>0</v>
      </c>
      <c r="CR168" s="319">
        <f t="shared" si="95"/>
        <v>0</v>
      </c>
      <c r="CS168" s="319">
        <f t="shared" si="95"/>
        <v>0</v>
      </c>
      <c r="CT168" s="319">
        <f t="shared" si="95"/>
        <v>0</v>
      </c>
      <c r="CU168" s="319">
        <f t="shared" si="95"/>
        <v>0</v>
      </c>
      <c r="CV168" s="319">
        <f t="shared" si="95"/>
        <v>0</v>
      </c>
    </row>
    <row r="169" spans="1:100" x14ac:dyDescent="0.25">
      <c r="A169" s="319">
        <f t="shared" si="86"/>
        <v>0</v>
      </c>
      <c r="B169" s="319">
        <f t="shared" si="90"/>
        <v>0</v>
      </c>
      <c r="C169" s="340" t="s">
        <v>1181</v>
      </c>
      <c r="D169" s="341" t="s">
        <v>360</v>
      </c>
      <c r="E169" s="341">
        <v>6</v>
      </c>
      <c r="F169" s="341" t="str">
        <f>IF(AND(E169&lt;CharacterSheet!$V$34,'House Rules'!$B$1="Available",OR('House Rules'!$B$7="Standard",AND('House Rules'!$B$7="Ranked",G168="Yes"))),"Yes","No")</f>
        <v>No</v>
      </c>
      <c r="G169" s="564" t="s">
        <v>347</v>
      </c>
      <c r="H169" s="333" t="str">
        <f>IF(C169="","",VLOOKUP(C169,Boonref2!A:B,2,FALSE))</f>
        <v>Yes</v>
      </c>
      <c r="I169" s="333"/>
      <c r="J169" s="333" t="str">
        <f>VLOOKUP(C169,BoonRef!A:Z,17,FALSE)</f>
        <v>Yes</v>
      </c>
      <c r="K169" s="333" t="str">
        <f>IF(J169="God",'House Rules'!$B$2,IF(J169="Demi",'House Rules'!$B$1,IF(J169="Comp",'House Rules'!$B$4,IF(J169="Yaz",'House Rules'!$B$5,IF(J169="Rag",'House Rules'!$B$3,"Available")))))</f>
        <v>Available</v>
      </c>
      <c r="L169" s="333"/>
      <c r="M169" s="333"/>
      <c r="BF169" s="319">
        <f t="shared" si="91"/>
        <v>0</v>
      </c>
      <c r="BG169" s="345" t="s">
        <v>2515</v>
      </c>
      <c r="BI169" s="319">
        <f t="shared" si="87"/>
        <v>0</v>
      </c>
      <c r="BJ169" s="319">
        <f t="shared" si="95"/>
        <v>0</v>
      </c>
      <c r="BK169" s="319">
        <f t="shared" si="95"/>
        <v>0</v>
      </c>
      <c r="BL169" s="319">
        <f t="shared" si="95"/>
        <v>0</v>
      </c>
      <c r="BM169" s="319">
        <f t="shared" si="95"/>
        <v>0</v>
      </c>
      <c r="BN169" s="319">
        <f t="shared" si="95"/>
        <v>0</v>
      </c>
      <c r="BO169" s="319">
        <f t="shared" si="95"/>
        <v>0</v>
      </c>
      <c r="BP169" s="319">
        <f t="shared" si="95"/>
        <v>0</v>
      </c>
      <c r="BQ169" s="319">
        <f t="shared" si="95"/>
        <v>0</v>
      </c>
      <c r="BR169" s="319">
        <f t="shared" si="95"/>
        <v>0</v>
      </c>
      <c r="BS169" s="319">
        <f t="shared" si="95"/>
        <v>0</v>
      </c>
      <c r="BT169" s="319">
        <f t="shared" si="95"/>
        <v>0</v>
      </c>
      <c r="BU169" s="319">
        <f t="shared" si="95"/>
        <v>0</v>
      </c>
      <c r="BV169" s="319">
        <f t="shared" si="95"/>
        <v>0</v>
      </c>
      <c r="BW169" s="319">
        <f t="shared" si="95"/>
        <v>0</v>
      </c>
      <c r="BX169" s="319">
        <f t="shared" si="95"/>
        <v>0</v>
      </c>
      <c r="BY169" s="319">
        <f t="shared" si="95"/>
        <v>0</v>
      </c>
      <c r="BZ169" s="319">
        <f t="shared" si="95"/>
        <v>0</v>
      </c>
      <c r="CA169" s="319">
        <f t="shared" si="95"/>
        <v>0</v>
      </c>
      <c r="CB169" s="319">
        <f t="shared" si="95"/>
        <v>0</v>
      </c>
      <c r="CC169" s="319">
        <f t="shared" si="95"/>
        <v>0</v>
      </c>
      <c r="CD169" s="319">
        <f t="shared" si="95"/>
        <v>0</v>
      </c>
      <c r="CE169" s="319">
        <f t="shared" si="95"/>
        <v>0</v>
      </c>
      <c r="CF169" s="319">
        <f t="shared" si="95"/>
        <v>0</v>
      </c>
      <c r="CG169" s="319">
        <f t="shared" si="95"/>
        <v>0</v>
      </c>
      <c r="CH169" s="319">
        <f t="shared" si="95"/>
        <v>0</v>
      </c>
      <c r="CI169" s="319">
        <f t="shared" si="95"/>
        <v>0</v>
      </c>
      <c r="CJ169" s="319">
        <f t="shared" si="95"/>
        <v>0</v>
      </c>
      <c r="CK169" s="319">
        <f t="shared" si="95"/>
        <v>0</v>
      </c>
      <c r="CL169" s="319">
        <f t="shared" si="95"/>
        <v>0</v>
      </c>
      <c r="CM169" s="319">
        <f t="shared" si="95"/>
        <v>0</v>
      </c>
      <c r="CN169" s="319">
        <f t="shared" si="95"/>
        <v>0</v>
      </c>
      <c r="CO169" s="319">
        <f t="shared" si="95"/>
        <v>0</v>
      </c>
      <c r="CP169" s="319">
        <f t="shared" si="95"/>
        <v>0</v>
      </c>
      <c r="CQ169" s="319">
        <f t="shared" si="95"/>
        <v>0</v>
      </c>
      <c r="CR169" s="319">
        <f t="shared" si="95"/>
        <v>0</v>
      </c>
      <c r="CS169" s="319">
        <f t="shared" si="95"/>
        <v>0</v>
      </c>
      <c r="CT169" s="319">
        <f t="shared" si="95"/>
        <v>0</v>
      </c>
      <c r="CU169" s="319">
        <f t="shared" si="95"/>
        <v>0</v>
      </c>
      <c r="CV169" s="319">
        <f t="shared" si="95"/>
        <v>0</v>
      </c>
    </row>
    <row r="170" spans="1:100" x14ac:dyDescent="0.25">
      <c r="A170" s="319">
        <f t="shared" si="86"/>
        <v>0</v>
      </c>
      <c r="B170" s="319">
        <f t="shared" si="90"/>
        <v>0</v>
      </c>
      <c r="C170" s="340" t="s">
        <v>1182</v>
      </c>
      <c r="D170" s="341" t="s">
        <v>360</v>
      </c>
      <c r="E170" s="341">
        <v>7</v>
      </c>
      <c r="F170" s="341" t="str">
        <f>IF(AND(E170&lt;CharacterSheet!$V$34,'House Rules'!$B$1="Available",OR('House Rules'!$B$7="Standard",AND('House Rules'!$B$7="Ranked",G169="Yes"))),"Yes","No")</f>
        <v>No</v>
      </c>
      <c r="G170" s="564" t="s">
        <v>347</v>
      </c>
      <c r="H170" s="333" t="str">
        <f>IF(C170="","",VLOOKUP(C170,Boonref2!A:B,2,FALSE))</f>
        <v>Yes</v>
      </c>
      <c r="I170" s="333"/>
      <c r="J170" s="333" t="str">
        <f>VLOOKUP(C170,BoonRef!A:Z,17,FALSE)</f>
        <v>Yes</v>
      </c>
      <c r="K170" s="333" t="str">
        <f>IF(J170="God",'House Rules'!$B$2,IF(J170="Demi",'House Rules'!$B$1,IF(J170="Comp",'House Rules'!$B$4,IF(J170="Yaz",'House Rules'!$B$5,IF(J170="Rag",'House Rules'!$B$3,"Available")))))</f>
        <v>Available</v>
      </c>
      <c r="L170" s="333"/>
      <c r="M170" s="333"/>
      <c r="BF170" s="319">
        <f t="shared" si="91"/>
        <v>0</v>
      </c>
      <c r="BG170" s="345" t="s">
        <v>2516</v>
      </c>
      <c r="BI170" s="319">
        <f t="shared" si="87"/>
        <v>0</v>
      </c>
      <c r="BJ170" s="319">
        <f t="shared" si="95"/>
        <v>0</v>
      </c>
      <c r="BK170" s="319">
        <f t="shared" si="95"/>
        <v>0</v>
      </c>
      <c r="BL170" s="319">
        <f t="shared" si="95"/>
        <v>0</v>
      </c>
      <c r="BM170" s="319">
        <f t="shared" si="95"/>
        <v>0</v>
      </c>
      <c r="BN170" s="319">
        <f t="shared" si="95"/>
        <v>0</v>
      </c>
      <c r="BO170" s="319">
        <f t="shared" si="95"/>
        <v>0</v>
      </c>
      <c r="BP170" s="319">
        <f t="shared" si="95"/>
        <v>0</v>
      </c>
      <c r="BQ170" s="319">
        <f t="shared" si="95"/>
        <v>0</v>
      </c>
      <c r="BR170" s="319">
        <f t="shared" si="95"/>
        <v>0</v>
      </c>
      <c r="BS170" s="319">
        <f t="shared" si="95"/>
        <v>0</v>
      </c>
      <c r="BT170" s="319">
        <f t="shared" si="95"/>
        <v>0</v>
      </c>
      <c r="BU170" s="319">
        <f t="shared" si="95"/>
        <v>0</v>
      </c>
      <c r="BV170" s="319">
        <f t="shared" si="95"/>
        <v>0</v>
      </c>
      <c r="BW170" s="319">
        <f t="shared" si="95"/>
        <v>0</v>
      </c>
      <c r="BX170" s="319">
        <f t="shared" si="95"/>
        <v>0</v>
      </c>
      <c r="BY170" s="319">
        <f t="shared" si="95"/>
        <v>0</v>
      </c>
      <c r="BZ170" s="319">
        <f t="shared" si="95"/>
        <v>0</v>
      </c>
      <c r="CA170" s="319">
        <f t="shared" si="95"/>
        <v>0</v>
      </c>
      <c r="CB170" s="319">
        <f t="shared" si="95"/>
        <v>0</v>
      </c>
      <c r="CC170" s="319">
        <f t="shared" si="95"/>
        <v>0</v>
      </c>
      <c r="CD170" s="319">
        <f t="shared" si="95"/>
        <v>0</v>
      </c>
      <c r="CE170" s="319">
        <f t="shared" si="95"/>
        <v>0</v>
      </c>
      <c r="CF170" s="319">
        <f t="shared" si="95"/>
        <v>0</v>
      </c>
      <c r="CG170" s="319">
        <f t="shared" si="95"/>
        <v>0</v>
      </c>
      <c r="CH170" s="319">
        <f t="shared" si="95"/>
        <v>0</v>
      </c>
      <c r="CI170" s="319">
        <f t="shared" si="95"/>
        <v>0</v>
      </c>
      <c r="CJ170" s="319">
        <f t="shared" si="95"/>
        <v>0</v>
      </c>
      <c r="CK170" s="319">
        <f t="shared" si="95"/>
        <v>0</v>
      </c>
      <c r="CL170" s="319">
        <f t="shared" si="95"/>
        <v>0</v>
      </c>
      <c r="CM170" s="319">
        <f t="shared" si="95"/>
        <v>0</v>
      </c>
      <c r="CN170" s="319">
        <f t="shared" si="95"/>
        <v>0</v>
      </c>
      <c r="CO170" s="319">
        <f t="shared" si="95"/>
        <v>0</v>
      </c>
      <c r="CP170" s="319">
        <f t="shared" si="95"/>
        <v>0</v>
      </c>
      <c r="CQ170" s="319">
        <f t="shared" si="95"/>
        <v>0</v>
      </c>
      <c r="CR170" s="319">
        <f t="shared" si="95"/>
        <v>0</v>
      </c>
      <c r="CS170" s="319">
        <f t="shared" si="95"/>
        <v>0</v>
      </c>
      <c r="CT170" s="319">
        <f t="shared" si="95"/>
        <v>0</v>
      </c>
      <c r="CU170" s="319">
        <f t="shared" si="95"/>
        <v>0</v>
      </c>
      <c r="CV170" s="319">
        <f t="shared" si="95"/>
        <v>0</v>
      </c>
    </row>
    <row r="171" spans="1:100" ht="15.75" thickBot="1" x14ac:dyDescent="0.3">
      <c r="A171" s="319">
        <f t="shared" si="86"/>
        <v>0</v>
      </c>
      <c r="B171" s="319">
        <f t="shared" si="90"/>
        <v>0</v>
      </c>
      <c r="C171" s="340" t="s">
        <v>1398</v>
      </c>
      <c r="D171" s="341" t="s">
        <v>360</v>
      </c>
      <c r="E171" s="341">
        <v>7</v>
      </c>
      <c r="F171" s="341" t="str">
        <f>IF(AND(E171&lt;CharacterSheet!$V$34,'House Rules'!$B$4="Available",OR('House Rules'!$B$7="Standard",AND('House Rules'!$B$7="Ranked",G169="Yes"))),"Yes","No")</f>
        <v>No</v>
      </c>
      <c r="G171" s="564" t="s">
        <v>347</v>
      </c>
      <c r="H171" s="333" t="str">
        <f>IF(C171="","",VLOOKUP(C171,Boonref2!A:B,2,FALSE))</f>
        <v>Yes</v>
      </c>
      <c r="I171" s="333"/>
      <c r="J171" s="333" t="str">
        <f>VLOOKUP(C171,BoonRef!A:Z,17,FALSE)</f>
        <v>Yes</v>
      </c>
      <c r="K171" s="333" t="str">
        <f>IF(J171="God",'House Rules'!$B$2,IF(J171="Demi",'House Rules'!$B$1,IF(J171="Comp",'House Rules'!$B$4,IF(J171="Yaz",'House Rules'!$B$5,IF(J171="Rag",'House Rules'!$B$3,"Available")))))</f>
        <v>Available</v>
      </c>
      <c r="L171" s="333"/>
      <c r="M171" s="333"/>
      <c r="BF171" s="319">
        <f t="shared" si="91"/>
        <v>0</v>
      </c>
      <c r="BG171" s="355" t="s">
        <v>2517</v>
      </c>
      <c r="BI171" s="319">
        <f t="shared" si="87"/>
        <v>0</v>
      </c>
      <c r="BJ171" s="319">
        <f t="shared" si="95"/>
        <v>0</v>
      </c>
      <c r="BK171" s="319">
        <f t="shared" si="95"/>
        <v>0</v>
      </c>
      <c r="BL171" s="319">
        <f t="shared" si="95"/>
        <v>0</v>
      </c>
      <c r="BM171" s="319">
        <f t="shared" si="95"/>
        <v>0</v>
      </c>
      <c r="BN171" s="319">
        <f t="shared" si="95"/>
        <v>0</v>
      </c>
      <c r="BO171" s="319">
        <f t="shared" si="95"/>
        <v>0</v>
      </c>
      <c r="BP171" s="319">
        <f t="shared" si="95"/>
        <v>0</v>
      </c>
      <c r="BQ171" s="319">
        <f t="shared" si="95"/>
        <v>0</v>
      </c>
      <c r="BR171" s="319">
        <f t="shared" si="95"/>
        <v>0</v>
      </c>
      <c r="BS171" s="319">
        <f t="shared" si="95"/>
        <v>0</v>
      </c>
      <c r="BT171" s="319">
        <f t="shared" si="95"/>
        <v>0</v>
      </c>
      <c r="BU171" s="319">
        <f t="shared" si="95"/>
        <v>0</v>
      </c>
      <c r="BV171" s="319">
        <f t="shared" si="95"/>
        <v>0</v>
      </c>
      <c r="BW171" s="319">
        <f t="shared" si="95"/>
        <v>0</v>
      </c>
      <c r="BX171" s="319">
        <f t="shared" si="95"/>
        <v>0</v>
      </c>
      <c r="BY171" s="319">
        <f t="shared" si="95"/>
        <v>0</v>
      </c>
      <c r="BZ171" s="319">
        <f t="shared" si="95"/>
        <v>0</v>
      </c>
      <c r="CA171" s="319">
        <f t="shared" si="95"/>
        <v>0</v>
      </c>
      <c r="CB171" s="319">
        <f t="shared" si="95"/>
        <v>0</v>
      </c>
      <c r="CC171" s="319">
        <f t="shared" si="95"/>
        <v>0</v>
      </c>
      <c r="CD171" s="319">
        <f t="shared" si="95"/>
        <v>0</v>
      </c>
      <c r="CE171" s="319">
        <f t="shared" si="95"/>
        <v>0</v>
      </c>
      <c r="CF171" s="319">
        <f t="shared" si="95"/>
        <v>0</v>
      </c>
      <c r="CG171" s="319">
        <f t="shared" si="95"/>
        <v>0</v>
      </c>
      <c r="CH171" s="319">
        <f t="shared" si="95"/>
        <v>0</v>
      </c>
      <c r="CI171" s="319">
        <f t="shared" si="95"/>
        <v>0</v>
      </c>
      <c r="CJ171" s="319">
        <f t="shared" si="95"/>
        <v>0</v>
      </c>
      <c r="CK171" s="319">
        <f t="shared" si="95"/>
        <v>0</v>
      </c>
      <c r="CL171" s="319">
        <f t="shared" si="95"/>
        <v>0</v>
      </c>
      <c r="CM171" s="319">
        <f t="shared" si="95"/>
        <v>0</v>
      </c>
      <c r="CN171" s="319">
        <f t="shared" si="95"/>
        <v>0</v>
      </c>
      <c r="CO171" s="319">
        <f t="shared" si="95"/>
        <v>0</v>
      </c>
      <c r="CP171" s="319">
        <f t="shared" si="95"/>
        <v>0</v>
      </c>
      <c r="CQ171" s="319">
        <f t="shared" si="95"/>
        <v>0</v>
      </c>
      <c r="CR171" s="319">
        <f t="shared" si="95"/>
        <v>0</v>
      </c>
      <c r="CS171" s="319">
        <f t="shared" si="95"/>
        <v>0</v>
      </c>
      <c r="CT171" s="319">
        <f t="shared" si="95"/>
        <v>0</v>
      </c>
      <c r="CU171" s="319">
        <f t="shared" si="95"/>
        <v>0</v>
      </c>
      <c r="CV171" s="319">
        <f t="shared" si="95"/>
        <v>0</v>
      </c>
    </row>
    <row r="172" spans="1:100" x14ac:dyDescent="0.25">
      <c r="A172" s="319">
        <f t="shared" si="86"/>
        <v>0</v>
      </c>
      <c r="B172" s="319">
        <f t="shared" si="90"/>
        <v>0</v>
      </c>
      <c r="C172" s="340" t="s">
        <v>1279</v>
      </c>
      <c r="D172" s="341" t="s">
        <v>360</v>
      </c>
      <c r="E172" s="341">
        <v>8</v>
      </c>
      <c r="F172" s="341" t="str">
        <f>IF(AND(E172&lt;CharacterSheet!$V$34,'House Rules'!$B$2="available",OR('House Rules'!$B$7="Standard",AND('House Rules'!$B$7="Ranked",OR(G171="Yes",G170="Yes")))),"Yes","No")</f>
        <v>No</v>
      </c>
      <c r="G172" s="564" t="s">
        <v>347</v>
      </c>
      <c r="H172" s="333" t="str">
        <f>IF(C172="","",VLOOKUP(C172,Boonref2!A:B,2,FALSE))</f>
        <v>Yes</v>
      </c>
      <c r="I172" s="333"/>
      <c r="J172" s="333" t="str">
        <f>VLOOKUP(C172,BoonRef!A:Z,17,FALSE)</f>
        <v>Yes</v>
      </c>
      <c r="K172" s="333" t="str">
        <f>IF(J172="God",'House Rules'!$B$2,IF(J172="Demi",'House Rules'!$B$1,IF(J172="Comp",'House Rules'!$B$4,IF(J172="Yaz",'House Rules'!$B$5,IF(J172="Rag",'House Rules'!$B$3,"Available")))))</f>
        <v>Available</v>
      </c>
      <c r="L172" s="333"/>
      <c r="M172" s="333"/>
      <c r="BF172" s="319">
        <f t="shared" si="91"/>
        <v>0</v>
      </c>
      <c r="BG172" s="336" t="s">
        <v>2518</v>
      </c>
      <c r="BI172" s="319">
        <f t="shared" si="87"/>
        <v>0</v>
      </c>
      <c r="BJ172" s="319">
        <f t="shared" si="95"/>
        <v>0</v>
      </c>
      <c r="BK172" s="319">
        <f t="shared" si="95"/>
        <v>0</v>
      </c>
      <c r="BL172" s="319">
        <f t="shared" si="95"/>
        <v>0</v>
      </c>
      <c r="BM172" s="319">
        <f t="shared" si="95"/>
        <v>0</v>
      </c>
      <c r="BN172" s="319">
        <f t="shared" si="95"/>
        <v>0</v>
      </c>
      <c r="BO172" s="319">
        <f t="shared" si="95"/>
        <v>0</v>
      </c>
      <c r="BP172" s="319">
        <f t="shared" si="95"/>
        <v>0</v>
      </c>
      <c r="BQ172" s="319">
        <f t="shared" si="95"/>
        <v>0</v>
      </c>
      <c r="BR172" s="319">
        <f t="shared" si="95"/>
        <v>0</v>
      </c>
      <c r="BS172" s="319">
        <f t="shared" si="95"/>
        <v>0</v>
      </c>
      <c r="BT172" s="319">
        <f t="shared" si="95"/>
        <v>0</v>
      </c>
      <c r="BU172" s="319">
        <f t="shared" si="95"/>
        <v>0</v>
      </c>
      <c r="BV172" s="319">
        <f t="shared" si="95"/>
        <v>0</v>
      </c>
      <c r="BW172" s="319">
        <f t="shared" si="95"/>
        <v>0</v>
      </c>
      <c r="BX172" s="319">
        <f t="shared" si="95"/>
        <v>0</v>
      </c>
      <c r="BY172" s="319">
        <f t="shared" si="95"/>
        <v>0</v>
      </c>
      <c r="BZ172" s="319">
        <f t="shared" si="95"/>
        <v>0</v>
      </c>
      <c r="CA172" s="319">
        <f t="shared" si="95"/>
        <v>0</v>
      </c>
      <c r="CB172" s="319">
        <f t="shared" si="95"/>
        <v>0</v>
      </c>
      <c r="CC172" s="319">
        <f t="shared" si="95"/>
        <v>0</v>
      </c>
      <c r="CD172" s="319">
        <f t="shared" si="95"/>
        <v>0</v>
      </c>
      <c r="CE172" s="319">
        <f t="shared" si="95"/>
        <v>0</v>
      </c>
      <c r="CF172" s="319">
        <f t="shared" si="95"/>
        <v>0</v>
      </c>
      <c r="CG172" s="319">
        <f t="shared" si="95"/>
        <v>0</v>
      </c>
      <c r="CH172" s="319">
        <f t="shared" si="95"/>
        <v>0</v>
      </c>
      <c r="CI172" s="319">
        <f t="shared" si="95"/>
        <v>0</v>
      </c>
      <c r="CJ172" s="319">
        <f t="shared" si="95"/>
        <v>0</v>
      </c>
      <c r="CK172" s="319">
        <f t="shared" si="95"/>
        <v>0</v>
      </c>
      <c r="CL172" s="319">
        <f t="shared" si="95"/>
        <v>0</v>
      </c>
      <c r="CM172" s="319">
        <f t="shared" si="95"/>
        <v>0</v>
      </c>
      <c r="CN172" s="319">
        <f t="shared" si="95"/>
        <v>0</v>
      </c>
      <c r="CO172" s="319">
        <f t="shared" si="95"/>
        <v>0</v>
      </c>
      <c r="CP172" s="319">
        <f t="shared" si="95"/>
        <v>0</v>
      </c>
      <c r="CQ172" s="319">
        <f t="shared" si="95"/>
        <v>0</v>
      </c>
      <c r="CR172" s="319">
        <f t="shared" si="95"/>
        <v>0</v>
      </c>
      <c r="CS172" s="319">
        <f t="shared" si="95"/>
        <v>0</v>
      </c>
      <c r="CT172" s="319">
        <f t="shared" si="95"/>
        <v>0</v>
      </c>
      <c r="CU172" s="319">
        <f t="shared" si="95"/>
        <v>0</v>
      </c>
      <c r="CV172" s="319">
        <f t="shared" si="95"/>
        <v>0</v>
      </c>
    </row>
    <row r="173" spans="1:100" x14ac:dyDescent="0.25">
      <c r="A173" s="319">
        <f t="shared" si="86"/>
        <v>0</v>
      </c>
      <c r="B173" s="319">
        <f t="shared" si="90"/>
        <v>0</v>
      </c>
      <c r="C173" s="340" t="s">
        <v>2638</v>
      </c>
      <c r="D173" s="341" t="s">
        <v>360</v>
      </c>
      <c r="E173" s="341">
        <v>8</v>
      </c>
      <c r="F173" s="341" t="str">
        <f>IF(AND(E172&lt;CharacterSheet!$V$34,'House Rules'!$B$3="Available",OR('House Rules'!$B$7="Standard",AND('House Rules'!$B$7="Ranked",OR(G171="Yes",G170="Yes")))),"Yes","No")</f>
        <v>No</v>
      </c>
      <c r="G173" s="564" t="s">
        <v>347</v>
      </c>
      <c r="H173" s="333" t="str">
        <f>IF(C173="","",VLOOKUP(C173,Boonref2!A:B,2,FALSE))</f>
        <v>Yes</v>
      </c>
      <c r="I173" s="333"/>
      <c r="J173" s="333" t="str">
        <f>VLOOKUP(C173,BoonRef!A:Z,17,FALSE)</f>
        <v>Yes</v>
      </c>
      <c r="K173" s="333" t="str">
        <f>IF(J173="God",'House Rules'!$B$2,IF(J173="Demi",'House Rules'!$B$1,IF(J173="Comp",'House Rules'!$B$4,IF(J173="Yaz",'House Rules'!$B$5,IF(J173="Rag",'House Rules'!$B$3,"Available")))))</f>
        <v>Available</v>
      </c>
      <c r="L173" s="333"/>
      <c r="M173" s="333"/>
      <c r="BF173" s="319">
        <f t="shared" si="91"/>
        <v>0</v>
      </c>
      <c r="BG173" s="345" t="s">
        <v>2519</v>
      </c>
      <c r="BI173" s="319">
        <f t="shared" si="87"/>
        <v>0</v>
      </c>
      <c r="BJ173" s="319">
        <f t="shared" si="95"/>
        <v>0</v>
      </c>
      <c r="BK173" s="319">
        <f t="shared" si="95"/>
        <v>0</v>
      </c>
      <c r="BL173" s="319">
        <f t="shared" si="95"/>
        <v>0</v>
      </c>
      <c r="BM173" s="319">
        <f t="shared" si="95"/>
        <v>0</v>
      </c>
      <c r="BN173" s="319">
        <f t="shared" si="95"/>
        <v>0</v>
      </c>
      <c r="BO173" s="319">
        <f t="shared" si="95"/>
        <v>0</v>
      </c>
      <c r="BP173" s="319">
        <f t="shared" ref="BJ173:CV179" si="96">IF(AND($D173=BP$1,$G173="Yes"),$E173,0)</f>
        <v>0</v>
      </c>
      <c r="BQ173" s="319">
        <f t="shared" si="96"/>
        <v>0</v>
      </c>
      <c r="BR173" s="319">
        <f t="shared" si="96"/>
        <v>0</v>
      </c>
      <c r="BS173" s="319">
        <f t="shared" si="96"/>
        <v>0</v>
      </c>
      <c r="BT173" s="319">
        <f t="shared" si="96"/>
        <v>0</v>
      </c>
      <c r="BU173" s="319">
        <f t="shared" si="96"/>
        <v>0</v>
      </c>
      <c r="BV173" s="319">
        <f t="shared" si="96"/>
        <v>0</v>
      </c>
      <c r="BW173" s="319">
        <f t="shared" si="96"/>
        <v>0</v>
      </c>
      <c r="BX173" s="319">
        <f t="shared" si="96"/>
        <v>0</v>
      </c>
      <c r="BY173" s="319">
        <f t="shared" si="96"/>
        <v>0</v>
      </c>
      <c r="BZ173" s="319">
        <f t="shared" si="96"/>
        <v>0</v>
      </c>
      <c r="CA173" s="319">
        <f t="shared" si="96"/>
        <v>0</v>
      </c>
      <c r="CB173" s="319">
        <f t="shared" si="96"/>
        <v>0</v>
      </c>
      <c r="CC173" s="319">
        <f t="shared" si="96"/>
        <v>0</v>
      </c>
      <c r="CD173" s="319">
        <f t="shared" si="96"/>
        <v>0</v>
      </c>
      <c r="CE173" s="319">
        <f t="shared" si="96"/>
        <v>0</v>
      </c>
      <c r="CF173" s="319">
        <f t="shared" si="96"/>
        <v>0</v>
      </c>
      <c r="CG173" s="319">
        <f t="shared" si="96"/>
        <v>0</v>
      </c>
      <c r="CH173" s="319">
        <f t="shared" si="96"/>
        <v>0</v>
      </c>
      <c r="CI173" s="319">
        <f t="shared" si="96"/>
        <v>0</v>
      </c>
      <c r="CJ173" s="319">
        <f t="shared" si="96"/>
        <v>0</v>
      </c>
      <c r="CK173" s="319">
        <f t="shared" si="96"/>
        <v>0</v>
      </c>
      <c r="CL173" s="319">
        <f t="shared" si="96"/>
        <v>0</v>
      </c>
      <c r="CM173" s="319">
        <f t="shared" si="96"/>
        <v>0</v>
      </c>
      <c r="CN173" s="319">
        <f t="shared" si="96"/>
        <v>0</v>
      </c>
      <c r="CO173" s="319">
        <f t="shared" si="96"/>
        <v>0</v>
      </c>
      <c r="CP173" s="319">
        <f t="shared" si="96"/>
        <v>0</v>
      </c>
      <c r="CQ173" s="319">
        <f t="shared" si="96"/>
        <v>0</v>
      </c>
      <c r="CR173" s="319">
        <f t="shared" si="96"/>
        <v>0</v>
      </c>
      <c r="CS173" s="319">
        <f t="shared" si="96"/>
        <v>0</v>
      </c>
      <c r="CT173" s="319">
        <f t="shared" si="96"/>
        <v>0</v>
      </c>
      <c r="CU173" s="319">
        <f t="shared" si="96"/>
        <v>0</v>
      </c>
      <c r="CV173" s="319">
        <f t="shared" si="96"/>
        <v>0</v>
      </c>
    </row>
    <row r="174" spans="1:100" x14ac:dyDescent="0.25">
      <c r="A174" s="319">
        <f t="shared" si="86"/>
        <v>0</v>
      </c>
      <c r="B174" s="319">
        <f t="shared" si="90"/>
        <v>0</v>
      </c>
      <c r="C174" s="340" t="s">
        <v>1280</v>
      </c>
      <c r="D174" s="341" t="s">
        <v>360</v>
      </c>
      <c r="E174" s="341">
        <v>9</v>
      </c>
      <c r="F174" s="341" t="str">
        <f>IF(AND(E174&lt;CharacterSheet!$V$34,'House Rules'!$B$2="available",OR('House Rules'!$B$7="Standard",AND('House Rules'!$B$7="Ranked",OR(G172="Yes",G173="Yes")))),"Yes","No")</f>
        <v>No</v>
      </c>
      <c r="G174" s="564" t="s">
        <v>347</v>
      </c>
      <c r="H174" s="333" t="str">
        <f>IF(C174="","",VLOOKUP(C174,Boonref2!A:B,2,FALSE))</f>
        <v>Yes</v>
      </c>
      <c r="I174" s="333"/>
      <c r="J174" s="333" t="str">
        <f>VLOOKUP(C174,BoonRef!A:Z,17,FALSE)</f>
        <v>Yes</v>
      </c>
      <c r="K174" s="333" t="str">
        <f>IF(J174="God",'House Rules'!$B$2,IF(J174="Demi",'House Rules'!$B$1,IF(J174="Comp",'House Rules'!$B$4,IF(J174="Yaz",'House Rules'!$B$5,IF(J174="Rag",'House Rules'!$B$3,"Available")))))</f>
        <v>Available</v>
      </c>
      <c r="L174" s="333"/>
      <c r="M174" s="333"/>
      <c r="BF174" s="319">
        <f t="shared" si="91"/>
        <v>0</v>
      </c>
      <c r="BG174" s="345" t="s">
        <v>2520</v>
      </c>
      <c r="BI174" s="319">
        <f t="shared" si="87"/>
        <v>0</v>
      </c>
      <c r="BJ174" s="319">
        <f t="shared" si="96"/>
        <v>0</v>
      </c>
      <c r="BK174" s="319">
        <f t="shared" si="96"/>
        <v>0</v>
      </c>
      <c r="BL174" s="319">
        <f t="shared" si="96"/>
        <v>0</v>
      </c>
      <c r="BM174" s="319">
        <f t="shared" si="96"/>
        <v>0</v>
      </c>
      <c r="BN174" s="319">
        <f t="shared" si="96"/>
        <v>0</v>
      </c>
      <c r="BO174" s="319">
        <f t="shared" si="96"/>
        <v>0</v>
      </c>
      <c r="BP174" s="319">
        <f t="shared" si="96"/>
        <v>0</v>
      </c>
      <c r="BQ174" s="319">
        <f t="shared" si="96"/>
        <v>0</v>
      </c>
      <c r="BR174" s="319">
        <f t="shared" si="96"/>
        <v>0</v>
      </c>
      <c r="BS174" s="319">
        <f t="shared" si="96"/>
        <v>0</v>
      </c>
      <c r="BT174" s="319">
        <f t="shared" si="96"/>
        <v>0</v>
      </c>
      <c r="BU174" s="319">
        <f t="shared" si="96"/>
        <v>0</v>
      </c>
      <c r="BV174" s="319">
        <f t="shared" si="96"/>
        <v>0</v>
      </c>
      <c r="BW174" s="319">
        <f t="shared" si="96"/>
        <v>0</v>
      </c>
      <c r="BX174" s="319">
        <f t="shared" si="96"/>
        <v>0</v>
      </c>
      <c r="BY174" s="319">
        <f t="shared" si="96"/>
        <v>0</v>
      </c>
      <c r="BZ174" s="319">
        <f t="shared" si="96"/>
        <v>0</v>
      </c>
      <c r="CA174" s="319">
        <f t="shared" si="96"/>
        <v>0</v>
      </c>
      <c r="CB174" s="319">
        <f t="shared" si="96"/>
        <v>0</v>
      </c>
      <c r="CC174" s="319">
        <f t="shared" si="96"/>
        <v>0</v>
      </c>
      <c r="CD174" s="319">
        <f t="shared" si="96"/>
        <v>0</v>
      </c>
      <c r="CE174" s="319">
        <f t="shared" si="96"/>
        <v>0</v>
      </c>
      <c r="CF174" s="319">
        <f t="shared" si="96"/>
        <v>0</v>
      </c>
      <c r="CG174" s="319">
        <f t="shared" si="96"/>
        <v>0</v>
      </c>
      <c r="CH174" s="319">
        <f t="shared" si="96"/>
        <v>0</v>
      </c>
      <c r="CI174" s="319">
        <f t="shared" si="96"/>
        <v>0</v>
      </c>
      <c r="CJ174" s="319">
        <f t="shared" si="96"/>
        <v>0</v>
      </c>
      <c r="CK174" s="319">
        <f t="shared" si="96"/>
        <v>0</v>
      </c>
      <c r="CL174" s="319">
        <f t="shared" si="96"/>
        <v>0</v>
      </c>
      <c r="CM174" s="319">
        <f t="shared" si="96"/>
        <v>0</v>
      </c>
      <c r="CN174" s="319">
        <f t="shared" si="96"/>
        <v>0</v>
      </c>
      <c r="CO174" s="319">
        <f t="shared" si="96"/>
        <v>0</v>
      </c>
      <c r="CP174" s="319">
        <f t="shared" si="96"/>
        <v>0</v>
      </c>
      <c r="CQ174" s="319">
        <f t="shared" si="96"/>
        <v>0</v>
      </c>
      <c r="CR174" s="319">
        <f t="shared" si="96"/>
        <v>0</v>
      </c>
      <c r="CS174" s="319">
        <f t="shared" si="96"/>
        <v>0</v>
      </c>
      <c r="CT174" s="319">
        <f t="shared" si="96"/>
        <v>0</v>
      </c>
      <c r="CU174" s="319">
        <f t="shared" si="96"/>
        <v>0</v>
      </c>
      <c r="CV174" s="319">
        <f t="shared" si="96"/>
        <v>0</v>
      </c>
    </row>
    <row r="175" spans="1:100" x14ac:dyDescent="0.25">
      <c r="A175" s="319">
        <f t="shared" si="86"/>
        <v>0</v>
      </c>
      <c r="B175" s="319">
        <f t="shared" si="90"/>
        <v>0</v>
      </c>
      <c r="C175" s="340" t="s">
        <v>1281</v>
      </c>
      <c r="D175" s="341" t="s">
        <v>360</v>
      </c>
      <c r="E175" s="341">
        <v>10</v>
      </c>
      <c r="F175" s="341" t="str">
        <f>IF(AND(E175&lt;CharacterSheet!$V$34,'House Rules'!$B$2="available",OR('House Rules'!$B$7="Standard",AND('House Rules'!$B$7="Ranked",G174="Yes"))),"Yes","No")</f>
        <v>No</v>
      </c>
      <c r="G175" s="564" t="s">
        <v>347</v>
      </c>
      <c r="H175" s="333" t="str">
        <f>IF(C175="","",VLOOKUP(C175,Boonref2!A:B,2,FALSE))</f>
        <v>Yes</v>
      </c>
      <c r="I175" s="333"/>
      <c r="J175" s="333" t="str">
        <f>VLOOKUP(C175,BoonRef!A:Z,17,FALSE)</f>
        <v>Yes</v>
      </c>
      <c r="K175" s="333" t="str">
        <f>IF(J175="God",'House Rules'!$B$2,IF(J175="Demi",'House Rules'!$B$1,IF(J175="Comp",'House Rules'!$B$4,IF(J175="Yaz",'House Rules'!$B$5,IF(J175="Rag",'House Rules'!$B$3,"Available")))))</f>
        <v>Available</v>
      </c>
      <c r="L175" s="333"/>
      <c r="M175" s="333"/>
      <c r="BF175" s="319">
        <f t="shared" si="91"/>
        <v>0</v>
      </c>
      <c r="BG175" s="345" t="s">
        <v>2521</v>
      </c>
      <c r="BI175" s="319">
        <f t="shared" si="87"/>
        <v>0</v>
      </c>
      <c r="BJ175" s="319">
        <f t="shared" si="96"/>
        <v>0</v>
      </c>
      <c r="BK175" s="319">
        <f t="shared" si="96"/>
        <v>0</v>
      </c>
      <c r="BL175" s="319">
        <f t="shared" si="96"/>
        <v>0</v>
      </c>
      <c r="BM175" s="319">
        <f t="shared" si="96"/>
        <v>0</v>
      </c>
      <c r="BN175" s="319">
        <f t="shared" si="96"/>
        <v>0</v>
      </c>
      <c r="BO175" s="319">
        <f t="shared" si="96"/>
        <v>0</v>
      </c>
      <c r="BP175" s="319">
        <f t="shared" si="96"/>
        <v>0</v>
      </c>
      <c r="BQ175" s="319">
        <f t="shared" si="96"/>
        <v>0</v>
      </c>
      <c r="BR175" s="319">
        <f t="shared" si="96"/>
        <v>0</v>
      </c>
      <c r="BS175" s="319">
        <f t="shared" si="96"/>
        <v>0</v>
      </c>
      <c r="BT175" s="319">
        <f t="shared" si="96"/>
        <v>0</v>
      </c>
      <c r="BU175" s="319">
        <f t="shared" si="96"/>
        <v>0</v>
      </c>
      <c r="BV175" s="319">
        <f t="shared" si="96"/>
        <v>0</v>
      </c>
      <c r="BW175" s="319">
        <f t="shared" si="96"/>
        <v>0</v>
      </c>
      <c r="BX175" s="319">
        <f t="shared" si="96"/>
        <v>0</v>
      </c>
      <c r="BY175" s="319">
        <f t="shared" si="96"/>
        <v>0</v>
      </c>
      <c r="BZ175" s="319">
        <f t="shared" si="96"/>
        <v>0</v>
      </c>
      <c r="CA175" s="319">
        <f t="shared" si="96"/>
        <v>0</v>
      </c>
      <c r="CB175" s="319">
        <f t="shared" si="96"/>
        <v>0</v>
      </c>
      <c r="CC175" s="319">
        <f t="shared" si="96"/>
        <v>0</v>
      </c>
      <c r="CD175" s="319">
        <f t="shared" si="96"/>
        <v>0</v>
      </c>
      <c r="CE175" s="319">
        <f t="shared" si="96"/>
        <v>0</v>
      </c>
      <c r="CF175" s="319">
        <f t="shared" si="96"/>
        <v>0</v>
      </c>
      <c r="CG175" s="319">
        <f t="shared" si="96"/>
        <v>0</v>
      </c>
      <c r="CH175" s="319">
        <f t="shared" si="96"/>
        <v>0</v>
      </c>
      <c r="CI175" s="319">
        <f t="shared" si="96"/>
        <v>0</v>
      </c>
      <c r="CJ175" s="319">
        <f t="shared" si="96"/>
        <v>0</v>
      </c>
      <c r="CK175" s="319">
        <f t="shared" si="96"/>
        <v>0</v>
      </c>
      <c r="CL175" s="319">
        <f t="shared" si="96"/>
        <v>0</v>
      </c>
      <c r="CM175" s="319">
        <f t="shared" si="96"/>
        <v>0</v>
      </c>
      <c r="CN175" s="319">
        <f t="shared" si="96"/>
        <v>0</v>
      </c>
      <c r="CO175" s="319">
        <f t="shared" si="96"/>
        <v>0</v>
      </c>
      <c r="CP175" s="319">
        <f t="shared" si="96"/>
        <v>0</v>
      </c>
      <c r="CQ175" s="319">
        <f t="shared" si="96"/>
        <v>0</v>
      </c>
      <c r="CR175" s="319">
        <f t="shared" si="96"/>
        <v>0</v>
      </c>
      <c r="CS175" s="319">
        <f t="shared" si="96"/>
        <v>0</v>
      </c>
      <c r="CT175" s="319">
        <f t="shared" si="96"/>
        <v>0</v>
      </c>
      <c r="CU175" s="319">
        <f t="shared" si="96"/>
        <v>0</v>
      </c>
      <c r="CV175" s="319">
        <f t="shared" si="96"/>
        <v>0</v>
      </c>
    </row>
    <row r="176" spans="1:100" ht="15.75" thickBot="1" x14ac:dyDescent="0.3">
      <c r="A176" s="319">
        <f t="shared" si="86"/>
        <v>0</v>
      </c>
      <c r="B176" s="319">
        <f t="shared" si="90"/>
        <v>0</v>
      </c>
      <c r="C176" s="352" t="s">
        <v>1632</v>
      </c>
      <c r="D176" s="353" t="s">
        <v>360</v>
      </c>
      <c r="E176" s="353">
        <v>11</v>
      </c>
      <c r="F176" s="353" t="str">
        <f>IF(AND(E25&lt;CharacterSheet!$V$34,G163="Yes",G164="Yes",G167="Yes",G168="Yes",G169="Yes",OR(G172="Yes",G173="Yes"),G174="Yes",G175="Yes",OR(G165="Yes",G166="Yes"),OR(G170="Yes",G171="Yes",)),"Yes","No")</f>
        <v>No</v>
      </c>
      <c r="G176" s="565" t="s">
        <v>347</v>
      </c>
      <c r="H176" s="333" t="str">
        <f>IF(C176="","",VLOOKUP(C176,Boonref2!A:B,2,FALSE))</f>
        <v>No</v>
      </c>
      <c r="I176" s="333"/>
      <c r="J176" s="333" t="str">
        <f>VLOOKUP(C176,BoonRef!A:Z,17,FALSE)</f>
        <v>Yes</v>
      </c>
      <c r="K176" s="333" t="str">
        <f>IF(J176="God",'House Rules'!$B$2,IF(J176="Demi",'House Rules'!$B$1,IF(J176="Comp",'House Rules'!$B$4,IF(J176="Yaz",'House Rules'!$B$5,IF(J176="Rag",'House Rules'!$B$3,"Available")))))</f>
        <v>Available</v>
      </c>
      <c r="L176" s="333"/>
      <c r="M176" s="333"/>
      <c r="BF176" s="319">
        <f t="shared" si="91"/>
        <v>0</v>
      </c>
      <c r="BG176" s="345" t="s">
        <v>2522</v>
      </c>
      <c r="BI176" s="319">
        <f t="shared" si="87"/>
        <v>0</v>
      </c>
      <c r="BJ176" s="319">
        <f t="shared" si="96"/>
        <v>0</v>
      </c>
      <c r="BK176" s="319">
        <f t="shared" si="96"/>
        <v>0</v>
      </c>
      <c r="BL176" s="319">
        <f t="shared" si="96"/>
        <v>0</v>
      </c>
      <c r="BM176" s="319">
        <f t="shared" si="96"/>
        <v>0</v>
      </c>
      <c r="BN176" s="319">
        <f t="shared" si="96"/>
        <v>0</v>
      </c>
      <c r="BO176" s="319">
        <f t="shared" si="96"/>
        <v>0</v>
      </c>
      <c r="BP176" s="319">
        <f t="shared" si="96"/>
        <v>0</v>
      </c>
      <c r="BQ176" s="319">
        <f t="shared" si="96"/>
        <v>0</v>
      </c>
      <c r="BR176" s="319">
        <f t="shared" si="96"/>
        <v>0</v>
      </c>
      <c r="BS176" s="319">
        <f t="shared" si="96"/>
        <v>0</v>
      </c>
      <c r="BT176" s="319">
        <f t="shared" si="96"/>
        <v>0</v>
      </c>
      <c r="BU176" s="319">
        <f t="shared" si="96"/>
        <v>0</v>
      </c>
      <c r="BV176" s="319">
        <f t="shared" si="96"/>
        <v>0</v>
      </c>
      <c r="BW176" s="319">
        <f t="shared" si="96"/>
        <v>0</v>
      </c>
      <c r="BX176" s="319">
        <f t="shared" si="96"/>
        <v>0</v>
      </c>
      <c r="BY176" s="319">
        <f t="shared" si="96"/>
        <v>0</v>
      </c>
      <c r="BZ176" s="319">
        <f t="shared" si="96"/>
        <v>0</v>
      </c>
      <c r="CA176" s="319">
        <f t="shared" si="96"/>
        <v>0</v>
      </c>
      <c r="CB176" s="319">
        <f t="shared" si="96"/>
        <v>0</v>
      </c>
      <c r="CC176" s="319">
        <f t="shared" si="96"/>
        <v>0</v>
      </c>
      <c r="CD176" s="319">
        <f t="shared" si="96"/>
        <v>0</v>
      </c>
      <c r="CE176" s="319">
        <f t="shared" si="96"/>
        <v>0</v>
      </c>
      <c r="CF176" s="319">
        <f t="shared" si="96"/>
        <v>0</v>
      </c>
      <c r="CG176" s="319">
        <f t="shared" si="96"/>
        <v>0</v>
      </c>
      <c r="CH176" s="319">
        <f t="shared" si="96"/>
        <v>0</v>
      </c>
      <c r="CI176" s="319">
        <f t="shared" si="96"/>
        <v>0</v>
      </c>
      <c r="CJ176" s="319">
        <f t="shared" si="96"/>
        <v>0</v>
      </c>
      <c r="CK176" s="319">
        <f t="shared" si="96"/>
        <v>0</v>
      </c>
      <c r="CL176" s="319">
        <f t="shared" si="96"/>
        <v>0</v>
      </c>
      <c r="CM176" s="319">
        <f t="shared" si="96"/>
        <v>0</v>
      </c>
      <c r="CN176" s="319">
        <f t="shared" si="96"/>
        <v>0</v>
      </c>
      <c r="CO176" s="319">
        <f t="shared" si="96"/>
        <v>0</v>
      </c>
      <c r="CP176" s="319">
        <f t="shared" si="96"/>
        <v>0</v>
      </c>
      <c r="CQ176" s="319">
        <f t="shared" si="96"/>
        <v>0</v>
      </c>
      <c r="CR176" s="319">
        <f t="shared" si="96"/>
        <v>0</v>
      </c>
      <c r="CS176" s="319">
        <f t="shared" si="96"/>
        <v>0</v>
      </c>
      <c r="CT176" s="319">
        <f t="shared" si="96"/>
        <v>0</v>
      </c>
      <c r="CU176" s="319">
        <f t="shared" si="96"/>
        <v>0</v>
      </c>
      <c r="CV176" s="319">
        <f t="shared" si="96"/>
        <v>0</v>
      </c>
    </row>
    <row r="177" spans="1:100" x14ac:dyDescent="0.25">
      <c r="A177" s="319">
        <f t="shared" si="86"/>
        <v>0</v>
      </c>
      <c r="B177" s="319">
        <f t="shared" si="90"/>
        <v>0</v>
      </c>
      <c r="C177" s="330" t="s">
        <v>1094</v>
      </c>
      <c r="D177" s="331" t="s">
        <v>361</v>
      </c>
      <c r="E177" s="331">
        <v>1</v>
      </c>
      <c r="F177" s="331" t="str">
        <f>IF(E177&lt;CharacterSheet!$V$34,"Yes","No")</f>
        <v>Yes</v>
      </c>
      <c r="G177" s="563" t="s">
        <v>347</v>
      </c>
      <c r="H177" s="333" t="str">
        <f>IF(C177="","",VLOOKUP(C177,Boonref2!A:B,2,FALSE))</f>
        <v>No</v>
      </c>
      <c r="I177" s="333"/>
      <c r="J177" s="333" t="str">
        <f>VLOOKUP(C177,BoonRef!A:Z,17,FALSE)</f>
        <v>Yes</v>
      </c>
      <c r="K177" s="333" t="str">
        <f>IF(J177="God",'House Rules'!$B$2,IF(J177="Demi",'House Rules'!$B$1,IF(J177="Comp",'House Rules'!$B$4,IF(J177="Yaz",'House Rules'!$B$5,IF(J177="Rag",'House Rules'!$B$3,"Available")))))</f>
        <v>Available</v>
      </c>
      <c r="L177" s="333"/>
      <c r="M177" s="333"/>
      <c r="BF177" s="319">
        <f t="shared" si="91"/>
        <v>0</v>
      </c>
      <c r="BG177" s="345" t="s">
        <v>2523</v>
      </c>
      <c r="BI177" s="319">
        <f t="shared" si="87"/>
        <v>0</v>
      </c>
      <c r="BJ177" s="319">
        <f t="shared" si="96"/>
        <v>0</v>
      </c>
      <c r="BK177" s="319">
        <f t="shared" si="96"/>
        <v>0</v>
      </c>
      <c r="BL177" s="319">
        <f t="shared" si="96"/>
        <v>0</v>
      </c>
      <c r="BM177" s="319">
        <f t="shared" si="96"/>
        <v>0</v>
      </c>
      <c r="BN177" s="319">
        <f t="shared" si="96"/>
        <v>0</v>
      </c>
      <c r="BO177" s="319">
        <f t="shared" si="96"/>
        <v>0</v>
      </c>
      <c r="BP177" s="319">
        <f t="shared" si="96"/>
        <v>0</v>
      </c>
      <c r="BQ177" s="319">
        <f t="shared" si="96"/>
        <v>0</v>
      </c>
      <c r="BR177" s="319">
        <f t="shared" si="96"/>
        <v>0</v>
      </c>
      <c r="BS177" s="319">
        <f t="shared" si="96"/>
        <v>0</v>
      </c>
      <c r="BT177" s="319">
        <f t="shared" si="96"/>
        <v>0</v>
      </c>
      <c r="BU177" s="319">
        <f t="shared" si="96"/>
        <v>0</v>
      </c>
      <c r="BV177" s="319">
        <f t="shared" si="96"/>
        <v>0</v>
      </c>
      <c r="BW177" s="319">
        <f t="shared" si="96"/>
        <v>0</v>
      </c>
      <c r="BX177" s="319">
        <f t="shared" si="96"/>
        <v>0</v>
      </c>
      <c r="BY177" s="319">
        <f t="shared" si="96"/>
        <v>0</v>
      </c>
      <c r="BZ177" s="319">
        <f t="shared" si="96"/>
        <v>0</v>
      </c>
      <c r="CA177" s="319">
        <f t="shared" si="96"/>
        <v>0</v>
      </c>
      <c r="CB177" s="319">
        <f t="shared" si="96"/>
        <v>0</v>
      </c>
      <c r="CC177" s="319">
        <f t="shared" si="96"/>
        <v>0</v>
      </c>
      <c r="CD177" s="319">
        <f t="shared" si="96"/>
        <v>0</v>
      </c>
      <c r="CE177" s="319">
        <f t="shared" si="96"/>
        <v>0</v>
      </c>
      <c r="CF177" s="319">
        <f t="shared" si="96"/>
        <v>0</v>
      </c>
      <c r="CG177" s="319">
        <f t="shared" si="96"/>
        <v>0</v>
      </c>
      <c r="CH177" s="319">
        <f t="shared" si="96"/>
        <v>0</v>
      </c>
      <c r="CI177" s="319">
        <f t="shared" si="96"/>
        <v>0</v>
      </c>
      <c r="CJ177" s="319">
        <f t="shared" si="96"/>
        <v>0</v>
      </c>
      <c r="CK177" s="319">
        <f t="shared" si="96"/>
        <v>0</v>
      </c>
      <c r="CL177" s="319">
        <f t="shared" si="96"/>
        <v>0</v>
      </c>
      <c r="CM177" s="319">
        <f t="shared" si="96"/>
        <v>0</v>
      </c>
      <c r="CN177" s="319">
        <f t="shared" si="96"/>
        <v>0</v>
      </c>
      <c r="CO177" s="319">
        <f t="shared" si="96"/>
        <v>0</v>
      </c>
      <c r="CP177" s="319">
        <f t="shared" si="96"/>
        <v>0</v>
      </c>
      <c r="CQ177" s="319">
        <f t="shared" si="96"/>
        <v>0</v>
      </c>
      <c r="CR177" s="319">
        <f t="shared" si="96"/>
        <v>0</v>
      </c>
      <c r="CS177" s="319">
        <f t="shared" si="96"/>
        <v>0</v>
      </c>
      <c r="CT177" s="319">
        <f t="shared" si="96"/>
        <v>0</v>
      </c>
      <c r="CU177" s="319">
        <f t="shared" si="96"/>
        <v>0</v>
      </c>
      <c r="CV177" s="319">
        <f t="shared" si="96"/>
        <v>0</v>
      </c>
    </row>
    <row r="178" spans="1:100" x14ac:dyDescent="0.25">
      <c r="A178" s="319">
        <f t="shared" si="86"/>
        <v>0</v>
      </c>
      <c r="B178" s="319">
        <f t="shared" si="90"/>
        <v>0</v>
      </c>
      <c r="C178" s="361" t="s">
        <v>3536</v>
      </c>
      <c r="D178" s="362" t="s">
        <v>361</v>
      </c>
      <c r="E178" s="362">
        <v>1</v>
      </c>
      <c r="F178" s="362" t="str">
        <f>IF(AND(E177&lt;CharacterSheet!$V$34,'House Rules'!B5="Available"),"Yes","No")</f>
        <v>Yes</v>
      </c>
      <c r="G178" s="570" t="s">
        <v>347</v>
      </c>
      <c r="H178" s="333"/>
      <c r="I178" s="333"/>
      <c r="J178" s="333" t="str">
        <f>VLOOKUP(C178,BoonRef!A:Z,17,FALSE)</f>
        <v>Yes</v>
      </c>
      <c r="K178" s="333" t="str">
        <f>IF(J178="God",'House Rules'!$B$2,IF(J178="Demi",'House Rules'!$B$1,IF(J178="Comp",'House Rules'!$B$4,IF(J178="Yaz",'House Rules'!$B$5,IF(J178="Rag",'House Rules'!$B$3,"Available")))))</f>
        <v>Available</v>
      </c>
      <c r="L178" s="333"/>
      <c r="M178" s="333"/>
      <c r="BG178" s="345"/>
      <c r="BI178" s="319">
        <f t="shared" si="87"/>
        <v>0</v>
      </c>
      <c r="BJ178" s="319">
        <f t="shared" si="96"/>
        <v>0</v>
      </c>
      <c r="BK178" s="319">
        <f t="shared" si="96"/>
        <v>0</v>
      </c>
      <c r="BL178" s="319">
        <f t="shared" si="96"/>
        <v>0</v>
      </c>
      <c r="BM178" s="319">
        <f t="shared" si="96"/>
        <v>0</v>
      </c>
      <c r="BN178" s="319">
        <f t="shared" si="96"/>
        <v>0</v>
      </c>
      <c r="BO178" s="319">
        <f t="shared" si="96"/>
        <v>0</v>
      </c>
      <c r="BP178" s="319">
        <f t="shared" si="96"/>
        <v>0</v>
      </c>
      <c r="BQ178" s="319">
        <f t="shared" si="96"/>
        <v>0</v>
      </c>
      <c r="BR178" s="319">
        <f t="shared" si="96"/>
        <v>0</v>
      </c>
      <c r="BS178" s="319">
        <f t="shared" si="96"/>
        <v>0</v>
      </c>
      <c r="BT178" s="319">
        <f t="shared" si="96"/>
        <v>0</v>
      </c>
      <c r="BU178" s="319">
        <f t="shared" si="96"/>
        <v>0</v>
      </c>
      <c r="BV178" s="319">
        <f t="shared" si="96"/>
        <v>0</v>
      </c>
      <c r="BW178" s="319">
        <f t="shared" si="96"/>
        <v>0</v>
      </c>
      <c r="BX178" s="319">
        <f t="shared" si="96"/>
        <v>0</v>
      </c>
      <c r="BY178" s="319">
        <f t="shared" si="96"/>
        <v>0</v>
      </c>
      <c r="BZ178" s="319">
        <f t="shared" si="96"/>
        <v>0</v>
      </c>
      <c r="CA178" s="319">
        <f t="shared" si="96"/>
        <v>0</v>
      </c>
      <c r="CB178" s="319">
        <f t="shared" si="96"/>
        <v>0</v>
      </c>
      <c r="CC178" s="319">
        <f t="shared" si="96"/>
        <v>0</v>
      </c>
      <c r="CD178" s="319">
        <f t="shared" si="96"/>
        <v>0</v>
      </c>
      <c r="CE178" s="319">
        <f t="shared" si="96"/>
        <v>0</v>
      </c>
      <c r="CF178" s="319">
        <f t="shared" si="96"/>
        <v>0</v>
      </c>
      <c r="CG178" s="319">
        <f t="shared" si="96"/>
        <v>0</v>
      </c>
      <c r="CH178" s="319">
        <f t="shared" si="96"/>
        <v>0</v>
      </c>
      <c r="CI178" s="319">
        <f t="shared" si="96"/>
        <v>0</v>
      </c>
      <c r="CJ178" s="319">
        <f t="shared" si="96"/>
        <v>0</v>
      </c>
      <c r="CK178" s="319">
        <f t="shared" si="96"/>
        <v>0</v>
      </c>
      <c r="CL178" s="319">
        <f t="shared" si="96"/>
        <v>0</v>
      </c>
      <c r="CM178" s="319">
        <f t="shared" si="96"/>
        <v>0</v>
      </c>
      <c r="CN178" s="319">
        <f t="shared" si="96"/>
        <v>0</v>
      </c>
      <c r="CO178" s="319">
        <f t="shared" si="96"/>
        <v>0</v>
      </c>
      <c r="CP178" s="319">
        <f t="shared" si="96"/>
        <v>0</v>
      </c>
      <c r="CQ178" s="319">
        <f t="shared" si="96"/>
        <v>0</v>
      </c>
      <c r="CR178" s="319">
        <f t="shared" si="96"/>
        <v>0</v>
      </c>
      <c r="CS178" s="319">
        <f t="shared" si="96"/>
        <v>0</v>
      </c>
      <c r="CT178" s="319">
        <f t="shared" si="96"/>
        <v>0</v>
      </c>
      <c r="CU178" s="319">
        <f t="shared" si="96"/>
        <v>0</v>
      </c>
      <c r="CV178" s="319">
        <f t="shared" si="96"/>
        <v>0</v>
      </c>
    </row>
    <row r="179" spans="1:100" x14ac:dyDescent="0.25">
      <c r="A179" s="319">
        <f t="shared" si="86"/>
        <v>0</v>
      </c>
      <c r="B179" s="319">
        <f t="shared" si="90"/>
        <v>0</v>
      </c>
      <c r="C179" s="340" t="s">
        <v>1399</v>
      </c>
      <c r="D179" s="341" t="s">
        <v>361</v>
      </c>
      <c r="E179" s="341">
        <v>2</v>
      </c>
      <c r="F179" s="341" t="str">
        <f>IF(AND(E179&lt;CharacterSheet!$V$34,'House Rules'!$B$4="Available",OR('House Rules'!$B$7="Standard",AND('House Rules'!$B$7="Ranked",OR(G177="Yes",G178="Yes")))),"Yes","No")</f>
        <v>No</v>
      </c>
      <c r="G179" s="564" t="s">
        <v>347</v>
      </c>
      <c r="H179" s="333" t="str">
        <f>IF(C179="","",VLOOKUP(C179,Boonref2!A:B,2,FALSE))</f>
        <v>No</v>
      </c>
      <c r="I179" s="333"/>
      <c r="J179" s="333" t="str">
        <f>VLOOKUP(C179,BoonRef!A:Z,17,FALSE)</f>
        <v>Yes</v>
      </c>
      <c r="K179" s="333" t="str">
        <f>IF(J179="God",'House Rules'!$B$2,IF(J179="Demi",'House Rules'!$B$1,IF(J179="Comp",'House Rules'!$B$4,IF(J179="Yaz",'House Rules'!$B$5,IF(J179="Rag",'House Rules'!$B$3,"Available")))))</f>
        <v>Available</v>
      </c>
      <c r="L179" s="333"/>
      <c r="M179" s="333"/>
      <c r="BF179" s="319">
        <f t="shared" ref="BF179:BF212" si="97">AB38</f>
        <v>0</v>
      </c>
      <c r="BG179" s="345" t="s">
        <v>2524</v>
      </c>
      <c r="BI179" s="319">
        <f t="shared" si="87"/>
        <v>0</v>
      </c>
      <c r="BJ179" s="319">
        <f t="shared" si="96"/>
        <v>0</v>
      </c>
      <c r="BK179" s="319">
        <f t="shared" si="96"/>
        <v>0</v>
      </c>
      <c r="BL179" s="319">
        <f t="shared" si="96"/>
        <v>0</v>
      </c>
      <c r="BM179" s="319">
        <f t="shared" si="96"/>
        <v>0</v>
      </c>
      <c r="BN179" s="319">
        <f t="shared" si="96"/>
        <v>0</v>
      </c>
      <c r="BO179" s="319">
        <f t="shared" si="96"/>
        <v>0</v>
      </c>
      <c r="BP179" s="319">
        <f t="shared" si="96"/>
        <v>0</v>
      </c>
      <c r="BQ179" s="319">
        <f t="shared" si="96"/>
        <v>0</v>
      </c>
      <c r="BR179" s="319">
        <f t="shared" si="96"/>
        <v>0</v>
      </c>
      <c r="BS179" s="319">
        <f t="shared" si="96"/>
        <v>0</v>
      </c>
      <c r="BT179" s="319">
        <f t="shared" si="96"/>
        <v>0</v>
      </c>
      <c r="BU179" s="319">
        <f t="shared" si="96"/>
        <v>0</v>
      </c>
      <c r="BV179" s="319">
        <f t="shared" si="96"/>
        <v>0</v>
      </c>
      <c r="BW179" s="319">
        <f t="shared" si="96"/>
        <v>0</v>
      </c>
      <c r="BX179" s="319">
        <f t="shared" si="96"/>
        <v>0</v>
      </c>
      <c r="BY179" s="319">
        <f t="shared" si="96"/>
        <v>0</v>
      </c>
      <c r="BZ179" s="319">
        <f t="shared" si="96"/>
        <v>0</v>
      </c>
      <c r="CA179" s="319">
        <f t="shared" si="96"/>
        <v>0</v>
      </c>
      <c r="CB179" s="319">
        <f t="shared" si="96"/>
        <v>0</v>
      </c>
      <c r="CC179" s="319">
        <f t="shared" si="96"/>
        <v>0</v>
      </c>
      <c r="CD179" s="319">
        <f t="shared" si="96"/>
        <v>0</v>
      </c>
      <c r="CE179" s="319">
        <f t="shared" si="96"/>
        <v>0</v>
      </c>
      <c r="CF179" s="319">
        <f t="shared" si="96"/>
        <v>0</v>
      </c>
      <c r="CG179" s="319">
        <f t="shared" si="96"/>
        <v>0</v>
      </c>
      <c r="CH179" s="319">
        <f t="shared" si="96"/>
        <v>0</v>
      </c>
      <c r="CI179" s="319">
        <f t="shared" si="96"/>
        <v>0</v>
      </c>
      <c r="CJ179" s="319">
        <f t="shared" si="96"/>
        <v>0</v>
      </c>
      <c r="CK179" s="319">
        <f t="shared" ref="BJ179:CV186" si="98">IF(AND($D179=CK$1,$G179="Yes"),$E179,0)</f>
        <v>0</v>
      </c>
      <c r="CL179" s="319">
        <f t="shared" si="98"/>
        <v>0</v>
      </c>
      <c r="CM179" s="319">
        <f t="shared" si="98"/>
        <v>0</v>
      </c>
      <c r="CN179" s="319">
        <f t="shared" si="98"/>
        <v>0</v>
      </c>
      <c r="CO179" s="319">
        <f t="shared" si="98"/>
        <v>0</v>
      </c>
      <c r="CP179" s="319">
        <f t="shared" si="98"/>
        <v>0</v>
      </c>
      <c r="CQ179" s="319">
        <f t="shared" si="98"/>
        <v>0</v>
      </c>
      <c r="CR179" s="319">
        <f t="shared" si="98"/>
        <v>0</v>
      </c>
      <c r="CS179" s="319">
        <f t="shared" si="98"/>
        <v>0</v>
      </c>
      <c r="CT179" s="319">
        <f t="shared" si="98"/>
        <v>0</v>
      </c>
      <c r="CU179" s="319">
        <f t="shared" si="98"/>
        <v>0</v>
      </c>
      <c r="CV179" s="319">
        <f t="shared" si="98"/>
        <v>0</v>
      </c>
    </row>
    <row r="180" spans="1:100" x14ac:dyDescent="0.25">
      <c r="A180" s="319">
        <f t="shared" si="86"/>
        <v>0</v>
      </c>
      <c r="B180" s="319">
        <f t="shared" si="90"/>
        <v>0</v>
      </c>
      <c r="C180" s="340" t="s">
        <v>1095</v>
      </c>
      <c r="D180" s="341" t="s">
        <v>361</v>
      </c>
      <c r="E180" s="341">
        <v>2</v>
      </c>
      <c r="F180" s="341" t="str">
        <f>IF(AND(E180&lt;CharacterSheet!$V$34,OR('House Rules'!$B$7="Standard",AND('House Rules'!$B$7="Ranked",OR(G177="Yes",G178="Yes")))),"Yes","No")</f>
        <v>No</v>
      </c>
      <c r="G180" s="564" t="s">
        <v>347</v>
      </c>
      <c r="H180" s="333" t="str">
        <f>IF(C180="","",VLOOKUP(C180,Boonref2!A:B,2,FALSE))</f>
        <v>Yes</v>
      </c>
      <c r="I180" s="333"/>
      <c r="J180" s="333" t="str">
        <f>VLOOKUP(C180,BoonRef!A:Z,17,FALSE)</f>
        <v>Yes</v>
      </c>
      <c r="K180" s="333" t="str">
        <f>IF(J180="God",'House Rules'!$B$2,IF(J180="Demi",'House Rules'!$B$1,IF(J180="Comp",'House Rules'!$B$4,IF(J180="Yaz",'House Rules'!$B$5,IF(J180="Rag",'House Rules'!$B$3,"Available")))))</f>
        <v>Available</v>
      </c>
      <c r="L180" s="333"/>
      <c r="M180" s="333"/>
      <c r="BF180" s="319">
        <f t="shared" si="97"/>
        <v>0</v>
      </c>
      <c r="BG180" s="345" t="s">
        <v>2525</v>
      </c>
      <c r="BI180" s="319">
        <f t="shared" si="87"/>
        <v>0</v>
      </c>
      <c r="BJ180" s="319">
        <f t="shared" si="98"/>
        <v>0</v>
      </c>
      <c r="BK180" s="319">
        <f t="shared" si="98"/>
        <v>0</v>
      </c>
      <c r="BL180" s="319">
        <f t="shared" si="98"/>
        <v>0</v>
      </c>
      <c r="BM180" s="319">
        <f t="shared" si="98"/>
        <v>0</v>
      </c>
      <c r="BN180" s="319">
        <f t="shared" si="98"/>
        <v>0</v>
      </c>
      <c r="BO180" s="319">
        <f t="shared" si="98"/>
        <v>0</v>
      </c>
      <c r="BP180" s="319">
        <f t="shared" si="98"/>
        <v>0</v>
      </c>
      <c r="BQ180" s="319">
        <f t="shared" si="98"/>
        <v>0</v>
      </c>
      <c r="BR180" s="319">
        <f t="shared" si="98"/>
        <v>0</v>
      </c>
      <c r="BS180" s="319">
        <f t="shared" si="98"/>
        <v>0</v>
      </c>
      <c r="BT180" s="319">
        <f t="shared" si="98"/>
        <v>0</v>
      </c>
      <c r="BU180" s="319">
        <f t="shared" si="98"/>
        <v>0</v>
      </c>
      <c r="BV180" s="319">
        <f t="shared" si="98"/>
        <v>0</v>
      </c>
      <c r="BW180" s="319">
        <f t="shared" si="98"/>
        <v>0</v>
      </c>
      <c r="BX180" s="319">
        <f t="shared" si="98"/>
        <v>0</v>
      </c>
      <c r="BY180" s="319">
        <f t="shared" si="98"/>
        <v>0</v>
      </c>
      <c r="BZ180" s="319">
        <f t="shared" si="98"/>
        <v>0</v>
      </c>
      <c r="CA180" s="319">
        <f t="shared" si="98"/>
        <v>0</v>
      </c>
      <c r="CB180" s="319">
        <f t="shared" si="98"/>
        <v>0</v>
      </c>
      <c r="CC180" s="319">
        <f t="shared" si="98"/>
        <v>0</v>
      </c>
      <c r="CD180" s="319">
        <f t="shared" si="98"/>
        <v>0</v>
      </c>
      <c r="CE180" s="319">
        <f t="shared" si="98"/>
        <v>0</v>
      </c>
      <c r="CF180" s="319">
        <f t="shared" si="98"/>
        <v>0</v>
      </c>
      <c r="CG180" s="319">
        <f t="shared" si="98"/>
        <v>0</v>
      </c>
      <c r="CH180" s="319">
        <f t="shared" si="98"/>
        <v>0</v>
      </c>
      <c r="CI180" s="319">
        <f t="shared" si="98"/>
        <v>0</v>
      </c>
      <c r="CJ180" s="319">
        <f t="shared" si="98"/>
        <v>0</v>
      </c>
      <c r="CK180" s="319">
        <f t="shared" si="98"/>
        <v>0</v>
      </c>
      <c r="CL180" s="319">
        <f t="shared" si="98"/>
        <v>0</v>
      </c>
      <c r="CM180" s="319">
        <f t="shared" si="98"/>
        <v>0</v>
      </c>
      <c r="CN180" s="319">
        <f t="shared" si="98"/>
        <v>0</v>
      </c>
      <c r="CO180" s="319">
        <f t="shared" si="98"/>
        <v>0</v>
      </c>
      <c r="CP180" s="319">
        <f t="shared" si="98"/>
        <v>0</v>
      </c>
      <c r="CQ180" s="319">
        <f t="shared" si="98"/>
        <v>0</v>
      </c>
      <c r="CR180" s="319">
        <f t="shared" si="98"/>
        <v>0</v>
      </c>
      <c r="CS180" s="319">
        <f t="shared" si="98"/>
        <v>0</v>
      </c>
      <c r="CT180" s="319">
        <f t="shared" si="98"/>
        <v>0</v>
      </c>
      <c r="CU180" s="319">
        <f t="shared" si="98"/>
        <v>0</v>
      </c>
      <c r="CV180" s="319">
        <f t="shared" si="98"/>
        <v>0</v>
      </c>
    </row>
    <row r="181" spans="1:100" x14ac:dyDescent="0.25">
      <c r="A181" s="319">
        <f t="shared" si="86"/>
        <v>0</v>
      </c>
      <c r="B181" s="319">
        <f t="shared" si="90"/>
        <v>0</v>
      </c>
      <c r="C181" s="340" t="s">
        <v>1096</v>
      </c>
      <c r="D181" s="341" t="s">
        <v>361</v>
      </c>
      <c r="E181" s="341">
        <v>3</v>
      </c>
      <c r="F181" s="341" t="str">
        <f>IF(AND(E181&lt;CharacterSheet!$V$34,OR('House Rules'!$B$7="Standard",AND('House Rules'!$B$7="Ranked",OR(G180="Yes",G179="Yes")))),"Yes","No")</f>
        <v>No</v>
      </c>
      <c r="G181" s="564" t="s">
        <v>347</v>
      </c>
      <c r="H181" s="333" t="str">
        <f>IF(C181="","",VLOOKUP(C181,Boonref2!A:B,2,FALSE))</f>
        <v>Yes</v>
      </c>
      <c r="I181" s="333"/>
      <c r="J181" s="333" t="str">
        <f>VLOOKUP(C181,BoonRef!A:Z,17,FALSE)</f>
        <v>Yes</v>
      </c>
      <c r="K181" s="333" t="str">
        <f>IF(J181="God",'House Rules'!$B$2,IF(J181="Demi",'House Rules'!$B$1,IF(J181="Comp",'House Rules'!$B$4,IF(J181="Yaz",'House Rules'!$B$5,IF(J181="Rag",'House Rules'!$B$3,"Available")))))</f>
        <v>Available</v>
      </c>
      <c r="L181" s="333"/>
      <c r="M181" s="333"/>
      <c r="BF181" s="319">
        <f t="shared" si="97"/>
        <v>0</v>
      </c>
      <c r="BG181" s="345" t="s">
        <v>2526</v>
      </c>
      <c r="BI181" s="319">
        <f t="shared" si="87"/>
        <v>0</v>
      </c>
      <c r="BJ181" s="319">
        <f t="shared" si="98"/>
        <v>0</v>
      </c>
      <c r="BK181" s="319">
        <f t="shared" si="98"/>
        <v>0</v>
      </c>
      <c r="BL181" s="319">
        <f t="shared" si="98"/>
        <v>0</v>
      </c>
      <c r="BM181" s="319">
        <f t="shared" si="98"/>
        <v>0</v>
      </c>
      <c r="BN181" s="319">
        <f t="shared" si="98"/>
        <v>0</v>
      </c>
      <c r="BO181" s="319">
        <f t="shared" si="98"/>
        <v>0</v>
      </c>
      <c r="BP181" s="319">
        <f t="shared" si="98"/>
        <v>0</v>
      </c>
      <c r="BQ181" s="319">
        <f t="shared" si="98"/>
        <v>0</v>
      </c>
      <c r="BR181" s="319">
        <f t="shared" si="98"/>
        <v>0</v>
      </c>
      <c r="BS181" s="319">
        <f t="shared" si="98"/>
        <v>0</v>
      </c>
      <c r="BT181" s="319">
        <f t="shared" si="98"/>
        <v>0</v>
      </c>
      <c r="BU181" s="319">
        <f t="shared" si="98"/>
        <v>0</v>
      </c>
      <c r="BV181" s="319">
        <f t="shared" si="98"/>
        <v>0</v>
      </c>
      <c r="BW181" s="319">
        <f t="shared" si="98"/>
        <v>0</v>
      </c>
      <c r="BX181" s="319">
        <f t="shared" si="98"/>
        <v>0</v>
      </c>
      <c r="BY181" s="319">
        <f t="shared" si="98"/>
        <v>0</v>
      </c>
      <c r="BZ181" s="319">
        <f t="shared" si="98"/>
        <v>0</v>
      </c>
      <c r="CA181" s="319">
        <f t="shared" si="98"/>
        <v>0</v>
      </c>
      <c r="CB181" s="319">
        <f t="shared" si="98"/>
        <v>0</v>
      </c>
      <c r="CC181" s="319">
        <f t="shared" si="98"/>
        <v>0</v>
      </c>
      <c r="CD181" s="319">
        <f t="shared" si="98"/>
        <v>0</v>
      </c>
      <c r="CE181" s="319">
        <f t="shared" si="98"/>
        <v>0</v>
      </c>
      <c r="CF181" s="319">
        <f t="shared" si="98"/>
        <v>0</v>
      </c>
      <c r="CG181" s="319">
        <f t="shared" si="98"/>
        <v>0</v>
      </c>
      <c r="CH181" s="319">
        <f t="shared" si="98"/>
        <v>0</v>
      </c>
      <c r="CI181" s="319">
        <f t="shared" si="98"/>
        <v>0</v>
      </c>
      <c r="CJ181" s="319">
        <f t="shared" si="98"/>
        <v>0</v>
      </c>
      <c r="CK181" s="319">
        <f t="shared" si="98"/>
        <v>0</v>
      </c>
      <c r="CL181" s="319">
        <f t="shared" si="98"/>
        <v>0</v>
      </c>
      <c r="CM181" s="319">
        <f t="shared" si="98"/>
        <v>0</v>
      </c>
      <c r="CN181" s="319">
        <f t="shared" si="98"/>
        <v>0</v>
      </c>
      <c r="CO181" s="319">
        <f t="shared" si="98"/>
        <v>0</v>
      </c>
      <c r="CP181" s="319">
        <f t="shared" si="98"/>
        <v>0</v>
      </c>
      <c r="CQ181" s="319">
        <f t="shared" si="98"/>
        <v>0</v>
      </c>
      <c r="CR181" s="319">
        <f t="shared" si="98"/>
        <v>0</v>
      </c>
      <c r="CS181" s="319">
        <f t="shared" si="98"/>
        <v>0</v>
      </c>
      <c r="CT181" s="319">
        <f t="shared" si="98"/>
        <v>0</v>
      </c>
      <c r="CU181" s="319">
        <f t="shared" si="98"/>
        <v>0</v>
      </c>
      <c r="CV181" s="319">
        <f t="shared" si="98"/>
        <v>0</v>
      </c>
    </row>
    <row r="182" spans="1:100" ht="15.75" thickBot="1" x14ac:dyDescent="0.3">
      <c r="A182" s="319">
        <f t="shared" si="86"/>
        <v>0</v>
      </c>
      <c r="B182" s="319">
        <f t="shared" si="90"/>
        <v>0</v>
      </c>
      <c r="C182" s="340" t="s">
        <v>1183</v>
      </c>
      <c r="D182" s="341" t="s">
        <v>361</v>
      </c>
      <c r="E182" s="341">
        <v>4</v>
      </c>
      <c r="F182" s="341" t="str">
        <f>IF(AND(E182&lt;CharacterSheet!$V$34,'House Rules'!$B$1="Available",OR('House Rules'!$B$7="Standard",AND('House Rules'!$B$7="Ranked",G181="Yes"))),"Yes","No")</f>
        <v>No</v>
      </c>
      <c r="G182" s="564" t="s">
        <v>347</v>
      </c>
      <c r="H182" s="333" t="str">
        <f>IF(C182="","",VLOOKUP(C182,Boonref2!A:B,2,FALSE))</f>
        <v>Yes</v>
      </c>
      <c r="I182" s="333"/>
      <c r="J182" s="333" t="str">
        <f>VLOOKUP(C182,BoonRef!A:Z,17,FALSE)</f>
        <v>Yes</v>
      </c>
      <c r="K182" s="333" t="str">
        <f>IF(J182="God",'House Rules'!$B$2,IF(J182="Demi",'House Rules'!$B$1,IF(J182="Comp",'House Rules'!$B$4,IF(J182="Yaz",'House Rules'!$B$5,IF(J182="Rag",'House Rules'!$B$3,"Available")))))</f>
        <v>Available</v>
      </c>
      <c r="L182" s="333"/>
      <c r="M182" s="333"/>
      <c r="BF182" s="319">
        <f t="shared" si="97"/>
        <v>0</v>
      </c>
      <c r="BG182" s="355" t="s">
        <v>2527</v>
      </c>
      <c r="BI182" s="319">
        <f t="shared" si="87"/>
        <v>0</v>
      </c>
      <c r="BJ182" s="319">
        <f t="shared" si="98"/>
        <v>0</v>
      </c>
      <c r="BK182" s="319">
        <f t="shared" si="98"/>
        <v>0</v>
      </c>
      <c r="BL182" s="319">
        <f t="shared" si="98"/>
        <v>0</v>
      </c>
      <c r="BM182" s="319">
        <f t="shared" si="98"/>
        <v>0</v>
      </c>
      <c r="BN182" s="319">
        <f t="shared" si="98"/>
        <v>0</v>
      </c>
      <c r="BO182" s="319">
        <f t="shared" si="98"/>
        <v>0</v>
      </c>
      <c r="BP182" s="319">
        <f t="shared" si="98"/>
        <v>0</v>
      </c>
      <c r="BQ182" s="319">
        <f t="shared" si="98"/>
        <v>0</v>
      </c>
      <c r="BR182" s="319">
        <f t="shared" si="98"/>
        <v>0</v>
      </c>
      <c r="BS182" s="319">
        <f t="shared" si="98"/>
        <v>0</v>
      </c>
      <c r="BT182" s="319">
        <f t="shared" si="98"/>
        <v>0</v>
      </c>
      <c r="BU182" s="319">
        <f t="shared" si="98"/>
        <v>0</v>
      </c>
      <c r="BV182" s="319">
        <f t="shared" si="98"/>
        <v>0</v>
      </c>
      <c r="BW182" s="319">
        <f t="shared" si="98"/>
        <v>0</v>
      </c>
      <c r="BX182" s="319">
        <f t="shared" si="98"/>
        <v>0</v>
      </c>
      <c r="BY182" s="319">
        <f t="shared" si="98"/>
        <v>0</v>
      </c>
      <c r="BZ182" s="319">
        <f t="shared" si="98"/>
        <v>0</v>
      </c>
      <c r="CA182" s="319">
        <f t="shared" si="98"/>
        <v>0</v>
      </c>
      <c r="CB182" s="319">
        <f t="shared" si="98"/>
        <v>0</v>
      </c>
      <c r="CC182" s="319">
        <f t="shared" si="98"/>
        <v>0</v>
      </c>
      <c r="CD182" s="319">
        <f t="shared" si="98"/>
        <v>0</v>
      </c>
      <c r="CE182" s="319">
        <f t="shared" si="98"/>
        <v>0</v>
      </c>
      <c r="CF182" s="319">
        <f t="shared" si="98"/>
        <v>0</v>
      </c>
      <c r="CG182" s="319">
        <f t="shared" si="98"/>
        <v>0</v>
      </c>
      <c r="CH182" s="319">
        <f t="shared" si="98"/>
        <v>0</v>
      </c>
      <c r="CI182" s="319">
        <f t="shared" si="98"/>
        <v>0</v>
      </c>
      <c r="CJ182" s="319">
        <f t="shared" si="98"/>
        <v>0</v>
      </c>
      <c r="CK182" s="319">
        <f t="shared" si="98"/>
        <v>0</v>
      </c>
      <c r="CL182" s="319">
        <f t="shared" si="98"/>
        <v>0</v>
      </c>
      <c r="CM182" s="319">
        <f t="shared" si="98"/>
        <v>0</v>
      </c>
      <c r="CN182" s="319">
        <f t="shared" si="98"/>
        <v>0</v>
      </c>
      <c r="CO182" s="319">
        <f t="shared" si="98"/>
        <v>0</v>
      </c>
      <c r="CP182" s="319">
        <f t="shared" si="98"/>
        <v>0</v>
      </c>
      <c r="CQ182" s="319">
        <f t="shared" si="98"/>
        <v>0</v>
      </c>
      <c r="CR182" s="319">
        <f t="shared" si="98"/>
        <v>0</v>
      </c>
      <c r="CS182" s="319">
        <f t="shared" si="98"/>
        <v>0</v>
      </c>
      <c r="CT182" s="319">
        <f t="shared" si="98"/>
        <v>0</v>
      </c>
      <c r="CU182" s="319">
        <f t="shared" si="98"/>
        <v>0</v>
      </c>
      <c r="CV182" s="319">
        <f t="shared" si="98"/>
        <v>0</v>
      </c>
    </row>
    <row r="183" spans="1:100" x14ac:dyDescent="0.25">
      <c r="A183" s="319">
        <f t="shared" si="86"/>
        <v>0</v>
      </c>
      <c r="B183" s="319">
        <f t="shared" si="90"/>
        <v>0</v>
      </c>
      <c r="C183" s="340" t="s">
        <v>1184</v>
      </c>
      <c r="D183" s="341" t="s">
        <v>361</v>
      </c>
      <c r="E183" s="341">
        <v>5</v>
      </c>
      <c r="F183" s="341" t="str">
        <f>IF(AND(E183&lt;CharacterSheet!$V$34,'House Rules'!$B$1="Available",OR('House Rules'!$B$7="Standard",AND('House Rules'!$B$7="Ranked",G182="Yes"))),"Yes","No")</f>
        <v>No</v>
      </c>
      <c r="G183" s="564" t="s">
        <v>347</v>
      </c>
      <c r="H183" s="333" t="str">
        <f>IF(C183="","",VLOOKUP(C183,Boonref2!A:B,2,FALSE))</f>
        <v>Yes</v>
      </c>
      <c r="I183" s="333"/>
      <c r="J183" s="333" t="str">
        <f>VLOOKUP(C183,BoonRef!A:Z,17,FALSE)</f>
        <v>Yes</v>
      </c>
      <c r="K183" s="333" t="str">
        <f>IF(J183="God",'House Rules'!$B$2,IF(J183="Demi",'House Rules'!$B$1,IF(J183="Comp",'House Rules'!$B$4,IF(J183="Yaz",'House Rules'!$B$5,IF(J183="Rag",'House Rules'!$B$3,"Available")))))</f>
        <v>Available</v>
      </c>
      <c r="L183" s="333"/>
      <c r="M183" s="333"/>
      <c r="BF183" s="319">
        <f t="shared" si="97"/>
        <v>0</v>
      </c>
      <c r="BG183" s="336" t="s">
        <v>2528</v>
      </c>
      <c r="BI183" s="319">
        <f t="shared" si="87"/>
        <v>0</v>
      </c>
      <c r="BJ183" s="319">
        <f t="shared" si="98"/>
        <v>0</v>
      </c>
      <c r="BK183" s="319">
        <f t="shared" si="98"/>
        <v>0</v>
      </c>
      <c r="BL183" s="319">
        <f t="shared" si="98"/>
        <v>0</v>
      </c>
      <c r="BM183" s="319">
        <f t="shared" si="98"/>
        <v>0</v>
      </c>
      <c r="BN183" s="319">
        <f t="shared" si="98"/>
        <v>0</v>
      </c>
      <c r="BO183" s="319">
        <f t="shared" si="98"/>
        <v>0</v>
      </c>
      <c r="BP183" s="319">
        <f t="shared" si="98"/>
        <v>0</v>
      </c>
      <c r="BQ183" s="319">
        <f t="shared" si="98"/>
        <v>0</v>
      </c>
      <c r="BR183" s="319">
        <f t="shared" si="98"/>
        <v>0</v>
      </c>
      <c r="BS183" s="319">
        <f t="shared" si="98"/>
        <v>0</v>
      </c>
      <c r="BT183" s="319">
        <f t="shared" si="98"/>
        <v>0</v>
      </c>
      <c r="BU183" s="319">
        <f t="shared" si="98"/>
        <v>0</v>
      </c>
      <c r="BV183" s="319">
        <f t="shared" si="98"/>
        <v>0</v>
      </c>
      <c r="BW183" s="319">
        <f t="shared" si="98"/>
        <v>0</v>
      </c>
      <c r="BX183" s="319">
        <f t="shared" si="98"/>
        <v>0</v>
      </c>
      <c r="BY183" s="319">
        <f t="shared" si="98"/>
        <v>0</v>
      </c>
      <c r="BZ183" s="319">
        <f t="shared" si="98"/>
        <v>0</v>
      </c>
      <c r="CA183" s="319">
        <f t="shared" si="98"/>
        <v>0</v>
      </c>
      <c r="CB183" s="319">
        <f t="shared" si="98"/>
        <v>0</v>
      </c>
      <c r="CC183" s="319">
        <f t="shared" si="98"/>
        <v>0</v>
      </c>
      <c r="CD183" s="319">
        <f t="shared" si="98"/>
        <v>0</v>
      </c>
      <c r="CE183" s="319">
        <f t="shared" si="98"/>
        <v>0</v>
      </c>
      <c r="CF183" s="319">
        <f t="shared" si="98"/>
        <v>0</v>
      </c>
      <c r="CG183" s="319">
        <f t="shared" si="98"/>
        <v>0</v>
      </c>
      <c r="CH183" s="319">
        <f t="shared" si="98"/>
        <v>0</v>
      </c>
      <c r="CI183" s="319">
        <f t="shared" si="98"/>
        <v>0</v>
      </c>
      <c r="CJ183" s="319">
        <f t="shared" si="98"/>
        <v>0</v>
      </c>
      <c r="CK183" s="319">
        <f t="shared" si="98"/>
        <v>0</v>
      </c>
      <c r="CL183" s="319">
        <f t="shared" si="98"/>
        <v>0</v>
      </c>
      <c r="CM183" s="319">
        <f t="shared" si="98"/>
        <v>0</v>
      </c>
      <c r="CN183" s="319">
        <f t="shared" si="98"/>
        <v>0</v>
      </c>
      <c r="CO183" s="319">
        <f t="shared" si="98"/>
        <v>0</v>
      </c>
      <c r="CP183" s="319">
        <f t="shared" si="98"/>
        <v>0</v>
      </c>
      <c r="CQ183" s="319">
        <f t="shared" si="98"/>
        <v>0</v>
      </c>
      <c r="CR183" s="319">
        <f t="shared" si="98"/>
        <v>0</v>
      </c>
      <c r="CS183" s="319">
        <f t="shared" si="98"/>
        <v>0</v>
      </c>
      <c r="CT183" s="319">
        <f t="shared" si="98"/>
        <v>0</v>
      </c>
      <c r="CU183" s="319">
        <f t="shared" si="98"/>
        <v>0</v>
      </c>
      <c r="CV183" s="319">
        <f t="shared" si="98"/>
        <v>0</v>
      </c>
    </row>
    <row r="184" spans="1:100" x14ac:dyDescent="0.25">
      <c r="A184" s="319">
        <f t="shared" si="86"/>
        <v>0</v>
      </c>
      <c r="B184" s="319">
        <f t="shared" si="90"/>
        <v>0</v>
      </c>
      <c r="C184" s="340" t="s">
        <v>1400</v>
      </c>
      <c r="D184" s="341" t="s">
        <v>361</v>
      </c>
      <c r="E184" s="341">
        <v>5</v>
      </c>
      <c r="F184" s="341" t="str">
        <f>IF(AND(E184&lt;CharacterSheet!$V$34,'House Rules'!$B$4="Available",OR('House Rules'!$B$7="Standard",AND('House Rules'!$B$7="Ranked",G182="Yes"))),"Yes","No")</f>
        <v>No</v>
      </c>
      <c r="G184" s="564" t="s">
        <v>347</v>
      </c>
      <c r="H184" s="333" t="str">
        <f>IF(C184="","",VLOOKUP(C184,Boonref2!A:B,2,FALSE))</f>
        <v>Yes</v>
      </c>
      <c r="I184" s="333"/>
      <c r="J184" s="333" t="str">
        <f>VLOOKUP(C184,BoonRef!A:Z,17,FALSE)</f>
        <v>Yes</v>
      </c>
      <c r="K184" s="333" t="str">
        <f>IF(J184="God",'House Rules'!$B$2,IF(J184="Demi",'House Rules'!$B$1,IF(J184="Comp",'House Rules'!$B$4,IF(J184="Yaz",'House Rules'!$B$5,IF(J184="Rag",'House Rules'!$B$3,"Available")))))</f>
        <v>Available</v>
      </c>
      <c r="L184" s="333"/>
      <c r="M184" s="333"/>
      <c r="BF184" s="319">
        <f t="shared" si="97"/>
        <v>0</v>
      </c>
      <c r="BG184" s="345" t="s">
        <v>2529</v>
      </c>
      <c r="BI184" s="319">
        <f t="shared" si="87"/>
        <v>0</v>
      </c>
      <c r="BJ184" s="319">
        <f t="shared" si="98"/>
        <v>0</v>
      </c>
      <c r="BK184" s="319">
        <f t="shared" si="98"/>
        <v>0</v>
      </c>
      <c r="BL184" s="319">
        <f t="shared" si="98"/>
        <v>0</v>
      </c>
      <c r="BM184" s="319">
        <f t="shared" si="98"/>
        <v>0</v>
      </c>
      <c r="BN184" s="319">
        <f t="shared" si="98"/>
        <v>0</v>
      </c>
      <c r="BO184" s="319">
        <f t="shared" si="98"/>
        <v>0</v>
      </c>
      <c r="BP184" s="319">
        <f t="shared" si="98"/>
        <v>0</v>
      </c>
      <c r="BQ184" s="319">
        <f t="shared" si="98"/>
        <v>0</v>
      </c>
      <c r="BR184" s="319">
        <f t="shared" si="98"/>
        <v>0</v>
      </c>
      <c r="BS184" s="319">
        <f t="shared" si="98"/>
        <v>0</v>
      </c>
      <c r="BT184" s="319">
        <f t="shared" si="98"/>
        <v>0</v>
      </c>
      <c r="BU184" s="319">
        <f t="shared" si="98"/>
        <v>0</v>
      </c>
      <c r="BV184" s="319">
        <f t="shared" si="98"/>
        <v>0</v>
      </c>
      <c r="BW184" s="319">
        <f t="shared" si="98"/>
        <v>0</v>
      </c>
      <c r="BX184" s="319">
        <f t="shared" si="98"/>
        <v>0</v>
      </c>
      <c r="BY184" s="319">
        <f t="shared" si="98"/>
        <v>0</v>
      </c>
      <c r="BZ184" s="319">
        <f t="shared" si="98"/>
        <v>0</v>
      </c>
      <c r="CA184" s="319">
        <f t="shared" si="98"/>
        <v>0</v>
      </c>
      <c r="CB184" s="319">
        <f t="shared" si="98"/>
        <v>0</v>
      </c>
      <c r="CC184" s="319">
        <f t="shared" si="98"/>
        <v>0</v>
      </c>
      <c r="CD184" s="319">
        <f t="shared" si="98"/>
        <v>0</v>
      </c>
      <c r="CE184" s="319">
        <f t="shared" si="98"/>
        <v>0</v>
      </c>
      <c r="CF184" s="319">
        <f t="shared" si="98"/>
        <v>0</v>
      </c>
      <c r="CG184" s="319">
        <f t="shared" si="98"/>
        <v>0</v>
      </c>
      <c r="CH184" s="319">
        <f t="shared" si="98"/>
        <v>0</v>
      </c>
      <c r="CI184" s="319">
        <f t="shared" si="98"/>
        <v>0</v>
      </c>
      <c r="CJ184" s="319">
        <f t="shared" si="98"/>
        <v>0</v>
      </c>
      <c r="CK184" s="319">
        <f t="shared" si="98"/>
        <v>0</v>
      </c>
      <c r="CL184" s="319">
        <f t="shared" si="98"/>
        <v>0</v>
      </c>
      <c r="CM184" s="319">
        <f t="shared" si="98"/>
        <v>0</v>
      </c>
      <c r="CN184" s="319">
        <f t="shared" si="98"/>
        <v>0</v>
      </c>
      <c r="CO184" s="319">
        <f t="shared" si="98"/>
        <v>0</v>
      </c>
      <c r="CP184" s="319">
        <f t="shared" si="98"/>
        <v>0</v>
      </c>
      <c r="CQ184" s="319">
        <f t="shared" si="98"/>
        <v>0</v>
      </c>
      <c r="CR184" s="319">
        <f t="shared" si="98"/>
        <v>0</v>
      </c>
      <c r="CS184" s="319">
        <f t="shared" si="98"/>
        <v>0</v>
      </c>
      <c r="CT184" s="319">
        <f t="shared" si="98"/>
        <v>0</v>
      </c>
      <c r="CU184" s="319">
        <f t="shared" si="98"/>
        <v>0</v>
      </c>
      <c r="CV184" s="319">
        <f t="shared" si="98"/>
        <v>0</v>
      </c>
    </row>
    <row r="185" spans="1:100" x14ac:dyDescent="0.25">
      <c r="A185" s="319">
        <f t="shared" si="86"/>
        <v>0</v>
      </c>
      <c r="B185" s="319">
        <f t="shared" si="90"/>
        <v>0</v>
      </c>
      <c r="C185" s="340" t="s">
        <v>1185</v>
      </c>
      <c r="D185" s="341" t="s">
        <v>361</v>
      </c>
      <c r="E185" s="341">
        <v>6</v>
      </c>
      <c r="F185" s="341" t="str">
        <f>IF(AND(E185&lt;CharacterSheet!$V$34,'House Rules'!$B$1="Available",OR('House Rules'!$B$7="Standard",AND('House Rules'!$B$7="Ranked",OR(G184="Yes",G183="Yes")))),"Yes","No")</f>
        <v>No</v>
      </c>
      <c r="G185" s="564" t="s">
        <v>347</v>
      </c>
      <c r="H185" s="333" t="str">
        <f>IF(C185="","",VLOOKUP(C185,Boonref2!A:B,2,FALSE))</f>
        <v>Yes</v>
      </c>
      <c r="I185" s="333"/>
      <c r="J185" s="333" t="str">
        <f>VLOOKUP(C185,BoonRef!A:Z,17,FALSE)</f>
        <v>Yes</v>
      </c>
      <c r="K185" s="333" t="str">
        <f>IF(J185="God",'House Rules'!$B$2,IF(J185="Demi",'House Rules'!$B$1,IF(J185="Comp",'House Rules'!$B$4,IF(J185="Yaz",'House Rules'!$B$5,IF(J185="Rag",'House Rules'!$B$3,"Available")))))</f>
        <v>Available</v>
      </c>
      <c r="L185" s="333"/>
      <c r="M185" s="333"/>
      <c r="BF185" s="319">
        <f t="shared" si="97"/>
        <v>0</v>
      </c>
      <c r="BG185" s="345" t="s">
        <v>2530</v>
      </c>
      <c r="BI185" s="319">
        <f t="shared" si="87"/>
        <v>0</v>
      </c>
      <c r="BJ185" s="319">
        <f t="shared" si="98"/>
        <v>0</v>
      </c>
      <c r="BK185" s="319">
        <f t="shared" si="98"/>
        <v>0</v>
      </c>
      <c r="BL185" s="319">
        <f t="shared" si="98"/>
        <v>0</v>
      </c>
      <c r="BM185" s="319">
        <f t="shared" si="98"/>
        <v>0</v>
      </c>
      <c r="BN185" s="319">
        <f t="shared" si="98"/>
        <v>0</v>
      </c>
      <c r="BO185" s="319">
        <f t="shared" si="98"/>
        <v>0</v>
      </c>
      <c r="BP185" s="319">
        <f t="shared" si="98"/>
        <v>0</v>
      </c>
      <c r="BQ185" s="319">
        <f t="shared" si="98"/>
        <v>0</v>
      </c>
      <c r="BR185" s="319">
        <f t="shared" si="98"/>
        <v>0</v>
      </c>
      <c r="BS185" s="319">
        <f t="shared" si="98"/>
        <v>0</v>
      </c>
      <c r="BT185" s="319">
        <f t="shared" si="98"/>
        <v>0</v>
      </c>
      <c r="BU185" s="319">
        <f t="shared" si="98"/>
        <v>0</v>
      </c>
      <c r="BV185" s="319">
        <f t="shared" si="98"/>
        <v>0</v>
      </c>
      <c r="BW185" s="319">
        <f t="shared" si="98"/>
        <v>0</v>
      </c>
      <c r="BX185" s="319">
        <f t="shared" si="98"/>
        <v>0</v>
      </c>
      <c r="BY185" s="319">
        <f t="shared" si="98"/>
        <v>0</v>
      </c>
      <c r="BZ185" s="319">
        <f t="shared" si="98"/>
        <v>0</v>
      </c>
      <c r="CA185" s="319">
        <f t="shared" si="98"/>
        <v>0</v>
      </c>
      <c r="CB185" s="319">
        <f t="shared" si="98"/>
        <v>0</v>
      </c>
      <c r="CC185" s="319">
        <f t="shared" si="98"/>
        <v>0</v>
      </c>
      <c r="CD185" s="319">
        <f t="shared" si="98"/>
        <v>0</v>
      </c>
      <c r="CE185" s="319">
        <f t="shared" si="98"/>
        <v>0</v>
      </c>
      <c r="CF185" s="319">
        <f t="shared" si="98"/>
        <v>0</v>
      </c>
      <c r="CG185" s="319">
        <f t="shared" si="98"/>
        <v>0</v>
      </c>
      <c r="CH185" s="319">
        <f t="shared" si="98"/>
        <v>0</v>
      </c>
      <c r="CI185" s="319">
        <f t="shared" si="98"/>
        <v>0</v>
      </c>
      <c r="CJ185" s="319">
        <f t="shared" si="98"/>
        <v>0</v>
      </c>
      <c r="CK185" s="319">
        <f t="shared" si="98"/>
        <v>0</v>
      </c>
      <c r="CL185" s="319">
        <f t="shared" si="98"/>
        <v>0</v>
      </c>
      <c r="CM185" s="319">
        <f t="shared" si="98"/>
        <v>0</v>
      </c>
      <c r="CN185" s="319">
        <f t="shared" si="98"/>
        <v>0</v>
      </c>
      <c r="CO185" s="319">
        <f t="shared" si="98"/>
        <v>0</v>
      </c>
      <c r="CP185" s="319">
        <f t="shared" si="98"/>
        <v>0</v>
      </c>
      <c r="CQ185" s="319">
        <f t="shared" si="98"/>
        <v>0</v>
      </c>
      <c r="CR185" s="319">
        <f t="shared" si="98"/>
        <v>0</v>
      </c>
      <c r="CS185" s="319">
        <f t="shared" si="98"/>
        <v>0</v>
      </c>
      <c r="CT185" s="319">
        <f t="shared" si="98"/>
        <v>0</v>
      </c>
      <c r="CU185" s="319">
        <f t="shared" si="98"/>
        <v>0</v>
      </c>
      <c r="CV185" s="319">
        <f t="shared" si="98"/>
        <v>0</v>
      </c>
    </row>
    <row r="186" spans="1:100" x14ac:dyDescent="0.25">
      <c r="A186" s="319">
        <f t="shared" si="86"/>
        <v>0</v>
      </c>
      <c r="B186" s="319">
        <f t="shared" si="90"/>
        <v>0</v>
      </c>
      <c r="C186" s="340" t="s">
        <v>1186</v>
      </c>
      <c r="D186" s="341" t="s">
        <v>361</v>
      </c>
      <c r="E186" s="341">
        <v>7</v>
      </c>
      <c r="F186" s="341" t="str">
        <f>IF(AND(E186&lt;CharacterSheet!$V$34,'House Rules'!$B$1="Available",OR('House Rules'!$B$7="Standard",AND('House Rules'!$B$7="Ranked",G185="Yes"))),"Yes","No")</f>
        <v>No</v>
      </c>
      <c r="G186" s="564" t="s">
        <v>347</v>
      </c>
      <c r="H186" s="333" t="str">
        <f>IF(C186="","",VLOOKUP(C186,Boonref2!A:B,2,FALSE))</f>
        <v>Yes</v>
      </c>
      <c r="I186" s="333"/>
      <c r="J186" s="333" t="str">
        <f>VLOOKUP(C186,BoonRef!A:Z,17,FALSE)</f>
        <v>Yes</v>
      </c>
      <c r="K186" s="333" t="str">
        <f>IF(J186="God",'House Rules'!$B$2,IF(J186="Demi",'House Rules'!$B$1,IF(J186="Comp",'House Rules'!$B$4,IF(J186="Yaz",'House Rules'!$B$5,IF(J186="Rag",'House Rules'!$B$3,"Available")))))</f>
        <v>Available</v>
      </c>
      <c r="L186" s="333"/>
      <c r="M186" s="333"/>
      <c r="BF186" s="319">
        <f t="shared" si="97"/>
        <v>0</v>
      </c>
      <c r="BG186" s="345" t="s">
        <v>2531</v>
      </c>
      <c r="BI186" s="319">
        <f t="shared" si="87"/>
        <v>0</v>
      </c>
      <c r="BJ186" s="319">
        <f t="shared" si="98"/>
        <v>0</v>
      </c>
      <c r="BK186" s="319">
        <f t="shared" si="98"/>
        <v>0</v>
      </c>
      <c r="BL186" s="319">
        <f t="shared" si="98"/>
        <v>0</v>
      </c>
      <c r="BM186" s="319">
        <f t="shared" si="98"/>
        <v>0</v>
      </c>
      <c r="BN186" s="319">
        <f t="shared" si="98"/>
        <v>0</v>
      </c>
      <c r="BO186" s="319">
        <f t="shared" si="98"/>
        <v>0</v>
      </c>
      <c r="BP186" s="319">
        <f t="shared" si="98"/>
        <v>0</v>
      </c>
      <c r="BQ186" s="319">
        <f t="shared" si="98"/>
        <v>0</v>
      </c>
      <c r="BR186" s="319">
        <f t="shared" si="98"/>
        <v>0</v>
      </c>
      <c r="BS186" s="319">
        <f t="shared" ref="BJ186:CV192" si="99">IF(AND($D186=BS$1,$G186="Yes"),$E186,0)</f>
        <v>0</v>
      </c>
      <c r="BT186" s="319">
        <f t="shared" si="99"/>
        <v>0</v>
      </c>
      <c r="BU186" s="319">
        <f t="shared" si="99"/>
        <v>0</v>
      </c>
      <c r="BV186" s="319">
        <f t="shared" si="99"/>
        <v>0</v>
      </c>
      <c r="BW186" s="319">
        <f t="shared" si="99"/>
        <v>0</v>
      </c>
      <c r="BX186" s="319">
        <f t="shared" si="99"/>
        <v>0</v>
      </c>
      <c r="BY186" s="319">
        <f t="shared" si="99"/>
        <v>0</v>
      </c>
      <c r="BZ186" s="319">
        <f t="shared" si="99"/>
        <v>0</v>
      </c>
      <c r="CA186" s="319">
        <f t="shared" si="99"/>
        <v>0</v>
      </c>
      <c r="CB186" s="319">
        <f t="shared" si="99"/>
        <v>0</v>
      </c>
      <c r="CC186" s="319">
        <f t="shared" si="99"/>
        <v>0</v>
      </c>
      <c r="CD186" s="319">
        <f t="shared" si="99"/>
        <v>0</v>
      </c>
      <c r="CE186" s="319">
        <f t="shared" si="99"/>
        <v>0</v>
      </c>
      <c r="CF186" s="319">
        <f t="shared" si="99"/>
        <v>0</v>
      </c>
      <c r="CG186" s="319">
        <f t="shared" si="99"/>
        <v>0</v>
      </c>
      <c r="CH186" s="319">
        <f t="shared" si="99"/>
        <v>0</v>
      </c>
      <c r="CI186" s="319">
        <f t="shared" si="99"/>
        <v>0</v>
      </c>
      <c r="CJ186" s="319">
        <f t="shared" si="99"/>
        <v>0</v>
      </c>
      <c r="CK186" s="319">
        <f t="shared" si="99"/>
        <v>0</v>
      </c>
      <c r="CL186" s="319">
        <f t="shared" si="99"/>
        <v>0</v>
      </c>
      <c r="CM186" s="319">
        <f t="shared" si="99"/>
        <v>0</v>
      </c>
      <c r="CN186" s="319">
        <f t="shared" si="99"/>
        <v>0</v>
      </c>
      <c r="CO186" s="319">
        <f t="shared" si="99"/>
        <v>0</v>
      </c>
      <c r="CP186" s="319">
        <f t="shared" si="99"/>
        <v>0</v>
      </c>
      <c r="CQ186" s="319">
        <f t="shared" si="99"/>
        <v>0</v>
      </c>
      <c r="CR186" s="319">
        <f t="shared" si="99"/>
        <v>0</v>
      </c>
      <c r="CS186" s="319">
        <f t="shared" si="99"/>
        <v>0</v>
      </c>
      <c r="CT186" s="319">
        <f t="shared" si="99"/>
        <v>0</v>
      </c>
      <c r="CU186" s="319">
        <f t="shared" si="99"/>
        <v>0</v>
      </c>
      <c r="CV186" s="319">
        <f t="shared" si="99"/>
        <v>0</v>
      </c>
    </row>
    <row r="187" spans="1:100" x14ac:dyDescent="0.25">
      <c r="A187" s="319">
        <f t="shared" si="86"/>
        <v>0</v>
      </c>
      <c r="B187" s="319">
        <f t="shared" si="90"/>
        <v>0</v>
      </c>
      <c r="C187" s="340" t="s">
        <v>1282</v>
      </c>
      <c r="D187" s="341" t="s">
        <v>361</v>
      </c>
      <c r="E187" s="341">
        <v>8</v>
      </c>
      <c r="F187" s="341" t="str">
        <f>IF(AND(E187&lt;CharacterSheet!$V$34,'House Rules'!$B$2="available",OR('House Rules'!$B$7="Standard",AND('House Rules'!$B$7="Ranked",G186="Yes"))),"Yes","No")</f>
        <v>No</v>
      </c>
      <c r="G187" s="564" t="s">
        <v>347</v>
      </c>
      <c r="H187" s="333" t="str">
        <f>IF(C187="","",VLOOKUP(C187,Boonref2!A:B,2,FALSE))</f>
        <v>Yes</v>
      </c>
      <c r="I187" s="333"/>
      <c r="J187" s="333" t="str">
        <f>VLOOKUP(C187,BoonRef!A:Z,17,FALSE)</f>
        <v>Yes</v>
      </c>
      <c r="K187" s="333" t="str">
        <f>IF(J187="God",'House Rules'!$B$2,IF(J187="Demi",'House Rules'!$B$1,IF(J187="Comp",'House Rules'!$B$4,IF(J187="Yaz",'House Rules'!$B$5,IF(J187="Rag",'House Rules'!$B$3,"Available")))))</f>
        <v>Available</v>
      </c>
      <c r="L187" s="333"/>
      <c r="M187" s="333"/>
      <c r="BF187" s="319">
        <f t="shared" si="97"/>
        <v>0</v>
      </c>
      <c r="BG187" s="345" t="s">
        <v>2532</v>
      </c>
      <c r="BI187" s="319">
        <f t="shared" si="87"/>
        <v>0</v>
      </c>
      <c r="BJ187" s="319">
        <f t="shared" si="99"/>
        <v>0</v>
      </c>
      <c r="BK187" s="319">
        <f t="shared" si="99"/>
        <v>0</v>
      </c>
      <c r="BL187" s="319">
        <f t="shared" si="99"/>
        <v>0</v>
      </c>
      <c r="BM187" s="319">
        <f t="shared" si="99"/>
        <v>0</v>
      </c>
      <c r="BN187" s="319">
        <f t="shared" si="99"/>
        <v>0</v>
      </c>
      <c r="BO187" s="319">
        <f t="shared" si="99"/>
        <v>0</v>
      </c>
      <c r="BP187" s="319">
        <f t="shared" si="99"/>
        <v>0</v>
      </c>
      <c r="BQ187" s="319">
        <f t="shared" si="99"/>
        <v>0</v>
      </c>
      <c r="BR187" s="319">
        <f t="shared" si="99"/>
        <v>0</v>
      </c>
      <c r="BS187" s="319">
        <f t="shared" si="99"/>
        <v>0</v>
      </c>
      <c r="BT187" s="319">
        <f t="shared" si="99"/>
        <v>0</v>
      </c>
      <c r="BU187" s="319">
        <f t="shared" si="99"/>
        <v>0</v>
      </c>
      <c r="BV187" s="319">
        <f t="shared" si="99"/>
        <v>0</v>
      </c>
      <c r="BW187" s="319">
        <f t="shared" si="99"/>
        <v>0</v>
      </c>
      <c r="BX187" s="319">
        <f t="shared" si="99"/>
        <v>0</v>
      </c>
      <c r="BY187" s="319">
        <f t="shared" si="99"/>
        <v>0</v>
      </c>
      <c r="BZ187" s="319">
        <f t="shared" si="99"/>
        <v>0</v>
      </c>
      <c r="CA187" s="319">
        <f t="shared" si="99"/>
        <v>0</v>
      </c>
      <c r="CB187" s="319">
        <f t="shared" si="99"/>
        <v>0</v>
      </c>
      <c r="CC187" s="319">
        <f t="shared" si="99"/>
        <v>0</v>
      </c>
      <c r="CD187" s="319">
        <f t="shared" si="99"/>
        <v>0</v>
      </c>
      <c r="CE187" s="319">
        <f t="shared" si="99"/>
        <v>0</v>
      </c>
      <c r="CF187" s="319">
        <f t="shared" si="99"/>
        <v>0</v>
      </c>
      <c r="CG187" s="319">
        <f t="shared" si="99"/>
        <v>0</v>
      </c>
      <c r="CH187" s="319">
        <f t="shared" si="99"/>
        <v>0</v>
      </c>
      <c r="CI187" s="319">
        <f t="shared" si="99"/>
        <v>0</v>
      </c>
      <c r="CJ187" s="319">
        <f t="shared" si="99"/>
        <v>0</v>
      </c>
      <c r="CK187" s="319">
        <f t="shared" si="99"/>
        <v>0</v>
      </c>
      <c r="CL187" s="319">
        <f t="shared" si="99"/>
        <v>0</v>
      </c>
      <c r="CM187" s="319">
        <f t="shared" si="99"/>
        <v>0</v>
      </c>
      <c r="CN187" s="319">
        <f t="shared" si="99"/>
        <v>0</v>
      </c>
      <c r="CO187" s="319">
        <f t="shared" si="99"/>
        <v>0</v>
      </c>
      <c r="CP187" s="319">
        <f t="shared" si="99"/>
        <v>0</v>
      </c>
      <c r="CQ187" s="319">
        <f t="shared" si="99"/>
        <v>0</v>
      </c>
      <c r="CR187" s="319">
        <f t="shared" si="99"/>
        <v>0</v>
      </c>
      <c r="CS187" s="319">
        <f t="shared" si="99"/>
        <v>0</v>
      </c>
      <c r="CT187" s="319">
        <f t="shared" si="99"/>
        <v>0</v>
      </c>
      <c r="CU187" s="319">
        <f t="shared" si="99"/>
        <v>0</v>
      </c>
      <c r="CV187" s="319">
        <f t="shared" si="99"/>
        <v>0</v>
      </c>
    </row>
    <row r="188" spans="1:100" x14ac:dyDescent="0.25">
      <c r="A188" s="319">
        <f t="shared" si="86"/>
        <v>0</v>
      </c>
      <c r="B188" s="319">
        <f t="shared" si="90"/>
        <v>0</v>
      </c>
      <c r="C188" s="340" t="s">
        <v>2639</v>
      </c>
      <c r="D188" s="341" t="s">
        <v>361</v>
      </c>
      <c r="E188" s="341">
        <v>8</v>
      </c>
      <c r="F188" s="341" t="str">
        <f>IF(AND(E187&lt;CharacterSheet!$V$34,'House Rules'!$B$3="Available",OR('House Rules'!$B$7="Standard",AND('House Rules'!$B$7="Ranked",OR(G186="Yes")))),"Yes","No")</f>
        <v>No</v>
      </c>
      <c r="G188" s="564" t="s">
        <v>347</v>
      </c>
      <c r="H188" s="333" t="str">
        <f>IF(C188="","",VLOOKUP(C188,Boonref2!A:B,2,FALSE))</f>
        <v>Yes</v>
      </c>
      <c r="I188" s="333"/>
      <c r="J188" s="333" t="str">
        <f>VLOOKUP(C188,BoonRef!A:Z,17,FALSE)</f>
        <v>Yes</v>
      </c>
      <c r="K188" s="333" t="str">
        <f>IF(J188="God",'House Rules'!$B$2,IF(J188="Demi",'House Rules'!$B$1,IF(J188="Comp",'House Rules'!$B$4,IF(J188="Yaz",'House Rules'!$B$5,IF(J188="Rag",'House Rules'!$B$3,"Available")))))</f>
        <v>Available</v>
      </c>
      <c r="L188" s="333"/>
      <c r="M188" s="333"/>
      <c r="BF188" s="319">
        <f t="shared" si="97"/>
        <v>0</v>
      </c>
      <c r="BG188" s="345" t="s">
        <v>2533</v>
      </c>
      <c r="BI188" s="319">
        <f t="shared" si="87"/>
        <v>0</v>
      </c>
      <c r="BJ188" s="319">
        <f t="shared" si="99"/>
        <v>0</v>
      </c>
      <c r="BK188" s="319">
        <f t="shared" si="99"/>
        <v>0</v>
      </c>
      <c r="BL188" s="319">
        <f t="shared" si="99"/>
        <v>0</v>
      </c>
      <c r="BM188" s="319">
        <f t="shared" si="99"/>
        <v>0</v>
      </c>
      <c r="BN188" s="319">
        <f t="shared" si="99"/>
        <v>0</v>
      </c>
      <c r="BO188" s="319">
        <f t="shared" si="99"/>
        <v>0</v>
      </c>
      <c r="BP188" s="319">
        <f t="shared" si="99"/>
        <v>0</v>
      </c>
      <c r="BQ188" s="319">
        <f t="shared" si="99"/>
        <v>0</v>
      </c>
      <c r="BR188" s="319">
        <f t="shared" si="99"/>
        <v>0</v>
      </c>
      <c r="BS188" s="319">
        <f t="shared" si="99"/>
        <v>0</v>
      </c>
      <c r="BT188" s="319">
        <f t="shared" si="99"/>
        <v>0</v>
      </c>
      <c r="BU188" s="319">
        <f t="shared" si="99"/>
        <v>0</v>
      </c>
      <c r="BV188" s="319">
        <f t="shared" si="99"/>
        <v>0</v>
      </c>
      <c r="BW188" s="319">
        <f t="shared" si="99"/>
        <v>0</v>
      </c>
      <c r="BX188" s="319">
        <f t="shared" si="99"/>
        <v>0</v>
      </c>
      <c r="BY188" s="319">
        <f t="shared" si="99"/>
        <v>0</v>
      </c>
      <c r="BZ188" s="319">
        <f t="shared" si="99"/>
        <v>0</v>
      </c>
      <c r="CA188" s="319">
        <f t="shared" si="99"/>
        <v>0</v>
      </c>
      <c r="CB188" s="319">
        <f t="shared" si="99"/>
        <v>0</v>
      </c>
      <c r="CC188" s="319">
        <f t="shared" si="99"/>
        <v>0</v>
      </c>
      <c r="CD188" s="319">
        <f t="shared" si="99"/>
        <v>0</v>
      </c>
      <c r="CE188" s="319">
        <f t="shared" si="99"/>
        <v>0</v>
      </c>
      <c r="CF188" s="319">
        <f t="shared" si="99"/>
        <v>0</v>
      </c>
      <c r="CG188" s="319">
        <f t="shared" si="99"/>
        <v>0</v>
      </c>
      <c r="CH188" s="319">
        <f t="shared" si="99"/>
        <v>0</v>
      </c>
      <c r="CI188" s="319">
        <f t="shared" si="99"/>
        <v>0</v>
      </c>
      <c r="CJ188" s="319">
        <f t="shared" si="99"/>
        <v>0</v>
      </c>
      <c r="CK188" s="319">
        <f t="shared" si="99"/>
        <v>0</v>
      </c>
      <c r="CL188" s="319">
        <f t="shared" si="99"/>
        <v>0</v>
      </c>
      <c r="CM188" s="319">
        <f t="shared" si="99"/>
        <v>0</v>
      </c>
      <c r="CN188" s="319">
        <f t="shared" si="99"/>
        <v>0</v>
      </c>
      <c r="CO188" s="319">
        <f t="shared" si="99"/>
        <v>0</v>
      </c>
      <c r="CP188" s="319">
        <f t="shared" si="99"/>
        <v>0</v>
      </c>
      <c r="CQ188" s="319">
        <f t="shared" si="99"/>
        <v>0</v>
      </c>
      <c r="CR188" s="319">
        <f t="shared" si="99"/>
        <v>0</v>
      </c>
      <c r="CS188" s="319">
        <f t="shared" si="99"/>
        <v>0</v>
      </c>
      <c r="CT188" s="319">
        <f t="shared" si="99"/>
        <v>0</v>
      </c>
      <c r="CU188" s="319">
        <f t="shared" si="99"/>
        <v>0</v>
      </c>
      <c r="CV188" s="319">
        <f t="shared" si="99"/>
        <v>0</v>
      </c>
    </row>
    <row r="189" spans="1:100" x14ac:dyDescent="0.25">
      <c r="A189" s="319">
        <f t="shared" si="86"/>
        <v>0</v>
      </c>
      <c r="B189" s="319">
        <f t="shared" si="90"/>
        <v>0</v>
      </c>
      <c r="C189" s="340" t="s">
        <v>1283</v>
      </c>
      <c r="D189" s="341" t="s">
        <v>361</v>
      </c>
      <c r="E189" s="341">
        <v>9</v>
      </c>
      <c r="F189" s="341" t="str">
        <f>IF(AND(E189&lt;CharacterSheet!$V$34,'House Rules'!$B$2="available",OR('House Rules'!$B$7="Standard",AND('House Rules'!$B$7="Ranked",OR(G187="Yes",G188="Yes")))),"Yes","No")</f>
        <v>No</v>
      </c>
      <c r="G189" s="564" t="s">
        <v>347</v>
      </c>
      <c r="H189" s="333" t="str">
        <f>IF(C189="","",VLOOKUP(C189,Boonref2!A:B,2,FALSE))</f>
        <v>No</v>
      </c>
      <c r="I189" s="333"/>
      <c r="J189" s="333" t="str">
        <f>VLOOKUP(C189,BoonRef!A:Z,17,FALSE)</f>
        <v>Yes</v>
      </c>
      <c r="K189" s="333" t="str">
        <f>IF(J189="God",'House Rules'!$B$2,IF(J189="Demi",'House Rules'!$B$1,IF(J189="Comp",'House Rules'!$B$4,IF(J189="Yaz",'House Rules'!$B$5,IF(J189="Rag",'House Rules'!$B$3,"Available")))))</f>
        <v>Available</v>
      </c>
      <c r="L189" s="333"/>
      <c r="M189" s="333"/>
      <c r="BF189" s="319">
        <f t="shared" si="97"/>
        <v>0</v>
      </c>
      <c r="BG189" s="345" t="s">
        <v>2534</v>
      </c>
      <c r="BI189" s="319">
        <f t="shared" si="87"/>
        <v>0</v>
      </c>
      <c r="BJ189" s="319">
        <f t="shared" si="99"/>
        <v>0</v>
      </c>
      <c r="BK189" s="319">
        <f t="shared" si="99"/>
        <v>0</v>
      </c>
      <c r="BL189" s="319">
        <f t="shared" si="99"/>
        <v>0</v>
      </c>
      <c r="BM189" s="319">
        <f t="shared" si="99"/>
        <v>0</v>
      </c>
      <c r="BN189" s="319">
        <f t="shared" si="99"/>
        <v>0</v>
      </c>
      <c r="BO189" s="319">
        <f t="shared" si="99"/>
        <v>0</v>
      </c>
      <c r="BP189" s="319">
        <f t="shared" si="99"/>
        <v>0</v>
      </c>
      <c r="BQ189" s="319">
        <f t="shared" si="99"/>
        <v>0</v>
      </c>
      <c r="BR189" s="319">
        <f t="shared" si="99"/>
        <v>0</v>
      </c>
      <c r="BS189" s="319">
        <f t="shared" si="99"/>
        <v>0</v>
      </c>
      <c r="BT189" s="319">
        <f t="shared" si="99"/>
        <v>0</v>
      </c>
      <c r="BU189" s="319">
        <f t="shared" si="99"/>
        <v>0</v>
      </c>
      <c r="BV189" s="319">
        <f t="shared" si="99"/>
        <v>0</v>
      </c>
      <c r="BW189" s="319">
        <f t="shared" si="99"/>
        <v>0</v>
      </c>
      <c r="BX189" s="319">
        <f t="shared" si="99"/>
        <v>0</v>
      </c>
      <c r="BY189" s="319">
        <f t="shared" si="99"/>
        <v>0</v>
      </c>
      <c r="BZ189" s="319">
        <f t="shared" si="99"/>
        <v>0</v>
      </c>
      <c r="CA189" s="319">
        <f t="shared" si="99"/>
        <v>0</v>
      </c>
      <c r="CB189" s="319">
        <f t="shared" si="99"/>
        <v>0</v>
      </c>
      <c r="CC189" s="319">
        <f t="shared" si="99"/>
        <v>0</v>
      </c>
      <c r="CD189" s="319">
        <f t="shared" si="99"/>
        <v>0</v>
      </c>
      <c r="CE189" s="319">
        <f t="shared" si="99"/>
        <v>0</v>
      </c>
      <c r="CF189" s="319">
        <f t="shared" si="99"/>
        <v>0</v>
      </c>
      <c r="CG189" s="319">
        <f t="shared" si="99"/>
        <v>0</v>
      </c>
      <c r="CH189" s="319">
        <f t="shared" si="99"/>
        <v>0</v>
      </c>
      <c r="CI189" s="319">
        <f t="shared" si="99"/>
        <v>0</v>
      </c>
      <c r="CJ189" s="319">
        <f t="shared" si="99"/>
        <v>0</v>
      </c>
      <c r="CK189" s="319">
        <f t="shared" si="99"/>
        <v>0</v>
      </c>
      <c r="CL189" s="319">
        <f t="shared" si="99"/>
        <v>0</v>
      </c>
      <c r="CM189" s="319">
        <f t="shared" si="99"/>
        <v>0</v>
      </c>
      <c r="CN189" s="319">
        <f t="shared" si="99"/>
        <v>0</v>
      </c>
      <c r="CO189" s="319">
        <f t="shared" si="99"/>
        <v>0</v>
      </c>
      <c r="CP189" s="319">
        <f t="shared" si="99"/>
        <v>0</v>
      </c>
      <c r="CQ189" s="319">
        <f t="shared" si="99"/>
        <v>0</v>
      </c>
      <c r="CR189" s="319">
        <f t="shared" si="99"/>
        <v>0</v>
      </c>
      <c r="CS189" s="319">
        <f t="shared" si="99"/>
        <v>0</v>
      </c>
      <c r="CT189" s="319">
        <f t="shared" si="99"/>
        <v>0</v>
      </c>
      <c r="CU189" s="319">
        <f t="shared" si="99"/>
        <v>0</v>
      </c>
      <c r="CV189" s="319">
        <f t="shared" si="99"/>
        <v>0</v>
      </c>
    </row>
    <row r="190" spans="1:100" x14ac:dyDescent="0.25">
      <c r="A190" s="319">
        <f t="shared" si="86"/>
        <v>0</v>
      </c>
      <c r="B190" s="319">
        <f t="shared" si="90"/>
        <v>0</v>
      </c>
      <c r="C190" s="340" t="s">
        <v>1284</v>
      </c>
      <c r="D190" s="341" t="s">
        <v>361</v>
      </c>
      <c r="E190" s="341">
        <v>10</v>
      </c>
      <c r="F190" s="341" t="str">
        <f>IF(AND(E190&lt;CharacterSheet!$V$34,'House Rules'!$B$2="available",OR('House Rules'!$B$7="Standard",AND('House Rules'!$B$7="Ranked",G189="Yes"))),"Yes","No")</f>
        <v>No</v>
      </c>
      <c r="G190" s="564" t="s">
        <v>347</v>
      </c>
      <c r="H190" s="333" t="str">
        <f>IF(C190="","",VLOOKUP(C190,Boonref2!A:B,2,FALSE))</f>
        <v>Yes</v>
      </c>
      <c r="I190" s="333"/>
      <c r="J190" s="333" t="str">
        <f>VLOOKUP(C190,BoonRef!A:Z,17,FALSE)</f>
        <v>Yes</v>
      </c>
      <c r="K190" s="333" t="str">
        <f>IF(J190="God",'House Rules'!$B$2,IF(J190="Demi",'House Rules'!$B$1,IF(J190="Comp",'House Rules'!$B$4,IF(J190="Yaz",'House Rules'!$B$5,IF(J190="Rag",'House Rules'!$B$3,"Available")))))</f>
        <v>Available</v>
      </c>
      <c r="L190" s="333"/>
      <c r="M190" s="333"/>
      <c r="BF190" s="319">
        <f t="shared" si="97"/>
        <v>0</v>
      </c>
      <c r="BG190" s="345" t="s">
        <v>2535</v>
      </c>
      <c r="BI190" s="319">
        <f t="shared" si="87"/>
        <v>0</v>
      </c>
      <c r="BJ190" s="319">
        <f t="shared" si="99"/>
        <v>0</v>
      </c>
      <c r="BK190" s="319">
        <f t="shared" si="99"/>
        <v>0</v>
      </c>
      <c r="BL190" s="319">
        <f t="shared" si="99"/>
        <v>0</v>
      </c>
      <c r="BM190" s="319">
        <f t="shared" si="99"/>
        <v>0</v>
      </c>
      <c r="BN190" s="319">
        <f t="shared" si="99"/>
        <v>0</v>
      </c>
      <c r="BO190" s="319">
        <f t="shared" si="99"/>
        <v>0</v>
      </c>
      <c r="BP190" s="319">
        <f t="shared" si="99"/>
        <v>0</v>
      </c>
      <c r="BQ190" s="319">
        <f t="shared" si="99"/>
        <v>0</v>
      </c>
      <c r="BR190" s="319">
        <f t="shared" si="99"/>
        <v>0</v>
      </c>
      <c r="BS190" s="319">
        <f t="shared" si="99"/>
        <v>0</v>
      </c>
      <c r="BT190" s="319">
        <f t="shared" si="99"/>
        <v>0</v>
      </c>
      <c r="BU190" s="319">
        <f t="shared" si="99"/>
        <v>0</v>
      </c>
      <c r="BV190" s="319">
        <f t="shared" si="99"/>
        <v>0</v>
      </c>
      <c r="BW190" s="319">
        <f t="shared" si="99"/>
        <v>0</v>
      </c>
      <c r="BX190" s="319">
        <f t="shared" si="99"/>
        <v>0</v>
      </c>
      <c r="BY190" s="319">
        <f t="shared" si="99"/>
        <v>0</v>
      </c>
      <c r="BZ190" s="319">
        <f t="shared" si="99"/>
        <v>0</v>
      </c>
      <c r="CA190" s="319">
        <f t="shared" si="99"/>
        <v>0</v>
      </c>
      <c r="CB190" s="319">
        <f t="shared" si="99"/>
        <v>0</v>
      </c>
      <c r="CC190" s="319">
        <f t="shared" si="99"/>
        <v>0</v>
      </c>
      <c r="CD190" s="319">
        <f t="shared" si="99"/>
        <v>0</v>
      </c>
      <c r="CE190" s="319">
        <f t="shared" si="99"/>
        <v>0</v>
      </c>
      <c r="CF190" s="319">
        <f t="shared" si="99"/>
        <v>0</v>
      </c>
      <c r="CG190" s="319">
        <f t="shared" si="99"/>
        <v>0</v>
      </c>
      <c r="CH190" s="319">
        <f t="shared" si="99"/>
        <v>0</v>
      </c>
      <c r="CI190" s="319">
        <f t="shared" si="99"/>
        <v>0</v>
      </c>
      <c r="CJ190" s="319">
        <f t="shared" si="99"/>
        <v>0</v>
      </c>
      <c r="CK190" s="319">
        <f t="shared" si="99"/>
        <v>0</v>
      </c>
      <c r="CL190" s="319">
        <f t="shared" si="99"/>
        <v>0</v>
      </c>
      <c r="CM190" s="319">
        <f t="shared" si="99"/>
        <v>0</v>
      </c>
      <c r="CN190" s="319">
        <f t="shared" si="99"/>
        <v>0</v>
      </c>
      <c r="CO190" s="319">
        <f t="shared" si="99"/>
        <v>0</v>
      </c>
      <c r="CP190" s="319">
        <f t="shared" si="99"/>
        <v>0</v>
      </c>
      <c r="CQ190" s="319">
        <f t="shared" si="99"/>
        <v>0</v>
      </c>
      <c r="CR190" s="319">
        <f t="shared" si="99"/>
        <v>0</v>
      </c>
      <c r="CS190" s="319">
        <f t="shared" si="99"/>
        <v>0</v>
      </c>
      <c r="CT190" s="319">
        <f t="shared" si="99"/>
        <v>0</v>
      </c>
      <c r="CU190" s="319">
        <f t="shared" si="99"/>
        <v>0</v>
      </c>
      <c r="CV190" s="319">
        <f t="shared" si="99"/>
        <v>0</v>
      </c>
    </row>
    <row r="191" spans="1:100" ht="15.75" thickBot="1" x14ac:dyDescent="0.3">
      <c r="A191" s="319">
        <f t="shared" si="86"/>
        <v>0</v>
      </c>
      <c r="B191" s="319">
        <f t="shared" si="90"/>
        <v>0</v>
      </c>
      <c r="C191" s="352" t="s">
        <v>1285</v>
      </c>
      <c r="D191" s="353" t="s">
        <v>361</v>
      </c>
      <c r="E191" s="353">
        <v>11</v>
      </c>
      <c r="F191" s="353" t="str">
        <f>IF(AND(E25&lt;CharacterSheet!$V$34,G177="Yes",G181="Yes",G182="Yes",G185="Yes",G186="Yes",OR(G187="Yes",G188="Yes"),G189="Yes",G190="Yes",OR(G179="Yes",G180="Yes"),OR(G183="Yes",G184="Yes")),"Yes","No")</f>
        <v>No</v>
      </c>
      <c r="G191" s="565" t="s">
        <v>347</v>
      </c>
      <c r="H191" s="333" t="str">
        <f>IF(C191="","",VLOOKUP(C191,Boonref2!A:B,2,FALSE))</f>
        <v>No</v>
      </c>
      <c r="I191" s="333"/>
      <c r="J191" s="333" t="str">
        <f>VLOOKUP(C191,BoonRef!A:Z,17,FALSE)</f>
        <v>Yes</v>
      </c>
      <c r="K191" s="333" t="str">
        <f>IF(J191="God",'House Rules'!$B$2,IF(J191="Demi",'House Rules'!$B$1,IF(J191="Comp",'House Rules'!$B$4,IF(J191="Yaz",'House Rules'!$B$5,IF(J191="Rag",'House Rules'!$B$3,"Available")))))</f>
        <v>Available</v>
      </c>
      <c r="L191" s="333"/>
      <c r="M191" s="333"/>
      <c r="BF191" s="319">
        <f t="shared" si="97"/>
        <v>0</v>
      </c>
      <c r="BG191" s="345" t="s">
        <v>2536</v>
      </c>
      <c r="BI191" s="319">
        <f t="shared" si="87"/>
        <v>0</v>
      </c>
      <c r="BJ191" s="319">
        <f t="shared" si="99"/>
        <v>0</v>
      </c>
      <c r="BK191" s="319">
        <f t="shared" si="99"/>
        <v>0</v>
      </c>
      <c r="BL191" s="319">
        <f t="shared" si="99"/>
        <v>0</v>
      </c>
      <c r="BM191" s="319">
        <f t="shared" si="99"/>
        <v>0</v>
      </c>
      <c r="BN191" s="319">
        <f t="shared" si="99"/>
        <v>0</v>
      </c>
      <c r="BO191" s="319">
        <f t="shared" si="99"/>
        <v>0</v>
      </c>
      <c r="BP191" s="319">
        <f t="shared" si="99"/>
        <v>0</v>
      </c>
      <c r="BQ191" s="319">
        <f t="shared" si="99"/>
        <v>0</v>
      </c>
      <c r="BR191" s="319">
        <f t="shared" si="99"/>
        <v>0</v>
      </c>
      <c r="BS191" s="319">
        <f t="shared" si="99"/>
        <v>0</v>
      </c>
      <c r="BT191" s="319">
        <f t="shared" si="99"/>
        <v>0</v>
      </c>
      <c r="BU191" s="319">
        <f t="shared" si="99"/>
        <v>0</v>
      </c>
      <c r="BV191" s="319">
        <f t="shared" si="99"/>
        <v>0</v>
      </c>
      <c r="BW191" s="319">
        <f t="shared" si="99"/>
        <v>0</v>
      </c>
      <c r="BX191" s="319">
        <f t="shared" si="99"/>
        <v>0</v>
      </c>
      <c r="BY191" s="319">
        <f t="shared" si="99"/>
        <v>0</v>
      </c>
      <c r="BZ191" s="319">
        <f t="shared" si="99"/>
        <v>0</v>
      </c>
      <c r="CA191" s="319">
        <f t="shared" si="99"/>
        <v>0</v>
      </c>
      <c r="CB191" s="319">
        <f t="shared" si="99"/>
        <v>0</v>
      </c>
      <c r="CC191" s="319">
        <f t="shared" si="99"/>
        <v>0</v>
      </c>
      <c r="CD191" s="319">
        <f t="shared" si="99"/>
        <v>0</v>
      </c>
      <c r="CE191" s="319">
        <f t="shared" si="99"/>
        <v>0</v>
      </c>
      <c r="CF191" s="319">
        <f t="shared" si="99"/>
        <v>0</v>
      </c>
      <c r="CG191" s="319">
        <f t="shared" si="99"/>
        <v>0</v>
      </c>
      <c r="CH191" s="319">
        <f t="shared" si="99"/>
        <v>0</v>
      </c>
      <c r="CI191" s="319">
        <f t="shared" si="99"/>
        <v>0</v>
      </c>
      <c r="CJ191" s="319">
        <f t="shared" si="99"/>
        <v>0</v>
      </c>
      <c r="CK191" s="319">
        <f t="shared" si="99"/>
        <v>0</v>
      </c>
      <c r="CL191" s="319">
        <f t="shared" si="99"/>
        <v>0</v>
      </c>
      <c r="CM191" s="319">
        <f t="shared" si="99"/>
        <v>0</v>
      </c>
      <c r="CN191" s="319">
        <f t="shared" si="99"/>
        <v>0</v>
      </c>
      <c r="CO191" s="319">
        <f t="shared" si="99"/>
        <v>0</v>
      </c>
      <c r="CP191" s="319">
        <f t="shared" si="99"/>
        <v>0</v>
      </c>
      <c r="CQ191" s="319">
        <f t="shared" si="99"/>
        <v>0</v>
      </c>
      <c r="CR191" s="319">
        <f t="shared" si="99"/>
        <v>0</v>
      </c>
      <c r="CS191" s="319">
        <f t="shared" si="99"/>
        <v>0</v>
      </c>
      <c r="CT191" s="319">
        <f t="shared" si="99"/>
        <v>0</v>
      </c>
      <c r="CU191" s="319">
        <f t="shared" si="99"/>
        <v>0</v>
      </c>
      <c r="CV191" s="319">
        <f t="shared" si="99"/>
        <v>0</v>
      </c>
    </row>
    <row r="192" spans="1:100" ht="15.75" thickBot="1" x14ac:dyDescent="0.3">
      <c r="A192" s="319">
        <f t="shared" si="86"/>
        <v>0</v>
      </c>
      <c r="B192" s="319">
        <f t="shared" si="90"/>
        <v>0</v>
      </c>
      <c r="C192" s="330" t="s">
        <v>1097</v>
      </c>
      <c r="D192" s="331" t="s">
        <v>362</v>
      </c>
      <c r="E192" s="331">
        <v>1</v>
      </c>
      <c r="F192" s="331" t="str">
        <f>IF(E192&lt;CharacterSheet!$V$34,"Yes","No")</f>
        <v>Yes</v>
      </c>
      <c r="G192" s="563" t="s">
        <v>347</v>
      </c>
      <c r="H192" s="333" t="str">
        <f>IF(C192="","",VLOOKUP(C192,Boonref2!A:B,2,FALSE))</f>
        <v>No</v>
      </c>
      <c r="I192" s="333"/>
      <c r="J192" s="333" t="str">
        <f>VLOOKUP(C192,BoonRef!A:Z,17,FALSE)</f>
        <v>Yes</v>
      </c>
      <c r="K192" s="333" t="str">
        <f>IF(J192="God",'House Rules'!$B$2,IF(J192="Demi",'House Rules'!$B$1,IF(J192="Comp",'House Rules'!$B$4,IF(J192="Yaz",'House Rules'!$B$5,IF(J192="Rag",'House Rules'!$B$3,"Available")))))</f>
        <v>Available</v>
      </c>
      <c r="L192" s="333"/>
      <c r="M192" s="333"/>
      <c r="BF192" s="319">
        <f t="shared" si="97"/>
        <v>0</v>
      </c>
      <c r="BG192" s="355" t="s">
        <v>2537</v>
      </c>
      <c r="BI192" s="319">
        <f t="shared" si="87"/>
        <v>0</v>
      </c>
      <c r="BJ192" s="319">
        <f t="shared" si="99"/>
        <v>0</v>
      </c>
      <c r="BK192" s="319">
        <f t="shared" si="99"/>
        <v>0</v>
      </c>
      <c r="BL192" s="319">
        <f t="shared" si="99"/>
        <v>0</v>
      </c>
      <c r="BM192" s="319">
        <f t="shared" si="99"/>
        <v>0</v>
      </c>
      <c r="BN192" s="319">
        <f t="shared" si="99"/>
        <v>0</v>
      </c>
      <c r="BO192" s="319">
        <f t="shared" si="99"/>
        <v>0</v>
      </c>
      <c r="BP192" s="319">
        <f t="shared" si="99"/>
        <v>0</v>
      </c>
      <c r="BQ192" s="319">
        <f t="shared" si="99"/>
        <v>0</v>
      </c>
      <c r="BR192" s="319">
        <f t="shared" si="99"/>
        <v>0</v>
      </c>
      <c r="BS192" s="319">
        <f t="shared" si="99"/>
        <v>0</v>
      </c>
      <c r="BT192" s="319">
        <f t="shared" si="99"/>
        <v>0</v>
      </c>
      <c r="BU192" s="319">
        <f t="shared" si="99"/>
        <v>0</v>
      </c>
      <c r="BV192" s="319">
        <f t="shared" si="99"/>
        <v>0</v>
      </c>
      <c r="BW192" s="319">
        <f t="shared" si="99"/>
        <v>0</v>
      </c>
      <c r="BX192" s="319">
        <f t="shared" si="99"/>
        <v>0</v>
      </c>
      <c r="BY192" s="319">
        <f t="shared" si="99"/>
        <v>0</v>
      </c>
      <c r="BZ192" s="319">
        <f t="shared" si="99"/>
        <v>0</v>
      </c>
      <c r="CA192" s="319">
        <f t="shared" si="99"/>
        <v>0</v>
      </c>
      <c r="CB192" s="319">
        <f t="shared" si="99"/>
        <v>0</v>
      </c>
      <c r="CC192" s="319">
        <f t="shared" si="99"/>
        <v>0</v>
      </c>
      <c r="CD192" s="319">
        <f t="shared" si="99"/>
        <v>0</v>
      </c>
      <c r="CE192" s="319">
        <f t="shared" si="99"/>
        <v>0</v>
      </c>
      <c r="CF192" s="319">
        <f t="shared" si="99"/>
        <v>0</v>
      </c>
      <c r="CG192" s="319">
        <f t="shared" si="99"/>
        <v>0</v>
      </c>
      <c r="CH192" s="319">
        <f t="shared" si="99"/>
        <v>0</v>
      </c>
      <c r="CI192" s="319">
        <f t="shared" si="99"/>
        <v>0</v>
      </c>
      <c r="CJ192" s="319">
        <f t="shared" si="99"/>
        <v>0</v>
      </c>
      <c r="CK192" s="319">
        <f t="shared" si="99"/>
        <v>0</v>
      </c>
      <c r="CL192" s="319">
        <f t="shared" si="99"/>
        <v>0</v>
      </c>
      <c r="CM192" s="319">
        <f t="shared" si="99"/>
        <v>0</v>
      </c>
      <c r="CN192" s="319">
        <f t="shared" ref="BJ192:CV199" si="100">IF(AND($D192=CN$1,$G192="Yes"),$E192,0)</f>
        <v>0</v>
      </c>
      <c r="CO192" s="319">
        <f t="shared" si="100"/>
        <v>0</v>
      </c>
      <c r="CP192" s="319">
        <f t="shared" si="100"/>
        <v>0</v>
      </c>
      <c r="CQ192" s="319">
        <f t="shared" si="100"/>
        <v>0</v>
      </c>
      <c r="CR192" s="319">
        <f t="shared" si="100"/>
        <v>0</v>
      </c>
      <c r="CS192" s="319">
        <f t="shared" si="100"/>
        <v>0</v>
      </c>
      <c r="CT192" s="319">
        <f t="shared" si="100"/>
        <v>0</v>
      </c>
      <c r="CU192" s="319">
        <f t="shared" si="100"/>
        <v>0</v>
      </c>
      <c r="CV192" s="319">
        <f t="shared" si="100"/>
        <v>0</v>
      </c>
    </row>
    <row r="193" spans="1:100" x14ac:dyDescent="0.25">
      <c r="A193" s="319">
        <f t="shared" si="86"/>
        <v>0</v>
      </c>
      <c r="B193" s="319">
        <f t="shared" si="90"/>
        <v>0</v>
      </c>
      <c r="C193" s="566" t="s">
        <v>3599</v>
      </c>
      <c r="D193" s="341" t="s">
        <v>362</v>
      </c>
      <c r="E193" s="341">
        <v>2</v>
      </c>
      <c r="F193" s="341" t="str">
        <f>IF(AND(E193&lt;CharacterSheet!$V$34,OR('House Rules'!$B$7="Standard",AND('House Rules'!$B$7="Ranked",G192="Yes"))),"Yes","No")</f>
        <v>No</v>
      </c>
      <c r="G193" s="564" t="s">
        <v>347</v>
      </c>
      <c r="H193" s="333" t="str">
        <f>IF(C193="","",VLOOKUP(C193,Boonref2!A:B,2,FALSE))</f>
        <v>Yes</v>
      </c>
      <c r="I193" s="333"/>
      <c r="J193" s="333" t="str">
        <f>VLOOKUP(C193,BoonRef!A:Z,17,FALSE)</f>
        <v>Yes</v>
      </c>
      <c r="K193" s="333" t="str">
        <f>IF(J193="God",'House Rules'!$B$2,IF(J193="Demi",'House Rules'!$B$1,IF(J193="Comp",'House Rules'!$B$4,IF(J193="Yaz",'House Rules'!$B$5,IF(J193="Rag",'House Rules'!$B$3,"Available")))))</f>
        <v>Available</v>
      </c>
      <c r="L193" s="333"/>
      <c r="M193" s="333"/>
      <c r="BF193" s="319">
        <f t="shared" si="97"/>
        <v>0</v>
      </c>
      <c r="BG193" s="336" t="s">
        <v>2538</v>
      </c>
      <c r="BI193" s="319">
        <f t="shared" si="87"/>
        <v>0</v>
      </c>
      <c r="BJ193" s="319">
        <f t="shared" si="100"/>
        <v>0</v>
      </c>
      <c r="BK193" s="319">
        <f t="shared" si="100"/>
        <v>0</v>
      </c>
      <c r="BL193" s="319">
        <f t="shared" si="100"/>
        <v>0</v>
      </c>
      <c r="BM193" s="319">
        <f t="shared" si="100"/>
        <v>0</v>
      </c>
      <c r="BN193" s="319">
        <f t="shared" si="100"/>
        <v>0</v>
      </c>
      <c r="BO193" s="319">
        <f t="shared" si="100"/>
        <v>0</v>
      </c>
      <c r="BP193" s="319">
        <f t="shared" si="100"/>
        <v>0</v>
      </c>
      <c r="BQ193" s="319">
        <f t="shared" si="100"/>
        <v>0</v>
      </c>
      <c r="BR193" s="319">
        <f t="shared" si="100"/>
        <v>0</v>
      </c>
      <c r="BS193" s="319">
        <f t="shared" si="100"/>
        <v>0</v>
      </c>
      <c r="BT193" s="319">
        <f t="shared" si="100"/>
        <v>0</v>
      </c>
      <c r="BU193" s="319">
        <f t="shared" si="100"/>
        <v>0</v>
      </c>
      <c r="BV193" s="319">
        <f t="shared" si="100"/>
        <v>0</v>
      </c>
      <c r="BW193" s="319">
        <f t="shared" si="100"/>
        <v>0</v>
      </c>
      <c r="BX193" s="319">
        <f t="shared" si="100"/>
        <v>0</v>
      </c>
      <c r="BY193" s="319">
        <f t="shared" si="100"/>
        <v>0</v>
      </c>
      <c r="BZ193" s="319">
        <f t="shared" si="100"/>
        <v>0</v>
      </c>
      <c r="CA193" s="319">
        <f t="shared" si="100"/>
        <v>0</v>
      </c>
      <c r="CB193" s="319">
        <f t="shared" si="100"/>
        <v>0</v>
      </c>
      <c r="CC193" s="319">
        <f t="shared" si="100"/>
        <v>0</v>
      </c>
      <c r="CD193" s="319">
        <f t="shared" si="100"/>
        <v>0</v>
      </c>
      <c r="CE193" s="319">
        <f t="shared" si="100"/>
        <v>0</v>
      </c>
      <c r="CF193" s="319">
        <f t="shared" si="100"/>
        <v>0</v>
      </c>
      <c r="CG193" s="319">
        <f t="shared" si="100"/>
        <v>0</v>
      </c>
      <c r="CH193" s="319">
        <f t="shared" si="100"/>
        <v>0</v>
      </c>
      <c r="CI193" s="319">
        <f t="shared" si="100"/>
        <v>0</v>
      </c>
      <c r="CJ193" s="319">
        <f t="shared" si="100"/>
        <v>0</v>
      </c>
      <c r="CK193" s="319">
        <f t="shared" si="100"/>
        <v>0</v>
      </c>
      <c r="CL193" s="319">
        <f t="shared" si="100"/>
        <v>0</v>
      </c>
      <c r="CM193" s="319">
        <f t="shared" si="100"/>
        <v>0</v>
      </c>
      <c r="CN193" s="319">
        <f t="shared" si="100"/>
        <v>0</v>
      </c>
      <c r="CO193" s="319">
        <f t="shared" si="100"/>
        <v>0</v>
      </c>
      <c r="CP193" s="319">
        <f t="shared" si="100"/>
        <v>0</v>
      </c>
      <c r="CQ193" s="319">
        <f t="shared" si="100"/>
        <v>0</v>
      </c>
      <c r="CR193" s="319">
        <f t="shared" si="100"/>
        <v>0</v>
      </c>
      <c r="CS193" s="319">
        <f t="shared" si="100"/>
        <v>0</v>
      </c>
      <c r="CT193" s="319">
        <f t="shared" si="100"/>
        <v>0</v>
      </c>
      <c r="CU193" s="319">
        <f t="shared" si="100"/>
        <v>0</v>
      </c>
      <c r="CV193" s="319">
        <f t="shared" si="100"/>
        <v>0</v>
      </c>
    </row>
    <row r="194" spans="1:100" x14ac:dyDescent="0.25">
      <c r="A194" s="319">
        <f t="shared" si="86"/>
        <v>0</v>
      </c>
      <c r="B194" s="319">
        <f t="shared" si="90"/>
        <v>0</v>
      </c>
      <c r="C194" s="340" t="s">
        <v>1099</v>
      </c>
      <c r="D194" s="341" t="s">
        <v>362</v>
      </c>
      <c r="E194" s="341">
        <v>3</v>
      </c>
      <c r="F194" s="341" t="str">
        <f>IF(AND(E194&lt;CharacterSheet!$V$34,OR('House Rules'!$B$7="Standard",AND('House Rules'!$B$7="Ranked",G193="Yes"))),"Yes","No")</f>
        <v>No</v>
      </c>
      <c r="G194" s="564" t="s">
        <v>347</v>
      </c>
      <c r="H194" s="333" t="str">
        <f>IF(C194="","",VLOOKUP(C194,Boonref2!A:B,2,FALSE))</f>
        <v>No</v>
      </c>
      <c r="I194" s="333"/>
      <c r="J194" s="333" t="str">
        <f>VLOOKUP(C194,BoonRef!A:Z,17,FALSE)</f>
        <v>Yes</v>
      </c>
      <c r="K194" s="333" t="str">
        <f>IF(J194="God",'House Rules'!$B$2,IF(J194="Demi",'House Rules'!$B$1,IF(J194="Comp",'House Rules'!$B$4,IF(J194="Yaz",'House Rules'!$B$5,IF(J194="Rag",'House Rules'!$B$3,"Available")))))</f>
        <v>Available</v>
      </c>
      <c r="L194" s="333"/>
      <c r="M194" s="333"/>
      <c r="BF194" s="319">
        <f t="shared" si="97"/>
        <v>0</v>
      </c>
      <c r="BG194" s="345" t="s">
        <v>2539</v>
      </c>
      <c r="BI194" s="319">
        <f t="shared" si="87"/>
        <v>0</v>
      </c>
      <c r="BJ194" s="319">
        <f t="shared" si="100"/>
        <v>0</v>
      </c>
      <c r="BK194" s="319">
        <f t="shared" si="100"/>
        <v>0</v>
      </c>
      <c r="BL194" s="319">
        <f t="shared" si="100"/>
        <v>0</v>
      </c>
      <c r="BM194" s="319">
        <f t="shared" si="100"/>
        <v>0</v>
      </c>
      <c r="BN194" s="319">
        <f t="shared" si="100"/>
        <v>0</v>
      </c>
      <c r="BO194" s="319">
        <f t="shared" si="100"/>
        <v>0</v>
      </c>
      <c r="BP194" s="319">
        <f t="shared" si="100"/>
        <v>0</v>
      </c>
      <c r="BQ194" s="319">
        <f t="shared" si="100"/>
        <v>0</v>
      </c>
      <c r="BR194" s="319">
        <f t="shared" si="100"/>
        <v>0</v>
      </c>
      <c r="BS194" s="319">
        <f t="shared" si="100"/>
        <v>0</v>
      </c>
      <c r="BT194" s="319">
        <f t="shared" si="100"/>
        <v>0</v>
      </c>
      <c r="BU194" s="319">
        <f t="shared" si="100"/>
        <v>0</v>
      </c>
      <c r="BV194" s="319">
        <f t="shared" si="100"/>
        <v>0</v>
      </c>
      <c r="BW194" s="319">
        <f t="shared" si="100"/>
        <v>0</v>
      </c>
      <c r="BX194" s="319">
        <f t="shared" si="100"/>
        <v>0</v>
      </c>
      <c r="BY194" s="319">
        <f t="shared" si="100"/>
        <v>0</v>
      </c>
      <c r="BZ194" s="319">
        <f t="shared" si="100"/>
        <v>0</v>
      </c>
      <c r="CA194" s="319">
        <f t="shared" si="100"/>
        <v>0</v>
      </c>
      <c r="CB194" s="319">
        <f t="shared" si="100"/>
        <v>0</v>
      </c>
      <c r="CC194" s="319">
        <f t="shared" si="100"/>
        <v>0</v>
      </c>
      <c r="CD194" s="319">
        <f t="shared" si="100"/>
        <v>0</v>
      </c>
      <c r="CE194" s="319">
        <f t="shared" si="100"/>
        <v>0</v>
      </c>
      <c r="CF194" s="319">
        <f t="shared" si="100"/>
        <v>0</v>
      </c>
      <c r="CG194" s="319">
        <f t="shared" si="100"/>
        <v>0</v>
      </c>
      <c r="CH194" s="319">
        <f t="shared" si="100"/>
        <v>0</v>
      </c>
      <c r="CI194" s="319">
        <f t="shared" si="100"/>
        <v>0</v>
      </c>
      <c r="CJ194" s="319">
        <f t="shared" si="100"/>
        <v>0</v>
      </c>
      <c r="CK194" s="319">
        <f t="shared" si="100"/>
        <v>0</v>
      </c>
      <c r="CL194" s="319">
        <f t="shared" si="100"/>
        <v>0</v>
      </c>
      <c r="CM194" s="319">
        <f t="shared" si="100"/>
        <v>0</v>
      </c>
      <c r="CN194" s="319">
        <f t="shared" si="100"/>
        <v>0</v>
      </c>
      <c r="CO194" s="319">
        <f t="shared" si="100"/>
        <v>0</v>
      </c>
      <c r="CP194" s="319">
        <f t="shared" si="100"/>
        <v>0</v>
      </c>
      <c r="CQ194" s="319">
        <f t="shared" si="100"/>
        <v>0</v>
      </c>
      <c r="CR194" s="319">
        <f t="shared" si="100"/>
        <v>0</v>
      </c>
      <c r="CS194" s="319">
        <f t="shared" si="100"/>
        <v>0</v>
      </c>
      <c r="CT194" s="319">
        <f t="shared" si="100"/>
        <v>0</v>
      </c>
      <c r="CU194" s="319">
        <f t="shared" si="100"/>
        <v>0</v>
      </c>
      <c r="CV194" s="319">
        <f t="shared" si="100"/>
        <v>0</v>
      </c>
    </row>
    <row r="195" spans="1:100" x14ac:dyDescent="0.25">
      <c r="A195" s="319">
        <f t="shared" ref="A195:A258" si="101">IF(AND(H195="Yes",G195="Yes"),A194+1,A194)</f>
        <v>0</v>
      </c>
      <c r="B195" s="319">
        <f t="shared" si="90"/>
        <v>0</v>
      </c>
      <c r="C195" s="340" t="s">
        <v>1187</v>
      </c>
      <c r="D195" s="341" t="s">
        <v>362</v>
      </c>
      <c r="E195" s="341">
        <v>4</v>
      </c>
      <c r="F195" s="341" t="str">
        <f>IF(AND(E195&lt;CharacterSheet!$V$34,'House Rules'!$B$1="Available",OR('House Rules'!$B$7="Standard",AND('House Rules'!$B$7="Ranked",G194="Yes"))),"Yes","No")</f>
        <v>No</v>
      </c>
      <c r="G195" s="564" t="s">
        <v>347</v>
      </c>
      <c r="H195" s="333" t="str">
        <f>IF(C195="","",VLOOKUP(C195,Boonref2!A:B,2,FALSE))</f>
        <v>No</v>
      </c>
      <c r="I195" s="333"/>
      <c r="J195" s="333" t="str">
        <f>VLOOKUP(C195,BoonRef!A:Z,17,FALSE)</f>
        <v>Yes</v>
      </c>
      <c r="K195" s="333" t="str">
        <f>IF(J195="God",'House Rules'!$B$2,IF(J195="Demi",'House Rules'!$B$1,IF(J195="Comp",'House Rules'!$B$4,IF(J195="Yaz",'House Rules'!$B$5,IF(J195="Rag",'House Rules'!$B$3,"Available")))))</f>
        <v>Available</v>
      </c>
      <c r="L195" s="333"/>
      <c r="M195" s="333"/>
      <c r="BF195" s="319">
        <f t="shared" si="97"/>
        <v>0</v>
      </c>
      <c r="BG195" s="345" t="s">
        <v>2540</v>
      </c>
      <c r="BI195" s="319">
        <f t="shared" ref="BI195:BX258" si="102">IF(AND($D195=BI$1,$G195="Yes"),$E195,0)</f>
        <v>0</v>
      </c>
      <c r="BJ195" s="319">
        <f t="shared" si="102"/>
        <v>0</v>
      </c>
      <c r="BK195" s="319">
        <f t="shared" si="102"/>
        <v>0</v>
      </c>
      <c r="BL195" s="319">
        <f t="shared" si="102"/>
        <v>0</v>
      </c>
      <c r="BM195" s="319">
        <f t="shared" si="102"/>
        <v>0</v>
      </c>
      <c r="BN195" s="319">
        <f t="shared" si="102"/>
        <v>0</v>
      </c>
      <c r="BO195" s="319">
        <f t="shared" si="102"/>
        <v>0</v>
      </c>
      <c r="BP195" s="319">
        <f t="shared" si="102"/>
        <v>0</v>
      </c>
      <c r="BQ195" s="319">
        <f t="shared" si="102"/>
        <v>0</v>
      </c>
      <c r="BR195" s="319">
        <f t="shared" si="102"/>
        <v>0</v>
      </c>
      <c r="BS195" s="319">
        <f t="shared" si="102"/>
        <v>0</v>
      </c>
      <c r="BT195" s="319">
        <f t="shared" si="102"/>
        <v>0</v>
      </c>
      <c r="BU195" s="319">
        <f t="shared" si="102"/>
        <v>0</v>
      </c>
      <c r="BV195" s="319">
        <f t="shared" si="102"/>
        <v>0</v>
      </c>
      <c r="BW195" s="319">
        <f t="shared" si="102"/>
        <v>0</v>
      </c>
      <c r="BX195" s="319">
        <f t="shared" si="102"/>
        <v>0</v>
      </c>
      <c r="BY195" s="319">
        <f t="shared" si="100"/>
        <v>0</v>
      </c>
      <c r="BZ195" s="319">
        <f t="shared" si="100"/>
        <v>0</v>
      </c>
      <c r="CA195" s="319">
        <f t="shared" si="100"/>
        <v>0</v>
      </c>
      <c r="CB195" s="319">
        <f t="shared" si="100"/>
        <v>0</v>
      </c>
      <c r="CC195" s="319">
        <f t="shared" si="100"/>
        <v>0</v>
      </c>
      <c r="CD195" s="319">
        <f t="shared" si="100"/>
        <v>0</v>
      </c>
      <c r="CE195" s="319">
        <f t="shared" si="100"/>
        <v>0</v>
      </c>
      <c r="CF195" s="319">
        <f t="shared" si="100"/>
        <v>0</v>
      </c>
      <c r="CG195" s="319">
        <f t="shared" si="100"/>
        <v>0</v>
      </c>
      <c r="CH195" s="319">
        <f t="shared" si="100"/>
        <v>0</v>
      </c>
      <c r="CI195" s="319">
        <f t="shared" si="100"/>
        <v>0</v>
      </c>
      <c r="CJ195" s="319">
        <f t="shared" si="100"/>
        <v>0</v>
      </c>
      <c r="CK195" s="319">
        <f t="shared" si="100"/>
        <v>0</v>
      </c>
      <c r="CL195" s="319">
        <f t="shared" si="100"/>
        <v>0</v>
      </c>
      <c r="CM195" s="319">
        <f t="shared" si="100"/>
        <v>0</v>
      </c>
      <c r="CN195" s="319">
        <f t="shared" si="100"/>
        <v>0</v>
      </c>
      <c r="CO195" s="319">
        <f t="shared" si="100"/>
        <v>0</v>
      </c>
      <c r="CP195" s="319">
        <f t="shared" si="100"/>
        <v>0</v>
      </c>
      <c r="CQ195" s="319">
        <f t="shared" si="100"/>
        <v>0</v>
      </c>
      <c r="CR195" s="319">
        <f t="shared" si="100"/>
        <v>0</v>
      </c>
      <c r="CS195" s="319">
        <f t="shared" si="100"/>
        <v>0</v>
      </c>
      <c r="CT195" s="319">
        <f t="shared" si="100"/>
        <v>0</v>
      </c>
      <c r="CU195" s="319">
        <f t="shared" si="100"/>
        <v>0</v>
      </c>
      <c r="CV195" s="319">
        <f t="shared" si="100"/>
        <v>0</v>
      </c>
    </row>
    <row r="196" spans="1:100" x14ac:dyDescent="0.25">
      <c r="A196" s="319">
        <f t="shared" si="101"/>
        <v>0</v>
      </c>
      <c r="B196" s="319">
        <f t="shared" si="90"/>
        <v>0</v>
      </c>
      <c r="C196" s="340" t="s">
        <v>1401</v>
      </c>
      <c r="D196" s="341" t="s">
        <v>362</v>
      </c>
      <c r="E196" s="341">
        <v>4</v>
      </c>
      <c r="F196" s="341" t="str">
        <f>IF(AND(E196&lt;CharacterSheet!$V$34,'House Rules'!$B$4="Available",OR('House Rules'!$B$7="Standard",AND('House Rules'!$B$7="Ranked",G194="Yes"))),"Yes","No")</f>
        <v>No</v>
      </c>
      <c r="G196" s="564" t="s">
        <v>347</v>
      </c>
      <c r="H196" s="333" t="str">
        <f>IF(C196="","",VLOOKUP(C196,Boonref2!A:B,2,FALSE))</f>
        <v>Yes</v>
      </c>
      <c r="I196" s="333"/>
      <c r="J196" s="333" t="str">
        <f>VLOOKUP(C196,BoonRef!A:Z,17,FALSE)</f>
        <v>Yes</v>
      </c>
      <c r="K196" s="333" t="str">
        <f>IF(J196="God",'House Rules'!$B$2,IF(J196="Demi",'House Rules'!$B$1,IF(J196="Comp",'House Rules'!$B$4,IF(J196="Yaz",'House Rules'!$B$5,IF(J196="Rag",'House Rules'!$B$3,"Available")))))</f>
        <v>Available</v>
      </c>
      <c r="L196" s="333"/>
      <c r="M196" s="333"/>
      <c r="BF196" s="319">
        <f t="shared" si="97"/>
        <v>0</v>
      </c>
      <c r="BG196" s="345" t="s">
        <v>2541</v>
      </c>
      <c r="BI196" s="319">
        <f t="shared" si="102"/>
        <v>0</v>
      </c>
      <c r="BJ196" s="319">
        <f t="shared" si="100"/>
        <v>0</v>
      </c>
      <c r="BK196" s="319">
        <f t="shared" si="100"/>
        <v>0</v>
      </c>
      <c r="BL196" s="319">
        <f t="shared" si="100"/>
        <v>0</v>
      </c>
      <c r="BM196" s="319">
        <f t="shared" si="100"/>
        <v>0</v>
      </c>
      <c r="BN196" s="319">
        <f t="shared" si="100"/>
        <v>0</v>
      </c>
      <c r="BO196" s="319">
        <f t="shared" si="100"/>
        <v>0</v>
      </c>
      <c r="BP196" s="319">
        <f t="shared" si="100"/>
        <v>0</v>
      </c>
      <c r="BQ196" s="319">
        <f t="shared" si="100"/>
        <v>0</v>
      </c>
      <c r="BR196" s="319">
        <f t="shared" si="100"/>
        <v>0</v>
      </c>
      <c r="BS196" s="319">
        <f t="shared" si="100"/>
        <v>0</v>
      </c>
      <c r="BT196" s="319">
        <f t="shared" si="100"/>
        <v>0</v>
      </c>
      <c r="BU196" s="319">
        <f t="shared" si="100"/>
        <v>0</v>
      </c>
      <c r="BV196" s="319">
        <f t="shared" si="100"/>
        <v>0</v>
      </c>
      <c r="BW196" s="319">
        <f t="shared" si="100"/>
        <v>0</v>
      </c>
      <c r="BX196" s="319">
        <f t="shared" si="100"/>
        <v>0</v>
      </c>
      <c r="BY196" s="319">
        <f t="shared" si="100"/>
        <v>0</v>
      </c>
      <c r="BZ196" s="319">
        <f t="shared" si="100"/>
        <v>0</v>
      </c>
      <c r="CA196" s="319">
        <f t="shared" si="100"/>
        <v>0</v>
      </c>
      <c r="CB196" s="319">
        <f t="shared" si="100"/>
        <v>0</v>
      </c>
      <c r="CC196" s="319">
        <f t="shared" si="100"/>
        <v>0</v>
      </c>
      <c r="CD196" s="319">
        <f t="shared" si="100"/>
        <v>0</v>
      </c>
      <c r="CE196" s="319">
        <f t="shared" si="100"/>
        <v>0</v>
      </c>
      <c r="CF196" s="319">
        <f t="shared" si="100"/>
        <v>0</v>
      </c>
      <c r="CG196" s="319">
        <f t="shared" si="100"/>
        <v>0</v>
      </c>
      <c r="CH196" s="319">
        <f t="shared" si="100"/>
        <v>0</v>
      </c>
      <c r="CI196" s="319">
        <f t="shared" si="100"/>
        <v>0</v>
      </c>
      <c r="CJ196" s="319">
        <f t="shared" si="100"/>
        <v>0</v>
      </c>
      <c r="CK196" s="319">
        <f t="shared" si="100"/>
        <v>0</v>
      </c>
      <c r="CL196" s="319">
        <f t="shared" si="100"/>
        <v>0</v>
      </c>
      <c r="CM196" s="319">
        <f t="shared" si="100"/>
        <v>0</v>
      </c>
      <c r="CN196" s="319">
        <f t="shared" si="100"/>
        <v>0</v>
      </c>
      <c r="CO196" s="319">
        <f t="shared" si="100"/>
        <v>0</v>
      </c>
      <c r="CP196" s="319">
        <f t="shared" si="100"/>
        <v>0</v>
      </c>
      <c r="CQ196" s="319">
        <f t="shared" si="100"/>
        <v>0</v>
      </c>
      <c r="CR196" s="319">
        <f t="shared" si="100"/>
        <v>0</v>
      </c>
      <c r="CS196" s="319">
        <f t="shared" si="100"/>
        <v>0</v>
      </c>
      <c r="CT196" s="319">
        <f t="shared" si="100"/>
        <v>0</v>
      </c>
      <c r="CU196" s="319">
        <f t="shared" si="100"/>
        <v>0</v>
      </c>
      <c r="CV196" s="319">
        <f t="shared" si="100"/>
        <v>0</v>
      </c>
    </row>
    <row r="197" spans="1:100" x14ac:dyDescent="0.25">
      <c r="A197" s="319">
        <f t="shared" si="101"/>
        <v>0</v>
      </c>
      <c r="B197" s="319">
        <f t="shared" si="90"/>
        <v>0</v>
      </c>
      <c r="C197" s="340" t="s">
        <v>1441</v>
      </c>
      <c r="D197" s="341" t="s">
        <v>362</v>
      </c>
      <c r="E197" s="341">
        <v>5</v>
      </c>
      <c r="F197" s="341" t="str">
        <f>IF(AND(E197&lt;CharacterSheet!$V$34,'House Rules'!$B$4="Available",OR('House Rules'!$B$7="Standard",AND('House Rules'!$B$7="Ranked",OR(G196="Yes",G195="Yes")))),"Yes","No")</f>
        <v>No</v>
      </c>
      <c r="G197" s="564" t="s">
        <v>347</v>
      </c>
      <c r="H197" s="333" t="str">
        <f>IF(C197="","",VLOOKUP(C197,Boonref2!A:B,2,FALSE))</f>
        <v>Yes</v>
      </c>
      <c r="I197" s="333"/>
      <c r="J197" s="333" t="str">
        <f>VLOOKUP(C197,BoonRef!A:Z,17,FALSE)</f>
        <v>Yes</v>
      </c>
      <c r="K197" s="333" t="str">
        <f>IF(J197="God",'House Rules'!$B$2,IF(J197="Demi",'House Rules'!$B$1,IF(J197="Comp",'House Rules'!$B$4,IF(J197="Yaz",'House Rules'!$B$5,IF(J197="Rag",'House Rules'!$B$3,"Available")))))</f>
        <v>Available</v>
      </c>
      <c r="L197" s="333"/>
      <c r="M197" s="333"/>
      <c r="BF197" s="319">
        <f t="shared" si="97"/>
        <v>0</v>
      </c>
      <c r="BG197" s="345" t="s">
        <v>2542</v>
      </c>
      <c r="BI197" s="319">
        <f t="shared" si="102"/>
        <v>0</v>
      </c>
      <c r="BJ197" s="319">
        <f t="shared" si="100"/>
        <v>0</v>
      </c>
      <c r="BK197" s="319">
        <f t="shared" si="100"/>
        <v>0</v>
      </c>
      <c r="BL197" s="319">
        <f t="shared" si="100"/>
        <v>0</v>
      </c>
      <c r="BM197" s="319">
        <f t="shared" si="100"/>
        <v>0</v>
      </c>
      <c r="BN197" s="319">
        <f t="shared" si="100"/>
        <v>0</v>
      </c>
      <c r="BO197" s="319">
        <f t="shared" si="100"/>
        <v>0</v>
      </c>
      <c r="BP197" s="319">
        <f t="shared" si="100"/>
        <v>0</v>
      </c>
      <c r="BQ197" s="319">
        <f t="shared" si="100"/>
        <v>0</v>
      </c>
      <c r="BR197" s="319">
        <f t="shared" si="100"/>
        <v>0</v>
      </c>
      <c r="BS197" s="319">
        <f t="shared" si="100"/>
        <v>0</v>
      </c>
      <c r="BT197" s="319">
        <f t="shared" si="100"/>
        <v>0</v>
      </c>
      <c r="BU197" s="319">
        <f t="shared" si="100"/>
        <v>0</v>
      </c>
      <c r="BV197" s="319">
        <f t="shared" si="100"/>
        <v>0</v>
      </c>
      <c r="BW197" s="319">
        <f t="shared" si="100"/>
        <v>0</v>
      </c>
      <c r="BX197" s="319">
        <f t="shared" si="100"/>
        <v>0</v>
      </c>
      <c r="BY197" s="319">
        <f t="shared" si="100"/>
        <v>0</v>
      </c>
      <c r="BZ197" s="319">
        <f t="shared" si="100"/>
        <v>0</v>
      </c>
      <c r="CA197" s="319">
        <f t="shared" si="100"/>
        <v>0</v>
      </c>
      <c r="CB197" s="319">
        <f t="shared" si="100"/>
        <v>0</v>
      </c>
      <c r="CC197" s="319">
        <f t="shared" si="100"/>
        <v>0</v>
      </c>
      <c r="CD197" s="319">
        <f t="shared" si="100"/>
        <v>0</v>
      </c>
      <c r="CE197" s="319">
        <f t="shared" si="100"/>
        <v>0</v>
      </c>
      <c r="CF197" s="319">
        <f t="shared" si="100"/>
        <v>0</v>
      </c>
      <c r="CG197" s="319">
        <f t="shared" si="100"/>
        <v>0</v>
      </c>
      <c r="CH197" s="319">
        <f t="shared" si="100"/>
        <v>0</v>
      </c>
      <c r="CI197" s="319">
        <f t="shared" si="100"/>
        <v>0</v>
      </c>
      <c r="CJ197" s="319">
        <f t="shared" si="100"/>
        <v>0</v>
      </c>
      <c r="CK197" s="319">
        <f t="shared" si="100"/>
        <v>0</v>
      </c>
      <c r="CL197" s="319">
        <f t="shared" si="100"/>
        <v>0</v>
      </c>
      <c r="CM197" s="319">
        <f t="shared" si="100"/>
        <v>0</v>
      </c>
      <c r="CN197" s="319">
        <f t="shared" si="100"/>
        <v>0</v>
      </c>
      <c r="CO197" s="319">
        <f t="shared" si="100"/>
        <v>0</v>
      </c>
      <c r="CP197" s="319">
        <f t="shared" si="100"/>
        <v>0</v>
      </c>
      <c r="CQ197" s="319">
        <f t="shared" si="100"/>
        <v>0</v>
      </c>
      <c r="CR197" s="319">
        <f t="shared" si="100"/>
        <v>0</v>
      </c>
      <c r="CS197" s="319">
        <f t="shared" si="100"/>
        <v>0</v>
      </c>
      <c r="CT197" s="319">
        <f t="shared" si="100"/>
        <v>0</v>
      </c>
      <c r="CU197" s="319">
        <f t="shared" si="100"/>
        <v>0</v>
      </c>
      <c r="CV197" s="319">
        <f t="shared" si="100"/>
        <v>0</v>
      </c>
    </row>
    <row r="198" spans="1:100" x14ac:dyDescent="0.25">
      <c r="A198" s="319">
        <f t="shared" si="101"/>
        <v>0</v>
      </c>
      <c r="B198" s="319">
        <f t="shared" si="90"/>
        <v>0</v>
      </c>
      <c r="C198" s="340" t="s">
        <v>1188</v>
      </c>
      <c r="D198" s="341" t="s">
        <v>362</v>
      </c>
      <c r="E198" s="341">
        <v>5</v>
      </c>
      <c r="F198" s="341" t="str">
        <f>IF(AND(E198&lt;CharacterSheet!$V$34,'House Rules'!$B$1="Available",OR('House Rules'!$B$7="Standard",AND('House Rules'!$B$7="Ranked",OR(G196="Yes",G195="Yes")))),"Yes","No")</f>
        <v>No</v>
      </c>
      <c r="G198" s="564" t="s">
        <v>347</v>
      </c>
      <c r="H198" s="333" t="str">
        <f>IF(C198="","",VLOOKUP(C198,Boonref2!A:B,2,FALSE))</f>
        <v>Yes</v>
      </c>
      <c r="I198" s="333"/>
      <c r="J198" s="333" t="str">
        <f>VLOOKUP(C198,BoonRef!A:Z,17,FALSE)</f>
        <v>Yes</v>
      </c>
      <c r="K198" s="333" t="str">
        <f>IF(J198="God",'House Rules'!$B$2,IF(J198="Demi",'House Rules'!$B$1,IF(J198="Comp",'House Rules'!$B$4,IF(J198="Yaz",'House Rules'!$B$5,IF(J198="Rag",'House Rules'!$B$3,"Available")))))</f>
        <v>Available</v>
      </c>
      <c r="L198" s="333"/>
      <c r="M198" s="333"/>
      <c r="BF198" s="319">
        <f t="shared" si="97"/>
        <v>0</v>
      </c>
      <c r="BG198" s="345" t="s">
        <v>2543</v>
      </c>
      <c r="BI198" s="319">
        <f t="shared" si="102"/>
        <v>0</v>
      </c>
      <c r="BJ198" s="319">
        <f t="shared" si="100"/>
        <v>0</v>
      </c>
      <c r="BK198" s="319">
        <f t="shared" si="100"/>
        <v>0</v>
      </c>
      <c r="BL198" s="319">
        <f t="shared" si="100"/>
        <v>0</v>
      </c>
      <c r="BM198" s="319">
        <f t="shared" si="100"/>
        <v>0</v>
      </c>
      <c r="BN198" s="319">
        <f t="shared" si="100"/>
        <v>0</v>
      </c>
      <c r="BO198" s="319">
        <f t="shared" si="100"/>
        <v>0</v>
      </c>
      <c r="BP198" s="319">
        <f t="shared" si="100"/>
        <v>0</v>
      </c>
      <c r="BQ198" s="319">
        <f t="shared" si="100"/>
        <v>0</v>
      </c>
      <c r="BR198" s="319">
        <f t="shared" si="100"/>
        <v>0</v>
      </c>
      <c r="BS198" s="319">
        <f t="shared" si="100"/>
        <v>0</v>
      </c>
      <c r="BT198" s="319">
        <f t="shared" si="100"/>
        <v>0</v>
      </c>
      <c r="BU198" s="319">
        <f t="shared" si="100"/>
        <v>0</v>
      </c>
      <c r="BV198" s="319">
        <f t="shared" si="100"/>
        <v>0</v>
      </c>
      <c r="BW198" s="319">
        <f t="shared" si="100"/>
        <v>0</v>
      </c>
      <c r="BX198" s="319">
        <f t="shared" si="100"/>
        <v>0</v>
      </c>
      <c r="BY198" s="319">
        <f t="shared" si="100"/>
        <v>0</v>
      </c>
      <c r="BZ198" s="319">
        <f t="shared" si="100"/>
        <v>0</v>
      </c>
      <c r="CA198" s="319">
        <f t="shared" si="100"/>
        <v>0</v>
      </c>
      <c r="CB198" s="319">
        <f t="shared" si="100"/>
        <v>0</v>
      </c>
      <c r="CC198" s="319">
        <f t="shared" si="100"/>
        <v>0</v>
      </c>
      <c r="CD198" s="319">
        <f t="shared" si="100"/>
        <v>0</v>
      </c>
      <c r="CE198" s="319">
        <f t="shared" si="100"/>
        <v>0</v>
      </c>
      <c r="CF198" s="319">
        <f t="shared" si="100"/>
        <v>0</v>
      </c>
      <c r="CG198" s="319">
        <f t="shared" si="100"/>
        <v>0</v>
      </c>
      <c r="CH198" s="319">
        <f t="shared" si="100"/>
        <v>0</v>
      </c>
      <c r="CI198" s="319">
        <f t="shared" si="100"/>
        <v>0</v>
      </c>
      <c r="CJ198" s="319">
        <f t="shared" si="100"/>
        <v>0</v>
      </c>
      <c r="CK198" s="319">
        <f t="shared" si="100"/>
        <v>0</v>
      </c>
      <c r="CL198" s="319">
        <f t="shared" si="100"/>
        <v>0</v>
      </c>
      <c r="CM198" s="319">
        <f t="shared" si="100"/>
        <v>0</v>
      </c>
      <c r="CN198" s="319">
        <f t="shared" si="100"/>
        <v>0</v>
      </c>
      <c r="CO198" s="319">
        <f t="shared" si="100"/>
        <v>0</v>
      </c>
      <c r="CP198" s="319">
        <f t="shared" si="100"/>
        <v>0</v>
      </c>
      <c r="CQ198" s="319">
        <f t="shared" si="100"/>
        <v>0</v>
      </c>
      <c r="CR198" s="319">
        <f t="shared" si="100"/>
        <v>0</v>
      </c>
      <c r="CS198" s="319">
        <f t="shared" si="100"/>
        <v>0</v>
      </c>
      <c r="CT198" s="319">
        <f t="shared" si="100"/>
        <v>0</v>
      </c>
      <c r="CU198" s="319">
        <f t="shared" si="100"/>
        <v>0</v>
      </c>
      <c r="CV198" s="319">
        <f t="shared" si="100"/>
        <v>0</v>
      </c>
    </row>
    <row r="199" spans="1:100" x14ac:dyDescent="0.25">
      <c r="A199" s="319">
        <f t="shared" si="101"/>
        <v>0</v>
      </c>
      <c r="B199" s="319">
        <f t="shared" si="90"/>
        <v>0</v>
      </c>
      <c r="C199" s="340" t="s">
        <v>1402</v>
      </c>
      <c r="D199" s="341" t="s">
        <v>362</v>
      </c>
      <c r="E199" s="341">
        <v>6</v>
      </c>
      <c r="F199" s="341" t="str">
        <f>IF(AND(E199&lt;CharacterSheet!$V$34,'House Rules'!$B$4="Available",OR('House Rules'!$B$7="Standard",AND('House Rules'!$B$7="Ranked",OR(G197="Yes",G198="Yes")))),"Yes","No")</f>
        <v>No</v>
      </c>
      <c r="G199" s="564" t="s">
        <v>347</v>
      </c>
      <c r="H199" s="333" t="str">
        <f>IF(C199="","",VLOOKUP(C199,Boonref2!A:B,2,FALSE))</f>
        <v>Yes</v>
      </c>
      <c r="I199" s="333"/>
      <c r="J199" s="333" t="str">
        <f>VLOOKUP(C199,BoonRef!A:Z,17,FALSE)</f>
        <v>Yes</v>
      </c>
      <c r="K199" s="333" t="str">
        <f>IF(J199="God",'House Rules'!$B$2,IF(J199="Demi",'House Rules'!$B$1,IF(J199="Comp",'House Rules'!$B$4,IF(J199="Yaz",'House Rules'!$B$5,IF(J199="Rag",'House Rules'!$B$3,"Available")))))</f>
        <v>Available</v>
      </c>
      <c r="L199" s="333"/>
      <c r="M199" s="333"/>
      <c r="BF199" s="319">
        <f t="shared" si="97"/>
        <v>0</v>
      </c>
      <c r="BG199" s="345" t="s">
        <v>2544</v>
      </c>
      <c r="BI199" s="319">
        <f t="shared" si="102"/>
        <v>0</v>
      </c>
      <c r="BJ199" s="319">
        <f t="shared" si="100"/>
        <v>0</v>
      </c>
      <c r="BK199" s="319">
        <f t="shared" si="100"/>
        <v>0</v>
      </c>
      <c r="BL199" s="319">
        <f t="shared" si="100"/>
        <v>0</v>
      </c>
      <c r="BM199" s="319">
        <f t="shared" si="100"/>
        <v>0</v>
      </c>
      <c r="BN199" s="319">
        <f t="shared" si="100"/>
        <v>0</v>
      </c>
      <c r="BO199" s="319">
        <f t="shared" si="100"/>
        <v>0</v>
      </c>
      <c r="BP199" s="319">
        <f t="shared" si="100"/>
        <v>0</v>
      </c>
      <c r="BQ199" s="319">
        <f t="shared" si="100"/>
        <v>0</v>
      </c>
      <c r="BR199" s="319">
        <f t="shared" si="100"/>
        <v>0</v>
      </c>
      <c r="BS199" s="319">
        <f t="shared" si="100"/>
        <v>0</v>
      </c>
      <c r="BT199" s="319">
        <f t="shared" si="100"/>
        <v>0</v>
      </c>
      <c r="BU199" s="319">
        <f t="shared" si="100"/>
        <v>0</v>
      </c>
      <c r="BV199" s="319">
        <f t="shared" si="100"/>
        <v>0</v>
      </c>
      <c r="BW199" s="319">
        <f t="shared" si="100"/>
        <v>0</v>
      </c>
      <c r="BX199" s="319">
        <f t="shared" si="100"/>
        <v>0</v>
      </c>
      <c r="BY199" s="319">
        <f t="shared" si="100"/>
        <v>0</v>
      </c>
      <c r="BZ199" s="319">
        <f t="shared" si="100"/>
        <v>0</v>
      </c>
      <c r="CA199" s="319">
        <f t="shared" si="100"/>
        <v>0</v>
      </c>
      <c r="CB199" s="319">
        <f t="shared" si="100"/>
        <v>0</v>
      </c>
      <c r="CC199" s="319">
        <f t="shared" si="100"/>
        <v>0</v>
      </c>
      <c r="CD199" s="319">
        <f t="shared" si="100"/>
        <v>0</v>
      </c>
      <c r="CE199" s="319">
        <f t="shared" si="100"/>
        <v>0</v>
      </c>
      <c r="CF199" s="319">
        <f t="shared" si="100"/>
        <v>0</v>
      </c>
      <c r="CG199" s="319">
        <f t="shared" si="100"/>
        <v>0</v>
      </c>
      <c r="CH199" s="319">
        <f t="shared" si="100"/>
        <v>0</v>
      </c>
      <c r="CI199" s="319">
        <f t="shared" si="100"/>
        <v>0</v>
      </c>
      <c r="CJ199" s="319">
        <f t="shared" si="100"/>
        <v>0</v>
      </c>
      <c r="CK199" s="319">
        <f t="shared" ref="BJ199:CV206" si="103">IF(AND($D199=CK$1,$G199="Yes"),$E199,0)</f>
        <v>0</v>
      </c>
      <c r="CL199" s="319">
        <f t="shared" si="103"/>
        <v>0</v>
      </c>
      <c r="CM199" s="319">
        <f t="shared" si="103"/>
        <v>0</v>
      </c>
      <c r="CN199" s="319">
        <f t="shared" si="103"/>
        <v>0</v>
      </c>
      <c r="CO199" s="319">
        <f t="shared" si="103"/>
        <v>0</v>
      </c>
      <c r="CP199" s="319">
        <f t="shared" si="103"/>
        <v>0</v>
      </c>
      <c r="CQ199" s="319">
        <f t="shared" si="103"/>
        <v>0</v>
      </c>
      <c r="CR199" s="319">
        <f t="shared" si="103"/>
        <v>0</v>
      </c>
      <c r="CS199" s="319">
        <f t="shared" si="103"/>
        <v>0</v>
      </c>
      <c r="CT199" s="319">
        <f t="shared" si="103"/>
        <v>0</v>
      </c>
      <c r="CU199" s="319">
        <f t="shared" si="103"/>
        <v>0</v>
      </c>
      <c r="CV199" s="319">
        <f t="shared" si="103"/>
        <v>0</v>
      </c>
    </row>
    <row r="200" spans="1:100" x14ac:dyDescent="0.25">
      <c r="A200" s="319">
        <f t="shared" si="101"/>
        <v>0</v>
      </c>
      <c r="B200" s="319">
        <f t="shared" si="90"/>
        <v>0</v>
      </c>
      <c r="C200" s="340" t="s">
        <v>1189</v>
      </c>
      <c r="D200" s="341" t="s">
        <v>362</v>
      </c>
      <c r="E200" s="341">
        <v>6</v>
      </c>
      <c r="F200" s="341" t="str">
        <f>IF(AND(E200&lt;CharacterSheet!$V$34,'House Rules'!$B$1="Available",OR('House Rules'!$B$7="Standard",AND('House Rules'!$B$7="Ranked",OR(G197="Yes",G198="Yes")))),"Yes","No")</f>
        <v>No</v>
      </c>
      <c r="G200" s="564" t="s">
        <v>347</v>
      </c>
      <c r="H200" s="333" t="str">
        <f>IF(C200="","",VLOOKUP(C200,Boonref2!A:B,2,FALSE))</f>
        <v>No</v>
      </c>
      <c r="I200" s="333"/>
      <c r="J200" s="333" t="str">
        <f>VLOOKUP(C200,BoonRef!A:Z,17,FALSE)</f>
        <v>Yes</v>
      </c>
      <c r="K200" s="333" t="str">
        <f>IF(J200="God",'House Rules'!$B$2,IF(J200="Demi",'House Rules'!$B$1,IF(J200="Comp",'House Rules'!$B$4,IF(J200="Yaz",'House Rules'!$B$5,IF(J200="Rag",'House Rules'!$B$3,"Available")))))</f>
        <v>Available</v>
      </c>
      <c r="L200" s="333"/>
      <c r="M200" s="333"/>
      <c r="BF200" s="319">
        <f t="shared" si="97"/>
        <v>0</v>
      </c>
      <c r="BG200" s="345" t="s">
        <v>2545</v>
      </c>
      <c r="BI200" s="319">
        <f t="shared" si="102"/>
        <v>0</v>
      </c>
      <c r="BJ200" s="319">
        <f t="shared" si="103"/>
        <v>0</v>
      </c>
      <c r="BK200" s="319">
        <f t="shared" si="103"/>
        <v>0</v>
      </c>
      <c r="BL200" s="319">
        <f t="shared" si="103"/>
        <v>0</v>
      </c>
      <c r="BM200" s="319">
        <f t="shared" si="103"/>
        <v>0</v>
      </c>
      <c r="BN200" s="319">
        <f t="shared" si="103"/>
        <v>0</v>
      </c>
      <c r="BO200" s="319">
        <f t="shared" si="103"/>
        <v>0</v>
      </c>
      <c r="BP200" s="319">
        <f t="shared" si="103"/>
        <v>0</v>
      </c>
      <c r="BQ200" s="319">
        <f t="shared" si="103"/>
        <v>0</v>
      </c>
      <c r="BR200" s="319">
        <f t="shared" si="103"/>
        <v>0</v>
      </c>
      <c r="BS200" s="319">
        <f t="shared" si="103"/>
        <v>0</v>
      </c>
      <c r="BT200" s="319">
        <f t="shared" si="103"/>
        <v>0</v>
      </c>
      <c r="BU200" s="319">
        <f t="shared" si="103"/>
        <v>0</v>
      </c>
      <c r="BV200" s="319">
        <f t="shared" si="103"/>
        <v>0</v>
      </c>
      <c r="BW200" s="319">
        <f t="shared" si="103"/>
        <v>0</v>
      </c>
      <c r="BX200" s="319">
        <f t="shared" si="103"/>
        <v>0</v>
      </c>
      <c r="BY200" s="319">
        <f t="shared" si="103"/>
        <v>0</v>
      </c>
      <c r="BZ200" s="319">
        <f t="shared" si="103"/>
        <v>0</v>
      </c>
      <c r="CA200" s="319">
        <f t="shared" si="103"/>
        <v>0</v>
      </c>
      <c r="CB200" s="319">
        <f t="shared" si="103"/>
        <v>0</v>
      </c>
      <c r="CC200" s="319">
        <f t="shared" si="103"/>
        <v>0</v>
      </c>
      <c r="CD200" s="319">
        <f t="shared" si="103"/>
        <v>0</v>
      </c>
      <c r="CE200" s="319">
        <f t="shared" si="103"/>
        <v>0</v>
      </c>
      <c r="CF200" s="319">
        <f t="shared" si="103"/>
        <v>0</v>
      </c>
      <c r="CG200" s="319">
        <f t="shared" si="103"/>
        <v>0</v>
      </c>
      <c r="CH200" s="319">
        <f t="shared" si="103"/>
        <v>0</v>
      </c>
      <c r="CI200" s="319">
        <f t="shared" si="103"/>
        <v>0</v>
      </c>
      <c r="CJ200" s="319">
        <f t="shared" si="103"/>
        <v>0</v>
      </c>
      <c r="CK200" s="319">
        <f t="shared" si="103"/>
        <v>0</v>
      </c>
      <c r="CL200" s="319">
        <f t="shared" si="103"/>
        <v>0</v>
      </c>
      <c r="CM200" s="319">
        <f t="shared" si="103"/>
        <v>0</v>
      </c>
      <c r="CN200" s="319">
        <f t="shared" si="103"/>
        <v>0</v>
      </c>
      <c r="CO200" s="319">
        <f t="shared" si="103"/>
        <v>0</v>
      </c>
      <c r="CP200" s="319">
        <f t="shared" si="103"/>
        <v>0</v>
      </c>
      <c r="CQ200" s="319">
        <f t="shared" si="103"/>
        <v>0</v>
      </c>
      <c r="CR200" s="319">
        <f t="shared" si="103"/>
        <v>0</v>
      </c>
      <c r="CS200" s="319">
        <f t="shared" si="103"/>
        <v>0</v>
      </c>
      <c r="CT200" s="319">
        <f t="shared" si="103"/>
        <v>0</v>
      </c>
      <c r="CU200" s="319">
        <f t="shared" si="103"/>
        <v>0</v>
      </c>
      <c r="CV200" s="319">
        <f t="shared" si="103"/>
        <v>0</v>
      </c>
    </row>
    <row r="201" spans="1:100" x14ac:dyDescent="0.25">
      <c r="A201" s="319">
        <f t="shared" si="101"/>
        <v>0</v>
      </c>
      <c r="B201" s="319">
        <f t="shared" si="90"/>
        <v>0</v>
      </c>
      <c r="C201" s="340" t="s">
        <v>1190</v>
      </c>
      <c r="D201" s="341" t="s">
        <v>362</v>
      </c>
      <c r="E201" s="341">
        <v>7</v>
      </c>
      <c r="F201" s="341" t="str">
        <f>IF(AND(E201&lt;CharacterSheet!$V$34,'House Rules'!$B$1="Available",OR('House Rules'!$B$7="Standard",AND('House Rules'!$B$7="Ranked",OR(G199="Yes",G200="Yes")))),"Yes","No")</f>
        <v>No</v>
      </c>
      <c r="G201" s="564" t="s">
        <v>347</v>
      </c>
      <c r="H201" s="333" t="str">
        <f>IF(C201="","",VLOOKUP(C201,Boonref2!A:B,2,FALSE))</f>
        <v>Yes</v>
      </c>
      <c r="I201" s="333"/>
      <c r="J201" s="333" t="str">
        <f>VLOOKUP(C201,BoonRef!A:Z,17,FALSE)</f>
        <v>Yes</v>
      </c>
      <c r="K201" s="333" t="str">
        <f>IF(J201="God",'House Rules'!$B$2,IF(J201="Demi",'House Rules'!$B$1,IF(J201="Comp",'House Rules'!$B$4,IF(J201="Yaz",'House Rules'!$B$5,IF(J201="Rag",'House Rules'!$B$3,"Available")))))</f>
        <v>Available</v>
      </c>
      <c r="L201" s="333"/>
      <c r="M201" s="333"/>
      <c r="BF201" s="319">
        <f t="shared" si="97"/>
        <v>0</v>
      </c>
      <c r="BG201" s="345" t="s">
        <v>2546</v>
      </c>
      <c r="BI201" s="319">
        <f t="shared" si="102"/>
        <v>0</v>
      </c>
      <c r="BJ201" s="319">
        <f t="shared" si="103"/>
        <v>0</v>
      </c>
      <c r="BK201" s="319">
        <f t="shared" si="103"/>
        <v>0</v>
      </c>
      <c r="BL201" s="319">
        <f t="shared" si="103"/>
        <v>0</v>
      </c>
      <c r="BM201" s="319">
        <f t="shared" si="103"/>
        <v>0</v>
      </c>
      <c r="BN201" s="319">
        <f t="shared" si="103"/>
        <v>0</v>
      </c>
      <c r="BO201" s="319">
        <f t="shared" si="103"/>
        <v>0</v>
      </c>
      <c r="BP201" s="319">
        <f t="shared" si="103"/>
        <v>0</v>
      </c>
      <c r="BQ201" s="319">
        <f t="shared" si="103"/>
        <v>0</v>
      </c>
      <c r="BR201" s="319">
        <f t="shared" si="103"/>
        <v>0</v>
      </c>
      <c r="BS201" s="319">
        <f t="shared" si="103"/>
        <v>0</v>
      </c>
      <c r="BT201" s="319">
        <f t="shared" si="103"/>
        <v>0</v>
      </c>
      <c r="BU201" s="319">
        <f t="shared" si="103"/>
        <v>0</v>
      </c>
      <c r="BV201" s="319">
        <f t="shared" si="103"/>
        <v>0</v>
      </c>
      <c r="BW201" s="319">
        <f t="shared" si="103"/>
        <v>0</v>
      </c>
      <c r="BX201" s="319">
        <f t="shared" si="103"/>
        <v>0</v>
      </c>
      <c r="BY201" s="319">
        <f t="shared" si="103"/>
        <v>0</v>
      </c>
      <c r="BZ201" s="319">
        <f t="shared" si="103"/>
        <v>0</v>
      </c>
      <c r="CA201" s="319">
        <f t="shared" si="103"/>
        <v>0</v>
      </c>
      <c r="CB201" s="319">
        <f t="shared" si="103"/>
        <v>0</v>
      </c>
      <c r="CC201" s="319">
        <f t="shared" si="103"/>
        <v>0</v>
      </c>
      <c r="CD201" s="319">
        <f t="shared" si="103"/>
        <v>0</v>
      </c>
      <c r="CE201" s="319">
        <f t="shared" si="103"/>
        <v>0</v>
      </c>
      <c r="CF201" s="319">
        <f t="shared" si="103"/>
        <v>0</v>
      </c>
      <c r="CG201" s="319">
        <f t="shared" si="103"/>
        <v>0</v>
      </c>
      <c r="CH201" s="319">
        <f t="shared" si="103"/>
        <v>0</v>
      </c>
      <c r="CI201" s="319">
        <f t="shared" si="103"/>
        <v>0</v>
      </c>
      <c r="CJ201" s="319">
        <f t="shared" si="103"/>
        <v>0</v>
      </c>
      <c r="CK201" s="319">
        <f t="shared" si="103"/>
        <v>0</v>
      </c>
      <c r="CL201" s="319">
        <f t="shared" si="103"/>
        <v>0</v>
      </c>
      <c r="CM201" s="319">
        <f t="shared" si="103"/>
        <v>0</v>
      </c>
      <c r="CN201" s="319">
        <f t="shared" si="103"/>
        <v>0</v>
      </c>
      <c r="CO201" s="319">
        <f t="shared" si="103"/>
        <v>0</v>
      </c>
      <c r="CP201" s="319">
        <f t="shared" si="103"/>
        <v>0</v>
      </c>
      <c r="CQ201" s="319">
        <f t="shared" si="103"/>
        <v>0</v>
      </c>
      <c r="CR201" s="319">
        <f t="shared" si="103"/>
        <v>0</v>
      </c>
      <c r="CS201" s="319">
        <f t="shared" si="103"/>
        <v>0</v>
      </c>
      <c r="CT201" s="319">
        <f t="shared" si="103"/>
        <v>0</v>
      </c>
      <c r="CU201" s="319">
        <f t="shared" si="103"/>
        <v>0</v>
      </c>
      <c r="CV201" s="319">
        <f t="shared" si="103"/>
        <v>0</v>
      </c>
    </row>
    <row r="202" spans="1:100" ht="15.75" thickBot="1" x14ac:dyDescent="0.3">
      <c r="A202" s="319">
        <f t="shared" si="101"/>
        <v>0</v>
      </c>
      <c r="B202" s="319">
        <f t="shared" si="90"/>
        <v>0</v>
      </c>
      <c r="C202" s="340" t="s">
        <v>1286</v>
      </c>
      <c r="D202" s="341" t="s">
        <v>362</v>
      </c>
      <c r="E202" s="341">
        <v>8</v>
      </c>
      <c r="F202" s="341" t="str">
        <f>IF(AND(E202&lt;CharacterSheet!$V$34,'House Rules'!$B$2="available",OR('House Rules'!$B$7="Standard",AND('House Rules'!$B$7="Ranked",G201="Yes"))),"Yes","No")</f>
        <v>No</v>
      </c>
      <c r="G202" s="564" t="s">
        <v>347</v>
      </c>
      <c r="H202" s="333" t="str">
        <f>IF(C202="","",VLOOKUP(C202,Boonref2!A:B,2,FALSE))</f>
        <v>No</v>
      </c>
      <c r="I202" s="333"/>
      <c r="J202" s="333" t="str">
        <f>VLOOKUP(C202,BoonRef!A:Z,17,FALSE)</f>
        <v>Yes</v>
      </c>
      <c r="K202" s="333" t="str">
        <f>IF(J202="God",'House Rules'!$B$2,IF(J202="Demi",'House Rules'!$B$1,IF(J202="Comp",'House Rules'!$B$4,IF(J202="Yaz",'House Rules'!$B$5,IF(J202="Rag",'House Rules'!$B$3,"Available")))))</f>
        <v>Available</v>
      </c>
      <c r="L202" s="333"/>
      <c r="M202" s="333"/>
      <c r="BF202" s="319">
        <f t="shared" si="97"/>
        <v>0</v>
      </c>
      <c r="BG202" s="355" t="s">
        <v>2547</v>
      </c>
      <c r="BI202" s="319">
        <f t="shared" si="102"/>
        <v>0</v>
      </c>
      <c r="BJ202" s="319">
        <f t="shared" si="103"/>
        <v>0</v>
      </c>
      <c r="BK202" s="319">
        <f t="shared" si="103"/>
        <v>0</v>
      </c>
      <c r="BL202" s="319">
        <f t="shared" si="103"/>
        <v>0</v>
      </c>
      <c r="BM202" s="319">
        <f t="shared" si="103"/>
        <v>0</v>
      </c>
      <c r="BN202" s="319">
        <f t="shared" si="103"/>
        <v>0</v>
      </c>
      <c r="BO202" s="319">
        <f t="shared" si="103"/>
        <v>0</v>
      </c>
      <c r="BP202" s="319">
        <f t="shared" si="103"/>
        <v>0</v>
      </c>
      <c r="BQ202" s="319">
        <f t="shared" si="103"/>
        <v>0</v>
      </c>
      <c r="BR202" s="319">
        <f t="shared" si="103"/>
        <v>0</v>
      </c>
      <c r="BS202" s="319">
        <f t="shared" si="103"/>
        <v>0</v>
      </c>
      <c r="BT202" s="319">
        <f t="shared" si="103"/>
        <v>0</v>
      </c>
      <c r="BU202" s="319">
        <f t="shared" si="103"/>
        <v>0</v>
      </c>
      <c r="BV202" s="319">
        <f t="shared" si="103"/>
        <v>0</v>
      </c>
      <c r="BW202" s="319">
        <f t="shared" si="103"/>
        <v>0</v>
      </c>
      <c r="BX202" s="319">
        <f t="shared" si="103"/>
        <v>0</v>
      </c>
      <c r="BY202" s="319">
        <f t="shared" si="103"/>
        <v>0</v>
      </c>
      <c r="BZ202" s="319">
        <f t="shared" si="103"/>
        <v>0</v>
      </c>
      <c r="CA202" s="319">
        <f t="shared" si="103"/>
        <v>0</v>
      </c>
      <c r="CB202" s="319">
        <f t="shared" si="103"/>
        <v>0</v>
      </c>
      <c r="CC202" s="319">
        <f t="shared" si="103"/>
        <v>0</v>
      </c>
      <c r="CD202" s="319">
        <f t="shared" si="103"/>
        <v>0</v>
      </c>
      <c r="CE202" s="319">
        <f t="shared" si="103"/>
        <v>0</v>
      </c>
      <c r="CF202" s="319">
        <f t="shared" si="103"/>
        <v>0</v>
      </c>
      <c r="CG202" s="319">
        <f t="shared" si="103"/>
        <v>0</v>
      </c>
      <c r="CH202" s="319">
        <f t="shared" si="103"/>
        <v>0</v>
      </c>
      <c r="CI202" s="319">
        <f t="shared" si="103"/>
        <v>0</v>
      </c>
      <c r="CJ202" s="319">
        <f t="shared" si="103"/>
        <v>0</v>
      </c>
      <c r="CK202" s="319">
        <f t="shared" si="103"/>
        <v>0</v>
      </c>
      <c r="CL202" s="319">
        <f t="shared" si="103"/>
        <v>0</v>
      </c>
      <c r="CM202" s="319">
        <f t="shared" si="103"/>
        <v>0</v>
      </c>
      <c r="CN202" s="319">
        <f t="shared" si="103"/>
        <v>0</v>
      </c>
      <c r="CO202" s="319">
        <f t="shared" si="103"/>
        <v>0</v>
      </c>
      <c r="CP202" s="319">
        <f t="shared" si="103"/>
        <v>0</v>
      </c>
      <c r="CQ202" s="319">
        <f t="shared" si="103"/>
        <v>0</v>
      </c>
      <c r="CR202" s="319">
        <f t="shared" si="103"/>
        <v>0</v>
      </c>
      <c r="CS202" s="319">
        <f t="shared" si="103"/>
        <v>0</v>
      </c>
      <c r="CT202" s="319">
        <f t="shared" si="103"/>
        <v>0</v>
      </c>
      <c r="CU202" s="319">
        <f t="shared" si="103"/>
        <v>0</v>
      </c>
      <c r="CV202" s="319">
        <f t="shared" si="103"/>
        <v>0</v>
      </c>
    </row>
    <row r="203" spans="1:100" x14ac:dyDescent="0.25">
      <c r="A203" s="319">
        <f t="shared" si="101"/>
        <v>0</v>
      </c>
      <c r="B203" s="319">
        <f t="shared" si="90"/>
        <v>0</v>
      </c>
      <c r="C203" s="340" t="s">
        <v>2640</v>
      </c>
      <c r="D203" s="341" t="s">
        <v>362</v>
      </c>
      <c r="E203" s="341">
        <v>8</v>
      </c>
      <c r="F203" s="341" t="str">
        <f>IF(AND(E202&lt;CharacterSheet!$V$34,'House Rules'!$B$3="Available",OR('House Rules'!$B$7="Standard",AND('House Rules'!$B$7="Ranked",OR(G201="Yes")))),"Yes","No")</f>
        <v>No</v>
      </c>
      <c r="G203" s="564" t="s">
        <v>347</v>
      </c>
      <c r="H203" s="333" t="str">
        <f>IF(C203="","",VLOOKUP(C203,Boonref2!A:B,2,FALSE))</f>
        <v>Yes</v>
      </c>
      <c r="I203" s="333"/>
      <c r="J203" s="333" t="str">
        <f>VLOOKUP(C203,BoonRef!A:Z,17,FALSE)</f>
        <v>Yes</v>
      </c>
      <c r="K203" s="333" t="str">
        <f>IF(J203="God",'House Rules'!$B$2,IF(J203="Demi",'House Rules'!$B$1,IF(J203="Comp",'House Rules'!$B$4,IF(J203="Yaz",'House Rules'!$B$5,IF(J203="Rag",'House Rules'!$B$3,"Available")))))</f>
        <v>Available</v>
      </c>
      <c r="L203" s="333"/>
      <c r="M203" s="333"/>
      <c r="BF203" s="319">
        <f t="shared" si="97"/>
        <v>0</v>
      </c>
      <c r="BG203" s="336" t="s">
        <v>2548</v>
      </c>
      <c r="BI203" s="319">
        <f t="shared" si="102"/>
        <v>0</v>
      </c>
      <c r="BJ203" s="319">
        <f t="shared" si="103"/>
        <v>0</v>
      </c>
      <c r="BK203" s="319">
        <f t="shared" si="103"/>
        <v>0</v>
      </c>
      <c r="BL203" s="319">
        <f t="shared" si="103"/>
        <v>0</v>
      </c>
      <c r="BM203" s="319">
        <f t="shared" si="103"/>
        <v>0</v>
      </c>
      <c r="BN203" s="319">
        <f t="shared" si="103"/>
        <v>0</v>
      </c>
      <c r="BO203" s="319">
        <f t="shared" si="103"/>
        <v>0</v>
      </c>
      <c r="BP203" s="319">
        <f t="shared" si="103"/>
        <v>0</v>
      </c>
      <c r="BQ203" s="319">
        <f t="shared" si="103"/>
        <v>0</v>
      </c>
      <c r="BR203" s="319">
        <f t="shared" si="103"/>
        <v>0</v>
      </c>
      <c r="BS203" s="319">
        <f t="shared" si="103"/>
        <v>0</v>
      </c>
      <c r="BT203" s="319">
        <f t="shared" si="103"/>
        <v>0</v>
      </c>
      <c r="BU203" s="319">
        <f t="shared" si="103"/>
        <v>0</v>
      </c>
      <c r="BV203" s="319">
        <f t="shared" si="103"/>
        <v>0</v>
      </c>
      <c r="BW203" s="319">
        <f t="shared" si="103"/>
        <v>0</v>
      </c>
      <c r="BX203" s="319">
        <f t="shared" si="103"/>
        <v>0</v>
      </c>
      <c r="BY203" s="319">
        <f t="shared" si="103"/>
        <v>0</v>
      </c>
      <c r="BZ203" s="319">
        <f t="shared" si="103"/>
        <v>0</v>
      </c>
      <c r="CA203" s="319">
        <f t="shared" si="103"/>
        <v>0</v>
      </c>
      <c r="CB203" s="319">
        <f t="shared" si="103"/>
        <v>0</v>
      </c>
      <c r="CC203" s="319">
        <f t="shared" si="103"/>
        <v>0</v>
      </c>
      <c r="CD203" s="319">
        <f t="shared" si="103"/>
        <v>0</v>
      </c>
      <c r="CE203" s="319">
        <f t="shared" si="103"/>
        <v>0</v>
      </c>
      <c r="CF203" s="319">
        <f t="shared" si="103"/>
        <v>0</v>
      </c>
      <c r="CG203" s="319">
        <f t="shared" si="103"/>
        <v>0</v>
      </c>
      <c r="CH203" s="319">
        <f t="shared" si="103"/>
        <v>0</v>
      </c>
      <c r="CI203" s="319">
        <f t="shared" si="103"/>
        <v>0</v>
      </c>
      <c r="CJ203" s="319">
        <f t="shared" si="103"/>
        <v>0</v>
      </c>
      <c r="CK203" s="319">
        <f t="shared" si="103"/>
        <v>0</v>
      </c>
      <c r="CL203" s="319">
        <f t="shared" si="103"/>
        <v>0</v>
      </c>
      <c r="CM203" s="319">
        <f t="shared" si="103"/>
        <v>0</v>
      </c>
      <c r="CN203" s="319">
        <f t="shared" si="103"/>
        <v>0</v>
      </c>
      <c r="CO203" s="319">
        <f t="shared" si="103"/>
        <v>0</v>
      </c>
      <c r="CP203" s="319">
        <f t="shared" si="103"/>
        <v>0</v>
      </c>
      <c r="CQ203" s="319">
        <f t="shared" si="103"/>
        <v>0</v>
      </c>
      <c r="CR203" s="319">
        <f t="shared" si="103"/>
        <v>0</v>
      </c>
      <c r="CS203" s="319">
        <f t="shared" si="103"/>
        <v>0</v>
      </c>
      <c r="CT203" s="319">
        <f t="shared" si="103"/>
        <v>0</v>
      </c>
      <c r="CU203" s="319">
        <f t="shared" si="103"/>
        <v>0</v>
      </c>
      <c r="CV203" s="319">
        <f t="shared" si="103"/>
        <v>0</v>
      </c>
    </row>
    <row r="204" spans="1:100" x14ac:dyDescent="0.25">
      <c r="A204" s="319">
        <f t="shared" si="101"/>
        <v>0</v>
      </c>
      <c r="B204" s="319">
        <f t="shared" si="90"/>
        <v>0</v>
      </c>
      <c r="C204" s="340" t="s">
        <v>1287</v>
      </c>
      <c r="D204" s="341" t="s">
        <v>362</v>
      </c>
      <c r="E204" s="341">
        <v>9</v>
      </c>
      <c r="F204" s="341" t="str">
        <f>IF(AND(E204&lt;CharacterSheet!$V$34,'House Rules'!$B$2="available",OR('House Rules'!$B$7="Standard",AND('House Rules'!$B$7="Ranked",OR(G202="Yes",G203="Yes")))),"Yes","No")</f>
        <v>No</v>
      </c>
      <c r="G204" s="564" t="s">
        <v>347</v>
      </c>
      <c r="H204" s="333" t="str">
        <f>IF(C204="","",VLOOKUP(C204,Boonref2!A:B,2,FALSE))</f>
        <v>Yes</v>
      </c>
      <c r="I204" s="333"/>
      <c r="J204" s="333" t="str">
        <f>VLOOKUP(C204,BoonRef!A:Z,17,FALSE)</f>
        <v>Yes</v>
      </c>
      <c r="K204" s="333" t="str">
        <f>IF(J204="God",'House Rules'!$B$2,IF(J204="Demi",'House Rules'!$B$1,IF(J204="Comp",'House Rules'!$B$4,IF(J204="Yaz",'House Rules'!$B$5,IF(J204="Rag",'House Rules'!$B$3,"Available")))))</f>
        <v>Available</v>
      </c>
      <c r="L204" s="333"/>
      <c r="M204" s="333"/>
      <c r="BF204" s="319">
        <f t="shared" si="97"/>
        <v>0</v>
      </c>
      <c r="BG204" s="345" t="s">
        <v>2549</v>
      </c>
      <c r="BI204" s="319">
        <f t="shared" si="102"/>
        <v>0</v>
      </c>
      <c r="BJ204" s="319">
        <f t="shared" si="103"/>
        <v>0</v>
      </c>
      <c r="BK204" s="319">
        <f t="shared" si="103"/>
        <v>0</v>
      </c>
      <c r="BL204" s="319">
        <f t="shared" si="103"/>
        <v>0</v>
      </c>
      <c r="BM204" s="319">
        <f t="shared" si="103"/>
        <v>0</v>
      </c>
      <c r="BN204" s="319">
        <f t="shared" si="103"/>
        <v>0</v>
      </c>
      <c r="BO204" s="319">
        <f t="shared" si="103"/>
        <v>0</v>
      </c>
      <c r="BP204" s="319">
        <f t="shared" si="103"/>
        <v>0</v>
      </c>
      <c r="BQ204" s="319">
        <f t="shared" si="103"/>
        <v>0</v>
      </c>
      <c r="BR204" s="319">
        <f t="shared" si="103"/>
        <v>0</v>
      </c>
      <c r="BS204" s="319">
        <f t="shared" si="103"/>
        <v>0</v>
      </c>
      <c r="BT204" s="319">
        <f t="shared" si="103"/>
        <v>0</v>
      </c>
      <c r="BU204" s="319">
        <f t="shared" si="103"/>
        <v>0</v>
      </c>
      <c r="BV204" s="319">
        <f t="shared" si="103"/>
        <v>0</v>
      </c>
      <c r="BW204" s="319">
        <f t="shared" si="103"/>
        <v>0</v>
      </c>
      <c r="BX204" s="319">
        <f t="shared" si="103"/>
        <v>0</v>
      </c>
      <c r="BY204" s="319">
        <f t="shared" si="103"/>
        <v>0</v>
      </c>
      <c r="BZ204" s="319">
        <f t="shared" si="103"/>
        <v>0</v>
      </c>
      <c r="CA204" s="319">
        <f t="shared" si="103"/>
        <v>0</v>
      </c>
      <c r="CB204" s="319">
        <f t="shared" si="103"/>
        <v>0</v>
      </c>
      <c r="CC204" s="319">
        <f t="shared" si="103"/>
        <v>0</v>
      </c>
      <c r="CD204" s="319">
        <f t="shared" si="103"/>
        <v>0</v>
      </c>
      <c r="CE204" s="319">
        <f t="shared" si="103"/>
        <v>0</v>
      </c>
      <c r="CF204" s="319">
        <f t="shared" si="103"/>
        <v>0</v>
      </c>
      <c r="CG204" s="319">
        <f t="shared" si="103"/>
        <v>0</v>
      </c>
      <c r="CH204" s="319">
        <f t="shared" si="103"/>
        <v>0</v>
      </c>
      <c r="CI204" s="319">
        <f t="shared" si="103"/>
        <v>0</v>
      </c>
      <c r="CJ204" s="319">
        <f t="shared" si="103"/>
        <v>0</v>
      </c>
      <c r="CK204" s="319">
        <f t="shared" si="103"/>
        <v>0</v>
      </c>
      <c r="CL204" s="319">
        <f t="shared" si="103"/>
        <v>0</v>
      </c>
      <c r="CM204" s="319">
        <f t="shared" si="103"/>
        <v>0</v>
      </c>
      <c r="CN204" s="319">
        <f t="shared" si="103"/>
        <v>0</v>
      </c>
      <c r="CO204" s="319">
        <f t="shared" si="103"/>
        <v>0</v>
      </c>
      <c r="CP204" s="319">
        <f t="shared" si="103"/>
        <v>0</v>
      </c>
      <c r="CQ204" s="319">
        <f t="shared" si="103"/>
        <v>0</v>
      </c>
      <c r="CR204" s="319">
        <f t="shared" si="103"/>
        <v>0</v>
      </c>
      <c r="CS204" s="319">
        <f t="shared" si="103"/>
        <v>0</v>
      </c>
      <c r="CT204" s="319">
        <f t="shared" si="103"/>
        <v>0</v>
      </c>
      <c r="CU204" s="319">
        <f t="shared" si="103"/>
        <v>0</v>
      </c>
      <c r="CV204" s="319">
        <f t="shared" si="103"/>
        <v>0</v>
      </c>
    </row>
    <row r="205" spans="1:100" x14ac:dyDescent="0.25">
      <c r="A205" s="319">
        <f t="shared" si="101"/>
        <v>0</v>
      </c>
      <c r="B205" s="319">
        <f t="shared" ref="B205:B268" si="104">IF(G205="Yes",B204+1,B204)</f>
        <v>0</v>
      </c>
      <c r="C205" s="340" t="s">
        <v>1288</v>
      </c>
      <c r="D205" s="341" t="s">
        <v>362</v>
      </c>
      <c r="E205" s="341">
        <v>10</v>
      </c>
      <c r="F205" s="341" t="str">
        <f>IF(AND(E205&lt;CharacterSheet!$V$34,'House Rules'!$B$2="available",OR('House Rules'!$B$7="Standard",AND('House Rules'!$B$7="Ranked",G204="Yes"))),"Yes","No")</f>
        <v>No</v>
      </c>
      <c r="G205" s="564" t="s">
        <v>347</v>
      </c>
      <c r="H205" s="333" t="str">
        <f>IF(C205="","",VLOOKUP(C205,Boonref2!A:B,2,FALSE))</f>
        <v>No</v>
      </c>
      <c r="I205" s="333"/>
      <c r="J205" s="333" t="str">
        <f>VLOOKUP(C205,BoonRef!A:Z,17,FALSE)</f>
        <v>Yes</v>
      </c>
      <c r="K205" s="333" t="str">
        <f>IF(J205="God",'House Rules'!$B$2,IF(J205="Demi",'House Rules'!$B$1,IF(J205="Comp",'House Rules'!$B$4,IF(J205="Yaz",'House Rules'!$B$5,IF(J205="Rag",'House Rules'!$B$3,"Available")))))</f>
        <v>Available</v>
      </c>
      <c r="L205" s="333"/>
      <c r="M205" s="333"/>
      <c r="BF205" s="319">
        <f t="shared" si="97"/>
        <v>0</v>
      </c>
      <c r="BG205" s="345" t="s">
        <v>2550</v>
      </c>
      <c r="BI205" s="319">
        <f t="shared" si="102"/>
        <v>0</v>
      </c>
      <c r="BJ205" s="319">
        <f t="shared" si="103"/>
        <v>0</v>
      </c>
      <c r="BK205" s="319">
        <f t="shared" si="103"/>
        <v>0</v>
      </c>
      <c r="BL205" s="319">
        <f t="shared" si="103"/>
        <v>0</v>
      </c>
      <c r="BM205" s="319">
        <f t="shared" si="103"/>
        <v>0</v>
      </c>
      <c r="BN205" s="319">
        <f t="shared" si="103"/>
        <v>0</v>
      </c>
      <c r="BO205" s="319">
        <f t="shared" si="103"/>
        <v>0</v>
      </c>
      <c r="BP205" s="319">
        <f t="shared" si="103"/>
        <v>0</v>
      </c>
      <c r="BQ205" s="319">
        <f t="shared" si="103"/>
        <v>0</v>
      </c>
      <c r="BR205" s="319">
        <f t="shared" si="103"/>
        <v>0</v>
      </c>
      <c r="BS205" s="319">
        <f t="shared" si="103"/>
        <v>0</v>
      </c>
      <c r="BT205" s="319">
        <f t="shared" si="103"/>
        <v>0</v>
      </c>
      <c r="BU205" s="319">
        <f t="shared" si="103"/>
        <v>0</v>
      </c>
      <c r="BV205" s="319">
        <f t="shared" si="103"/>
        <v>0</v>
      </c>
      <c r="BW205" s="319">
        <f t="shared" si="103"/>
        <v>0</v>
      </c>
      <c r="BX205" s="319">
        <f t="shared" si="103"/>
        <v>0</v>
      </c>
      <c r="BY205" s="319">
        <f t="shared" si="103"/>
        <v>0</v>
      </c>
      <c r="BZ205" s="319">
        <f t="shared" si="103"/>
        <v>0</v>
      </c>
      <c r="CA205" s="319">
        <f t="shared" si="103"/>
        <v>0</v>
      </c>
      <c r="CB205" s="319">
        <f t="shared" si="103"/>
        <v>0</v>
      </c>
      <c r="CC205" s="319">
        <f t="shared" si="103"/>
        <v>0</v>
      </c>
      <c r="CD205" s="319">
        <f t="shared" si="103"/>
        <v>0</v>
      </c>
      <c r="CE205" s="319">
        <f t="shared" si="103"/>
        <v>0</v>
      </c>
      <c r="CF205" s="319">
        <f t="shared" si="103"/>
        <v>0</v>
      </c>
      <c r="CG205" s="319">
        <f t="shared" si="103"/>
        <v>0</v>
      </c>
      <c r="CH205" s="319">
        <f t="shared" si="103"/>
        <v>0</v>
      </c>
      <c r="CI205" s="319">
        <f t="shared" si="103"/>
        <v>0</v>
      </c>
      <c r="CJ205" s="319">
        <f t="shared" si="103"/>
        <v>0</v>
      </c>
      <c r="CK205" s="319">
        <f t="shared" si="103"/>
        <v>0</v>
      </c>
      <c r="CL205" s="319">
        <f t="shared" si="103"/>
        <v>0</v>
      </c>
      <c r="CM205" s="319">
        <f t="shared" si="103"/>
        <v>0</v>
      </c>
      <c r="CN205" s="319">
        <f t="shared" si="103"/>
        <v>0</v>
      </c>
      <c r="CO205" s="319">
        <f t="shared" si="103"/>
        <v>0</v>
      </c>
      <c r="CP205" s="319">
        <f t="shared" si="103"/>
        <v>0</v>
      </c>
      <c r="CQ205" s="319">
        <f t="shared" si="103"/>
        <v>0</v>
      </c>
      <c r="CR205" s="319">
        <f t="shared" si="103"/>
        <v>0</v>
      </c>
      <c r="CS205" s="319">
        <f t="shared" si="103"/>
        <v>0</v>
      </c>
      <c r="CT205" s="319">
        <f t="shared" si="103"/>
        <v>0</v>
      </c>
      <c r="CU205" s="319">
        <f t="shared" si="103"/>
        <v>0</v>
      </c>
      <c r="CV205" s="319">
        <f t="shared" si="103"/>
        <v>0</v>
      </c>
    </row>
    <row r="206" spans="1:100" ht="15.75" thickBot="1" x14ac:dyDescent="0.3">
      <c r="A206" s="319">
        <f t="shared" si="101"/>
        <v>0</v>
      </c>
      <c r="B206" s="319">
        <f t="shared" si="104"/>
        <v>0</v>
      </c>
      <c r="C206" s="352" t="s">
        <v>1289</v>
      </c>
      <c r="D206" s="353" t="s">
        <v>362</v>
      </c>
      <c r="E206" s="353">
        <v>11</v>
      </c>
      <c r="F206" s="353" t="str">
        <f>IF(AND(E25&lt;CharacterSheet!$V$34,G192="Yes",G193="Yes",G194="Yes",G201="Yes",OR(G202="Yes",G203="Yes"),G204="Yes",G205="Yes",OR(G195="Yes",G196="Yes"),OR(G197="Yes",G198="Yes"),OR(G199="Yes",G200="Yes")),"Yes","No")</f>
        <v>No</v>
      </c>
      <c r="G206" s="565" t="s">
        <v>347</v>
      </c>
      <c r="H206" s="333" t="str">
        <f>IF(C206="","",VLOOKUP(C206,Boonref2!A:B,2,FALSE))</f>
        <v>No</v>
      </c>
      <c r="I206" s="333"/>
      <c r="J206" s="333" t="str">
        <f>VLOOKUP(C206,BoonRef!A:Z,17,FALSE)</f>
        <v>Yes</v>
      </c>
      <c r="K206" s="333" t="str">
        <f>IF(J206="God",'House Rules'!$B$2,IF(J206="Demi",'House Rules'!$B$1,IF(J206="Comp",'House Rules'!$B$4,IF(J206="Yaz",'House Rules'!$B$5,IF(J206="Rag",'House Rules'!$B$3,"Available")))))</f>
        <v>Available</v>
      </c>
      <c r="L206" s="333"/>
      <c r="M206" s="333"/>
      <c r="BF206" s="319">
        <f t="shared" si="97"/>
        <v>0</v>
      </c>
      <c r="BG206" s="345" t="s">
        <v>2551</v>
      </c>
      <c r="BI206" s="319">
        <f t="shared" si="102"/>
        <v>0</v>
      </c>
      <c r="BJ206" s="319">
        <f t="shared" si="103"/>
        <v>0</v>
      </c>
      <c r="BK206" s="319">
        <f t="shared" si="103"/>
        <v>0</v>
      </c>
      <c r="BL206" s="319">
        <f t="shared" si="103"/>
        <v>0</v>
      </c>
      <c r="BM206" s="319">
        <f t="shared" si="103"/>
        <v>0</v>
      </c>
      <c r="BN206" s="319">
        <f t="shared" si="103"/>
        <v>0</v>
      </c>
      <c r="BO206" s="319">
        <f t="shared" si="103"/>
        <v>0</v>
      </c>
      <c r="BP206" s="319">
        <f t="shared" si="103"/>
        <v>0</v>
      </c>
      <c r="BQ206" s="319">
        <f t="shared" si="103"/>
        <v>0</v>
      </c>
      <c r="BR206" s="319">
        <f t="shared" si="103"/>
        <v>0</v>
      </c>
      <c r="BS206" s="319">
        <f t="shared" ref="BJ206:CV212" si="105">IF(AND($D206=BS$1,$G206="Yes"),$E206,0)</f>
        <v>0</v>
      </c>
      <c r="BT206" s="319">
        <f t="shared" si="105"/>
        <v>0</v>
      </c>
      <c r="BU206" s="319">
        <f t="shared" si="105"/>
        <v>0</v>
      </c>
      <c r="BV206" s="319">
        <f t="shared" si="105"/>
        <v>0</v>
      </c>
      <c r="BW206" s="319">
        <f t="shared" si="105"/>
        <v>0</v>
      </c>
      <c r="BX206" s="319">
        <f t="shared" si="105"/>
        <v>0</v>
      </c>
      <c r="BY206" s="319">
        <f t="shared" si="105"/>
        <v>0</v>
      </c>
      <c r="BZ206" s="319">
        <f t="shared" si="105"/>
        <v>0</v>
      </c>
      <c r="CA206" s="319">
        <f t="shared" si="105"/>
        <v>0</v>
      </c>
      <c r="CB206" s="319">
        <f t="shared" si="105"/>
        <v>0</v>
      </c>
      <c r="CC206" s="319">
        <f t="shared" si="105"/>
        <v>0</v>
      </c>
      <c r="CD206" s="319">
        <f t="shared" si="105"/>
        <v>0</v>
      </c>
      <c r="CE206" s="319">
        <f t="shared" si="105"/>
        <v>0</v>
      </c>
      <c r="CF206" s="319">
        <f t="shared" si="105"/>
        <v>0</v>
      </c>
      <c r="CG206" s="319">
        <f t="shared" si="105"/>
        <v>0</v>
      </c>
      <c r="CH206" s="319">
        <f t="shared" si="105"/>
        <v>0</v>
      </c>
      <c r="CI206" s="319">
        <f t="shared" si="105"/>
        <v>0</v>
      </c>
      <c r="CJ206" s="319">
        <f t="shared" si="105"/>
        <v>0</v>
      </c>
      <c r="CK206" s="319">
        <f t="shared" si="105"/>
        <v>0</v>
      </c>
      <c r="CL206" s="319">
        <f t="shared" si="105"/>
        <v>0</v>
      </c>
      <c r="CM206" s="319">
        <f t="shared" si="105"/>
        <v>0</v>
      </c>
      <c r="CN206" s="319">
        <f t="shared" si="105"/>
        <v>0</v>
      </c>
      <c r="CO206" s="319">
        <f t="shared" si="105"/>
        <v>0</v>
      </c>
      <c r="CP206" s="319">
        <f t="shared" si="105"/>
        <v>0</v>
      </c>
      <c r="CQ206" s="319">
        <f t="shared" si="105"/>
        <v>0</v>
      </c>
      <c r="CR206" s="319">
        <f t="shared" si="105"/>
        <v>0</v>
      </c>
      <c r="CS206" s="319">
        <f t="shared" si="105"/>
        <v>0</v>
      </c>
      <c r="CT206" s="319">
        <f t="shared" si="105"/>
        <v>0</v>
      </c>
      <c r="CU206" s="319">
        <f t="shared" si="105"/>
        <v>0</v>
      </c>
      <c r="CV206" s="319">
        <f t="shared" si="105"/>
        <v>0</v>
      </c>
    </row>
    <row r="207" spans="1:100" x14ac:dyDescent="0.25">
      <c r="A207" s="319">
        <f t="shared" si="101"/>
        <v>0</v>
      </c>
      <c r="B207" s="319">
        <f t="shared" si="104"/>
        <v>0</v>
      </c>
      <c r="C207" s="330" t="s">
        <v>1100</v>
      </c>
      <c r="D207" s="331" t="s">
        <v>363</v>
      </c>
      <c r="E207" s="331">
        <v>1</v>
      </c>
      <c r="F207" s="331" t="str">
        <f>IF(E207&lt;CharacterSheet!$V$34,"Yes","No")</f>
        <v>Yes</v>
      </c>
      <c r="G207" s="563" t="s">
        <v>347</v>
      </c>
      <c r="H207" s="333" t="str">
        <f>IF(C207="","",VLOOKUP(C207,Boonref2!A:B,2,FALSE))</f>
        <v>No</v>
      </c>
      <c r="I207" s="333"/>
      <c r="J207" s="333" t="str">
        <f>VLOOKUP(C207,BoonRef!A:Z,17,FALSE)</f>
        <v>Yes</v>
      </c>
      <c r="K207" s="333" t="str">
        <f>IF(J207="God",'House Rules'!$B$2,IF(J207="Demi",'House Rules'!$B$1,IF(J207="Comp",'House Rules'!$B$4,IF(J207="Yaz",'House Rules'!$B$5,IF(J207="Rag",'House Rules'!$B$3,"Available")))))</f>
        <v>Available</v>
      </c>
      <c r="L207" s="333"/>
      <c r="M207" s="333"/>
      <c r="BF207" s="319">
        <f t="shared" si="97"/>
        <v>0</v>
      </c>
      <c r="BG207" s="345" t="s">
        <v>2552</v>
      </c>
      <c r="BI207" s="319">
        <f t="shared" si="102"/>
        <v>0</v>
      </c>
      <c r="BJ207" s="319">
        <f t="shared" si="105"/>
        <v>0</v>
      </c>
      <c r="BK207" s="319">
        <f t="shared" si="105"/>
        <v>0</v>
      </c>
      <c r="BL207" s="319">
        <f t="shared" si="105"/>
        <v>0</v>
      </c>
      <c r="BM207" s="319">
        <f t="shared" si="105"/>
        <v>0</v>
      </c>
      <c r="BN207" s="319">
        <f t="shared" si="105"/>
        <v>0</v>
      </c>
      <c r="BO207" s="319">
        <f t="shared" si="105"/>
        <v>0</v>
      </c>
      <c r="BP207" s="319">
        <f t="shared" si="105"/>
        <v>0</v>
      </c>
      <c r="BQ207" s="319">
        <f t="shared" si="105"/>
        <v>0</v>
      </c>
      <c r="BR207" s="319">
        <f t="shared" si="105"/>
        <v>0</v>
      </c>
      <c r="BS207" s="319">
        <f t="shared" si="105"/>
        <v>0</v>
      </c>
      <c r="BT207" s="319">
        <f t="shared" si="105"/>
        <v>0</v>
      </c>
      <c r="BU207" s="319">
        <f t="shared" si="105"/>
        <v>0</v>
      </c>
      <c r="BV207" s="319">
        <f t="shared" si="105"/>
        <v>0</v>
      </c>
      <c r="BW207" s="319">
        <f t="shared" si="105"/>
        <v>0</v>
      </c>
      <c r="BX207" s="319">
        <f t="shared" si="105"/>
        <v>0</v>
      </c>
      <c r="BY207" s="319">
        <f t="shared" si="105"/>
        <v>0</v>
      </c>
      <c r="BZ207" s="319">
        <f t="shared" si="105"/>
        <v>0</v>
      </c>
      <c r="CA207" s="319">
        <f t="shared" si="105"/>
        <v>0</v>
      </c>
      <c r="CB207" s="319">
        <f t="shared" si="105"/>
        <v>0</v>
      </c>
      <c r="CC207" s="319">
        <f t="shared" si="105"/>
        <v>0</v>
      </c>
      <c r="CD207" s="319">
        <f t="shared" si="105"/>
        <v>0</v>
      </c>
      <c r="CE207" s="319">
        <f t="shared" si="105"/>
        <v>0</v>
      </c>
      <c r="CF207" s="319">
        <f t="shared" si="105"/>
        <v>0</v>
      </c>
      <c r="CG207" s="319">
        <f t="shared" si="105"/>
        <v>0</v>
      </c>
      <c r="CH207" s="319">
        <f t="shared" si="105"/>
        <v>0</v>
      </c>
      <c r="CI207" s="319">
        <f t="shared" si="105"/>
        <v>0</v>
      </c>
      <c r="CJ207" s="319">
        <f t="shared" si="105"/>
        <v>0</v>
      </c>
      <c r="CK207" s="319">
        <f t="shared" si="105"/>
        <v>0</v>
      </c>
      <c r="CL207" s="319">
        <f t="shared" si="105"/>
        <v>0</v>
      </c>
      <c r="CM207" s="319">
        <f t="shared" si="105"/>
        <v>0</v>
      </c>
      <c r="CN207" s="319">
        <f t="shared" si="105"/>
        <v>0</v>
      </c>
      <c r="CO207" s="319">
        <f t="shared" si="105"/>
        <v>0</v>
      </c>
      <c r="CP207" s="319">
        <f t="shared" si="105"/>
        <v>0</v>
      </c>
      <c r="CQ207" s="319">
        <f t="shared" si="105"/>
        <v>0</v>
      </c>
      <c r="CR207" s="319">
        <f t="shared" si="105"/>
        <v>0</v>
      </c>
      <c r="CS207" s="319">
        <f t="shared" si="105"/>
        <v>0</v>
      </c>
      <c r="CT207" s="319">
        <f t="shared" si="105"/>
        <v>0</v>
      </c>
      <c r="CU207" s="319">
        <f t="shared" si="105"/>
        <v>0</v>
      </c>
      <c r="CV207" s="319">
        <f t="shared" si="105"/>
        <v>0</v>
      </c>
    </row>
    <row r="208" spans="1:100" x14ac:dyDescent="0.25">
      <c r="A208" s="319">
        <f t="shared" si="101"/>
        <v>0</v>
      </c>
      <c r="B208" s="319">
        <f t="shared" si="104"/>
        <v>0</v>
      </c>
      <c r="C208" s="340" t="s">
        <v>1403</v>
      </c>
      <c r="D208" s="341" t="s">
        <v>363</v>
      </c>
      <c r="E208" s="341">
        <v>1</v>
      </c>
      <c r="F208" s="341" t="str">
        <f>IF(AND(E208&lt;CharacterSheet!$V$34,'House Rules'!$B$4="Available"),"Yes","No")</f>
        <v>Yes</v>
      </c>
      <c r="G208" s="564" t="s">
        <v>347</v>
      </c>
      <c r="H208" s="333" t="str">
        <f>IF(C208="","",VLOOKUP(C208,Boonref2!A:B,2,FALSE))</f>
        <v>Yes</v>
      </c>
      <c r="I208" s="333"/>
      <c r="J208" s="333" t="str">
        <f>VLOOKUP(C208,BoonRef!A:Z,17,FALSE)</f>
        <v>Yes</v>
      </c>
      <c r="K208" s="333" t="str">
        <f>IF(J208="God",'House Rules'!$B$2,IF(J208="Demi",'House Rules'!$B$1,IF(J208="Comp",'House Rules'!$B$4,IF(J208="Yaz",'House Rules'!$B$5,IF(J208="Rag",'House Rules'!$B$3,"Available")))))</f>
        <v>Available</v>
      </c>
      <c r="L208" s="333"/>
      <c r="M208" s="333"/>
      <c r="BF208" s="319">
        <f t="shared" si="97"/>
        <v>0</v>
      </c>
      <c r="BG208" s="345" t="s">
        <v>2553</v>
      </c>
      <c r="BI208" s="319">
        <f t="shared" si="102"/>
        <v>0</v>
      </c>
      <c r="BJ208" s="319">
        <f t="shared" si="105"/>
        <v>0</v>
      </c>
      <c r="BK208" s="319">
        <f t="shared" si="105"/>
        <v>0</v>
      </c>
      <c r="BL208" s="319">
        <f t="shared" si="105"/>
        <v>0</v>
      </c>
      <c r="BM208" s="319">
        <f t="shared" si="105"/>
        <v>0</v>
      </c>
      <c r="BN208" s="319">
        <f t="shared" si="105"/>
        <v>0</v>
      </c>
      <c r="BO208" s="319">
        <f t="shared" si="105"/>
        <v>0</v>
      </c>
      <c r="BP208" s="319">
        <f t="shared" si="105"/>
        <v>0</v>
      </c>
      <c r="BQ208" s="319">
        <f t="shared" si="105"/>
        <v>0</v>
      </c>
      <c r="BR208" s="319">
        <f t="shared" si="105"/>
        <v>0</v>
      </c>
      <c r="BS208" s="319">
        <f t="shared" si="105"/>
        <v>0</v>
      </c>
      <c r="BT208" s="319">
        <f t="shared" si="105"/>
        <v>0</v>
      </c>
      <c r="BU208" s="319">
        <f t="shared" si="105"/>
        <v>0</v>
      </c>
      <c r="BV208" s="319">
        <f t="shared" si="105"/>
        <v>0</v>
      </c>
      <c r="BW208" s="319">
        <f t="shared" si="105"/>
        <v>0</v>
      </c>
      <c r="BX208" s="319">
        <f t="shared" si="105"/>
        <v>0</v>
      </c>
      <c r="BY208" s="319">
        <f t="shared" si="105"/>
        <v>0</v>
      </c>
      <c r="BZ208" s="319">
        <f t="shared" si="105"/>
        <v>0</v>
      </c>
      <c r="CA208" s="319">
        <f t="shared" si="105"/>
        <v>0</v>
      </c>
      <c r="CB208" s="319">
        <f t="shared" si="105"/>
        <v>0</v>
      </c>
      <c r="CC208" s="319">
        <f t="shared" si="105"/>
        <v>0</v>
      </c>
      <c r="CD208" s="319">
        <f t="shared" si="105"/>
        <v>0</v>
      </c>
      <c r="CE208" s="319">
        <f t="shared" si="105"/>
        <v>0</v>
      </c>
      <c r="CF208" s="319">
        <f t="shared" si="105"/>
        <v>0</v>
      </c>
      <c r="CG208" s="319">
        <f t="shared" si="105"/>
        <v>0</v>
      </c>
      <c r="CH208" s="319">
        <f t="shared" si="105"/>
        <v>0</v>
      </c>
      <c r="CI208" s="319">
        <f t="shared" si="105"/>
        <v>0</v>
      </c>
      <c r="CJ208" s="319">
        <f t="shared" si="105"/>
        <v>0</v>
      </c>
      <c r="CK208" s="319">
        <f t="shared" si="105"/>
        <v>0</v>
      </c>
      <c r="CL208" s="319">
        <f t="shared" si="105"/>
        <v>0</v>
      </c>
      <c r="CM208" s="319">
        <f t="shared" si="105"/>
        <v>0</v>
      </c>
      <c r="CN208" s="319">
        <f t="shared" si="105"/>
        <v>0</v>
      </c>
      <c r="CO208" s="319">
        <f t="shared" si="105"/>
        <v>0</v>
      </c>
      <c r="CP208" s="319">
        <f t="shared" si="105"/>
        <v>0</v>
      </c>
      <c r="CQ208" s="319">
        <f t="shared" si="105"/>
        <v>0</v>
      </c>
      <c r="CR208" s="319">
        <f t="shared" si="105"/>
        <v>0</v>
      </c>
      <c r="CS208" s="319">
        <f t="shared" si="105"/>
        <v>0</v>
      </c>
      <c r="CT208" s="319">
        <f t="shared" si="105"/>
        <v>0</v>
      </c>
      <c r="CU208" s="319">
        <f t="shared" si="105"/>
        <v>0</v>
      </c>
      <c r="CV208" s="319">
        <f t="shared" si="105"/>
        <v>0</v>
      </c>
    </row>
    <row r="209" spans="1:100" x14ac:dyDescent="0.25">
      <c r="A209" s="319">
        <f t="shared" si="101"/>
        <v>0</v>
      </c>
      <c r="B209" s="319">
        <f t="shared" si="104"/>
        <v>0</v>
      </c>
      <c r="C209" s="340" t="s">
        <v>1101</v>
      </c>
      <c r="D209" s="341" t="s">
        <v>363</v>
      </c>
      <c r="E209" s="341">
        <v>2</v>
      </c>
      <c r="F209" s="341" t="str">
        <f>IF(AND(E209&lt;CharacterSheet!$V$34,OR('House Rules'!$B$7="Standard",AND('House Rules'!$B$7="Ranked",OR(G208="Yes",G207="Yes")))),"Yes","No")</f>
        <v>No</v>
      </c>
      <c r="G209" s="564" t="s">
        <v>347</v>
      </c>
      <c r="H209" s="333" t="str">
        <f>IF(C209="","",VLOOKUP(C209,Boonref2!A:B,2,FALSE))</f>
        <v>No</v>
      </c>
      <c r="I209" s="333"/>
      <c r="J209" s="333" t="str">
        <f>VLOOKUP(C209,BoonRef!A:Z,17,FALSE)</f>
        <v>Yes</v>
      </c>
      <c r="K209" s="333" t="str">
        <f>IF(J209="God",'House Rules'!$B$2,IF(J209="Demi",'House Rules'!$B$1,IF(J209="Comp",'House Rules'!$B$4,IF(J209="Yaz",'House Rules'!$B$5,IF(J209="Rag",'House Rules'!$B$3,"Available")))))</f>
        <v>Available</v>
      </c>
      <c r="L209" s="333"/>
      <c r="M209" s="333"/>
      <c r="BF209" s="319">
        <f t="shared" si="97"/>
        <v>0</v>
      </c>
      <c r="BG209" s="345" t="s">
        <v>2554</v>
      </c>
      <c r="BI209" s="319">
        <f t="shared" si="102"/>
        <v>0</v>
      </c>
      <c r="BJ209" s="319">
        <f t="shared" si="105"/>
        <v>0</v>
      </c>
      <c r="BK209" s="319">
        <f t="shared" si="105"/>
        <v>0</v>
      </c>
      <c r="BL209" s="319">
        <f t="shared" si="105"/>
        <v>0</v>
      </c>
      <c r="BM209" s="319">
        <f t="shared" si="105"/>
        <v>0</v>
      </c>
      <c r="BN209" s="319">
        <f t="shared" si="105"/>
        <v>0</v>
      </c>
      <c r="BO209" s="319">
        <f t="shared" si="105"/>
        <v>0</v>
      </c>
      <c r="BP209" s="319">
        <f t="shared" si="105"/>
        <v>0</v>
      </c>
      <c r="BQ209" s="319">
        <f t="shared" si="105"/>
        <v>0</v>
      </c>
      <c r="BR209" s="319">
        <f t="shared" si="105"/>
        <v>0</v>
      </c>
      <c r="BS209" s="319">
        <f t="shared" si="105"/>
        <v>0</v>
      </c>
      <c r="BT209" s="319">
        <f t="shared" si="105"/>
        <v>0</v>
      </c>
      <c r="BU209" s="319">
        <f t="shared" si="105"/>
        <v>0</v>
      </c>
      <c r="BV209" s="319">
        <f t="shared" si="105"/>
        <v>0</v>
      </c>
      <c r="BW209" s="319">
        <f t="shared" si="105"/>
        <v>0</v>
      </c>
      <c r="BX209" s="319">
        <f t="shared" si="105"/>
        <v>0</v>
      </c>
      <c r="BY209" s="319">
        <f t="shared" si="105"/>
        <v>0</v>
      </c>
      <c r="BZ209" s="319">
        <f t="shared" si="105"/>
        <v>0</v>
      </c>
      <c r="CA209" s="319">
        <f t="shared" si="105"/>
        <v>0</v>
      </c>
      <c r="CB209" s="319">
        <f t="shared" si="105"/>
        <v>0</v>
      </c>
      <c r="CC209" s="319">
        <f t="shared" si="105"/>
        <v>0</v>
      </c>
      <c r="CD209" s="319">
        <f t="shared" si="105"/>
        <v>0</v>
      </c>
      <c r="CE209" s="319">
        <f t="shared" si="105"/>
        <v>0</v>
      </c>
      <c r="CF209" s="319">
        <f t="shared" si="105"/>
        <v>0</v>
      </c>
      <c r="CG209" s="319">
        <f t="shared" si="105"/>
        <v>0</v>
      </c>
      <c r="CH209" s="319">
        <f t="shared" si="105"/>
        <v>0</v>
      </c>
      <c r="CI209" s="319">
        <f t="shared" si="105"/>
        <v>0</v>
      </c>
      <c r="CJ209" s="319">
        <f t="shared" si="105"/>
        <v>0</v>
      </c>
      <c r="CK209" s="319">
        <f t="shared" si="105"/>
        <v>0</v>
      </c>
      <c r="CL209" s="319">
        <f t="shared" si="105"/>
        <v>0</v>
      </c>
      <c r="CM209" s="319">
        <f t="shared" si="105"/>
        <v>0</v>
      </c>
      <c r="CN209" s="319">
        <f t="shared" si="105"/>
        <v>0</v>
      </c>
      <c r="CO209" s="319">
        <f t="shared" si="105"/>
        <v>0</v>
      </c>
      <c r="CP209" s="319">
        <f t="shared" si="105"/>
        <v>0</v>
      </c>
      <c r="CQ209" s="319">
        <f t="shared" si="105"/>
        <v>0</v>
      </c>
      <c r="CR209" s="319">
        <f t="shared" si="105"/>
        <v>0</v>
      </c>
      <c r="CS209" s="319">
        <f t="shared" si="105"/>
        <v>0</v>
      </c>
      <c r="CT209" s="319">
        <f t="shared" si="105"/>
        <v>0</v>
      </c>
      <c r="CU209" s="319">
        <f t="shared" si="105"/>
        <v>0</v>
      </c>
      <c r="CV209" s="319">
        <f t="shared" si="105"/>
        <v>0</v>
      </c>
    </row>
    <row r="210" spans="1:100" x14ac:dyDescent="0.25">
      <c r="A210" s="319">
        <f t="shared" si="101"/>
        <v>0</v>
      </c>
      <c r="B210" s="319">
        <f t="shared" si="104"/>
        <v>0</v>
      </c>
      <c r="C210" s="340" t="s">
        <v>1102</v>
      </c>
      <c r="D210" s="341" t="s">
        <v>363</v>
      </c>
      <c r="E210" s="341">
        <v>3</v>
      </c>
      <c r="F210" s="341" t="str">
        <f>IF(AND(E210&lt;CharacterSheet!$V$34,OR('House Rules'!$B$7="Standard",AND('House Rules'!$B$7="Ranked",G209="Yes"))),"Yes","No")</f>
        <v>No</v>
      </c>
      <c r="G210" s="564" t="s">
        <v>347</v>
      </c>
      <c r="H210" s="333" t="str">
        <f>IF(C210="","",VLOOKUP(C210,Boonref2!A:B,2,FALSE))</f>
        <v>Yes</v>
      </c>
      <c r="I210" s="333"/>
      <c r="J210" s="333" t="str">
        <f>VLOOKUP(C210,BoonRef!A:Z,17,FALSE)</f>
        <v>Yes</v>
      </c>
      <c r="K210" s="333" t="str">
        <f>IF(J210="God",'House Rules'!$B$2,IF(J210="Demi",'House Rules'!$B$1,IF(J210="Comp",'House Rules'!$B$4,IF(J210="Yaz",'House Rules'!$B$5,IF(J210="Rag",'House Rules'!$B$3,"Available")))))</f>
        <v>Available</v>
      </c>
      <c r="L210" s="333"/>
      <c r="M210" s="333"/>
      <c r="BF210" s="319">
        <f t="shared" si="97"/>
        <v>0</v>
      </c>
      <c r="BG210" s="345" t="s">
        <v>2555</v>
      </c>
      <c r="BI210" s="319">
        <f t="shared" si="102"/>
        <v>0</v>
      </c>
      <c r="BJ210" s="319">
        <f t="shared" si="105"/>
        <v>0</v>
      </c>
      <c r="BK210" s="319">
        <f t="shared" si="105"/>
        <v>0</v>
      </c>
      <c r="BL210" s="319">
        <f t="shared" si="105"/>
        <v>0</v>
      </c>
      <c r="BM210" s="319">
        <f t="shared" si="105"/>
        <v>0</v>
      </c>
      <c r="BN210" s="319">
        <f t="shared" si="105"/>
        <v>0</v>
      </c>
      <c r="BO210" s="319">
        <f t="shared" si="105"/>
        <v>0</v>
      </c>
      <c r="BP210" s="319">
        <f t="shared" si="105"/>
        <v>0</v>
      </c>
      <c r="BQ210" s="319">
        <f t="shared" si="105"/>
        <v>0</v>
      </c>
      <c r="BR210" s="319">
        <f t="shared" si="105"/>
        <v>0</v>
      </c>
      <c r="BS210" s="319">
        <f t="shared" si="105"/>
        <v>0</v>
      </c>
      <c r="BT210" s="319">
        <f t="shared" si="105"/>
        <v>0</v>
      </c>
      <c r="BU210" s="319">
        <f t="shared" si="105"/>
        <v>0</v>
      </c>
      <c r="BV210" s="319">
        <f t="shared" si="105"/>
        <v>0</v>
      </c>
      <c r="BW210" s="319">
        <f t="shared" si="105"/>
        <v>0</v>
      </c>
      <c r="BX210" s="319">
        <f t="shared" si="105"/>
        <v>0</v>
      </c>
      <c r="BY210" s="319">
        <f t="shared" si="105"/>
        <v>0</v>
      </c>
      <c r="BZ210" s="319">
        <f t="shared" si="105"/>
        <v>0</v>
      </c>
      <c r="CA210" s="319">
        <f t="shared" si="105"/>
        <v>0</v>
      </c>
      <c r="CB210" s="319">
        <f t="shared" si="105"/>
        <v>0</v>
      </c>
      <c r="CC210" s="319">
        <f t="shared" si="105"/>
        <v>0</v>
      </c>
      <c r="CD210" s="319">
        <f t="shared" si="105"/>
        <v>0</v>
      </c>
      <c r="CE210" s="319">
        <f t="shared" si="105"/>
        <v>0</v>
      </c>
      <c r="CF210" s="319">
        <f t="shared" si="105"/>
        <v>0</v>
      </c>
      <c r="CG210" s="319">
        <f t="shared" si="105"/>
        <v>0</v>
      </c>
      <c r="CH210" s="319">
        <f t="shared" si="105"/>
        <v>0</v>
      </c>
      <c r="CI210" s="319">
        <f t="shared" si="105"/>
        <v>0</v>
      </c>
      <c r="CJ210" s="319">
        <f t="shared" si="105"/>
        <v>0</v>
      </c>
      <c r="CK210" s="319">
        <f t="shared" si="105"/>
        <v>0</v>
      </c>
      <c r="CL210" s="319">
        <f t="shared" si="105"/>
        <v>0</v>
      </c>
      <c r="CM210" s="319">
        <f t="shared" si="105"/>
        <v>0</v>
      </c>
      <c r="CN210" s="319">
        <f t="shared" si="105"/>
        <v>0</v>
      </c>
      <c r="CO210" s="319">
        <f t="shared" si="105"/>
        <v>0</v>
      </c>
      <c r="CP210" s="319">
        <f t="shared" si="105"/>
        <v>0</v>
      </c>
      <c r="CQ210" s="319">
        <f t="shared" si="105"/>
        <v>0</v>
      </c>
      <c r="CR210" s="319">
        <f t="shared" si="105"/>
        <v>0</v>
      </c>
      <c r="CS210" s="319">
        <f t="shared" si="105"/>
        <v>0</v>
      </c>
      <c r="CT210" s="319">
        <f t="shared" si="105"/>
        <v>0</v>
      </c>
      <c r="CU210" s="319">
        <f t="shared" si="105"/>
        <v>0</v>
      </c>
      <c r="CV210" s="319">
        <f t="shared" si="105"/>
        <v>0</v>
      </c>
    </row>
    <row r="211" spans="1:100" x14ac:dyDescent="0.25">
      <c r="A211" s="319">
        <f t="shared" si="101"/>
        <v>0</v>
      </c>
      <c r="B211" s="319">
        <f t="shared" si="104"/>
        <v>0</v>
      </c>
      <c r="C211" s="340" t="s">
        <v>1404</v>
      </c>
      <c r="D211" s="341" t="s">
        <v>363</v>
      </c>
      <c r="E211" s="341">
        <v>4</v>
      </c>
      <c r="F211" s="341" t="str">
        <f>IF(AND(E211&lt;CharacterSheet!$V$34,'House Rules'!$B$4="Available",OR('House Rules'!$B$7="Standard",AND('House Rules'!$B$7="Ranked",G210="Yes"))),"Yes","No")</f>
        <v>No</v>
      </c>
      <c r="G211" s="564" t="s">
        <v>347</v>
      </c>
      <c r="H211" s="333" t="str">
        <f>IF(C211="","",VLOOKUP(C211,Boonref2!A:B,2,FALSE))</f>
        <v>Yes</v>
      </c>
      <c r="I211" s="333"/>
      <c r="J211" s="333" t="str">
        <f>VLOOKUP(C211,BoonRef!A:Z,17,FALSE)</f>
        <v>Yes</v>
      </c>
      <c r="K211" s="333" t="str">
        <f>IF(J211="God",'House Rules'!$B$2,IF(J211="Demi",'House Rules'!$B$1,IF(J211="Comp",'House Rules'!$B$4,IF(J211="Yaz",'House Rules'!$B$5,IF(J211="Rag",'House Rules'!$B$3,"Available")))))</f>
        <v>Available</v>
      </c>
      <c r="L211" s="333"/>
      <c r="M211" s="333"/>
      <c r="BF211" s="319">
        <f t="shared" si="97"/>
        <v>0</v>
      </c>
      <c r="BG211" s="345" t="s">
        <v>2556</v>
      </c>
      <c r="BI211" s="319">
        <f t="shared" si="102"/>
        <v>0</v>
      </c>
      <c r="BJ211" s="319">
        <f t="shared" si="105"/>
        <v>0</v>
      </c>
      <c r="BK211" s="319">
        <f t="shared" si="105"/>
        <v>0</v>
      </c>
      <c r="BL211" s="319">
        <f t="shared" si="105"/>
        <v>0</v>
      </c>
      <c r="BM211" s="319">
        <f t="shared" si="105"/>
        <v>0</v>
      </c>
      <c r="BN211" s="319">
        <f t="shared" si="105"/>
        <v>0</v>
      </c>
      <c r="BO211" s="319">
        <f t="shared" si="105"/>
        <v>0</v>
      </c>
      <c r="BP211" s="319">
        <f t="shared" si="105"/>
        <v>0</v>
      </c>
      <c r="BQ211" s="319">
        <f t="shared" si="105"/>
        <v>0</v>
      </c>
      <c r="BR211" s="319">
        <f t="shared" si="105"/>
        <v>0</v>
      </c>
      <c r="BS211" s="319">
        <f t="shared" si="105"/>
        <v>0</v>
      </c>
      <c r="BT211" s="319">
        <f t="shared" si="105"/>
        <v>0</v>
      </c>
      <c r="BU211" s="319">
        <f t="shared" si="105"/>
        <v>0</v>
      </c>
      <c r="BV211" s="319">
        <f t="shared" si="105"/>
        <v>0</v>
      </c>
      <c r="BW211" s="319">
        <f t="shared" si="105"/>
        <v>0</v>
      </c>
      <c r="BX211" s="319">
        <f t="shared" si="105"/>
        <v>0</v>
      </c>
      <c r="BY211" s="319">
        <f t="shared" si="105"/>
        <v>0</v>
      </c>
      <c r="BZ211" s="319">
        <f t="shared" si="105"/>
        <v>0</v>
      </c>
      <c r="CA211" s="319">
        <f t="shared" si="105"/>
        <v>0</v>
      </c>
      <c r="CB211" s="319">
        <f t="shared" si="105"/>
        <v>0</v>
      </c>
      <c r="CC211" s="319">
        <f t="shared" si="105"/>
        <v>0</v>
      </c>
      <c r="CD211" s="319">
        <f t="shared" si="105"/>
        <v>0</v>
      </c>
      <c r="CE211" s="319">
        <f t="shared" si="105"/>
        <v>0</v>
      </c>
      <c r="CF211" s="319">
        <f t="shared" si="105"/>
        <v>0</v>
      </c>
      <c r="CG211" s="319">
        <f t="shared" si="105"/>
        <v>0</v>
      </c>
      <c r="CH211" s="319">
        <f t="shared" si="105"/>
        <v>0</v>
      </c>
      <c r="CI211" s="319">
        <f t="shared" si="105"/>
        <v>0</v>
      </c>
      <c r="CJ211" s="319">
        <f t="shared" si="105"/>
        <v>0</v>
      </c>
      <c r="CK211" s="319">
        <f t="shared" si="105"/>
        <v>0</v>
      </c>
      <c r="CL211" s="319">
        <f t="shared" si="105"/>
        <v>0</v>
      </c>
      <c r="CM211" s="319">
        <f t="shared" si="105"/>
        <v>0</v>
      </c>
      <c r="CN211" s="319">
        <f t="shared" si="105"/>
        <v>0</v>
      </c>
      <c r="CO211" s="319">
        <f t="shared" si="105"/>
        <v>0</v>
      </c>
      <c r="CP211" s="319">
        <f t="shared" si="105"/>
        <v>0</v>
      </c>
      <c r="CQ211" s="319">
        <f t="shared" si="105"/>
        <v>0</v>
      </c>
      <c r="CR211" s="319">
        <f t="shared" si="105"/>
        <v>0</v>
      </c>
      <c r="CS211" s="319">
        <f t="shared" si="105"/>
        <v>0</v>
      </c>
      <c r="CT211" s="319">
        <f t="shared" si="105"/>
        <v>0</v>
      </c>
      <c r="CU211" s="319">
        <f t="shared" si="105"/>
        <v>0</v>
      </c>
      <c r="CV211" s="319">
        <f t="shared" si="105"/>
        <v>0</v>
      </c>
    </row>
    <row r="212" spans="1:100" ht="15.75" thickBot="1" x14ac:dyDescent="0.3">
      <c r="A212" s="319">
        <f t="shared" si="101"/>
        <v>0</v>
      </c>
      <c r="B212" s="319">
        <f t="shared" si="104"/>
        <v>0</v>
      </c>
      <c r="C212" s="340" t="s">
        <v>1191</v>
      </c>
      <c r="D212" s="341" t="s">
        <v>363</v>
      </c>
      <c r="E212" s="341">
        <v>4</v>
      </c>
      <c r="F212" s="341" t="str">
        <f>IF(AND(E212&lt;CharacterSheet!$V$34,'House Rules'!$B$1="Available",OR('House Rules'!$B$7="Standard",AND('House Rules'!$B$7="Ranked",G210="Yes"))),"Yes","No")</f>
        <v>No</v>
      </c>
      <c r="G212" s="564" t="s">
        <v>347</v>
      </c>
      <c r="H212" s="333" t="str">
        <f>IF(C212="","",VLOOKUP(C212,Boonref2!A:B,2,FALSE))</f>
        <v>Yes</v>
      </c>
      <c r="I212" s="333"/>
      <c r="J212" s="333" t="str">
        <f>VLOOKUP(C212,BoonRef!A:Z,17,FALSE)</f>
        <v>Yes</v>
      </c>
      <c r="K212" s="333" t="str">
        <f>IF(J212="God",'House Rules'!$B$2,IF(J212="Demi",'House Rules'!$B$1,IF(J212="Comp",'House Rules'!$B$4,IF(J212="Yaz",'House Rules'!$B$5,IF(J212="Rag",'House Rules'!$B$3,"Available")))))</f>
        <v>Available</v>
      </c>
      <c r="L212" s="333"/>
      <c r="M212" s="333"/>
      <c r="BF212" s="319">
        <f t="shared" si="97"/>
        <v>0</v>
      </c>
      <c r="BG212" s="355" t="s">
        <v>2557</v>
      </c>
      <c r="BI212" s="319">
        <f t="shared" si="102"/>
        <v>0</v>
      </c>
      <c r="BJ212" s="319">
        <f t="shared" si="105"/>
        <v>0</v>
      </c>
      <c r="BK212" s="319">
        <f t="shared" si="105"/>
        <v>0</v>
      </c>
      <c r="BL212" s="319">
        <f t="shared" si="105"/>
        <v>0</v>
      </c>
      <c r="BM212" s="319">
        <f t="shared" si="105"/>
        <v>0</v>
      </c>
      <c r="BN212" s="319">
        <f t="shared" si="105"/>
        <v>0</v>
      </c>
      <c r="BO212" s="319">
        <f t="shared" si="105"/>
        <v>0</v>
      </c>
      <c r="BP212" s="319">
        <f t="shared" si="105"/>
        <v>0</v>
      </c>
      <c r="BQ212" s="319">
        <f t="shared" si="105"/>
        <v>0</v>
      </c>
      <c r="BR212" s="319">
        <f t="shared" si="105"/>
        <v>0</v>
      </c>
      <c r="BS212" s="319">
        <f t="shared" si="105"/>
        <v>0</v>
      </c>
      <c r="BT212" s="319">
        <f t="shared" si="105"/>
        <v>0</v>
      </c>
      <c r="BU212" s="319">
        <f t="shared" si="105"/>
        <v>0</v>
      </c>
      <c r="BV212" s="319">
        <f t="shared" si="105"/>
        <v>0</v>
      </c>
      <c r="BW212" s="319">
        <f t="shared" si="105"/>
        <v>0</v>
      </c>
      <c r="BX212" s="319">
        <f t="shared" si="105"/>
        <v>0</v>
      </c>
      <c r="BY212" s="319">
        <f t="shared" si="105"/>
        <v>0</v>
      </c>
      <c r="BZ212" s="319">
        <f t="shared" si="105"/>
        <v>0</v>
      </c>
      <c r="CA212" s="319">
        <f t="shared" si="105"/>
        <v>0</v>
      </c>
      <c r="CB212" s="319">
        <f t="shared" si="105"/>
        <v>0</v>
      </c>
      <c r="CC212" s="319">
        <f t="shared" si="105"/>
        <v>0</v>
      </c>
      <c r="CD212" s="319">
        <f t="shared" si="105"/>
        <v>0</v>
      </c>
      <c r="CE212" s="319">
        <f t="shared" si="105"/>
        <v>0</v>
      </c>
      <c r="CF212" s="319">
        <f t="shared" si="105"/>
        <v>0</v>
      </c>
      <c r="CG212" s="319">
        <f t="shared" si="105"/>
        <v>0</v>
      </c>
      <c r="CH212" s="319">
        <f t="shared" si="105"/>
        <v>0</v>
      </c>
      <c r="CI212" s="319">
        <f t="shared" si="105"/>
        <v>0</v>
      </c>
      <c r="CJ212" s="319">
        <f t="shared" si="105"/>
        <v>0</v>
      </c>
      <c r="CK212" s="319">
        <f t="shared" si="105"/>
        <v>0</v>
      </c>
      <c r="CL212" s="319">
        <f t="shared" si="105"/>
        <v>0</v>
      </c>
      <c r="CM212" s="319">
        <f t="shared" si="105"/>
        <v>0</v>
      </c>
      <c r="CN212" s="319">
        <f t="shared" ref="BJ212:CV219" si="106">IF(AND($D212=CN$1,$G212="Yes"),$E212,0)</f>
        <v>0</v>
      </c>
      <c r="CO212" s="319">
        <f t="shared" si="106"/>
        <v>0</v>
      </c>
      <c r="CP212" s="319">
        <f t="shared" si="106"/>
        <v>0</v>
      </c>
      <c r="CQ212" s="319">
        <f t="shared" si="106"/>
        <v>0</v>
      </c>
      <c r="CR212" s="319">
        <f t="shared" si="106"/>
        <v>0</v>
      </c>
      <c r="CS212" s="319">
        <f t="shared" si="106"/>
        <v>0</v>
      </c>
      <c r="CT212" s="319">
        <f t="shared" si="106"/>
        <v>0</v>
      </c>
      <c r="CU212" s="319">
        <f t="shared" si="106"/>
        <v>0</v>
      </c>
      <c r="CV212" s="319">
        <f t="shared" si="106"/>
        <v>0</v>
      </c>
    </row>
    <row r="213" spans="1:100" x14ac:dyDescent="0.25">
      <c r="A213" s="319">
        <f t="shared" si="101"/>
        <v>0</v>
      </c>
      <c r="B213" s="319">
        <f t="shared" si="104"/>
        <v>0</v>
      </c>
      <c r="C213" s="340" t="s">
        <v>1192</v>
      </c>
      <c r="D213" s="341" t="s">
        <v>363</v>
      </c>
      <c r="E213" s="341">
        <v>5</v>
      </c>
      <c r="F213" s="341" t="str">
        <f>IF(AND(E213&lt;CharacterSheet!$V$34,'House Rules'!$B$1="Available",OR('House Rules'!$B$7="Standard",AND('House Rules'!$B$7="Ranked",OR(G212="Yes",G211="Yes")))),"Yes","No")</f>
        <v>No</v>
      </c>
      <c r="G213" s="564" t="s">
        <v>347</v>
      </c>
      <c r="H213" s="333" t="str">
        <f>IF(C213="","",VLOOKUP(C213,Boonref2!A:B,2,FALSE))</f>
        <v>Yes</v>
      </c>
      <c r="I213" s="333"/>
      <c r="J213" s="333" t="str">
        <f>VLOOKUP(C213,BoonRef!A:Z,17,FALSE)</f>
        <v>Yes</v>
      </c>
      <c r="K213" s="333" t="str">
        <f>IF(J213="God",'House Rules'!$B$2,IF(J213="Demi",'House Rules'!$B$1,IF(J213="Comp",'House Rules'!$B$4,IF(J213="Yaz",'House Rules'!$B$5,IF(J213="Rag",'House Rules'!$B$3,"Available")))))</f>
        <v>Available</v>
      </c>
      <c r="L213" s="333"/>
      <c r="M213" s="333"/>
      <c r="BF213" s="319">
        <f t="shared" ref="BF213:BF222" si="107">AJ32</f>
        <v>0</v>
      </c>
      <c r="BG213" s="336" t="s">
        <v>2618</v>
      </c>
      <c r="BI213" s="319">
        <f t="shared" si="102"/>
        <v>0</v>
      </c>
      <c r="BJ213" s="319">
        <f t="shared" si="106"/>
        <v>0</v>
      </c>
      <c r="BK213" s="319">
        <f t="shared" si="106"/>
        <v>0</v>
      </c>
      <c r="BL213" s="319">
        <f t="shared" si="106"/>
        <v>0</v>
      </c>
      <c r="BM213" s="319">
        <f t="shared" si="106"/>
        <v>0</v>
      </c>
      <c r="BN213" s="319">
        <f t="shared" si="106"/>
        <v>0</v>
      </c>
      <c r="BO213" s="319">
        <f t="shared" si="106"/>
        <v>0</v>
      </c>
      <c r="BP213" s="319">
        <f t="shared" si="106"/>
        <v>0</v>
      </c>
      <c r="BQ213" s="319">
        <f t="shared" si="106"/>
        <v>0</v>
      </c>
      <c r="BR213" s="319">
        <f t="shared" si="106"/>
        <v>0</v>
      </c>
      <c r="BS213" s="319">
        <f t="shared" si="106"/>
        <v>0</v>
      </c>
      <c r="BT213" s="319">
        <f t="shared" si="106"/>
        <v>0</v>
      </c>
      <c r="BU213" s="319">
        <f t="shared" si="106"/>
        <v>0</v>
      </c>
      <c r="BV213" s="319">
        <f t="shared" si="106"/>
        <v>0</v>
      </c>
      <c r="BW213" s="319">
        <f t="shared" si="106"/>
        <v>0</v>
      </c>
      <c r="BX213" s="319">
        <f t="shared" si="106"/>
        <v>0</v>
      </c>
      <c r="BY213" s="319">
        <f t="shared" si="106"/>
        <v>0</v>
      </c>
      <c r="BZ213" s="319">
        <f t="shared" si="106"/>
        <v>0</v>
      </c>
      <c r="CA213" s="319">
        <f t="shared" si="106"/>
        <v>0</v>
      </c>
      <c r="CB213" s="319">
        <f t="shared" si="106"/>
        <v>0</v>
      </c>
      <c r="CC213" s="319">
        <f t="shared" si="106"/>
        <v>0</v>
      </c>
      <c r="CD213" s="319">
        <f t="shared" si="106"/>
        <v>0</v>
      </c>
      <c r="CE213" s="319">
        <f t="shared" si="106"/>
        <v>0</v>
      </c>
      <c r="CF213" s="319">
        <f t="shared" si="106"/>
        <v>0</v>
      </c>
      <c r="CG213" s="319">
        <f t="shared" si="106"/>
        <v>0</v>
      </c>
      <c r="CH213" s="319">
        <f t="shared" si="106"/>
        <v>0</v>
      </c>
      <c r="CI213" s="319">
        <f t="shared" si="106"/>
        <v>0</v>
      </c>
      <c r="CJ213" s="319">
        <f t="shared" si="106"/>
        <v>0</v>
      </c>
      <c r="CK213" s="319">
        <f t="shared" si="106"/>
        <v>0</v>
      </c>
      <c r="CL213" s="319">
        <f t="shared" si="106"/>
        <v>0</v>
      </c>
      <c r="CM213" s="319">
        <f t="shared" si="106"/>
        <v>0</v>
      </c>
      <c r="CN213" s="319">
        <f t="shared" si="106"/>
        <v>0</v>
      </c>
      <c r="CO213" s="319">
        <f t="shared" si="106"/>
        <v>0</v>
      </c>
      <c r="CP213" s="319">
        <f t="shared" si="106"/>
        <v>0</v>
      </c>
      <c r="CQ213" s="319">
        <f t="shared" si="106"/>
        <v>0</v>
      </c>
      <c r="CR213" s="319">
        <f t="shared" si="106"/>
        <v>0</v>
      </c>
      <c r="CS213" s="319">
        <f t="shared" si="106"/>
        <v>0</v>
      </c>
      <c r="CT213" s="319">
        <f t="shared" si="106"/>
        <v>0</v>
      </c>
      <c r="CU213" s="319">
        <f t="shared" si="106"/>
        <v>0</v>
      </c>
      <c r="CV213" s="319">
        <f t="shared" si="106"/>
        <v>0</v>
      </c>
    </row>
    <row r="214" spans="1:100" x14ac:dyDescent="0.25">
      <c r="A214" s="319">
        <f t="shared" si="101"/>
        <v>0</v>
      </c>
      <c r="B214" s="319">
        <f t="shared" si="104"/>
        <v>0</v>
      </c>
      <c r="C214" s="340" t="s">
        <v>1193</v>
      </c>
      <c r="D214" s="341" t="s">
        <v>363</v>
      </c>
      <c r="E214" s="341">
        <v>6</v>
      </c>
      <c r="F214" s="341" t="str">
        <f>IF(AND(E214&lt;CharacterSheet!$V$34,'House Rules'!$B$1="Available",OR('House Rules'!$B$7="Standard",AND('House Rules'!$B$7="Ranked",G213="Yes"))),"Yes","No")</f>
        <v>No</v>
      </c>
      <c r="G214" s="564" t="s">
        <v>347</v>
      </c>
      <c r="H214" s="333" t="str">
        <f>IF(C214="","",VLOOKUP(C214,Boonref2!A:B,2,FALSE))</f>
        <v>Yes</v>
      </c>
      <c r="I214" s="333"/>
      <c r="J214" s="333" t="str">
        <f>VLOOKUP(C214,BoonRef!A:Z,17,FALSE)</f>
        <v>Yes</v>
      </c>
      <c r="K214" s="333" t="str">
        <f>IF(J214="God",'House Rules'!$B$2,IF(J214="Demi",'House Rules'!$B$1,IF(J214="Comp",'House Rules'!$B$4,IF(J214="Yaz",'House Rules'!$B$5,IF(J214="Rag",'House Rules'!$B$3,"Available")))))</f>
        <v>Available</v>
      </c>
      <c r="L214" s="333"/>
      <c r="M214" s="333"/>
      <c r="BF214" s="319">
        <f t="shared" si="107"/>
        <v>0</v>
      </c>
      <c r="BG214" s="345" t="s">
        <v>2619</v>
      </c>
      <c r="BI214" s="319">
        <f t="shared" si="102"/>
        <v>0</v>
      </c>
      <c r="BJ214" s="319">
        <f t="shared" si="106"/>
        <v>0</v>
      </c>
      <c r="BK214" s="319">
        <f t="shared" si="106"/>
        <v>0</v>
      </c>
      <c r="BL214" s="319">
        <f t="shared" si="106"/>
        <v>0</v>
      </c>
      <c r="BM214" s="319">
        <f t="shared" si="106"/>
        <v>0</v>
      </c>
      <c r="BN214" s="319">
        <f t="shared" si="106"/>
        <v>0</v>
      </c>
      <c r="BO214" s="319">
        <f t="shared" si="106"/>
        <v>0</v>
      </c>
      <c r="BP214" s="319">
        <f t="shared" si="106"/>
        <v>0</v>
      </c>
      <c r="BQ214" s="319">
        <f t="shared" si="106"/>
        <v>0</v>
      </c>
      <c r="BR214" s="319">
        <f t="shared" si="106"/>
        <v>0</v>
      </c>
      <c r="BS214" s="319">
        <f t="shared" si="106"/>
        <v>0</v>
      </c>
      <c r="BT214" s="319">
        <f t="shared" si="106"/>
        <v>0</v>
      </c>
      <c r="BU214" s="319">
        <f t="shared" si="106"/>
        <v>0</v>
      </c>
      <c r="BV214" s="319">
        <f t="shared" si="106"/>
        <v>0</v>
      </c>
      <c r="BW214" s="319">
        <f t="shared" si="106"/>
        <v>0</v>
      </c>
      <c r="BX214" s="319">
        <f t="shared" si="106"/>
        <v>0</v>
      </c>
      <c r="BY214" s="319">
        <f t="shared" si="106"/>
        <v>0</v>
      </c>
      <c r="BZ214" s="319">
        <f t="shared" si="106"/>
        <v>0</v>
      </c>
      <c r="CA214" s="319">
        <f t="shared" si="106"/>
        <v>0</v>
      </c>
      <c r="CB214" s="319">
        <f t="shared" si="106"/>
        <v>0</v>
      </c>
      <c r="CC214" s="319">
        <f t="shared" si="106"/>
        <v>0</v>
      </c>
      <c r="CD214" s="319">
        <f t="shared" si="106"/>
        <v>0</v>
      </c>
      <c r="CE214" s="319">
        <f t="shared" si="106"/>
        <v>0</v>
      </c>
      <c r="CF214" s="319">
        <f t="shared" si="106"/>
        <v>0</v>
      </c>
      <c r="CG214" s="319">
        <f t="shared" si="106"/>
        <v>0</v>
      </c>
      <c r="CH214" s="319">
        <f t="shared" si="106"/>
        <v>0</v>
      </c>
      <c r="CI214" s="319">
        <f t="shared" si="106"/>
        <v>0</v>
      </c>
      <c r="CJ214" s="319">
        <f t="shared" si="106"/>
        <v>0</v>
      </c>
      <c r="CK214" s="319">
        <f t="shared" si="106"/>
        <v>0</v>
      </c>
      <c r="CL214" s="319">
        <f t="shared" si="106"/>
        <v>0</v>
      </c>
      <c r="CM214" s="319">
        <f t="shared" si="106"/>
        <v>0</v>
      </c>
      <c r="CN214" s="319">
        <f t="shared" si="106"/>
        <v>0</v>
      </c>
      <c r="CO214" s="319">
        <f t="shared" si="106"/>
        <v>0</v>
      </c>
      <c r="CP214" s="319">
        <f t="shared" si="106"/>
        <v>0</v>
      </c>
      <c r="CQ214" s="319">
        <f t="shared" si="106"/>
        <v>0</v>
      </c>
      <c r="CR214" s="319">
        <f t="shared" si="106"/>
        <v>0</v>
      </c>
      <c r="CS214" s="319">
        <f t="shared" si="106"/>
        <v>0</v>
      </c>
      <c r="CT214" s="319">
        <f t="shared" si="106"/>
        <v>0</v>
      </c>
      <c r="CU214" s="319">
        <f t="shared" si="106"/>
        <v>0</v>
      </c>
      <c r="CV214" s="319">
        <f t="shared" si="106"/>
        <v>0</v>
      </c>
    </row>
    <row r="215" spans="1:100" x14ac:dyDescent="0.25">
      <c r="A215" s="319">
        <f t="shared" si="101"/>
        <v>0</v>
      </c>
      <c r="B215" s="319">
        <f t="shared" si="104"/>
        <v>0</v>
      </c>
      <c r="C215" s="340" t="s">
        <v>1194</v>
      </c>
      <c r="D215" s="341" t="s">
        <v>363</v>
      </c>
      <c r="E215" s="341">
        <v>7</v>
      </c>
      <c r="F215" s="341" t="str">
        <f>IF(AND(E215&lt;CharacterSheet!$V$34,'House Rules'!$B$1="Available",OR('House Rules'!$B$7="Standard",AND('House Rules'!$B$7="Ranked",G214="Yes"))),"Yes","No")</f>
        <v>No</v>
      </c>
      <c r="G215" s="564" t="s">
        <v>347</v>
      </c>
      <c r="H215" s="333" t="str">
        <f>IF(C215="","",VLOOKUP(C215,Boonref2!A:B,2,FALSE))</f>
        <v>Yes</v>
      </c>
      <c r="I215" s="333"/>
      <c r="J215" s="333" t="str">
        <f>VLOOKUP(C215,BoonRef!A:Z,17,FALSE)</f>
        <v>Yes</v>
      </c>
      <c r="K215" s="333" t="str">
        <f>IF(J215="God",'House Rules'!$B$2,IF(J215="Demi",'House Rules'!$B$1,IF(J215="Comp",'House Rules'!$B$4,IF(J215="Yaz",'House Rules'!$B$5,IF(J215="Rag",'House Rules'!$B$3,"Available")))))</f>
        <v>Available</v>
      </c>
      <c r="L215" s="333"/>
      <c r="M215" s="333"/>
      <c r="BF215" s="319">
        <f t="shared" si="107"/>
        <v>0</v>
      </c>
      <c r="BG215" s="345" t="s">
        <v>2620</v>
      </c>
      <c r="BI215" s="319">
        <f t="shared" si="102"/>
        <v>0</v>
      </c>
      <c r="BJ215" s="319">
        <f t="shared" si="106"/>
        <v>0</v>
      </c>
      <c r="BK215" s="319">
        <f t="shared" si="106"/>
        <v>0</v>
      </c>
      <c r="BL215" s="319">
        <f t="shared" si="106"/>
        <v>0</v>
      </c>
      <c r="BM215" s="319">
        <f t="shared" si="106"/>
        <v>0</v>
      </c>
      <c r="BN215" s="319">
        <f t="shared" si="106"/>
        <v>0</v>
      </c>
      <c r="BO215" s="319">
        <f t="shared" si="106"/>
        <v>0</v>
      </c>
      <c r="BP215" s="319">
        <f t="shared" si="106"/>
        <v>0</v>
      </c>
      <c r="BQ215" s="319">
        <f t="shared" si="106"/>
        <v>0</v>
      </c>
      <c r="BR215" s="319">
        <f t="shared" si="106"/>
        <v>0</v>
      </c>
      <c r="BS215" s="319">
        <f t="shared" si="106"/>
        <v>0</v>
      </c>
      <c r="BT215" s="319">
        <f t="shared" si="106"/>
        <v>0</v>
      </c>
      <c r="BU215" s="319">
        <f t="shared" si="106"/>
        <v>0</v>
      </c>
      <c r="BV215" s="319">
        <f t="shared" si="106"/>
        <v>0</v>
      </c>
      <c r="BW215" s="319">
        <f t="shared" si="106"/>
        <v>0</v>
      </c>
      <c r="BX215" s="319">
        <f t="shared" si="106"/>
        <v>0</v>
      </c>
      <c r="BY215" s="319">
        <f t="shared" si="106"/>
        <v>0</v>
      </c>
      <c r="BZ215" s="319">
        <f t="shared" si="106"/>
        <v>0</v>
      </c>
      <c r="CA215" s="319">
        <f t="shared" si="106"/>
        <v>0</v>
      </c>
      <c r="CB215" s="319">
        <f t="shared" si="106"/>
        <v>0</v>
      </c>
      <c r="CC215" s="319">
        <f t="shared" si="106"/>
        <v>0</v>
      </c>
      <c r="CD215" s="319">
        <f t="shared" si="106"/>
        <v>0</v>
      </c>
      <c r="CE215" s="319">
        <f t="shared" si="106"/>
        <v>0</v>
      </c>
      <c r="CF215" s="319">
        <f t="shared" si="106"/>
        <v>0</v>
      </c>
      <c r="CG215" s="319">
        <f t="shared" si="106"/>
        <v>0</v>
      </c>
      <c r="CH215" s="319">
        <f t="shared" si="106"/>
        <v>0</v>
      </c>
      <c r="CI215" s="319">
        <f t="shared" si="106"/>
        <v>0</v>
      </c>
      <c r="CJ215" s="319">
        <f t="shared" si="106"/>
        <v>0</v>
      </c>
      <c r="CK215" s="319">
        <f t="shared" si="106"/>
        <v>0</v>
      </c>
      <c r="CL215" s="319">
        <f t="shared" si="106"/>
        <v>0</v>
      </c>
      <c r="CM215" s="319">
        <f t="shared" si="106"/>
        <v>0</v>
      </c>
      <c r="CN215" s="319">
        <f t="shared" si="106"/>
        <v>0</v>
      </c>
      <c r="CO215" s="319">
        <f t="shared" si="106"/>
        <v>0</v>
      </c>
      <c r="CP215" s="319">
        <f t="shared" si="106"/>
        <v>0</v>
      </c>
      <c r="CQ215" s="319">
        <f t="shared" si="106"/>
        <v>0</v>
      </c>
      <c r="CR215" s="319">
        <f t="shared" si="106"/>
        <v>0</v>
      </c>
      <c r="CS215" s="319">
        <f t="shared" si="106"/>
        <v>0</v>
      </c>
      <c r="CT215" s="319">
        <f t="shared" si="106"/>
        <v>0</v>
      </c>
      <c r="CU215" s="319">
        <f t="shared" si="106"/>
        <v>0</v>
      </c>
      <c r="CV215" s="319">
        <f t="shared" si="106"/>
        <v>0</v>
      </c>
    </row>
    <row r="216" spans="1:100" x14ac:dyDescent="0.25">
      <c r="A216" s="319">
        <f t="shared" si="101"/>
        <v>0</v>
      </c>
      <c r="B216" s="319">
        <f t="shared" si="104"/>
        <v>0</v>
      </c>
      <c r="C216" s="340" t="s">
        <v>1290</v>
      </c>
      <c r="D216" s="341" t="s">
        <v>363</v>
      </c>
      <c r="E216" s="341">
        <v>8</v>
      </c>
      <c r="F216" s="341" t="str">
        <f>IF(AND(E216&lt;CharacterSheet!$V$34,'House Rules'!$B$2="available",OR('House Rules'!$B$7="Standard",AND('House Rules'!$B$7="Ranked",G215="Yes"))),"Yes","No")</f>
        <v>No</v>
      </c>
      <c r="G216" s="564" t="s">
        <v>347</v>
      </c>
      <c r="H216" s="333" t="str">
        <f>IF(C216="","",VLOOKUP(C216,Boonref2!A:B,2,FALSE))</f>
        <v>Yes</v>
      </c>
      <c r="I216" s="333"/>
      <c r="J216" s="333" t="str">
        <f>VLOOKUP(C216,BoonRef!A:Z,17,FALSE)</f>
        <v>Yes</v>
      </c>
      <c r="K216" s="333" t="str">
        <f>IF(J216="God",'House Rules'!$B$2,IF(J216="Demi",'House Rules'!$B$1,IF(J216="Comp",'House Rules'!$B$4,IF(J216="Yaz",'House Rules'!$B$5,IF(J216="Rag",'House Rules'!$B$3,"Available")))))</f>
        <v>Available</v>
      </c>
      <c r="L216" s="333"/>
      <c r="M216" s="333"/>
      <c r="BF216" s="319">
        <f t="shared" si="107"/>
        <v>0</v>
      </c>
      <c r="BG216" s="345" t="s">
        <v>2621</v>
      </c>
      <c r="BI216" s="319">
        <f t="shared" si="102"/>
        <v>0</v>
      </c>
      <c r="BJ216" s="319">
        <f t="shared" si="106"/>
        <v>0</v>
      </c>
      <c r="BK216" s="319">
        <f t="shared" si="106"/>
        <v>0</v>
      </c>
      <c r="BL216" s="319">
        <f t="shared" si="106"/>
        <v>0</v>
      </c>
      <c r="BM216" s="319">
        <f t="shared" si="106"/>
        <v>0</v>
      </c>
      <c r="BN216" s="319">
        <f t="shared" si="106"/>
        <v>0</v>
      </c>
      <c r="BO216" s="319">
        <f t="shared" si="106"/>
        <v>0</v>
      </c>
      <c r="BP216" s="319">
        <f t="shared" si="106"/>
        <v>0</v>
      </c>
      <c r="BQ216" s="319">
        <f t="shared" si="106"/>
        <v>0</v>
      </c>
      <c r="BR216" s="319">
        <f t="shared" si="106"/>
        <v>0</v>
      </c>
      <c r="BS216" s="319">
        <f t="shared" si="106"/>
        <v>0</v>
      </c>
      <c r="BT216" s="319">
        <f t="shared" si="106"/>
        <v>0</v>
      </c>
      <c r="BU216" s="319">
        <f t="shared" si="106"/>
        <v>0</v>
      </c>
      <c r="BV216" s="319">
        <f t="shared" si="106"/>
        <v>0</v>
      </c>
      <c r="BW216" s="319">
        <f t="shared" si="106"/>
        <v>0</v>
      </c>
      <c r="BX216" s="319">
        <f t="shared" si="106"/>
        <v>0</v>
      </c>
      <c r="BY216" s="319">
        <f t="shared" si="106"/>
        <v>0</v>
      </c>
      <c r="BZ216" s="319">
        <f t="shared" si="106"/>
        <v>0</v>
      </c>
      <c r="CA216" s="319">
        <f t="shared" si="106"/>
        <v>0</v>
      </c>
      <c r="CB216" s="319">
        <f t="shared" si="106"/>
        <v>0</v>
      </c>
      <c r="CC216" s="319">
        <f t="shared" si="106"/>
        <v>0</v>
      </c>
      <c r="CD216" s="319">
        <f t="shared" si="106"/>
        <v>0</v>
      </c>
      <c r="CE216" s="319">
        <f t="shared" si="106"/>
        <v>0</v>
      </c>
      <c r="CF216" s="319">
        <f t="shared" si="106"/>
        <v>0</v>
      </c>
      <c r="CG216" s="319">
        <f t="shared" si="106"/>
        <v>0</v>
      </c>
      <c r="CH216" s="319">
        <f t="shared" si="106"/>
        <v>0</v>
      </c>
      <c r="CI216" s="319">
        <f t="shared" si="106"/>
        <v>0</v>
      </c>
      <c r="CJ216" s="319">
        <f t="shared" si="106"/>
        <v>0</v>
      </c>
      <c r="CK216" s="319">
        <f t="shared" si="106"/>
        <v>0</v>
      </c>
      <c r="CL216" s="319">
        <f t="shared" si="106"/>
        <v>0</v>
      </c>
      <c r="CM216" s="319">
        <f t="shared" si="106"/>
        <v>0</v>
      </c>
      <c r="CN216" s="319">
        <f t="shared" si="106"/>
        <v>0</v>
      </c>
      <c r="CO216" s="319">
        <f t="shared" si="106"/>
        <v>0</v>
      </c>
      <c r="CP216" s="319">
        <f t="shared" si="106"/>
        <v>0</v>
      </c>
      <c r="CQ216" s="319">
        <f t="shared" si="106"/>
        <v>0</v>
      </c>
      <c r="CR216" s="319">
        <f t="shared" si="106"/>
        <v>0</v>
      </c>
      <c r="CS216" s="319">
        <f t="shared" si="106"/>
        <v>0</v>
      </c>
      <c r="CT216" s="319">
        <f t="shared" si="106"/>
        <v>0</v>
      </c>
      <c r="CU216" s="319">
        <f t="shared" si="106"/>
        <v>0</v>
      </c>
      <c r="CV216" s="319">
        <f t="shared" si="106"/>
        <v>0</v>
      </c>
    </row>
    <row r="217" spans="1:100" x14ac:dyDescent="0.25">
      <c r="A217" s="319">
        <f t="shared" si="101"/>
        <v>0</v>
      </c>
      <c r="B217" s="319">
        <f t="shared" si="104"/>
        <v>0</v>
      </c>
      <c r="C217" s="340" t="s">
        <v>2641</v>
      </c>
      <c r="D217" s="341" t="s">
        <v>363</v>
      </c>
      <c r="E217" s="341">
        <v>8</v>
      </c>
      <c r="F217" s="341" t="str">
        <f>IF(AND(E216&lt;CharacterSheet!$V$34,'House Rules'!$B$3="Available",OR('House Rules'!$B$7="Standard",AND('House Rules'!$B$7="Ranked",OR(G215="Yes")))),"Yes","No")</f>
        <v>No</v>
      </c>
      <c r="G217" s="564" t="s">
        <v>347</v>
      </c>
      <c r="H217" s="333" t="str">
        <f>IF(C217="","",VLOOKUP(C217,Boonref2!A:B,2,FALSE))</f>
        <v>Yes</v>
      </c>
      <c r="I217" s="333"/>
      <c r="J217" s="333" t="str">
        <f>VLOOKUP(C217,BoonRef!A:Z,17,FALSE)</f>
        <v>Yes</v>
      </c>
      <c r="K217" s="333" t="str">
        <f>IF(J217="God",'House Rules'!$B$2,IF(J217="Demi",'House Rules'!$B$1,IF(J217="Comp",'House Rules'!$B$4,IF(J217="Yaz",'House Rules'!$B$5,IF(J217="Rag",'House Rules'!$B$3,"Available")))))</f>
        <v>Available</v>
      </c>
      <c r="L217" s="333"/>
      <c r="M217" s="333"/>
      <c r="BF217" s="319">
        <f t="shared" si="107"/>
        <v>0</v>
      </c>
      <c r="BG217" s="345" t="s">
        <v>2622</v>
      </c>
      <c r="BI217" s="319">
        <f t="shared" si="102"/>
        <v>0</v>
      </c>
      <c r="BJ217" s="319">
        <f t="shared" si="106"/>
        <v>0</v>
      </c>
      <c r="BK217" s="319">
        <f t="shared" si="106"/>
        <v>0</v>
      </c>
      <c r="BL217" s="319">
        <f t="shared" si="106"/>
        <v>0</v>
      </c>
      <c r="BM217" s="319">
        <f t="shared" si="106"/>
        <v>0</v>
      </c>
      <c r="BN217" s="319">
        <f t="shared" si="106"/>
        <v>0</v>
      </c>
      <c r="BO217" s="319">
        <f t="shared" si="106"/>
        <v>0</v>
      </c>
      <c r="BP217" s="319">
        <f t="shared" si="106"/>
        <v>0</v>
      </c>
      <c r="BQ217" s="319">
        <f t="shared" si="106"/>
        <v>0</v>
      </c>
      <c r="BR217" s="319">
        <f t="shared" si="106"/>
        <v>0</v>
      </c>
      <c r="BS217" s="319">
        <f t="shared" si="106"/>
        <v>0</v>
      </c>
      <c r="BT217" s="319">
        <f t="shared" si="106"/>
        <v>0</v>
      </c>
      <c r="BU217" s="319">
        <f t="shared" si="106"/>
        <v>0</v>
      </c>
      <c r="BV217" s="319">
        <f t="shared" si="106"/>
        <v>0</v>
      </c>
      <c r="BW217" s="319">
        <f t="shared" si="106"/>
        <v>0</v>
      </c>
      <c r="BX217" s="319">
        <f t="shared" si="106"/>
        <v>0</v>
      </c>
      <c r="BY217" s="319">
        <f t="shared" si="106"/>
        <v>0</v>
      </c>
      <c r="BZ217" s="319">
        <f t="shared" si="106"/>
        <v>0</v>
      </c>
      <c r="CA217" s="319">
        <f t="shared" si="106"/>
        <v>0</v>
      </c>
      <c r="CB217" s="319">
        <f t="shared" si="106"/>
        <v>0</v>
      </c>
      <c r="CC217" s="319">
        <f t="shared" si="106"/>
        <v>0</v>
      </c>
      <c r="CD217" s="319">
        <f t="shared" si="106"/>
        <v>0</v>
      </c>
      <c r="CE217" s="319">
        <f t="shared" si="106"/>
        <v>0</v>
      </c>
      <c r="CF217" s="319">
        <f t="shared" si="106"/>
        <v>0</v>
      </c>
      <c r="CG217" s="319">
        <f t="shared" si="106"/>
        <v>0</v>
      </c>
      <c r="CH217" s="319">
        <f t="shared" si="106"/>
        <v>0</v>
      </c>
      <c r="CI217" s="319">
        <f t="shared" si="106"/>
        <v>0</v>
      </c>
      <c r="CJ217" s="319">
        <f t="shared" si="106"/>
        <v>0</v>
      </c>
      <c r="CK217" s="319">
        <f t="shared" si="106"/>
        <v>0</v>
      </c>
      <c r="CL217" s="319">
        <f t="shared" si="106"/>
        <v>0</v>
      </c>
      <c r="CM217" s="319">
        <f t="shared" si="106"/>
        <v>0</v>
      </c>
      <c r="CN217" s="319">
        <f t="shared" si="106"/>
        <v>0</v>
      </c>
      <c r="CO217" s="319">
        <f t="shared" si="106"/>
        <v>0</v>
      </c>
      <c r="CP217" s="319">
        <f t="shared" si="106"/>
        <v>0</v>
      </c>
      <c r="CQ217" s="319">
        <f t="shared" si="106"/>
        <v>0</v>
      </c>
      <c r="CR217" s="319">
        <f t="shared" si="106"/>
        <v>0</v>
      </c>
      <c r="CS217" s="319">
        <f t="shared" si="106"/>
        <v>0</v>
      </c>
      <c r="CT217" s="319">
        <f t="shared" si="106"/>
        <v>0</v>
      </c>
      <c r="CU217" s="319">
        <f t="shared" si="106"/>
        <v>0</v>
      </c>
      <c r="CV217" s="319">
        <f t="shared" si="106"/>
        <v>0</v>
      </c>
    </row>
    <row r="218" spans="1:100" x14ac:dyDescent="0.25">
      <c r="A218" s="319">
        <f t="shared" si="101"/>
        <v>0</v>
      </c>
      <c r="B218" s="319">
        <f t="shared" si="104"/>
        <v>0</v>
      </c>
      <c r="C218" s="340" t="s">
        <v>1291</v>
      </c>
      <c r="D218" s="341" t="s">
        <v>363</v>
      </c>
      <c r="E218" s="341">
        <v>9</v>
      </c>
      <c r="F218" s="341" t="str">
        <f>IF(AND(E218&lt;CharacterSheet!$V$34,'House Rules'!$B$2="available",OR('House Rules'!$B$7="Standard",AND('House Rules'!$B$7="Ranked",OR(G216="Yes",G217="Yes")))),"Yes","No")</f>
        <v>No</v>
      </c>
      <c r="G218" s="564" t="s">
        <v>347</v>
      </c>
      <c r="H218" s="333" t="str">
        <f>IF(C218="","",VLOOKUP(C218,Boonref2!A:B,2,FALSE))</f>
        <v>No</v>
      </c>
      <c r="I218" s="333"/>
      <c r="J218" s="333" t="str">
        <f>VLOOKUP(C218,BoonRef!A:Z,17,FALSE)</f>
        <v>Yes</v>
      </c>
      <c r="K218" s="333" t="str">
        <f>IF(J218="God",'House Rules'!$B$2,IF(J218="Demi",'House Rules'!$B$1,IF(J218="Comp",'House Rules'!$B$4,IF(J218="Yaz",'House Rules'!$B$5,IF(J218="Rag",'House Rules'!$B$3,"Available")))))</f>
        <v>Available</v>
      </c>
      <c r="L218" s="333"/>
      <c r="M218" s="333"/>
      <c r="BF218" s="319">
        <f t="shared" si="107"/>
        <v>0</v>
      </c>
      <c r="BG218" s="345" t="s">
        <v>2623</v>
      </c>
      <c r="BI218" s="319">
        <f t="shared" si="102"/>
        <v>0</v>
      </c>
      <c r="BJ218" s="319">
        <f t="shared" si="106"/>
        <v>0</v>
      </c>
      <c r="BK218" s="319">
        <f t="shared" si="106"/>
        <v>0</v>
      </c>
      <c r="BL218" s="319">
        <f t="shared" si="106"/>
        <v>0</v>
      </c>
      <c r="BM218" s="319">
        <f t="shared" si="106"/>
        <v>0</v>
      </c>
      <c r="BN218" s="319">
        <f t="shared" si="106"/>
        <v>0</v>
      </c>
      <c r="BO218" s="319">
        <f t="shared" si="106"/>
        <v>0</v>
      </c>
      <c r="BP218" s="319">
        <f t="shared" si="106"/>
        <v>0</v>
      </c>
      <c r="BQ218" s="319">
        <f t="shared" si="106"/>
        <v>0</v>
      </c>
      <c r="BR218" s="319">
        <f t="shared" si="106"/>
        <v>0</v>
      </c>
      <c r="BS218" s="319">
        <f t="shared" si="106"/>
        <v>0</v>
      </c>
      <c r="BT218" s="319">
        <f t="shared" si="106"/>
        <v>0</v>
      </c>
      <c r="BU218" s="319">
        <f t="shared" si="106"/>
        <v>0</v>
      </c>
      <c r="BV218" s="319">
        <f t="shared" si="106"/>
        <v>0</v>
      </c>
      <c r="BW218" s="319">
        <f t="shared" si="106"/>
        <v>0</v>
      </c>
      <c r="BX218" s="319">
        <f t="shared" si="106"/>
        <v>0</v>
      </c>
      <c r="BY218" s="319">
        <f t="shared" si="106"/>
        <v>0</v>
      </c>
      <c r="BZ218" s="319">
        <f t="shared" si="106"/>
        <v>0</v>
      </c>
      <c r="CA218" s="319">
        <f t="shared" si="106"/>
        <v>0</v>
      </c>
      <c r="CB218" s="319">
        <f t="shared" si="106"/>
        <v>0</v>
      </c>
      <c r="CC218" s="319">
        <f t="shared" si="106"/>
        <v>0</v>
      </c>
      <c r="CD218" s="319">
        <f t="shared" si="106"/>
        <v>0</v>
      </c>
      <c r="CE218" s="319">
        <f t="shared" si="106"/>
        <v>0</v>
      </c>
      <c r="CF218" s="319">
        <f t="shared" si="106"/>
        <v>0</v>
      </c>
      <c r="CG218" s="319">
        <f t="shared" si="106"/>
        <v>0</v>
      </c>
      <c r="CH218" s="319">
        <f t="shared" si="106"/>
        <v>0</v>
      </c>
      <c r="CI218" s="319">
        <f t="shared" si="106"/>
        <v>0</v>
      </c>
      <c r="CJ218" s="319">
        <f t="shared" si="106"/>
        <v>0</v>
      </c>
      <c r="CK218" s="319">
        <f t="shared" si="106"/>
        <v>0</v>
      </c>
      <c r="CL218" s="319">
        <f t="shared" si="106"/>
        <v>0</v>
      </c>
      <c r="CM218" s="319">
        <f t="shared" si="106"/>
        <v>0</v>
      </c>
      <c r="CN218" s="319">
        <f t="shared" si="106"/>
        <v>0</v>
      </c>
      <c r="CO218" s="319">
        <f t="shared" si="106"/>
        <v>0</v>
      </c>
      <c r="CP218" s="319">
        <f t="shared" si="106"/>
        <v>0</v>
      </c>
      <c r="CQ218" s="319">
        <f t="shared" si="106"/>
        <v>0</v>
      </c>
      <c r="CR218" s="319">
        <f t="shared" si="106"/>
        <v>0</v>
      </c>
      <c r="CS218" s="319">
        <f t="shared" si="106"/>
        <v>0</v>
      </c>
      <c r="CT218" s="319">
        <f t="shared" si="106"/>
        <v>0</v>
      </c>
      <c r="CU218" s="319">
        <f t="shared" si="106"/>
        <v>0</v>
      </c>
      <c r="CV218" s="319">
        <f t="shared" si="106"/>
        <v>0</v>
      </c>
    </row>
    <row r="219" spans="1:100" x14ac:dyDescent="0.25">
      <c r="A219" s="319">
        <f t="shared" si="101"/>
        <v>0</v>
      </c>
      <c r="B219" s="319">
        <f t="shared" si="104"/>
        <v>0</v>
      </c>
      <c r="C219" s="340" t="s">
        <v>1292</v>
      </c>
      <c r="D219" s="341" t="s">
        <v>363</v>
      </c>
      <c r="E219" s="341">
        <v>10</v>
      </c>
      <c r="F219" s="341" t="str">
        <f>IF(AND(E219&lt;CharacterSheet!$V$34,'House Rules'!$B$2="available",OR('House Rules'!$B$7="Standard",AND('House Rules'!$B$7="Ranked",G218="Yes"))),"Yes","No")</f>
        <v>No</v>
      </c>
      <c r="G219" s="564" t="s">
        <v>347</v>
      </c>
      <c r="H219" s="333" t="str">
        <f>IF(C219="","",VLOOKUP(C219,Boonref2!A:B,2,FALSE))</f>
        <v>Yes</v>
      </c>
      <c r="I219" s="333"/>
      <c r="J219" s="333" t="str">
        <f>VLOOKUP(C219,BoonRef!A:Z,17,FALSE)</f>
        <v>Yes</v>
      </c>
      <c r="K219" s="333" t="str">
        <f>IF(J219="God",'House Rules'!$B$2,IF(J219="Demi",'House Rules'!$B$1,IF(J219="Comp",'House Rules'!$B$4,IF(J219="Yaz",'House Rules'!$B$5,IF(J219="Rag",'House Rules'!$B$3,"Available")))))</f>
        <v>Available</v>
      </c>
      <c r="L219" s="333"/>
      <c r="M219" s="333"/>
      <c r="BF219" s="319">
        <f t="shared" si="107"/>
        <v>0</v>
      </c>
      <c r="BG219" s="345" t="s">
        <v>2624</v>
      </c>
      <c r="BI219" s="319">
        <f t="shared" si="102"/>
        <v>0</v>
      </c>
      <c r="BJ219" s="319">
        <f t="shared" si="106"/>
        <v>0</v>
      </c>
      <c r="BK219" s="319">
        <f t="shared" si="106"/>
        <v>0</v>
      </c>
      <c r="BL219" s="319">
        <f t="shared" si="106"/>
        <v>0</v>
      </c>
      <c r="BM219" s="319">
        <f t="shared" si="106"/>
        <v>0</v>
      </c>
      <c r="BN219" s="319">
        <f t="shared" si="106"/>
        <v>0</v>
      </c>
      <c r="BO219" s="319">
        <f t="shared" si="106"/>
        <v>0</v>
      </c>
      <c r="BP219" s="319">
        <f t="shared" si="106"/>
        <v>0</v>
      </c>
      <c r="BQ219" s="319">
        <f t="shared" si="106"/>
        <v>0</v>
      </c>
      <c r="BR219" s="319">
        <f t="shared" si="106"/>
        <v>0</v>
      </c>
      <c r="BS219" s="319">
        <f t="shared" si="106"/>
        <v>0</v>
      </c>
      <c r="BT219" s="319">
        <f t="shared" si="106"/>
        <v>0</v>
      </c>
      <c r="BU219" s="319">
        <f t="shared" si="106"/>
        <v>0</v>
      </c>
      <c r="BV219" s="319">
        <f t="shared" ref="BJ219:CV225" si="108">IF(AND($D219=BV$1,$G219="Yes"),$E219,0)</f>
        <v>0</v>
      </c>
      <c r="BW219" s="319">
        <f t="shared" si="108"/>
        <v>0</v>
      </c>
      <c r="BX219" s="319">
        <f t="shared" si="108"/>
        <v>0</v>
      </c>
      <c r="BY219" s="319">
        <f t="shared" si="108"/>
        <v>0</v>
      </c>
      <c r="BZ219" s="319">
        <f t="shared" si="108"/>
        <v>0</v>
      </c>
      <c r="CA219" s="319">
        <f t="shared" si="108"/>
        <v>0</v>
      </c>
      <c r="CB219" s="319">
        <f t="shared" si="108"/>
        <v>0</v>
      </c>
      <c r="CC219" s="319">
        <f t="shared" si="108"/>
        <v>0</v>
      </c>
      <c r="CD219" s="319">
        <f t="shared" si="108"/>
        <v>0</v>
      </c>
      <c r="CE219" s="319">
        <f t="shared" si="108"/>
        <v>0</v>
      </c>
      <c r="CF219" s="319">
        <f t="shared" si="108"/>
        <v>0</v>
      </c>
      <c r="CG219" s="319">
        <f t="shared" si="108"/>
        <v>0</v>
      </c>
      <c r="CH219" s="319">
        <f t="shared" si="108"/>
        <v>0</v>
      </c>
      <c r="CI219" s="319">
        <f t="shared" si="108"/>
        <v>0</v>
      </c>
      <c r="CJ219" s="319">
        <f t="shared" si="108"/>
        <v>0</v>
      </c>
      <c r="CK219" s="319">
        <f t="shared" si="108"/>
        <v>0</v>
      </c>
      <c r="CL219" s="319">
        <f t="shared" si="108"/>
        <v>0</v>
      </c>
      <c r="CM219" s="319">
        <f t="shared" si="108"/>
        <v>0</v>
      </c>
      <c r="CN219" s="319">
        <f t="shared" si="108"/>
        <v>0</v>
      </c>
      <c r="CO219" s="319">
        <f t="shared" si="108"/>
        <v>0</v>
      </c>
      <c r="CP219" s="319">
        <f t="shared" si="108"/>
        <v>0</v>
      </c>
      <c r="CQ219" s="319">
        <f t="shared" si="108"/>
        <v>0</v>
      </c>
      <c r="CR219" s="319">
        <f t="shared" si="108"/>
        <v>0</v>
      </c>
      <c r="CS219" s="319">
        <f t="shared" si="108"/>
        <v>0</v>
      </c>
      <c r="CT219" s="319">
        <f t="shared" si="108"/>
        <v>0</v>
      </c>
      <c r="CU219" s="319">
        <f t="shared" si="108"/>
        <v>0</v>
      </c>
      <c r="CV219" s="319">
        <f t="shared" si="108"/>
        <v>0</v>
      </c>
    </row>
    <row r="220" spans="1:100" ht="15.75" thickBot="1" x14ac:dyDescent="0.3">
      <c r="A220" s="319">
        <f t="shared" si="101"/>
        <v>0</v>
      </c>
      <c r="B220" s="319">
        <f t="shared" si="104"/>
        <v>0</v>
      </c>
      <c r="C220" s="352" t="s">
        <v>1293</v>
      </c>
      <c r="D220" s="353" t="s">
        <v>363</v>
      </c>
      <c r="E220" s="353">
        <v>11</v>
      </c>
      <c r="F220" s="353" t="str">
        <f>IF(AND(E25&lt;CharacterSheet!$V$34,G209="Yes",G210="Yes",G213="Yes",G214="Yes",G215="Yes",OR(G216="Yes",G217="Yes"),G218="Yes",G219="Yes",OR(G207="Yes",G208="Yes"),OR(G211="Yes",G212="Yes")),"Yes","No")</f>
        <v>No</v>
      </c>
      <c r="G220" s="565" t="s">
        <v>347</v>
      </c>
      <c r="H220" s="333" t="str">
        <f>IF(C220="","",VLOOKUP(C220,Boonref2!A:B,2,FALSE))</f>
        <v>No</v>
      </c>
      <c r="I220" s="333"/>
      <c r="J220" s="333" t="str">
        <f>VLOOKUP(C220,BoonRef!A:Z,17,FALSE)</f>
        <v>Yes</v>
      </c>
      <c r="K220" s="333" t="str">
        <f>IF(J220="God",'House Rules'!$B$2,IF(J220="Demi",'House Rules'!$B$1,IF(J220="Comp",'House Rules'!$B$4,IF(J220="Yaz",'House Rules'!$B$5,IF(J220="Rag",'House Rules'!$B$3,"Available")))))</f>
        <v>Available</v>
      </c>
      <c r="L220" s="333"/>
      <c r="M220" s="333"/>
      <c r="BF220" s="319">
        <f t="shared" si="107"/>
        <v>0</v>
      </c>
      <c r="BG220" s="345" t="s">
        <v>2625</v>
      </c>
      <c r="BI220" s="319">
        <f t="shared" si="102"/>
        <v>0</v>
      </c>
      <c r="BJ220" s="319">
        <f t="shared" si="108"/>
        <v>0</v>
      </c>
      <c r="BK220" s="319">
        <f t="shared" si="108"/>
        <v>0</v>
      </c>
      <c r="BL220" s="319">
        <f t="shared" si="108"/>
        <v>0</v>
      </c>
      <c r="BM220" s="319">
        <f t="shared" si="108"/>
        <v>0</v>
      </c>
      <c r="BN220" s="319">
        <f t="shared" si="108"/>
        <v>0</v>
      </c>
      <c r="BO220" s="319">
        <f t="shared" si="108"/>
        <v>0</v>
      </c>
      <c r="BP220" s="319">
        <f t="shared" si="108"/>
        <v>0</v>
      </c>
      <c r="BQ220" s="319">
        <f t="shared" si="108"/>
        <v>0</v>
      </c>
      <c r="BR220" s="319">
        <f t="shared" si="108"/>
        <v>0</v>
      </c>
      <c r="BS220" s="319">
        <f t="shared" si="108"/>
        <v>0</v>
      </c>
      <c r="BT220" s="319">
        <f t="shared" si="108"/>
        <v>0</v>
      </c>
      <c r="BU220" s="319">
        <f t="shared" si="108"/>
        <v>0</v>
      </c>
      <c r="BV220" s="319">
        <f t="shared" si="108"/>
        <v>0</v>
      </c>
      <c r="BW220" s="319">
        <f t="shared" si="108"/>
        <v>0</v>
      </c>
      <c r="BX220" s="319">
        <f t="shared" si="108"/>
        <v>0</v>
      </c>
      <c r="BY220" s="319">
        <f t="shared" si="108"/>
        <v>0</v>
      </c>
      <c r="BZ220" s="319">
        <f t="shared" si="108"/>
        <v>0</v>
      </c>
      <c r="CA220" s="319">
        <f t="shared" si="108"/>
        <v>0</v>
      </c>
      <c r="CB220" s="319">
        <f t="shared" si="108"/>
        <v>0</v>
      </c>
      <c r="CC220" s="319">
        <f t="shared" si="108"/>
        <v>0</v>
      </c>
      <c r="CD220" s="319">
        <f t="shared" si="108"/>
        <v>0</v>
      </c>
      <c r="CE220" s="319">
        <f t="shared" si="108"/>
        <v>0</v>
      </c>
      <c r="CF220" s="319">
        <f t="shared" si="108"/>
        <v>0</v>
      </c>
      <c r="CG220" s="319">
        <f t="shared" si="108"/>
        <v>0</v>
      </c>
      <c r="CH220" s="319">
        <f t="shared" si="108"/>
        <v>0</v>
      </c>
      <c r="CI220" s="319">
        <f t="shared" si="108"/>
        <v>0</v>
      </c>
      <c r="CJ220" s="319">
        <f t="shared" si="108"/>
        <v>0</v>
      </c>
      <c r="CK220" s="319">
        <f t="shared" si="108"/>
        <v>0</v>
      </c>
      <c r="CL220" s="319">
        <f t="shared" si="108"/>
        <v>0</v>
      </c>
      <c r="CM220" s="319">
        <f t="shared" si="108"/>
        <v>0</v>
      </c>
      <c r="CN220" s="319">
        <f t="shared" si="108"/>
        <v>0</v>
      </c>
      <c r="CO220" s="319">
        <f t="shared" si="108"/>
        <v>0</v>
      </c>
      <c r="CP220" s="319">
        <f t="shared" si="108"/>
        <v>0</v>
      </c>
      <c r="CQ220" s="319">
        <f t="shared" si="108"/>
        <v>0</v>
      </c>
      <c r="CR220" s="319">
        <f t="shared" si="108"/>
        <v>0</v>
      </c>
      <c r="CS220" s="319">
        <f t="shared" si="108"/>
        <v>0</v>
      </c>
      <c r="CT220" s="319">
        <f t="shared" si="108"/>
        <v>0</v>
      </c>
      <c r="CU220" s="319">
        <f t="shared" si="108"/>
        <v>0</v>
      </c>
      <c r="CV220" s="319">
        <f t="shared" si="108"/>
        <v>0</v>
      </c>
    </row>
    <row r="221" spans="1:100" x14ac:dyDescent="0.25">
      <c r="A221" s="319">
        <f t="shared" si="101"/>
        <v>0</v>
      </c>
      <c r="B221" s="319">
        <f t="shared" si="104"/>
        <v>0</v>
      </c>
      <c r="C221" s="330" t="s">
        <v>3535</v>
      </c>
      <c r="D221" s="331" t="s">
        <v>364</v>
      </c>
      <c r="E221" s="331">
        <v>1</v>
      </c>
      <c r="F221" s="331" t="str">
        <f>IF(AND(E221&lt;CharacterSheet!$V$34,'House Rules'!$B$5="Available"),"Yes","No")</f>
        <v>Yes</v>
      </c>
      <c r="G221" s="563" t="s">
        <v>347</v>
      </c>
      <c r="H221" s="333" t="str">
        <f>IF(C221="","",VLOOKUP(C221,Boonref2!A:B,2,FALSE))</f>
        <v>Yes</v>
      </c>
      <c r="I221" s="333"/>
      <c r="J221" s="333" t="str">
        <f>VLOOKUP(C221,BoonRef!A:Z,17,FALSE)</f>
        <v>Yes</v>
      </c>
      <c r="K221" s="333" t="str">
        <f>IF(J221="God",'House Rules'!$B$2,IF(J221="Demi",'House Rules'!$B$1,IF(J221="Comp",'House Rules'!$B$4,IF(J221="Yaz",'House Rules'!$B$5,IF(J221="Rag",'House Rules'!$B$3,"Available")))))</f>
        <v>Available</v>
      </c>
      <c r="L221" s="333"/>
      <c r="M221" s="333"/>
      <c r="BF221" s="319">
        <f t="shared" si="107"/>
        <v>0</v>
      </c>
      <c r="BG221" s="345" t="s">
        <v>2626</v>
      </c>
      <c r="BI221" s="319">
        <f t="shared" si="102"/>
        <v>0</v>
      </c>
      <c r="BJ221" s="319">
        <f t="shared" si="108"/>
        <v>0</v>
      </c>
      <c r="BK221" s="319">
        <f t="shared" si="108"/>
        <v>0</v>
      </c>
      <c r="BL221" s="319">
        <f t="shared" si="108"/>
        <v>0</v>
      </c>
      <c r="BM221" s="319">
        <f t="shared" si="108"/>
        <v>0</v>
      </c>
      <c r="BN221" s="319">
        <f t="shared" si="108"/>
        <v>0</v>
      </c>
      <c r="BO221" s="319">
        <f t="shared" si="108"/>
        <v>0</v>
      </c>
      <c r="BP221" s="319">
        <f t="shared" si="108"/>
        <v>0</v>
      </c>
      <c r="BQ221" s="319">
        <f t="shared" si="108"/>
        <v>0</v>
      </c>
      <c r="BR221" s="319">
        <f t="shared" si="108"/>
        <v>0</v>
      </c>
      <c r="BS221" s="319">
        <f t="shared" si="108"/>
        <v>0</v>
      </c>
      <c r="BT221" s="319">
        <f t="shared" si="108"/>
        <v>0</v>
      </c>
      <c r="BU221" s="319">
        <f t="shared" si="108"/>
        <v>0</v>
      </c>
      <c r="BV221" s="319">
        <f t="shared" si="108"/>
        <v>0</v>
      </c>
      <c r="BW221" s="319">
        <f t="shared" si="108"/>
        <v>0</v>
      </c>
      <c r="BX221" s="319">
        <f t="shared" si="108"/>
        <v>0</v>
      </c>
      <c r="BY221" s="319">
        <f t="shared" si="108"/>
        <v>0</v>
      </c>
      <c r="BZ221" s="319">
        <f t="shared" si="108"/>
        <v>0</v>
      </c>
      <c r="CA221" s="319">
        <f t="shared" si="108"/>
        <v>0</v>
      </c>
      <c r="CB221" s="319">
        <f t="shared" si="108"/>
        <v>0</v>
      </c>
      <c r="CC221" s="319">
        <f t="shared" si="108"/>
        <v>0</v>
      </c>
      <c r="CD221" s="319">
        <f t="shared" si="108"/>
        <v>0</v>
      </c>
      <c r="CE221" s="319">
        <f t="shared" si="108"/>
        <v>0</v>
      </c>
      <c r="CF221" s="319">
        <f t="shared" si="108"/>
        <v>0</v>
      </c>
      <c r="CG221" s="319">
        <f t="shared" si="108"/>
        <v>0</v>
      </c>
      <c r="CH221" s="319">
        <f t="shared" si="108"/>
        <v>0</v>
      </c>
      <c r="CI221" s="319">
        <f t="shared" si="108"/>
        <v>0</v>
      </c>
      <c r="CJ221" s="319">
        <f t="shared" si="108"/>
        <v>0</v>
      </c>
      <c r="CK221" s="319">
        <f t="shared" si="108"/>
        <v>0</v>
      </c>
      <c r="CL221" s="319">
        <f t="shared" si="108"/>
        <v>0</v>
      </c>
      <c r="CM221" s="319">
        <f t="shared" si="108"/>
        <v>0</v>
      </c>
      <c r="CN221" s="319">
        <f t="shared" si="108"/>
        <v>0</v>
      </c>
      <c r="CO221" s="319">
        <f t="shared" si="108"/>
        <v>0</v>
      </c>
      <c r="CP221" s="319">
        <f t="shared" si="108"/>
        <v>0</v>
      </c>
      <c r="CQ221" s="319">
        <f t="shared" si="108"/>
        <v>0</v>
      </c>
      <c r="CR221" s="319">
        <f t="shared" si="108"/>
        <v>0</v>
      </c>
      <c r="CS221" s="319">
        <f t="shared" si="108"/>
        <v>0</v>
      </c>
      <c r="CT221" s="319">
        <f t="shared" si="108"/>
        <v>0</v>
      </c>
      <c r="CU221" s="319">
        <f t="shared" si="108"/>
        <v>0</v>
      </c>
      <c r="CV221" s="319">
        <f t="shared" si="108"/>
        <v>0</v>
      </c>
    </row>
    <row r="222" spans="1:100" ht="15.75" thickBot="1" x14ac:dyDescent="0.3">
      <c r="A222" s="319">
        <f t="shared" si="101"/>
        <v>0</v>
      </c>
      <c r="B222" s="319">
        <f t="shared" si="104"/>
        <v>0</v>
      </c>
      <c r="C222" s="340" t="s">
        <v>1474</v>
      </c>
      <c r="D222" s="341" t="s">
        <v>364</v>
      </c>
      <c r="E222" s="341">
        <v>2</v>
      </c>
      <c r="F222" s="341" t="str">
        <f>IF(AND(E222&lt;CharacterSheet!$V$34,'House Rules'!$B$5="Available",OR('House Rules'!$B$7="Standard",AND('House Rules'!$B$7="Ranked",G221="Yes"))),"Yes","No")</f>
        <v>No</v>
      </c>
      <c r="G222" s="564" t="s">
        <v>347</v>
      </c>
      <c r="H222" s="333" t="str">
        <f>IF(C222="","",VLOOKUP(C222,Boonref2!A:B,2,FALSE))</f>
        <v>Yes</v>
      </c>
      <c r="I222" s="333"/>
      <c r="J222" s="333" t="str">
        <f>VLOOKUP(C222,BoonRef!A:Z,17,FALSE)</f>
        <v>Yes</v>
      </c>
      <c r="K222" s="333" t="str">
        <f>IF(J222="God",'House Rules'!$B$2,IF(J222="Demi",'House Rules'!$B$1,IF(J222="Comp",'House Rules'!$B$4,IF(J222="Yaz",'House Rules'!$B$5,IF(J222="Rag",'House Rules'!$B$3,"Available")))))</f>
        <v>Available</v>
      </c>
      <c r="L222" s="333"/>
      <c r="M222" s="333"/>
      <c r="BF222" s="319">
        <f t="shared" si="107"/>
        <v>0</v>
      </c>
      <c r="BG222" s="355" t="s">
        <v>2627</v>
      </c>
      <c r="BI222" s="319">
        <f t="shared" si="102"/>
        <v>0</v>
      </c>
      <c r="BJ222" s="319">
        <f t="shared" si="108"/>
        <v>0</v>
      </c>
      <c r="BK222" s="319">
        <f t="shared" si="108"/>
        <v>0</v>
      </c>
      <c r="BL222" s="319">
        <f t="shared" si="108"/>
        <v>0</v>
      </c>
      <c r="BM222" s="319">
        <f t="shared" si="108"/>
        <v>0</v>
      </c>
      <c r="BN222" s="319">
        <f t="shared" si="108"/>
        <v>0</v>
      </c>
      <c r="BO222" s="319">
        <f t="shared" si="108"/>
        <v>0</v>
      </c>
      <c r="BP222" s="319">
        <f t="shared" si="108"/>
        <v>0</v>
      </c>
      <c r="BQ222" s="319">
        <f t="shared" si="108"/>
        <v>0</v>
      </c>
      <c r="BR222" s="319">
        <f t="shared" si="108"/>
        <v>0</v>
      </c>
      <c r="BS222" s="319">
        <f t="shared" si="108"/>
        <v>0</v>
      </c>
      <c r="BT222" s="319">
        <f t="shared" si="108"/>
        <v>0</v>
      </c>
      <c r="BU222" s="319">
        <f t="shared" si="108"/>
        <v>0</v>
      </c>
      <c r="BV222" s="319">
        <f t="shared" si="108"/>
        <v>0</v>
      </c>
      <c r="BW222" s="319">
        <f t="shared" si="108"/>
        <v>0</v>
      </c>
      <c r="BX222" s="319">
        <f t="shared" si="108"/>
        <v>0</v>
      </c>
      <c r="BY222" s="319">
        <f t="shared" si="108"/>
        <v>0</v>
      </c>
      <c r="BZ222" s="319">
        <f t="shared" si="108"/>
        <v>0</v>
      </c>
      <c r="CA222" s="319">
        <f t="shared" si="108"/>
        <v>0</v>
      </c>
      <c r="CB222" s="319">
        <f t="shared" si="108"/>
        <v>0</v>
      </c>
      <c r="CC222" s="319">
        <f t="shared" si="108"/>
        <v>0</v>
      </c>
      <c r="CD222" s="319">
        <f t="shared" si="108"/>
        <v>0</v>
      </c>
      <c r="CE222" s="319">
        <f t="shared" si="108"/>
        <v>0</v>
      </c>
      <c r="CF222" s="319">
        <f t="shared" si="108"/>
        <v>0</v>
      </c>
      <c r="CG222" s="319">
        <f t="shared" si="108"/>
        <v>0</v>
      </c>
      <c r="CH222" s="319">
        <f t="shared" si="108"/>
        <v>0</v>
      </c>
      <c r="CI222" s="319">
        <f t="shared" si="108"/>
        <v>0</v>
      </c>
      <c r="CJ222" s="319">
        <f t="shared" si="108"/>
        <v>0</v>
      </c>
      <c r="CK222" s="319">
        <f t="shared" si="108"/>
        <v>0</v>
      </c>
      <c r="CL222" s="319">
        <f t="shared" si="108"/>
        <v>0</v>
      </c>
      <c r="CM222" s="319">
        <f t="shared" si="108"/>
        <v>0</v>
      </c>
      <c r="CN222" s="319">
        <f t="shared" si="108"/>
        <v>0</v>
      </c>
      <c r="CO222" s="319">
        <f t="shared" si="108"/>
        <v>0</v>
      </c>
      <c r="CP222" s="319">
        <f t="shared" si="108"/>
        <v>0</v>
      </c>
      <c r="CQ222" s="319">
        <f t="shared" si="108"/>
        <v>0</v>
      </c>
      <c r="CR222" s="319">
        <f t="shared" si="108"/>
        <v>0</v>
      </c>
      <c r="CS222" s="319">
        <f t="shared" si="108"/>
        <v>0</v>
      </c>
      <c r="CT222" s="319">
        <f t="shared" si="108"/>
        <v>0</v>
      </c>
      <c r="CU222" s="319">
        <f t="shared" si="108"/>
        <v>0</v>
      </c>
      <c r="CV222" s="319">
        <f t="shared" si="108"/>
        <v>0</v>
      </c>
    </row>
    <row r="223" spans="1:100" x14ac:dyDescent="0.25">
      <c r="A223" s="319">
        <f t="shared" si="101"/>
        <v>0</v>
      </c>
      <c r="B223" s="319">
        <f t="shared" si="104"/>
        <v>0</v>
      </c>
      <c r="C223" s="340" t="s">
        <v>1475</v>
      </c>
      <c r="D223" s="341" t="s">
        <v>364</v>
      </c>
      <c r="E223" s="341">
        <v>3</v>
      </c>
      <c r="F223" s="341" t="str">
        <f>IF(AND(E223&lt;CharacterSheet!$V$34,'House Rules'!$B$5="Available",OR('House Rules'!$B$7="Standard",AND('House Rules'!$B$7="Ranked",G222="Yes"))),"Yes","No")</f>
        <v>No</v>
      </c>
      <c r="G223" s="564" t="s">
        <v>347</v>
      </c>
      <c r="H223" s="333" t="str">
        <f>IF(C223="","",VLOOKUP(C223,Boonref2!A:B,2,FALSE))</f>
        <v>Yes</v>
      </c>
      <c r="I223" s="333"/>
      <c r="J223" s="333" t="str">
        <f>VLOOKUP(C223,BoonRef!A:Z,17,FALSE)</f>
        <v>Yes</v>
      </c>
      <c r="K223" s="333" t="str">
        <f>IF(J223="God",'House Rules'!$B$2,IF(J223="Demi",'House Rules'!$B$1,IF(J223="Comp",'House Rules'!$B$4,IF(J223="Yaz",'House Rules'!$B$5,IF(J223="Rag",'House Rules'!$B$3,"Available")))))</f>
        <v>Available</v>
      </c>
      <c r="L223" s="333"/>
      <c r="M223" s="333"/>
      <c r="BF223" s="319">
        <f t="shared" ref="BF223:BF252" si="109">AB72</f>
        <v>0</v>
      </c>
      <c r="BG223" s="336" t="s">
        <v>2558</v>
      </c>
      <c r="BI223" s="319">
        <f t="shared" si="102"/>
        <v>0</v>
      </c>
      <c r="BJ223" s="319">
        <f t="shared" si="108"/>
        <v>0</v>
      </c>
      <c r="BK223" s="319">
        <f t="shared" si="108"/>
        <v>0</v>
      </c>
      <c r="BL223" s="319">
        <f t="shared" si="108"/>
        <v>0</v>
      </c>
      <c r="BM223" s="319">
        <f t="shared" si="108"/>
        <v>0</v>
      </c>
      <c r="BN223" s="319">
        <f t="shared" si="108"/>
        <v>0</v>
      </c>
      <c r="BO223" s="319">
        <f t="shared" si="108"/>
        <v>0</v>
      </c>
      <c r="BP223" s="319">
        <f t="shared" si="108"/>
        <v>0</v>
      </c>
      <c r="BQ223" s="319">
        <f t="shared" si="108"/>
        <v>0</v>
      </c>
      <c r="BR223" s="319">
        <f t="shared" si="108"/>
        <v>0</v>
      </c>
      <c r="BS223" s="319">
        <f t="shared" si="108"/>
        <v>0</v>
      </c>
      <c r="BT223" s="319">
        <f t="shared" si="108"/>
        <v>0</v>
      </c>
      <c r="BU223" s="319">
        <f t="shared" si="108"/>
        <v>0</v>
      </c>
      <c r="BV223" s="319">
        <f t="shared" si="108"/>
        <v>0</v>
      </c>
      <c r="BW223" s="319">
        <f t="shared" si="108"/>
        <v>0</v>
      </c>
      <c r="BX223" s="319">
        <f t="shared" si="108"/>
        <v>0</v>
      </c>
      <c r="BY223" s="319">
        <f t="shared" si="108"/>
        <v>0</v>
      </c>
      <c r="BZ223" s="319">
        <f t="shared" si="108"/>
        <v>0</v>
      </c>
      <c r="CA223" s="319">
        <f t="shared" si="108"/>
        <v>0</v>
      </c>
      <c r="CB223" s="319">
        <f t="shared" si="108"/>
        <v>0</v>
      </c>
      <c r="CC223" s="319">
        <f t="shared" si="108"/>
        <v>0</v>
      </c>
      <c r="CD223" s="319">
        <f t="shared" si="108"/>
        <v>0</v>
      </c>
      <c r="CE223" s="319">
        <f t="shared" si="108"/>
        <v>0</v>
      </c>
      <c r="CF223" s="319">
        <f t="shared" si="108"/>
        <v>0</v>
      </c>
      <c r="CG223" s="319">
        <f t="shared" si="108"/>
        <v>0</v>
      </c>
      <c r="CH223" s="319">
        <f t="shared" si="108"/>
        <v>0</v>
      </c>
      <c r="CI223" s="319">
        <f t="shared" si="108"/>
        <v>0</v>
      </c>
      <c r="CJ223" s="319">
        <f t="shared" si="108"/>
        <v>0</v>
      </c>
      <c r="CK223" s="319">
        <f t="shared" si="108"/>
        <v>0</v>
      </c>
      <c r="CL223" s="319">
        <f t="shared" si="108"/>
        <v>0</v>
      </c>
      <c r="CM223" s="319">
        <f t="shared" si="108"/>
        <v>0</v>
      </c>
      <c r="CN223" s="319">
        <f t="shared" si="108"/>
        <v>0</v>
      </c>
      <c r="CO223" s="319">
        <f t="shared" si="108"/>
        <v>0</v>
      </c>
      <c r="CP223" s="319">
        <f t="shared" si="108"/>
        <v>0</v>
      </c>
      <c r="CQ223" s="319">
        <f t="shared" si="108"/>
        <v>0</v>
      </c>
      <c r="CR223" s="319">
        <f t="shared" si="108"/>
        <v>0</v>
      </c>
      <c r="CS223" s="319">
        <f t="shared" si="108"/>
        <v>0</v>
      </c>
      <c r="CT223" s="319">
        <f t="shared" si="108"/>
        <v>0</v>
      </c>
      <c r="CU223" s="319">
        <f t="shared" si="108"/>
        <v>0</v>
      </c>
      <c r="CV223" s="319">
        <f t="shared" si="108"/>
        <v>0</v>
      </c>
    </row>
    <row r="224" spans="1:100" x14ac:dyDescent="0.25">
      <c r="A224" s="319">
        <f t="shared" si="101"/>
        <v>0</v>
      </c>
      <c r="B224" s="319">
        <f t="shared" si="104"/>
        <v>0</v>
      </c>
      <c r="C224" s="340" t="s">
        <v>1476</v>
      </c>
      <c r="D224" s="341" t="s">
        <v>364</v>
      </c>
      <c r="E224" s="341">
        <v>4</v>
      </c>
      <c r="F224" s="341" t="str">
        <f>IF(AND(E224&lt;CharacterSheet!$V$34,'House Rules'!$B$5="Available",OR('House Rules'!$B$7="Standard",AND('House Rules'!$B$7="Ranked",G223="Yes"))),"Yes","No")</f>
        <v>No</v>
      </c>
      <c r="G224" s="564" t="s">
        <v>347</v>
      </c>
      <c r="H224" s="333" t="str">
        <f>IF(C224="","",VLOOKUP(C224,Boonref2!A:B,2,FALSE))</f>
        <v>Yes</v>
      </c>
      <c r="I224" s="333"/>
      <c r="J224" s="333" t="str">
        <f>VLOOKUP(C224,BoonRef!A:Z,17,FALSE)</f>
        <v>Yes</v>
      </c>
      <c r="K224" s="333" t="str">
        <f>IF(J224="God",'House Rules'!$B$2,IF(J224="Demi",'House Rules'!$B$1,IF(J224="Comp",'House Rules'!$B$4,IF(J224="Yaz",'House Rules'!$B$5,IF(J224="Rag",'House Rules'!$B$3,"Available")))))</f>
        <v>Available</v>
      </c>
      <c r="L224" s="333"/>
      <c r="M224" s="333"/>
      <c r="BF224" s="319">
        <f t="shared" si="109"/>
        <v>0</v>
      </c>
      <c r="BG224" s="345" t="s">
        <v>2559</v>
      </c>
      <c r="BI224" s="319">
        <f t="shared" si="102"/>
        <v>0</v>
      </c>
      <c r="BJ224" s="319">
        <f t="shared" si="108"/>
        <v>0</v>
      </c>
      <c r="BK224" s="319">
        <f t="shared" si="108"/>
        <v>0</v>
      </c>
      <c r="BL224" s="319">
        <f t="shared" si="108"/>
        <v>0</v>
      </c>
      <c r="BM224" s="319">
        <f t="shared" si="108"/>
        <v>0</v>
      </c>
      <c r="BN224" s="319">
        <f t="shared" si="108"/>
        <v>0</v>
      </c>
      <c r="BO224" s="319">
        <f t="shared" si="108"/>
        <v>0</v>
      </c>
      <c r="BP224" s="319">
        <f t="shared" si="108"/>
        <v>0</v>
      </c>
      <c r="BQ224" s="319">
        <f t="shared" si="108"/>
        <v>0</v>
      </c>
      <c r="BR224" s="319">
        <f t="shared" si="108"/>
        <v>0</v>
      </c>
      <c r="BS224" s="319">
        <f t="shared" si="108"/>
        <v>0</v>
      </c>
      <c r="BT224" s="319">
        <f t="shared" si="108"/>
        <v>0</v>
      </c>
      <c r="BU224" s="319">
        <f t="shared" si="108"/>
        <v>0</v>
      </c>
      <c r="BV224" s="319">
        <f t="shared" si="108"/>
        <v>0</v>
      </c>
      <c r="BW224" s="319">
        <f t="shared" si="108"/>
        <v>0</v>
      </c>
      <c r="BX224" s="319">
        <f t="shared" si="108"/>
        <v>0</v>
      </c>
      <c r="BY224" s="319">
        <f t="shared" si="108"/>
        <v>0</v>
      </c>
      <c r="BZ224" s="319">
        <f t="shared" si="108"/>
        <v>0</v>
      </c>
      <c r="CA224" s="319">
        <f t="shared" si="108"/>
        <v>0</v>
      </c>
      <c r="CB224" s="319">
        <f t="shared" si="108"/>
        <v>0</v>
      </c>
      <c r="CC224" s="319">
        <f t="shared" si="108"/>
        <v>0</v>
      </c>
      <c r="CD224" s="319">
        <f t="shared" si="108"/>
        <v>0</v>
      </c>
      <c r="CE224" s="319">
        <f t="shared" si="108"/>
        <v>0</v>
      </c>
      <c r="CF224" s="319">
        <f t="shared" si="108"/>
        <v>0</v>
      </c>
      <c r="CG224" s="319">
        <f t="shared" si="108"/>
        <v>0</v>
      </c>
      <c r="CH224" s="319">
        <f t="shared" si="108"/>
        <v>0</v>
      </c>
      <c r="CI224" s="319">
        <f t="shared" si="108"/>
        <v>0</v>
      </c>
      <c r="CJ224" s="319">
        <f t="shared" si="108"/>
        <v>0</v>
      </c>
      <c r="CK224" s="319">
        <f t="shared" si="108"/>
        <v>0</v>
      </c>
      <c r="CL224" s="319">
        <f t="shared" si="108"/>
        <v>0</v>
      </c>
      <c r="CM224" s="319">
        <f t="shared" si="108"/>
        <v>0</v>
      </c>
      <c r="CN224" s="319">
        <f t="shared" si="108"/>
        <v>0</v>
      </c>
      <c r="CO224" s="319">
        <f t="shared" si="108"/>
        <v>0</v>
      </c>
      <c r="CP224" s="319">
        <f t="shared" si="108"/>
        <v>0</v>
      </c>
      <c r="CQ224" s="319">
        <f t="shared" si="108"/>
        <v>0</v>
      </c>
      <c r="CR224" s="319">
        <f t="shared" si="108"/>
        <v>0</v>
      </c>
      <c r="CS224" s="319">
        <f t="shared" si="108"/>
        <v>0</v>
      </c>
      <c r="CT224" s="319">
        <f t="shared" si="108"/>
        <v>0</v>
      </c>
      <c r="CU224" s="319">
        <f t="shared" si="108"/>
        <v>0</v>
      </c>
      <c r="CV224" s="319">
        <f t="shared" si="108"/>
        <v>0</v>
      </c>
    </row>
    <row r="225" spans="1:100" x14ac:dyDescent="0.25">
      <c r="A225" s="319">
        <f t="shared" si="101"/>
        <v>0</v>
      </c>
      <c r="B225" s="319">
        <f t="shared" si="104"/>
        <v>0</v>
      </c>
      <c r="C225" s="340" t="s">
        <v>1477</v>
      </c>
      <c r="D225" s="341" t="s">
        <v>364</v>
      </c>
      <c r="E225" s="341">
        <v>5</v>
      </c>
      <c r="F225" s="341" t="str">
        <f>IF(AND(E225&lt;CharacterSheet!$V$34,'House Rules'!$B$5="Available",OR('House Rules'!$B$7="Standard",AND('House Rules'!$B$7="Ranked",G224="Yes"))),"Yes","No")</f>
        <v>No</v>
      </c>
      <c r="G225" s="564" t="s">
        <v>347</v>
      </c>
      <c r="H225" s="333" t="str">
        <f>IF(C225="","",VLOOKUP(C225,Boonref2!A:B,2,FALSE))</f>
        <v>Yes</v>
      </c>
      <c r="I225" s="333"/>
      <c r="J225" s="333" t="str">
        <f>VLOOKUP(C225,BoonRef!A:Z,17,FALSE)</f>
        <v>Yes</v>
      </c>
      <c r="K225" s="333" t="str">
        <f>IF(J225="God",'House Rules'!$B$2,IF(J225="Demi",'House Rules'!$B$1,IF(J225="Comp",'House Rules'!$B$4,IF(J225="Yaz",'House Rules'!$B$5,IF(J225="Rag",'House Rules'!$B$3,"Available")))))</f>
        <v>Available</v>
      </c>
      <c r="L225" s="333"/>
      <c r="M225" s="333"/>
      <c r="BF225" s="319">
        <f t="shared" si="109"/>
        <v>0</v>
      </c>
      <c r="BG225" s="345" t="s">
        <v>2560</v>
      </c>
      <c r="BI225" s="319">
        <f t="shared" si="102"/>
        <v>0</v>
      </c>
      <c r="BJ225" s="319">
        <f t="shared" si="108"/>
        <v>0</v>
      </c>
      <c r="BK225" s="319">
        <f t="shared" si="108"/>
        <v>0</v>
      </c>
      <c r="BL225" s="319">
        <f t="shared" si="108"/>
        <v>0</v>
      </c>
      <c r="BM225" s="319">
        <f t="shared" si="108"/>
        <v>0</v>
      </c>
      <c r="BN225" s="319">
        <f t="shared" si="108"/>
        <v>0</v>
      </c>
      <c r="BO225" s="319">
        <f t="shared" si="108"/>
        <v>0</v>
      </c>
      <c r="BP225" s="319">
        <f t="shared" si="108"/>
        <v>0</v>
      </c>
      <c r="BQ225" s="319">
        <f t="shared" si="108"/>
        <v>0</v>
      </c>
      <c r="BR225" s="319">
        <f t="shared" si="108"/>
        <v>0</v>
      </c>
      <c r="BS225" s="319">
        <f t="shared" si="108"/>
        <v>0</v>
      </c>
      <c r="BT225" s="319">
        <f t="shared" si="108"/>
        <v>0</v>
      </c>
      <c r="BU225" s="319">
        <f t="shared" si="108"/>
        <v>0</v>
      </c>
      <c r="BV225" s="319">
        <f t="shared" si="108"/>
        <v>0</v>
      </c>
      <c r="BW225" s="319">
        <f t="shared" si="108"/>
        <v>0</v>
      </c>
      <c r="BX225" s="319">
        <f t="shared" si="108"/>
        <v>0</v>
      </c>
      <c r="BY225" s="319">
        <f t="shared" si="108"/>
        <v>0</v>
      </c>
      <c r="BZ225" s="319">
        <f t="shared" si="108"/>
        <v>0</v>
      </c>
      <c r="CA225" s="319">
        <f t="shared" si="108"/>
        <v>0</v>
      </c>
      <c r="CB225" s="319">
        <f t="shared" si="108"/>
        <v>0</v>
      </c>
      <c r="CC225" s="319">
        <f t="shared" si="108"/>
        <v>0</v>
      </c>
      <c r="CD225" s="319">
        <f t="shared" si="108"/>
        <v>0</v>
      </c>
      <c r="CE225" s="319">
        <f t="shared" si="108"/>
        <v>0</v>
      </c>
      <c r="CF225" s="319">
        <f t="shared" si="108"/>
        <v>0</v>
      </c>
      <c r="CG225" s="319">
        <f t="shared" si="108"/>
        <v>0</v>
      </c>
      <c r="CH225" s="319">
        <f t="shared" si="108"/>
        <v>0</v>
      </c>
      <c r="CI225" s="319">
        <f t="shared" si="108"/>
        <v>0</v>
      </c>
      <c r="CJ225" s="319">
        <f t="shared" si="108"/>
        <v>0</v>
      </c>
      <c r="CK225" s="319">
        <f t="shared" si="108"/>
        <v>0</v>
      </c>
      <c r="CL225" s="319">
        <f t="shared" si="108"/>
        <v>0</v>
      </c>
      <c r="CM225" s="319">
        <f t="shared" si="108"/>
        <v>0</v>
      </c>
      <c r="CN225" s="319">
        <f t="shared" si="108"/>
        <v>0</v>
      </c>
      <c r="CO225" s="319">
        <f t="shared" si="108"/>
        <v>0</v>
      </c>
      <c r="CP225" s="319">
        <f t="shared" si="108"/>
        <v>0</v>
      </c>
      <c r="CQ225" s="319">
        <f t="shared" ref="BJ225:CV232" si="110">IF(AND($D225=CQ$1,$G225="Yes"),$E225,0)</f>
        <v>0</v>
      </c>
      <c r="CR225" s="319">
        <f t="shared" si="110"/>
        <v>0</v>
      </c>
      <c r="CS225" s="319">
        <f t="shared" si="110"/>
        <v>0</v>
      </c>
      <c r="CT225" s="319">
        <f t="shared" si="110"/>
        <v>0</v>
      </c>
      <c r="CU225" s="319">
        <f t="shared" si="110"/>
        <v>0</v>
      </c>
      <c r="CV225" s="319">
        <f t="shared" si="110"/>
        <v>0</v>
      </c>
    </row>
    <row r="226" spans="1:100" x14ac:dyDescent="0.25">
      <c r="A226" s="319">
        <f t="shared" si="101"/>
        <v>0</v>
      </c>
      <c r="B226" s="319">
        <f t="shared" si="104"/>
        <v>0</v>
      </c>
      <c r="C226" s="340" t="s">
        <v>1478</v>
      </c>
      <c r="D226" s="341" t="s">
        <v>364</v>
      </c>
      <c r="E226" s="341">
        <v>6</v>
      </c>
      <c r="F226" s="341" t="str">
        <f>IF(AND(E226&lt;CharacterSheet!$V$34,'House Rules'!$B$5="Available",OR('House Rules'!$B$7="Standard",AND('House Rules'!$B$7="Ranked",G225="Yes"))),"Yes","No")</f>
        <v>No</v>
      </c>
      <c r="G226" s="564" t="s">
        <v>347</v>
      </c>
      <c r="H226" s="333" t="str">
        <f>IF(C226="","",VLOOKUP(C226,Boonref2!A:B,2,FALSE))</f>
        <v>Yes</v>
      </c>
      <c r="I226" s="333"/>
      <c r="J226" s="333" t="str">
        <f>VLOOKUP(C226,BoonRef!A:Z,17,FALSE)</f>
        <v>Yes</v>
      </c>
      <c r="K226" s="333" t="str">
        <f>IF(J226="God",'House Rules'!$B$2,IF(J226="Demi",'House Rules'!$B$1,IF(J226="Comp",'House Rules'!$B$4,IF(J226="Yaz",'House Rules'!$B$5,IF(J226="Rag",'House Rules'!$B$3,"Available")))))</f>
        <v>Available</v>
      </c>
      <c r="L226" s="333"/>
      <c r="M226" s="333"/>
      <c r="BF226" s="319">
        <f t="shared" si="109"/>
        <v>0</v>
      </c>
      <c r="BG226" s="345" t="s">
        <v>2561</v>
      </c>
      <c r="BI226" s="319">
        <f t="shared" si="102"/>
        <v>0</v>
      </c>
      <c r="BJ226" s="319">
        <f t="shared" si="110"/>
        <v>0</v>
      </c>
      <c r="BK226" s="319">
        <f t="shared" si="110"/>
        <v>0</v>
      </c>
      <c r="BL226" s="319">
        <f t="shared" si="110"/>
        <v>0</v>
      </c>
      <c r="BM226" s="319">
        <f t="shared" si="110"/>
        <v>0</v>
      </c>
      <c r="BN226" s="319">
        <f t="shared" si="110"/>
        <v>0</v>
      </c>
      <c r="BO226" s="319">
        <f t="shared" si="110"/>
        <v>0</v>
      </c>
      <c r="BP226" s="319">
        <f t="shared" si="110"/>
        <v>0</v>
      </c>
      <c r="BQ226" s="319">
        <f t="shared" si="110"/>
        <v>0</v>
      </c>
      <c r="BR226" s="319">
        <f t="shared" si="110"/>
        <v>0</v>
      </c>
      <c r="BS226" s="319">
        <f t="shared" si="110"/>
        <v>0</v>
      </c>
      <c r="BT226" s="319">
        <f t="shared" si="110"/>
        <v>0</v>
      </c>
      <c r="BU226" s="319">
        <f t="shared" si="110"/>
        <v>0</v>
      </c>
      <c r="BV226" s="319">
        <f t="shared" si="110"/>
        <v>0</v>
      </c>
      <c r="BW226" s="319">
        <f t="shared" si="110"/>
        <v>0</v>
      </c>
      <c r="BX226" s="319">
        <f t="shared" si="110"/>
        <v>0</v>
      </c>
      <c r="BY226" s="319">
        <f t="shared" si="110"/>
        <v>0</v>
      </c>
      <c r="BZ226" s="319">
        <f t="shared" si="110"/>
        <v>0</v>
      </c>
      <c r="CA226" s="319">
        <f t="shared" si="110"/>
        <v>0</v>
      </c>
      <c r="CB226" s="319">
        <f t="shared" si="110"/>
        <v>0</v>
      </c>
      <c r="CC226" s="319">
        <f t="shared" si="110"/>
        <v>0</v>
      </c>
      <c r="CD226" s="319">
        <f t="shared" si="110"/>
        <v>0</v>
      </c>
      <c r="CE226" s="319">
        <f t="shared" si="110"/>
        <v>0</v>
      </c>
      <c r="CF226" s="319">
        <f t="shared" si="110"/>
        <v>0</v>
      </c>
      <c r="CG226" s="319">
        <f t="shared" si="110"/>
        <v>0</v>
      </c>
      <c r="CH226" s="319">
        <f t="shared" si="110"/>
        <v>0</v>
      </c>
      <c r="CI226" s="319">
        <f t="shared" si="110"/>
        <v>0</v>
      </c>
      <c r="CJ226" s="319">
        <f t="shared" si="110"/>
        <v>0</v>
      </c>
      <c r="CK226" s="319">
        <f t="shared" si="110"/>
        <v>0</v>
      </c>
      <c r="CL226" s="319">
        <f t="shared" si="110"/>
        <v>0</v>
      </c>
      <c r="CM226" s="319">
        <f t="shared" si="110"/>
        <v>0</v>
      </c>
      <c r="CN226" s="319">
        <f t="shared" si="110"/>
        <v>0</v>
      </c>
      <c r="CO226" s="319">
        <f t="shared" si="110"/>
        <v>0</v>
      </c>
      <c r="CP226" s="319">
        <f t="shared" si="110"/>
        <v>0</v>
      </c>
      <c r="CQ226" s="319">
        <f t="shared" si="110"/>
        <v>0</v>
      </c>
      <c r="CR226" s="319">
        <f t="shared" si="110"/>
        <v>0</v>
      </c>
      <c r="CS226" s="319">
        <f t="shared" si="110"/>
        <v>0</v>
      </c>
      <c r="CT226" s="319">
        <f t="shared" si="110"/>
        <v>0</v>
      </c>
      <c r="CU226" s="319">
        <f t="shared" si="110"/>
        <v>0</v>
      </c>
      <c r="CV226" s="319">
        <f t="shared" si="110"/>
        <v>0</v>
      </c>
    </row>
    <row r="227" spans="1:100" x14ac:dyDescent="0.25">
      <c r="A227" s="319">
        <f t="shared" si="101"/>
        <v>0</v>
      </c>
      <c r="B227" s="319">
        <f t="shared" si="104"/>
        <v>0</v>
      </c>
      <c r="C227" s="340" t="s">
        <v>1479</v>
      </c>
      <c r="D227" s="341" t="s">
        <v>364</v>
      </c>
      <c r="E227" s="341">
        <v>7</v>
      </c>
      <c r="F227" s="341" t="str">
        <f>IF(AND(E227&lt;CharacterSheet!$V$34,'House Rules'!$B$5="Available",OR('House Rules'!$B$7="Standard",AND('House Rules'!$B$7="Ranked",G226="Yes"))),"Yes","No")</f>
        <v>No</v>
      </c>
      <c r="G227" s="564" t="s">
        <v>347</v>
      </c>
      <c r="H227" s="333" t="str">
        <f>IF(C227="","",VLOOKUP(C227,Boonref2!A:B,2,FALSE))</f>
        <v>No</v>
      </c>
      <c r="I227" s="333"/>
      <c r="J227" s="333" t="str">
        <f>VLOOKUP(C227,BoonRef!A:Z,17,FALSE)</f>
        <v>Yes</v>
      </c>
      <c r="K227" s="333" t="str">
        <f>IF(J227="God",'House Rules'!$B$2,IF(J227="Demi",'House Rules'!$B$1,IF(J227="Comp",'House Rules'!$B$4,IF(J227="Yaz",'House Rules'!$B$5,IF(J227="Rag",'House Rules'!$B$3,"Available")))))</f>
        <v>Available</v>
      </c>
      <c r="L227" s="333"/>
      <c r="M227" s="333"/>
      <c r="BF227" s="319">
        <f t="shared" si="109"/>
        <v>0</v>
      </c>
      <c r="BG227" s="345" t="s">
        <v>2562</v>
      </c>
      <c r="BI227" s="319">
        <f t="shared" si="102"/>
        <v>0</v>
      </c>
      <c r="BJ227" s="319">
        <f t="shared" si="110"/>
        <v>0</v>
      </c>
      <c r="BK227" s="319">
        <f t="shared" si="110"/>
        <v>0</v>
      </c>
      <c r="BL227" s="319">
        <f t="shared" si="110"/>
        <v>0</v>
      </c>
      <c r="BM227" s="319">
        <f t="shared" si="110"/>
        <v>0</v>
      </c>
      <c r="BN227" s="319">
        <f t="shared" si="110"/>
        <v>0</v>
      </c>
      <c r="BO227" s="319">
        <f t="shared" si="110"/>
        <v>0</v>
      </c>
      <c r="BP227" s="319">
        <f t="shared" si="110"/>
        <v>0</v>
      </c>
      <c r="BQ227" s="319">
        <f t="shared" si="110"/>
        <v>0</v>
      </c>
      <c r="BR227" s="319">
        <f t="shared" si="110"/>
        <v>0</v>
      </c>
      <c r="BS227" s="319">
        <f t="shared" si="110"/>
        <v>0</v>
      </c>
      <c r="BT227" s="319">
        <f t="shared" si="110"/>
        <v>0</v>
      </c>
      <c r="BU227" s="319">
        <f t="shared" si="110"/>
        <v>0</v>
      </c>
      <c r="BV227" s="319">
        <f t="shared" si="110"/>
        <v>0</v>
      </c>
      <c r="BW227" s="319">
        <f t="shared" si="110"/>
        <v>0</v>
      </c>
      <c r="BX227" s="319">
        <f t="shared" si="110"/>
        <v>0</v>
      </c>
      <c r="BY227" s="319">
        <f t="shared" si="110"/>
        <v>0</v>
      </c>
      <c r="BZ227" s="319">
        <f t="shared" si="110"/>
        <v>0</v>
      </c>
      <c r="CA227" s="319">
        <f t="shared" si="110"/>
        <v>0</v>
      </c>
      <c r="CB227" s="319">
        <f t="shared" si="110"/>
        <v>0</v>
      </c>
      <c r="CC227" s="319">
        <f t="shared" si="110"/>
        <v>0</v>
      </c>
      <c r="CD227" s="319">
        <f t="shared" si="110"/>
        <v>0</v>
      </c>
      <c r="CE227" s="319">
        <f t="shared" si="110"/>
        <v>0</v>
      </c>
      <c r="CF227" s="319">
        <f t="shared" si="110"/>
        <v>0</v>
      </c>
      <c r="CG227" s="319">
        <f t="shared" si="110"/>
        <v>0</v>
      </c>
      <c r="CH227" s="319">
        <f t="shared" si="110"/>
        <v>0</v>
      </c>
      <c r="CI227" s="319">
        <f t="shared" si="110"/>
        <v>0</v>
      </c>
      <c r="CJ227" s="319">
        <f t="shared" si="110"/>
        <v>0</v>
      </c>
      <c r="CK227" s="319">
        <f t="shared" si="110"/>
        <v>0</v>
      </c>
      <c r="CL227" s="319">
        <f t="shared" si="110"/>
        <v>0</v>
      </c>
      <c r="CM227" s="319">
        <f t="shared" si="110"/>
        <v>0</v>
      </c>
      <c r="CN227" s="319">
        <f t="shared" si="110"/>
        <v>0</v>
      </c>
      <c r="CO227" s="319">
        <f t="shared" si="110"/>
        <v>0</v>
      </c>
      <c r="CP227" s="319">
        <f t="shared" si="110"/>
        <v>0</v>
      </c>
      <c r="CQ227" s="319">
        <f t="shared" si="110"/>
        <v>0</v>
      </c>
      <c r="CR227" s="319">
        <f t="shared" si="110"/>
        <v>0</v>
      </c>
      <c r="CS227" s="319">
        <f t="shared" si="110"/>
        <v>0</v>
      </c>
      <c r="CT227" s="319">
        <f t="shared" si="110"/>
        <v>0</v>
      </c>
      <c r="CU227" s="319">
        <f t="shared" si="110"/>
        <v>0</v>
      </c>
      <c r="CV227" s="319">
        <f t="shared" si="110"/>
        <v>0</v>
      </c>
    </row>
    <row r="228" spans="1:100" x14ac:dyDescent="0.25">
      <c r="A228" s="319">
        <f t="shared" si="101"/>
        <v>0</v>
      </c>
      <c r="B228" s="319">
        <f t="shared" si="104"/>
        <v>0</v>
      </c>
      <c r="C228" s="340" t="s">
        <v>1480</v>
      </c>
      <c r="D228" s="341" t="s">
        <v>364</v>
      </c>
      <c r="E228" s="341">
        <v>8</v>
      </c>
      <c r="F228" s="341" t="str">
        <f>IF(AND(E228&lt;CharacterSheet!$V$34,'House Rules'!$B$5="Available",OR('House Rules'!$B$7="Standard",AND('House Rules'!$B$7="Ranked",G227="Yes"))),"Yes","No")</f>
        <v>No</v>
      </c>
      <c r="G228" s="564" t="s">
        <v>347</v>
      </c>
      <c r="H228" s="333" t="str">
        <f>IF(C228="","",VLOOKUP(C228,Boonref2!A:B,2,FALSE))</f>
        <v>Yes</v>
      </c>
      <c r="I228" s="333"/>
      <c r="J228" s="333" t="str">
        <f>VLOOKUP(C228,BoonRef!A:Z,17,FALSE)</f>
        <v>Yes</v>
      </c>
      <c r="K228" s="333" t="str">
        <f>IF(J228="God",'House Rules'!$B$2,IF(J228="Demi",'House Rules'!$B$1,IF(J228="Comp",'House Rules'!$B$4,IF(J228="Yaz",'House Rules'!$B$5,IF(J228="Rag",'House Rules'!$B$3,"Available")))))</f>
        <v>Available</v>
      </c>
      <c r="L228" s="333"/>
      <c r="M228" s="333"/>
      <c r="BF228" s="319">
        <f t="shared" si="109"/>
        <v>0</v>
      </c>
      <c r="BG228" s="345" t="s">
        <v>2563</v>
      </c>
      <c r="BI228" s="319">
        <f t="shared" si="102"/>
        <v>0</v>
      </c>
      <c r="BJ228" s="319">
        <f t="shared" si="110"/>
        <v>0</v>
      </c>
      <c r="BK228" s="319">
        <f t="shared" si="110"/>
        <v>0</v>
      </c>
      <c r="BL228" s="319">
        <f t="shared" si="110"/>
        <v>0</v>
      </c>
      <c r="BM228" s="319">
        <f t="shared" si="110"/>
        <v>0</v>
      </c>
      <c r="BN228" s="319">
        <f t="shared" si="110"/>
        <v>0</v>
      </c>
      <c r="BO228" s="319">
        <f t="shared" si="110"/>
        <v>0</v>
      </c>
      <c r="BP228" s="319">
        <f t="shared" si="110"/>
        <v>0</v>
      </c>
      <c r="BQ228" s="319">
        <f t="shared" si="110"/>
        <v>0</v>
      </c>
      <c r="BR228" s="319">
        <f t="shared" si="110"/>
        <v>0</v>
      </c>
      <c r="BS228" s="319">
        <f t="shared" si="110"/>
        <v>0</v>
      </c>
      <c r="BT228" s="319">
        <f t="shared" si="110"/>
        <v>0</v>
      </c>
      <c r="BU228" s="319">
        <f t="shared" si="110"/>
        <v>0</v>
      </c>
      <c r="BV228" s="319">
        <f t="shared" si="110"/>
        <v>0</v>
      </c>
      <c r="BW228" s="319">
        <f t="shared" si="110"/>
        <v>0</v>
      </c>
      <c r="BX228" s="319">
        <f t="shared" si="110"/>
        <v>0</v>
      </c>
      <c r="BY228" s="319">
        <f t="shared" si="110"/>
        <v>0</v>
      </c>
      <c r="BZ228" s="319">
        <f t="shared" si="110"/>
        <v>0</v>
      </c>
      <c r="CA228" s="319">
        <f t="shared" si="110"/>
        <v>0</v>
      </c>
      <c r="CB228" s="319">
        <f t="shared" si="110"/>
        <v>0</v>
      </c>
      <c r="CC228" s="319">
        <f t="shared" si="110"/>
        <v>0</v>
      </c>
      <c r="CD228" s="319">
        <f t="shared" si="110"/>
        <v>0</v>
      </c>
      <c r="CE228" s="319">
        <f t="shared" si="110"/>
        <v>0</v>
      </c>
      <c r="CF228" s="319">
        <f t="shared" si="110"/>
        <v>0</v>
      </c>
      <c r="CG228" s="319">
        <f t="shared" si="110"/>
        <v>0</v>
      </c>
      <c r="CH228" s="319">
        <f t="shared" si="110"/>
        <v>0</v>
      </c>
      <c r="CI228" s="319">
        <f t="shared" si="110"/>
        <v>0</v>
      </c>
      <c r="CJ228" s="319">
        <f t="shared" si="110"/>
        <v>0</v>
      </c>
      <c r="CK228" s="319">
        <f t="shared" si="110"/>
        <v>0</v>
      </c>
      <c r="CL228" s="319">
        <f t="shared" si="110"/>
        <v>0</v>
      </c>
      <c r="CM228" s="319">
        <f t="shared" si="110"/>
        <v>0</v>
      </c>
      <c r="CN228" s="319">
        <f t="shared" si="110"/>
        <v>0</v>
      </c>
      <c r="CO228" s="319">
        <f t="shared" si="110"/>
        <v>0</v>
      </c>
      <c r="CP228" s="319">
        <f t="shared" si="110"/>
        <v>0</v>
      </c>
      <c r="CQ228" s="319">
        <f t="shared" si="110"/>
        <v>0</v>
      </c>
      <c r="CR228" s="319">
        <f t="shared" si="110"/>
        <v>0</v>
      </c>
      <c r="CS228" s="319">
        <f t="shared" si="110"/>
        <v>0</v>
      </c>
      <c r="CT228" s="319">
        <f t="shared" si="110"/>
        <v>0</v>
      </c>
      <c r="CU228" s="319">
        <f t="shared" si="110"/>
        <v>0</v>
      </c>
      <c r="CV228" s="319">
        <f t="shared" si="110"/>
        <v>0</v>
      </c>
    </row>
    <row r="229" spans="1:100" x14ac:dyDescent="0.25">
      <c r="A229" s="319">
        <f t="shared" si="101"/>
        <v>0</v>
      </c>
      <c r="B229" s="319">
        <f t="shared" si="104"/>
        <v>0</v>
      </c>
      <c r="C229" s="340" t="s">
        <v>2642</v>
      </c>
      <c r="D229" s="341" t="s">
        <v>364</v>
      </c>
      <c r="E229" s="341">
        <v>8</v>
      </c>
      <c r="F229" s="341" t="str">
        <f>IF(AND(E228&lt;CharacterSheet!$V$34,'House Rules'!$B$3="Available",OR('House Rules'!$B$7="Standard",AND('House Rules'!$B$7="Ranked",OR(G227="Yes")))),"Yes","No")</f>
        <v>No</v>
      </c>
      <c r="G229" s="564" t="s">
        <v>347</v>
      </c>
      <c r="H229" s="333" t="str">
        <f>IF(C229="","",VLOOKUP(C229,Boonref2!A:B,2,FALSE))</f>
        <v>Yes</v>
      </c>
      <c r="I229" s="333"/>
      <c r="J229" s="333" t="str">
        <f>VLOOKUP(C229,BoonRef!A:Z,17,FALSE)</f>
        <v>Yes</v>
      </c>
      <c r="K229" s="333" t="str">
        <f>IF(J229="God",'House Rules'!$B$2,IF(J229="Demi",'House Rules'!$B$1,IF(J229="Comp",'House Rules'!$B$4,IF(J229="Yaz",'House Rules'!$B$5,IF(J229="Rag",'House Rules'!$B$3,"Available")))))</f>
        <v>Available</v>
      </c>
      <c r="L229" s="333"/>
      <c r="M229" s="333"/>
      <c r="BF229" s="319">
        <f t="shared" si="109"/>
        <v>0</v>
      </c>
      <c r="BG229" s="345" t="s">
        <v>2564</v>
      </c>
      <c r="BI229" s="319">
        <f t="shared" si="102"/>
        <v>0</v>
      </c>
      <c r="BJ229" s="319">
        <f t="shared" si="110"/>
        <v>0</v>
      </c>
      <c r="BK229" s="319">
        <f t="shared" si="110"/>
        <v>0</v>
      </c>
      <c r="BL229" s="319">
        <f t="shared" si="110"/>
        <v>0</v>
      </c>
      <c r="BM229" s="319">
        <f t="shared" si="110"/>
        <v>0</v>
      </c>
      <c r="BN229" s="319">
        <f t="shared" si="110"/>
        <v>0</v>
      </c>
      <c r="BO229" s="319">
        <f t="shared" si="110"/>
        <v>0</v>
      </c>
      <c r="BP229" s="319">
        <f t="shared" si="110"/>
        <v>0</v>
      </c>
      <c r="BQ229" s="319">
        <f t="shared" si="110"/>
        <v>0</v>
      </c>
      <c r="BR229" s="319">
        <f t="shared" si="110"/>
        <v>0</v>
      </c>
      <c r="BS229" s="319">
        <f t="shared" si="110"/>
        <v>0</v>
      </c>
      <c r="BT229" s="319">
        <f t="shared" si="110"/>
        <v>0</v>
      </c>
      <c r="BU229" s="319">
        <f t="shared" si="110"/>
        <v>0</v>
      </c>
      <c r="BV229" s="319">
        <f t="shared" si="110"/>
        <v>0</v>
      </c>
      <c r="BW229" s="319">
        <f t="shared" si="110"/>
        <v>0</v>
      </c>
      <c r="BX229" s="319">
        <f t="shared" si="110"/>
        <v>0</v>
      </c>
      <c r="BY229" s="319">
        <f t="shared" si="110"/>
        <v>0</v>
      </c>
      <c r="BZ229" s="319">
        <f t="shared" si="110"/>
        <v>0</v>
      </c>
      <c r="CA229" s="319">
        <f t="shared" si="110"/>
        <v>0</v>
      </c>
      <c r="CB229" s="319">
        <f t="shared" si="110"/>
        <v>0</v>
      </c>
      <c r="CC229" s="319">
        <f t="shared" si="110"/>
        <v>0</v>
      </c>
      <c r="CD229" s="319">
        <f t="shared" si="110"/>
        <v>0</v>
      </c>
      <c r="CE229" s="319">
        <f t="shared" si="110"/>
        <v>0</v>
      </c>
      <c r="CF229" s="319">
        <f t="shared" si="110"/>
        <v>0</v>
      </c>
      <c r="CG229" s="319">
        <f t="shared" si="110"/>
        <v>0</v>
      </c>
      <c r="CH229" s="319">
        <f t="shared" si="110"/>
        <v>0</v>
      </c>
      <c r="CI229" s="319">
        <f t="shared" si="110"/>
        <v>0</v>
      </c>
      <c r="CJ229" s="319">
        <f t="shared" si="110"/>
        <v>0</v>
      </c>
      <c r="CK229" s="319">
        <f t="shared" si="110"/>
        <v>0</v>
      </c>
      <c r="CL229" s="319">
        <f t="shared" si="110"/>
        <v>0</v>
      </c>
      <c r="CM229" s="319">
        <f t="shared" si="110"/>
        <v>0</v>
      </c>
      <c r="CN229" s="319">
        <f t="shared" si="110"/>
        <v>0</v>
      </c>
      <c r="CO229" s="319">
        <f t="shared" si="110"/>
        <v>0</v>
      </c>
      <c r="CP229" s="319">
        <f t="shared" si="110"/>
        <v>0</v>
      </c>
      <c r="CQ229" s="319">
        <f t="shared" si="110"/>
        <v>0</v>
      </c>
      <c r="CR229" s="319">
        <f t="shared" si="110"/>
        <v>0</v>
      </c>
      <c r="CS229" s="319">
        <f t="shared" si="110"/>
        <v>0</v>
      </c>
      <c r="CT229" s="319">
        <f t="shared" si="110"/>
        <v>0</v>
      </c>
      <c r="CU229" s="319">
        <f t="shared" si="110"/>
        <v>0</v>
      </c>
      <c r="CV229" s="319">
        <f t="shared" si="110"/>
        <v>0</v>
      </c>
    </row>
    <row r="230" spans="1:100" x14ac:dyDescent="0.25">
      <c r="A230" s="319">
        <f t="shared" si="101"/>
        <v>0</v>
      </c>
      <c r="B230" s="319">
        <f t="shared" si="104"/>
        <v>0</v>
      </c>
      <c r="C230" s="340" t="s">
        <v>1481</v>
      </c>
      <c r="D230" s="341" t="s">
        <v>364</v>
      </c>
      <c r="E230" s="341">
        <v>9</v>
      </c>
      <c r="F230" s="341" t="str">
        <f>IF(AND(E230&lt;CharacterSheet!$V$34,'House Rules'!$B$5="Available",OR('House Rules'!$B$7="Standard",AND('House Rules'!$B$7="Ranked",OR(G228="Yes",G229="Yes")))),"Yes","No")</f>
        <v>No</v>
      </c>
      <c r="G230" s="564" t="s">
        <v>347</v>
      </c>
      <c r="H230" s="333" t="str">
        <f>IF(C230="","",VLOOKUP(C230,Boonref2!A:B,2,FALSE))</f>
        <v>No</v>
      </c>
      <c r="I230" s="333"/>
      <c r="J230" s="333" t="str">
        <f>VLOOKUP(C230,BoonRef!A:Z,17,FALSE)</f>
        <v>Yes</v>
      </c>
      <c r="K230" s="333" t="str">
        <f>IF(J230="God",'House Rules'!$B$2,IF(J230="Demi",'House Rules'!$B$1,IF(J230="Comp",'House Rules'!$B$4,IF(J230="Yaz",'House Rules'!$B$5,IF(J230="Rag",'House Rules'!$B$3,"Available")))))</f>
        <v>Available</v>
      </c>
      <c r="L230" s="333"/>
      <c r="M230" s="333"/>
      <c r="BF230" s="319">
        <f t="shared" si="109"/>
        <v>0</v>
      </c>
      <c r="BG230" s="345" t="s">
        <v>2565</v>
      </c>
      <c r="BI230" s="319">
        <f t="shared" si="102"/>
        <v>0</v>
      </c>
      <c r="BJ230" s="319">
        <f t="shared" si="110"/>
        <v>0</v>
      </c>
      <c r="BK230" s="319">
        <f t="shared" si="110"/>
        <v>0</v>
      </c>
      <c r="BL230" s="319">
        <f t="shared" si="110"/>
        <v>0</v>
      </c>
      <c r="BM230" s="319">
        <f t="shared" si="110"/>
        <v>0</v>
      </c>
      <c r="BN230" s="319">
        <f t="shared" si="110"/>
        <v>0</v>
      </c>
      <c r="BO230" s="319">
        <f t="shared" si="110"/>
        <v>0</v>
      </c>
      <c r="BP230" s="319">
        <f t="shared" si="110"/>
        <v>0</v>
      </c>
      <c r="BQ230" s="319">
        <f t="shared" si="110"/>
        <v>0</v>
      </c>
      <c r="BR230" s="319">
        <f t="shared" si="110"/>
        <v>0</v>
      </c>
      <c r="BS230" s="319">
        <f t="shared" si="110"/>
        <v>0</v>
      </c>
      <c r="BT230" s="319">
        <f t="shared" si="110"/>
        <v>0</v>
      </c>
      <c r="BU230" s="319">
        <f t="shared" si="110"/>
        <v>0</v>
      </c>
      <c r="BV230" s="319">
        <f t="shared" si="110"/>
        <v>0</v>
      </c>
      <c r="BW230" s="319">
        <f t="shared" si="110"/>
        <v>0</v>
      </c>
      <c r="BX230" s="319">
        <f t="shared" si="110"/>
        <v>0</v>
      </c>
      <c r="BY230" s="319">
        <f t="shared" si="110"/>
        <v>0</v>
      </c>
      <c r="BZ230" s="319">
        <f t="shared" si="110"/>
        <v>0</v>
      </c>
      <c r="CA230" s="319">
        <f t="shared" si="110"/>
        <v>0</v>
      </c>
      <c r="CB230" s="319">
        <f t="shared" si="110"/>
        <v>0</v>
      </c>
      <c r="CC230" s="319">
        <f t="shared" si="110"/>
        <v>0</v>
      </c>
      <c r="CD230" s="319">
        <f t="shared" si="110"/>
        <v>0</v>
      </c>
      <c r="CE230" s="319">
        <f t="shared" si="110"/>
        <v>0</v>
      </c>
      <c r="CF230" s="319">
        <f t="shared" si="110"/>
        <v>0</v>
      </c>
      <c r="CG230" s="319">
        <f t="shared" si="110"/>
        <v>0</v>
      </c>
      <c r="CH230" s="319">
        <f t="shared" si="110"/>
        <v>0</v>
      </c>
      <c r="CI230" s="319">
        <f t="shared" si="110"/>
        <v>0</v>
      </c>
      <c r="CJ230" s="319">
        <f t="shared" si="110"/>
        <v>0</v>
      </c>
      <c r="CK230" s="319">
        <f t="shared" si="110"/>
        <v>0</v>
      </c>
      <c r="CL230" s="319">
        <f t="shared" si="110"/>
        <v>0</v>
      </c>
      <c r="CM230" s="319">
        <f t="shared" si="110"/>
        <v>0</v>
      </c>
      <c r="CN230" s="319">
        <f t="shared" si="110"/>
        <v>0</v>
      </c>
      <c r="CO230" s="319">
        <f t="shared" si="110"/>
        <v>0</v>
      </c>
      <c r="CP230" s="319">
        <f t="shared" si="110"/>
        <v>0</v>
      </c>
      <c r="CQ230" s="319">
        <f t="shared" si="110"/>
        <v>0</v>
      </c>
      <c r="CR230" s="319">
        <f t="shared" si="110"/>
        <v>0</v>
      </c>
      <c r="CS230" s="319">
        <f t="shared" si="110"/>
        <v>0</v>
      </c>
      <c r="CT230" s="319">
        <f t="shared" si="110"/>
        <v>0</v>
      </c>
      <c r="CU230" s="319">
        <f t="shared" si="110"/>
        <v>0</v>
      </c>
      <c r="CV230" s="319">
        <f t="shared" si="110"/>
        <v>0</v>
      </c>
    </row>
    <row r="231" spans="1:100" x14ac:dyDescent="0.25">
      <c r="A231" s="319">
        <f t="shared" si="101"/>
        <v>0</v>
      </c>
      <c r="B231" s="319">
        <f t="shared" si="104"/>
        <v>0</v>
      </c>
      <c r="C231" s="340" t="s">
        <v>1482</v>
      </c>
      <c r="D231" s="341" t="s">
        <v>364</v>
      </c>
      <c r="E231" s="341">
        <v>10</v>
      </c>
      <c r="F231" s="341" t="str">
        <f>IF(AND(E231&lt;CharacterSheet!$V$34,'House Rules'!$B$5="Available",OR('House Rules'!$B$7="Standard",AND('House Rules'!$B$7="Ranked",G230="Yes"))),"Yes","No")</f>
        <v>No</v>
      </c>
      <c r="G231" s="564" t="s">
        <v>347</v>
      </c>
      <c r="H231" s="333" t="str">
        <f>IF(C231="","",VLOOKUP(C231,Boonref2!A:B,2,FALSE))</f>
        <v>Yes</v>
      </c>
      <c r="I231" s="333"/>
      <c r="J231" s="333" t="str">
        <f>VLOOKUP(C231,BoonRef!A:Z,17,FALSE)</f>
        <v>Yes</v>
      </c>
      <c r="K231" s="333" t="str">
        <f>IF(J231="God",'House Rules'!$B$2,IF(J231="Demi",'House Rules'!$B$1,IF(J231="Comp",'House Rules'!$B$4,IF(J231="Yaz",'House Rules'!$B$5,IF(J231="Rag",'House Rules'!$B$3,"Available")))))</f>
        <v>Available</v>
      </c>
      <c r="L231" s="333"/>
      <c r="M231" s="333"/>
      <c r="BF231" s="319">
        <f t="shared" si="109"/>
        <v>0</v>
      </c>
      <c r="BG231" s="345" t="s">
        <v>2566</v>
      </c>
      <c r="BI231" s="319">
        <f t="shared" si="102"/>
        <v>0</v>
      </c>
      <c r="BJ231" s="319">
        <f t="shared" si="110"/>
        <v>0</v>
      </c>
      <c r="BK231" s="319">
        <f t="shared" si="110"/>
        <v>0</v>
      </c>
      <c r="BL231" s="319">
        <f t="shared" si="110"/>
        <v>0</v>
      </c>
      <c r="BM231" s="319">
        <f t="shared" si="110"/>
        <v>0</v>
      </c>
      <c r="BN231" s="319">
        <f t="shared" si="110"/>
        <v>0</v>
      </c>
      <c r="BO231" s="319">
        <f t="shared" si="110"/>
        <v>0</v>
      </c>
      <c r="BP231" s="319">
        <f t="shared" si="110"/>
        <v>0</v>
      </c>
      <c r="BQ231" s="319">
        <f t="shared" si="110"/>
        <v>0</v>
      </c>
      <c r="BR231" s="319">
        <f t="shared" si="110"/>
        <v>0</v>
      </c>
      <c r="BS231" s="319">
        <f t="shared" si="110"/>
        <v>0</v>
      </c>
      <c r="BT231" s="319">
        <f t="shared" si="110"/>
        <v>0</v>
      </c>
      <c r="BU231" s="319">
        <f t="shared" si="110"/>
        <v>0</v>
      </c>
      <c r="BV231" s="319">
        <f t="shared" si="110"/>
        <v>0</v>
      </c>
      <c r="BW231" s="319">
        <f t="shared" si="110"/>
        <v>0</v>
      </c>
      <c r="BX231" s="319">
        <f t="shared" si="110"/>
        <v>0</v>
      </c>
      <c r="BY231" s="319">
        <f t="shared" si="110"/>
        <v>0</v>
      </c>
      <c r="BZ231" s="319">
        <f t="shared" si="110"/>
        <v>0</v>
      </c>
      <c r="CA231" s="319">
        <f t="shared" si="110"/>
        <v>0</v>
      </c>
      <c r="CB231" s="319">
        <f t="shared" si="110"/>
        <v>0</v>
      </c>
      <c r="CC231" s="319">
        <f t="shared" si="110"/>
        <v>0</v>
      </c>
      <c r="CD231" s="319">
        <f t="shared" si="110"/>
        <v>0</v>
      </c>
      <c r="CE231" s="319">
        <f t="shared" si="110"/>
        <v>0</v>
      </c>
      <c r="CF231" s="319">
        <f t="shared" si="110"/>
        <v>0</v>
      </c>
      <c r="CG231" s="319">
        <f t="shared" si="110"/>
        <v>0</v>
      </c>
      <c r="CH231" s="319">
        <f t="shared" si="110"/>
        <v>0</v>
      </c>
      <c r="CI231" s="319">
        <f t="shared" si="110"/>
        <v>0</v>
      </c>
      <c r="CJ231" s="319">
        <f t="shared" si="110"/>
        <v>0</v>
      </c>
      <c r="CK231" s="319">
        <f t="shared" si="110"/>
        <v>0</v>
      </c>
      <c r="CL231" s="319">
        <f t="shared" si="110"/>
        <v>0</v>
      </c>
      <c r="CM231" s="319">
        <f t="shared" si="110"/>
        <v>0</v>
      </c>
      <c r="CN231" s="319">
        <f t="shared" si="110"/>
        <v>0</v>
      </c>
      <c r="CO231" s="319">
        <f t="shared" si="110"/>
        <v>0</v>
      </c>
      <c r="CP231" s="319">
        <f t="shared" si="110"/>
        <v>0</v>
      </c>
      <c r="CQ231" s="319">
        <f t="shared" si="110"/>
        <v>0</v>
      </c>
      <c r="CR231" s="319">
        <f t="shared" si="110"/>
        <v>0</v>
      </c>
      <c r="CS231" s="319">
        <f t="shared" si="110"/>
        <v>0</v>
      </c>
      <c r="CT231" s="319">
        <f t="shared" si="110"/>
        <v>0</v>
      </c>
      <c r="CU231" s="319">
        <f t="shared" si="110"/>
        <v>0</v>
      </c>
      <c r="CV231" s="319">
        <f t="shared" si="110"/>
        <v>0</v>
      </c>
    </row>
    <row r="232" spans="1:100" ht="15.75" thickBot="1" x14ac:dyDescent="0.3">
      <c r="A232" s="319">
        <f t="shared" si="101"/>
        <v>0</v>
      </c>
      <c r="B232" s="319">
        <f t="shared" si="104"/>
        <v>0</v>
      </c>
      <c r="C232" s="352" t="s">
        <v>1483</v>
      </c>
      <c r="D232" s="353" t="s">
        <v>364</v>
      </c>
      <c r="E232" s="353">
        <v>11</v>
      </c>
      <c r="F232" s="353" t="str">
        <f>IF(AND('House Rules'!$B$5="Available",E136&lt;CharacterSheet!$V$34,G221="Yes",G222="Yes",G223="Yes",G225="Yes",G224="Yes",G226="Yes",G227="Yes",OR(G228="Yes",G229="Yes"),G230="Yes",G231="Yes"),"Yes","No")</f>
        <v>No</v>
      </c>
      <c r="G232" s="565" t="s">
        <v>347</v>
      </c>
      <c r="H232" s="333" t="str">
        <f>IF(C232="","",VLOOKUP(C232,Boonref2!A:B,2,FALSE))</f>
        <v>No</v>
      </c>
      <c r="I232" s="333"/>
      <c r="J232" s="333" t="str">
        <f>VLOOKUP(C232,BoonRef!A:Z,17,FALSE)</f>
        <v>Yes</v>
      </c>
      <c r="K232" s="333" t="str">
        <f>IF(J232="God",'House Rules'!$B$2,IF(J232="Demi",'House Rules'!$B$1,IF(J232="Comp",'House Rules'!$B$4,IF(J232="Yaz",'House Rules'!$B$5,IF(J232="Rag",'House Rules'!$B$3,"Available")))))</f>
        <v>Available</v>
      </c>
      <c r="L232" s="333"/>
      <c r="M232" s="333"/>
      <c r="BF232" s="319">
        <f t="shared" si="109"/>
        <v>0</v>
      </c>
      <c r="BG232" s="355" t="s">
        <v>2567</v>
      </c>
      <c r="BI232" s="319">
        <f t="shared" si="102"/>
        <v>0</v>
      </c>
      <c r="BJ232" s="319">
        <f t="shared" si="110"/>
        <v>0</v>
      </c>
      <c r="BK232" s="319">
        <f t="shared" si="110"/>
        <v>0</v>
      </c>
      <c r="BL232" s="319">
        <f t="shared" si="110"/>
        <v>0</v>
      </c>
      <c r="BM232" s="319">
        <f t="shared" si="110"/>
        <v>0</v>
      </c>
      <c r="BN232" s="319">
        <f t="shared" si="110"/>
        <v>0</v>
      </c>
      <c r="BO232" s="319">
        <f t="shared" si="110"/>
        <v>0</v>
      </c>
      <c r="BP232" s="319">
        <f t="shared" si="110"/>
        <v>0</v>
      </c>
      <c r="BQ232" s="319">
        <f t="shared" si="110"/>
        <v>0</v>
      </c>
      <c r="BR232" s="319">
        <f t="shared" si="110"/>
        <v>0</v>
      </c>
      <c r="BS232" s="319">
        <f t="shared" si="110"/>
        <v>0</v>
      </c>
      <c r="BT232" s="319">
        <f t="shared" si="110"/>
        <v>0</v>
      </c>
      <c r="BU232" s="319">
        <f t="shared" si="110"/>
        <v>0</v>
      </c>
      <c r="BV232" s="319">
        <f t="shared" si="110"/>
        <v>0</v>
      </c>
      <c r="BW232" s="319">
        <f t="shared" si="110"/>
        <v>0</v>
      </c>
      <c r="BX232" s="319">
        <f t="shared" si="110"/>
        <v>0</v>
      </c>
      <c r="BY232" s="319">
        <f t="shared" ref="BJ232:CV238" si="111">IF(AND($D232=BY$1,$G232="Yes"),$E232,0)</f>
        <v>0</v>
      </c>
      <c r="BZ232" s="319">
        <f t="shared" si="111"/>
        <v>0</v>
      </c>
      <c r="CA232" s="319">
        <f t="shared" si="111"/>
        <v>0</v>
      </c>
      <c r="CB232" s="319">
        <f t="shared" si="111"/>
        <v>0</v>
      </c>
      <c r="CC232" s="319">
        <f t="shared" si="111"/>
        <v>0</v>
      </c>
      <c r="CD232" s="319">
        <f t="shared" si="111"/>
        <v>0</v>
      </c>
      <c r="CE232" s="319">
        <f t="shared" si="111"/>
        <v>0</v>
      </c>
      <c r="CF232" s="319">
        <f t="shared" si="111"/>
        <v>0</v>
      </c>
      <c r="CG232" s="319">
        <f t="shared" si="111"/>
        <v>0</v>
      </c>
      <c r="CH232" s="319">
        <f t="shared" si="111"/>
        <v>0</v>
      </c>
      <c r="CI232" s="319">
        <f t="shared" si="111"/>
        <v>0</v>
      </c>
      <c r="CJ232" s="319">
        <f t="shared" si="111"/>
        <v>0</v>
      </c>
      <c r="CK232" s="319">
        <f t="shared" si="111"/>
        <v>0</v>
      </c>
      <c r="CL232" s="319">
        <f t="shared" si="111"/>
        <v>0</v>
      </c>
      <c r="CM232" s="319">
        <f t="shared" si="111"/>
        <v>0</v>
      </c>
      <c r="CN232" s="319">
        <f t="shared" si="111"/>
        <v>0</v>
      </c>
      <c r="CO232" s="319">
        <f t="shared" si="111"/>
        <v>0</v>
      </c>
      <c r="CP232" s="319">
        <f t="shared" si="111"/>
        <v>0</v>
      </c>
      <c r="CQ232" s="319">
        <f t="shared" si="111"/>
        <v>0</v>
      </c>
      <c r="CR232" s="319">
        <f t="shared" si="111"/>
        <v>0</v>
      </c>
      <c r="CS232" s="319">
        <f t="shared" si="111"/>
        <v>0</v>
      </c>
      <c r="CT232" s="319">
        <f t="shared" si="111"/>
        <v>0</v>
      </c>
      <c r="CU232" s="319">
        <f t="shared" si="111"/>
        <v>0</v>
      </c>
      <c r="CV232" s="319">
        <f t="shared" si="111"/>
        <v>0</v>
      </c>
    </row>
    <row r="233" spans="1:100" x14ac:dyDescent="0.25">
      <c r="A233" s="319">
        <f t="shared" si="101"/>
        <v>0</v>
      </c>
      <c r="B233" s="319">
        <f t="shared" si="104"/>
        <v>0</v>
      </c>
      <c r="C233" s="330" t="s">
        <v>1103</v>
      </c>
      <c r="D233" s="331" t="s">
        <v>365</v>
      </c>
      <c r="E233" s="331">
        <v>1</v>
      </c>
      <c r="F233" s="331" t="str">
        <f>IF(E233&lt;CharacterSheet!$V$34,"Yes","No")</f>
        <v>Yes</v>
      </c>
      <c r="G233" s="563" t="s">
        <v>347</v>
      </c>
      <c r="H233" s="333" t="str">
        <f>IF(C233="","",VLOOKUP(C233,Boonref2!A:B,2,FALSE))</f>
        <v>No</v>
      </c>
      <c r="I233" s="333"/>
      <c r="J233" s="333" t="str">
        <f>VLOOKUP(C233,BoonRef!A:Z,17,FALSE)</f>
        <v>Yes</v>
      </c>
      <c r="K233" s="333" t="str">
        <f>IF(J233="God",'House Rules'!$B$2,IF(J233="Demi",'House Rules'!$B$1,IF(J233="Comp",'House Rules'!$B$4,IF(J233="Yaz",'House Rules'!$B$5,IF(J233="Rag",'House Rules'!$B$3,"Available")))))</f>
        <v>Available</v>
      </c>
      <c r="L233" s="333"/>
      <c r="M233" s="333"/>
      <c r="BF233" s="319">
        <f t="shared" si="109"/>
        <v>0</v>
      </c>
      <c r="BG233" s="336" t="s">
        <v>2568</v>
      </c>
      <c r="BI233" s="319">
        <f t="shared" si="102"/>
        <v>0</v>
      </c>
      <c r="BJ233" s="319">
        <f t="shared" si="111"/>
        <v>0</v>
      </c>
      <c r="BK233" s="319">
        <f t="shared" si="111"/>
        <v>0</v>
      </c>
      <c r="BL233" s="319">
        <f t="shared" si="111"/>
        <v>0</v>
      </c>
      <c r="BM233" s="319">
        <f t="shared" si="111"/>
        <v>0</v>
      </c>
      <c r="BN233" s="319">
        <f t="shared" si="111"/>
        <v>0</v>
      </c>
      <c r="BO233" s="319">
        <f t="shared" si="111"/>
        <v>0</v>
      </c>
      <c r="BP233" s="319">
        <f t="shared" si="111"/>
        <v>0</v>
      </c>
      <c r="BQ233" s="319">
        <f t="shared" si="111"/>
        <v>0</v>
      </c>
      <c r="BR233" s="319">
        <f t="shared" si="111"/>
        <v>0</v>
      </c>
      <c r="BS233" s="319">
        <f t="shared" si="111"/>
        <v>0</v>
      </c>
      <c r="BT233" s="319">
        <f t="shared" si="111"/>
        <v>0</v>
      </c>
      <c r="BU233" s="319">
        <f t="shared" si="111"/>
        <v>0</v>
      </c>
      <c r="BV233" s="319">
        <f t="shared" si="111"/>
        <v>0</v>
      </c>
      <c r="BW233" s="319">
        <f t="shared" si="111"/>
        <v>0</v>
      </c>
      <c r="BX233" s="319">
        <f t="shared" si="111"/>
        <v>0</v>
      </c>
      <c r="BY233" s="319">
        <f t="shared" si="111"/>
        <v>0</v>
      </c>
      <c r="BZ233" s="319">
        <f t="shared" si="111"/>
        <v>0</v>
      </c>
      <c r="CA233" s="319">
        <f t="shared" si="111"/>
        <v>0</v>
      </c>
      <c r="CB233" s="319">
        <f t="shared" si="111"/>
        <v>0</v>
      </c>
      <c r="CC233" s="319">
        <f t="shared" si="111"/>
        <v>0</v>
      </c>
      <c r="CD233" s="319">
        <f t="shared" si="111"/>
        <v>0</v>
      </c>
      <c r="CE233" s="319">
        <f t="shared" si="111"/>
        <v>0</v>
      </c>
      <c r="CF233" s="319">
        <f t="shared" si="111"/>
        <v>0</v>
      </c>
      <c r="CG233" s="319">
        <f t="shared" si="111"/>
        <v>0</v>
      </c>
      <c r="CH233" s="319">
        <f t="shared" si="111"/>
        <v>0</v>
      </c>
      <c r="CI233" s="319">
        <f t="shared" si="111"/>
        <v>0</v>
      </c>
      <c r="CJ233" s="319">
        <f t="shared" si="111"/>
        <v>0</v>
      </c>
      <c r="CK233" s="319">
        <f t="shared" si="111"/>
        <v>0</v>
      </c>
      <c r="CL233" s="319">
        <f t="shared" si="111"/>
        <v>0</v>
      </c>
      <c r="CM233" s="319">
        <f t="shared" si="111"/>
        <v>0</v>
      </c>
      <c r="CN233" s="319">
        <f t="shared" si="111"/>
        <v>0</v>
      </c>
      <c r="CO233" s="319">
        <f t="shared" si="111"/>
        <v>0</v>
      </c>
      <c r="CP233" s="319">
        <f t="shared" si="111"/>
        <v>0</v>
      </c>
      <c r="CQ233" s="319">
        <f t="shared" si="111"/>
        <v>0</v>
      </c>
      <c r="CR233" s="319">
        <f t="shared" si="111"/>
        <v>0</v>
      </c>
      <c r="CS233" s="319">
        <f t="shared" si="111"/>
        <v>0</v>
      </c>
      <c r="CT233" s="319">
        <f t="shared" si="111"/>
        <v>0</v>
      </c>
      <c r="CU233" s="319">
        <f t="shared" si="111"/>
        <v>0</v>
      </c>
      <c r="CV233" s="319">
        <f t="shared" si="111"/>
        <v>0</v>
      </c>
    </row>
    <row r="234" spans="1:100" x14ac:dyDescent="0.25">
      <c r="A234" s="319">
        <f t="shared" si="101"/>
        <v>0</v>
      </c>
      <c r="B234" s="319">
        <f t="shared" si="104"/>
        <v>0</v>
      </c>
      <c r="C234" s="340" t="s">
        <v>1104</v>
      </c>
      <c r="D234" s="341" t="s">
        <v>365</v>
      </c>
      <c r="E234" s="341">
        <v>2</v>
      </c>
      <c r="F234" s="341" t="str">
        <f>IF(AND(E234&lt;CharacterSheet!$V$34,OR('House Rules'!$B$7="Standard",AND('House Rules'!$B$7="Ranked",G233="Yes"))),"Yes","No")</f>
        <v>No</v>
      </c>
      <c r="G234" s="564" t="s">
        <v>347</v>
      </c>
      <c r="H234" s="333" t="str">
        <f>IF(C234="","",VLOOKUP(C234,Boonref2!A:B,2,FALSE))</f>
        <v>No</v>
      </c>
      <c r="I234" s="333"/>
      <c r="J234" s="333" t="str">
        <f>VLOOKUP(C234,BoonRef!A:Z,17,FALSE)</f>
        <v>Yes</v>
      </c>
      <c r="K234" s="333" t="str">
        <f>IF(J234="God",'House Rules'!$B$2,IF(J234="Demi",'House Rules'!$B$1,IF(J234="Comp",'House Rules'!$B$4,IF(J234="Yaz",'House Rules'!$B$5,IF(J234="Rag",'House Rules'!$B$3,"Available")))))</f>
        <v>Available</v>
      </c>
      <c r="L234" s="333"/>
      <c r="M234" s="333"/>
      <c r="BF234" s="319">
        <f t="shared" si="109"/>
        <v>0</v>
      </c>
      <c r="BG234" s="345" t="s">
        <v>2569</v>
      </c>
      <c r="BI234" s="319">
        <f t="shared" si="102"/>
        <v>0</v>
      </c>
      <c r="BJ234" s="319">
        <f t="shared" si="111"/>
        <v>0</v>
      </c>
      <c r="BK234" s="319">
        <f t="shared" si="111"/>
        <v>0</v>
      </c>
      <c r="BL234" s="319">
        <f t="shared" si="111"/>
        <v>0</v>
      </c>
      <c r="BM234" s="319">
        <f t="shared" si="111"/>
        <v>0</v>
      </c>
      <c r="BN234" s="319">
        <f t="shared" si="111"/>
        <v>0</v>
      </c>
      <c r="BO234" s="319">
        <f t="shared" si="111"/>
        <v>0</v>
      </c>
      <c r="BP234" s="319">
        <f t="shared" si="111"/>
        <v>0</v>
      </c>
      <c r="BQ234" s="319">
        <f t="shared" si="111"/>
        <v>0</v>
      </c>
      <c r="BR234" s="319">
        <f t="shared" si="111"/>
        <v>0</v>
      </c>
      <c r="BS234" s="319">
        <f t="shared" si="111"/>
        <v>0</v>
      </c>
      <c r="BT234" s="319">
        <f t="shared" si="111"/>
        <v>0</v>
      </c>
      <c r="BU234" s="319">
        <f t="shared" si="111"/>
        <v>0</v>
      </c>
      <c r="BV234" s="319">
        <f t="shared" si="111"/>
        <v>0</v>
      </c>
      <c r="BW234" s="319">
        <f t="shared" si="111"/>
        <v>0</v>
      </c>
      <c r="BX234" s="319">
        <f t="shared" si="111"/>
        <v>0</v>
      </c>
      <c r="BY234" s="319">
        <f t="shared" si="111"/>
        <v>0</v>
      </c>
      <c r="BZ234" s="319">
        <f t="shared" si="111"/>
        <v>0</v>
      </c>
      <c r="CA234" s="319">
        <f t="shared" si="111"/>
        <v>0</v>
      </c>
      <c r="CB234" s="319">
        <f t="shared" si="111"/>
        <v>0</v>
      </c>
      <c r="CC234" s="319">
        <f t="shared" si="111"/>
        <v>0</v>
      </c>
      <c r="CD234" s="319">
        <f t="shared" si="111"/>
        <v>0</v>
      </c>
      <c r="CE234" s="319">
        <f t="shared" si="111"/>
        <v>0</v>
      </c>
      <c r="CF234" s="319">
        <f t="shared" si="111"/>
        <v>0</v>
      </c>
      <c r="CG234" s="319">
        <f t="shared" si="111"/>
        <v>0</v>
      </c>
      <c r="CH234" s="319">
        <f t="shared" si="111"/>
        <v>0</v>
      </c>
      <c r="CI234" s="319">
        <f t="shared" si="111"/>
        <v>0</v>
      </c>
      <c r="CJ234" s="319">
        <f t="shared" si="111"/>
        <v>0</v>
      </c>
      <c r="CK234" s="319">
        <f t="shared" si="111"/>
        <v>0</v>
      </c>
      <c r="CL234" s="319">
        <f t="shared" si="111"/>
        <v>0</v>
      </c>
      <c r="CM234" s="319">
        <f t="shared" si="111"/>
        <v>0</v>
      </c>
      <c r="CN234" s="319">
        <f t="shared" si="111"/>
        <v>0</v>
      </c>
      <c r="CO234" s="319">
        <f t="shared" si="111"/>
        <v>0</v>
      </c>
      <c r="CP234" s="319">
        <f t="shared" si="111"/>
        <v>0</v>
      </c>
      <c r="CQ234" s="319">
        <f t="shared" si="111"/>
        <v>0</v>
      </c>
      <c r="CR234" s="319">
        <f t="shared" si="111"/>
        <v>0</v>
      </c>
      <c r="CS234" s="319">
        <f t="shared" si="111"/>
        <v>0</v>
      </c>
      <c r="CT234" s="319">
        <f t="shared" si="111"/>
        <v>0</v>
      </c>
      <c r="CU234" s="319">
        <f t="shared" si="111"/>
        <v>0</v>
      </c>
      <c r="CV234" s="319">
        <f t="shared" si="111"/>
        <v>0</v>
      </c>
    </row>
    <row r="235" spans="1:100" x14ac:dyDescent="0.25">
      <c r="A235" s="319">
        <f t="shared" si="101"/>
        <v>0</v>
      </c>
      <c r="B235" s="319">
        <f t="shared" si="104"/>
        <v>0</v>
      </c>
      <c r="C235" s="340" t="s">
        <v>1105</v>
      </c>
      <c r="D235" s="341" t="s">
        <v>365</v>
      </c>
      <c r="E235" s="341">
        <v>3</v>
      </c>
      <c r="F235" s="341" t="str">
        <f>IF(AND(E235&lt;CharacterSheet!$V$34,OR('House Rules'!$B$7="Standard",AND('House Rules'!$B$7="Ranked",G234="Yes"))),"Yes","No")</f>
        <v>No</v>
      </c>
      <c r="G235" s="564" t="s">
        <v>347</v>
      </c>
      <c r="H235" s="333" t="str">
        <f>IF(C235="","",VLOOKUP(C235,Boonref2!A:B,2,FALSE))</f>
        <v>Yes</v>
      </c>
      <c r="I235" s="333"/>
      <c r="J235" s="333" t="str">
        <f>VLOOKUP(C235,BoonRef!A:Z,17,FALSE)</f>
        <v>Yes</v>
      </c>
      <c r="K235" s="333" t="str">
        <f>IF(J235="God",'House Rules'!$B$2,IF(J235="Demi",'House Rules'!$B$1,IF(J235="Comp",'House Rules'!$B$4,IF(J235="Yaz",'House Rules'!$B$5,IF(J235="Rag",'House Rules'!$B$3,"Available")))))</f>
        <v>Available</v>
      </c>
      <c r="L235" s="333"/>
      <c r="M235" s="333"/>
      <c r="BF235" s="319">
        <f t="shared" si="109"/>
        <v>0</v>
      </c>
      <c r="BG235" s="345" t="s">
        <v>2570</v>
      </c>
      <c r="BI235" s="319">
        <f t="shared" si="102"/>
        <v>0</v>
      </c>
      <c r="BJ235" s="319">
        <f t="shared" si="111"/>
        <v>0</v>
      </c>
      <c r="BK235" s="319">
        <f t="shared" si="111"/>
        <v>0</v>
      </c>
      <c r="BL235" s="319">
        <f t="shared" si="111"/>
        <v>0</v>
      </c>
      <c r="BM235" s="319">
        <f t="shared" si="111"/>
        <v>0</v>
      </c>
      <c r="BN235" s="319">
        <f t="shared" si="111"/>
        <v>0</v>
      </c>
      <c r="BO235" s="319">
        <f t="shared" si="111"/>
        <v>0</v>
      </c>
      <c r="BP235" s="319">
        <f t="shared" si="111"/>
        <v>0</v>
      </c>
      <c r="BQ235" s="319">
        <f t="shared" si="111"/>
        <v>0</v>
      </c>
      <c r="BR235" s="319">
        <f t="shared" si="111"/>
        <v>0</v>
      </c>
      <c r="BS235" s="319">
        <f t="shared" si="111"/>
        <v>0</v>
      </c>
      <c r="BT235" s="319">
        <f t="shared" si="111"/>
        <v>0</v>
      </c>
      <c r="BU235" s="319">
        <f t="shared" si="111"/>
        <v>0</v>
      </c>
      <c r="BV235" s="319">
        <f t="shared" si="111"/>
        <v>0</v>
      </c>
      <c r="BW235" s="319">
        <f t="shared" si="111"/>
        <v>0</v>
      </c>
      <c r="BX235" s="319">
        <f t="shared" si="111"/>
        <v>0</v>
      </c>
      <c r="BY235" s="319">
        <f t="shared" si="111"/>
        <v>0</v>
      </c>
      <c r="BZ235" s="319">
        <f t="shared" si="111"/>
        <v>0</v>
      </c>
      <c r="CA235" s="319">
        <f t="shared" si="111"/>
        <v>0</v>
      </c>
      <c r="CB235" s="319">
        <f t="shared" si="111"/>
        <v>0</v>
      </c>
      <c r="CC235" s="319">
        <f t="shared" si="111"/>
        <v>0</v>
      </c>
      <c r="CD235" s="319">
        <f t="shared" si="111"/>
        <v>0</v>
      </c>
      <c r="CE235" s="319">
        <f t="shared" si="111"/>
        <v>0</v>
      </c>
      <c r="CF235" s="319">
        <f t="shared" si="111"/>
        <v>0</v>
      </c>
      <c r="CG235" s="319">
        <f t="shared" si="111"/>
        <v>0</v>
      </c>
      <c r="CH235" s="319">
        <f t="shared" si="111"/>
        <v>0</v>
      </c>
      <c r="CI235" s="319">
        <f t="shared" si="111"/>
        <v>0</v>
      </c>
      <c r="CJ235" s="319">
        <f t="shared" si="111"/>
        <v>0</v>
      </c>
      <c r="CK235" s="319">
        <f t="shared" si="111"/>
        <v>0</v>
      </c>
      <c r="CL235" s="319">
        <f t="shared" si="111"/>
        <v>0</v>
      </c>
      <c r="CM235" s="319">
        <f t="shared" si="111"/>
        <v>0</v>
      </c>
      <c r="CN235" s="319">
        <f t="shared" si="111"/>
        <v>0</v>
      </c>
      <c r="CO235" s="319">
        <f t="shared" si="111"/>
        <v>0</v>
      </c>
      <c r="CP235" s="319">
        <f t="shared" si="111"/>
        <v>0</v>
      </c>
      <c r="CQ235" s="319">
        <f t="shared" si="111"/>
        <v>0</v>
      </c>
      <c r="CR235" s="319">
        <f t="shared" si="111"/>
        <v>0</v>
      </c>
      <c r="CS235" s="319">
        <f t="shared" si="111"/>
        <v>0</v>
      </c>
      <c r="CT235" s="319">
        <f t="shared" si="111"/>
        <v>0</v>
      </c>
      <c r="CU235" s="319">
        <f t="shared" si="111"/>
        <v>0</v>
      </c>
      <c r="CV235" s="319">
        <f t="shared" si="111"/>
        <v>0</v>
      </c>
    </row>
    <row r="236" spans="1:100" x14ac:dyDescent="0.25">
      <c r="A236" s="319">
        <f t="shared" si="101"/>
        <v>0</v>
      </c>
      <c r="B236" s="319">
        <f t="shared" si="104"/>
        <v>0</v>
      </c>
      <c r="C236" s="340" t="s">
        <v>1405</v>
      </c>
      <c r="D236" s="341" t="s">
        <v>365</v>
      </c>
      <c r="E236" s="341">
        <v>3</v>
      </c>
      <c r="F236" s="341" t="str">
        <f>IF(AND(E236&lt;CharacterSheet!$V$34,'House Rules'!$B$4="Available",OR('House Rules'!$B$7="Standard",AND('House Rules'!$B$7="Ranked",G234="Yes"))),"Yes","No")</f>
        <v>No</v>
      </c>
      <c r="G236" s="564" t="s">
        <v>347</v>
      </c>
      <c r="H236" s="333" t="str">
        <f>IF(C236="","",VLOOKUP(C236,Boonref2!A:B,2,FALSE))</f>
        <v>Yes</v>
      </c>
      <c r="I236" s="333"/>
      <c r="J236" s="333" t="str">
        <f>VLOOKUP(C236,BoonRef!A:Z,17,FALSE)</f>
        <v>Yes</v>
      </c>
      <c r="K236" s="333" t="str">
        <f>IF(J236="God",'House Rules'!$B$2,IF(J236="Demi",'House Rules'!$B$1,IF(J236="Comp",'House Rules'!$B$4,IF(J236="Yaz",'House Rules'!$B$5,IF(J236="Rag",'House Rules'!$B$3,"Available")))))</f>
        <v>Available</v>
      </c>
      <c r="L236" s="333"/>
      <c r="M236" s="333"/>
      <c r="BF236" s="319">
        <f t="shared" si="109"/>
        <v>0</v>
      </c>
      <c r="BG236" s="345" t="s">
        <v>2571</v>
      </c>
      <c r="BI236" s="319">
        <f t="shared" si="102"/>
        <v>0</v>
      </c>
      <c r="BJ236" s="319">
        <f t="shared" si="111"/>
        <v>0</v>
      </c>
      <c r="BK236" s="319">
        <f t="shared" si="111"/>
        <v>0</v>
      </c>
      <c r="BL236" s="319">
        <f t="shared" si="111"/>
        <v>0</v>
      </c>
      <c r="BM236" s="319">
        <f t="shared" si="111"/>
        <v>0</v>
      </c>
      <c r="BN236" s="319">
        <f t="shared" si="111"/>
        <v>0</v>
      </c>
      <c r="BO236" s="319">
        <f t="shared" si="111"/>
        <v>0</v>
      </c>
      <c r="BP236" s="319">
        <f t="shared" si="111"/>
        <v>0</v>
      </c>
      <c r="BQ236" s="319">
        <f t="shared" si="111"/>
        <v>0</v>
      </c>
      <c r="BR236" s="319">
        <f t="shared" si="111"/>
        <v>0</v>
      </c>
      <c r="BS236" s="319">
        <f t="shared" si="111"/>
        <v>0</v>
      </c>
      <c r="BT236" s="319">
        <f t="shared" si="111"/>
        <v>0</v>
      </c>
      <c r="BU236" s="319">
        <f t="shared" si="111"/>
        <v>0</v>
      </c>
      <c r="BV236" s="319">
        <f t="shared" si="111"/>
        <v>0</v>
      </c>
      <c r="BW236" s="319">
        <f t="shared" si="111"/>
        <v>0</v>
      </c>
      <c r="BX236" s="319">
        <f t="shared" si="111"/>
        <v>0</v>
      </c>
      <c r="BY236" s="319">
        <f t="shared" si="111"/>
        <v>0</v>
      </c>
      <c r="BZ236" s="319">
        <f t="shared" si="111"/>
        <v>0</v>
      </c>
      <c r="CA236" s="319">
        <f t="shared" si="111"/>
        <v>0</v>
      </c>
      <c r="CB236" s="319">
        <f t="shared" si="111"/>
        <v>0</v>
      </c>
      <c r="CC236" s="319">
        <f t="shared" si="111"/>
        <v>0</v>
      </c>
      <c r="CD236" s="319">
        <f t="shared" si="111"/>
        <v>0</v>
      </c>
      <c r="CE236" s="319">
        <f t="shared" si="111"/>
        <v>0</v>
      </c>
      <c r="CF236" s="319">
        <f t="shared" si="111"/>
        <v>0</v>
      </c>
      <c r="CG236" s="319">
        <f t="shared" si="111"/>
        <v>0</v>
      </c>
      <c r="CH236" s="319">
        <f t="shared" si="111"/>
        <v>0</v>
      </c>
      <c r="CI236" s="319">
        <f t="shared" si="111"/>
        <v>0</v>
      </c>
      <c r="CJ236" s="319">
        <f t="shared" si="111"/>
        <v>0</v>
      </c>
      <c r="CK236" s="319">
        <f t="shared" si="111"/>
        <v>0</v>
      </c>
      <c r="CL236" s="319">
        <f t="shared" si="111"/>
        <v>0</v>
      </c>
      <c r="CM236" s="319">
        <f t="shared" si="111"/>
        <v>0</v>
      </c>
      <c r="CN236" s="319">
        <f t="shared" si="111"/>
        <v>0</v>
      </c>
      <c r="CO236" s="319">
        <f t="shared" si="111"/>
        <v>0</v>
      </c>
      <c r="CP236" s="319">
        <f t="shared" si="111"/>
        <v>0</v>
      </c>
      <c r="CQ236" s="319">
        <f t="shared" si="111"/>
        <v>0</v>
      </c>
      <c r="CR236" s="319">
        <f t="shared" si="111"/>
        <v>0</v>
      </c>
      <c r="CS236" s="319">
        <f t="shared" si="111"/>
        <v>0</v>
      </c>
      <c r="CT236" s="319">
        <f t="shared" si="111"/>
        <v>0</v>
      </c>
      <c r="CU236" s="319">
        <f t="shared" si="111"/>
        <v>0</v>
      </c>
      <c r="CV236" s="319">
        <f t="shared" si="111"/>
        <v>0</v>
      </c>
    </row>
    <row r="237" spans="1:100" x14ac:dyDescent="0.25">
      <c r="A237" s="319">
        <f t="shared" si="101"/>
        <v>0</v>
      </c>
      <c r="B237" s="319">
        <f t="shared" si="104"/>
        <v>0</v>
      </c>
      <c r="C237" s="340" t="s">
        <v>1195</v>
      </c>
      <c r="D237" s="341" t="s">
        <v>365</v>
      </c>
      <c r="E237" s="341">
        <v>4</v>
      </c>
      <c r="F237" s="341" t="str">
        <f>IF(AND(E237&lt;CharacterSheet!$V$34,'House Rules'!$B$1="Available",OR('House Rules'!$B$7="Standard",AND('House Rules'!$B$7="Ranked",OR(G236="Yes",G235="Yes")))),"Yes","No")</f>
        <v>No</v>
      </c>
      <c r="G237" s="564" t="s">
        <v>347</v>
      </c>
      <c r="H237" s="333" t="str">
        <f>IF(C237="","",VLOOKUP(C237,Boonref2!A:B,2,FALSE))</f>
        <v>No</v>
      </c>
      <c r="I237" s="333"/>
      <c r="J237" s="333" t="str">
        <f>VLOOKUP(C237,BoonRef!A:Z,17,FALSE)</f>
        <v>Yes</v>
      </c>
      <c r="K237" s="333" t="str">
        <f>IF(J237="God",'House Rules'!$B$2,IF(J237="Demi",'House Rules'!$B$1,IF(J237="Comp",'House Rules'!$B$4,IF(J237="Yaz",'House Rules'!$B$5,IF(J237="Rag",'House Rules'!$B$3,"Available")))))</f>
        <v>Available</v>
      </c>
      <c r="L237" s="333"/>
      <c r="M237" s="333"/>
      <c r="BF237" s="319">
        <f t="shared" si="109"/>
        <v>0</v>
      </c>
      <c r="BG237" s="345" t="s">
        <v>2572</v>
      </c>
      <c r="BI237" s="319">
        <f t="shared" si="102"/>
        <v>0</v>
      </c>
      <c r="BJ237" s="319">
        <f t="shared" si="111"/>
        <v>0</v>
      </c>
      <c r="BK237" s="319">
        <f t="shared" si="111"/>
        <v>0</v>
      </c>
      <c r="BL237" s="319">
        <f t="shared" si="111"/>
        <v>0</v>
      </c>
      <c r="BM237" s="319">
        <f t="shared" si="111"/>
        <v>0</v>
      </c>
      <c r="BN237" s="319">
        <f t="shared" si="111"/>
        <v>0</v>
      </c>
      <c r="BO237" s="319">
        <f t="shared" si="111"/>
        <v>0</v>
      </c>
      <c r="BP237" s="319">
        <f t="shared" si="111"/>
        <v>0</v>
      </c>
      <c r="BQ237" s="319">
        <f t="shared" si="111"/>
        <v>0</v>
      </c>
      <c r="BR237" s="319">
        <f t="shared" si="111"/>
        <v>0</v>
      </c>
      <c r="BS237" s="319">
        <f t="shared" si="111"/>
        <v>0</v>
      </c>
      <c r="BT237" s="319">
        <f t="shared" si="111"/>
        <v>0</v>
      </c>
      <c r="BU237" s="319">
        <f t="shared" si="111"/>
        <v>0</v>
      </c>
      <c r="BV237" s="319">
        <f t="shared" si="111"/>
        <v>0</v>
      </c>
      <c r="BW237" s="319">
        <f t="shared" si="111"/>
        <v>0</v>
      </c>
      <c r="BX237" s="319">
        <f t="shared" si="111"/>
        <v>0</v>
      </c>
      <c r="BY237" s="319">
        <f t="shared" si="111"/>
        <v>0</v>
      </c>
      <c r="BZ237" s="319">
        <f t="shared" si="111"/>
        <v>0</v>
      </c>
      <c r="CA237" s="319">
        <f t="shared" si="111"/>
        <v>0</v>
      </c>
      <c r="CB237" s="319">
        <f t="shared" si="111"/>
        <v>0</v>
      </c>
      <c r="CC237" s="319">
        <f t="shared" si="111"/>
        <v>0</v>
      </c>
      <c r="CD237" s="319">
        <f t="shared" si="111"/>
        <v>0</v>
      </c>
      <c r="CE237" s="319">
        <f t="shared" si="111"/>
        <v>0</v>
      </c>
      <c r="CF237" s="319">
        <f t="shared" si="111"/>
        <v>0</v>
      </c>
      <c r="CG237" s="319">
        <f t="shared" si="111"/>
        <v>0</v>
      </c>
      <c r="CH237" s="319">
        <f t="shared" si="111"/>
        <v>0</v>
      </c>
      <c r="CI237" s="319">
        <f t="shared" si="111"/>
        <v>0</v>
      </c>
      <c r="CJ237" s="319">
        <f t="shared" si="111"/>
        <v>0</v>
      </c>
      <c r="CK237" s="319">
        <f t="shared" si="111"/>
        <v>0</v>
      </c>
      <c r="CL237" s="319">
        <f t="shared" si="111"/>
        <v>0</v>
      </c>
      <c r="CM237" s="319">
        <f t="shared" si="111"/>
        <v>0</v>
      </c>
      <c r="CN237" s="319">
        <f t="shared" si="111"/>
        <v>0</v>
      </c>
      <c r="CO237" s="319">
        <f t="shared" si="111"/>
        <v>0</v>
      </c>
      <c r="CP237" s="319">
        <f t="shared" si="111"/>
        <v>0</v>
      </c>
      <c r="CQ237" s="319">
        <f t="shared" si="111"/>
        <v>0</v>
      </c>
      <c r="CR237" s="319">
        <f t="shared" si="111"/>
        <v>0</v>
      </c>
      <c r="CS237" s="319">
        <f t="shared" si="111"/>
        <v>0</v>
      </c>
      <c r="CT237" s="319">
        <f t="shared" si="111"/>
        <v>0</v>
      </c>
      <c r="CU237" s="319">
        <f t="shared" si="111"/>
        <v>0</v>
      </c>
      <c r="CV237" s="319">
        <f t="shared" si="111"/>
        <v>0</v>
      </c>
    </row>
    <row r="238" spans="1:100" x14ac:dyDescent="0.25">
      <c r="A238" s="319">
        <f t="shared" si="101"/>
        <v>0</v>
      </c>
      <c r="B238" s="319">
        <f t="shared" si="104"/>
        <v>0</v>
      </c>
      <c r="C238" s="340" t="s">
        <v>1196</v>
      </c>
      <c r="D238" s="341" t="s">
        <v>365</v>
      </c>
      <c r="E238" s="341">
        <v>5</v>
      </c>
      <c r="F238" s="341" t="str">
        <f>IF(AND(E238&lt;CharacterSheet!$V$34,'House Rules'!$B$1="Available",OR('House Rules'!$B$7="Standard",AND('House Rules'!$B$7="Ranked",G237="Yes"))),"Yes","No")</f>
        <v>No</v>
      </c>
      <c r="G238" s="564" t="s">
        <v>347</v>
      </c>
      <c r="H238" s="333" t="str">
        <f>IF(C238="","",VLOOKUP(C238,Boonref2!A:B,2,FALSE))</f>
        <v>No</v>
      </c>
      <c r="I238" s="333"/>
      <c r="J238" s="333" t="str">
        <f>VLOOKUP(C238,BoonRef!A:Z,17,FALSE)</f>
        <v>Yes</v>
      </c>
      <c r="K238" s="333" t="str">
        <f>IF(J238="God",'House Rules'!$B$2,IF(J238="Demi",'House Rules'!$B$1,IF(J238="Comp",'House Rules'!$B$4,IF(J238="Yaz",'House Rules'!$B$5,IF(J238="Rag",'House Rules'!$B$3,"Available")))))</f>
        <v>Available</v>
      </c>
      <c r="L238" s="333"/>
      <c r="M238" s="333"/>
      <c r="BF238" s="319">
        <f t="shared" si="109"/>
        <v>0</v>
      </c>
      <c r="BG238" s="345" t="s">
        <v>2573</v>
      </c>
      <c r="BI238" s="319">
        <f t="shared" si="102"/>
        <v>0</v>
      </c>
      <c r="BJ238" s="319">
        <f t="shared" si="111"/>
        <v>0</v>
      </c>
      <c r="BK238" s="319">
        <f t="shared" si="111"/>
        <v>0</v>
      </c>
      <c r="BL238" s="319">
        <f t="shared" si="111"/>
        <v>0</v>
      </c>
      <c r="BM238" s="319">
        <f t="shared" si="111"/>
        <v>0</v>
      </c>
      <c r="BN238" s="319">
        <f t="shared" si="111"/>
        <v>0</v>
      </c>
      <c r="BO238" s="319">
        <f t="shared" si="111"/>
        <v>0</v>
      </c>
      <c r="BP238" s="319">
        <f t="shared" si="111"/>
        <v>0</v>
      </c>
      <c r="BQ238" s="319">
        <f t="shared" si="111"/>
        <v>0</v>
      </c>
      <c r="BR238" s="319">
        <f t="shared" si="111"/>
        <v>0</v>
      </c>
      <c r="BS238" s="319">
        <f t="shared" si="111"/>
        <v>0</v>
      </c>
      <c r="BT238" s="319">
        <f t="shared" si="111"/>
        <v>0</v>
      </c>
      <c r="BU238" s="319">
        <f t="shared" si="111"/>
        <v>0</v>
      </c>
      <c r="BV238" s="319">
        <f t="shared" si="111"/>
        <v>0</v>
      </c>
      <c r="BW238" s="319">
        <f t="shared" si="111"/>
        <v>0</v>
      </c>
      <c r="BX238" s="319">
        <f t="shared" si="111"/>
        <v>0</v>
      </c>
      <c r="BY238" s="319">
        <f t="shared" si="111"/>
        <v>0</v>
      </c>
      <c r="BZ238" s="319">
        <f t="shared" si="111"/>
        <v>0</v>
      </c>
      <c r="CA238" s="319">
        <f t="shared" si="111"/>
        <v>0</v>
      </c>
      <c r="CB238" s="319">
        <f t="shared" si="111"/>
        <v>0</v>
      </c>
      <c r="CC238" s="319">
        <f t="shared" si="111"/>
        <v>0</v>
      </c>
      <c r="CD238" s="319">
        <f t="shared" si="111"/>
        <v>0</v>
      </c>
      <c r="CE238" s="319">
        <f t="shared" si="111"/>
        <v>0</v>
      </c>
      <c r="CF238" s="319">
        <f t="shared" si="111"/>
        <v>0</v>
      </c>
      <c r="CG238" s="319">
        <f t="shared" si="111"/>
        <v>0</v>
      </c>
      <c r="CH238" s="319">
        <f t="shared" si="111"/>
        <v>0</v>
      </c>
      <c r="CI238" s="319">
        <f t="shared" si="111"/>
        <v>0</v>
      </c>
      <c r="CJ238" s="319">
        <f t="shared" si="111"/>
        <v>0</v>
      </c>
      <c r="CK238" s="319">
        <f t="shared" si="111"/>
        <v>0</v>
      </c>
      <c r="CL238" s="319">
        <f t="shared" si="111"/>
        <v>0</v>
      </c>
      <c r="CM238" s="319">
        <f t="shared" si="111"/>
        <v>0</v>
      </c>
      <c r="CN238" s="319">
        <f t="shared" si="111"/>
        <v>0</v>
      </c>
      <c r="CO238" s="319">
        <f t="shared" si="111"/>
        <v>0</v>
      </c>
      <c r="CP238" s="319">
        <f t="shared" si="111"/>
        <v>0</v>
      </c>
      <c r="CQ238" s="319">
        <f t="shared" si="111"/>
        <v>0</v>
      </c>
      <c r="CR238" s="319">
        <f t="shared" si="111"/>
        <v>0</v>
      </c>
      <c r="CS238" s="319">
        <f t="shared" si="111"/>
        <v>0</v>
      </c>
      <c r="CT238" s="319">
        <f t="shared" ref="BJ238:CV245" si="112">IF(AND($D238=CT$1,$G238="Yes"),$E238,0)</f>
        <v>0</v>
      </c>
      <c r="CU238" s="319">
        <f t="shared" si="112"/>
        <v>0</v>
      </c>
      <c r="CV238" s="319">
        <f t="shared" si="112"/>
        <v>0</v>
      </c>
    </row>
    <row r="239" spans="1:100" x14ac:dyDescent="0.25">
      <c r="A239" s="319">
        <f t="shared" si="101"/>
        <v>0</v>
      </c>
      <c r="B239" s="319">
        <f t="shared" si="104"/>
        <v>0</v>
      </c>
      <c r="C239" s="340" t="s">
        <v>1197</v>
      </c>
      <c r="D239" s="341" t="s">
        <v>365</v>
      </c>
      <c r="E239" s="341">
        <v>6</v>
      </c>
      <c r="F239" s="341" t="str">
        <f>IF(AND(E239&lt;CharacterSheet!$V$34,'House Rules'!$B$1="Available",OR('House Rules'!$B$7="Standard",AND('House Rules'!$B$7="Ranked",G238="Yes"))),"Yes","No")</f>
        <v>No</v>
      </c>
      <c r="G239" s="564" t="s">
        <v>347</v>
      </c>
      <c r="H239" s="333" t="str">
        <f>IF(C239="","",VLOOKUP(C239,Boonref2!A:B,2,FALSE))</f>
        <v>Yes</v>
      </c>
      <c r="I239" s="333"/>
      <c r="J239" s="333" t="str">
        <f>VLOOKUP(C239,BoonRef!A:Z,17,FALSE)</f>
        <v>Yes</v>
      </c>
      <c r="K239" s="333" t="str">
        <f>IF(J239="God",'House Rules'!$B$2,IF(J239="Demi",'House Rules'!$B$1,IF(J239="Comp",'House Rules'!$B$4,IF(J239="Yaz",'House Rules'!$B$5,IF(J239="Rag",'House Rules'!$B$3,"Available")))))</f>
        <v>Available</v>
      </c>
      <c r="L239" s="333"/>
      <c r="M239" s="333"/>
      <c r="BF239" s="319">
        <f t="shared" si="109"/>
        <v>0</v>
      </c>
      <c r="BG239" s="345" t="s">
        <v>2574</v>
      </c>
      <c r="BI239" s="319">
        <f t="shared" si="102"/>
        <v>0</v>
      </c>
      <c r="BJ239" s="319">
        <f t="shared" si="112"/>
        <v>0</v>
      </c>
      <c r="BK239" s="319">
        <f t="shared" si="112"/>
        <v>0</v>
      </c>
      <c r="BL239" s="319">
        <f t="shared" si="112"/>
        <v>0</v>
      </c>
      <c r="BM239" s="319">
        <f t="shared" si="112"/>
        <v>0</v>
      </c>
      <c r="BN239" s="319">
        <f t="shared" si="112"/>
        <v>0</v>
      </c>
      <c r="BO239" s="319">
        <f t="shared" si="112"/>
        <v>0</v>
      </c>
      <c r="BP239" s="319">
        <f t="shared" si="112"/>
        <v>0</v>
      </c>
      <c r="BQ239" s="319">
        <f t="shared" si="112"/>
        <v>0</v>
      </c>
      <c r="BR239" s="319">
        <f t="shared" si="112"/>
        <v>0</v>
      </c>
      <c r="BS239" s="319">
        <f t="shared" si="112"/>
        <v>0</v>
      </c>
      <c r="BT239" s="319">
        <f t="shared" si="112"/>
        <v>0</v>
      </c>
      <c r="BU239" s="319">
        <f t="shared" si="112"/>
        <v>0</v>
      </c>
      <c r="BV239" s="319">
        <f t="shared" si="112"/>
        <v>0</v>
      </c>
      <c r="BW239" s="319">
        <f t="shared" si="112"/>
        <v>0</v>
      </c>
      <c r="BX239" s="319">
        <f t="shared" si="112"/>
        <v>0</v>
      </c>
      <c r="BY239" s="319">
        <f t="shared" si="112"/>
        <v>0</v>
      </c>
      <c r="BZ239" s="319">
        <f t="shared" si="112"/>
        <v>0</v>
      </c>
      <c r="CA239" s="319">
        <f t="shared" si="112"/>
        <v>0</v>
      </c>
      <c r="CB239" s="319">
        <f t="shared" si="112"/>
        <v>0</v>
      </c>
      <c r="CC239" s="319">
        <f t="shared" si="112"/>
        <v>0</v>
      </c>
      <c r="CD239" s="319">
        <f t="shared" si="112"/>
        <v>0</v>
      </c>
      <c r="CE239" s="319">
        <f t="shared" si="112"/>
        <v>0</v>
      </c>
      <c r="CF239" s="319">
        <f t="shared" si="112"/>
        <v>0</v>
      </c>
      <c r="CG239" s="319">
        <f t="shared" si="112"/>
        <v>0</v>
      </c>
      <c r="CH239" s="319">
        <f t="shared" si="112"/>
        <v>0</v>
      </c>
      <c r="CI239" s="319">
        <f t="shared" si="112"/>
        <v>0</v>
      </c>
      <c r="CJ239" s="319">
        <f t="shared" si="112"/>
        <v>0</v>
      </c>
      <c r="CK239" s="319">
        <f t="shared" si="112"/>
        <v>0</v>
      </c>
      <c r="CL239" s="319">
        <f t="shared" si="112"/>
        <v>0</v>
      </c>
      <c r="CM239" s="319">
        <f t="shared" si="112"/>
        <v>0</v>
      </c>
      <c r="CN239" s="319">
        <f t="shared" si="112"/>
        <v>0</v>
      </c>
      <c r="CO239" s="319">
        <f t="shared" si="112"/>
        <v>0</v>
      </c>
      <c r="CP239" s="319">
        <f t="shared" si="112"/>
        <v>0</v>
      </c>
      <c r="CQ239" s="319">
        <f t="shared" si="112"/>
        <v>0</v>
      </c>
      <c r="CR239" s="319">
        <f t="shared" si="112"/>
        <v>0</v>
      </c>
      <c r="CS239" s="319">
        <f t="shared" si="112"/>
        <v>0</v>
      </c>
      <c r="CT239" s="319">
        <f t="shared" si="112"/>
        <v>0</v>
      </c>
      <c r="CU239" s="319">
        <f t="shared" si="112"/>
        <v>0</v>
      </c>
      <c r="CV239" s="319">
        <f t="shared" si="112"/>
        <v>0</v>
      </c>
    </row>
    <row r="240" spans="1:100" x14ac:dyDescent="0.25">
      <c r="A240" s="319">
        <f t="shared" si="101"/>
        <v>0</v>
      </c>
      <c r="B240" s="319">
        <f t="shared" si="104"/>
        <v>0</v>
      </c>
      <c r="C240" s="340" t="s">
        <v>1198</v>
      </c>
      <c r="D240" s="341" t="s">
        <v>365</v>
      </c>
      <c r="E240" s="341">
        <v>7</v>
      </c>
      <c r="F240" s="341" t="str">
        <f>IF(AND(E240&lt;CharacterSheet!$V$34,'House Rules'!$B$1="Available",OR('House Rules'!$B$7="Standard",AND('House Rules'!$B$7="Ranked",G239="Yes"))),"Yes","No")</f>
        <v>No</v>
      </c>
      <c r="G240" s="564" t="s">
        <v>347</v>
      </c>
      <c r="H240" s="333" t="str">
        <f>IF(C240="","",VLOOKUP(C240,Boonref2!A:B,2,FALSE))</f>
        <v>Yes</v>
      </c>
      <c r="I240" s="333"/>
      <c r="J240" s="333" t="str">
        <f>VLOOKUP(C240,BoonRef!A:Z,17,FALSE)</f>
        <v>Yes</v>
      </c>
      <c r="K240" s="333" t="str">
        <f>IF(J240="God",'House Rules'!$B$2,IF(J240="Demi",'House Rules'!$B$1,IF(J240="Comp",'House Rules'!$B$4,IF(J240="Yaz",'House Rules'!$B$5,IF(J240="Rag",'House Rules'!$B$3,"Available")))))</f>
        <v>Available</v>
      </c>
      <c r="L240" s="333"/>
      <c r="M240" s="333"/>
      <c r="BF240" s="319">
        <f t="shared" si="109"/>
        <v>0</v>
      </c>
      <c r="BG240" s="345" t="s">
        <v>2575</v>
      </c>
      <c r="BI240" s="319">
        <f t="shared" si="102"/>
        <v>0</v>
      </c>
      <c r="BJ240" s="319">
        <f t="shared" si="112"/>
        <v>0</v>
      </c>
      <c r="BK240" s="319">
        <f t="shared" si="112"/>
        <v>0</v>
      </c>
      <c r="BL240" s="319">
        <f t="shared" si="112"/>
        <v>0</v>
      </c>
      <c r="BM240" s="319">
        <f t="shared" si="112"/>
        <v>0</v>
      </c>
      <c r="BN240" s="319">
        <f t="shared" si="112"/>
        <v>0</v>
      </c>
      <c r="BO240" s="319">
        <f t="shared" si="112"/>
        <v>0</v>
      </c>
      <c r="BP240" s="319">
        <f t="shared" si="112"/>
        <v>0</v>
      </c>
      <c r="BQ240" s="319">
        <f t="shared" si="112"/>
        <v>0</v>
      </c>
      <c r="BR240" s="319">
        <f t="shared" si="112"/>
        <v>0</v>
      </c>
      <c r="BS240" s="319">
        <f t="shared" si="112"/>
        <v>0</v>
      </c>
      <c r="BT240" s="319">
        <f t="shared" si="112"/>
        <v>0</v>
      </c>
      <c r="BU240" s="319">
        <f t="shared" si="112"/>
        <v>0</v>
      </c>
      <c r="BV240" s="319">
        <f t="shared" si="112"/>
        <v>0</v>
      </c>
      <c r="BW240" s="319">
        <f t="shared" si="112"/>
        <v>0</v>
      </c>
      <c r="BX240" s="319">
        <f t="shared" si="112"/>
        <v>0</v>
      </c>
      <c r="BY240" s="319">
        <f t="shared" si="112"/>
        <v>0</v>
      </c>
      <c r="BZ240" s="319">
        <f t="shared" si="112"/>
        <v>0</v>
      </c>
      <c r="CA240" s="319">
        <f t="shared" si="112"/>
        <v>0</v>
      </c>
      <c r="CB240" s="319">
        <f t="shared" si="112"/>
        <v>0</v>
      </c>
      <c r="CC240" s="319">
        <f t="shared" si="112"/>
        <v>0</v>
      </c>
      <c r="CD240" s="319">
        <f t="shared" si="112"/>
        <v>0</v>
      </c>
      <c r="CE240" s="319">
        <f t="shared" si="112"/>
        <v>0</v>
      </c>
      <c r="CF240" s="319">
        <f t="shared" si="112"/>
        <v>0</v>
      </c>
      <c r="CG240" s="319">
        <f t="shared" si="112"/>
        <v>0</v>
      </c>
      <c r="CH240" s="319">
        <f t="shared" si="112"/>
        <v>0</v>
      </c>
      <c r="CI240" s="319">
        <f t="shared" si="112"/>
        <v>0</v>
      </c>
      <c r="CJ240" s="319">
        <f t="shared" si="112"/>
        <v>0</v>
      </c>
      <c r="CK240" s="319">
        <f t="shared" si="112"/>
        <v>0</v>
      </c>
      <c r="CL240" s="319">
        <f t="shared" si="112"/>
        <v>0</v>
      </c>
      <c r="CM240" s="319">
        <f t="shared" si="112"/>
        <v>0</v>
      </c>
      <c r="CN240" s="319">
        <f t="shared" si="112"/>
        <v>0</v>
      </c>
      <c r="CO240" s="319">
        <f t="shared" si="112"/>
        <v>0</v>
      </c>
      <c r="CP240" s="319">
        <f t="shared" si="112"/>
        <v>0</v>
      </c>
      <c r="CQ240" s="319">
        <f t="shared" si="112"/>
        <v>0</v>
      </c>
      <c r="CR240" s="319">
        <f t="shared" si="112"/>
        <v>0</v>
      </c>
      <c r="CS240" s="319">
        <f t="shared" si="112"/>
        <v>0</v>
      </c>
      <c r="CT240" s="319">
        <f t="shared" si="112"/>
        <v>0</v>
      </c>
      <c r="CU240" s="319">
        <f t="shared" si="112"/>
        <v>0</v>
      </c>
      <c r="CV240" s="319">
        <f t="shared" si="112"/>
        <v>0</v>
      </c>
    </row>
    <row r="241" spans="1:100" x14ac:dyDescent="0.25">
      <c r="A241" s="319">
        <f t="shared" si="101"/>
        <v>0</v>
      </c>
      <c r="B241" s="319">
        <f t="shared" si="104"/>
        <v>0</v>
      </c>
      <c r="C241" s="340" t="s">
        <v>1294</v>
      </c>
      <c r="D241" s="341" t="s">
        <v>365</v>
      </c>
      <c r="E241" s="341">
        <v>8</v>
      </c>
      <c r="F241" s="341" t="str">
        <f>IF(AND(E241&lt;CharacterSheet!$V$34,'House Rules'!$B$2="available",OR('House Rules'!$B$7="Standard",AND('House Rules'!$B$7="Ranked",G240="Yes"))),"Yes","No")</f>
        <v>No</v>
      </c>
      <c r="G241" s="564" t="s">
        <v>347</v>
      </c>
      <c r="H241" s="333" t="str">
        <f>IF(C241="","",VLOOKUP(C241,Boonref2!A:B,2,FALSE))</f>
        <v>Yes</v>
      </c>
      <c r="I241" s="333"/>
      <c r="J241" s="333" t="str">
        <f>VLOOKUP(C241,BoonRef!A:Z,17,FALSE)</f>
        <v>Yes</v>
      </c>
      <c r="K241" s="333" t="str">
        <f>IF(J241="God",'House Rules'!$B$2,IF(J241="Demi",'House Rules'!$B$1,IF(J241="Comp",'House Rules'!$B$4,IF(J241="Yaz",'House Rules'!$B$5,IF(J241="Rag",'House Rules'!$B$3,"Available")))))</f>
        <v>Available</v>
      </c>
      <c r="L241" s="333"/>
      <c r="M241" s="333"/>
      <c r="BF241" s="319">
        <f t="shared" si="109"/>
        <v>0</v>
      </c>
      <c r="BG241" s="345" t="s">
        <v>2576</v>
      </c>
      <c r="BI241" s="319">
        <f t="shared" si="102"/>
        <v>0</v>
      </c>
      <c r="BJ241" s="319">
        <f t="shared" si="112"/>
        <v>0</v>
      </c>
      <c r="BK241" s="319">
        <f t="shared" si="112"/>
        <v>0</v>
      </c>
      <c r="BL241" s="319">
        <f t="shared" si="112"/>
        <v>0</v>
      </c>
      <c r="BM241" s="319">
        <f t="shared" si="112"/>
        <v>0</v>
      </c>
      <c r="BN241" s="319">
        <f t="shared" si="112"/>
        <v>0</v>
      </c>
      <c r="BO241" s="319">
        <f t="shared" si="112"/>
        <v>0</v>
      </c>
      <c r="BP241" s="319">
        <f t="shared" si="112"/>
        <v>0</v>
      </c>
      <c r="BQ241" s="319">
        <f t="shared" si="112"/>
        <v>0</v>
      </c>
      <c r="BR241" s="319">
        <f t="shared" si="112"/>
        <v>0</v>
      </c>
      <c r="BS241" s="319">
        <f t="shared" si="112"/>
        <v>0</v>
      </c>
      <c r="BT241" s="319">
        <f t="shared" si="112"/>
        <v>0</v>
      </c>
      <c r="BU241" s="319">
        <f t="shared" si="112"/>
        <v>0</v>
      </c>
      <c r="BV241" s="319">
        <f t="shared" si="112"/>
        <v>0</v>
      </c>
      <c r="BW241" s="319">
        <f t="shared" si="112"/>
        <v>0</v>
      </c>
      <c r="BX241" s="319">
        <f t="shared" si="112"/>
        <v>0</v>
      </c>
      <c r="BY241" s="319">
        <f t="shared" si="112"/>
        <v>0</v>
      </c>
      <c r="BZ241" s="319">
        <f t="shared" si="112"/>
        <v>0</v>
      </c>
      <c r="CA241" s="319">
        <f t="shared" si="112"/>
        <v>0</v>
      </c>
      <c r="CB241" s="319">
        <f t="shared" si="112"/>
        <v>0</v>
      </c>
      <c r="CC241" s="319">
        <f t="shared" si="112"/>
        <v>0</v>
      </c>
      <c r="CD241" s="319">
        <f t="shared" si="112"/>
        <v>0</v>
      </c>
      <c r="CE241" s="319">
        <f t="shared" si="112"/>
        <v>0</v>
      </c>
      <c r="CF241" s="319">
        <f t="shared" si="112"/>
        <v>0</v>
      </c>
      <c r="CG241" s="319">
        <f t="shared" si="112"/>
        <v>0</v>
      </c>
      <c r="CH241" s="319">
        <f t="shared" si="112"/>
        <v>0</v>
      </c>
      <c r="CI241" s="319">
        <f t="shared" si="112"/>
        <v>0</v>
      </c>
      <c r="CJ241" s="319">
        <f t="shared" si="112"/>
        <v>0</v>
      </c>
      <c r="CK241" s="319">
        <f t="shared" si="112"/>
        <v>0</v>
      </c>
      <c r="CL241" s="319">
        <f t="shared" si="112"/>
        <v>0</v>
      </c>
      <c r="CM241" s="319">
        <f t="shared" si="112"/>
        <v>0</v>
      </c>
      <c r="CN241" s="319">
        <f t="shared" si="112"/>
        <v>0</v>
      </c>
      <c r="CO241" s="319">
        <f t="shared" si="112"/>
        <v>0</v>
      </c>
      <c r="CP241" s="319">
        <f t="shared" si="112"/>
        <v>0</v>
      </c>
      <c r="CQ241" s="319">
        <f t="shared" si="112"/>
        <v>0</v>
      </c>
      <c r="CR241" s="319">
        <f t="shared" si="112"/>
        <v>0</v>
      </c>
      <c r="CS241" s="319">
        <f t="shared" si="112"/>
        <v>0</v>
      </c>
      <c r="CT241" s="319">
        <f t="shared" si="112"/>
        <v>0</v>
      </c>
      <c r="CU241" s="319">
        <f t="shared" si="112"/>
        <v>0</v>
      </c>
      <c r="CV241" s="319">
        <f t="shared" si="112"/>
        <v>0</v>
      </c>
    </row>
    <row r="242" spans="1:100" ht="15.75" thickBot="1" x14ac:dyDescent="0.3">
      <c r="A242" s="319">
        <f t="shared" si="101"/>
        <v>0</v>
      </c>
      <c r="B242" s="319">
        <f t="shared" si="104"/>
        <v>0</v>
      </c>
      <c r="C242" s="340" t="s">
        <v>2643</v>
      </c>
      <c r="D242" s="341" t="s">
        <v>365</v>
      </c>
      <c r="E242" s="341">
        <v>8</v>
      </c>
      <c r="F242" s="341" t="str">
        <f>IF(AND(E241&lt;CharacterSheet!$V$34,'House Rules'!$B$3="Available",OR('House Rules'!$B$7="Standard",AND('House Rules'!$B$7="Ranked",OR(G240="Yes")))),"Yes","No")</f>
        <v>No</v>
      </c>
      <c r="G242" s="564" t="s">
        <v>347</v>
      </c>
      <c r="H242" s="333" t="str">
        <f>IF(C242="","",VLOOKUP(C242,Boonref2!A:B,2,FALSE))</f>
        <v>Yes</v>
      </c>
      <c r="I242" s="333"/>
      <c r="J242" s="333" t="str">
        <f>VLOOKUP(C242,BoonRef!A:Z,17,FALSE)</f>
        <v>Yes</v>
      </c>
      <c r="K242" s="333" t="str">
        <f>IF(J242="God",'House Rules'!$B$2,IF(J242="Demi",'House Rules'!$B$1,IF(J242="Comp",'House Rules'!$B$4,IF(J242="Yaz",'House Rules'!$B$5,IF(J242="Rag",'House Rules'!$B$3,"Available")))))</f>
        <v>Available</v>
      </c>
      <c r="L242" s="333"/>
      <c r="M242" s="333"/>
      <c r="BF242" s="319">
        <f t="shared" si="109"/>
        <v>0</v>
      </c>
      <c r="BG242" s="355" t="s">
        <v>2577</v>
      </c>
      <c r="BI242" s="319">
        <f t="shared" si="102"/>
        <v>0</v>
      </c>
      <c r="BJ242" s="319">
        <f t="shared" si="112"/>
        <v>0</v>
      </c>
      <c r="BK242" s="319">
        <f t="shared" si="112"/>
        <v>0</v>
      </c>
      <c r="BL242" s="319">
        <f t="shared" si="112"/>
        <v>0</v>
      </c>
      <c r="BM242" s="319">
        <f t="shared" si="112"/>
        <v>0</v>
      </c>
      <c r="BN242" s="319">
        <f t="shared" si="112"/>
        <v>0</v>
      </c>
      <c r="BO242" s="319">
        <f t="shared" si="112"/>
        <v>0</v>
      </c>
      <c r="BP242" s="319">
        <f t="shared" si="112"/>
        <v>0</v>
      </c>
      <c r="BQ242" s="319">
        <f t="shared" si="112"/>
        <v>0</v>
      </c>
      <c r="BR242" s="319">
        <f t="shared" si="112"/>
        <v>0</v>
      </c>
      <c r="BS242" s="319">
        <f t="shared" si="112"/>
        <v>0</v>
      </c>
      <c r="BT242" s="319">
        <f t="shared" si="112"/>
        <v>0</v>
      </c>
      <c r="BU242" s="319">
        <f t="shared" si="112"/>
        <v>0</v>
      </c>
      <c r="BV242" s="319">
        <f t="shared" si="112"/>
        <v>0</v>
      </c>
      <c r="BW242" s="319">
        <f t="shared" si="112"/>
        <v>0</v>
      </c>
      <c r="BX242" s="319">
        <f t="shared" si="112"/>
        <v>0</v>
      </c>
      <c r="BY242" s="319">
        <f t="shared" si="112"/>
        <v>0</v>
      </c>
      <c r="BZ242" s="319">
        <f t="shared" si="112"/>
        <v>0</v>
      </c>
      <c r="CA242" s="319">
        <f t="shared" si="112"/>
        <v>0</v>
      </c>
      <c r="CB242" s="319">
        <f t="shared" si="112"/>
        <v>0</v>
      </c>
      <c r="CC242" s="319">
        <f t="shared" si="112"/>
        <v>0</v>
      </c>
      <c r="CD242" s="319">
        <f t="shared" si="112"/>
        <v>0</v>
      </c>
      <c r="CE242" s="319">
        <f t="shared" si="112"/>
        <v>0</v>
      </c>
      <c r="CF242" s="319">
        <f t="shared" si="112"/>
        <v>0</v>
      </c>
      <c r="CG242" s="319">
        <f t="shared" si="112"/>
        <v>0</v>
      </c>
      <c r="CH242" s="319">
        <f t="shared" si="112"/>
        <v>0</v>
      </c>
      <c r="CI242" s="319">
        <f t="shared" si="112"/>
        <v>0</v>
      </c>
      <c r="CJ242" s="319">
        <f t="shared" si="112"/>
        <v>0</v>
      </c>
      <c r="CK242" s="319">
        <f t="shared" si="112"/>
        <v>0</v>
      </c>
      <c r="CL242" s="319">
        <f t="shared" si="112"/>
        <v>0</v>
      </c>
      <c r="CM242" s="319">
        <f t="shared" si="112"/>
        <v>0</v>
      </c>
      <c r="CN242" s="319">
        <f t="shared" si="112"/>
        <v>0</v>
      </c>
      <c r="CO242" s="319">
        <f t="shared" si="112"/>
        <v>0</v>
      </c>
      <c r="CP242" s="319">
        <f t="shared" si="112"/>
        <v>0</v>
      </c>
      <c r="CQ242" s="319">
        <f t="shared" si="112"/>
        <v>0</v>
      </c>
      <c r="CR242" s="319">
        <f t="shared" si="112"/>
        <v>0</v>
      </c>
      <c r="CS242" s="319">
        <f t="shared" si="112"/>
        <v>0</v>
      </c>
      <c r="CT242" s="319">
        <f t="shared" si="112"/>
        <v>0</v>
      </c>
      <c r="CU242" s="319">
        <f t="shared" si="112"/>
        <v>0</v>
      </c>
      <c r="CV242" s="319">
        <f t="shared" si="112"/>
        <v>0</v>
      </c>
    </row>
    <row r="243" spans="1:100" x14ac:dyDescent="0.25">
      <c r="A243" s="319">
        <f t="shared" si="101"/>
        <v>0</v>
      </c>
      <c r="B243" s="319">
        <f t="shared" si="104"/>
        <v>0</v>
      </c>
      <c r="C243" s="340" t="s">
        <v>1295</v>
      </c>
      <c r="D243" s="341" t="s">
        <v>365</v>
      </c>
      <c r="E243" s="341">
        <v>9</v>
      </c>
      <c r="F243" s="341" t="str">
        <f>IF(AND(E243&lt;CharacterSheet!$V$34,'House Rules'!$B$2="available",OR('House Rules'!$B$7="Standard",AND('House Rules'!$B$7="Ranked",OR(G241="Yes",G242="Yes")))),"Yes","No")</f>
        <v>No</v>
      </c>
      <c r="G243" s="564" t="s">
        <v>347</v>
      </c>
      <c r="H243" s="333" t="str">
        <f>IF(C243="","",VLOOKUP(C243,Boonref2!A:B,2,FALSE))</f>
        <v>Yes</v>
      </c>
      <c r="I243" s="333"/>
      <c r="J243" s="333" t="str">
        <f>VLOOKUP(C243,BoonRef!A:Z,17,FALSE)</f>
        <v>Yes</v>
      </c>
      <c r="K243" s="333" t="str">
        <f>IF(J243="God",'House Rules'!$B$2,IF(J243="Demi",'House Rules'!$B$1,IF(J243="Comp",'House Rules'!$B$4,IF(J243="Yaz",'House Rules'!$B$5,IF(J243="Rag",'House Rules'!$B$3,"Available")))))</f>
        <v>Available</v>
      </c>
      <c r="L243" s="333"/>
      <c r="M243" s="333"/>
      <c r="BF243" s="319">
        <f t="shared" si="109"/>
        <v>0</v>
      </c>
      <c r="BG243" s="336" t="s">
        <v>2578</v>
      </c>
      <c r="BI243" s="319">
        <f t="shared" si="102"/>
        <v>0</v>
      </c>
      <c r="BJ243" s="319">
        <f t="shared" si="112"/>
        <v>0</v>
      </c>
      <c r="BK243" s="319">
        <f t="shared" si="112"/>
        <v>0</v>
      </c>
      <c r="BL243" s="319">
        <f t="shared" si="112"/>
        <v>0</v>
      </c>
      <c r="BM243" s="319">
        <f t="shared" si="112"/>
        <v>0</v>
      </c>
      <c r="BN243" s="319">
        <f t="shared" si="112"/>
        <v>0</v>
      </c>
      <c r="BO243" s="319">
        <f t="shared" si="112"/>
        <v>0</v>
      </c>
      <c r="BP243" s="319">
        <f t="shared" si="112"/>
        <v>0</v>
      </c>
      <c r="BQ243" s="319">
        <f t="shared" si="112"/>
        <v>0</v>
      </c>
      <c r="BR243" s="319">
        <f t="shared" si="112"/>
        <v>0</v>
      </c>
      <c r="BS243" s="319">
        <f t="shared" si="112"/>
        <v>0</v>
      </c>
      <c r="BT243" s="319">
        <f t="shared" si="112"/>
        <v>0</v>
      </c>
      <c r="BU243" s="319">
        <f t="shared" si="112"/>
        <v>0</v>
      </c>
      <c r="BV243" s="319">
        <f t="shared" si="112"/>
        <v>0</v>
      </c>
      <c r="BW243" s="319">
        <f t="shared" si="112"/>
        <v>0</v>
      </c>
      <c r="BX243" s="319">
        <f t="shared" si="112"/>
        <v>0</v>
      </c>
      <c r="BY243" s="319">
        <f t="shared" si="112"/>
        <v>0</v>
      </c>
      <c r="BZ243" s="319">
        <f t="shared" si="112"/>
        <v>0</v>
      </c>
      <c r="CA243" s="319">
        <f t="shared" si="112"/>
        <v>0</v>
      </c>
      <c r="CB243" s="319">
        <f t="shared" si="112"/>
        <v>0</v>
      </c>
      <c r="CC243" s="319">
        <f t="shared" si="112"/>
        <v>0</v>
      </c>
      <c r="CD243" s="319">
        <f t="shared" si="112"/>
        <v>0</v>
      </c>
      <c r="CE243" s="319">
        <f t="shared" si="112"/>
        <v>0</v>
      </c>
      <c r="CF243" s="319">
        <f t="shared" si="112"/>
        <v>0</v>
      </c>
      <c r="CG243" s="319">
        <f t="shared" si="112"/>
        <v>0</v>
      </c>
      <c r="CH243" s="319">
        <f t="shared" si="112"/>
        <v>0</v>
      </c>
      <c r="CI243" s="319">
        <f t="shared" si="112"/>
        <v>0</v>
      </c>
      <c r="CJ243" s="319">
        <f t="shared" si="112"/>
        <v>0</v>
      </c>
      <c r="CK243" s="319">
        <f t="shared" si="112"/>
        <v>0</v>
      </c>
      <c r="CL243" s="319">
        <f t="shared" si="112"/>
        <v>0</v>
      </c>
      <c r="CM243" s="319">
        <f t="shared" si="112"/>
        <v>0</v>
      </c>
      <c r="CN243" s="319">
        <f t="shared" si="112"/>
        <v>0</v>
      </c>
      <c r="CO243" s="319">
        <f t="shared" si="112"/>
        <v>0</v>
      </c>
      <c r="CP243" s="319">
        <f t="shared" si="112"/>
        <v>0</v>
      </c>
      <c r="CQ243" s="319">
        <f t="shared" si="112"/>
        <v>0</v>
      </c>
      <c r="CR243" s="319">
        <f t="shared" si="112"/>
        <v>0</v>
      </c>
      <c r="CS243" s="319">
        <f t="shared" si="112"/>
        <v>0</v>
      </c>
      <c r="CT243" s="319">
        <f t="shared" si="112"/>
        <v>0</v>
      </c>
      <c r="CU243" s="319">
        <f t="shared" si="112"/>
        <v>0</v>
      </c>
      <c r="CV243" s="319">
        <f t="shared" si="112"/>
        <v>0</v>
      </c>
    </row>
    <row r="244" spans="1:100" x14ac:dyDescent="0.25">
      <c r="A244" s="319">
        <f t="shared" si="101"/>
        <v>0</v>
      </c>
      <c r="B244" s="319">
        <f t="shared" si="104"/>
        <v>0</v>
      </c>
      <c r="C244" s="340" t="s">
        <v>1406</v>
      </c>
      <c r="D244" s="341" t="s">
        <v>365</v>
      </c>
      <c r="E244" s="341">
        <v>10</v>
      </c>
      <c r="F244" s="341" t="str">
        <f>IF(AND(E244&lt;CharacterSheet!$V$34,'House Rules'!$B$4="Available",OR('House Rules'!$B$7="Standard",AND('House Rules'!$B$7="Ranked",G243="Yes"))),"Yes","No")</f>
        <v>No</v>
      </c>
      <c r="G244" s="564" t="s">
        <v>347</v>
      </c>
      <c r="H244" s="333" t="str">
        <f>IF(C244="","",VLOOKUP(C244,Boonref2!A:B,2,FALSE))</f>
        <v>Yes</v>
      </c>
      <c r="I244" s="333"/>
      <c r="J244" s="333" t="str">
        <f>VLOOKUP(C244,BoonRef!A:Z,17,FALSE)</f>
        <v>Yes</v>
      </c>
      <c r="K244" s="333" t="str">
        <f>IF(J244="God",'House Rules'!$B$2,IF(J244="Demi",'House Rules'!$B$1,IF(J244="Comp",'House Rules'!$B$4,IF(J244="Yaz",'House Rules'!$B$5,IF(J244="Rag",'House Rules'!$B$3,"Available")))))</f>
        <v>Available</v>
      </c>
      <c r="L244" s="333"/>
      <c r="M244" s="333"/>
      <c r="BF244" s="319">
        <f t="shared" si="109"/>
        <v>0</v>
      </c>
      <c r="BG244" s="345" t="s">
        <v>2579</v>
      </c>
      <c r="BI244" s="319">
        <f t="shared" si="102"/>
        <v>0</v>
      </c>
      <c r="BJ244" s="319">
        <f t="shared" si="112"/>
        <v>0</v>
      </c>
      <c r="BK244" s="319">
        <f t="shared" si="112"/>
        <v>0</v>
      </c>
      <c r="BL244" s="319">
        <f t="shared" si="112"/>
        <v>0</v>
      </c>
      <c r="BM244" s="319">
        <f t="shared" si="112"/>
        <v>0</v>
      </c>
      <c r="BN244" s="319">
        <f t="shared" si="112"/>
        <v>0</v>
      </c>
      <c r="BO244" s="319">
        <f t="shared" si="112"/>
        <v>0</v>
      </c>
      <c r="BP244" s="319">
        <f t="shared" si="112"/>
        <v>0</v>
      </c>
      <c r="BQ244" s="319">
        <f t="shared" si="112"/>
        <v>0</v>
      </c>
      <c r="BR244" s="319">
        <f t="shared" si="112"/>
        <v>0</v>
      </c>
      <c r="BS244" s="319">
        <f t="shared" si="112"/>
        <v>0</v>
      </c>
      <c r="BT244" s="319">
        <f t="shared" si="112"/>
        <v>0</v>
      </c>
      <c r="BU244" s="319">
        <f t="shared" si="112"/>
        <v>0</v>
      </c>
      <c r="BV244" s="319">
        <f t="shared" si="112"/>
        <v>0</v>
      </c>
      <c r="BW244" s="319">
        <f t="shared" si="112"/>
        <v>0</v>
      </c>
      <c r="BX244" s="319">
        <f t="shared" si="112"/>
        <v>0</v>
      </c>
      <c r="BY244" s="319">
        <f t="shared" si="112"/>
        <v>0</v>
      </c>
      <c r="BZ244" s="319">
        <f t="shared" si="112"/>
        <v>0</v>
      </c>
      <c r="CA244" s="319">
        <f t="shared" si="112"/>
        <v>0</v>
      </c>
      <c r="CB244" s="319">
        <f t="shared" si="112"/>
        <v>0</v>
      </c>
      <c r="CC244" s="319">
        <f t="shared" si="112"/>
        <v>0</v>
      </c>
      <c r="CD244" s="319">
        <f t="shared" si="112"/>
        <v>0</v>
      </c>
      <c r="CE244" s="319">
        <f t="shared" si="112"/>
        <v>0</v>
      </c>
      <c r="CF244" s="319">
        <f t="shared" si="112"/>
        <v>0</v>
      </c>
      <c r="CG244" s="319">
        <f t="shared" si="112"/>
        <v>0</v>
      </c>
      <c r="CH244" s="319">
        <f t="shared" si="112"/>
        <v>0</v>
      </c>
      <c r="CI244" s="319">
        <f t="shared" si="112"/>
        <v>0</v>
      </c>
      <c r="CJ244" s="319">
        <f t="shared" si="112"/>
        <v>0</v>
      </c>
      <c r="CK244" s="319">
        <f t="shared" si="112"/>
        <v>0</v>
      </c>
      <c r="CL244" s="319">
        <f t="shared" si="112"/>
        <v>0</v>
      </c>
      <c r="CM244" s="319">
        <f t="shared" si="112"/>
        <v>0</v>
      </c>
      <c r="CN244" s="319">
        <f t="shared" si="112"/>
        <v>0</v>
      </c>
      <c r="CO244" s="319">
        <f t="shared" si="112"/>
        <v>0</v>
      </c>
      <c r="CP244" s="319">
        <f t="shared" si="112"/>
        <v>0</v>
      </c>
      <c r="CQ244" s="319">
        <f t="shared" si="112"/>
        <v>0</v>
      </c>
      <c r="CR244" s="319">
        <f t="shared" si="112"/>
        <v>0</v>
      </c>
      <c r="CS244" s="319">
        <f t="shared" si="112"/>
        <v>0</v>
      </c>
      <c r="CT244" s="319">
        <f t="shared" si="112"/>
        <v>0</v>
      </c>
      <c r="CU244" s="319">
        <f t="shared" si="112"/>
        <v>0</v>
      </c>
      <c r="CV244" s="319">
        <f t="shared" si="112"/>
        <v>0</v>
      </c>
    </row>
    <row r="245" spans="1:100" x14ac:dyDescent="0.25">
      <c r="A245" s="319">
        <f t="shared" si="101"/>
        <v>0</v>
      </c>
      <c r="B245" s="319">
        <f t="shared" si="104"/>
        <v>0</v>
      </c>
      <c r="C245" s="340" t="s">
        <v>1296</v>
      </c>
      <c r="D245" s="341" t="s">
        <v>365</v>
      </c>
      <c r="E245" s="341">
        <v>10</v>
      </c>
      <c r="F245" s="341" t="str">
        <f>IF(AND(E245&lt;CharacterSheet!$V$34,'House Rules'!$B$2="available",OR('House Rules'!$B$7="Standard",AND('House Rules'!$B$7="Ranked",G243="Yes"))),"Yes","No")</f>
        <v>No</v>
      </c>
      <c r="G245" s="564" t="s">
        <v>347</v>
      </c>
      <c r="H245" s="333" t="str">
        <f>IF(C245="","",VLOOKUP(C245,Boonref2!A:B,2,FALSE))</f>
        <v>Yes</v>
      </c>
      <c r="I245" s="333"/>
      <c r="J245" s="333" t="str">
        <f>VLOOKUP(C245,BoonRef!A:Z,17,FALSE)</f>
        <v>Yes</v>
      </c>
      <c r="K245" s="333" t="str">
        <f>IF(J245="God",'House Rules'!$B$2,IF(J245="Demi",'House Rules'!$B$1,IF(J245="Comp",'House Rules'!$B$4,IF(J245="Yaz",'House Rules'!$B$5,IF(J245="Rag",'House Rules'!$B$3,"Available")))))</f>
        <v>Available</v>
      </c>
      <c r="L245" s="333"/>
      <c r="M245" s="333"/>
      <c r="BF245" s="319">
        <f t="shared" si="109"/>
        <v>0</v>
      </c>
      <c r="BG245" s="345" t="s">
        <v>2580</v>
      </c>
      <c r="BI245" s="319">
        <f t="shared" si="102"/>
        <v>0</v>
      </c>
      <c r="BJ245" s="319">
        <f t="shared" si="112"/>
        <v>0</v>
      </c>
      <c r="BK245" s="319">
        <f t="shared" si="112"/>
        <v>0</v>
      </c>
      <c r="BL245" s="319">
        <f t="shared" si="112"/>
        <v>0</v>
      </c>
      <c r="BM245" s="319">
        <f t="shared" si="112"/>
        <v>0</v>
      </c>
      <c r="BN245" s="319">
        <f t="shared" si="112"/>
        <v>0</v>
      </c>
      <c r="BO245" s="319">
        <f t="shared" si="112"/>
        <v>0</v>
      </c>
      <c r="BP245" s="319">
        <f t="shared" si="112"/>
        <v>0</v>
      </c>
      <c r="BQ245" s="319">
        <f t="shared" si="112"/>
        <v>0</v>
      </c>
      <c r="BR245" s="319">
        <f t="shared" si="112"/>
        <v>0</v>
      </c>
      <c r="BS245" s="319">
        <f t="shared" si="112"/>
        <v>0</v>
      </c>
      <c r="BT245" s="319">
        <f t="shared" si="112"/>
        <v>0</v>
      </c>
      <c r="BU245" s="319">
        <f t="shared" si="112"/>
        <v>0</v>
      </c>
      <c r="BV245" s="319">
        <f t="shared" si="112"/>
        <v>0</v>
      </c>
      <c r="BW245" s="319">
        <f t="shared" si="112"/>
        <v>0</v>
      </c>
      <c r="BX245" s="319">
        <f t="shared" si="112"/>
        <v>0</v>
      </c>
      <c r="BY245" s="319">
        <f t="shared" si="112"/>
        <v>0</v>
      </c>
      <c r="BZ245" s="319">
        <f t="shared" si="112"/>
        <v>0</v>
      </c>
      <c r="CA245" s="319">
        <f t="shared" si="112"/>
        <v>0</v>
      </c>
      <c r="CB245" s="319">
        <f t="shared" ref="BJ245:CV251" si="113">IF(AND($D245=CB$1,$G245="Yes"),$E245,0)</f>
        <v>0</v>
      </c>
      <c r="CC245" s="319">
        <f t="shared" si="113"/>
        <v>0</v>
      </c>
      <c r="CD245" s="319">
        <f t="shared" si="113"/>
        <v>0</v>
      </c>
      <c r="CE245" s="319">
        <f t="shared" si="113"/>
        <v>0</v>
      </c>
      <c r="CF245" s="319">
        <f t="shared" si="113"/>
        <v>0</v>
      </c>
      <c r="CG245" s="319">
        <f t="shared" si="113"/>
        <v>0</v>
      </c>
      <c r="CH245" s="319">
        <f t="shared" si="113"/>
        <v>0</v>
      </c>
      <c r="CI245" s="319">
        <f t="shared" si="113"/>
        <v>0</v>
      </c>
      <c r="CJ245" s="319">
        <f t="shared" si="113"/>
        <v>0</v>
      </c>
      <c r="CK245" s="319">
        <f t="shared" si="113"/>
        <v>0</v>
      </c>
      <c r="CL245" s="319">
        <f t="shared" si="113"/>
        <v>0</v>
      </c>
      <c r="CM245" s="319">
        <f t="shared" si="113"/>
        <v>0</v>
      </c>
      <c r="CN245" s="319">
        <f t="shared" si="113"/>
        <v>0</v>
      </c>
      <c r="CO245" s="319">
        <f t="shared" si="113"/>
        <v>0</v>
      </c>
      <c r="CP245" s="319">
        <f t="shared" si="113"/>
        <v>0</v>
      </c>
      <c r="CQ245" s="319">
        <f t="shared" si="113"/>
        <v>0</v>
      </c>
      <c r="CR245" s="319">
        <f t="shared" si="113"/>
        <v>0</v>
      </c>
      <c r="CS245" s="319">
        <f t="shared" si="113"/>
        <v>0</v>
      </c>
      <c r="CT245" s="319">
        <f t="shared" si="113"/>
        <v>0</v>
      </c>
      <c r="CU245" s="319">
        <f t="shared" si="113"/>
        <v>0</v>
      </c>
      <c r="CV245" s="319">
        <f t="shared" si="113"/>
        <v>0</v>
      </c>
    </row>
    <row r="246" spans="1:100" ht="15.75" thickBot="1" x14ac:dyDescent="0.3">
      <c r="A246" s="319">
        <f t="shared" si="101"/>
        <v>0</v>
      </c>
      <c r="B246" s="319">
        <f t="shared" si="104"/>
        <v>0</v>
      </c>
      <c r="C246" s="352" t="s">
        <v>1297</v>
      </c>
      <c r="D246" s="353" t="s">
        <v>365</v>
      </c>
      <c r="E246" s="353">
        <v>11</v>
      </c>
      <c r="F246" s="353" t="str">
        <f>IF(AND(E25&lt;CharacterSheet!$V$34,G233="Yes",G234="Yes",G237="Yes",G238="Yes",G239="Yes",G240="Yes",OR(G241="Yes",G242="Yes"),G243="Yes",OR(G235="Yes",G236="Yes"),OR(G244="Yes",G245="Yes")),"Yes","No")</f>
        <v>No</v>
      </c>
      <c r="G246" s="565" t="s">
        <v>347</v>
      </c>
      <c r="H246" s="333" t="str">
        <f>IF(C246="","",VLOOKUP(C246,Boonref2!A:B,2,FALSE))</f>
        <v>No</v>
      </c>
      <c r="I246" s="333"/>
      <c r="J246" s="333" t="str">
        <f>VLOOKUP(C246,BoonRef!A:Z,17,FALSE)</f>
        <v>Yes</v>
      </c>
      <c r="K246" s="333" t="str">
        <f>IF(J246="God",'House Rules'!$B$2,IF(J246="Demi",'House Rules'!$B$1,IF(J246="Comp",'House Rules'!$B$4,IF(J246="Yaz",'House Rules'!$B$5,IF(J246="Rag",'House Rules'!$B$3,"Available")))))</f>
        <v>Available</v>
      </c>
      <c r="L246" s="333"/>
      <c r="M246" s="333"/>
      <c r="BF246" s="319">
        <f t="shared" si="109"/>
        <v>0</v>
      </c>
      <c r="BG246" s="345" t="s">
        <v>2581</v>
      </c>
      <c r="BI246" s="319">
        <f t="shared" si="102"/>
        <v>0</v>
      </c>
      <c r="BJ246" s="319">
        <f t="shared" si="113"/>
        <v>0</v>
      </c>
      <c r="BK246" s="319">
        <f t="shared" si="113"/>
        <v>0</v>
      </c>
      <c r="BL246" s="319">
        <f t="shared" si="113"/>
        <v>0</v>
      </c>
      <c r="BM246" s="319">
        <f t="shared" si="113"/>
        <v>0</v>
      </c>
      <c r="BN246" s="319">
        <f t="shared" si="113"/>
        <v>0</v>
      </c>
      <c r="BO246" s="319">
        <f t="shared" si="113"/>
        <v>0</v>
      </c>
      <c r="BP246" s="319">
        <f t="shared" si="113"/>
        <v>0</v>
      </c>
      <c r="BQ246" s="319">
        <f t="shared" si="113"/>
        <v>0</v>
      </c>
      <c r="BR246" s="319">
        <f t="shared" si="113"/>
        <v>0</v>
      </c>
      <c r="BS246" s="319">
        <f t="shared" si="113"/>
        <v>0</v>
      </c>
      <c r="BT246" s="319">
        <f t="shared" si="113"/>
        <v>0</v>
      </c>
      <c r="BU246" s="319">
        <f t="shared" si="113"/>
        <v>0</v>
      </c>
      <c r="BV246" s="319">
        <f t="shared" si="113"/>
        <v>0</v>
      </c>
      <c r="BW246" s="319">
        <f t="shared" si="113"/>
        <v>0</v>
      </c>
      <c r="BX246" s="319">
        <f t="shared" si="113"/>
        <v>0</v>
      </c>
      <c r="BY246" s="319">
        <f t="shared" si="113"/>
        <v>0</v>
      </c>
      <c r="BZ246" s="319">
        <f t="shared" si="113"/>
        <v>0</v>
      </c>
      <c r="CA246" s="319">
        <f t="shared" si="113"/>
        <v>0</v>
      </c>
      <c r="CB246" s="319">
        <f t="shared" si="113"/>
        <v>0</v>
      </c>
      <c r="CC246" s="319">
        <f t="shared" si="113"/>
        <v>0</v>
      </c>
      <c r="CD246" s="319">
        <f t="shared" si="113"/>
        <v>0</v>
      </c>
      <c r="CE246" s="319">
        <f t="shared" si="113"/>
        <v>0</v>
      </c>
      <c r="CF246" s="319">
        <f t="shared" si="113"/>
        <v>0</v>
      </c>
      <c r="CG246" s="319">
        <f t="shared" si="113"/>
        <v>0</v>
      </c>
      <c r="CH246" s="319">
        <f t="shared" si="113"/>
        <v>0</v>
      </c>
      <c r="CI246" s="319">
        <f t="shared" si="113"/>
        <v>0</v>
      </c>
      <c r="CJ246" s="319">
        <f t="shared" si="113"/>
        <v>0</v>
      </c>
      <c r="CK246" s="319">
        <f t="shared" si="113"/>
        <v>0</v>
      </c>
      <c r="CL246" s="319">
        <f t="shared" si="113"/>
        <v>0</v>
      </c>
      <c r="CM246" s="319">
        <f t="shared" si="113"/>
        <v>0</v>
      </c>
      <c r="CN246" s="319">
        <f t="shared" si="113"/>
        <v>0</v>
      </c>
      <c r="CO246" s="319">
        <f t="shared" si="113"/>
        <v>0</v>
      </c>
      <c r="CP246" s="319">
        <f t="shared" si="113"/>
        <v>0</v>
      </c>
      <c r="CQ246" s="319">
        <f t="shared" si="113"/>
        <v>0</v>
      </c>
      <c r="CR246" s="319">
        <f t="shared" si="113"/>
        <v>0</v>
      </c>
      <c r="CS246" s="319">
        <f t="shared" si="113"/>
        <v>0</v>
      </c>
      <c r="CT246" s="319">
        <f t="shared" si="113"/>
        <v>0</v>
      </c>
      <c r="CU246" s="319">
        <f t="shared" si="113"/>
        <v>0</v>
      </c>
      <c r="CV246" s="319">
        <f t="shared" si="113"/>
        <v>0</v>
      </c>
    </row>
    <row r="247" spans="1:100" x14ac:dyDescent="0.25">
      <c r="A247" s="319">
        <f t="shared" si="101"/>
        <v>0</v>
      </c>
      <c r="B247" s="319">
        <f t="shared" si="104"/>
        <v>0</v>
      </c>
      <c r="C247" s="330" t="s">
        <v>1106</v>
      </c>
      <c r="D247" s="331" t="s">
        <v>366</v>
      </c>
      <c r="E247" s="331">
        <v>1</v>
      </c>
      <c r="F247" s="331" t="str">
        <f>IF(E247&lt;CharacterSheet!$V$34,"Yes","No")</f>
        <v>Yes</v>
      </c>
      <c r="G247" s="563" t="s">
        <v>347</v>
      </c>
      <c r="H247" s="333" t="str">
        <f>IF(C247="","",VLOOKUP(C247,Boonref2!A:B,2,FALSE))</f>
        <v>Yes</v>
      </c>
      <c r="I247" s="333"/>
      <c r="J247" s="333" t="str">
        <f>VLOOKUP(C247,BoonRef!A:Z,17,FALSE)</f>
        <v>Yes</v>
      </c>
      <c r="K247" s="333" t="str">
        <f>IF(J247="God",'House Rules'!$B$2,IF(J247="Demi",'House Rules'!$B$1,IF(J247="Comp",'House Rules'!$B$4,IF(J247="Yaz",'House Rules'!$B$5,IF(J247="Rag",'House Rules'!$B$3,"Available")))))</f>
        <v>Available</v>
      </c>
      <c r="L247" s="333"/>
      <c r="M247" s="333"/>
      <c r="BF247" s="319">
        <f t="shared" si="109"/>
        <v>0</v>
      </c>
      <c r="BG247" s="345" t="s">
        <v>2582</v>
      </c>
      <c r="BI247" s="319">
        <f t="shared" si="102"/>
        <v>0</v>
      </c>
      <c r="BJ247" s="319">
        <f t="shared" si="113"/>
        <v>0</v>
      </c>
      <c r="BK247" s="319">
        <f t="shared" si="113"/>
        <v>0</v>
      </c>
      <c r="BL247" s="319">
        <f t="shared" si="113"/>
        <v>0</v>
      </c>
      <c r="BM247" s="319">
        <f t="shared" si="113"/>
        <v>0</v>
      </c>
      <c r="BN247" s="319">
        <f t="shared" si="113"/>
        <v>0</v>
      </c>
      <c r="BO247" s="319">
        <f t="shared" si="113"/>
        <v>0</v>
      </c>
      <c r="BP247" s="319">
        <f t="shared" si="113"/>
        <v>0</v>
      </c>
      <c r="BQ247" s="319">
        <f t="shared" si="113"/>
        <v>0</v>
      </c>
      <c r="BR247" s="319">
        <f t="shared" si="113"/>
        <v>0</v>
      </c>
      <c r="BS247" s="319">
        <f t="shared" si="113"/>
        <v>0</v>
      </c>
      <c r="BT247" s="319">
        <f t="shared" si="113"/>
        <v>0</v>
      </c>
      <c r="BU247" s="319">
        <f t="shared" si="113"/>
        <v>0</v>
      </c>
      <c r="BV247" s="319">
        <f t="shared" si="113"/>
        <v>0</v>
      </c>
      <c r="BW247" s="319">
        <f t="shared" si="113"/>
        <v>0</v>
      </c>
      <c r="BX247" s="319">
        <f t="shared" si="113"/>
        <v>0</v>
      </c>
      <c r="BY247" s="319">
        <f t="shared" si="113"/>
        <v>0</v>
      </c>
      <c r="BZ247" s="319">
        <f t="shared" si="113"/>
        <v>0</v>
      </c>
      <c r="CA247" s="319">
        <f t="shared" si="113"/>
        <v>0</v>
      </c>
      <c r="CB247" s="319">
        <f t="shared" si="113"/>
        <v>0</v>
      </c>
      <c r="CC247" s="319">
        <f t="shared" si="113"/>
        <v>0</v>
      </c>
      <c r="CD247" s="319">
        <f t="shared" si="113"/>
        <v>0</v>
      </c>
      <c r="CE247" s="319">
        <f t="shared" si="113"/>
        <v>0</v>
      </c>
      <c r="CF247" s="319">
        <f t="shared" si="113"/>
        <v>0</v>
      </c>
      <c r="CG247" s="319">
        <f t="shared" si="113"/>
        <v>0</v>
      </c>
      <c r="CH247" s="319">
        <f t="shared" si="113"/>
        <v>0</v>
      </c>
      <c r="CI247" s="319">
        <f t="shared" si="113"/>
        <v>0</v>
      </c>
      <c r="CJ247" s="319">
        <f t="shared" si="113"/>
        <v>0</v>
      </c>
      <c r="CK247" s="319">
        <f t="shared" si="113"/>
        <v>0</v>
      </c>
      <c r="CL247" s="319">
        <f t="shared" si="113"/>
        <v>0</v>
      </c>
      <c r="CM247" s="319">
        <f t="shared" si="113"/>
        <v>0</v>
      </c>
      <c r="CN247" s="319">
        <f t="shared" si="113"/>
        <v>0</v>
      </c>
      <c r="CO247" s="319">
        <f t="shared" si="113"/>
        <v>0</v>
      </c>
      <c r="CP247" s="319">
        <f t="shared" si="113"/>
        <v>0</v>
      </c>
      <c r="CQ247" s="319">
        <f t="shared" si="113"/>
        <v>0</v>
      </c>
      <c r="CR247" s="319">
        <f t="shared" si="113"/>
        <v>0</v>
      </c>
      <c r="CS247" s="319">
        <f t="shared" si="113"/>
        <v>0</v>
      </c>
      <c r="CT247" s="319">
        <f t="shared" si="113"/>
        <v>0</v>
      </c>
      <c r="CU247" s="319">
        <f t="shared" si="113"/>
        <v>0</v>
      </c>
      <c r="CV247" s="319">
        <f t="shared" si="113"/>
        <v>0</v>
      </c>
    </row>
    <row r="248" spans="1:100" x14ac:dyDescent="0.25">
      <c r="A248" s="319">
        <f t="shared" si="101"/>
        <v>0</v>
      </c>
      <c r="B248" s="319">
        <f t="shared" si="104"/>
        <v>0</v>
      </c>
      <c r="C248" s="340" t="s">
        <v>1107</v>
      </c>
      <c r="D248" s="341" t="s">
        <v>366</v>
      </c>
      <c r="E248" s="341">
        <v>2</v>
      </c>
      <c r="F248" s="341" t="str">
        <f>IF(AND(E248&lt;CharacterSheet!$V$34,OR('House Rules'!$B$7="Standard",AND('House Rules'!$B$7="Ranked",G247="Yes"))),"Yes","No")</f>
        <v>No</v>
      </c>
      <c r="G248" s="564" t="s">
        <v>347</v>
      </c>
      <c r="H248" s="333" t="str">
        <f>IF(C248="","",VLOOKUP(C248,Boonref2!A:B,2,FALSE))</f>
        <v>Yes</v>
      </c>
      <c r="I248" s="333"/>
      <c r="J248" s="333" t="str">
        <f>VLOOKUP(C248,BoonRef!A:Z,17,FALSE)</f>
        <v>Yes</v>
      </c>
      <c r="K248" s="333" t="str">
        <f>IF(J248="God",'House Rules'!$B$2,IF(J248="Demi",'House Rules'!$B$1,IF(J248="Comp",'House Rules'!$B$4,IF(J248="Yaz",'House Rules'!$B$5,IF(J248="Rag",'House Rules'!$B$3,"Available")))))</f>
        <v>Available</v>
      </c>
      <c r="L248" s="333"/>
      <c r="M248" s="333"/>
      <c r="BF248" s="319">
        <f t="shared" si="109"/>
        <v>0</v>
      </c>
      <c r="BG248" s="345" t="s">
        <v>2583</v>
      </c>
      <c r="BI248" s="319">
        <f t="shared" si="102"/>
        <v>0</v>
      </c>
      <c r="BJ248" s="319">
        <f t="shared" si="113"/>
        <v>0</v>
      </c>
      <c r="BK248" s="319">
        <f t="shared" si="113"/>
        <v>0</v>
      </c>
      <c r="BL248" s="319">
        <f t="shared" si="113"/>
        <v>0</v>
      </c>
      <c r="BM248" s="319">
        <f t="shared" si="113"/>
        <v>0</v>
      </c>
      <c r="BN248" s="319">
        <f t="shared" si="113"/>
        <v>0</v>
      </c>
      <c r="BO248" s="319">
        <f t="shared" si="113"/>
        <v>0</v>
      </c>
      <c r="BP248" s="319">
        <f t="shared" si="113"/>
        <v>0</v>
      </c>
      <c r="BQ248" s="319">
        <f t="shared" si="113"/>
        <v>0</v>
      </c>
      <c r="BR248" s="319">
        <f t="shared" si="113"/>
        <v>0</v>
      </c>
      <c r="BS248" s="319">
        <f t="shared" si="113"/>
        <v>0</v>
      </c>
      <c r="BT248" s="319">
        <f t="shared" si="113"/>
        <v>0</v>
      </c>
      <c r="BU248" s="319">
        <f t="shared" si="113"/>
        <v>0</v>
      </c>
      <c r="BV248" s="319">
        <f t="shared" si="113"/>
        <v>0</v>
      </c>
      <c r="BW248" s="319">
        <f t="shared" si="113"/>
        <v>0</v>
      </c>
      <c r="BX248" s="319">
        <f t="shared" si="113"/>
        <v>0</v>
      </c>
      <c r="BY248" s="319">
        <f t="shared" si="113"/>
        <v>0</v>
      </c>
      <c r="BZ248" s="319">
        <f t="shared" si="113"/>
        <v>0</v>
      </c>
      <c r="CA248" s="319">
        <f t="shared" si="113"/>
        <v>0</v>
      </c>
      <c r="CB248" s="319">
        <f t="shared" si="113"/>
        <v>0</v>
      </c>
      <c r="CC248" s="319">
        <f t="shared" si="113"/>
        <v>0</v>
      </c>
      <c r="CD248" s="319">
        <f t="shared" si="113"/>
        <v>0</v>
      </c>
      <c r="CE248" s="319">
        <f t="shared" si="113"/>
        <v>0</v>
      </c>
      <c r="CF248" s="319">
        <f t="shared" si="113"/>
        <v>0</v>
      </c>
      <c r="CG248" s="319">
        <f t="shared" si="113"/>
        <v>0</v>
      </c>
      <c r="CH248" s="319">
        <f t="shared" si="113"/>
        <v>0</v>
      </c>
      <c r="CI248" s="319">
        <f t="shared" si="113"/>
        <v>0</v>
      </c>
      <c r="CJ248" s="319">
        <f t="shared" si="113"/>
        <v>0</v>
      </c>
      <c r="CK248" s="319">
        <f t="shared" si="113"/>
        <v>0</v>
      </c>
      <c r="CL248" s="319">
        <f t="shared" si="113"/>
        <v>0</v>
      </c>
      <c r="CM248" s="319">
        <f t="shared" si="113"/>
        <v>0</v>
      </c>
      <c r="CN248" s="319">
        <f t="shared" si="113"/>
        <v>0</v>
      </c>
      <c r="CO248" s="319">
        <f t="shared" si="113"/>
        <v>0</v>
      </c>
      <c r="CP248" s="319">
        <f t="shared" si="113"/>
        <v>0</v>
      </c>
      <c r="CQ248" s="319">
        <f t="shared" si="113"/>
        <v>0</v>
      </c>
      <c r="CR248" s="319">
        <f t="shared" si="113"/>
        <v>0</v>
      </c>
      <c r="CS248" s="319">
        <f t="shared" si="113"/>
        <v>0</v>
      </c>
      <c r="CT248" s="319">
        <f t="shared" si="113"/>
        <v>0</v>
      </c>
      <c r="CU248" s="319">
        <f t="shared" si="113"/>
        <v>0</v>
      </c>
      <c r="CV248" s="319">
        <f t="shared" si="113"/>
        <v>0</v>
      </c>
    </row>
    <row r="249" spans="1:100" x14ac:dyDescent="0.25">
      <c r="A249" s="319">
        <f t="shared" si="101"/>
        <v>0</v>
      </c>
      <c r="B249" s="319">
        <f t="shared" si="104"/>
        <v>0</v>
      </c>
      <c r="C249" s="340" t="s">
        <v>1108</v>
      </c>
      <c r="D249" s="341" t="s">
        <v>366</v>
      </c>
      <c r="E249" s="341">
        <v>3</v>
      </c>
      <c r="F249" s="341" t="str">
        <f>IF(AND(E249&lt;CharacterSheet!$V$34,OR('House Rules'!$B$7="Standard",AND('House Rules'!$B$7="Ranked",G248="Yes"))),"Yes","No")</f>
        <v>No</v>
      </c>
      <c r="G249" s="564" t="s">
        <v>347</v>
      </c>
      <c r="H249" s="333" t="str">
        <f>IF(C249="","",VLOOKUP(C249,Boonref2!A:B,2,FALSE))</f>
        <v>Yes</v>
      </c>
      <c r="I249" s="333"/>
      <c r="J249" s="333" t="str">
        <f>VLOOKUP(C249,BoonRef!A:Z,17,FALSE)</f>
        <v>Yes</v>
      </c>
      <c r="K249" s="333" t="str">
        <f>IF(J249="God",'House Rules'!$B$2,IF(J249="Demi",'House Rules'!$B$1,IF(J249="Comp",'House Rules'!$B$4,IF(J249="Yaz",'House Rules'!$B$5,IF(J249="Rag",'House Rules'!$B$3,"Available")))))</f>
        <v>Available</v>
      </c>
      <c r="L249" s="333"/>
      <c r="M249" s="333"/>
      <c r="BF249" s="319">
        <f t="shared" si="109"/>
        <v>0</v>
      </c>
      <c r="BG249" s="345" t="s">
        <v>2584</v>
      </c>
      <c r="BI249" s="319">
        <f t="shared" si="102"/>
        <v>0</v>
      </c>
      <c r="BJ249" s="319">
        <f t="shared" si="113"/>
        <v>0</v>
      </c>
      <c r="BK249" s="319">
        <f t="shared" si="113"/>
        <v>0</v>
      </c>
      <c r="BL249" s="319">
        <f t="shared" si="113"/>
        <v>0</v>
      </c>
      <c r="BM249" s="319">
        <f t="shared" si="113"/>
        <v>0</v>
      </c>
      <c r="BN249" s="319">
        <f t="shared" si="113"/>
        <v>0</v>
      </c>
      <c r="BO249" s="319">
        <f t="shared" si="113"/>
        <v>0</v>
      </c>
      <c r="BP249" s="319">
        <f t="shared" si="113"/>
        <v>0</v>
      </c>
      <c r="BQ249" s="319">
        <f t="shared" si="113"/>
        <v>0</v>
      </c>
      <c r="BR249" s="319">
        <f t="shared" si="113"/>
        <v>0</v>
      </c>
      <c r="BS249" s="319">
        <f t="shared" si="113"/>
        <v>0</v>
      </c>
      <c r="BT249" s="319">
        <f t="shared" si="113"/>
        <v>0</v>
      </c>
      <c r="BU249" s="319">
        <f t="shared" si="113"/>
        <v>0</v>
      </c>
      <c r="BV249" s="319">
        <f t="shared" si="113"/>
        <v>0</v>
      </c>
      <c r="BW249" s="319">
        <f t="shared" si="113"/>
        <v>0</v>
      </c>
      <c r="BX249" s="319">
        <f t="shared" si="113"/>
        <v>0</v>
      </c>
      <c r="BY249" s="319">
        <f t="shared" si="113"/>
        <v>0</v>
      </c>
      <c r="BZ249" s="319">
        <f t="shared" si="113"/>
        <v>0</v>
      </c>
      <c r="CA249" s="319">
        <f t="shared" si="113"/>
        <v>0</v>
      </c>
      <c r="CB249" s="319">
        <f t="shared" si="113"/>
        <v>0</v>
      </c>
      <c r="CC249" s="319">
        <f t="shared" si="113"/>
        <v>0</v>
      </c>
      <c r="CD249" s="319">
        <f t="shared" si="113"/>
        <v>0</v>
      </c>
      <c r="CE249" s="319">
        <f t="shared" si="113"/>
        <v>0</v>
      </c>
      <c r="CF249" s="319">
        <f t="shared" si="113"/>
        <v>0</v>
      </c>
      <c r="CG249" s="319">
        <f t="shared" si="113"/>
        <v>0</v>
      </c>
      <c r="CH249" s="319">
        <f t="shared" si="113"/>
        <v>0</v>
      </c>
      <c r="CI249" s="319">
        <f t="shared" si="113"/>
        <v>0</v>
      </c>
      <c r="CJ249" s="319">
        <f t="shared" si="113"/>
        <v>0</v>
      </c>
      <c r="CK249" s="319">
        <f t="shared" si="113"/>
        <v>0</v>
      </c>
      <c r="CL249" s="319">
        <f t="shared" si="113"/>
        <v>0</v>
      </c>
      <c r="CM249" s="319">
        <f t="shared" si="113"/>
        <v>0</v>
      </c>
      <c r="CN249" s="319">
        <f t="shared" si="113"/>
        <v>0</v>
      </c>
      <c r="CO249" s="319">
        <f t="shared" si="113"/>
        <v>0</v>
      </c>
      <c r="CP249" s="319">
        <f t="shared" si="113"/>
        <v>0</v>
      </c>
      <c r="CQ249" s="319">
        <f t="shared" si="113"/>
        <v>0</v>
      </c>
      <c r="CR249" s="319">
        <f t="shared" si="113"/>
        <v>0</v>
      </c>
      <c r="CS249" s="319">
        <f t="shared" si="113"/>
        <v>0</v>
      </c>
      <c r="CT249" s="319">
        <f t="shared" si="113"/>
        <v>0</v>
      </c>
      <c r="CU249" s="319">
        <f t="shared" si="113"/>
        <v>0</v>
      </c>
      <c r="CV249" s="319">
        <f t="shared" si="113"/>
        <v>0</v>
      </c>
    </row>
    <row r="250" spans="1:100" x14ac:dyDescent="0.25">
      <c r="A250" s="319">
        <f t="shared" si="101"/>
        <v>0</v>
      </c>
      <c r="B250" s="319">
        <f t="shared" si="104"/>
        <v>0</v>
      </c>
      <c r="C250" s="340" t="s">
        <v>1199</v>
      </c>
      <c r="D250" s="341" t="s">
        <v>366</v>
      </c>
      <c r="E250" s="341">
        <v>4</v>
      </c>
      <c r="F250" s="341" t="str">
        <f>IF(AND(E250&lt;CharacterSheet!$V$34,'House Rules'!$B$1="Available",OR('House Rules'!$B$7="Standard",AND('House Rules'!$B$7="Ranked",G249="Yes"))),"Yes","No")</f>
        <v>No</v>
      </c>
      <c r="G250" s="564" t="s">
        <v>347</v>
      </c>
      <c r="H250" s="333" t="str">
        <f>IF(C250="","",VLOOKUP(C250,Boonref2!A:B,2,FALSE))</f>
        <v>Yes</v>
      </c>
      <c r="I250" s="333"/>
      <c r="J250" s="333" t="str">
        <f>VLOOKUP(C250,BoonRef!A:Z,17,FALSE)</f>
        <v>Yes</v>
      </c>
      <c r="K250" s="333" t="str">
        <f>IF(J250="God",'House Rules'!$B$2,IF(J250="Demi",'House Rules'!$B$1,IF(J250="Comp",'House Rules'!$B$4,IF(J250="Yaz",'House Rules'!$B$5,IF(J250="Rag",'House Rules'!$B$3,"Available")))))</f>
        <v>Available</v>
      </c>
      <c r="L250" s="333"/>
      <c r="M250" s="333"/>
      <c r="BF250" s="319">
        <f t="shared" si="109"/>
        <v>0</v>
      </c>
      <c r="BG250" s="345" t="s">
        <v>2585</v>
      </c>
      <c r="BI250" s="319">
        <f t="shared" si="102"/>
        <v>0</v>
      </c>
      <c r="BJ250" s="319">
        <f t="shared" si="113"/>
        <v>0</v>
      </c>
      <c r="BK250" s="319">
        <f t="shared" si="113"/>
        <v>0</v>
      </c>
      <c r="BL250" s="319">
        <f t="shared" si="113"/>
        <v>0</v>
      </c>
      <c r="BM250" s="319">
        <f t="shared" si="113"/>
        <v>0</v>
      </c>
      <c r="BN250" s="319">
        <f t="shared" si="113"/>
        <v>0</v>
      </c>
      <c r="BO250" s="319">
        <f t="shared" si="113"/>
        <v>0</v>
      </c>
      <c r="BP250" s="319">
        <f t="shared" si="113"/>
        <v>0</v>
      </c>
      <c r="BQ250" s="319">
        <f t="shared" si="113"/>
        <v>0</v>
      </c>
      <c r="BR250" s="319">
        <f t="shared" si="113"/>
        <v>0</v>
      </c>
      <c r="BS250" s="319">
        <f t="shared" si="113"/>
        <v>0</v>
      </c>
      <c r="BT250" s="319">
        <f t="shared" si="113"/>
        <v>0</v>
      </c>
      <c r="BU250" s="319">
        <f t="shared" si="113"/>
        <v>0</v>
      </c>
      <c r="BV250" s="319">
        <f t="shared" si="113"/>
        <v>0</v>
      </c>
      <c r="BW250" s="319">
        <f t="shared" si="113"/>
        <v>0</v>
      </c>
      <c r="BX250" s="319">
        <f t="shared" si="113"/>
        <v>0</v>
      </c>
      <c r="BY250" s="319">
        <f t="shared" si="113"/>
        <v>0</v>
      </c>
      <c r="BZ250" s="319">
        <f t="shared" si="113"/>
        <v>0</v>
      </c>
      <c r="CA250" s="319">
        <f t="shared" si="113"/>
        <v>0</v>
      </c>
      <c r="CB250" s="319">
        <f t="shared" si="113"/>
        <v>0</v>
      </c>
      <c r="CC250" s="319">
        <f t="shared" si="113"/>
        <v>0</v>
      </c>
      <c r="CD250" s="319">
        <f t="shared" si="113"/>
        <v>0</v>
      </c>
      <c r="CE250" s="319">
        <f t="shared" si="113"/>
        <v>0</v>
      </c>
      <c r="CF250" s="319">
        <f t="shared" si="113"/>
        <v>0</v>
      </c>
      <c r="CG250" s="319">
        <f t="shared" si="113"/>
        <v>0</v>
      </c>
      <c r="CH250" s="319">
        <f t="shared" si="113"/>
        <v>0</v>
      </c>
      <c r="CI250" s="319">
        <f t="shared" si="113"/>
        <v>0</v>
      </c>
      <c r="CJ250" s="319">
        <f t="shared" si="113"/>
        <v>0</v>
      </c>
      <c r="CK250" s="319">
        <f t="shared" si="113"/>
        <v>0</v>
      </c>
      <c r="CL250" s="319">
        <f t="shared" si="113"/>
        <v>0</v>
      </c>
      <c r="CM250" s="319">
        <f t="shared" si="113"/>
        <v>0</v>
      </c>
      <c r="CN250" s="319">
        <f t="shared" si="113"/>
        <v>0</v>
      </c>
      <c r="CO250" s="319">
        <f t="shared" si="113"/>
        <v>0</v>
      </c>
      <c r="CP250" s="319">
        <f t="shared" si="113"/>
        <v>0</v>
      </c>
      <c r="CQ250" s="319">
        <f t="shared" si="113"/>
        <v>0</v>
      </c>
      <c r="CR250" s="319">
        <f t="shared" si="113"/>
        <v>0</v>
      </c>
      <c r="CS250" s="319">
        <f t="shared" si="113"/>
        <v>0</v>
      </c>
      <c r="CT250" s="319">
        <f t="shared" si="113"/>
        <v>0</v>
      </c>
      <c r="CU250" s="319">
        <f t="shared" si="113"/>
        <v>0</v>
      </c>
      <c r="CV250" s="319">
        <f t="shared" si="113"/>
        <v>0</v>
      </c>
    </row>
    <row r="251" spans="1:100" x14ac:dyDescent="0.25">
      <c r="A251" s="319">
        <f t="shared" si="101"/>
        <v>0</v>
      </c>
      <c r="B251" s="319">
        <f t="shared" si="104"/>
        <v>0</v>
      </c>
      <c r="C251" s="340" t="s">
        <v>1500</v>
      </c>
      <c r="D251" s="341" t="s">
        <v>366</v>
      </c>
      <c r="E251" s="341">
        <v>4</v>
      </c>
      <c r="F251" s="341" t="str">
        <f>IF(AND(E251&lt;CharacterSheet!$V$34,'House Rules'!$B$3="Available",OR('House Rules'!$B$7="Standard",AND('House Rules'!$B$7="Ranked",G249="Yes"))),"Yes","No")</f>
        <v>No</v>
      </c>
      <c r="G251" s="564" t="s">
        <v>347</v>
      </c>
      <c r="H251" s="333" t="str">
        <f>IF(C251="","",VLOOKUP(C251,Boonref2!A:B,2,FALSE))</f>
        <v>Yes</v>
      </c>
      <c r="I251" s="333"/>
      <c r="J251" s="333" t="str">
        <f>VLOOKUP(C251,BoonRef!A:Z,17,FALSE)</f>
        <v>Yes</v>
      </c>
      <c r="K251" s="333" t="str">
        <f>IF(J251="God",'House Rules'!$B$2,IF(J251="Demi",'House Rules'!$B$1,IF(J251="Comp",'House Rules'!$B$4,IF(J251="Yaz",'House Rules'!$B$5,IF(J251="Rag",'House Rules'!$B$3,"Available")))))</f>
        <v>Available</v>
      </c>
      <c r="L251" s="333"/>
      <c r="M251" s="333"/>
      <c r="BF251" s="319">
        <f t="shared" si="109"/>
        <v>0</v>
      </c>
      <c r="BG251" s="345" t="s">
        <v>2586</v>
      </c>
      <c r="BI251" s="319">
        <f t="shared" si="102"/>
        <v>0</v>
      </c>
      <c r="BJ251" s="319">
        <f t="shared" si="113"/>
        <v>0</v>
      </c>
      <c r="BK251" s="319">
        <f t="shared" si="113"/>
        <v>0</v>
      </c>
      <c r="BL251" s="319">
        <f t="shared" si="113"/>
        <v>0</v>
      </c>
      <c r="BM251" s="319">
        <f t="shared" si="113"/>
        <v>0</v>
      </c>
      <c r="BN251" s="319">
        <f t="shared" si="113"/>
        <v>0</v>
      </c>
      <c r="BO251" s="319">
        <f t="shared" si="113"/>
        <v>0</v>
      </c>
      <c r="BP251" s="319">
        <f t="shared" si="113"/>
        <v>0</v>
      </c>
      <c r="BQ251" s="319">
        <f t="shared" si="113"/>
        <v>0</v>
      </c>
      <c r="BR251" s="319">
        <f t="shared" si="113"/>
        <v>0</v>
      </c>
      <c r="BS251" s="319">
        <f t="shared" si="113"/>
        <v>0</v>
      </c>
      <c r="BT251" s="319">
        <f t="shared" si="113"/>
        <v>0</v>
      </c>
      <c r="BU251" s="319">
        <f t="shared" si="113"/>
        <v>0</v>
      </c>
      <c r="BV251" s="319">
        <f t="shared" si="113"/>
        <v>0</v>
      </c>
      <c r="BW251" s="319">
        <f t="shared" si="113"/>
        <v>0</v>
      </c>
      <c r="BX251" s="319">
        <f t="shared" si="113"/>
        <v>0</v>
      </c>
      <c r="BY251" s="319">
        <f t="shared" si="113"/>
        <v>0</v>
      </c>
      <c r="BZ251" s="319">
        <f t="shared" si="113"/>
        <v>0</v>
      </c>
      <c r="CA251" s="319">
        <f t="shared" si="113"/>
        <v>0</v>
      </c>
      <c r="CB251" s="319">
        <f t="shared" si="113"/>
        <v>0</v>
      </c>
      <c r="CC251" s="319">
        <f t="shared" si="113"/>
        <v>0</v>
      </c>
      <c r="CD251" s="319">
        <f t="shared" si="113"/>
        <v>0</v>
      </c>
      <c r="CE251" s="319">
        <f t="shared" si="113"/>
        <v>0</v>
      </c>
      <c r="CF251" s="319">
        <f t="shared" si="113"/>
        <v>0</v>
      </c>
      <c r="CG251" s="319">
        <f t="shared" si="113"/>
        <v>0</v>
      </c>
      <c r="CH251" s="319">
        <f t="shared" si="113"/>
        <v>0</v>
      </c>
      <c r="CI251" s="319">
        <f t="shared" si="113"/>
        <v>0</v>
      </c>
      <c r="CJ251" s="319">
        <f t="shared" si="113"/>
        <v>0</v>
      </c>
      <c r="CK251" s="319">
        <f t="shared" si="113"/>
        <v>0</v>
      </c>
      <c r="CL251" s="319">
        <f t="shared" si="113"/>
        <v>0</v>
      </c>
      <c r="CM251" s="319">
        <f t="shared" si="113"/>
        <v>0</v>
      </c>
      <c r="CN251" s="319">
        <f t="shared" si="113"/>
        <v>0</v>
      </c>
      <c r="CO251" s="319">
        <f t="shared" si="113"/>
        <v>0</v>
      </c>
      <c r="CP251" s="319">
        <f t="shared" si="113"/>
        <v>0</v>
      </c>
      <c r="CQ251" s="319">
        <f t="shared" si="113"/>
        <v>0</v>
      </c>
      <c r="CR251" s="319">
        <f t="shared" si="113"/>
        <v>0</v>
      </c>
      <c r="CS251" s="319">
        <f t="shared" si="113"/>
        <v>0</v>
      </c>
      <c r="CT251" s="319">
        <f t="shared" si="113"/>
        <v>0</v>
      </c>
      <c r="CU251" s="319">
        <f t="shared" si="113"/>
        <v>0</v>
      </c>
      <c r="CV251" s="319">
        <f t="shared" si="113"/>
        <v>0</v>
      </c>
    </row>
    <row r="252" spans="1:100" ht="15.75" thickBot="1" x14ac:dyDescent="0.3">
      <c r="A252" s="319">
        <f t="shared" si="101"/>
        <v>0</v>
      </c>
      <c r="B252" s="319">
        <f t="shared" si="104"/>
        <v>0</v>
      </c>
      <c r="C252" s="340" t="s">
        <v>1358</v>
      </c>
      <c r="D252" s="341" t="s">
        <v>366</v>
      </c>
      <c r="E252" s="341">
        <v>4</v>
      </c>
      <c r="F252" s="341" t="str">
        <f>IF(AND(E252&lt;CharacterSheet!$V$34,'House Rules'!$B$4="Available",OR('House Rules'!$B$7="Standard",AND('House Rules'!$B$7="Ranked",G249="Yes"))),"Yes","No")</f>
        <v>No</v>
      </c>
      <c r="G252" s="564" t="s">
        <v>347</v>
      </c>
      <c r="H252" s="333" t="str">
        <f>IF(C252="","",VLOOKUP(C252,Boonref2!A:B,2,FALSE))</f>
        <v>No</v>
      </c>
      <c r="I252" s="333"/>
      <c r="J252" s="333" t="str">
        <f>VLOOKUP(C252,BoonRef!A:Z,17,FALSE)</f>
        <v>Yes</v>
      </c>
      <c r="K252" s="333" t="str">
        <f>IF(J252="God",'House Rules'!$B$2,IF(J252="Demi",'House Rules'!$B$1,IF(J252="Comp",'House Rules'!$B$4,IF(J252="Yaz",'House Rules'!$B$5,IF(J252="Rag",'House Rules'!$B$3,"Available")))))</f>
        <v>Available</v>
      </c>
      <c r="L252" s="333"/>
      <c r="M252" s="333"/>
      <c r="BF252" s="319">
        <f t="shared" si="109"/>
        <v>0</v>
      </c>
      <c r="BG252" s="355" t="s">
        <v>2587</v>
      </c>
      <c r="BI252" s="319">
        <f t="shared" si="102"/>
        <v>0</v>
      </c>
      <c r="BJ252" s="319">
        <f t="shared" ref="BJ252:CV258" si="114">IF(AND($D252=BJ$1,$G252="Yes"),$E252,0)</f>
        <v>0</v>
      </c>
      <c r="BK252" s="319">
        <f t="shared" si="114"/>
        <v>0</v>
      </c>
      <c r="BL252" s="319">
        <f t="shared" si="114"/>
        <v>0</v>
      </c>
      <c r="BM252" s="319">
        <f t="shared" si="114"/>
        <v>0</v>
      </c>
      <c r="BN252" s="319">
        <f t="shared" si="114"/>
        <v>0</v>
      </c>
      <c r="BO252" s="319">
        <f t="shared" si="114"/>
        <v>0</v>
      </c>
      <c r="BP252" s="319">
        <f t="shared" si="114"/>
        <v>0</v>
      </c>
      <c r="BQ252" s="319">
        <f t="shared" si="114"/>
        <v>0</v>
      </c>
      <c r="BR252" s="319">
        <f t="shared" si="114"/>
        <v>0</v>
      </c>
      <c r="BS252" s="319">
        <f t="shared" si="114"/>
        <v>0</v>
      </c>
      <c r="BT252" s="319">
        <f t="shared" si="114"/>
        <v>0</v>
      </c>
      <c r="BU252" s="319">
        <f t="shared" si="114"/>
        <v>0</v>
      </c>
      <c r="BV252" s="319">
        <f t="shared" si="114"/>
        <v>0</v>
      </c>
      <c r="BW252" s="319">
        <f t="shared" si="114"/>
        <v>0</v>
      </c>
      <c r="BX252" s="319">
        <f t="shared" si="114"/>
        <v>0</v>
      </c>
      <c r="BY252" s="319">
        <f t="shared" si="114"/>
        <v>0</v>
      </c>
      <c r="BZ252" s="319">
        <f t="shared" si="114"/>
        <v>0</v>
      </c>
      <c r="CA252" s="319">
        <f t="shared" si="114"/>
        <v>0</v>
      </c>
      <c r="CB252" s="319">
        <f t="shared" si="114"/>
        <v>0</v>
      </c>
      <c r="CC252" s="319">
        <f t="shared" si="114"/>
        <v>0</v>
      </c>
      <c r="CD252" s="319">
        <f t="shared" si="114"/>
        <v>0</v>
      </c>
      <c r="CE252" s="319">
        <f t="shared" si="114"/>
        <v>0</v>
      </c>
      <c r="CF252" s="319">
        <f t="shared" si="114"/>
        <v>0</v>
      </c>
      <c r="CG252" s="319">
        <f t="shared" si="114"/>
        <v>0</v>
      </c>
      <c r="CH252" s="319">
        <f t="shared" si="114"/>
        <v>0</v>
      </c>
      <c r="CI252" s="319">
        <f t="shared" si="114"/>
        <v>0</v>
      </c>
      <c r="CJ252" s="319">
        <f t="shared" si="114"/>
        <v>0</v>
      </c>
      <c r="CK252" s="319">
        <f t="shared" si="114"/>
        <v>0</v>
      </c>
      <c r="CL252" s="319">
        <f t="shared" si="114"/>
        <v>0</v>
      </c>
      <c r="CM252" s="319">
        <f t="shared" si="114"/>
        <v>0</v>
      </c>
      <c r="CN252" s="319">
        <f t="shared" si="114"/>
        <v>0</v>
      </c>
      <c r="CO252" s="319">
        <f t="shared" si="114"/>
        <v>0</v>
      </c>
      <c r="CP252" s="319">
        <f t="shared" si="114"/>
        <v>0</v>
      </c>
      <c r="CQ252" s="319">
        <f t="shared" si="114"/>
        <v>0</v>
      </c>
      <c r="CR252" s="319">
        <f t="shared" si="114"/>
        <v>0</v>
      </c>
      <c r="CS252" s="319">
        <f t="shared" si="114"/>
        <v>0</v>
      </c>
      <c r="CT252" s="319">
        <f t="shared" si="114"/>
        <v>0</v>
      </c>
      <c r="CU252" s="319">
        <f t="shared" si="114"/>
        <v>0</v>
      </c>
      <c r="CV252" s="319">
        <f t="shared" si="114"/>
        <v>0</v>
      </c>
    </row>
    <row r="253" spans="1:100" x14ac:dyDescent="0.25">
      <c r="A253" s="319">
        <f t="shared" si="101"/>
        <v>0</v>
      </c>
      <c r="B253" s="319">
        <f t="shared" si="104"/>
        <v>0</v>
      </c>
      <c r="C253" s="340" t="s">
        <v>1200</v>
      </c>
      <c r="D253" s="341" t="s">
        <v>366</v>
      </c>
      <c r="E253" s="341">
        <v>5</v>
      </c>
      <c r="F253" s="341" t="str">
        <f>IF(AND(E253&lt;CharacterSheet!$V$34,'House Rules'!$B$1="Available",OR('House Rules'!$B$7="Standard",AND('House Rules'!$B$7="Ranked",OR(G252="Yes",G250="Yes",G251="Yes")))),"Yes","No")</f>
        <v>No</v>
      </c>
      <c r="G253" s="564" t="s">
        <v>347</v>
      </c>
      <c r="H253" s="333" t="str">
        <f>IF(C253="","",VLOOKUP(C253,Boonref2!A:B,2,FALSE))</f>
        <v>Yes</v>
      </c>
      <c r="I253" s="333"/>
      <c r="J253" s="333" t="str">
        <f>VLOOKUP(C253,BoonRef!A:Z,17,FALSE)</f>
        <v>Yes</v>
      </c>
      <c r="K253" s="333" t="str">
        <f>IF(J253="God",'House Rules'!$B$2,IF(J253="Demi",'House Rules'!$B$1,IF(J253="Comp",'House Rules'!$B$4,IF(J253="Yaz",'House Rules'!$B$5,IF(J253="Rag",'House Rules'!$B$3,"Available")))))</f>
        <v>Available</v>
      </c>
      <c r="L253" s="333"/>
      <c r="M253" s="333"/>
      <c r="BF253" s="319">
        <f t="shared" ref="BF253:BF284" si="115">B12</f>
        <v>0</v>
      </c>
      <c r="BG253" s="330" t="s">
        <v>1064</v>
      </c>
      <c r="BI253" s="319">
        <f t="shared" si="102"/>
        <v>0</v>
      </c>
      <c r="BJ253" s="319">
        <f t="shared" si="114"/>
        <v>0</v>
      </c>
      <c r="BK253" s="319">
        <f t="shared" si="114"/>
        <v>0</v>
      </c>
      <c r="BL253" s="319">
        <f t="shared" si="114"/>
        <v>0</v>
      </c>
      <c r="BM253" s="319">
        <f t="shared" si="114"/>
        <v>0</v>
      </c>
      <c r="BN253" s="319">
        <f t="shared" si="114"/>
        <v>0</v>
      </c>
      <c r="BO253" s="319">
        <f t="shared" si="114"/>
        <v>0</v>
      </c>
      <c r="BP253" s="319">
        <f t="shared" si="114"/>
        <v>0</v>
      </c>
      <c r="BQ253" s="319">
        <f t="shared" si="114"/>
        <v>0</v>
      </c>
      <c r="BR253" s="319">
        <f t="shared" si="114"/>
        <v>0</v>
      </c>
      <c r="BS253" s="319">
        <f t="shared" si="114"/>
        <v>0</v>
      </c>
      <c r="BT253" s="319">
        <f t="shared" si="114"/>
        <v>0</v>
      </c>
      <c r="BU253" s="319">
        <f t="shared" si="114"/>
        <v>0</v>
      </c>
      <c r="BV253" s="319">
        <f t="shared" si="114"/>
        <v>0</v>
      </c>
      <c r="BW253" s="319">
        <f t="shared" si="114"/>
        <v>0</v>
      </c>
      <c r="BX253" s="319">
        <f t="shared" si="114"/>
        <v>0</v>
      </c>
      <c r="BY253" s="319">
        <f t="shared" si="114"/>
        <v>0</v>
      </c>
      <c r="BZ253" s="319">
        <f t="shared" si="114"/>
        <v>0</v>
      </c>
      <c r="CA253" s="319">
        <f t="shared" si="114"/>
        <v>0</v>
      </c>
      <c r="CB253" s="319">
        <f t="shared" si="114"/>
        <v>0</v>
      </c>
      <c r="CC253" s="319">
        <f t="shared" si="114"/>
        <v>0</v>
      </c>
      <c r="CD253" s="319">
        <f t="shared" si="114"/>
        <v>0</v>
      </c>
      <c r="CE253" s="319">
        <f t="shared" si="114"/>
        <v>0</v>
      </c>
      <c r="CF253" s="319">
        <f t="shared" si="114"/>
        <v>0</v>
      </c>
      <c r="CG253" s="319">
        <f t="shared" si="114"/>
        <v>0</v>
      </c>
      <c r="CH253" s="319">
        <f t="shared" si="114"/>
        <v>0</v>
      </c>
      <c r="CI253" s="319">
        <f t="shared" si="114"/>
        <v>0</v>
      </c>
      <c r="CJ253" s="319">
        <f t="shared" si="114"/>
        <v>0</v>
      </c>
      <c r="CK253" s="319">
        <f t="shared" si="114"/>
        <v>0</v>
      </c>
      <c r="CL253" s="319">
        <f t="shared" si="114"/>
        <v>0</v>
      </c>
      <c r="CM253" s="319">
        <f t="shared" si="114"/>
        <v>0</v>
      </c>
      <c r="CN253" s="319">
        <f t="shared" si="114"/>
        <v>0</v>
      </c>
      <c r="CO253" s="319">
        <f t="shared" si="114"/>
        <v>0</v>
      </c>
      <c r="CP253" s="319">
        <f t="shared" si="114"/>
        <v>0</v>
      </c>
      <c r="CQ253" s="319">
        <f t="shared" si="114"/>
        <v>0</v>
      </c>
      <c r="CR253" s="319">
        <f t="shared" si="114"/>
        <v>0</v>
      </c>
      <c r="CS253" s="319">
        <f t="shared" si="114"/>
        <v>0</v>
      </c>
      <c r="CT253" s="319">
        <f t="shared" si="114"/>
        <v>0</v>
      </c>
      <c r="CU253" s="319">
        <f t="shared" si="114"/>
        <v>0</v>
      </c>
      <c r="CV253" s="319">
        <f t="shared" si="114"/>
        <v>0</v>
      </c>
    </row>
    <row r="254" spans="1:100" x14ac:dyDescent="0.25">
      <c r="A254" s="319">
        <f t="shared" si="101"/>
        <v>0</v>
      </c>
      <c r="B254" s="319">
        <f t="shared" si="104"/>
        <v>0</v>
      </c>
      <c r="C254" s="340" t="s">
        <v>1407</v>
      </c>
      <c r="D254" s="341" t="s">
        <v>366</v>
      </c>
      <c r="E254" s="341">
        <v>5</v>
      </c>
      <c r="F254" s="341" t="str">
        <f>IF(AND(E254&lt;CharacterSheet!$V$34,'House Rules'!$B$4="Available",OR('House Rules'!$B$7="Standard",AND('House Rules'!$B$7="Ranked",OR(G252="Yes",G250="Yes",G251="Yes")))),"Yes","No")</f>
        <v>No</v>
      </c>
      <c r="G254" s="564" t="s">
        <v>347</v>
      </c>
      <c r="H254" s="333" t="str">
        <f>IF(C254="","",VLOOKUP(C254,Boonref2!A:B,2,FALSE))</f>
        <v>No</v>
      </c>
      <c r="I254" s="333"/>
      <c r="J254" s="333" t="str">
        <f>VLOOKUP(C254,BoonRef!A:Z,17,FALSE)</f>
        <v>Yes</v>
      </c>
      <c r="K254" s="333" t="str">
        <f>IF(J254="God",'House Rules'!$B$2,IF(J254="Demi",'House Rules'!$B$1,IF(J254="Comp",'House Rules'!$B$4,IF(J254="Yaz",'House Rules'!$B$5,IF(J254="Rag",'House Rules'!$B$3,"Available")))))</f>
        <v>Available</v>
      </c>
      <c r="L254" s="333"/>
      <c r="M254" s="333"/>
      <c r="BF254" s="319">
        <f t="shared" si="115"/>
        <v>0</v>
      </c>
      <c r="BG254" s="340" t="s">
        <v>1065</v>
      </c>
      <c r="BI254" s="319">
        <f t="shared" si="102"/>
        <v>0</v>
      </c>
      <c r="BJ254" s="319">
        <f t="shared" si="114"/>
        <v>0</v>
      </c>
      <c r="BK254" s="319">
        <f t="shared" si="114"/>
        <v>0</v>
      </c>
      <c r="BL254" s="319">
        <f t="shared" si="114"/>
        <v>0</v>
      </c>
      <c r="BM254" s="319">
        <f t="shared" si="114"/>
        <v>0</v>
      </c>
      <c r="BN254" s="319">
        <f t="shared" si="114"/>
        <v>0</v>
      </c>
      <c r="BO254" s="319">
        <f t="shared" si="114"/>
        <v>0</v>
      </c>
      <c r="BP254" s="319">
        <f t="shared" si="114"/>
        <v>0</v>
      </c>
      <c r="BQ254" s="319">
        <f t="shared" si="114"/>
        <v>0</v>
      </c>
      <c r="BR254" s="319">
        <f t="shared" si="114"/>
        <v>0</v>
      </c>
      <c r="BS254" s="319">
        <f t="shared" si="114"/>
        <v>0</v>
      </c>
      <c r="BT254" s="319">
        <f t="shared" si="114"/>
        <v>0</v>
      </c>
      <c r="BU254" s="319">
        <f t="shared" si="114"/>
        <v>0</v>
      </c>
      <c r="BV254" s="319">
        <f t="shared" si="114"/>
        <v>0</v>
      </c>
      <c r="BW254" s="319">
        <f t="shared" si="114"/>
        <v>0</v>
      </c>
      <c r="BX254" s="319">
        <f t="shared" si="114"/>
        <v>0</v>
      </c>
      <c r="BY254" s="319">
        <f t="shared" si="114"/>
        <v>0</v>
      </c>
      <c r="BZ254" s="319">
        <f t="shared" si="114"/>
        <v>0</v>
      </c>
      <c r="CA254" s="319">
        <f t="shared" si="114"/>
        <v>0</v>
      </c>
      <c r="CB254" s="319">
        <f t="shared" si="114"/>
        <v>0</v>
      </c>
      <c r="CC254" s="319">
        <f t="shared" si="114"/>
        <v>0</v>
      </c>
      <c r="CD254" s="319">
        <f t="shared" si="114"/>
        <v>0</v>
      </c>
      <c r="CE254" s="319">
        <f t="shared" si="114"/>
        <v>0</v>
      </c>
      <c r="CF254" s="319">
        <f t="shared" si="114"/>
        <v>0</v>
      </c>
      <c r="CG254" s="319">
        <f t="shared" si="114"/>
        <v>0</v>
      </c>
      <c r="CH254" s="319">
        <f t="shared" si="114"/>
        <v>0</v>
      </c>
      <c r="CI254" s="319">
        <f t="shared" si="114"/>
        <v>0</v>
      </c>
      <c r="CJ254" s="319">
        <f t="shared" si="114"/>
        <v>0</v>
      </c>
      <c r="CK254" s="319">
        <f t="shared" si="114"/>
        <v>0</v>
      </c>
      <c r="CL254" s="319">
        <f t="shared" si="114"/>
        <v>0</v>
      </c>
      <c r="CM254" s="319">
        <f t="shared" si="114"/>
        <v>0</v>
      </c>
      <c r="CN254" s="319">
        <f t="shared" si="114"/>
        <v>0</v>
      </c>
      <c r="CO254" s="319">
        <f t="shared" si="114"/>
        <v>0</v>
      </c>
      <c r="CP254" s="319">
        <f t="shared" si="114"/>
        <v>0</v>
      </c>
      <c r="CQ254" s="319">
        <f t="shared" si="114"/>
        <v>0</v>
      </c>
      <c r="CR254" s="319">
        <f t="shared" si="114"/>
        <v>0</v>
      </c>
      <c r="CS254" s="319">
        <f t="shared" si="114"/>
        <v>0</v>
      </c>
      <c r="CT254" s="319">
        <f t="shared" si="114"/>
        <v>0</v>
      </c>
      <c r="CU254" s="319">
        <f t="shared" si="114"/>
        <v>0</v>
      </c>
      <c r="CV254" s="319">
        <f t="shared" si="114"/>
        <v>0</v>
      </c>
    </row>
    <row r="255" spans="1:100" x14ac:dyDescent="0.25">
      <c r="A255" s="319">
        <f t="shared" si="101"/>
        <v>0</v>
      </c>
      <c r="B255" s="319">
        <f t="shared" si="104"/>
        <v>0</v>
      </c>
      <c r="C255" s="340" t="s">
        <v>1201</v>
      </c>
      <c r="D255" s="341" t="s">
        <v>366</v>
      </c>
      <c r="E255" s="341">
        <v>6</v>
      </c>
      <c r="F255" s="341" t="str">
        <f>IF(AND(E255&lt;CharacterSheet!$V$34,'House Rules'!$B$1="Available",OR('House Rules'!$B$7="Standard",AND('House Rules'!$B$7="Ranked",OR(G254="Yes",G253="Yes")))),"Yes","No")</f>
        <v>No</v>
      </c>
      <c r="G255" s="564" t="s">
        <v>347</v>
      </c>
      <c r="H255" s="333" t="str">
        <f>IF(C255="","",VLOOKUP(C255,Boonref2!A:B,2,FALSE))</f>
        <v>Yes</v>
      </c>
      <c r="I255" s="333"/>
      <c r="J255" s="333" t="str">
        <f>VLOOKUP(C255,BoonRef!A:Z,17,FALSE)</f>
        <v>Yes</v>
      </c>
      <c r="K255" s="333" t="str">
        <f>IF(J255="God",'House Rules'!$B$2,IF(J255="Demi",'House Rules'!$B$1,IF(J255="Comp",'House Rules'!$B$4,IF(J255="Yaz",'House Rules'!$B$5,IF(J255="Rag",'House Rules'!$B$3,"Available")))))</f>
        <v>Available</v>
      </c>
      <c r="L255" s="333"/>
      <c r="M255" s="333"/>
      <c r="BF255" s="319">
        <f t="shared" si="115"/>
        <v>0</v>
      </c>
      <c r="BG255" s="340" t="s">
        <v>1066</v>
      </c>
      <c r="BI255" s="319">
        <f t="shared" si="102"/>
        <v>0</v>
      </c>
      <c r="BJ255" s="319">
        <f t="shared" si="114"/>
        <v>0</v>
      </c>
      <c r="BK255" s="319">
        <f t="shared" si="114"/>
        <v>0</v>
      </c>
      <c r="BL255" s="319">
        <f t="shared" si="114"/>
        <v>0</v>
      </c>
      <c r="BM255" s="319">
        <f t="shared" si="114"/>
        <v>0</v>
      </c>
      <c r="BN255" s="319">
        <f t="shared" si="114"/>
        <v>0</v>
      </c>
      <c r="BO255" s="319">
        <f t="shared" si="114"/>
        <v>0</v>
      </c>
      <c r="BP255" s="319">
        <f t="shared" si="114"/>
        <v>0</v>
      </c>
      <c r="BQ255" s="319">
        <f t="shared" si="114"/>
        <v>0</v>
      </c>
      <c r="BR255" s="319">
        <f t="shared" si="114"/>
        <v>0</v>
      </c>
      <c r="BS255" s="319">
        <f t="shared" si="114"/>
        <v>0</v>
      </c>
      <c r="BT255" s="319">
        <f t="shared" si="114"/>
        <v>0</v>
      </c>
      <c r="BU255" s="319">
        <f t="shared" si="114"/>
        <v>0</v>
      </c>
      <c r="BV255" s="319">
        <f t="shared" si="114"/>
        <v>0</v>
      </c>
      <c r="BW255" s="319">
        <f t="shared" si="114"/>
        <v>0</v>
      </c>
      <c r="BX255" s="319">
        <f t="shared" si="114"/>
        <v>0</v>
      </c>
      <c r="BY255" s="319">
        <f t="shared" si="114"/>
        <v>0</v>
      </c>
      <c r="BZ255" s="319">
        <f t="shared" si="114"/>
        <v>0</v>
      </c>
      <c r="CA255" s="319">
        <f t="shared" si="114"/>
        <v>0</v>
      </c>
      <c r="CB255" s="319">
        <f t="shared" si="114"/>
        <v>0</v>
      </c>
      <c r="CC255" s="319">
        <f t="shared" si="114"/>
        <v>0</v>
      </c>
      <c r="CD255" s="319">
        <f t="shared" si="114"/>
        <v>0</v>
      </c>
      <c r="CE255" s="319">
        <f t="shared" si="114"/>
        <v>0</v>
      </c>
      <c r="CF255" s="319">
        <f t="shared" si="114"/>
        <v>0</v>
      </c>
      <c r="CG255" s="319">
        <f t="shared" si="114"/>
        <v>0</v>
      </c>
      <c r="CH255" s="319">
        <f t="shared" si="114"/>
        <v>0</v>
      </c>
      <c r="CI255" s="319">
        <f t="shared" si="114"/>
        <v>0</v>
      </c>
      <c r="CJ255" s="319">
        <f t="shared" si="114"/>
        <v>0</v>
      </c>
      <c r="CK255" s="319">
        <f t="shared" si="114"/>
        <v>0</v>
      </c>
      <c r="CL255" s="319">
        <f t="shared" si="114"/>
        <v>0</v>
      </c>
      <c r="CM255" s="319">
        <f t="shared" si="114"/>
        <v>0</v>
      </c>
      <c r="CN255" s="319">
        <f t="shared" si="114"/>
        <v>0</v>
      </c>
      <c r="CO255" s="319">
        <f t="shared" si="114"/>
        <v>0</v>
      </c>
      <c r="CP255" s="319">
        <f t="shared" si="114"/>
        <v>0</v>
      </c>
      <c r="CQ255" s="319">
        <f t="shared" si="114"/>
        <v>0</v>
      </c>
      <c r="CR255" s="319">
        <f t="shared" si="114"/>
        <v>0</v>
      </c>
      <c r="CS255" s="319">
        <f t="shared" si="114"/>
        <v>0</v>
      </c>
      <c r="CT255" s="319">
        <f t="shared" si="114"/>
        <v>0</v>
      </c>
      <c r="CU255" s="319">
        <f t="shared" si="114"/>
        <v>0</v>
      </c>
      <c r="CV255" s="319">
        <f t="shared" si="114"/>
        <v>0</v>
      </c>
    </row>
    <row r="256" spans="1:100" x14ac:dyDescent="0.25">
      <c r="A256" s="319">
        <f t="shared" si="101"/>
        <v>0</v>
      </c>
      <c r="B256" s="319">
        <f t="shared" si="104"/>
        <v>0</v>
      </c>
      <c r="C256" s="340" t="s">
        <v>1202</v>
      </c>
      <c r="D256" s="341" t="s">
        <v>366</v>
      </c>
      <c r="E256" s="341">
        <v>7</v>
      </c>
      <c r="F256" s="341" t="str">
        <f>IF(AND(E256&lt;CharacterSheet!$V$34,'House Rules'!$B$1="Available",OR('House Rules'!$B$7="Standard",AND('House Rules'!$B$7="Ranked",G255="Yes"))),"Yes","No")</f>
        <v>No</v>
      </c>
      <c r="G256" s="564" t="s">
        <v>347</v>
      </c>
      <c r="H256" s="333" t="str">
        <f>IF(C256="","",VLOOKUP(C256,Boonref2!A:B,2,FALSE))</f>
        <v>No</v>
      </c>
      <c r="I256" s="333"/>
      <c r="J256" s="333" t="str">
        <f>VLOOKUP(C256,BoonRef!A:Z,17,FALSE)</f>
        <v>Yes</v>
      </c>
      <c r="K256" s="333" t="str">
        <f>IF(J256="God",'House Rules'!$B$2,IF(J256="Demi",'House Rules'!$B$1,IF(J256="Comp",'House Rules'!$B$4,IF(J256="Yaz",'House Rules'!$B$5,IF(J256="Rag",'House Rules'!$B$3,"Available")))))</f>
        <v>Available</v>
      </c>
      <c r="L256" s="333"/>
      <c r="M256" s="333"/>
      <c r="BF256" s="319">
        <f t="shared" si="115"/>
        <v>0</v>
      </c>
      <c r="BG256" s="340" t="s">
        <v>1379</v>
      </c>
      <c r="BI256" s="319">
        <f t="shared" si="102"/>
        <v>0</v>
      </c>
      <c r="BJ256" s="319">
        <f t="shared" si="114"/>
        <v>0</v>
      </c>
      <c r="BK256" s="319">
        <f t="shared" si="114"/>
        <v>0</v>
      </c>
      <c r="BL256" s="319">
        <f t="shared" si="114"/>
        <v>0</v>
      </c>
      <c r="BM256" s="319">
        <f t="shared" si="114"/>
        <v>0</v>
      </c>
      <c r="BN256" s="319">
        <f t="shared" si="114"/>
        <v>0</v>
      </c>
      <c r="BO256" s="319">
        <f t="shared" si="114"/>
        <v>0</v>
      </c>
      <c r="BP256" s="319">
        <f t="shared" si="114"/>
        <v>0</v>
      </c>
      <c r="BQ256" s="319">
        <f t="shared" si="114"/>
        <v>0</v>
      </c>
      <c r="BR256" s="319">
        <f t="shared" si="114"/>
        <v>0</v>
      </c>
      <c r="BS256" s="319">
        <f t="shared" si="114"/>
        <v>0</v>
      </c>
      <c r="BT256" s="319">
        <f t="shared" si="114"/>
        <v>0</v>
      </c>
      <c r="BU256" s="319">
        <f t="shared" si="114"/>
        <v>0</v>
      </c>
      <c r="BV256" s="319">
        <f t="shared" si="114"/>
        <v>0</v>
      </c>
      <c r="BW256" s="319">
        <f t="shared" si="114"/>
        <v>0</v>
      </c>
      <c r="BX256" s="319">
        <f t="shared" si="114"/>
        <v>0</v>
      </c>
      <c r="BY256" s="319">
        <f t="shared" si="114"/>
        <v>0</v>
      </c>
      <c r="BZ256" s="319">
        <f t="shared" si="114"/>
        <v>0</v>
      </c>
      <c r="CA256" s="319">
        <f t="shared" si="114"/>
        <v>0</v>
      </c>
      <c r="CB256" s="319">
        <f t="shared" si="114"/>
        <v>0</v>
      </c>
      <c r="CC256" s="319">
        <f t="shared" si="114"/>
        <v>0</v>
      </c>
      <c r="CD256" s="319">
        <f t="shared" si="114"/>
        <v>0</v>
      </c>
      <c r="CE256" s="319">
        <f t="shared" si="114"/>
        <v>0</v>
      </c>
      <c r="CF256" s="319">
        <f t="shared" si="114"/>
        <v>0</v>
      </c>
      <c r="CG256" s="319">
        <f t="shared" si="114"/>
        <v>0</v>
      </c>
      <c r="CH256" s="319">
        <f t="shared" si="114"/>
        <v>0</v>
      </c>
      <c r="CI256" s="319">
        <f t="shared" si="114"/>
        <v>0</v>
      </c>
      <c r="CJ256" s="319">
        <f t="shared" si="114"/>
        <v>0</v>
      </c>
      <c r="CK256" s="319">
        <f t="shared" si="114"/>
        <v>0</v>
      </c>
      <c r="CL256" s="319">
        <f t="shared" si="114"/>
        <v>0</v>
      </c>
      <c r="CM256" s="319">
        <f t="shared" si="114"/>
        <v>0</v>
      </c>
      <c r="CN256" s="319">
        <f t="shared" si="114"/>
        <v>0</v>
      </c>
      <c r="CO256" s="319">
        <f t="shared" si="114"/>
        <v>0</v>
      </c>
      <c r="CP256" s="319">
        <f t="shared" si="114"/>
        <v>0</v>
      </c>
      <c r="CQ256" s="319">
        <f t="shared" si="114"/>
        <v>0</v>
      </c>
      <c r="CR256" s="319">
        <f t="shared" si="114"/>
        <v>0</v>
      </c>
      <c r="CS256" s="319">
        <f t="shared" si="114"/>
        <v>0</v>
      </c>
      <c r="CT256" s="319">
        <f t="shared" si="114"/>
        <v>0</v>
      </c>
      <c r="CU256" s="319">
        <f t="shared" si="114"/>
        <v>0</v>
      </c>
      <c r="CV256" s="319">
        <f t="shared" si="114"/>
        <v>0</v>
      </c>
    </row>
    <row r="257" spans="1:100" x14ac:dyDescent="0.25">
      <c r="A257" s="319">
        <f t="shared" si="101"/>
        <v>0</v>
      </c>
      <c r="B257" s="319">
        <f t="shared" si="104"/>
        <v>0</v>
      </c>
      <c r="C257" s="340" t="s">
        <v>1408</v>
      </c>
      <c r="D257" s="341" t="s">
        <v>366</v>
      </c>
      <c r="E257" s="341">
        <v>7</v>
      </c>
      <c r="F257" s="341" t="str">
        <f>IF(AND(E257&lt;CharacterSheet!$V$34,'House Rules'!$B$4="Available",OR('House Rules'!$B$7="Standard",AND('House Rules'!$B$7="Ranked",G255="Yes"))),"Yes","No")</f>
        <v>No</v>
      </c>
      <c r="G257" s="564" t="s">
        <v>347</v>
      </c>
      <c r="H257" s="333" t="str">
        <f>IF(C257="","",VLOOKUP(C257,Boonref2!A:B,2,FALSE))</f>
        <v>No</v>
      </c>
      <c r="I257" s="333"/>
      <c r="J257" s="333" t="str">
        <f>VLOOKUP(C257,BoonRef!A:Z,17,FALSE)</f>
        <v>Yes</v>
      </c>
      <c r="K257" s="333" t="str">
        <f>IF(J257="God",'House Rules'!$B$2,IF(J257="Demi",'House Rules'!$B$1,IF(J257="Comp",'House Rules'!$B$4,IF(J257="Yaz",'House Rules'!$B$5,IF(J257="Rag",'House Rules'!$B$3,"Available")))))</f>
        <v>Available</v>
      </c>
      <c r="L257" s="333"/>
      <c r="M257" s="333"/>
      <c r="BF257" s="319">
        <f t="shared" si="115"/>
        <v>0</v>
      </c>
      <c r="BG257" s="340" t="s">
        <v>1143</v>
      </c>
      <c r="BI257" s="319">
        <f t="shared" si="102"/>
        <v>0</v>
      </c>
      <c r="BJ257" s="319">
        <f t="shared" si="114"/>
        <v>0</v>
      </c>
      <c r="BK257" s="319">
        <f t="shared" si="114"/>
        <v>0</v>
      </c>
      <c r="BL257" s="319">
        <f t="shared" si="114"/>
        <v>0</v>
      </c>
      <c r="BM257" s="319">
        <f t="shared" si="114"/>
        <v>0</v>
      </c>
      <c r="BN257" s="319">
        <f t="shared" si="114"/>
        <v>0</v>
      </c>
      <c r="BO257" s="319">
        <f t="shared" si="114"/>
        <v>0</v>
      </c>
      <c r="BP257" s="319">
        <f t="shared" si="114"/>
        <v>0</v>
      </c>
      <c r="BQ257" s="319">
        <f t="shared" si="114"/>
        <v>0</v>
      </c>
      <c r="BR257" s="319">
        <f t="shared" si="114"/>
        <v>0</v>
      </c>
      <c r="BS257" s="319">
        <f t="shared" si="114"/>
        <v>0</v>
      </c>
      <c r="BT257" s="319">
        <f t="shared" si="114"/>
        <v>0</v>
      </c>
      <c r="BU257" s="319">
        <f t="shared" si="114"/>
        <v>0</v>
      </c>
      <c r="BV257" s="319">
        <f t="shared" si="114"/>
        <v>0</v>
      </c>
      <c r="BW257" s="319">
        <f t="shared" si="114"/>
        <v>0</v>
      </c>
      <c r="BX257" s="319">
        <f t="shared" si="114"/>
        <v>0</v>
      </c>
      <c r="BY257" s="319">
        <f t="shared" si="114"/>
        <v>0</v>
      </c>
      <c r="BZ257" s="319">
        <f t="shared" si="114"/>
        <v>0</v>
      </c>
      <c r="CA257" s="319">
        <f t="shared" si="114"/>
        <v>0</v>
      </c>
      <c r="CB257" s="319">
        <f t="shared" si="114"/>
        <v>0</v>
      </c>
      <c r="CC257" s="319">
        <f t="shared" si="114"/>
        <v>0</v>
      </c>
      <c r="CD257" s="319">
        <f t="shared" si="114"/>
        <v>0</v>
      </c>
      <c r="CE257" s="319">
        <f t="shared" si="114"/>
        <v>0</v>
      </c>
      <c r="CF257" s="319">
        <f t="shared" si="114"/>
        <v>0</v>
      </c>
      <c r="CG257" s="319">
        <f t="shared" si="114"/>
        <v>0</v>
      </c>
      <c r="CH257" s="319">
        <f t="shared" si="114"/>
        <v>0</v>
      </c>
      <c r="CI257" s="319">
        <f t="shared" si="114"/>
        <v>0</v>
      </c>
      <c r="CJ257" s="319">
        <f t="shared" si="114"/>
        <v>0</v>
      </c>
      <c r="CK257" s="319">
        <f t="shared" si="114"/>
        <v>0</v>
      </c>
      <c r="CL257" s="319">
        <f t="shared" si="114"/>
        <v>0</v>
      </c>
      <c r="CM257" s="319">
        <f t="shared" si="114"/>
        <v>0</v>
      </c>
      <c r="CN257" s="319">
        <f t="shared" si="114"/>
        <v>0</v>
      </c>
      <c r="CO257" s="319">
        <f t="shared" si="114"/>
        <v>0</v>
      </c>
      <c r="CP257" s="319">
        <f t="shared" si="114"/>
        <v>0</v>
      </c>
      <c r="CQ257" s="319">
        <f t="shared" si="114"/>
        <v>0</v>
      </c>
      <c r="CR257" s="319">
        <f t="shared" si="114"/>
        <v>0</v>
      </c>
      <c r="CS257" s="319">
        <f t="shared" si="114"/>
        <v>0</v>
      </c>
      <c r="CT257" s="319">
        <f t="shared" si="114"/>
        <v>0</v>
      </c>
      <c r="CU257" s="319">
        <f t="shared" si="114"/>
        <v>0</v>
      </c>
      <c r="CV257" s="319">
        <f t="shared" si="114"/>
        <v>0</v>
      </c>
    </row>
    <row r="258" spans="1:100" x14ac:dyDescent="0.25">
      <c r="A258" s="319">
        <f t="shared" si="101"/>
        <v>0</v>
      </c>
      <c r="B258" s="319">
        <f t="shared" si="104"/>
        <v>0</v>
      </c>
      <c r="C258" s="340" t="s">
        <v>1298</v>
      </c>
      <c r="D258" s="341" t="s">
        <v>366</v>
      </c>
      <c r="E258" s="341">
        <v>8</v>
      </c>
      <c r="F258" s="341" t="str">
        <f>IF(AND(E258&lt;CharacterSheet!$V$34,'House Rules'!$B$2="available",OR('House Rules'!$B$7="Standard",AND('House Rules'!$B$7="Ranked",OR(G257="Yes",G256="Yes")))),"Yes","No")</f>
        <v>No</v>
      </c>
      <c r="G258" s="564" t="s">
        <v>347</v>
      </c>
      <c r="H258" s="333" t="str">
        <f>IF(C258="","",VLOOKUP(C258,Boonref2!A:B,2,FALSE))</f>
        <v>No</v>
      </c>
      <c r="I258" s="333"/>
      <c r="J258" s="333" t="str">
        <f>VLOOKUP(C258,BoonRef!A:Z,17,FALSE)</f>
        <v>Yes</v>
      </c>
      <c r="K258" s="333" t="str">
        <f>IF(J258="God",'House Rules'!$B$2,IF(J258="Demi",'House Rules'!$B$1,IF(J258="Comp",'House Rules'!$B$4,IF(J258="Yaz",'House Rules'!$B$5,IF(J258="Rag",'House Rules'!$B$3,"Available")))))</f>
        <v>Available</v>
      </c>
      <c r="L258" s="333"/>
      <c r="M258" s="333"/>
      <c r="BF258" s="319">
        <f t="shared" si="115"/>
        <v>0</v>
      </c>
      <c r="BG258" s="340" t="s">
        <v>1144</v>
      </c>
      <c r="BI258" s="319">
        <f t="shared" si="102"/>
        <v>0</v>
      </c>
      <c r="BJ258" s="319">
        <f t="shared" si="114"/>
        <v>0</v>
      </c>
      <c r="BK258" s="319">
        <f t="shared" si="114"/>
        <v>0</v>
      </c>
      <c r="BL258" s="319">
        <f t="shared" si="114"/>
        <v>0</v>
      </c>
      <c r="BM258" s="319">
        <f t="shared" si="114"/>
        <v>0</v>
      </c>
      <c r="BN258" s="319">
        <f t="shared" si="114"/>
        <v>0</v>
      </c>
      <c r="BO258" s="319">
        <f t="shared" si="114"/>
        <v>0</v>
      </c>
      <c r="BP258" s="319">
        <f t="shared" si="114"/>
        <v>0</v>
      </c>
      <c r="BQ258" s="319">
        <f t="shared" si="114"/>
        <v>0</v>
      </c>
      <c r="BR258" s="319">
        <f t="shared" si="114"/>
        <v>0</v>
      </c>
      <c r="BS258" s="319">
        <f t="shared" si="114"/>
        <v>0</v>
      </c>
      <c r="BT258" s="319">
        <f t="shared" si="114"/>
        <v>0</v>
      </c>
      <c r="BU258" s="319">
        <f t="shared" si="114"/>
        <v>0</v>
      </c>
      <c r="BV258" s="319">
        <f t="shared" si="114"/>
        <v>0</v>
      </c>
      <c r="BW258" s="319">
        <f t="shared" si="114"/>
        <v>0</v>
      </c>
      <c r="BX258" s="319">
        <f t="shared" si="114"/>
        <v>0</v>
      </c>
      <c r="BY258" s="319">
        <f t="shared" si="114"/>
        <v>0</v>
      </c>
      <c r="BZ258" s="319">
        <f t="shared" si="114"/>
        <v>0</v>
      </c>
      <c r="CA258" s="319">
        <f t="shared" si="114"/>
        <v>0</v>
      </c>
      <c r="CB258" s="319">
        <f t="shared" si="114"/>
        <v>0</v>
      </c>
      <c r="CC258" s="319">
        <f t="shared" si="114"/>
        <v>0</v>
      </c>
      <c r="CD258" s="319">
        <f t="shared" si="114"/>
        <v>0</v>
      </c>
      <c r="CE258" s="319">
        <f t="shared" ref="CE258:CV258" si="116">IF(AND($D258=CE$1,$G258="Yes"),$E258,0)</f>
        <v>0</v>
      </c>
      <c r="CF258" s="319">
        <f t="shared" si="116"/>
        <v>0</v>
      </c>
      <c r="CG258" s="319">
        <f t="shared" si="116"/>
        <v>0</v>
      </c>
      <c r="CH258" s="319">
        <f t="shared" si="116"/>
        <v>0</v>
      </c>
      <c r="CI258" s="319">
        <f t="shared" si="116"/>
        <v>0</v>
      </c>
      <c r="CJ258" s="319">
        <f t="shared" si="116"/>
        <v>0</v>
      </c>
      <c r="CK258" s="319">
        <f t="shared" si="116"/>
        <v>0</v>
      </c>
      <c r="CL258" s="319">
        <f t="shared" si="116"/>
        <v>0</v>
      </c>
      <c r="CM258" s="319">
        <f t="shared" si="116"/>
        <v>0</v>
      </c>
      <c r="CN258" s="319">
        <f t="shared" si="116"/>
        <v>0</v>
      </c>
      <c r="CO258" s="319">
        <f t="shared" si="116"/>
        <v>0</v>
      </c>
      <c r="CP258" s="319">
        <f t="shared" si="116"/>
        <v>0</v>
      </c>
      <c r="CQ258" s="319">
        <f t="shared" si="116"/>
        <v>0</v>
      </c>
      <c r="CR258" s="319">
        <f t="shared" si="116"/>
        <v>0</v>
      </c>
      <c r="CS258" s="319">
        <f t="shared" si="116"/>
        <v>0</v>
      </c>
      <c r="CT258" s="319">
        <f t="shared" si="116"/>
        <v>0</v>
      </c>
      <c r="CU258" s="319">
        <f t="shared" si="116"/>
        <v>0</v>
      </c>
      <c r="CV258" s="319">
        <f t="shared" si="116"/>
        <v>0</v>
      </c>
    </row>
    <row r="259" spans="1:100" x14ac:dyDescent="0.25">
      <c r="A259" s="319">
        <f t="shared" ref="A259:A318" si="117">IF(AND(H259="Yes",G259="Yes"),A258+1,A258)</f>
        <v>0</v>
      </c>
      <c r="B259" s="319">
        <f t="shared" si="104"/>
        <v>0</v>
      </c>
      <c r="C259" s="340" t="s">
        <v>2644</v>
      </c>
      <c r="D259" s="341" t="s">
        <v>366</v>
      </c>
      <c r="E259" s="341">
        <v>8</v>
      </c>
      <c r="F259" s="341" t="str">
        <f>IF(AND(E258&lt;CharacterSheet!$V$34,'House Rules'!$B$3="Available",OR('House Rules'!$B$7="Standard",AND('House Rules'!$B$7="Ranked",OR(G257="Yes",G256="Yes")))),"Yes","No")</f>
        <v>No</v>
      </c>
      <c r="G259" s="564" t="s">
        <v>347</v>
      </c>
      <c r="H259" s="333" t="str">
        <f>IF(C259="","",VLOOKUP(C259,Boonref2!A:B,2,FALSE))</f>
        <v>Yes</v>
      </c>
      <c r="I259" s="333"/>
      <c r="J259" s="333" t="str">
        <f>VLOOKUP(C259,BoonRef!A:Z,17,FALSE)</f>
        <v>Yes</v>
      </c>
      <c r="K259" s="333" t="str">
        <f>IF(J259="God",'House Rules'!$B$2,IF(J259="Demi",'House Rules'!$B$1,IF(J259="Comp",'House Rules'!$B$4,IF(J259="Yaz",'House Rules'!$B$5,IF(J259="Rag",'House Rules'!$B$3,"Available")))))</f>
        <v>Available</v>
      </c>
      <c r="L259" s="333"/>
      <c r="M259" s="333"/>
      <c r="BF259" s="319">
        <f t="shared" si="115"/>
        <v>0</v>
      </c>
      <c r="BG259" s="340" t="s">
        <v>1145</v>
      </c>
      <c r="BI259" s="319">
        <f t="shared" ref="BI259:BX322" si="118">IF(AND($D259=BI$1,$G259="Yes"),$E259,0)</f>
        <v>0</v>
      </c>
      <c r="BJ259" s="319">
        <f t="shared" si="118"/>
        <v>0</v>
      </c>
      <c r="BK259" s="319">
        <f t="shared" si="118"/>
        <v>0</v>
      </c>
      <c r="BL259" s="319">
        <f t="shared" si="118"/>
        <v>0</v>
      </c>
      <c r="BM259" s="319">
        <f t="shared" si="118"/>
        <v>0</v>
      </c>
      <c r="BN259" s="319">
        <f t="shared" si="118"/>
        <v>0</v>
      </c>
      <c r="BO259" s="319">
        <f t="shared" si="118"/>
        <v>0</v>
      </c>
      <c r="BP259" s="319">
        <f t="shared" si="118"/>
        <v>0</v>
      </c>
      <c r="BQ259" s="319">
        <f t="shared" si="118"/>
        <v>0</v>
      </c>
      <c r="BR259" s="319">
        <f t="shared" si="118"/>
        <v>0</v>
      </c>
      <c r="BS259" s="319">
        <f t="shared" si="118"/>
        <v>0</v>
      </c>
      <c r="BT259" s="319">
        <f t="shared" si="118"/>
        <v>0</v>
      </c>
      <c r="BU259" s="319">
        <f t="shared" si="118"/>
        <v>0</v>
      </c>
      <c r="BV259" s="319">
        <f t="shared" si="118"/>
        <v>0</v>
      </c>
      <c r="BW259" s="319">
        <f t="shared" si="118"/>
        <v>0</v>
      </c>
      <c r="BX259" s="319">
        <f t="shared" si="118"/>
        <v>0</v>
      </c>
      <c r="BY259" s="319">
        <f t="shared" ref="BJ259:CV265" si="119">IF(AND($D259=BY$1,$G259="Yes"),$E259,0)</f>
        <v>0</v>
      </c>
      <c r="BZ259" s="319">
        <f t="shared" si="119"/>
        <v>0</v>
      </c>
      <c r="CA259" s="319">
        <f t="shared" si="119"/>
        <v>0</v>
      </c>
      <c r="CB259" s="319">
        <f t="shared" si="119"/>
        <v>0</v>
      </c>
      <c r="CC259" s="319">
        <f t="shared" si="119"/>
        <v>0</v>
      </c>
      <c r="CD259" s="319">
        <f t="shared" si="119"/>
        <v>0</v>
      </c>
      <c r="CE259" s="319">
        <f t="shared" si="119"/>
        <v>0</v>
      </c>
      <c r="CF259" s="319">
        <f t="shared" si="119"/>
        <v>0</v>
      </c>
      <c r="CG259" s="319">
        <f t="shared" si="119"/>
        <v>0</v>
      </c>
      <c r="CH259" s="319">
        <f t="shared" si="119"/>
        <v>0</v>
      </c>
      <c r="CI259" s="319">
        <f t="shared" si="119"/>
        <v>0</v>
      </c>
      <c r="CJ259" s="319">
        <f t="shared" si="119"/>
        <v>0</v>
      </c>
      <c r="CK259" s="319">
        <f t="shared" si="119"/>
        <v>0</v>
      </c>
      <c r="CL259" s="319">
        <f t="shared" si="119"/>
        <v>0</v>
      </c>
      <c r="CM259" s="319">
        <f t="shared" si="119"/>
        <v>0</v>
      </c>
      <c r="CN259" s="319">
        <f t="shared" si="119"/>
        <v>0</v>
      </c>
      <c r="CO259" s="319">
        <f t="shared" si="119"/>
        <v>0</v>
      </c>
      <c r="CP259" s="319">
        <f t="shared" si="119"/>
        <v>0</v>
      </c>
      <c r="CQ259" s="319">
        <f t="shared" si="119"/>
        <v>0</v>
      </c>
      <c r="CR259" s="319">
        <f t="shared" si="119"/>
        <v>0</v>
      </c>
      <c r="CS259" s="319">
        <f t="shared" si="119"/>
        <v>0</v>
      </c>
      <c r="CT259" s="319">
        <f t="shared" si="119"/>
        <v>0</v>
      </c>
      <c r="CU259" s="319">
        <f t="shared" si="119"/>
        <v>0</v>
      </c>
      <c r="CV259" s="319">
        <f t="shared" si="119"/>
        <v>0</v>
      </c>
    </row>
    <row r="260" spans="1:100" x14ac:dyDescent="0.25">
      <c r="A260" s="319">
        <f t="shared" si="117"/>
        <v>0</v>
      </c>
      <c r="B260" s="319">
        <f t="shared" si="104"/>
        <v>0</v>
      </c>
      <c r="C260" s="340" t="s">
        <v>1299</v>
      </c>
      <c r="D260" s="341" t="s">
        <v>366</v>
      </c>
      <c r="E260" s="341">
        <v>9</v>
      </c>
      <c r="F260" s="341" t="str">
        <f>IF(AND(E260&lt;CharacterSheet!$V$34,'House Rules'!$B$2="available",OR('House Rules'!$B$7="Standard",AND('House Rules'!$B$7="Ranked",OR(G258="Yes",G259="Yes")))),"Yes","No")</f>
        <v>No</v>
      </c>
      <c r="G260" s="564" t="s">
        <v>347</v>
      </c>
      <c r="H260" s="333" t="str">
        <f>IF(C260="","",VLOOKUP(C260,Boonref2!A:B,2,FALSE))</f>
        <v>Yes</v>
      </c>
      <c r="I260" s="333"/>
      <c r="J260" s="333" t="str">
        <f>VLOOKUP(C260,BoonRef!A:Z,17,FALSE)</f>
        <v>Yes</v>
      </c>
      <c r="K260" s="333" t="str">
        <f>IF(J260="God",'House Rules'!$B$2,IF(J260="Demi",'House Rules'!$B$1,IF(J260="Comp",'House Rules'!$B$4,IF(J260="Yaz",'House Rules'!$B$5,IF(J260="Rag",'House Rules'!$B$3,"Available")))))</f>
        <v>Available</v>
      </c>
      <c r="L260" s="333"/>
      <c r="M260" s="333"/>
      <c r="BF260" s="319">
        <f t="shared" si="115"/>
        <v>0</v>
      </c>
      <c r="BG260" s="340" t="s">
        <v>1146</v>
      </c>
      <c r="BI260" s="319">
        <f t="shared" si="118"/>
        <v>0</v>
      </c>
      <c r="BJ260" s="319">
        <f t="shared" si="119"/>
        <v>0</v>
      </c>
      <c r="BK260" s="319">
        <f t="shared" si="119"/>
        <v>0</v>
      </c>
      <c r="BL260" s="319">
        <f t="shared" si="119"/>
        <v>0</v>
      </c>
      <c r="BM260" s="319">
        <f t="shared" si="119"/>
        <v>0</v>
      </c>
      <c r="BN260" s="319">
        <f t="shared" si="119"/>
        <v>0</v>
      </c>
      <c r="BO260" s="319">
        <f t="shared" si="119"/>
        <v>0</v>
      </c>
      <c r="BP260" s="319">
        <f t="shared" si="119"/>
        <v>0</v>
      </c>
      <c r="BQ260" s="319">
        <f t="shared" si="119"/>
        <v>0</v>
      </c>
      <c r="BR260" s="319">
        <f t="shared" si="119"/>
        <v>0</v>
      </c>
      <c r="BS260" s="319">
        <f t="shared" si="119"/>
        <v>0</v>
      </c>
      <c r="BT260" s="319">
        <f t="shared" si="119"/>
        <v>0</v>
      </c>
      <c r="BU260" s="319">
        <f t="shared" si="119"/>
        <v>0</v>
      </c>
      <c r="BV260" s="319">
        <f t="shared" si="119"/>
        <v>0</v>
      </c>
      <c r="BW260" s="319">
        <f t="shared" si="119"/>
        <v>0</v>
      </c>
      <c r="BX260" s="319">
        <f t="shared" si="119"/>
        <v>0</v>
      </c>
      <c r="BY260" s="319">
        <f t="shared" si="119"/>
        <v>0</v>
      </c>
      <c r="BZ260" s="319">
        <f t="shared" si="119"/>
        <v>0</v>
      </c>
      <c r="CA260" s="319">
        <f t="shared" si="119"/>
        <v>0</v>
      </c>
      <c r="CB260" s="319">
        <f t="shared" si="119"/>
        <v>0</v>
      </c>
      <c r="CC260" s="319">
        <f t="shared" si="119"/>
        <v>0</v>
      </c>
      <c r="CD260" s="319">
        <f t="shared" si="119"/>
        <v>0</v>
      </c>
      <c r="CE260" s="319">
        <f t="shared" si="119"/>
        <v>0</v>
      </c>
      <c r="CF260" s="319">
        <f t="shared" si="119"/>
        <v>0</v>
      </c>
      <c r="CG260" s="319">
        <f t="shared" si="119"/>
        <v>0</v>
      </c>
      <c r="CH260" s="319">
        <f t="shared" si="119"/>
        <v>0</v>
      </c>
      <c r="CI260" s="319">
        <f t="shared" si="119"/>
        <v>0</v>
      </c>
      <c r="CJ260" s="319">
        <f t="shared" si="119"/>
        <v>0</v>
      </c>
      <c r="CK260" s="319">
        <f t="shared" si="119"/>
        <v>0</v>
      </c>
      <c r="CL260" s="319">
        <f t="shared" si="119"/>
        <v>0</v>
      </c>
      <c r="CM260" s="319">
        <f t="shared" si="119"/>
        <v>0</v>
      </c>
      <c r="CN260" s="319">
        <f t="shared" si="119"/>
        <v>0</v>
      </c>
      <c r="CO260" s="319">
        <f t="shared" si="119"/>
        <v>0</v>
      </c>
      <c r="CP260" s="319">
        <f t="shared" si="119"/>
        <v>0</v>
      </c>
      <c r="CQ260" s="319">
        <f t="shared" si="119"/>
        <v>0</v>
      </c>
      <c r="CR260" s="319">
        <f t="shared" si="119"/>
        <v>0</v>
      </c>
      <c r="CS260" s="319">
        <f t="shared" si="119"/>
        <v>0</v>
      </c>
      <c r="CT260" s="319">
        <f t="shared" si="119"/>
        <v>0</v>
      </c>
      <c r="CU260" s="319">
        <f t="shared" si="119"/>
        <v>0</v>
      </c>
      <c r="CV260" s="319">
        <f t="shared" si="119"/>
        <v>0</v>
      </c>
    </row>
    <row r="261" spans="1:100" x14ac:dyDescent="0.25">
      <c r="A261" s="319">
        <f t="shared" si="117"/>
        <v>0</v>
      </c>
      <c r="B261" s="319">
        <f t="shared" si="104"/>
        <v>0</v>
      </c>
      <c r="C261" s="340" t="s">
        <v>1300</v>
      </c>
      <c r="D261" s="341" t="s">
        <v>366</v>
      </c>
      <c r="E261" s="341">
        <v>10</v>
      </c>
      <c r="F261" s="341" t="str">
        <f>IF(AND(E261&lt;CharacterSheet!$V$34,'House Rules'!$B$2="available",OR('House Rules'!$B$7="Standard",AND('House Rules'!$B$7="Ranked",G260="Yes"))),"Yes","No")</f>
        <v>No</v>
      </c>
      <c r="G261" s="564" t="s">
        <v>347</v>
      </c>
      <c r="H261" s="333" t="str">
        <f>IF(C261="","",VLOOKUP(C261,Boonref2!A:B,2,FALSE))</f>
        <v>Yes</v>
      </c>
      <c r="I261" s="333"/>
      <c r="J261" s="333" t="str">
        <f>VLOOKUP(C261,BoonRef!A:Z,17,FALSE)</f>
        <v>Yes</v>
      </c>
      <c r="K261" s="333" t="str">
        <f>IF(J261="God",'House Rules'!$B$2,IF(J261="Demi",'House Rules'!$B$1,IF(J261="Comp",'House Rules'!$B$4,IF(J261="Yaz",'House Rules'!$B$5,IF(J261="Rag",'House Rules'!$B$3,"Available")))))</f>
        <v>Available</v>
      </c>
      <c r="L261" s="333"/>
      <c r="M261" s="333"/>
      <c r="BF261" s="319">
        <f t="shared" si="115"/>
        <v>0</v>
      </c>
      <c r="BG261" s="340" t="s">
        <v>1380</v>
      </c>
      <c r="BI261" s="319">
        <f t="shared" si="118"/>
        <v>0</v>
      </c>
      <c r="BJ261" s="319">
        <f t="shared" si="119"/>
        <v>0</v>
      </c>
      <c r="BK261" s="319">
        <f t="shared" si="119"/>
        <v>0</v>
      </c>
      <c r="BL261" s="319">
        <f t="shared" si="119"/>
        <v>0</v>
      </c>
      <c r="BM261" s="319">
        <f t="shared" si="119"/>
        <v>0</v>
      </c>
      <c r="BN261" s="319">
        <f t="shared" si="119"/>
        <v>0</v>
      </c>
      <c r="BO261" s="319">
        <f t="shared" si="119"/>
        <v>0</v>
      </c>
      <c r="BP261" s="319">
        <f t="shared" si="119"/>
        <v>0</v>
      </c>
      <c r="BQ261" s="319">
        <f t="shared" si="119"/>
        <v>0</v>
      </c>
      <c r="BR261" s="319">
        <f t="shared" si="119"/>
        <v>0</v>
      </c>
      <c r="BS261" s="319">
        <f t="shared" si="119"/>
        <v>0</v>
      </c>
      <c r="BT261" s="319">
        <f t="shared" si="119"/>
        <v>0</v>
      </c>
      <c r="BU261" s="319">
        <f t="shared" si="119"/>
        <v>0</v>
      </c>
      <c r="BV261" s="319">
        <f t="shared" si="119"/>
        <v>0</v>
      </c>
      <c r="BW261" s="319">
        <f t="shared" si="119"/>
        <v>0</v>
      </c>
      <c r="BX261" s="319">
        <f t="shared" si="119"/>
        <v>0</v>
      </c>
      <c r="BY261" s="319">
        <f t="shared" si="119"/>
        <v>0</v>
      </c>
      <c r="BZ261" s="319">
        <f t="shared" si="119"/>
        <v>0</v>
      </c>
      <c r="CA261" s="319">
        <f t="shared" si="119"/>
        <v>0</v>
      </c>
      <c r="CB261" s="319">
        <f t="shared" si="119"/>
        <v>0</v>
      </c>
      <c r="CC261" s="319">
        <f t="shared" si="119"/>
        <v>0</v>
      </c>
      <c r="CD261" s="319">
        <f t="shared" si="119"/>
        <v>0</v>
      </c>
      <c r="CE261" s="319">
        <f t="shared" si="119"/>
        <v>0</v>
      </c>
      <c r="CF261" s="319">
        <f t="shared" si="119"/>
        <v>0</v>
      </c>
      <c r="CG261" s="319">
        <f t="shared" si="119"/>
        <v>0</v>
      </c>
      <c r="CH261" s="319">
        <f t="shared" si="119"/>
        <v>0</v>
      </c>
      <c r="CI261" s="319">
        <f t="shared" si="119"/>
        <v>0</v>
      </c>
      <c r="CJ261" s="319">
        <f t="shared" si="119"/>
        <v>0</v>
      </c>
      <c r="CK261" s="319">
        <f t="shared" si="119"/>
        <v>0</v>
      </c>
      <c r="CL261" s="319">
        <f t="shared" si="119"/>
        <v>0</v>
      </c>
      <c r="CM261" s="319">
        <f t="shared" si="119"/>
        <v>0</v>
      </c>
      <c r="CN261" s="319">
        <f t="shared" si="119"/>
        <v>0</v>
      </c>
      <c r="CO261" s="319">
        <f t="shared" si="119"/>
        <v>0</v>
      </c>
      <c r="CP261" s="319">
        <f t="shared" si="119"/>
        <v>0</v>
      </c>
      <c r="CQ261" s="319">
        <f t="shared" si="119"/>
        <v>0</v>
      </c>
      <c r="CR261" s="319">
        <f t="shared" si="119"/>
        <v>0</v>
      </c>
      <c r="CS261" s="319">
        <f t="shared" si="119"/>
        <v>0</v>
      </c>
      <c r="CT261" s="319">
        <f t="shared" si="119"/>
        <v>0</v>
      </c>
      <c r="CU261" s="319">
        <f t="shared" si="119"/>
        <v>0</v>
      </c>
      <c r="CV261" s="319">
        <f t="shared" si="119"/>
        <v>0</v>
      </c>
    </row>
    <row r="262" spans="1:100" ht="15.75" thickBot="1" x14ac:dyDescent="0.3">
      <c r="A262" s="319">
        <f t="shared" si="117"/>
        <v>0</v>
      </c>
      <c r="B262" s="319">
        <f t="shared" si="104"/>
        <v>0</v>
      </c>
      <c r="C262" s="352" t="s">
        <v>1301</v>
      </c>
      <c r="D262" s="353" t="s">
        <v>366</v>
      </c>
      <c r="E262" s="353">
        <v>11</v>
      </c>
      <c r="F262" s="353" t="str">
        <f>IF(AND(E25&lt;CharacterSheet!$V$34,G247="Yes",G248="Yes",G249="Yes",G255="Yes",OR(G258="Yes",G259="Yes"),G260="Yes",G261="Yes",OR(G250="Yes",G251="Yes",G252="Yes"),OR(G253="Yes",G254="Yes"),OR(G256="Yes",G257="Yes")),"Yes","No")</f>
        <v>No</v>
      </c>
      <c r="G262" s="565" t="s">
        <v>347</v>
      </c>
      <c r="H262" s="333" t="str">
        <f>IF(C262="","",VLOOKUP(C262,Boonref2!A:B,2,FALSE))</f>
        <v>No</v>
      </c>
      <c r="I262" s="333"/>
      <c r="J262" s="333" t="str">
        <f>VLOOKUP(C262,BoonRef!A:Z,17,FALSE)</f>
        <v>Yes</v>
      </c>
      <c r="K262" s="333" t="str">
        <f>IF(J262="God",'House Rules'!$B$2,IF(J262="Demi",'House Rules'!$B$1,IF(J262="Comp",'House Rules'!$B$4,IF(J262="Yaz",'House Rules'!$B$5,IF(J262="Rag",'House Rules'!$B$3,"Available")))))</f>
        <v>Available</v>
      </c>
      <c r="L262" s="333"/>
      <c r="M262" s="333"/>
      <c r="BF262" s="319">
        <f t="shared" si="115"/>
        <v>0</v>
      </c>
      <c r="BG262" s="340" t="s">
        <v>1243</v>
      </c>
      <c r="BI262" s="319">
        <f t="shared" si="118"/>
        <v>0</v>
      </c>
      <c r="BJ262" s="319">
        <f t="shared" si="119"/>
        <v>0</v>
      </c>
      <c r="BK262" s="319">
        <f t="shared" si="119"/>
        <v>0</v>
      </c>
      <c r="BL262" s="319">
        <f t="shared" si="119"/>
        <v>0</v>
      </c>
      <c r="BM262" s="319">
        <f t="shared" si="119"/>
        <v>0</v>
      </c>
      <c r="BN262" s="319">
        <f t="shared" si="119"/>
        <v>0</v>
      </c>
      <c r="BO262" s="319">
        <f t="shared" si="119"/>
        <v>0</v>
      </c>
      <c r="BP262" s="319">
        <f t="shared" si="119"/>
        <v>0</v>
      </c>
      <c r="BQ262" s="319">
        <f t="shared" si="119"/>
        <v>0</v>
      </c>
      <c r="BR262" s="319">
        <f t="shared" si="119"/>
        <v>0</v>
      </c>
      <c r="BS262" s="319">
        <f t="shared" si="119"/>
        <v>0</v>
      </c>
      <c r="BT262" s="319">
        <f t="shared" si="119"/>
        <v>0</v>
      </c>
      <c r="BU262" s="319">
        <f t="shared" si="119"/>
        <v>0</v>
      </c>
      <c r="BV262" s="319">
        <f t="shared" si="119"/>
        <v>0</v>
      </c>
      <c r="BW262" s="319">
        <f t="shared" si="119"/>
        <v>0</v>
      </c>
      <c r="BX262" s="319">
        <f t="shared" si="119"/>
        <v>0</v>
      </c>
      <c r="BY262" s="319">
        <f t="shared" si="119"/>
        <v>0</v>
      </c>
      <c r="BZ262" s="319">
        <f t="shared" si="119"/>
        <v>0</v>
      </c>
      <c r="CA262" s="319">
        <f t="shared" si="119"/>
        <v>0</v>
      </c>
      <c r="CB262" s="319">
        <f t="shared" si="119"/>
        <v>0</v>
      </c>
      <c r="CC262" s="319">
        <f t="shared" si="119"/>
        <v>0</v>
      </c>
      <c r="CD262" s="319">
        <f t="shared" si="119"/>
        <v>0</v>
      </c>
      <c r="CE262" s="319">
        <f t="shared" si="119"/>
        <v>0</v>
      </c>
      <c r="CF262" s="319">
        <f t="shared" si="119"/>
        <v>0</v>
      </c>
      <c r="CG262" s="319">
        <f t="shared" si="119"/>
        <v>0</v>
      </c>
      <c r="CH262" s="319">
        <f t="shared" si="119"/>
        <v>0</v>
      </c>
      <c r="CI262" s="319">
        <f t="shared" si="119"/>
        <v>0</v>
      </c>
      <c r="CJ262" s="319">
        <f t="shared" si="119"/>
        <v>0</v>
      </c>
      <c r="CK262" s="319">
        <f t="shared" si="119"/>
        <v>0</v>
      </c>
      <c r="CL262" s="319">
        <f t="shared" si="119"/>
        <v>0</v>
      </c>
      <c r="CM262" s="319">
        <f t="shared" si="119"/>
        <v>0</v>
      </c>
      <c r="CN262" s="319">
        <f t="shared" si="119"/>
        <v>0</v>
      </c>
      <c r="CO262" s="319">
        <f t="shared" si="119"/>
        <v>0</v>
      </c>
      <c r="CP262" s="319">
        <f t="shared" si="119"/>
        <v>0</v>
      </c>
      <c r="CQ262" s="319">
        <f t="shared" si="119"/>
        <v>0</v>
      </c>
      <c r="CR262" s="319">
        <f t="shared" si="119"/>
        <v>0</v>
      </c>
      <c r="CS262" s="319">
        <f t="shared" si="119"/>
        <v>0</v>
      </c>
      <c r="CT262" s="319">
        <f t="shared" si="119"/>
        <v>0</v>
      </c>
      <c r="CU262" s="319">
        <f t="shared" si="119"/>
        <v>0</v>
      </c>
      <c r="CV262" s="319">
        <f t="shared" si="119"/>
        <v>0</v>
      </c>
    </row>
    <row r="263" spans="1:100" x14ac:dyDescent="0.25">
      <c r="A263" s="319">
        <f t="shared" si="117"/>
        <v>0</v>
      </c>
      <c r="B263" s="319">
        <f t="shared" si="104"/>
        <v>0</v>
      </c>
      <c r="C263" s="330" t="s">
        <v>1409</v>
      </c>
      <c r="D263" s="331" t="s">
        <v>367</v>
      </c>
      <c r="E263" s="331">
        <v>1</v>
      </c>
      <c r="F263" s="331" t="str">
        <f>IF(AND(E263&lt;CharacterSheet!$V$34,'House Rules'!$B$4="Available"),"Yes","No")</f>
        <v>Yes</v>
      </c>
      <c r="G263" s="563" t="s">
        <v>347</v>
      </c>
      <c r="H263" s="333" t="str">
        <f>IF(C263="","",VLOOKUP(C263,Boonref2!A:B,2,FALSE))</f>
        <v>No</v>
      </c>
      <c r="I263" s="333"/>
      <c r="J263" s="333" t="str">
        <f>VLOOKUP(C263,BoonRef!A:Z,17,FALSE)</f>
        <v>Yes</v>
      </c>
      <c r="K263" s="333" t="str">
        <f>IF(J263="God",'House Rules'!$B$2,IF(J263="Demi",'House Rules'!$B$1,IF(J263="Comp",'House Rules'!$B$4,IF(J263="Yaz",'House Rules'!$B$5,IF(J263="Rag",'House Rules'!$B$3,"Available")))))</f>
        <v>Available</v>
      </c>
      <c r="L263" s="333"/>
      <c r="M263" s="333"/>
      <c r="BF263" s="319">
        <f t="shared" si="115"/>
        <v>0</v>
      </c>
      <c r="BG263" s="566" t="s">
        <v>2628</v>
      </c>
      <c r="BI263" s="319">
        <f t="shared" si="118"/>
        <v>0</v>
      </c>
      <c r="BJ263" s="319">
        <f t="shared" si="119"/>
        <v>0</v>
      </c>
      <c r="BK263" s="319">
        <f t="shared" si="119"/>
        <v>0</v>
      </c>
      <c r="BL263" s="319">
        <f t="shared" si="119"/>
        <v>0</v>
      </c>
      <c r="BM263" s="319">
        <f t="shared" si="119"/>
        <v>0</v>
      </c>
      <c r="BN263" s="319">
        <f t="shared" si="119"/>
        <v>0</v>
      </c>
      <c r="BO263" s="319">
        <f t="shared" si="119"/>
        <v>0</v>
      </c>
      <c r="BP263" s="319">
        <f t="shared" si="119"/>
        <v>0</v>
      </c>
      <c r="BQ263" s="319">
        <f t="shared" si="119"/>
        <v>0</v>
      </c>
      <c r="BR263" s="319">
        <f t="shared" si="119"/>
        <v>0</v>
      </c>
      <c r="BS263" s="319">
        <f t="shared" si="119"/>
        <v>0</v>
      </c>
      <c r="BT263" s="319">
        <f t="shared" si="119"/>
        <v>0</v>
      </c>
      <c r="BU263" s="319">
        <f t="shared" si="119"/>
        <v>0</v>
      </c>
      <c r="BV263" s="319">
        <f t="shared" si="119"/>
        <v>0</v>
      </c>
      <c r="BW263" s="319">
        <f t="shared" si="119"/>
        <v>0</v>
      </c>
      <c r="BX263" s="319">
        <f t="shared" si="119"/>
        <v>0</v>
      </c>
      <c r="BY263" s="319">
        <f t="shared" si="119"/>
        <v>0</v>
      </c>
      <c r="BZ263" s="319">
        <f t="shared" si="119"/>
        <v>0</v>
      </c>
      <c r="CA263" s="319">
        <f t="shared" si="119"/>
        <v>0</v>
      </c>
      <c r="CB263" s="319">
        <f t="shared" si="119"/>
        <v>0</v>
      </c>
      <c r="CC263" s="319">
        <f t="shared" si="119"/>
        <v>0</v>
      </c>
      <c r="CD263" s="319">
        <f t="shared" si="119"/>
        <v>0</v>
      </c>
      <c r="CE263" s="319">
        <f t="shared" si="119"/>
        <v>0</v>
      </c>
      <c r="CF263" s="319">
        <f t="shared" si="119"/>
        <v>0</v>
      </c>
      <c r="CG263" s="319">
        <f t="shared" si="119"/>
        <v>0</v>
      </c>
      <c r="CH263" s="319">
        <f t="shared" si="119"/>
        <v>0</v>
      </c>
      <c r="CI263" s="319">
        <f t="shared" si="119"/>
        <v>0</v>
      </c>
      <c r="CJ263" s="319">
        <f t="shared" si="119"/>
        <v>0</v>
      </c>
      <c r="CK263" s="319">
        <f t="shared" si="119"/>
        <v>0</v>
      </c>
      <c r="CL263" s="319">
        <f t="shared" si="119"/>
        <v>0</v>
      </c>
      <c r="CM263" s="319">
        <f t="shared" si="119"/>
        <v>0</v>
      </c>
      <c r="CN263" s="319">
        <f t="shared" si="119"/>
        <v>0</v>
      </c>
      <c r="CO263" s="319">
        <f t="shared" si="119"/>
        <v>0</v>
      </c>
      <c r="CP263" s="319">
        <f t="shared" si="119"/>
        <v>0</v>
      </c>
      <c r="CQ263" s="319">
        <f t="shared" si="119"/>
        <v>0</v>
      </c>
      <c r="CR263" s="319">
        <f t="shared" si="119"/>
        <v>0</v>
      </c>
      <c r="CS263" s="319">
        <f t="shared" si="119"/>
        <v>0</v>
      </c>
      <c r="CT263" s="319">
        <f t="shared" si="119"/>
        <v>0</v>
      </c>
      <c r="CU263" s="319">
        <f t="shared" si="119"/>
        <v>0</v>
      </c>
      <c r="CV263" s="319">
        <f t="shared" si="119"/>
        <v>0</v>
      </c>
    </row>
    <row r="264" spans="1:100" x14ac:dyDescent="0.25">
      <c r="A264" s="319">
        <f t="shared" si="117"/>
        <v>0</v>
      </c>
      <c r="B264" s="319">
        <f t="shared" si="104"/>
        <v>0</v>
      </c>
      <c r="C264" s="340" t="s">
        <v>1109</v>
      </c>
      <c r="D264" s="341" t="s">
        <v>367</v>
      </c>
      <c r="E264" s="341">
        <v>1</v>
      </c>
      <c r="F264" s="341" t="str">
        <f>IF(AND(E264&lt;CharacterSheet!$V$34,OR('House Rules'!$B$7="Standard",AND('House Rules'!$B$7="Ranked",G263="Yes"))),"Yes","No")</f>
        <v>Yes</v>
      </c>
      <c r="G264" s="564" t="s">
        <v>347</v>
      </c>
      <c r="H264" s="333" t="str">
        <f>IF(C264="","",VLOOKUP(C264,Boonref2!A:B,2,FALSE))</f>
        <v>No</v>
      </c>
      <c r="I264" s="333"/>
      <c r="J264" s="333" t="str">
        <f>VLOOKUP(C264,BoonRef!A:Z,17,FALSE)</f>
        <v>Yes</v>
      </c>
      <c r="K264" s="333" t="str">
        <f>IF(J264="God",'House Rules'!$B$2,IF(J264="Demi",'House Rules'!$B$1,IF(J264="Comp",'House Rules'!$B$4,IF(J264="Yaz",'House Rules'!$B$5,IF(J264="Rag",'House Rules'!$B$3,"Available")))))</f>
        <v>Available</v>
      </c>
      <c r="L264" s="333"/>
      <c r="M264" s="333"/>
      <c r="BF264" s="319">
        <f t="shared" si="115"/>
        <v>0</v>
      </c>
      <c r="BG264" s="340" t="s">
        <v>1244</v>
      </c>
      <c r="BI264" s="319">
        <f t="shared" si="118"/>
        <v>0</v>
      </c>
      <c r="BJ264" s="319">
        <f t="shared" si="119"/>
        <v>0</v>
      </c>
      <c r="BK264" s="319">
        <f t="shared" si="119"/>
        <v>0</v>
      </c>
      <c r="BL264" s="319">
        <f t="shared" si="119"/>
        <v>0</v>
      </c>
      <c r="BM264" s="319">
        <f t="shared" si="119"/>
        <v>0</v>
      </c>
      <c r="BN264" s="319">
        <f t="shared" si="119"/>
        <v>0</v>
      </c>
      <c r="BO264" s="319">
        <f t="shared" si="119"/>
        <v>0</v>
      </c>
      <c r="BP264" s="319">
        <f t="shared" si="119"/>
        <v>0</v>
      </c>
      <c r="BQ264" s="319">
        <f t="shared" si="119"/>
        <v>0</v>
      </c>
      <c r="BR264" s="319">
        <f t="shared" si="119"/>
        <v>0</v>
      </c>
      <c r="BS264" s="319">
        <f t="shared" si="119"/>
        <v>0</v>
      </c>
      <c r="BT264" s="319">
        <f t="shared" si="119"/>
        <v>0</v>
      </c>
      <c r="BU264" s="319">
        <f t="shared" si="119"/>
        <v>0</v>
      </c>
      <c r="BV264" s="319">
        <f t="shared" si="119"/>
        <v>0</v>
      </c>
      <c r="BW264" s="319">
        <f t="shared" si="119"/>
        <v>0</v>
      </c>
      <c r="BX264" s="319">
        <f t="shared" si="119"/>
        <v>0</v>
      </c>
      <c r="BY264" s="319">
        <f t="shared" si="119"/>
        <v>0</v>
      </c>
      <c r="BZ264" s="319">
        <f t="shared" si="119"/>
        <v>0</v>
      </c>
      <c r="CA264" s="319">
        <f t="shared" si="119"/>
        <v>0</v>
      </c>
      <c r="CB264" s="319">
        <f t="shared" si="119"/>
        <v>0</v>
      </c>
      <c r="CC264" s="319">
        <f t="shared" si="119"/>
        <v>0</v>
      </c>
      <c r="CD264" s="319">
        <f t="shared" si="119"/>
        <v>0</v>
      </c>
      <c r="CE264" s="319">
        <f t="shared" si="119"/>
        <v>0</v>
      </c>
      <c r="CF264" s="319">
        <f t="shared" si="119"/>
        <v>0</v>
      </c>
      <c r="CG264" s="319">
        <f t="shared" si="119"/>
        <v>0</v>
      </c>
      <c r="CH264" s="319">
        <f t="shared" si="119"/>
        <v>0</v>
      </c>
      <c r="CI264" s="319">
        <f t="shared" si="119"/>
        <v>0</v>
      </c>
      <c r="CJ264" s="319">
        <f t="shared" si="119"/>
        <v>0</v>
      </c>
      <c r="CK264" s="319">
        <f t="shared" si="119"/>
        <v>0</v>
      </c>
      <c r="CL264" s="319">
        <f t="shared" si="119"/>
        <v>0</v>
      </c>
      <c r="CM264" s="319">
        <f t="shared" si="119"/>
        <v>0</v>
      </c>
      <c r="CN264" s="319">
        <f t="shared" si="119"/>
        <v>0</v>
      </c>
      <c r="CO264" s="319">
        <f t="shared" si="119"/>
        <v>0</v>
      </c>
      <c r="CP264" s="319">
        <f t="shared" si="119"/>
        <v>0</v>
      </c>
      <c r="CQ264" s="319">
        <f t="shared" si="119"/>
        <v>0</v>
      </c>
      <c r="CR264" s="319">
        <f t="shared" si="119"/>
        <v>0</v>
      </c>
      <c r="CS264" s="319">
        <f t="shared" si="119"/>
        <v>0</v>
      </c>
      <c r="CT264" s="319">
        <f t="shared" si="119"/>
        <v>0</v>
      </c>
      <c r="CU264" s="319">
        <f t="shared" si="119"/>
        <v>0</v>
      </c>
      <c r="CV264" s="319">
        <f t="shared" si="119"/>
        <v>0</v>
      </c>
    </row>
    <row r="265" spans="1:100" x14ac:dyDescent="0.25">
      <c r="A265" s="319">
        <f t="shared" si="117"/>
        <v>0</v>
      </c>
      <c r="B265" s="319">
        <f t="shared" si="104"/>
        <v>0</v>
      </c>
      <c r="C265" s="340" t="s">
        <v>1110</v>
      </c>
      <c r="D265" s="341" t="s">
        <v>367</v>
      </c>
      <c r="E265" s="341">
        <v>2</v>
      </c>
      <c r="F265" s="341" t="str">
        <f>IF(AND(E265&lt;CharacterSheet!$V$34,OR('House Rules'!$B$7="Standard",AND('House Rules'!$B$7="Ranked",OR(G264="Yes",G263="Yes")))),"Yes","No")</f>
        <v>No</v>
      </c>
      <c r="G265" s="564" t="s">
        <v>347</v>
      </c>
      <c r="H265" s="333" t="str">
        <f>IF(C265="","",VLOOKUP(C265,Boonref2!A:B,2,FALSE))</f>
        <v>Yes</v>
      </c>
      <c r="I265" s="333"/>
      <c r="J265" s="333" t="str">
        <f>VLOOKUP(C265,BoonRef!A:Z,17,FALSE)</f>
        <v>Yes</v>
      </c>
      <c r="K265" s="333" t="str">
        <f>IF(J265="God",'House Rules'!$B$2,IF(J265="Demi",'House Rules'!$B$1,IF(J265="Comp",'House Rules'!$B$4,IF(J265="Yaz",'House Rules'!$B$5,IF(J265="Rag",'House Rules'!$B$3,"Available")))))</f>
        <v>Available</v>
      </c>
      <c r="L265" s="333"/>
      <c r="M265" s="333"/>
      <c r="BF265" s="319">
        <f t="shared" si="115"/>
        <v>0</v>
      </c>
      <c r="BG265" s="340" t="s">
        <v>1245</v>
      </c>
      <c r="BI265" s="319">
        <f t="shared" si="118"/>
        <v>0</v>
      </c>
      <c r="BJ265" s="319">
        <f t="shared" si="119"/>
        <v>0</v>
      </c>
      <c r="BK265" s="319">
        <f t="shared" si="119"/>
        <v>0</v>
      </c>
      <c r="BL265" s="319">
        <f t="shared" si="119"/>
        <v>0</v>
      </c>
      <c r="BM265" s="319">
        <f t="shared" si="119"/>
        <v>0</v>
      </c>
      <c r="BN265" s="319">
        <f t="shared" si="119"/>
        <v>0</v>
      </c>
      <c r="BO265" s="319">
        <f t="shared" si="119"/>
        <v>0</v>
      </c>
      <c r="BP265" s="319">
        <f t="shared" si="119"/>
        <v>0</v>
      </c>
      <c r="BQ265" s="319">
        <f t="shared" si="119"/>
        <v>0</v>
      </c>
      <c r="BR265" s="319">
        <f t="shared" si="119"/>
        <v>0</v>
      </c>
      <c r="BS265" s="319">
        <f t="shared" si="119"/>
        <v>0</v>
      </c>
      <c r="BT265" s="319">
        <f t="shared" si="119"/>
        <v>0</v>
      </c>
      <c r="BU265" s="319">
        <f t="shared" si="119"/>
        <v>0</v>
      </c>
      <c r="BV265" s="319">
        <f t="shared" si="119"/>
        <v>0</v>
      </c>
      <c r="BW265" s="319">
        <f t="shared" si="119"/>
        <v>0</v>
      </c>
      <c r="BX265" s="319">
        <f t="shared" si="119"/>
        <v>0</v>
      </c>
      <c r="BY265" s="319">
        <f t="shared" si="119"/>
        <v>0</v>
      </c>
      <c r="BZ265" s="319">
        <f t="shared" si="119"/>
        <v>0</v>
      </c>
      <c r="CA265" s="319">
        <f t="shared" si="119"/>
        <v>0</v>
      </c>
      <c r="CB265" s="319">
        <f t="shared" si="119"/>
        <v>0</v>
      </c>
      <c r="CC265" s="319">
        <f t="shared" si="119"/>
        <v>0</v>
      </c>
      <c r="CD265" s="319">
        <f t="shared" si="119"/>
        <v>0</v>
      </c>
      <c r="CE265" s="319">
        <f t="shared" si="119"/>
        <v>0</v>
      </c>
      <c r="CF265" s="319">
        <f t="shared" si="119"/>
        <v>0</v>
      </c>
      <c r="CG265" s="319">
        <f t="shared" si="119"/>
        <v>0</v>
      </c>
      <c r="CH265" s="319">
        <f t="shared" si="119"/>
        <v>0</v>
      </c>
      <c r="CI265" s="319">
        <f t="shared" si="119"/>
        <v>0</v>
      </c>
      <c r="CJ265" s="319">
        <f t="shared" si="119"/>
        <v>0</v>
      </c>
      <c r="CK265" s="319">
        <f t="shared" si="119"/>
        <v>0</v>
      </c>
      <c r="CL265" s="319">
        <f t="shared" si="119"/>
        <v>0</v>
      </c>
      <c r="CM265" s="319">
        <f t="shared" si="119"/>
        <v>0</v>
      </c>
      <c r="CN265" s="319">
        <f t="shared" si="119"/>
        <v>0</v>
      </c>
      <c r="CO265" s="319">
        <f t="shared" si="119"/>
        <v>0</v>
      </c>
      <c r="CP265" s="319">
        <f t="shared" si="119"/>
        <v>0</v>
      </c>
      <c r="CQ265" s="319">
        <f t="shared" si="119"/>
        <v>0</v>
      </c>
      <c r="CR265" s="319">
        <f t="shared" si="119"/>
        <v>0</v>
      </c>
      <c r="CS265" s="319">
        <f t="shared" si="119"/>
        <v>0</v>
      </c>
      <c r="CT265" s="319">
        <f t="shared" ref="BJ265:CV272" si="120">IF(AND($D265=CT$1,$G265="Yes"),$E265,0)</f>
        <v>0</v>
      </c>
      <c r="CU265" s="319">
        <f t="shared" si="120"/>
        <v>0</v>
      </c>
      <c r="CV265" s="319">
        <f t="shared" si="120"/>
        <v>0</v>
      </c>
    </row>
    <row r="266" spans="1:100" ht="15.75" thickBot="1" x14ac:dyDescent="0.3">
      <c r="A266" s="319">
        <f t="shared" si="117"/>
        <v>0</v>
      </c>
      <c r="B266" s="319">
        <f t="shared" si="104"/>
        <v>0</v>
      </c>
      <c r="C266" s="340" t="s">
        <v>1111</v>
      </c>
      <c r="D266" s="341" t="s">
        <v>367</v>
      </c>
      <c r="E266" s="341">
        <v>3</v>
      </c>
      <c r="F266" s="341" t="str">
        <f>IF(AND(E266&lt;CharacterSheet!$V$34,OR('House Rules'!$B$7="Standard",AND('House Rules'!$B$7="Ranked",G265="Yes"))),"Yes","No")</f>
        <v>No</v>
      </c>
      <c r="G266" s="564" t="s">
        <v>347</v>
      </c>
      <c r="H266" s="333" t="str">
        <f>IF(C266="","",VLOOKUP(C266,Boonref2!A:B,2,FALSE))</f>
        <v>Yes</v>
      </c>
      <c r="I266" s="333"/>
      <c r="J266" s="333" t="str">
        <f>VLOOKUP(C266,BoonRef!A:Z,17,FALSE)</f>
        <v>Yes</v>
      </c>
      <c r="K266" s="333" t="str">
        <f>IF(J266="God",'House Rules'!$B$2,IF(J266="Demi",'House Rules'!$B$1,IF(J266="Comp",'House Rules'!$B$4,IF(J266="Yaz",'House Rules'!$B$5,IF(J266="Rag",'House Rules'!$B$3,"Available")))))</f>
        <v>Available</v>
      </c>
      <c r="L266" s="333"/>
      <c r="M266" s="333"/>
      <c r="BF266" s="319">
        <f t="shared" si="115"/>
        <v>0</v>
      </c>
      <c r="BG266" s="352" t="s">
        <v>1246</v>
      </c>
      <c r="BI266" s="319">
        <f t="shared" si="118"/>
        <v>0</v>
      </c>
      <c r="BJ266" s="319">
        <f t="shared" si="120"/>
        <v>0</v>
      </c>
      <c r="BK266" s="319">
        <f t="shared" si="120"/>
        <v>0</v>
      </c>
      <c r="BL266" s="319">
        <f t="shared" si="120"/>
        <v>0</v>
      </c>
      <c r="BM266" s="319">
        <f t="shared" si="120"/>
        <v>0</v>
      </c>
      <c r="BN266" s="319">
        <f t="shared" si="120"/>
        <v>0</v>
      </c>
      <c r="BO266" s="319">
        <f t="shared" si="120"/>
        <v>0</v>
      </c>
      <c r="BP266" s="319">
        <f t="shared" si="120"/>
        <v>0</v>
      </c>
      <c r="BQ266" s="319">
        <f t="shared" si="120"/>
        <v>0</v>
      </c>
      <c r="BR266" s="319">
        <f t="shared" si="120"/>
        <v>0</v>
      </c>
      <c r="BS266" s="319">
        <f t="shared" si="120"/>
        <v>0</v>
      </c>
      <c r="BT266" s="319">
        <f t="shared" si="120"/>
        <v>0</v>
      </c>
      <c r="BU266" s="319">
        <f t="shared" si="120"/>
        <v>0</v>
      </c>
      <c r="BV266" s="319">
        <f t="shared" si="120"/>
        <v>0</v>
      </c>
      <c r="BW266" s="319">
        <f t="shared" si="120"/>
        <v>0</v>
      </c>
      <c r="BX266" s="319">
        <f t="shared" si="120"/>
        <v>0</v>
      </c>
      <c r="BY266" s="319">
        <f t="shared" si="120"/>
        <v>0</v>
      </c>
      <c r="BZ266" s="319">
        <f t="shared" si="120"/>
        <v>0</v>
      </c>
      <c r="CA266" s="319">
        <f t="shared" si="120"/>
        <v>0</v>
      </c>
      <c r="CB266" s="319">
        <f t="shared" si="120"/>
        <v>0</v>
      </c>
      <c r="CC266" s="319">
        <f t="shared" si="120"/>
        <v>0</v>
      </c>
      <c r="CD266" s="319">
        <f t="shared" si="120"/>
        <v>0</v>
      </c>
      <c r="CE266" s="319">
        <f t="shared" si="120"/>
        <v>0</v>
      </c>
      <c r="CF266" s="319">
        <f t="shared" si="120"/>
        <v>0</v>
      </c>
      <c r="CG266" s="319">
        <f t="shared" si="120"/>
        <v>0</v>
      </c>
      <c r="CH266" s="319">
        <f t="shared" si="120"/>
        <v>0</v>
      </c>
      <c r="CI266" s="319">
        <f t="shared" si="120"/>
        <v>0</v>
      </c>
      <c r="CJ266" s="319">
        <f t="shared" si="120"/>
        <v>0</v>
      </c>
      <c r="CK266" s="319">
        <f t="shared" si="120"/>
        <v>0</v>
      </c>
      <c r="CL266" s="319">
        <f t="shared" si="120"/>
        <v>0</v>
      </c>
      <c r="CM266" s="319">
        <f t="shared" si="120"/>
        <v>0</v>
      </c>
      <c r="CN266" s="319">
        <f t="shared" si="120"/>
        <v>0</v>
      </c>
      <c r="CO266" s="319">
        <f t="shared" si="120"/>
        <v>0</v>
      </c>
      <c r="CP266" s="319">
        <f t="shared" si="120"/>
        <v>0</v>
      </c>
      <c r="CQ266" s="319">
        <f t="shared" si="120"/>
        <v>0</v>
      </c>
      <c r="CR266" s="319">
        <f t="shared" si="120"/>
        <v>0</v>
      </c>
      <c r="CS266" s="319">
        <f t="shared" si="120"/>
        <v>0</v>
      </c>
      <c r="CT266" s="319">
        <f t="shared" si="120"/>
        <v>0</v>
      </c>
      <c r="CU266" s="319">
        <f t="shared" si="120"/>
        <v>0</v>
      </c>
      <c r="CV266" s="319">
        <f t="shared" si="120"/>
        <v>0</v>
      </c>
    </row>
    <row r="267" spans="1:100" x14ac:dyDescent="0.25">
      <c r="A267" s="319">
        <f t="shared" si="117"/>
        <v>0</v>
      </c>
      <c r="B267" s="319">
        <f t="shared" si="104"/>
        <v>0</v>
      </c>
      <c r="C267" s="340" t="s">
        <v>1203</v>
      </c>
      <c r="D267" s="341" t="s">
        <v>367</v>
      </c>
      <c r="E267" s="341">
        <v>4</v>
      </c>
      <c r="F267" s="341" t="str">
        <f>IF(AND(E267&lt;CharacterSheet!$V$34,'House Rules'!$B$1="Available",OR('House Rules'!$B$7="Standard",AND('House Rules'!$B$7="Ranked",G266="Yes"))),"Yes","No")</f>
        <v>No</v>
      </c>
      <c r="G267" s="564" t="s">
        <v>347</v>
      </c>
      <c r="H267" s="333" t="str">
        <f>IF(C267="","",VLOOKUP(C267,Boonref2!A:B,2,FALSE))</f>
        <v>Yes</v>
      </c>
      <c r="I267" s="333"/>
      <c r="J267" s="333" t="str">
        <f>VLOOKUP(C267,BoonRef!A:Z,17,FALSE)</f>
        <v>Yes</v>
      </c>
      <c r="K267" s="333" t="str">
        <f>IF(J267="God",'House Rules'!$B$2,IF(J267="Demi",'House Rules'!$B$1,IF(J267="Comp",'House Rules'!$B$4,IF(J267="Yaz",'House Rules'!$B$5,IF(J267="Rag",'House Rules'!$B$3,"Available")))))</f>
        <v>Available</v>
      </c>
      <c r="L267" s="333"/>
      <c r="M267" s="333"/>
      <c r="BF267" s="319">
        <f t="shared" si="115"/>
        <v>0</v>
      </c>
      <c r="BG267" s="330" t="s">
        <v>1067</v>
      </c>
      <c r="BI267" s="319">
        <f t="shared" si="118"/>
        <v>0</v>
      </c>
      <c r="BJ267" s="319">
        <f t="shared" si="120"/>
        <v>0</v>
      </c>
      <c r="BK267" s="319">
        <f t="shared" si="120"/>
        <v>0</v>
      </c>
      <c r="BL267" s="319">
        <f t="shared" si="120"/>
        <v>0</v>
      </c>
      <c r="BM267" s="319">
        <f t="shared" si="120"/>
        <v>0</v>
      </c>
      <c r="BN267" s="319">
        <f t="shared" si="120"/>
        <v>0</v>
      </c>
      <c r="BO267" s="319">
        <f t="shared" si="120"/>
        <v>0</v>
      </c>
      <c r="BP267" s="319">
        <f t="shared" si="120"/>
        <v>0</v>
      </c>
      <c r="BQ267" s="319">
        <f t="shared" si="120"/>
        <v>0</v>
      </c>
      <c r="BR267" s="319">
        <f t="shared" si="120"/>
        <v>0</v>
      </c>
      <c r="BS267" s="319">
        <f t="shared" si="120"/>
        <v>0</v>
      </c>
      <c r="BT267" s="319">
        <f t="shared" si="120"/>
        <v>0</v>
      </c>
      <c r="BU267" s="319">
        <f t="shared" si="120"/>
        <v>0</v>
      </c>
      <c r="BV267" s="319">
        <f t="shared" si="120"/>
        <v>0</v>
      </c>
      <c r="BW267" s="319">
        <f t="shared" si="120"/>
        <v>0</v>
      </c>
      <c r="BX267" s="319">
        <f t="shared" si="120"/>
        <v>0</v>
      </c>
      <c r="BY267" s="319">
        <f t="shared" si="120"/>
        <v>0</v>
      </c>
      <c r="BZ267" s="319">
        <f t="shared" si="120"/>
        <v>0</v>
      </c>
      <c r="CA267" s="319">
        <f t="shared" si="120"/>
        <v>0</v>
      </c>
      <c r="CB267" s="319">
        <f t="shared" si="120"/>
        <v>0</v>
      </c>
      <c r="CC267" s="319">
        <f t="shared" si="120"/>
        <v>0</v>
      </c>
      <c r="CD267" s="319">
        <f t="shared" si="120"/>
        <v>0</v>
      </c>
      <c r="CE267" s="319">
        <f t="shared" si="120"/>
        <v>0</v>
      </c>
      <c r="CF267" s="319">
        <f t="shared" si="120"/>
        <v>0</v>
      </c>
      <c r="CG267" s="319">
        <f t="shared" si="120"/>
        <v>0</v>
      </c>
      <c r="CH267" s="319">
        <f t="shared" si="120"/>
        <v>0</v>
      </c>
      <c r="CI267" s="319">
        <f t="shared" si="120"/>
        <v>0</v>
      </c>
      <c r="CJ267" s="319">
        <f t="shared" si="120"/>
        <v>0</v>
      </c>
      <c r="CK267" s="319">
        <f t="shared" si="120"/>
        <v>0</v>
      </c>
      <c r="CL267" s="319">
        <f t="shared" si="120"/>
        <v>0</v>
      </c>
      <c r="CM267" s="319">
        <f t="shared" si="120"/>
        <v>0</v>
      </c>
      <c r="CN267" s="319">
        <f t="shared" si="120"/>
        <v>0</v>
      </c>
      <c r="CO267" s="319">
        <f t="shared" si="120"/>
        <v>0</v>
      </c>
      <c r="CP267" s="319">
        <f t="shared" si="120"/>
        <v>0</v>
      </c>
      <c r="CQ267" s="319">
        <f t="shared" si="120"/>
        <v>0</v>
      </c>
      <c r="CR267" s="319">
        <f t="shared" si="120"/>
        <v>0</v>
      </c>
      <c r="CS267" s="319">
        <f t="shared" si="120"/>
        <v>0</v>
      </c>
      <c r="CT267" s="319">
        <f t="shared" si="120"/>
        <v>0</v>
      </c>
      <c r="CU267" s="319">
        <f t="shared" si="120"/>
        <v>0</v>
      </c>
      <c r="CV267" s="319">
        <f t="shared" si="120"/>
        <v>0</v>
      </c>
    </row>
    <row r="268" spans="1:100" x14ac:dyDescent="0.25">
      <c r="A268" s="319">
        <f t="shared" si="117"/>
        <v>0</v>
      </c>
      <c r="B268" s="319">
        <f t="shared" si="104"/>
        <v>0</v>
      </c>
      <c r="C268" s="340" t="s">
        <v>2917</v>
      </c>
      <c r="D268" s="341" t="s">
        <v>367</v>
      </c>
      <c r="E268" s="341">
        <v>5</v>
      </c>
      <c r="F268" s="341" t="str">
        <f>IF(AND(E268&lt;CharacterSheet!$V$34,'House Rules'!$B$1="Available",OR('House Rules'!$B$7="Standard",AND('House Rules'!$B$7="Ranked",G267="Yes"))),"Yes","No")</f>
        <v>No</v>
      </c>
      <c r="G268" s="564" t="s">
        <v>347</v>
      </c>
      <c r="H268" s="333" t="str">
        <f>IF(C268="","",VLOOKUP(C268,Boonref2!A:B,2,FALSE))</f>
        <v>Yes</v>
      </c>
      <c r="I268" s="333"/>
      <c r="J268" s="333" t="str">
        <f>VLOOKUP(C268,BoonRef!A:Z,17,FALSE)</f>
        <v>Yes</v>
      </c>
      <c r="K268" s="333" t="str">
        <f>IF(J268="God",'House Rules'!$B$2,IF(J268="Demi",'House Rules'!$B$1,IF(J268="Comp",'House Rules'!$B$4,IF(J268="Yaz",'House Rules'!$B$5,IF(J268="Rag",'House Rules'!$B$3,"Available")))))</f>
        <v>Available</v>
      </c>
      <c r="L268" s="333"/>
      <c r="M268" s="333"/>
      <c r="BF268" s="319">
        <f t="shared" si="115"/>
        <v>0</v>
      </c>
      <c r="BG268" s="340" t="s">
        <v>1068</v>
      </c>
      <c r="BI268" s="319">
        <f t="shared" si="118"/>
        <v>0</v>
      </c>
      <c r="BJ268" s="319">
        <f t="shared" si="120"/>
        <v>0</v>
      </c>
      <c r="BK268" s="319">
        <f t="shared" si="120"/>
        <v>0</v>
      </c>
      <c r="BL268" s="319">
        <f t="shared" si="120"/>
        <v>0</v>
      </c>
      <c r="BM268" s="319">
        <f t="shared" si="120"/>
        <v>0</v>
      </c>
      <c r="BN268" s="319">
        <f t="shared" si="120"/>
        <v>0</v>
      </c>
      <c r="BO268" s="319">
        <f t="shared" si="120"/>
        <v>0</v>
      </c>
      <c r="BP268" s="319">
        <f t="shared" si="120"/>
        <v>0</v>
      </c>
      <c r="BQ268" s="319">
        <f t="shared" si="120"/>
        <v>0</v>
      </c>
      <c r="BR268" s="319">
        <f t="shared" si="120"/>
        <v>0</v>
      </c>
      <c r="BS268" s="319">
        <f t="shared" si="120"/>
        <v>0</v>
      </c>
      <c r="BT268" s="319">
        <f t="shared" si="120"/>
        <v>0</v>
      </c>
      <c r="BU268" s="319">
        <f t="shared" si="120"/>
        <v>0</v>
      </c>
      <c r="BV268" s="319">
        <f t="shared" si="120"/>
        <v>0</v>
      </c>
      <c r="BW268" s="319">
        <f t="shared" si="120"/>
        <v>0</v>
      </c>
      <c r="BX268" s="319">
        <f t="shared" si="120"/>
        <v>0</v>
      </c>
      <c r="BY268" s="319">
        <f t="shared" si="120"/>
        <v>0</v>
      </c>
      <c r="BZ268" s="319">
        <f t="shared" si="120"/>
        <v>0</v>
      </c>
      <c r="CA268" s="319">
        <f t="shared" si="120"/>
        <v>0</v>
      </c>
      <c r="CB268" s="319">
        <f t="shared" si="120"/>
        <v>0</v>
      </c>
      <c r="CC268" s="319">
        <f t="shared" si="120"/>
        <v>0</v>
      </c>
      <c r="CD268" s="319">
        <f t="shared" si="120"/>
        <v>0</v>
      </c>
      <c r="CE268" s="319">
        <f t="shared" si="120"/>
        <v>0</v>
      </c>
      <c r="CF268" s="319">
        <f t="shared" si="120"/>
        <v>0</v>
      </c>
      <c r="CG268" s="319">
        <f t="shared" si="120"/>
        <v>0</v>
      </c>
      <c r="CH268" s="319">
        <f t="shared" si="120"/>
        <v>0</v>
      </c>
      <c r="CI268" s="319">
        <f t="shared" si="120"/>
        <v>0</v>
      </c>
      <c r="CJ268" s="319">
        <f t="shared" si="120"/>
        <v>0</v>
      </c>
      <c r="CK268" s="319">
        <f t="shared" si="120"/>
        <v>0</v>
      </c>
      <c r="CL268" s="319">
        <f t="shared" si="120"/>
        <v>0</v>
      </c>
      <c r="CM268" s="319">
        <f t="shared" si="120"/>
        <v>0</v>
      </c>
      <c r="CN268" s="319">
        <f t="shared" si="120"/>
        <v>0</v>
      </c>
      <c r="CO268" s="319">
        <f t="shared" si="120"/>
        <v>0</v>
      </c>
      <c r="CP268" s="319">
        <f t="shared" si="120"/>
        <v>0</v>
      </c>
      <c r="CQ268" s="319">
        <f t="shared" si="120"/>
        <v>0</v>
      </c>
      <c r="CR268" s="319">
        <f t="shared" si="120"/>
        <v>0</v>
      </c>
      <c r="CS268" s="319">
        <f t="shared" si="120"/>
        <v>0</v>
      </c>
      <c r="CT268" s="319">
        <f t="shared" si="120"/>
        <v>0</v>
      </c>
      <c r="CU268" s="319">
        <f t="shared" si="120"/>
        <v>0</v>
      </c>
      <c r="CV268" s="319">
        <f t="shared" si="120"/>
        <v>0</v>
      </c>
    </row>
    <row r="269" spans="1:100" x14ac:dyDescent="0.25">
      <c r="A269" s="319">
        <f t="shared" si="117"/>
        <v>0</v>
      </c>
      <c r="B269" s="319">
        <f t="shared" ref="B269:B329" si="121">IF(G269="Yes",B268+1,B268)</f>
        <v>0</v>
      </c>
      <c r="C269" s="340" t="s">
        <v>1410</v>
      </c>
      <c r="D269" s="341" t="s">
        <v>367</v>
      </c>
      <c r="E269" s="341">
        <v>5</v>
      </c>
      <c r="F269" s="341" t="str">
        <f>IF(AND(E269&lt;CharacterSheet!$V$34,'House Rules'!$B$4="Available",OR('House Rules'!$B$7="Standard",AND('House Rules'!$B$7="Ranked",G267="Yes"))),"Yes","No")</f>
        <v>No</v>
      </c>
      <c r="G269" s="564" t="s">
        <v>347</v>
      </c>
      <c r="H269" s="333" t="str">
        <f>IF(C269="","",VLOOKUP(C269,Boonref2!A:B,2,FALSE))</f>
        <v>Yes</v>
      </c>
      <c r="I269" s="333"/>
      <c r="J269" s="333" t="str">
        <f>VLOOKUP(C269,BoonRef!A:Z,17,FALSE)</f>
        <v>Yes</v>
      </c>
      <c r="K269" s="333" t="str">
        <f>IF(J269="God",'House Rules'!$B$2,IF(J269="Demi",'House Rules'!$B$1,IF(J269="Comp",'House Rules'!$B$4,IF(J269="Yaz",'House Rules'!$B$5,IF(J269="Rag",'House Rules'!$B$3,"Available")))))</f>
        <v>Available</v>
      </c>
      <c r="L269" s="333"/>
      <c r="M269" s="333"/>
      <c r="BF269" s="319">
        <f t="shared" si="115"/>
        <v>0</v>
      </c>
      <c r="BG269" s="340" t="s">
        <v>1069</v>
      </c>
      <c r="BI269" s="319">
        <f t="shared" si="118"/>
        <v>0</v>
      </c>
      <c r="BJ269" s="319">
        <f t="shared" si="120"/>
        <v>0</v>
      </c>
      <c r="BK269" s="319">
        <f t="shared" si="120"/>
        <v>0</v>
      </c>
      <c r="BL269" s="319">
        <f t="shared" si="120"/>
        <v>0</v>
      </c>
      <c r="BM269" s="319">
        <f t="shared" si="120"/>
        <v>0</v>
      </c>
      <c r="BN269" s="319">
        <f t="shared" si="120"/>
        <v>0</v>
      </c>
      <c r="BO269" s="319">
        <f t="shared" si="120"/>
        <v>0</v>
      </c>
      <c r="BP269" s="319">
        <f t="shared" si="120"/>
        <v>0</v>
      </c>
      <c r="BQ269" s="319">
        <f t="shared" si="120"/>
        <v>0</v>
      </c>
      <c r="BR269" s="319">
        <f t="shared" si="120"/>
        <v>0</v>
      </c>
      <c r="BS269" s="319">
        <f t="shared" si="120"/>
        <v>0</v>
      </c>
      <c r="BT269" s="319">
        <f t="shared" si="120"/>
        <v>0</v>
      </c>
      <c r="BU269" s="319">
        <f t="shared" si="120"/>
        <v>0</v>
      </c>
      <c r="BV269" s="319">
        <f t="shared" si="120"/>
        <v>0</v>
      </c>
      <c r="BW269" s="319">
        <f t="shared" si="120"/>
        <v>0</v>
      </c>
      <c r="BX269" s="319">
        <f t="shared" si="120"/>
        <v>0</v>
      </c>
      <c r="BY269" s="319">
        <f t="shared" si="120"/>
        <v>0</v>
      </c>
      <c r="BZ269" s="319">
        <f t="shared" si="120"/>
        <v>0</v>
      </c>
      <c r="CA269" s="319">
        <f t="shared" si="120"/>
        <v>0</v>
      </c>
      <c r="CB269" s="319">
        <f t="shared" si="120"/>
        <v>0</v>
      </c>
      <c r="CC269" s="319">
        <f t="shared" si="120"/>
        <v>0</v>
      </c>
      <c r="CD269" s="319">
        <f t="shared" si="120"/>
        <v>0</v>
      </c>
      <c r="CE269" s="319">
        <f t="shared" si="120"/>
        <v>0</v>
      </c>
      <c r="CF269" s="319">
        <f t="shared" si="120"/>
        <v>0</v>
      </c>
      <c r="CG269" s="319">
        <f t="shared" si="120"/>
        <v>0</v>
      </c>
      <c r="CH269" s="319">
        <f t="shared" si="120"/>
        <v>0</v>
      </c>
      <c r="CI269" s="319">
        <f t="shared" si="120"/>
        <v>0</v>
      </c>
      <c r="CJ269" s="319">
        <f t="shared" si="120"/>
        <v>0</v>
      </c>
      <c r="CK269" s="319">
        <f t="shared" si="120"/>
        <v>0</v>
      </c>
      <c r="CL269" s="319">
        <f t="shared" si="120"/>
        <v>0</v>
      </c>
      <c r="CM269" s="319">
        <f t="shared" si="120"/>
        <v>0</v>
      </c>
      <c r="CN269" s="319">
        <f t="shared" si="120"/>
        <v>0</v>
      </c>
      <c r="CO269" s="319">
        <f t="shared" si="120"/>
        <v>0</v>
      </c>
      <c r="CP269" s="319">
        <f t="shared" si="120"/>
        <v>0</v>
      </c>
      <c r="CQ269" s="319">
        <f t="shared" si="120"/>
        <v>0</v>
      </c>
      <c r="CR269" s="319">
        <f t="shared" si="120"/>
        <v>0</v>
      </c>
      <c r="CS269" s="319">
        <f t="shared" si="120"/>
        <v>0</v>
      </c>
      <c r="CT269" s="319">
        <f t="shared" si="120"/>
        <v>0</v>
      </c>
      <c r="CU269" s="319">
        <f t="shared" si="120"/>
        <v>0</v>
      </c>
      <c r="CV269" s="319">
        <f t="shared" si="120"/>
        <v>0</v>
      </c>
    </row>
    <row r="270" spans="1:100" x14ac:dyDescent="0.25">
      <c r="A270" s="319">
        <f t="shared" si="117"/>
        <v>0</v>
      </c>
      <c r="B270" s="319">
        <f t="shared" si="121"/>
        <v>0</v>
      </c>
      <c r="C270" s="340" t="s">
        <v>1205</v>
      </c>
      <c r="D270" s="341" t="s">
        <v>367</v>
      </c>
      <c r="E270" s="341">
        <v>6</v>
      </c>
      <c r="F270" s="341" t="str">
        <f>IF(AND(E270&lt;CharacterSheet!$V$34,'House Rules'!$B$1="Available",OR('House Rules'!$B$7="Standard",AND('House Rules'!$B$7="Ranked",OR(G269="Yes",G268="Yes")))),"Yes","No")</f>
        <v>No</v>
      </c>
      <c r="G270" s="564" t="s">
        <v>347</v>
      </c>
      <c r="H270" s="333" t="str">
        <f>IF(C270="","",VLOOKUP(C270,Boonref2!A:B,2,FALSE))</f>
        <v>Yes</v>
      </c>
      <c r="I270" s="333"/>
      <c r="J270" s="333" t="str">
        <f>VLOOKUP(C270,BoonRef!A:Z,17,FALSE)</f>
        <v>Yes</v>
      </c>
      <c r="K270" s="333" t="str">
        <f>IF(J270="God",'House Rules'!$B$2,IF(J270="Demi",'House Rules'!$B$1,IF(J270="Comp",'House Rules'!$B$4,IF(J270="Yaz",'House Rules'!$B$5,IF(J270="Rag",'House Rules'!$B$3,"Available")))))</f>
        <v>Available</v>
      </c>
      <c r="L270" s="333"/>
      <c r="M270" s="333"/>
      <c r="BF270" s="319">
        <f t="shared" si="115"/>
        <v>0</v>
      </c>
      <c r="BG270" s="340" t="s">
        <v>1147</v>
      </c>
      <c r="BI270" s="319">
        <f t="shared" si="118"/>
        <v>0</v>
      </c>
      <c r="BJ270" s="319">
        <f t="shared" si="120"/>
        <v>0</v>
      </c>
      <c r="BK270" s="319">
        <f t="shared" si="120"/>
        <v>0</v>
      </c>
      <c r="BL270" s="319">
        <f t="shared" si="120"/>
        <v>0</v>
      </c>
      <c r="BM270" s="319">
        <f t="shared" si="120"/>
        <v>0</v>
      </c>
      <c r="BN270" s="319">
        <f t="shared" si="120"/>
        <v>0</v>
      </c>
      <c r="BO270" s="319">
        <f t="shared" si="120"/>
        <v>0</v>
      </c>
      <c r="BP270" s="319">
        <f t="shared" si="120"/>
        <v>0</v>
      </c>
      <c r="BQ270" s="319">
        <f t="shared" si="120"/>
        <v>0</v>
      </c>
      <c r="BR270" s="319">
        <f t="shared" si="120"/>
        <v>0</v>
      </c>
      <c r="BS270" s="319">
        <f t="shared" si="120"/>
        <v>0</v>
      </c>
      <c r="BT270" s="319">
        <f t="shared" si="120"/>
        <v>0</v>
      </c>
      <c r="BU270" s="319">
        <f t="shared" si="120"/>
        <v>0</v>
      </c>
      <c r="BV270" s="319">
        <f t="shared" si="120"/>
        <v>0</v>
      </c>
      <c r="BW270" s="319">
        <f t="shared" si="120"/>
        <v>0</v>
      </c>
      <c r="BX270" s="319">
        <f t="shared" si="120"/>
        <v>0</v>
      </c>
      <c r="BY270" s="319">
        <f t="shared" si="120"/>
        <v>0</v>
      </c>
      <c r="BZ270" s="319">
        <f t="shared" si="120"/>
        <v>0</v>
      </c>
      <c r="CA270" s="319">
        <f t="shared" si="120"/>
        <v>0</v>
      </c>
      <c r="CB270" s="319">
        <f t="shared" si="120"/>
        <v>0</v>
      </c>
      <c r="CC270" s="319">
        <f t="shared" si="120"/>
        <v>0</v>
      </c>
      <c r="CD270" s="319">
        <f t="shared" si="120"/>
        <v>0</v>
      </c>
      <c r="CE270" s="319">
        <f t="shared" si="120"/>
        <v>0</v>
      </c>
      <c r="CF270" s="319">
        <f t="shared" si="120"/>
        <v>0</v>
      </c>
      <c r="CG270" s="319">
        <f t="shared" si="120"/>
        <v>0</v>
      </c>
      <c r="CH270" s="319">
        <f t="shared" si="120"/>
        <v>0</v>
      </c>
      <c r="CI270" s="319">
        <f t="shared" si="120"/>
        <v>0</v>
      </c>
      <c r="CJ270" s="319">
        <f t="shared" si="120"/>
        <v>0</v>
      </c>
      <c r="CK270" s="319">
        <f t="shared" si="120"/>
        <v>0</v>
      </c>
      <c r="CL270" s="319">
        <f t="shared" si="120"/>
        <v>0</v>
      </c>
      <c r="CM270" s="319">
        <f t="shared" si="120"/>
        <v>0</v>
      </c>
      <c r="CN270" s="319">
        <f t="shared" si="120"/>
        <v>0</v>
      </c>
      <c r="CO270" s="319">
        <f t="shared" si="120"/>
        <v>0</v>
      </c>
      <c r="CP270" s="319">
        <f t="shared" si="120"/>
        <v>0</v>
      </c>
      <c r="CQ270" s="319">
        <f t="shared" si="120"/>
        <v>0</v>
      </c>
      <c r="CR270" s="319">
        <f t="shared" si="120"/>
        <v>0</v>
      </c>
      <c r="CS270" s="319">
        <f t="shared" si="120"/>
        <v>0</v>
      </c>
      <c r="CT270" s="319">
        <f t="shared" si="120"/>
        <v>0</v>
      </c>
      <c r="CU270" s="319">
        <f t="shared" si="120"/>
        <v>0</v>
      </c>
      <c r="CV270" s="319">
        <f t="shared" si="120"/>
        <v>0</v>
      </c>
    </row>
    <row r="271" spans="1:100" x14ac:dyDescent="0.25">
      <c r="A271" s="319">
        <f t="shared" si="117"/>
        <v>0</v>
      </c>
      <c r="B271" s="319">
        <f t="shared" si="121"/>
        <v>0</v>
      </c>
      <c r="C271" s="340" t="s">
        <v>1206</v>
      </c>
      <c r="D271" s="341" t="s">
        <v>367</v>
      </c>
      <c r="E271" s="341">
        <v>7</v>
      </c>
      <c r="F271" s="341" t="str">
        <f>IF(AND(E271&lt;CharacterSheet!$V$34,'House Rules'!$B$1="Available",OR('House Rules'!$B$7="Standard",AND('House Rules'!$B$7="Ranked",G270="Yes"))),"Yes","No")</f>
        <v>No</v>
      </c>
      <c r="G271" s="564" t="s">
        <v>347</v>
      </c>
      <c r="H271" s="333" t="str">
        <f>IF(C271="","",VLOOKUP(C271,Boonref2!A:B,2,FALSE))</f>
        <v>Yes</v>
      </c>
      <c r="I271" s="333"/>
      <c r="J271" s="333" t="str">
        <f>VLOOKUP(C271,BoonRef!A:Z,17,FALSE)</f>
        <v>Yes</v>
      </c>
      <c r="K271" s="333" t="str">
        <f>IF(J271="God",'House Rules'!$B$2,IF(J271="Demi",'House Rules'!$B$1,IF(J271="Comp",'House Rules'!$B$4,IF(J271="Yaz",'House Rules'!$B$5,IF(J271="Rag",'House Rules'!$B$3,"Available")))))</f>
        <v>Available</v>
      </c>
      <c r="L271" s="333"/>
      <c r="M271" s="333"/>
      <c r="BF271" s="319">
        <f t="shared" si="115"/>
        <v>0</v>
      </c>
      <c r="BG271" s="340" t="s">
        <v>1381</v>
      </c>
      <c r="BI271" s="319">
        <f t="shared" si="118"/>
        <v>0</v>
      </c>
      <c r="BJ271" s="319">
        <f t="shared" si="120"/>
        <v>0</v>
      </c>
      <c r="BK271" s="319">
        <f t="shared" si="120"/>
        <v>0</v>
      </c>
      <c r="BL271" s="319">
        <f t="shared" si="120"/>
        <v>0</v>
      </c>
      <c r="BM271" s="319">
        <f t="shared" si="120"/>
        <v>0</v>
      </c>
      <c r="BN271" s="319">
        <f t="shared" si="120"/>
        <v>0</v>
      </c>
      <c r="BO271" s="319">
        <f t="shared" si="120"/>
        <v>0</v>
      </c>
      <c r="BP271" s="319">
        <f t="shared" si="120"/>
        <v>0</v>
      </c>
      <c r="BQ271" s="319">
        <f t="shared" si="120"/>
        <v>0</v>
      </c>
      <c r="BR271" s="319">
        <f t="shared" si="120"/>
        <v>0</v>
      </c>
      <c r="BS271" s="319">
        <f t="shared" si="120"/>
        <v>0</v>
      </c>
      <c r="BT271" s="319">
        <f t="shared" si="120"/>
        <v>0</v>
      </c>
      <c r="BU271" s="319">
        <f t="shared" si="120"/>
        <v>0</v>
      </c>
      <c r="BV271" s="319">
        <f t="shared" si="120"/>
        <v>0</v>
      </c>
      <c r="BW271" s="319">
        <f t="shared" si="120"/>
        <v>0</v>
      </c>
      <c r="BX271" s="319">
        <f t="shared" si="120"/>
        <v>0</v>
      </c>
      <c r="BY271" s="319">
        <f t="shared" si="120"/>
        <v>0</v>
      </c>
      <c r="BZ271" s="319">
        <f t="shared" si="120"/>
        <v>0</v>
      </c>
      <c r="CA271" s="319">
        <f t="shared" si="120"/>
        <v>0</v>
      </c>
      <c r="CB271" s="319">
        <f t="shared" si="120"/>
        <v>0</v>
      </c>
      <c r="CC271" s="319">
        <f t="shared" si="120"/>
        <v>0</v>
      </c>
      <c r="CD271" s="319">
        <f t="shared" si="120"/>
        <v>0</v>
      </c>
      <c r="CE271" s="319">
        <f t="shared" si="120"/>
        <v>0</v>
      </c>
      <c r="CF271" s="319">
        <f t="shared" si="120"/>
        <v>0</v>
      </c>
      <c r="CG271" s="319">
        <f t="shared" si="120"/>
        <v>0</v>
      </c>
      <c r="CH271" s="319">
        <f t="shared" si="120"/>
        <v>0</v>
      </c>
      <c r="CI271" s="319">
        <f t="shared" si="120"/>
        <v>0</v>
      </c>
      <c r="CJ271" s="319">
        <f t="shared" si="120"/>
        <v>0</v>
      </c>
      <c r="CK271" s="319">
        <f t="shared" si="120"/>
        <v>0</v>
      </c>
      <c r="CL271" s="319">
        <f t="shared" si="120"/>
        <v>0</v>
      </c>
      <c r="CM271" s="319">
        <f t="shared" si="120"/>
        <v>0</v>
      </c>
      <c r="CN271" s="319">
        <f t="shared" si="120"/>
        <v>0</v>
      </c>
      <c r="CO271" s="319">
        <f t="shared" si="120"/>
        <v>0</v>
      </c>
      <c r="CP271" s="319">
        <f t="shared" si="120"/>
        <v>0</v>
      </c>
      <c r="CQ271" s="319">
        <f t="shared" si="120"/>
        <v>0</v>
      </c>
      <c r="CR271" s="319">
        <f t="shared" si="120"/>
        <v>0</v>
      </c>
      <c r="CS271" s="319">
        <f t="shared" si="120"/>
        <v>0</v>
      </c>
      <c r="CT271" s="319">
        <f t="shared" si="120"/>
        <v>0</v>
      </c>
      <c r="CU271" s="319">
        <f t="shared" si="120"/>
        <v>0</v>
      </c>
      <c r="CV271" s="319">
        <f t="shared" si="120"/>
        <v>0</v>
      </c>
    </row>
    <row r="272" spans="1:100" x14ac:dyDescent="0.25">
      <c r="A272" s="319">
        <f t="shared" si="117"/>
        <v>0</v>
      </c>
      <c r="B272" s="319">
        <f t="shared" si="121"/>
        <v>0</v>
      </c>
      <c r="C272" s="340" t="s">
        <v>1302</v>
      </c>
      <c r="D272" s="341" t="s">
        <v>367</v>
      </c>
      <c r="E272" s="341">
        <v>8</v>
      </c>
      <c r="F272" s="341" t="str">
        <f>IF(AND(E272&lt;CharacterSheet!$V$34,'House Rules'!$B$2="available",OR('House Rules'!$B$7="Standard",AND('House Rules'!$B$7="Ranked",G271="Yes"))),"Yes","No")</f>
        <v>No</v>
      </c>
      <c r="G272" s="564" t="s">
        <v>347</v>
      </c>
      <c r="H272" s="333" t="str">
        <f>IF(C272="","",VLOOKUP(C272,Boonref2!A:B,2,FALSE))</f>
        <v>Yes</v>
      </c>
      <c r="I272" s="333"/>
      <c r="J272" s="333" t="str">
        <f>VLOOKUP(C272,BoonRef!A:Z,17,FALSE)</f>
        <v>Yes</v>
      </c>
      <c r="K272" s="333" t="str">
        <f>IF(J272="God",'House Rules'!$B$2,IF(J272="Demi",'House Rules'!$B$1,IF(J272="Comp",'House Rules'!$B$4,IF(J272="Yaz",'House Rules'!$B$5,IF(J272="Rag",'House Rules'!$B$3,"Available")))))</f>
        <v>Available</v>
      </c>
      <c r="L272" s="333"/>
      <c r="M272" s="333"/>
      <c r="BF272" s="319">
        <f t="shared" si="115"/>
        <v>0</v>
      </c>
      <c r="BG272" s="340" t="s">
        <v>1148</v>
      </c>
      <c r="BI272" s="319">
        <f t="shared" si="118"/>
        <v>0</v>
      </c>
      <c r="BJ272" s="319">
        <f t="shared" si="120"/>
        <v>0</v>
      </c>
      <c r="BK272" s="319">
        <f t="shared" si="120"/>
        <v>0</v>
      </c>
      <c r="BL272" s="319">
        <f t="shared" si="120"/>
        <v>0</v>
      </c>
      <c r="BM272" s="319">
        <f t="shared" si="120"/>
        <v>0</v>
      </c>
      <c r="BN272" s="319">
        <f t="shared" si="120"/>
        <v>0</v>
      </c>
      <c r="BO272" s="319">
        <f t="shared" si="120"/>
        <v>0</v>
      </c>
      <c r="BP272" s="319">
        <f t="shared" si="120"/>
        <v>0</v>
      </c>
      <c r="BQ272" s="319">
        <f t="shared" si="120"/>
        <v>0</v>
      </c>
      <c r="BR272" s="319">
        <f t="shared" si="120"/>
        <v>0</v>
      </c>
      <c r="BS272" s="319">
        <f t="shared" si="120"/>
        <v>0</v>
      </c>
      <c r="BT272" s="319">
        <f t="shared" si="120"/>
        <v>0</v>
      </c>
      <c r="BU272" s="319">
        <f t="shared" si="120"/>
        <v>0</v>
      </c>
      <c r="BV272" s="319">
        <f t="shared" si="120"/>
        <v>0</v>
      </c>
      <c r="BW272" s="319">
        <f t="shared" si="120"/>
        <v>0</v>
      </c>
      <c r="BX272" s="319">
        <f t="shared" si="120"/>
        <v>0</v>
      </c>
      <c r="BY272" s="319">
        <f t="shared" si="120"/>
        <v>0</v>
      </c>
      <c r="BZ272" s="319">
        <f t="shared" si="120"/>
        <v>0</v>
      </c>
      <c r="CA272" s="319">
        <f t="shared" si="120"/>
        <v>0</v>
      </c>
      <c r="CB272" s="319">
        <f t="shared" ref="BJ272:CV278" si="122">IF(AND($D272=CB$1,$G272="Yes"),$E272,0)</f>
        <v>0</v>
      </c>
      <c r="CC272" s="319">
        <f t="shared" si="122"/>
        <v>0</v>
      </c>
      <c r="CD272" s="319">
        <f t="shared" si="122"/>
        <v>0</v>
      </c>
      <c r="CE272" s="319">
        <f t="shared" si="122"/>
        <v>0</v>
      </c>
      <c r="CF272" s="319">
        <f t="shared" si="122"/>
        <v>0</v>
      </c>
      <c r="CG272" s="319">
        <f t="shared" si="122"/>
        <v>0</v>
      </c>
      <c r="CH272" s="319">
        <f t="shared" si="122"/>
        <v>0</v>
      </c>
      <c r="CI272" s="319">
        <f t="shared" si="122"/>
        <v>0</v>
      </c>
      <c r="CJ272" s="319">
        <f t="shared" si="122"/>
        <v>0</v>
      </c>
      <c r="CK272" s="319">
        <f t="shared" si="122"/>
        <v>0</v>
      </c>
      <c r="CL272" s="319">
        <f t="shared" si="122"/>
        <v>0</v>
      </c>
      <c r="CM272" s="319">
        <f t="shared" si="122"/>
        <v>0</v>
      </c>
      <c r="CN272" s="319">
        <f t="shared" si="122"/>
        <v>0</v>
      </c>
      <c r="CO272" s="319">
        <f t="shared" si="122"/>
        <v>0</v>
      </c>
      <c r="CP272" s="319">
        <f t="shared" si="122"/>
        <v>0</v>
      </c>
      <c r="CQ272" s="319">
        <f t="shared" si="122"/>
        <v>0</v>
      </c>
      <c r="CR272" s="319">
        <f t="shared" si="122"/>
        <v>0</v>
      </c>
      <c r="CS272" s="319">
        <f t="shared" si="122"/>
        <v>0</v>
      </c>
      <c r="CT272" s="319">
        <f t="shared" si="122"/>
        <v>0</v>
      </c>
      <c r="CU272" s="319">
        <f t="shared" si="122"/>
        <v>0</v>
      </c>
      <c r="CV272" s="319">
        <f t="shared" si="122"/>
        <v>0</v>
      </c>
    </row>
    <row r="273" spans="1:100" x14ac:dyDescent="0.25">
      <c r="A273" s="319">
        <f t="shared" si="117"/>
        <v>0</v>
      </c>
      <c r="B273" s="319">
        <f t="shared" si="121"/>
        <v>0</v>
      </c>
      <c r="C273" s="340" t="s">
        <v>2645</v>
      </c>
      <c r="D273" s="341" t="s">
        <v>367</v>
      </c>
      <c r="E273" s="341">
        <v>8</v>
      </c>
      <c r="F273" s="341" t="str">
        <f>IF(AND(E272&lt;CharacterSheet!$V$34,'House Rules'!$B$3="Available",OR('House Rules'!$B$7="Standard",AND('House Rules'!$B$7="Ranked",OR(G271="Yes")))),"Yes","No")</f>
        <v>No</v>
      </c>
      <c r="G273" s="564" t="s">
        <v>347</v>
      </c>
      <c r="H273" s="333" t="str">
        <f>IF(C273="","",VLOOKUP(C273,Boonref2!A:B,2,FALSE))</f>
        <v>Yes</v>
      </c>
      <c r="I273" s="333"/>
      <c r="J273" s="333" t="str">
        <f>VLOOKUP(C273,BoonRef!A:Z,17,FALSE)</f>
        <v>Yes</v>
      </c>
      <c r="K273" s="333" t="str">
        <f>IF(J273="God",'House Rules'!$B$2,IF(J273="Demi",'House Rules'!$B$1,IF(J273="Comp",'House Rules'!$B$4,IF(J273="Yaz",'House Rules'!$B$5,IF(J273="Rag",'House Rules'!$B$3,"Available")))))</f>
        <v>Available</v>
      </c>
      <c r="L273" s="333"/>
      <c r="M273" s="333"/>
      <c r="BF273" s="319">
        <f t="shared" si="115"/>
        <v>0</v>
      </c>
      <c r="BG273" s="340" t="s">
        <v>1149</v>
      </c>
      <c r="BI273" s="319">
        <f t="shared" si="118"/>
        <v>0</v>
      </c>
      <c r="BJ273" s="319">
        <f t="shared" si="122"/>
        <v>0</v>
      </c>
      <c r="BK273" s="319">
        <f t="shared" si="122"/>
        <v>0</v>
      </c>
      <c r="BL273" s="319">
        <f t="shared" si="122"/>
        <v>0</v>
      </c>
      <c r="BM273" s="319">
        <f t="shared" si="122"/>
        <v>0</v>
      </c>
      <c r="BN273" s="319">
        <f t="shared" si="122"/>
        <v>0</v>
      </c>
      <c r="BO273" s="319">
        <f t="shared" si="122"/>
        <v>0</v>
      </c>
      <c r="BP273" s="319">
        <f t="shared" si="122"/>
        <v>0</v>
      </c>
      <c r="BQ273" s="319">
        <f t="shared" si="122"/>
        <v>0</v>
      </c>
      <c r="BR273" s="319">
        <f t="shared" si="122"/>
        <v>0</v>
      </c>
      <c r="BS273" s="319">
        <f t="shared" si="122"/>
        <v>0</v>
      </c>
      <c r="BT273" s="319">
        <f t="shared" si="122"/>
        <v>0</v>
      </c>
      <c r="BU273" s="319">
        <f t="shared" si="122"/>
        <v>0</v>
      </c>
      <c r="BV273" s="319">
        <f t="shared" si="122"/>
        <v>0</v>
      </c>
      <c r="BW273" s="319">
        <f t="shared" si="122"/>
        <v>0</v>
      </c>
      <c r="BX273" s="319">
        <f t="shared" si="122"/>
        <v>0</v>
      </c>
      <c r="BY273" s="319">
        <f t="shared" si="122"/>
        <v>0</v>
      </c>
      <c r="BZ273" s="319">
        <f t="shared" si="122"/>
        <v>0</v>
      </c>
      <c r="CA273" s="319">
        <f t="shared" si="122"/>
        <v>0</v>
      </c>
      <c r="CB273" s="319">
        <f t="shared" si="122"/>
        <v>0</v>
      </c>
      <c r="CC273" s="319">
        <f t="shared" si="122"/>
        <v>0</v>
      </c>
      <c r="CD273" s="319">
        <f t="shared" si="122"/>
        <v>0</v>
      </c>
      <c r="CE273" s="319">
        <f t="shared" si="122"/>
        <v>0</v>
      </c>
      <c r="CF273" s="319">
        <f t="shared" si="122"/>
        <v>0</v>
      </c>
      <c r="CG273" s="319">
        <f t="shared" si="122"/>
        <v>0</v>
      </c>
      <c r="CH273" s="319">
        <f t="shared" si="122"/>
        <v>0</v>
      </c>
      <c r="CI273" s="319">
        <f t="shared" si="122"/>
        <v>0</v>
      </c>
      <c r="CJ273" s="319">
        <f t="shared" si="122"/>
        <v>0</v>
      </c>
      <c r="CK273" s="319">
        <f t="shared" si="122"/>
        <v>0</v>
      </c>
      <c r="CL273" s="319">
        <f t="shared" si="122"/>
        <v>0</v>
      </c>
      <c r="CM273" s="319">
        <f t="shared" si="122"/>
        <v>0</v>
      </c>
      <c r="CN273" s="319">
        <f t="shared" si="122"/>
        <v>0</v>
      </c>
      <c r="CO273" s="319">
        <f t="shared" si="122"/>
        <v>0</v>
      </c>
      <c r="CP273" s="319">
        <f t="shared" si="122"/>
        <v>0</v>
      </c>
      <c r="CQ273" s="319">
        <f t="shared" si="122"/>
        <v>0</v>
      </c>
      <c r="CR273" s="319">
        <f t="shared" si="122"/>
        <v>0</v>
      </c>
      <c r="CS273" s="319">
        <f t="shared" si="122"/>
        <v>0</v>
      </c>
      <c r="CT273" s="319">
        <f t="shared" si="122"/>
        <v>0</v>
      </c>
      <c r="CU273" s="319">
        <f t="shared" si="122"/>
        <v>0</v>
      </c>
      <c r="CV273" s="319">
        <f t="shared" si="122"/>
        <v>0</v>
      </c>
    </row>
    <row r="274" spans="1:100" x14ac:dyDescent="0.25">
      <c r="A274" s="319">
        <f t="shared" si="117"/>
        <v>0</v>
      </c>
      <c r="B274" s="319">
        <f t="shared" si="121"/>
        <v>0</v>
      </c>
      <c r="C274" s="340" t="s">
        <v>1303</v>
      </c>
      <c r="D274" s="341" t="s">
        <v>367</v>
      </c>
      <c r="E274" s="341">
        <v>9</v>
      </c>
      <c r="F274" s="341" t="str">
        <f>IF(AND(E274&lt;CharacterSheet!$V$34,'House Rules'!$B$2="available",OR('House Rules'!$B$7="Standard",AND('House Rules'!$B$7="Ranked",OR(G272="Yes",G273="Yes")))),"Yes","No")</f>
        <v>No</v>
      </c>
      <c r="G274" s="564" t="s">
        <v>347</v>
      </c>
      <c r="H274" s="333" t="str">
        <f>IF(C274="","",VLOOKUP(C274,Boonref2!A:B,2,FALSE))</f>
        <v>No</v>
      </c>
      <c r="I274" s="333"/>
      <c r="J274" s="333" t="str">
        <f>VLOOKUP(C274,BoonRef!A:Z,17,FALSE)</f>
        <v>Yes</v>
      </c>
      <c r="K274" s="333" t="str">
        <f>IF(J274="God",'House Rules'!$B$2,IF(J274="Demi",'House Rules'!$B$1,IF(J274="Comp",'House Rules'!$B$4,IF(J274="Yaz",'House Rules'!$B$5,IF(J274="Rag",'House Rules'!$B$3,"Available")))))</f>
        <v>Available</v>
      </c>
      <c r="L274" s="333"/>
      <c r="M274" s="333"/>
      <c r="BF274" s="319">
        <f t="shared" si="115"/>
        <v>0</v>
      </c>
      <c r="BG274" s="340" t="s">
        <v>1150</v>
      </c>
      <c r="BI274" s="319">
        <f t="shared" si="118"/>
        <v>0</v>
      </c>
      <c r="BJ274" s="319">
        <f t="shared" si="122"/>
        <v>0</v>
      </c>
      <c r="BK274" s="319">
        <f t="shared" si="122"/>
        <v>0</v>
      </c>
      <c r="BL274" s="319">
        <f t="shared" si="122"/>
        <v>0</v>
      </c>
      <c r="BM274" s="319">
        <f t="shared" si="122"/>
        <v>0</v>
      </c>
      <c r="BN274" s="319">
        <f t="shared" si="122"/>
        <v>0</v>
      </c>
      <c r="BO274" s="319">
        <f t="shared" si="122"/>
        <v>0</v>
      </c>
      <c r="BP274" s="319">
        <f t="shared" si="122"/>
        <v>0</v>
      </c>
      <c r="BQ274" s="319">
        <f t="shared" si="122"/>
        <v>0</v>
      </c>
      <c r="BR274" s="319">
        <f t="shared" si="122"/>
        <v>0</v>
      </c>
      <c r="BS274" s="319">
        <f t="shared" si="122"/>
        <v>0</v>
      </c>
      <c r="BT274" s="319">
        <f t="shared" si="122"/>
        <v>0</v>
      </c>
      <c r="BU274" s="319">
        <f t="shared" si="122"/>
        <v>0</v>
      </c>
      <c r="BV274" s="319">
        <f t="shared" si="122"/>
        <v>0</v>
      </c>
      <c r="BW274" s="319">
        <f t="shared" si="122"/>
        <v>0</v>
      </c>
      <c r="BX274" s="319">
        <f t="shared" si="122"/>
        <v>0</v>
      </c>
      <c r="BY274" s="319">
        <f t="shared" si="122"/>
        <v>0</v>
      </c>
      <c r="BZ274" s="319">
        <f t="shared" si="122"/>
        <v>0</v>
      </c>
      <c r="CA274" s="319">
        <f t="shared" si="122"/>
        <v>0</v>
      </c>
      <c r="CB274" s="319">
        <f t="shared" si="122"/>
        <v>0</v>
      </c>
      <c r="CC274" s="319">
        <f t="shared" si="122"/>
        <v>0</v>
      </c>
      <c r="CD274" s="319">
        <f t="shared" si="122"/>
        <v>0</v>
      </c>
      <c r="CE274" s="319">
        <f t="shared" si="122"/>
        <v>0</v>
      </c>
      <c r="CF274" s="319">
        <f t="shared" si="122"/>
        <v>0</v>
      </c>
      <c r="CG274" s="319">
        <f t="shared" si="122"/>
        <v>0</v>
      </c>
      <c r="CH274" s="319">
        <f t="shared" si="122"/>
        <v>0</v>
      </c>
      <c r="CI274" s="319">
        <f t="shared" si="122"/>
        <v>0</v>
      </c>
      <c r="CJ274" s="319">
        <f t="shared" si="122"/>
        <v>0</v>
      </c>
      <c r="CK274" s="319">
        <f t="shared" si="122"/>
        <v>0</v>
      </c>
      <c r="CL274" s="319">
        <f t="shared" si="122"/>
        <v>0</v>
      </c>
      <c r="CM274" s="319">
        <f t="shared" si="122"/>
        <v>0</v>
      </c>
      <c r="CN274" s="319">
        <f t="shared" si="122"/>
        <v>0</v>
      </c>
      <c r="CO274" s="319">
        <f t="shared" si="122"/>
        <v>0</v>
      </c>
      <c r="CP274" s="319">
        <f t="shared" si="122"/>
        <v>0</v>
      </c>
      <c r="CQ274" s="319">
        <f t="shared" si="122"/>
        <v>0</v>
      </c>
      <c r="CR274" s="319">
        <f t="shared" si="122"/>
        <v>0</v>
      </c>
      <c r="CS274" s="319">
        <f t="shared" si="122"/>
        <v>0</v>
      </c>
      <c r="CT274" s="319">
        <f t="shared" si="122"/>
        <v>0</v>
      </c>
      <c r="CU274" s="319">
        <f t="shared" si="122"/>
        <v>0</v>
      </c>
      <c r="CV274" s="319">
        <f t="shared" si="122"/>
        <v>0</v>
      </c>
    </row>
    <row r="275" spans="1:100" x14ac:dyDescent="0.25">
      <c r="A275" s="319">
        <f t="shared" si="117"/>
        <v>0</v>
      </c>
      <c r="B275" s="319">
        <f t="shared" si="121"/>
        <v>0</v>
      </c>
      <c r="C275" s="340" t="s">
        <v>1304</v>
      </c>
      <c r="D275" s="341" t="s">
        <v>367</v>
      </c>
      <c r="E275" s="341">
        <v>10</v>
      </c>
      <c r="F275" s="341" t="str">
        <f>IF(AND(E275&lt;CharacterSheet!$V$34,'House Rules'!$B$2="available",OR('House Rules'!$B$7="Standard",AND('House Rules'!$B$7="Ranked",G274="Yes"))),"Yes","No")</f>
        <v>No</v>
      </c>
      <c r="G275" s="564" t="s">
        <v>347</v>
      </c>
      <c r="H275" s="333" t="str">
        <f>IF(C275="","",VLOOKUP(C275,Boonref2!A:B,2,FALSE))</f>
        <v>Yes</v>
      </c>
      <c r="I275" s="333"/>
      <c r="J275" s="333" t="str">
        <f>VLOOKUP(C275,BoonRef!A:Z,17,FALSE)</f>
        <v>Yes</v>
      </c>
      <c r="K275" s="333" t="str">
        <f>IF(J275="God",'House Rules'!$B$2,IF(J275="Demi",'House Rules'!$B$1,IF(J275="Comp",'House Rules'!$B$4,IF(J275="Yaz",'House Rules'!$B$5,IF(J275="Rag",'House Rules'!$B$3,"Available")))))</f>
        <v>Available</v>
      </c>
      <c r="L275" s="333"/>
      <c r="M275" s="333"/>
      <c r="BF275" s="319">
        <f t="shared" si="115"/>
        <v>0</v>
      </c>
      <c r="BG275" s="340" t="s">
        <v>1247</v>
      </c>
      <c r="BI275" s="319">
        <f t="shared" si="118"/>
        <v>0</v>
      </c>
      <c r="BJ275" s="319">
        <f t="shared" si="122"/>
        <v>0</v>
      </c>
      <c r="BK275" s="319">
        <f t="shared" si="122"/>
        <v>0</v>
      </c>
      <c r="BL275" s="319">
        <f t="shared" si="122"/>
        <v>0</v>
      </c>
      <c r="BM275" s="319">
        <f t="shared" si="122"/>
        <v>0</v>
      </c>
      <c r="BN275" s="319">
        <f t="shared" si="122"/>
        <v>0</v>
      </c>
      <c r="BO275" s="319">
        <f t="shared" si="122"/>
        <v>0</v>
      </c>
      <c r="BP275" s="319">
        <f t="shared" si="122"/>
        <v>0</v>
      </c>
      <c r="BQ275" s="319">
        <f t="shared" si="122"/>
        <v>0</v>
      </c>
      <c r="BR275" s="319">
        <f t="shared" si="122"/>
        <v>0</v>
      </c>
      <c r="BS275" s="319">
        <f t="shared" si="122"/>
        <v>0</v>
      </c>
      <c r="BT275" s="319">
        <f t="shared" si="122"/>
        <v>0</v>
      </c>
      <c r="BU275" s="319">
        <f t="shared" si="122"/>
        <v>0</v>
      </c>
      <c r="BV275" s="319">
        <f t="shared" si="122"/>
        <v>0</v>
      </c>
      <c r="BW275" s="319">
        <f t="shared" si="122"/>
        <v>0</v>
      </c>
      <c r="BX275" s="319">
        <f t="shared" si="122"/>
        <v>0</v>
      </c>
      <c r="BY275" s="319">
        <f t="shared" si="122"/>
        <v>0</v>
      </c>
      <c r="BZ275" s="319">
        <f t="shared" si="122"/>
        <v>0</v>
      </c>
      <c r="CA275" s="319">
        <f t="shared" si="122"/>
        <v>0</v>
      </c>
      <c r="CB275" s="319">
        <f t="shared" si="122"/>
        <v>0</v>
      </c>
      <c r="CC275" s="319">
        <f t="shared" si="122"/>
        <v>0</v>
      </c>
      <c r="CD275" s="319">
        <f t="shared" si="122"/>
        <v>0</v>
      </c>
      <c r="CE275" s="319">
        <f t="shared" si="122"/>
        <v>0</v>
      </c>
      <c r="CF275" s="319">
        <f t="shared" si="122"/>
        <v>0</v>
      </c>
      <c r="CG275" s="319">
        <f t="shared" si="122"/>
        <v>0</v>
      </c>
      <c r="CH275" s="319">
        <f t="shared" si="122"/>
        <v>0</v>
      </c>
      <c r="CI275" s="319">
        <f t="shared" si="122"/>
        <v>0</v>
      </c>
      <c r="CJ275" s="319">
        <f t="shared" si="122"/>
        <v>0</v>
      </c>
      <c r="CK275" s="319">
        <f t="shared" si="122"/>
        <v>0</v>
      </c>
      <c r="CL275" s="319">
        <f t="shared" si="122"/>
        <v>0</v>
      </c>
      <c r="CM275" s="319">
        <f t="shared" si="122"/>
        <v>0</v>
      </c>
      <c r="CN275" s="319">
        <f t="shared" si="122"/>
        <v>0</v>
      </c>
      <c r="CO275" s="319">
        <f t="shared" si="122"/>
        <v>0</v>
      </c>
      <c r="CP275" s="319">
        <f t="shared" si="122"/>
        <v>0</v>
      </c>
      <c r="CQ275" s="319">
        <f t="shared" si="122"/>
        <v>0</v>
      </c>
      <c r="CR275" s="319">
        <f t="shared" si="122"/>
        <v>0</v>
      </c>
      <c r="CS275" s="319">
        <f t="shared" si="122"/>
        <v>0</v>
      </c>
      <c r="CT275" s="319">
        <f t="shared" si="122"/>
        <v>0</v>
      </c>
      <c r="CU275" s="319">
        <f t="shared" si="122"/>
        <v>0</v>
      </c>
      <c r="CV275" s="319">
        <f t="shared" si="122"/>
        <v>0</v>
      </c>
    </row>
    <row r="276" spans="1:100" ht="15.75" thickBot="1" x14ac:dyDescent="0.3">
      <c r="A276" s="319">
        <f t="shared" si="117"/>
        <v>0</v>
      </c>
      <c r="B276" s="319">
        <f t="shared" si="121"/>
        <v>0</v>
      </c>
      <c r="C276" s="352" t="s">
        <v>1305</v>
      </c>
      <c r="D276" s="353" t="s">
        <v>367</v>
      </c>
      <c r="E276" s="353">
        <v>11</v>
      </c>
      <c r="F276" s="353" t="str">
        <f>IF(AND(E25&lt;CharacterSheet!$V$34,G265="Yes",G266="Yes",G267="Yes",G270="Yes",G271="Yes",OR(G272="Yes",G273="Yes"),G274="Yes",G275="Yes",OR(G263="Yes",G264="Yes"),OR(G268="Yes",G269="Yes")),"Yes","No")</f>
        <v>No</v>
      </c>
      <c r="G276" s="565" t="s">
        <v>347</v>
      </c>
      <c r="H276" s="333" t="str">
        <f>IF(C276="","",VLOOKUP(C276,Boonref2!A:B,2,FALSE))</f>
        <v>No</v>
      </c>
      <c r="I276" s="333"/>
      <c r="J276" s="333" t="str">
        <f>VLOOKUP(C276,BoonRef!A:Z,17,FALSE)</f>
        <v>Yes</v>
      </c>
      <c r="K276" s="333" t="str">
        <f>IF(J276="God",'House Rules'!$B$2,IF(J276="Demi",'House Rules'!$B$1,IF(J276="Comp",'House Rules'!$B$4,IF(J276="Yaz",'House Rules'!$B$5,IF(J276="Rag",'House Rules'!$B$3,"Available")))))</f>
        <v>Available</v>
      </c>
      <c r="L276" s="333"/>
      <c r="M276" s="333"/>
      <c r="BF276" s="319">
        <f t="shared" si="115"/>
        <v>0</v>
      </c>
      <c r="BG276" s="340" t="s">
        <v>1382</v>
      </c>
      <c r="BI276" s="319">
        <f t="shared" si="118"/>
        <v>0</v>
      </c>
      <c r="BJ276" s="319">
        <f t="shared" si="122"/>
        <v>0</v>
      </c>
      <c r="BK276" s="319">
        <f t="shared" si="122"/>
        <v>0</v>
      </c>
      <c r="BL276" s="319">
        <f t="shared" si="122"/>
        <v>0</v>
      </c>
      <c r="BM276" s="319">
        <f t="shared" si="122"/>
        <v>0</v>
      </c>
      <c r="BN276" s="319">
        <f t="shared" si="122"/>
        <v>0</v>
      </c>
      <c r="BO276" s="319">
        <f t="shared" si="122"/>
        <v>0</v>
      </c>
      <c r="BP276" s="319">
        <f t="shared" si="122"/>
        <v>0</v>
      </c>
      <c r="BQ276" s="319">
        <f t="shared" si="122"/>
        <v>0</v>
      </c>
      <c r="BR276" s="319">
        <f t="shared" si="122"/>
        <v>0</v>
      </c>
      <c r="BS276" s="319">
        <f t="shared" si="122"/>
        <v>0</v>
      </c>
      <c r="BT276" s="319">
        <f t="shared" si="122"/>
        <v>0</v>
      </c>
      <c r="BU276" s="319">
        <f t="shared" si="122"/>
        <v>0</v>
      </c>
      <c r="BV276" s="319">
        <f t="shared" si="122"/>
        <v>0</v>
      </c>
      <c r="BW276" s="319">
        <f t="shared" si="122"/>
        <v>0</v>
      </c>
      <c r="BX276" s="319">
        <f t="shared" si="122"/>
        <v>0</v>
      </c>
      <c r="BY276" s="319">
        <f t="shared" si="122"/>
        <v>0</v>
      </c>
      <c r="BZ276" s="319">
        <f t="shared" si="122"/>
        <v>0</v>
      </c>
      <c r="CA276" s="319">
        <f t="shared" si="122"/>
        <v>0</v>
      </c>
      <c r="CB276" s="319">
        <f t="shared" si="122"/>
        <v>0</v>
      </c>
      <c r="CC276" s="319">
        <f t="shared" si="122"/>
        <v>0</v>
      </c>
      <c r="CD276" s="319">
        <f t="shared" si="122"/>
        <v>0</v>
      </c>
      <c r="CE276" s="319">
        <f t="shared" si="122"/>
        <v>0</v>
      </c>
      <c r="CF276" s="319">
        <f t="shared" si="122"/>
        <v>0</v>
      </c>
      <c r="CG276" s="319">
        <f t="shared" si="122"/>
        <v>0</v>
      </c>
      <c r="CH276" s="319">
        <f t="shared" si="122"/>
        <v>0</v>
      </c>
      <c r="CI276" s="319">
        <f t="shared" si="122"/>
        <v>0</v>
      </c>
      <c r="CJ276" s="319">
        <f t="shared" si="122"/>
        <v>0</v>
      </c>
      <c r="CK276" s="319">
        <f t="shared" si="122"/>
        <v>0</v>
      </c>
      <c r="CL276" s="319">
        <f t="shared" si="122"/>
        <v>0</v>
      </c>
      <c r="CM276" s="319">
        <f t="shared" si="122"/>
        <v>0</v>
      </c>
      <c r="CN276" s="319">
        <f t="shared" si="122"/>
        <v>0</v>
      </c>
      <c r="CO276" s="319">
        <f t="shared" si="122"/>
        <v>0</v>
      </c>
      <c r="CP276" s="319">
        <f t="shared" si="122"/>
        <v>0</v>
      </c>
      <c r="CQ276" s="319">
        <f t="shared" si="122"/>
        <v>0</v>
      </c>
      <c r="CR276" s="319">
        <f t="shared" si="122"/>
        <v>0</v>
      </c>
      <c r="CS276" s="319">
        <f t="shared" si="122"/>
        <v>0</v>
      </c>
      <c r="CT276" s="319">
        <f t="shared" si="122"/>
        <v>0</v>
      </c>
      <c r="CU276" s="319">
        <f t="shared" si="122"/>
        <v>0</v>
      </c>
      <c r="CV276" s="319">
        <f t="shared" si="122"/>
        <v>0</v>
      </c>
    </row>
    <row r="277" spans="1:100" x14ac:dyDescent="0.25">
      <c r="A277" s="319">
        <f t="shared" si="117"/>
        <v>0</v>
      </c>
      <c r="B277" s="319">
        <f t="shared" si="121"/>
        <v>0</v>
      </c>
      <c r="C277" s="330" t="s">
        <v>1130</v>
      </c>
      <c r="D277" s="331" t="s">
        <v>371</v>
      </c>
      <c r="E277" s="331">
        <v>1</v>
      </c>
      <c r="F277" s="331" t="str">
        <f>IF(AND(E277&lt;CharacterSheet!$V$34,OR('House Rules'!$B$9="Standard",AND('House Rules'!$B$9="Single",$G$278="No",$G$279="No",$G$280="No",$G$281="No"),AND('House Rules'!$B$9="Ten",COUNTIF($G$277:$G$306,"YES")&lt;10))),"Yes","No")</f>
        <v>Yes</v>
      </c>
      <c r="G277" s="563" t="s">
        <v>347</v>
      </c>
      <c r="H277" s="333" t="str">
        <f>IF(C277="","",VLOOKUP(C277,Boonref2!A:B,2,FALSE))</f>
        <v>Yes</v>
      </c>
      <c r="I277" s="333"/>
      <c r="J277" s="333" t="str">
        <f>VLOOKUP(C277,BoonRef!A:Z,17,FALSE)</f>
        <v>Yes</v>
      </c>
      <c r="K277" s="333" t="str">
        <f>IF(J277="God",'House Rules'!$B$2,IF(J277="Demi",'House Rules'!$B$1,IF(J277="Comp",'House Rules'!$B$4,IF(J277="Yaz",'House Rules'!$B$5,IF(J277="Rag",'House Rules'!$B$3,"Available")))))</f>
        <v>Available</v>
      </c>
      <c r="L277" s="333"/>
      <c r="M277" s="333"/>
      <c r="BF277" s="319">
        <f t="shared" si="115"/>
        <v>0</v>
      </c>
      <c r="BG277" s="566" t="s">
        <v>2629</v>
      </c>
      <c r="BI277" s="319">
        <f t="shared" si="118"/>
        <v>0</v>
      </c>
      <c r="BJ277" s="319">
        <f t="shared" si="122"/>
        <v>0</v>
      </c>
      <c r="BK277" s="319">
        <f t="shared" si="122"/>
        <v>0</v>
      </c>
      <c r="BL277" s="319">
        <f t="shared" si="122"/>
        <v>0</v>
      </c>
      <c r="BM277" s="319">
        <f t="shared" si="122"/>
        <v>0</v>
      </c>
      <c r="BN277" s="319">
        <f t="shared" si="122"/>
        <v>0</v>
      </c>
      <c r="BO277" s="319">
        <f t="shared" si="122"/>
        <v>0</v>
      </c>
      <c r="BP277" s="319">
        <f t="shared" si="122"/>
        <v>0</v>
      </c>
      <c r="BQ277" s="319">
        <f t="shared" si="122"/>
        <v>0</v>
      </c>
      <c r="BR277" s="319">
        <f t="shared" si="122"/>
        <v>0</v>
      </c>
      <c r="BS277" s="319">
        <f t="shared" si="122"/>
        <v>0</v>
      </c>
      <c r="BT277" s="319">
        <f t="shared" si="122"/>
        <v>0</v>
      </c>
      <c r="BU277" s="319">
        <f t="shared" si="122"/>
        <v>0</v>
      </c>
      <c r="BV277" s="319">
        <f t="shared" si="122"/>
        <v>0</v>
      </c>
      <c r="BW277" s="319">
        <f t="shared" si="122"/>
        <v>0</v>
      </c>
      <c r="BX277" s="319">
        <f t="shared" si="122"/>
        <v>0</v>
      </c>
      <c r="BY277" s="319">
        <f t="shared" si="122"/>
        <v>0</v>
      </c>
      <c r="BZ277" s="319">
        <f t="shared" si="122"/>
        <v>0</v>
      </c>
      <c r="CA277" s="319">
        <f t="shared" si="122"/>
        <v>0</v>
      </c>
      <c r="CB277" s="319">
        <f t="shared" si="122"/>
        <v>0</v>
      </c>
      <c r="CC277" s="319">
        <f t="shared" si="122"/>
        <v>0</v>
      </c>
      <c r="CD277" s="319">
        <f t="shared" si="122"/>
        <v>0</v>
      </c>
      <c r="CE277" s="319">
        <f t="shared" si="122"/>
        <v>0</v>
      </c>
      <c r="CF277" s="319">
        <f t="shared" si="122"/>
        <v>0</v>
      </c>
      <c r="CG277" s="319">
        <f t="shared" si="122"/>
        <v>0</v>
      </c>
      <c r="CH277" s="319">
        <f t="shared" si="122"/>
        <v>0</v>
      </c>
      <c r="CI277" s="319">
        <f t="shared" si="122"/>
        <v>0</v>
      </c>
      <c r="CJ277" s="319">
        <f t="shared" si="122"/>
        <v>0</v>
      </c>
      <c r="CK277" s="319">
        <f t="shared" si="122"/>
        <v>0</v>
      </c>
      <c r="CL277" s="319">
        <f t="shared" si="122"/>
        <v>0</v>
      </c>
      <c r="CM277" s="319">
        <f t="shared" si="122"/>
        <v>0</v>
      </c>
      <c r="CN277" s="319">
        <f t="shared" si="122"/>
        <v>0</v>
      </c>
      <c r="CO277" s="319">
        <f t="shared" si="122"/>
        <v>0</v>
      </c>
      <c r="CP277" s="319">
        <f t="shared" si="122"/>
        <v>0</v>
      </c>
      <c r="CQ277" s="319">
        <f t="shared" si="122"/>
        <v>0</v>
      </c>
      <c r="CR277" s="319">
        <f t="shared" si="122"/>
        <v>0</v>
      </c>
      <c r="CS277" s="319">
        <f t="shared" si="122"/>
        <v>0</v>
      </c>
      <c r="CT277" s="319">
        <f t="shared" si="122"/>
        <v>0</v>
      </c>
      <c r="CU277" s="319">
        <f t="shared" si="122"/>
        <v>0</v>
      </c>
      <c r="CV277" s="319">
        <f t="shared" si="122"/>
        <v>0</v>
      </c>
    </row>
    <row r="278" spans="1:100" x14ac:dyDescent="0.25">
      <c r="A278" s="319">
        <f t="shared" si="117"/>
        <v>0</v>
      </c>
      <c r="B278" s="319">
        <f t="shared" si="121"/>
        <v>0</v>
      </c>
      <c r="C278" s="340" t="s">
        <v>1411</v>
      </c>
      <c r="D278" s="341" t="s">
        <v>371</v>
      </c>
      <c r="E278" s="341">
        <v>1</v>
      </c>
      <c r="F278" s="341" t="str">
        <f>IF(AND(E278&lt;CharacterSheet!$V$34,'House Rules'!$B$4="Available",OR('House Rules'!$B$9="Standard",AND('House Rules'!$B$9="Single",$G$277="No",$G$279="No",$G$280="No",$G$281="No"),AND('House Rules'!$B$9="Ten",COUNTIF($G$277:$G$306,"YES")&lt;10))),"Yes","No")</f>
        <v>Yes</v>
      </c>
      <c r="G278" s="564" t="s">
        <v>347</v>
      </c>
      <c r="H278" s="333" t="str">
        <f>IF(C278="","",VLOOKUP(C278,Boonref2!A:B,2,FALSE))</f>
        <v>Yes</v>
      </c>
      <c r="I278" s="333"/>
      <c r="J278" s="333" t="str">
        <f>VLOOKUP(C278,BoonRef!A:Z,17,FALSE)</f>
        <v>Yes</v>
      </c>
      <c r="K278" s="333" t="str">
        <f>IF(J278="God",'House Rules'!$B$2,IF(J278="Demi",'House Rules'!$B$1,IF(J278="Comp",'House Rules'!$B$4,IF(J278="Yaz",'House Rules'!$B$5,IF(J278="Rag",'House Rules'!$B$3,"Available")))))</f>
        <v>Available</v>
      </c>
      <c r="L278" s="333"/>
      <c r="M278" s="333"/>
      <c r="BF278" s="319">
        <f t="shared" si="115"/>
        <v>0</v>
      </c>
      <c r="BG278" s="340" t="s">
        <v>1248</v>
      </c>
      <c r="BI278" s="319">
        <f t="shared" si="118"/>
        <v>0</v>
      </c>
      <c r="BJ278" s="319">
        <f t="shared" si="122"/>
        <v>0</v>
      </c>
      <c r="BK278" s="319">
        <f t="shared" si="122"/>
        <v>0</v>
      </c>
      <c r="BL278" s="319">
        <f t="shared" si="122"/>
        <v>0</v>
      </c>
      <c r="BM278" s="319">
        <f t="shared" si="122"/>
        <v>0</v>
      </c>
      <c r="BN278" s="319">
        <f t="shared" si="122"/>
        <v>0</v>
      </c>
      <c r="BO278" s="319">
        <f t="shared" si="122"/>
        <v>0</v>
      </c>
      <c r="BP278" s="319">
        <f t="shared" si="122"/>
        <v>0</v>
      </c>
      <c r="BQ278" s="319">
        <f t="shared" si="122"/>
        <v>0</v>
      </c>
      <c r="BR278" s="319">
        <f t="shared" si="122"/>
        <v>0</v>
      </c>
      <c r="BS278" s="319">
        <f t="shared" si="122"/>
        <v>0</v>
      </c>
      <c r="BT278" s="319">
        <f t="shared" si="122"/>
        <v>0</v>
      </c>
      <c r="BU278" s="319">
        <f t="shared" si="122"/>
        <v>0</v>
      </c>
      <c r="BV278" s="319">
        <f t="shared" si="122"/>
        <v>0</v>
      </c>
      <c r="BW278" s="319">
        <f t="shared" si="122"/>
        <v>0</v>
      </c>
      <c r="BX278" s="319">
        <f t="shared" si="122"/>
        <v>0</v>
      </c>
      <c r="BY278" s="319">
        <f t="shared" si="122"/>
        <v>0</v>
      </c>
      <c r="BZ278" s="319">
        <f t="shared" si="122"/>
        <v>0</v>
      </c>
      <c r="CA278" s="319">
        <f t="shared" si="122"/>
        <v>0</v>
      </c>
      <c r="CB278" s="319">
        <f t="shared" si="122"/>
        <v>0</v>
      </c>
      <c r="CC278" s="319">
        <f t="shared" si="122"/>
        <v>0</v>
      </c>
      <c r="CD278" s="319">
        <f t="shared" si="122"/>
        <v>0</v>
      </c>
      <c r="CE278" s="319">
        <f t="shared" si="122"/>
        <v>0</v>
      </c>
      <c r="CF278" s="319">
        <f t="shared" si="122"/>
        <v>0</v>
      </c>
      <c r="CG278" s="319">
        <f t="shared" si="122"/>
        <v>0</v>
      </c>
      <c r="CH278" s="319">
        <f t="shared" si="122"/>
        <v>0</v>
      </c>
      <c r="CI278" s="319">
        <f t="shared" si="122"/>
        <v>0</v>
      </c>
      <c r="CJ278" s="319">
        <f t="shared" si="122"/>
        <v>0</v>
      </c>
      <c r="CK278" s="319">
        <f t="shared" si="122"/>
        <v>0</v>
      </c>
      <c r="CL278" s="319">
        <f t="shared" si="122"/>
        <v>0</v>
      </c>
      <c r="CM278" s="319">
        <f t="shared" si="122"/>
        <v>0</v>
      </c>
      <c r="CN278" s="319">
        <f t="shared" si="122"/>
        <v>0</v>
      </c>
      <c r="CO278" s="319">
        <f t="shared" si="122"/>
        <v>0</v>
      </c>
      <c r="CP278" s="319">
        <f t="shared" si="122"/>
        <v>0</v>
      </c>
      <c r="CQ278" s="319">
        <f t="shared" si="122"/>
        <v>0</v>
      </c>
      <c r="CR278" s="319">
        <f t="shared" si="122"/>
        <v>0</v>
      </c>
      <c r="CS278" s="319">
        <f t="shared" si="122"/>
        <v>0</v>
      </c>
      <c r="CT278" s="319">
        <f t="shared" si="122"/>
        <v>0</v>
      </c>
      <c r="CU278" s="319">
        <f t="shared" si="122"/>
        <v>0</v>
      </c>
      <c r="CV278" s="319">
        <f t="shared" si="122"/>
        <v>0</v>
      </c>
    </row>
    <row r="279" spans="1:100" x14ac:dyDescent="0.25">
      <c r="A279" s="319">
        <f t="shared" si="117"/>
        <v>0</v>
      </c>
      <c r="B279" s="319">
        <f t="shared" si="121"/>
        <v>0</v>
      </c>
      <c r="C279" s="340" t="s">
        <v>1510</v>
      </c>
      <c r="D279" s="341" t="s">
        <v>371</v>
      </c>
      <c r="E279" s="341">
        <v>1</v>
      </c>
      <c r="F279" s="341" t="str">
        <f>IF(AND(E279&lt;CharacterSheet!$V$34,OR('House Rules'!$B$9="Standard",AND('House Rules'!$B$9="Single",$G$278="No",$G$277="No",$G$280="No",$G$281="No"),AND('House Rules'!$B$9="Ten",COUNTIF($G$277:$G$306,"YES")&lt;10))),"Yes","No")</f>
        <v>Yes</v>
      </c>
      <c r="G279" s="564" t="s">
        <v>347</v>
      </c>
      <c r="H279" s="333" t="str">
        <f>IF(C279="","",VLOOKUP(C279,Boonref2!A:B,2,FALSE))</f>
        <v>Yes</v>
      </c>
      <c r="I279" s="333"/>
      <c r="J279" s="333" t="str">
        <f>VLOOKUP(C279,BoonRef!A:Z,17,FALSE)</f>
        <v>Yes</v>
      </c>
      <c r="K279" s="333" t="str">
        <f>IF(J279="God",'House Rules'!$B$2,IF(J279="Demi",'House Rules'!$B$1,IF(J279="Comp",'House Rules'!$B$4,IF(J279="Yaz",'House Rules'!$B$5,IF(J279="Rag",'House Rules'!$B$3,"Available")))))</f>
        <v>Available</v>
      </c>
      <c r="L279" s="333"/>
      <c r="M279" s="333"/>
      <c r="BF279" s="319">
        <f t="shared" si="115"/>
        <v>0</v>
      </c>
      <c r="BG279" s="340" t="s">
        <v>1249</v>
      </c>
      <c r="BI279" s="319">
        <f t="shared" si="118"/>
        <v>0</v>
      </c>
      <c r="BJ279" s="319">
        <f t="shared" ref="BJ279:CV285" si="123">IF(AND($D279=BJ$1,$G279="Yes"),$E279,0)</f>
        <v>0</v>
      </c>
      <c r="BK279" s="319">
        <f t="shared" si="123"/>
        <v>0</v>
      </c>
      <c r="BL279" s="319">
        <f t="shared" si="123"/>
        <v>0</v>
      </c>
      <c r="BM279" s="319">
        <f t="shared" si="123"/>
        <v>0</v>
      </c>
      <c r="BN279" s="319">
        <f t="shared" si="123"/>
        <v>0</v>
      </c>
      <c r="BO279" s="319">
        <f t="shared" si="123"/>
        <v>0</v>
      </c>
      <c r="BP279" s="319">
        <f t="shared" si="123"/>
        <v>0</v>
      </c>
      <c r="BQ279" s="319">
        <f t="shared" si="123"/>
        <v>0</v>
      </c>
      <c r="BR279" s="319">
        <f t="shared" si="123"/>
        <v>0</v>
      </c>
      <c r="BS279" s="319">
        <f t="shared" si="123"/>
        <v>0</v>
      </c>
      <c r="BT279" s="319">
        <f t="shared" si="123"/>
        <v>0</v>
      </c>
      <c r="BU279" s="319">
        <f t="shared" si="123"/>
        <v>0</v>
      </c>
      <c r="BV279" s="319">
        <f t="shared" si="123"/>
        <v>0</v>
      </c>
      <c r="BW279" s="319">
        <f t="shared" si="123"/>
        <v>0</v>
      </c>
      <c r="BX279" s="319">
        <f t="shared" si="123"/>
        <v>0</v>
      </c>
      <c r="BY279" s="319">
        <f t="shared" si="123"/>
        <v>0</v>
      </c>
      <c r="BZ279" s="319">
        <f t="shared" si="123"/>
        <v>0</v>
      </c>
      <c r="CA279" s="319">
        <f t="shared" si="123"/>
        <v>0</v>
      </c>
      <c r="CB279" s="319">
        <f t="shared" si="123"/>
        <v>0</v>
      </c>
      <c r="CC279" s="319">
        <f t="shared" si="123"/>
        <v>0</v>
      </c>
      <c r="CD279" s="319">
        <f t="shared" si="123"/>
        <v>0</v>
      </c>
      <c r="CE279" s="319">
        <f t="shared" si="123"/>
        <v>0</v>
      </c>
      <c r="CF279" s="319">
        <f t="shared" si="123"/>
        <v>0</v>
      </c>
      <c r="CG279" s="319">
        <f t="shared" si="123"/>
        <v>0</v>
      </c>
      <c r="CH279" s="319">
        <f t="shared" si="123"/>
        <v>0</v>
      </c>
      <c r="CI279" s="319">
        <f t="shared" si="123"/>
        <v>0</v>
      </c>
      <c r="CJ279" s="319">
        <f t="shared" si="123"/>
        <v>0</v>
      </c>
      <c r="CK279" s="319">
        <f t="shared" si="123"/>
        <v>0</v>
      </c>
      <c r="CL279" s="319">
        <f t="shared" si="123"/>
        <v>0</v>
      </c>
      <c r="CM279" s="319">
        <f t="shared" si="123"/>
        <v>0</v>
      </c>
      <c r="CN279" s="319">
        <f t="shared" si="123"/>
        <v>0</v>
      </c>
      <c r="CO279" s="319">
        <f t="shared" si="123"/>
        <v>0</v>
      </c>
      <c r="CP279" s="319">
        <f t="shared" si="123"/>
        <v>0</v>
      </c>
      <c r="CQ279" s="319">
        <f t="shared" si="123"/>
        <v>0</v>
      </c>
      <c r="CR279" s="319">
        <f t="shared" si="123"/>
        <v>0</v>
      </c>
      <c r="CS279" s="319">
        <f t="shared" si="123"/>
        <v>0</v>
      </c>
      <c r="CT279" s="319">
        <f t="shared" si="123"/>
        <v>0</v>
      </c>
      <c r="CU279" s="319">
        <f t="shared" si="123"/>
        <v>0</v>
      </c>
      <c r="CV279" s="319">
        <f t="shared" si="123"/>
        <v>0</v>
      </c>
    </row>
    <row r="280" spans="1:100" ht="15.75" thickBot="1" x14ac:dyDescent="0.3">
      <c r="A280" s="319">
        <f t="shared" si="117"/>
        <v>0</v>
      </c>
      <c r="B280" s="319">
        <f t="shared" si="121"/>
        <v>0</v>
      </c>
      <c r="C280" s="340" t="s">
        <v>1131</v>
      </c>
      <c r="D280" s="341" t="s">
        <v>371</v>
      </c>
      <c r="E280" s="341">
        <v>1</v>
      </c>
      <c r="F280" s="341" t="str">
        <f>IF(AND(E280&lt;CharacterSheet!$V$34,OR('House Rules'!$B$9="Standard",AND('House Rules'!$B$9="Single",$G$278="No",$G$279="No",$G$277="No",$G$281="No"),AND('House Rules'!$B$9="Ten",COUNTIF($G$277:$G$306,"YES")&lt;10))),"Yes","No")</f>
        <v>Yes</v>
      </c>
      <c r="G280" s="564" t="s">
        <v>347</v>
      </c>
      <c r="H280" s="333" t="str">
        <f>IF(C280="","",VLOOKUP(C280,Boonref2!A:B,2,FALSE))</f>
        <v>Yes</v>
      </c>
      <c r="I280" s="333"/>
      <c r="J280" s="333" t="str">
        <f>VLOOKUP(C280,BoonRef!A:Z,17,FALSE)</f>
        <v>Yes</v>
      </c>
      <c r="K280" s="333" t="str">
        <f>IF(J280="God",'House Rules'!$B$2,IF(J280="Demi",'House Rules'!$B$1,IF(J280="Comp",'House Rules'!$B$4,IF(J280="Yaz",'House Rules'!$B$5,IF(J280="Rag",'House Rules'!$B$3,"Available")))))</f>
        <v>Available</v>
      </c>
      <c r="L280" s="333"/>
      <c r="M280" s="333"/>
      <c r="BF280" s="319">
        <f t="shared" si="115"/>
        <v>0</v>
      </c>
      <c r="BG280" s="352" t="s">
        <v>1250</v>
      </c>
      <c r="BI280" s="319">
        <f t="shared" si="118"/>
        <v>0</v>
      </c>
      <c r="BJ280" s="319">
        <f t="shared" si="123"/>
        <v>0</v>
      </c>
      <c r="BK280" s="319">
        <f t="shared" si="123"/>
        <v>0</v>
      </c>
      <c r="BL280" s="319">
        <f t="shared" si="123"/>
        <v>0</v>
      </c>
      <c r="BM280" s="319">
        <f t="shared" si="123"/>
        <v>0</v>
      </c>
      <c r="BN280" s="319">
        <f t="shared" si="123"/>
        <v>0</v>
      </c>
      <c r="BO280" s="319">
        <f t="shared" si="123"/>
        <v>0</v>
      </c>
      <c r="BP280" s="319">
        <f t="shared" si="123"/>
        <v>0</v>
      </c>
      <c r="BQ280" s="319">
        <f t="shared" si="123"/>
        <v>0</v>
      </c>
      <c r="BR280" s="319">
        <f t="shared" si="123"/>
        <v>0</v>
      </c>
      <c r="BS280" s="319">
        <f t="shared" si="123"/>
        <v>0</v>
      </c>
      <c r="BT280" s="319">
        <f t="shared" si="123"/>
        <v>0</v>
      </c>
      <c r="BU280" s="319">
        <f t="shared" si="123"/>
        <v>0</v>
      </c>
      <c r="BV280" s="319">
        <f t="shared" si="123"/>
        <v>0</v>
      </c>
      <c r="BW280" s="319">
        <f t="shared" si="123"/>
        <v>0</v>
      </c>
      <c r="BX280" s="319">
        <f t="shared" si="123"/>
        <v>0</v>
      </c>
      <c r="BY280" s="319">
        <f t="shared" si="123"/>
        <v>0</v>
      </c>
      <c r="BZ280" s="319">
        <f t="shared" si="123"/>
        <v>0</v>
      </c>
      <c r="CA280" s="319">
        <f t="shared" si="123"/>
        <v>0</v>
      </c>
      <c r="CB280" s="319">
        <f t="shared" si="123"/>
        <v>0</v>
      </c>
      <c r="CC280" s="319">
        <f t="shared" si="123"/>
        <v>0</v>
      </c>
      <c r="CD280" s="319">
        <f t="shared" si="123"/>
        <v>0</v>
      </c>
      <c r="CE280" s="319">
        <f t="shared" si="123"/>
        <v>0</v>
      </c>
      <c r="CF280" s="319">
        <f t="shared" si="123"/>
        <v>0</v>
      </c>
      <c r="CG280" s="319">
        <f t="shared" si="123"/>
        <v>0</v>
      </c>
      <c r="CH280" s="319">
        <f t="shared" si="123"/>
        <v>0</v>
      </c>
      <c r="CI280" s="319">
        <f t="shared" si="123"/>
        <v>0</v>
      </c>
      <c r="CJ280" s="319">
        <f t="shared" si="123"/>
        <v>0</v>
      </c>
      <c r="CK280" s="319">
        <f t="shared" si="123"/>
        <v>0</v>
      </c>
      <c r="CL280" s="319">
        <f t="shared" si="123"/>
        <v>0</v>
      </c>
      <c r="CM280" s="319">
        <f t="shared" si="123"/>
        <v>0</v>
      </c>
      <c r="CN280" s="319">
        <f t="shared" si="123"/>
        <v>0</v>
      </c>
      <c r="CO280" s="319">
        <f t="shared" si="123"/>
        <v>0</v>
      </c>
      <c r="CP280" s="319">
        <f t="shared" si="123"/>
        <v>0</v>
      </c>
      <c r="CQ280" s="319">
        <f t="shared" si="123"/>
        <v>0</v>
      </c>
      <c r="CR280" s="319">
        <f t="shared" si="123"/>
        <v>0</v>
      </c>
      <c r="CS280" s="319">
        <f t="shared" si="123"/>
        <v>0</v>
      </c>
      <c r="CT280" s="319">
        <f t="shared" si="123"/>
        <v>0</v>
      </c>
      <c r="CU280" s="319">
        <f t="shared" si="123"/>
        <v>0</v>
      </c>
      <c r="CV280" s="319">
        <f t="shared" si="123"/>
        <v>0</v>
      </c>
    </row>
    <row r="281" spans="1:100" x14ac:dyDescent="0.25">
      <c r="A281" s="319">
        <f t="shared" si="117"/>
        <v>0</v>
      </c>
      <c r="B281" s="319">
        <f t="shared" si="121"/>
        <v>0</v>
      </c>
      <c r="C281" s="340" t="s">
        <v>1511</v>
      </c>
      <c r="D281" s="341" t="s">
        <v>371</v>
      </c>
      <c r="E281" s="341">
        <v>1</v>
      </c>
      <c r="F281" s="341" t="str">
        <f>IF(AND(E281&lt;CharacterSheet!$V$34,OR('House Rules'!$B$9="Standard",AND('House Rules'!$B$9="Single",$G$278="No",$G$279="No",$G$280="No",$G$277="No"),AND('House Rules'!$B$9="Ten",COUNTIF($G$277:$G$306,"YES")&lt;10))),"Yes","No")</f>
        <v>Yes</v>
      </c>
      <c r="G281" s="564" t="s">
        <v>347</v>
      </c>
      <c r="H281" s="333" t="str">
        <f>IF(C281="","",VLOOKUP(C281,Boonref2!A:B,2,FALSE))</f>
        <v>Yes</v>
      </c>
      <c r="I281" s="333"/>
      <c r="J281" s="333" t="str">
        <f>VLOOKUP(C281,BoonRef!A:Z,17,FALSE)</f>
        <v>Yes</v>
      </c>
      <c r="K281" s="333" t="str">
        <f>IF(J281="God",'House Rules'!$B$2,IF(J281="Demi",'House Rules'!$B$1,IF(J281="Comp",'House Rules'!$B$4,IF(J281="Yaz",'House Rules'!$B$5,IF(J281="Rag",'House Rules'!$B$3,"Available")))))</f>
        <v>Available</v>
      </c>
      <c r="L281" s="333"/>
      <c r="M281" s="333"/>
      <c r="BF281" s="319">
        <f t="shared" si="115"/>
        <v>0</v>
      </c>
      <c r="BG281" s="330" t="s">
        <v>1070</v>
      </c>
      <c r="BI281" s="319">
        <f t="shared" si="118"/>
        <v>0</v>
      </c>
      <c r="BJ281" s="319">
        <f t="shared" si="123"/>
        <v>0</v>
      </c>
      <c r="BK281" s="319">
        <f t="shared" si="123"/>
        <v>0</v>
      </c>
      <c r="BL281" s="319">
        <f t="shared" si="123"/>
        <v>0</v>
      </c>
      <c r="BM281" s="319">
        <f t="shared" si="123"/>
        <v>0</v>
      </c>
      <c r="BN281" s="319">
        <f t="shared" si="123"/>
        <v>0</v>
      </c>
      <c r="BO281" s="319">
        <f t="shared" si="123"/>
        <v>0</v>
      </c>
      <c r="BP281" s="319">
        <f t="shared" si="123"/>
        <v>0</v>
      </c>
      <c r="BQ281" s="319">
        <f t="shared" si="123"/>
        <v>0</v>
      </c>
      <c r="BR281" s="319">
        <f t="shared" si="123"/>
        <v>0</v>
      </c>
      <c r="BS281" s="319">
        <f t="shared" si="123"/>
        <v>0</v>
      </c>
      <c r="BT281" s="319">
        <f t="shared" si="123"/>
        <v>0</v>
      </c>
      <c r="BU281" s="319">
        <f t="shared" si="123"/>
        <v>0</v>
      </c>
      <c r="BV281" s="319">
        <f t="shared" si="123"/>
        <v>0</v>
      </c>
      <c r="BW281" s="319">
        <f t="shared" si="123"/>
        <v>0</v>
      </c>
      <c r="BX281" s="319">
        <f t="shared" si="123"/>
        <v>0</v>
      </c>
      <c r="BY281" s="319">
        <f t="shared" si="123"/>
        <v>0</v>
      </c>
      <c r="BZ281" s="319">
        <f t="shared" si="123"/>
        <v>0</v>
      </c>
      <c r="CA281" s="319">
        <f t="shared" si="123"/>
        <v>0</v>
      </c>
      <c r="CB281" s="319">
        <f t="shared" si="123"/>
        <v>0</v>
      </c>
      <c r="CC281" s="319">
        <f t="shared" si="123"/>
        <v>0</v>
      </c>
      <c r="CD281" s="319">
        <f t="shared" si="123"/>
        <v>0</v>
      </c>
      <c r="CE281" s="319">
        <f t="shared" si="123"/>
        <v>0</v>
      </c>
      <c r="CF281" s="319">
        <f t="shared" si="123"/>
        <v>0</v>
      </c>
      <c r="CG281" s="319">
        <f t="shared" si="123"/>
        <v>0</v>
      </c>
      <c r="CH281" s="319">
        <f t="shared" si="123"/>
        <v>0</v>
      </c>
      <c r="CI281" s="319">
        <f t="shared" si="123"/>
        <v>0</v>
      </c>
      <c r="CJ281" s="319">
        <f t="shared" si="123"/>
        <v>0</v>
      </c>
      <c r="CK281" s="319">
        <f t="shared" si="123"/>
        <v>0</v>
      </c>
      <c r="CL281" s="319">
        <f t="shared" si="123"/>
        <v>0</v>
      </c>
      <c r="CM281" s="319">
        <f t="shared" si="123"/>
        <v>0</v>
      </c>
      <c r="CN281" s="319">
        <f t="shared" si="123"/>
        <v>0</v>
      </c>
      <c r="CO281" s="319">
        <f t="shared" si="123"/>
        <v>0</v>
      </c>
      <c r="CP281" s="319">
        <f t="shared" si="123"/>
        <v>0</v>
      </c>
      <c r="CQ281" s="319">
        <f t="shared" si="123"/>
        <v>0</v>
      </c>
      <c r="CR281" s="319">
        <f t="shared" si="123"/>
        <v>0</v>
      </c>
      <c r="CS281" s="319">
        <f t="shared" si="123"/>
        <v>0</v>
      </c>
      <c r="CT281" s="319">
        <f t="shared" si="123"/>
        <v>0</v>
      </c>
      <c r="CU281" s="319">
        <f t="shared" si="123"/>
        <v>0</v>
      </c>
      <c r="CV281" s="319">
        <f t="shared" si="123"/>
        <v>0</v>
      </c>
    </row>
    <row r="282" spans="1:100" x14ac:dyDescent="0.25">
      <c r="A282" s="319">
        <f t="shared" si="117"/>
        <v>0</v>
      </c>
      <c r="B282" s="319">
        <f t="shared" si="121"/>
        <v>0</v>
      </c>
      <c r="C282" s="340" t="s">
        <v>1132</v>
      </c>
      <c r="D282" s="341" t="s">
        <v>371</v>
      </c>
      <c r="E282" s="341">
        <v>2</v>
      </c>
      <c r="F282" s="341" t="str">
        <f>IF(AND(E282&lt;CharacterSheet!$V$34,OR('House Rules'!$B$9="Standard",AND('House Rules'!$B$9="Single",$G$283="No",$G$284="No",$G$285="No",$G$286="No"),AND('House Rules'!$B$9="Ten",COUNTIF($G$277:$G$306,"YES")&lt;10)),OR('House Rules'!$B$8="Standard",AND('House Rules'!$B$8="Ranked",OR($G$277="Yes",$G$278="Yes",$G$279="Yes",$G$280="Yes",$G$281="Yes")))),"Yes","No")</f>
        <v>No</v>
      </c>
      <c r="G282" s="564" t="s">
        <v>347</v>
      </c>
      <c r="H282" s="333" t="str">
        <f>IF(C282="","",VLOOKUP(C282,Boonref2!A:B,2,FALSE))</f>
        <v>Yes</v>
      </c>
      <c r="I282" s="333"/>
      <c r="J282" s="333" t="str">
        <f>VLOOKUP(C282,BoonRef!A:Z,17,FALSE)</f>
        <v>Yes</v>
      </c>
      <c r="K282" s="333" t="str">
        <f>IF(J282="God",'House Rules'!$B$2,IF(J282="Demi",'House Rules'!$B$1,IF(J282="Comp",'House Rules'!$B$4,IF(J282="Yaz",'House Rules'!$B$5,IF(J282="Rag",'House Rules'!$B$3,"Available")))))</f>
        <v>Available</v>
      </c>
      <c r="L282" s="333"/>
      <c r="M282" s="333"/>
      <c r="BF282" s="319">
        <f t="shared" si="115"/>
        <v>0</v>
      </c>
      <c r="BG282" s="340" t="s">
        <v>1383</v>
      </c>
      <c r="BI282" s="319">
        <f t="shared" si="118"/>
        <v>0</v>
      </c>
      <c r="BJ282" s="319">
        <f t="shared" si="123"/>
        <v>0</v>
      </c>
      <c r="BK282" s="319">
        <f t="shared" si="123"/>
        <v>0</v>
      </c>
      <c r="BL282" s="319">
        <f t="shared" si="123"/>
        <v>0</v>
      </c>
      <c r="BM282" s="319">
        <f t="shared" si="123"/>
        <v>0</v>
      </c>
      <c r="BN282" s="319">
        <f t="shared" si="123"/>
        <v>0</v>
      </c>
      <c r="BO282" s="319">
        <f t="shared" si="123"/>
        <v>0</v>
      </c>
      <c r="BP282" s="319">
        <f t="shared" si="123"/>
        <v>0</v>
      </c>
      <c r="BQ282" s="319">
        <f t="shared" si="123"/>
        <v>0</v>
      </c>
      <c r="BR282" s="319">
        <f t="shared" si="123"/>
        <v>0</v>
      </c>
      <c r="BS282" s="319">
        <f t="shared" si="123"/>
        <v>0</v>
      </c>
      <c r="BT282" s="319">
        <f t="shared" si="123"/>
        <v>0</v>
      </c>
      <c r="BU282" s="319">
        <f t="shared" si="123"/>
        <v>0</v>
      </c>
      <c r="BV282" s="319">
        <f t="shared" si="123"/>
        <v>0</v>
      </c>
      <c r="BW282" s="319">
        <f t="shared" si="123"/>
        <v>0</v>
      </c>
      <c r="BX282" s="319">
        <f t="shared" si="123"/>
        <v>0</v>
      </c>
      <c r="BY282" s="319">
        <f t="shared" si="123"/>
        <v>0</v>
      </c>
      <c r="BZ282" s="319">
        <f t="shared" si="123"/>
        <v>0</v>
      </c>
      <c r="CA282" s="319">
        <f t="shared" si="123"/>
        <v>0</v>
      </c>
      <c r="CB282" s="319">
        <f t="shared" si="123"/>
        <v>0</v>
      </c>
      <c r="CC282" s="319">
        <f t="shared" si="123"/>
        <v>0</v>
      </c>
      <c r="CD282" s="319">
        <f t="shared" si="123"/>
        <v>0</v>
      </c>
      <c r="CE282" s="319">
        <f t="shared" si="123"/>
        <v>0</v>
      </c>
      <c r="CF282" s="319">
        <f t="shared" si="123"/>
        <v>0</v>
      </c>
      <c r="CG282" s="319">
        <f t="shared" si="123"/>
        <v>0</v>
      </c>
      <c r="CH282" s="319">
        <f t="shared" si="123"/>
        <v>0</v>
      </c>
      <c r="CI282" s="319">
        <f t="shared" si="123"/>
        <v>0</v>
      </c>
      <c r="CJ282" s="319">
        <f t="shared" si="123"/>
        <v>0</v>
      </c>
      <c r="CK282" s="319">
        <f t="shared" si="123"/>
        <v>0</v>
      </c>
      <c r="CL282" s="319">
        <f t="shared" si="123"/>
        <v>0</v>
      </c>
      <c r="CM282" s="319">
        <f t="shared" si="123"/>
        <v>0</v>
      </c>
      <c r="CN282" s="319">
        <f t="shared" si="123"/>
        <v>0</v>
      </c>
      <c r="CO282" s="319">
        <f t="shared" si="123"/>
        <v>0</v>
      </c>
      <c r="CP282" s="319">
        <f t="shared" si="123"/>
        <v>0</v>
      </c>
      <c r="CQ282" s="319">
        <f t="shared" si="123"/>
        <v>0</v>
      </c>
      <c r="CR282" s="319">
        <f t="shared" si="123"/>
        <v>0</v>
      </c>
      <c r="CS282" s="319">
        <f t="shared" si="123"/>
        <v>0</v>
      </c>
      <c r="CT282" s="319">
        <f t="shared" si="123"/>
        <v>0</v>
      </c>
      <c r="CU282" s="319">
        <f t="shared" si="123"/>
        <v>0</v>
      </c>
      <c r="CV282" s="319">
        <f t="shared" si="123"/>
        <v>0</v>
      </c>
    </row>
    <row r="283" spans="1:100" x14ac:dyDescent="0.25">
      <c r="A283" s="319">
        <f t="shared" si="117"/>
        <v>0</v>
      </c>
      <c r="B283" s="319">
        <f t="shared" si="121"/>
        <v>0</v>
      </c>
      <c r="C283" s="340" t="s">
        <v>1133</v>
      </c>
      <c r="D283" s="341" t="s">
        <v>371</v>
      </c>
      <c r="E283" s="341">
        <v>2</v>
      </c>
      <c r="F283" s="341" t="str">
        <f>IF(AND(E283&lt;CharacterSheet!$V$34,OR('House Rules'!$B$9="Standard",AND('House Rules'!$B$9="Single",$G$282="No",$G$284="No",$G$285="No",$G$286="No"),AND('House Rules'!$B$9="Ten",COUNTIF($G$277:$G$306,"YES")&lt;10)),OR('House Rules'!$B$8="Standard",AND('House Rules'!$B$8="Ranked",OR($G$277="Yes",$G$278="Yes",$G$279="Yes",$G$280="Yes",$G$281="Yes")))),"Yes","No")</f>
        <v>No</v>
      </c>
      <c r="G283" s="564" t="s">
        <v>347</v>
      </c>
      <c r="H283" s="333" t="str">
        <f>IF(C283="","",VLOOKUP(C283,Boonref2!A:B,2,FALSE))</f>
        <v>Yes</v>
      </c>
      <c r="I283" s="333"/>
      <c r="J283" s="333" t="str">
        <f>VLOOKUP(C283,BoonRef!A:Z,17,FALSE)</f>
        <v>Yes</v>
      </c>
      <c r="K283" s="333" t="str">
        <f>IF(J283="God",'House Rules'!$B$2,IF(J283="Demi",'House Rules'!$B$1,IF(J283="Comp",'House Rules'!$B$4,IF(J283="Yaz",'House Rules'!$B$5,IF(J283="Rag",'House Rules'!$B$3,"Available")))))</f>
        <v>Available</v>
      </c>
      <c r="L283" s="333"/>
      <c r="M283" s="333"/>
      <c r="BF283" s="319">
        <f t="shared" si="115"/>
        <v>0</v>
      </c>
      <c r="BG283" s="340" t="s">
        <v>1071</v>
      </c>
      <c r="BI283" s="319">
        <f t="shared" si="118"/>
        <v>0</v>
      </c>
      <c r="BJ283" s="319">
        <f t="shared" si="123"/>
        <v>0</v>
      </c>
      <c r="BK283" s="319">
        <f t="shared" si="123"/>
        <v>0</v>
      </c>
      <c r="BL283" s="319">
        <f t="shared" si="123"/>
        <v>0</v>
      </c>
      <c r="BM283" s="319">
        <f t="shared" si="123"/>
        <v>0</v>
      </c>
      <c r="BN283" s="319">
        <f t="shared" si="123"/>
        <v>0</v>
      </c>
      <c r="BO283" s="319">
        <f t="shared" si="123"/>
        <v>0</v>
      </c>
      <c r="BP283" s="319">
        <f t="shared" si="123"/>
        <v>0</v>
      </c>
      <c r="BQ283" s="319">
        <f t="shared" si="123"/>
        <v>0</v>
      </c>
      <c r="BR283" s="319">
        <f t="shared" si="123"/>
        <v>0</v>
      </c>
      <c r="BS283" s="319">
        <f t="shared" si="123"/>
        <v>0</v>
      </c>
      <c r="BT283" s="319">
        <f t="shared" si="123"/>
        <v>0</v>
      </c>
      <c r="BU283" s="319">
        <f t="shared" si="123"/>
        <v>0</v>
      </c>
      <c r="BV283" s="319">
        <f t="shared" si="123"/>
        <v>0</v>
      </c>
      <c r="BW283" s="319">
        <f t="shared" si="123"/>
        <v>0</v>
      </c>
      <c r="BX283" s="319">
        <f t="shared" si="123"/>
        <v>0</v>
      </c>
      <c r="BY283" s="319">
        <f t="shared" si="123"/>
        <v>0</v>
      </c>
      <c r="BZ283" s="319">
        <f t="shared" si="123"/>
        <v>0</v>
      </c>
      <c r="CA283" s="319">
        <f t="shared" si="123"/>
        <v>0</v>
      </c>
      <c r="CB283" s="319">
        <f t="shared" si="123"/>
        <v>0</v>
      </c>
      <c r="CC283" s="319">
        <f t="shared" si="123"/>
        <v>0</v>
      </c>
      <c r="CD283" s="319">
        <f t="shared" si="123"/>
        <v>0</v>
      </c>
      <c r="CE283" s="319">
        <f t="shared" si="123"/>
        <v>0</v>
      </c>
      <c r="CF283" s="319">
        <f t="shared" si="123"/>
        <v>0</v>
      </c>
      <c r="CG283" s="319">
        <f t="shared" si="123"/>
        <v>0</v>
      </c>
      <c r="CH283" s="319">
        <f t="shared" si="123"/>
        <v>0</v>
      </c>
      <c r="CI283" s="319">
        <f t="shared" si="123"/>
        <v>0</v>
      </c>
      <c r="CJ283" s="319">
        <f t="shared" si="123"/>
        <v>0</v>
      </c>
      <c r="CK283" s="319">
        <f t="shared" si="123"/>
        <v>0</v>
      </c>
      <c r="CL283" s="319">
        <f t="shared" si="123"/>
        <v>0</v>
      </c>
      <c r="CM283" s="319">
        <f t="shared" si="123"/>
        <v>0</v>
      </c>
      <c r="CN283" s="319">
        <f t="shared" si="123"/>
        <v>0</v>
      </c>
      <c r="CO283" s="319">
        <f t="shared" si="123"/>
        <v>0</v>
      </c>
      <c r="CP283" s="319">
        <f t="shared" si="123"/>
        <v>0</v>
      </c>
      <c r="CQ283" s="319">
        <f t="shared" si="123"/>
        <v>0</v>
      </c>
      <c r="CR283" s="319">
        <f t="shared" si="123"/>
        <v>0</v>
      </c>
      <c r="CS283" s="319">
        <f t="shared" si="123"/>
        <v>0</v>
      </c>
      <c r="CT283" s="319">
        <f t="shared" si="123"/>
        <v>0</v>
      </c>
      <c r="CU283" s="319">
        <f t="shared" si="123"/>
        <v>0</v>
      </c>
      <c r="CV283" s="319">
        <f t="shared" si="123"/>
        <v>0</v>
      </c>
    </row>
    <row r="284" spans="1:100" x14ac:dyDescent="0.25">
      <c r="A284" s="319">
        <f t="shared" si="117"/>
        <v>0</v>
      </c>
      <c r="B284" s="319">
        <f t="shared" si="121"/>
        <v>0</v>
      </c>
      <c r="C284" s="340" t="s">
        <v>1512</v>
      </c>
      <c r="D284" s="341" t="s">
        <v>371</v>
      </c>
      <c r="E284" s="341">
        <v>2</v>
      </c>
      <c r="F284" s="341" t="str">
        <f>IF(AND(E284&lt;CharacterSheet!$V$34,OR('House Rules'!$B$9="Standard",AND('House Rules'!$B$9="Single",$G$283="No",$G$282="No",$G$285="No",$G$286="No"),AND('House Rules'!$B$9="Ten",COUNTIF($G$277:$G$306,"YES")&lt;10)),OR('House Rules'!$B$8="Standard",AND('House Rules'!$B$8="Ranked",OR($G$277="Yes",$G$278="Yes",$G$279="Yes",$G$280="Yes",$G$281="Yes")))),"Yes","No")</f>
        <v>No</v>
      </c>
      <c r="G284" s="564" t="s">
        <v>347</v>
      </c>
      <c r="H284" s="333" t="str">
        <f>IF(C284="","",VLOOKUP(C284,Boonref2!A:B,2,FALSE))</f>
        <v>Yes</v>
      </c>
      <c r="I284" s="333"/>
      <c r="J284" s="333" t="str">
        <f>VLOOKUP(C284,BoonRef!A:Z,17,FALSE)</f>
        <v>Yes</v>
      </c>
      <c r="K284" s="333" t="str">
        <f>IF(J284="God",'House Rules'!$B$2,IF(J284="Demi",'House Rules'!$B$1,IF(J284="Comp",'House Rules'!$B$4,IF(J284="Yaz",'House Rules'!$B$5,IF(J284="Rag",'House Rules'!$B$3,"Available")))))</f>
        <v>Available</v>
      </c>
      <c r="L284" s="333"/>
      <c r="M284" s="333"/>
      <c r="BF284" s="319">
        <f t="shared" si="115"/>
        <v>0</v>
      </c>
      <c r="BG284" s="340" t="s">
        <v>1072</v>
      </c>
      <c r="BI284" s="319">
        <f t="shared" si="118"/>
        <v>0</v>
      </c>
      <c r="BJ284" s="319">
        <f t="shared" si="123"/>
        <v>0</v>
      </c>
      <c r="BK284" s="319">
        <f t="shared" si="123"/>
        <v>0</v>
      </c>
      <c r="BL284" s="319">
        <f t="shared" si="123"/>
        <v>0</v>
      </c>
      <c r="BM284" s="319">
        <f t="shared" si="123"/>
        <v>0</v>
      </c>
      <c r="BN284" s="319">
        <f t="shared" si="123"/>
        <v>0</v>
      </c>
      <c r="BO284" s="319">
        <f t="shared" si="123"/>
        <v>0</v>
      </c>
      <c r="BP284" s="319">
        <f t="shared" si="123"/>
        <v>0</v>
      </c>
      <c r="BQ284" s="319">
        <f t="shared" si="123"/>
        <v>0</v>
      </c>
      <c r="BR284" s="319">
        <f t="shared" si="123"/>
        <v>0</v>
      </c>
      <c r="BS284" s="319">
        <f t="shared" si="123"/>
        <v>0</v>
      </c>
      <c r="BT284" s="319">
        <f t="shared" si="123"/>
        <v>0</v>
      </c>
      <c r="BU284" s="319">
        <f t="shared" si="123"/>
        <v>0</v>
      </c>
      <c r="BV284" s="319">
        <f t="shared" si="123"/>
        <v>0</v>
      </c>
      <c r="BW284" s="319">
        <f t="shared" si="123"/>
        <v>0</v>
      </c>
      <c r="BX284" s="319">
        <f t="shared" si="123"/>
        <v>0</v>
      </c>
      <c r="BY284" s="319">
        <f t="shared" si="123"/>
        <v>0</v>
      </c>
      <c r="BZ284" s="319">
        <f t="shared" si="123"/>
        <v>0</v>
      </c>
      <c r="CA284" s="319">
        <f t="shared" si="123"/>
        <v>0</v>
      </c>
      <c r="CB284" s="319">
        <f t="shared" si="123"/>
        <v>0</v>
      </c>
      <c r="CC284" s="319">
        <f t="shared" si="123"/>
        <v>0</v>
      </c>
      <c r="CD284" s="319">
        <f t="shared" si="123"/>
        <v>0</v>
      </c>
      <c r="CE284" s="319">
        <f t="shared" si="123"/>
        <v>0</v>
      </c>
      <c r="CF284" s="319">
        <f t="shared" si="123"/>
        <v>0</v>
      </c>
      <c r="CG284" s="319">
        <f t="shared" si="123"/>
        <v>0</v>
      </c>
      <c r="CH284" s="319">
        <f t="shared" si="123"/>
        <v>0</v>
      </c>
      <c r="CI284" s="319">
        <f t="shared" si="123"/>
        <v>0</v>
      </c>
      <c r="CJ284" s="319">
        <f t="shared" si="123"/>
        <v>0</v>
      </c>
      <c r="CK284" s="319">
        <f t="shared" si="123"/>
        <v>0</v>
      </c>
      <c r="CL284" s="319">
        <f t="shared" si="123"/>
        <v>0</v>
      </c>
      <c r="CM284" s="319">
        <f t="shared" si="123"/>
        <v>0</v>
      </c>
      <c r="CN284" s="319">
        <f t="shared" si="123"/>
        <v>0</v>
      </c>
      <c r="CO284" s="319">
        <f t="shared" si="123"/>
        <v>0</v>
      </c>
      <c r="CP284" s="319">
        <f t="shared" si="123"/>
        <v>0</v>
      </c>
      <c r="CQ284" s="319">
        <f t="shared" si="123"/>
        <v>0</v>
      </c>
      <c r="CR284" s="319">
        <f t="shared" si="123"/>
        <v>0</v>
      </c>
      <c r="CS284" s="319">
        <f t="shared" si="123"/>
        <v>0</v>
      </c>
      <c r="CT284" s="319">
        <f t="shared" si="123"/>
        <v>0</v>
      </c>
      <c r="CU284" s="319">
        <f t="shared" si="123"/>
        <v>0</v>
      </c>
      <c r="CV284" s="319">
        <f t="shared" si="123"/>
        <v>0</v>
      </c>
    </row>
    <row r="285" spans="1:100" x14ac:dyDescent="0.25">
      <c r="A285" s="319">
        <f t="shared" si="117"/>
        <v>0</v>
      </c>
      <c r="B285" s="319">
        <f t="shared" si="121"/>
        <v>0</v>
      </c>
      <c r="C285" s="340" t="s">
        <v>1412</v>
      </c>
      <c r="D285" s="341" t="s">
        <v>371</v>
      </c>
      <c r="E285" s="341">
        <v>2</v>
      </c>
      <c r="F285" s="341" t="str">
        <f>IF(AND(E285&lt;CharacterSheet!$V$34,'House Rules'!$B$4="Available",OR('House Rules'!$B$9="Standard",AND('House Rules'!$B$9="Single",$G$283="No",$G$284="No",$G$282="No",$G$286="No"),AND('House Rules'!$B$9="Ten",COUNTIF($G$277:$G$306,"YES")&lt;10)),OR('House Rules'!$B$8="Standard",AND('House Rules'!$B$8="Ranked",OR($G$277="Yes",$G$278="Yes",$G$279="Yes",$G$280="Yes",$G$281="Yes")))),"Yes","No")</f>
        <v>No</v>
      </c>
      <c r="G285" s="564" t="s">
        <v>347</v>
      </c>
      <c r="H285" s="333" t="str">
        <f>IF(C285="","",VLOOKUP(C285,Boonref2!A:B,2,FALSE))</f>
        <v>Yes</v>
      </c>
      <c r="I285" s="333"/>
      <c r="J285" s="333" t="str">
        <f>VLOOKUP(C285,BoonRef!A:Z,17,FALSE)</f>
        <v>Yes</v>
      </c>
      <c r="K285" s="333" t="str">
        <f>IF(J285="God",'House Rules'!$B$2,IF(J285="Demi",'House Rules'!$B$1,IF(J285="Comp",'House Rules'!$B$4,IF(J285="Yaz",'House Rules'!$B$5,IF(J285="Rag",'House Rules'!$B$3,"Available")))))</f>
        <v>Available</v>
      </c>
      <c r="L285" s="333"/>
      <c r="M285" s="333"/>
      <c r="BF285" s="319">
        <f t="shared" ref="BF285:BF316" si="124">B44</f>
        <v>0</v>
      </c>
      <c r="BG285" s="340" t="s">
        <v>1384</v>
      </c>
      <c r="BI285" s="319">
        <f t="shared" si="118"/>
        <v>0</v>
      </c>
      <c r="BJ285" s="319">
        <f t="shared" si="123"/>
        <v>0</v>
      </c>
      <c r="BK285" s="319">
        <f t="shared" si="123"/>
        <v>0</v>
      </c>
      <c r="BL285" s="319">
        <f t="shared" si="123"/>
        <v>0</v>
      </c>
      <c r="BM285" s="319">
        <f t="shared" si="123"/>
        <v>0</v>
      </c>
      <c r="BN285" s="319">
        <f t="shared" si="123"/>
        <v>0</v>
      </c>
      <c r="BO285" s="319">
        <f t="shared" si="123"/>
        <v>0</v>
      </c>
      <c r="BP285" s="319">
        <f t="shared" si="123"/>
        <v>0</v>
      </c>
      <c r="BQ285" s="319">
        <f t="shared" si="123"/>
        <v>0</v>
      </c>
      <c r="BR285" s="319">
        <f t="shared" si="123"/>
        <v>0</v>
      </c>
      <c r="BS285" s="319">
        <f t="shared" si="123"/>
        <v>0</v>
      </c>
      <c r="BT285" s="319">
        <f t="shared" si="123"/>
        <v>0</v>
      </c>
      <c r="BU285" s="319">
        <f t="shared" si="123"/>
        <v>0</v>
      </c>
      <c r="BV285" s="319">
        <f t="shared" si="123"/>
        <v>0</v>
      </c>
      <c r="BW285" s="319">
        <f t="shared" si="123"/>
        <v>0</v>
      </c>
      <c r="BX285" s="319">
        <f t="shared" si="123"/>
        <v>0</v>
      </c>
      <c r="BY285" s="319">
        <f t="shared" si="123"/>
        <v>0</v>
      </c>
      <c r="BZ285" s="319">
        <f t="shared" si="123"/>
        <v>0</v>
      </c>
      <c r="CA285" s="319">
        <f t="shared" si="123"/>
        <v>0</v>
      </c>
      <c r="CB285" s="319">
        <f t="shared" si="123"/>
        <v>0</v>
      </c>
      <c r="CC285" s="319">
        <f t="shared" si="123"/>
        <v>0</v>
      </c>
      <c r="CD285" s="319">
        <f t="shared" si="123"/>
        <v>0</v>
      </c>
      <c r="CE285" s="319">
        <f t="shared" ref="BJ285:CV292" si="125">IF(AND($D285=CE$1,$G285="Yes"),$E285,0)</f>
        <v>0</v>
      </c>
      <c r="CF285" s="319">
        <f t="shared" si="125"/>
        <v>0</v>
      </c>
      <c r="CG285" s="319">
        <f t="shared" si="125"/>
        <v>0</v>
      </c>
      <c r="CH285" s="319">
        <f t="shared" si="125"/>
        <v>0</v>
      </c>
      <c r="CI285" s="319">
        <f t="shared" si="125"/>
        <v>0</v>
      </c>
      <c r="CJ285" s="319">
        <f t="shared" si="125"/>
        <v>0</v>
      </c>
      <c r="CK285" s="319">
        <f t="shared" si="125"/>
        <v>0</v>
      </c>
      <c r="CL285" s="319">
        <f t="shared" si="125"/>
        <v>0</v>
      </c>
      <c r="CM285" s="319">
        <f t="shared" si="125"/>
        <v>0</v>
      </c>
      <c r="CN285" s="319">
        <f t="shared" si="125"/>
        <v>0</v>
      </c>
      <c r="CO285" s="319">
        <f t="shared" si="125"/>
        <v>0</v>
      </c>
      <c r="CP285" s="319">
        <f t="shared" si="125"/>
        <v>0</v>
      </c>
      <c r="CQ285" s="319">
        <f t="shared" si="125"/>
        <v>0</v>
      </c>
      <c r="CR285" s="319">
        <f t="shared" si="125"/>
        <v>0</v>
      </c>
      <c r="CS285" s="319">
        <f t="shared" si="125"/>
        <v>0</v>
      </c>
      <c r="CT285" s="319">
        <f t="shared" si="125"/>
        <v>0</v>
      </c>
      <c r="CU285" s="319">
        <f t="shared" si="125"/>
        <v>0</v>
      </c>
      <c r="CV285" s="319">
        <f t="shared" si="125"/>
        <v>0</v>
      </c>
    </row>
    <row r="286" spans="1:100" x14ac:dyDescent="0.25">
      <c r="A286" s="319">
        <f t="shared" si="117"/>
        <v>0</v>
      </c>
      <c r="B286" s="319">
        <f t="shared" si="121"/>
        <v>0</v>
      </c>
      <c r="C286" s="340" t="s">
        <v>1134</v>
      </c>
      <c r="D286" s="341" t="s">
        <v>371</v>
      </c>
      <c r="E286" s="341">
        <v>2</v>
      </c>
      <c r="F286" s="341" t="str">
        <f>IF(AND(E286&lt;CharacterSheet!$V$34,OR('House Rules'!$B$9="Standard",AND('House Rules'!$B$9="Single",$G$283="No",$G$284="No",$G$285="No",$G$282="No"),AND('House Rules'!$B$9="Ten",COUNTIF($G$277:$G$306,"YES")&lt;10)),OR('House Rules'!$B$8="Standard",AND('House Rules'!$B$8="Ranked",OR($G$277="Yes",$G$278="Yes",$G$279="Yes",$G$280="Yes",$G$281="Yes")))),"Yes","No")</f>
        <v>No</v>
      </c>
      <c r="G286" s="564" t="s">
        <v>347</v>
      </c>
      <c r="H286" s="333" t="str">
        <f>IF(C286="","",VLOOKUP(C286,Boonref2!A:B,2,FALSE))</f>
        <v>Yes</v>
      </c>
      <c r="I286" s="333"/>
      <c r="J286" s="333" t="str">
        <f>VLOOKUP(C286,BoonRef!A:Z,17,FALSE)</f>
        <v>Yes</v>
      </c>
      <c r="K286" s="333" t="str">
        <f>IF(J286="God",'House Rules'!$B$2,IF(J286="Demi",'House Rules'!$B$1,IF(J286="Comp",'House Rules'!$B$4,IF(J286="Yaz",'House Rules'!$B$5,IF(J286="Rag",'House Rules'!$B$3,"Available")))))</f>
        <v>Available</v>
      </c>
      <c r="L286" s="333"/>
      <c r="M286" s="333"/>
      <c r="BF286" s="319">
        <f t="shared" si="124"/>
        <v>0</v>
      </c>
      <c r="BG286" s="340" t="s">
        <v>1151</v>
      </c>
      <c r="BI286" s="319">
        <f t="shared" si="118"/>
        <v>0</v>
      </c>
      <c r="BJ286" s="319">
        <f t="shared" si="125"/>
        <v>0</v>
      </c>
      <c r="BK286" s="319">
        <f t="shared" si="125"/>
        <v>0</v>
      </c>
      <c r="BL286" s="319">
        <f t="shared" si="125"/>
        <v>0</v>
      </c>
      <c r="BM286" s="319">
        <f t="shared" si="125"/>
        <v>0</v>
      </c>
      <c r="BN286" s="319">
        <f t="shared" si="125"/>
        <v>0</v>
      </c>
      <c r="BO286" s="319">
        <f t="shared" si="125"/>
        <v>0</v>
      </c>
      <c r="BP286" s="319">
        <f t="shared" si="125"/>
        <v>0</v>
      </c>
      <c r="BQ286" s="319">
        <f t="shared" si="125"/>
        <v>0</v>
      </c>
      <c r="BR286" s="319">
        <f t="shared" si="125"/>
        <v>0</v>
      </c>
      <c r="BS286" s="319">
        <f t="shared" si="125"/>
        <v>0</v>
      </c>
      <c r="BT286" s="319">
        <f t="shared" si="125"/>
        <v>0</v>
      </c>
      <c r="BU286" s="319">
        <f t="shared" si="125"/>
        <v>0</v>
      </c>
      <c r="BV286" s="319">
        <f t="shared" si="125"/>
        <v>0</v>
      </c>
      <c r="BW286" s="319">
        <f t="shared" si="125"/>
        <v>0</v>
      </c>
      <c r="BX286" s="319">
        <f t="shared" si="125"/>
        <v>0</v>
      </c>
      <c r="BY286" s="319">
        <f t="shared" si="125"/>
        <v>0</v>
      </c>
      <c r="BZ286" s="319">
        <f t="shared" si="125"/>
        <v>0</v>
      </c>
      <c r="CA286" s="319">
        <f t="shared" si="125"/>
        <v>0</v>
      </c>
      <c r="CB286" s="319">
        <f t="shared" si="125"/>
        <v>0</v>
      </c>
      <c r="CC286" s="319">
        <f t="shared" si="125"/>
        <v>0</v>
      </c>
      <c r="CD286" s="319">
        <f t="shared" si="125"/>
        <v>0</v>
      </c>
      <c r="CE286" s="319">
        <f t="shared" si="125"/>
        <v>0</v>
      </c>
      <c r="CF286" s="319">
        <f t="shared" si="125"/>
        <v>0</v>
      </c>
      <c r="CG286" s="319">
        <f t="shared" si="125"/>
        <v>0</v>
      </c>
      <c r="CH286" s="319">
        <f t="shared" si="125"/>
        <v>0</v>
      </c>
      <c r="CI286" s="319">
        <f t="shared" si="125"/>
        <v>0</v>
      </c>
      <c r="CJ286" s="319">
        <f t="shared" si="125"/>
        <v>0</v>
      </c>
      <c r="CK286" s="319">
        <f t="shared" si="125"/>
        <v>0</v>
      </c>
      <c r="CL286" s="319">
        <f t="shared" si="125"/>
        <v>0</v>
      </c>
      <c r="CM286" s="319">
        <f t="shared" si="125"/>
        <v>0</v>
      </c>
      <c r="CN286" s="319">
        <f t="shared" si="125"/>
        <v>0</v>
      </c>
      <c r="CO286" s="319">
        <f t="shared" si="125"/>
        <v>0</v>
      </c>
      <c r="CP286" s="319">
        <f t="shared" si="125"/>
        <v>0</v>
      </c>
      <c r="CQ286" s="319">
        <f t="shared" si="125"/>
        <v>0</v>
      </c>
      <c r="CR286" s="319">
        <f t="shared" si="125"/>
        <v>0</v>
      </c>
      <c r="CS286" s="319">
        <f t="shared" si="125"/>
        <v>0</v>
      </c>
      <c r="CT286" s="319">
        <f t="shared" si="125"/>
        <v>0</v>
      </c>
      <c r="CU286" s="319">
        <f t="shared" si="125"/>
        <v>0</v>
      </c>
      <c r="CV286" s="319">
        <f t="shared" si="125"/>
        <v>0</v>
      </c>
    </row>
    <row r="287" spans="1:100" x14ac:dyDescent="0.25">
      <c r="A287" s="319">
        <f t="shared" si="117"/>
        <v>0</v>
      </c>
      <c r="B287" s="319">
        <f t="shared" si="121"/>
        <v>0</v>
      </c>
      <c r="C287" s="340" t="s">
        <v>1513</v>
      </c>
      <c r="D287" s="341" t="s">
        <v>371</v>
      </c>
      <c r="E287" s="341">
        <v>3</v>
      </c>
      <c r="F287" s="341" t="str">
        <f>IF(AND(E287&lt;CharacterSheet!$V$34,OR('House Rules'!$B$9="Standard",AND('House Rules'!$B$9="Single",$G$288="No",$G$289="No",$G$290="No"),AND('House Rules'!$B$9="Ten",COUNTIF($G$277:$G$306,"YES")&lt;10)),OR('House Rules'!$B$8="Standard",AND('House Rules'!$B$8="Ranked",OR($G$282="Yes",$G$283="Yes",$G$284="Yes",$G$285="Yes",$G$286="Yes")))),"Yes","No")</f>
        <v>No</v>
      </c>
      <c r="G287" s="564" t="s">
        <v>347</v>
      </c>
      <c r="H287" s="333" t="str">
        <f>IF(C287="","",VLOOKUP(C287,Boonref2!A:B,2,FALSE))</f>
        <v>Yes</v>
      </c>
      <c r="I287" s="333"/>
      <c r="J287" s="333" t="str">
        <f>VLOOKUP(C287,BoonRef!A:Z,17,FALSE)</f>
        <v>Yes</v>
      </c>
      <c r="K287" s="333" t="str">
        <f>IF(J287="God",'House Rules'!$B$2,IF(J287="Demi",'House Rules'!$B$1,IF(J287="Comp",'House Rules'!$B$4,IF(J287="Yaz",'House Rules'!$B$5,IF(J287="Rag",'House Rules'!$B$3,"Available")))))</f>
        <v>Available</v>
      </c>
      <c r="L287" s="333"/>
      <c r="M287" s="333"/>
      <c r="BF287" s="319">
        <f t="shared" si="124"/>
        <v>0</v>
      </c>
      <c r="BG287" s="340" t="s">
        <v>1152</v>
      </c>
      <c r="BI287" s="319">
        <f t="shared" si="118"/>
        <v>0</v>
      </c>
      <c r="BJ287" s="319">
        <f t="shared" si="125"/>
        <v>0</v>
      </c>
      <c r="BK287" s="319">
        <f t="shared" si="125"/>
        <v>0</v>
      </c>
      <c r="BL287" s="319">
        <f t="shared" si="125"/>
        <v>0</v>
      </c>
      <c r="BM287" s="319">
        <f t="shared" si="125"/>
        <v>0</v>
      </c>
      <c r="BN287" s="319">
        <f t="shared" si="125"/>
        <v>0</v>
      </c>
      <c r="BO287" s="319">
        <f t="shared" si="125"/>
        <v>0</v>
      </c>
      <c r="BP287" s="319">
        <f t="shared" si="125"/>
        <v>0</v>
      </c>
      <c r="BQ287" s="319">
        <f t="shared" si="125"/>
        <v>0</v>
      </c>
      <c r="BR287" s="319">
        <f t="shared" si="125"/>
        <v>0</v>
      </c>
      <c r="BS287" s="319">
        <f t="shared" si="125"/>
        <v>0</v>
      </c>
      <c r="BT287" s="319">
        <f t="shared" si="125"/>
        <v>0</v>
      </c>
      <c r="BU287" s="319">
        <f t="shared" si="125"/>
        <v>0</v>
      </c>
      <c r="BV287" s="319">
        <f t="shared" si="125"/>
        <v>0</v>
      </c>
      <c r="BW287" s="319">
        <f t="shared" si="125"/>
        <v>0</v>
      </c>
      <c r="BX287" s="319">
        <f t="shared" si="125"/>
        <v>0</v>
      </c>
      <c r="BY287" s="319">
        <f t="shared" si="125"/>
        <v>0</v>
      </c>
      <c r="BZ287" s="319">
        <f t="shared" si="125"/>
        <v>0</v>
      </c>
      <c r="CA287" s="319">
        <f t="shared" si="125"/>
        <v>0</v>
      </c>
      <c r="CB287" s="319">
        <f t="shared" si="125"/>
        <v>0</v>
      </c>
      <c r="CC287" s="319">
        <f t="shared" si="125"/>
        <v>0</v>
      </c>
      <c r="CD287" s="319">
        <f t="shared" si="125"/>
        <v>0</v>
      </c>
      <c r="CE287" s="319">
        <f t="shared" si="125"/>
        <v>0</v>
      </c>
      <c r="CF287" s="319">
        <f t="shared" si="125"/>
        <v>0</v>
      </c>
      <c r="CG287" s="319">
        <f t="shared" si="125"/>
        <v>0</v>
      </c>
      <c r="CH287" s="319">
        <f t="shared" si="125"/>
        <v>0</v>
      </c>
      <c r="CI287" s="319">
        <f t="shared" si="125"/>
        <v>0</v>
      </c>
      <c r="CJ287" s="319">
        <f t="shared" si="125"/>
        <v>0</v>
      </c>
      <c r="CK287" s="319">
        <f t="shared" si="125"/>
        <v>0</v>
      </c>
      <c r="CL287" s="319">
        <f t="shared" si="125"/>
        <v>0</v>
      </c>
      <c r="CM287" s="319">
        <f t="shared" si="125"/>
        <v>0</v>
      </c>
      <c r="CN287" s="319">
        <f t="shared" si="125"/>
        <v>0</v>
      </c>
      <c r="CO287" s="319">
        <f t="shared" si="125"/>
        <v>0</v>
      </c>
      <c r="CP287" s="319">
        <f t="shared" si="125"/>
        <v>0</v>
      </c>
      <c r="CQ287" s="319">
        <f t="shared" si="125"/>
        <v>0</v>
      </c>
      <c r="CR287" s="319">
        <f t="shared" si="125"/>
        <v>0</v>
      </c>
      <c r="CS287" s="319">
        <f t="shared" si="125"/>
        <v>0</v>
      </c>
      <c r="CT287" s="319">
        <f t="shared" si="125"/>
        <v>0</v>
      </c>
      <c r="CU287" s="319">
        <f t="shared" si="125"/>
        <v>0</v>
      </c>
      <c r="CV287" s="319">
        <f t="shared" si="125"/>
        <v>0</v>
      </c>
    </row>
    <row r="288" spans="1:100" x14ac:dyDescent="0.25">
      <c r="A288" s="319">
        <f t="shared" si="117"/>
        <v>0</v>
      </c>
      <c r="B288" s="319">
        <f t="shared" si="121"/>
        <v>0</v>
      </c>
      <c r="C288" s="340" t="s">
        <v>1136</v>
      </c>
      <c r="D288" s="341" t="s">
        <v>371</v>
      </c>
      <c r="E288" s="341">
        <v>3</v>
      </c>
      <c r="F288" s="341" t="str">
        <f>IF(AND(E288&lt;CharacterSheet!$V$34,OR('House Rules'!$B$9="Standard",AND('House Rules'!$B$9="Single",$G$287="No",$G$289="No",$G$290="No"),AND('House Rules'!$B$9="Ten",COUNTIF($G$277:$G$306,"YES")&lt;10)),OR('House Rules'!$B$8="Standard",AND('House Rules'!$B$8="Ranked",OR($G$282="Yes",$G$283="Yes",$G$284="Yes",$G$285="Yes",$G$286="Yes")))),"Yes","No")</f>
        <v>No</v>
      </c>
      <c r="G288" s="564" t="s">
        <v>347</v>
      </c>
      <c r="H288" s="333" t="str">
        <f>IF(C288="","",VLOOKUP(C288,Boonref2!A:B,2,FALSE))</f>
        <v>Yes</v>
      </c>
      <c r="I288" s="333"/>
      <c r="J288" s="333" t="str">
        <f>VLOOKUP(C288,BoonRef!A:Z,17,FALSE)</f>
        <v>Yes</v>
      </c>
      <c r="K288" s="333" t="str">
        <f>IF(J288="God",'House Rules'!$B$2,IF(J288="Demi",'House Rules'!$B$1,IF(J288="Comp",'House Rules'!$B$4,IF(J288="Yaz",'House Rules'!$B$5,IF(J288="Rag",'House Rules'!$B$3,"Available")))))</f>
        <v>Available</v>
      </c>
      <c r="L288" s="333"/>
      <c r="M288" s="333"/>
      <c r="BF288" s="319">
        <f t="shared" si="124"/>
        <v>0</v>
      </c>
      <c r="BG288" s="340" t="s">
        <v>1153</v>
      </c>
      <c r="BI288" s="319">
        <f t="shared" si="118"/>
        <v>0</v>
      </c>
      <c r="BJ288" s="319">
        <f t="shared" si="125"/>
        <v>0</v>
      </c>
      <c r="BK288" s="319">
        <f t="shared" si="125"/>
        <v>0</v>
      </c>
      <c r="BL288" s="319">
        <f t="shared" si="125"/>
        <v>0</v>
      </c>
      <c r="BM288" s="319">
        <f t="shared" si="125"/>
        <v>0</v>
      </c>
      <c r="BN288" s="319">
        <f t="shared" si="125"/>
        <v>0</v>
      </c>
      <c r="BO288" s="319">
        <f t="shared" si="125"/>
        <v>0</v>
      </c>
      <c r="BP288" s="319">
        <f t="shared" si="125"/>
        <v>0</v>
      </c>
      <c r="BQ288" s="319">
        <f t="shared" si="125"/>
        <v>0</v>
      </c>
      <c r="BR288" s="319">
        <f t="shared" si="125"/>
        <v>0</v>
      </c>
      <c r="BS288" s="319">
        <f t="shared" si="125"/>
        <v>0</v>
      </c>
      <c r="BT288" s="319">
        <f t="shared" si="125"/>
        <v>0</v>
      </c>
      <c r="BU288" s="319">
        <f t="shared" si="125"/>
        <v>0</v>
      </c>
      <c r="BV288" s="319">
        <f t="shared" si="125"/>
        <v>0</v>
      </c>
      <c r="BW288" s="319">
        <f t="shared" si="125"/>
        <v>0</v>
      </c>
      <c r="BX288" s="319">
        <f t="shared" si="125"/>
        <v>0</v>
      </c>
      <c r="BY288" s="319">
        <f t="shared" si="125"/>
        <v>0</v>
      </c>
      <c r="BZ288" s="319">
        <f t="shared" si="125"/>
        <v>0</v>
      </c>
      <c r="CA288" s="319">
        <f t="shared" si="125"/>
        <v>0</v>
      </c>
      <c r="CB288" s="319">
        <f t="shared" si="125"/>
        <v>0</v>
      </c>
      <c r="CC288" s="319">
        <f t="shared" si="125"/>
        <v>0</v>
      </c>
      <c r="CD288" s="319">
        <f t="shared" si="125"/>
        <v>0</v>
      </c>
      <c r="CE288" s="319">
        <f t="shared" si="125"/>
        <v>0</v>
      </c>
      <c r="CF288" s="319">
        <f t="shared" si="125"/>
        <v>0</v>
      </c>
      <c r="CG288" s="319">
        <f t="shared" si="125"/>
        <v>0</v>
      </c>
      <c r="CH288" s="319">
        <f t="shared" si="125"/>
        <v>0</v>
      </c>
      <c r="CI288" s="319">
        <f t="shared" si="125"/>
        <v>0</v>
      </c>
      <c r="CJ288" s="319">
        <f t="shared" si="125"/>
        <v>0</v>
      </c>
      <c r="CK288" s="319">
        <f t="shared" si="125"/>
        <v>0</v>
      </c>
      <c r="CL288" s="319">
        <f t="shared" si="125"/>
        <v>0</v>
      </c>
      <c r="CM288" s="319">
        <f t="shared" si="125"/>
        <v>0</v>
      </c>
      <c r="CN288" s="319">
        <f t="shared" si="125"/>
        <v>0</v>
      </c>
      <c r="CO288" s="319">
        <f t="shared" si="125"/>
        <v>0</v>
      </c>
      <c r="CP288" s="319">
        <f t="shared" si="125"/>
        <v>0</v>
      </c>
      <c r="CQ288" s="319">
        <f t="shared" si="125"/>
        <v>0</v>
      </c>
      <c r="CR288" s="319">
        <f t="shared" si="125"/>
        <v>0</v>
      </c>
      <c r="CS288" s="319">
        <f t="shared" si="125"/>
        <v>0</v>
      </c>
      <c r="CT288" s="319">
        <f t="shared" si="125"/>
        <v>0</v>
      </c>
      <c r="CU288" s="319">
        <f t="shared" si="125"/>
        <v>0</v>
      </c>
      <c r="CV288" s="319">
        <f t="shared" si="125"/>
        <v>0</v>
      </c>
    </row>
    <row r="289" spans="1:100" x14ac:dyDescent="0.25">
      <c r="A289" s="319">
        <f t="shared" si="117"/>
        <v>0</v>
      </c>
      <c r="B289" s="319">
        <f t="shared" si="121"/>
        <v>0</v>
      </c>
      <c r="C289" s="340" t="s">
        <v>1135</v>
      </c>
      <c r="D289" s="341" t="s">
        <v>371</v>
      </c>
      <c r="E289" s="341">
        <v>3</v>
      </c>
      <c r="F289" s="341" t="str">
        <f>IF(AND(E289&lt;CharacterSheet!$V$34,OR('House Rules'!$B$9="Standard",AND('House Rules'!$B$9="Single",$G$288="No",$G$287="No",$G$290="No"),AND('House Rules'!$B$9="Ten",COUNTIF($G$277:$G$306,"YES")&lt;10)),OR('House Rules'!$B$8="Standard",AND('House Rules'!$B$8="Ranked",OR($G$282="Yes",$G$283="Yes",$G$284="Yes",$G$285="Yes",$G$286="Yes")))),"Yes","No")</f>
        <v>No</v>
      </c>
      <c r="G289" s="564" t="s">
        <v>347</v>
      </c>
      <c r="H289" s="333" t="str">
        <f>IF(C289="","",VLOOKUP(C289,Boonref2!A:B,2,FALSE))</f>
        <v>Yes</v>
      </c>
      <c r="I289" s="333"/>
      <c r="J289" s="333" t="str">
        <f>VLOOKUP(C289,BoonRef!A:Z,17,FALSE)</f>
        <v>Yes</v>
      </c>
      <c r="K289" s="333" t="str">
        <f>IF(J289="God",'House Rules'!$B$2,IF(J289="Demi",'House Rules'!$B$1,IF(J289="Comp",'House Rules'!$B$4,IF(J289="Yaz",'House Rules'!$B$5,IF(J289="Rag",'House Rules'!$B$3,"Available")))))</f>
        <v>Available</v>
      </c>
      <c r="L289" s="333"/>
      <c r="M289" s="333"/>
      <c r="BF289" s="319">
        <f t="shared" si="124"/>
        <v>0</v>
      </c>
      <c r="BG289" s="340" t="s">
        <v>1154</v>
      </c>
      <c r="BI289" s="319">
        <f t="shared" si="118"/>
        <v>0</v>
      </c>
      <c r="BJ289" s="319">
        <f t="shared" si="125"/>
        <v>0</v>
      </c>
      <c r="BK289" s="319">
        <f t="shared" si="125"/>
        <v>0</v>
      </c>
      <c r="BL289" s="319">
        <f t="shared" si="125"/>
        <v>0</v>
      </c>
      <c r="BM289" s="319">
        <f t="shared" si="125"/>
        <v>0</v>
      </c>
      <c r="BN289" s="319">
        <f t="shared" si="125"/>
        <v>0</v>
      </c>
      <c r="BO289" s="319">
        <f t="shared" si="125"/>
        <v>0</v>
      </c>
      <c r="BP289" s="319">
        <f t="shared" si="125"/>
        <v>0</v>
      </c>
      <c r="BQ289" s="319">
        <f t="shared" si="125"/>
        <v>0</v>
      </c>
      <c r="BR289" s="319">
        <f t="shared" si="125"/>
        <v>0</v>
      </c>
      <c r="BS289" s="319">
        <f t="shared" si="125"/>
        <v>0</v>
      </c>
      <c r="BT289" s="319">
        <f t="shared" si="125"/>
        <v>0</v>
      </c>
      <c r="BU289" s="319">
        <f t="shared" si="125"/>
        <v>0</v>
      </c>
      <c r="BV289" s="319">
        <f t="shared" si="125"/>
        <v>0</v>
      </c>
      <c r="BW289" s="319">
        <f t="shared" si="125"/>
        <v>0</v>
      </c>
      <c r="BX289" s="319">
        <f t="shared" si="125"/>
        <v>0</v>
      </c>
      <c r="BY289" s="319">
        <f t="shared" si="125"/>
        <v>0</v>
      </c>
      <c r="BZ289" s="319">
        <f t="shared" si="125"/>
        <v>0</v>
      </c>
      <c r="CA289" s="319">
        <f t="shared" si="125"/>
        <v>0</v>
      </c>
      <c r="CB289" s="319">
        <f t="shared" si="125"/>
        <v>0</v>
      </c>
      <c r="CC289" s="319">
        <f t="shared" si="125"/>
        <v>0</v>
      </c>
      <c r="CD289" s="319">
        <f t="shared" si="125"/>
        <v>0</v>
      </c>
      <c r="CE289" s="319">
        <f t="shared" si="125"/>
        <v>0</v>
      </c>
      <c r="CF289" s="319">
        <f t="shared" si="125"/>
        <v>0</v>
      </c>
      <c r="CG289" s="319">
        <f t="shared" si="125"/>
        <v>0</v>
      </c>
      <c r="CH289" s="319">
        <f t="shared" si="125"/>
        <v>0</v>
      </c>
      <c r="CI289" s="319">
        <f t="shared" si="125"/>
        <v>0</v>
      </c>
      <c r="CJ289" s="319">
        <f t="shared" si="125"/>
        <v>0</v>
      </c>
      <c r="CK289" s="319">
        <f t="shared" si="125"/>
        <v>0</v>
      </c>
      <c r="CL289" s="319">
        <f t="shared" si="125"/>
        <v>0</v>
      </c>
      <c r="CM289" s="319">
        <f t="shared" si="125"/>
        <v>0</v>
      </c>
      <c r="CN289" s="319">
        <f t="shared" si="125"/>
        <v>0</v>
      </c>
      <c r="CO289" s="319">
        <f t="shared" si="125"/>
        <v>0</v>
      </c>
      <c r="CP289" s="319">
        <f t="shared" si="125"/>
        <v>0</v>
      </c>
      <c r="CQ289" s="319">
        <f t="shared" si="125"/>
        <v>0</v>
      </c>
      <c r="CR289" s="319">
        <f t="shared" si="125"/>
        <v>0</v>
      </c>
      <c r="CS289" s="319">
        <f t="shared" si="125"/>
        <v>0</v>
      </c>
      <c r="CT289" s="319">
        <f t="shared" si="125"/>
        <v>0</v>
      </c>
      <c r="CU289" s="319">
        <f t="shared" si="125"/>
        <v>0</v>
      </c>
      <c r="CV289" s="319">
        <f t="shared" si="125"/>
        <v>0</v>
      </c>
    </row>
    <row r="290" spans="1:100" x14ac:dyDescent="0.25">
      <c r="A290" s="319">
        <f t="shared" si="117"/>
        <v>0</v>
      </c>
      <c r="B290" s="319">
        <f t="shared" si="121"/>
        <v>0</v>
      </c>
      <c r="C290" s="340" t="s">
        <v>1413</v>
      </c>
      <c r="D290" s="341" t="s">
        <v>371</v>
      </c>
      <c r="E290" s="341">
        <v>3</v>
      </c>
      <c r="F290" s="341" t="str">
        <f>IF(AND(E290&lt;CharacterSheet!$V$34,'House Rules'!$B$4="Available",OR('House Rules'!$B$9="Standard",AND('House Rules'!$B$9="Single",$G$288="No",$G$289="No",$G$287="No"),AND('House Rules'!$B$9="Ten",COUNTIF($G$277:$G$306,"YES")&lt;10)),OR('House Rules'!$B$8="Standard",AND('House Rules'!$B$8="Ranked",OR($G$282="Yes",$G$283="Yes",$G$284="Yes",$G$285="Yes",$G$286="Yes")))),"Yes","No")</f>
        <v>No</v>
      </c>
      <c r="G290" s="564" t="s">
        <v>347</v>
      </c>
      <c r="H290" s="333" t="str">
        <f>IF(C290="","",VLOOKUP(C290,Boonref2!A:B,2,FALSE))</f>
        <v>Yes</v>
      </c>
      <c r="I290" s="333"/>
      <c r="J290" s="333" t="str">
        <f>VLOOKUP(C290,BoonRef!A:Z,17,FALSE)</f>
        <v>Yes</v>
      </c>
      <c r="K290" s="333" t="str">
        <f>IF(J290="God",'House Rules'!$B$2,IF(J290="Demi",'House Rules'!$B$1,IF(J290="Comp",'House Rules'!$B$4,IF(J290="Yaz",'House Rules'!$B$5,IF(J290="Rag",'House Rules'!$B$3,"Available")))))</f>
        <v>Available</v>
      </c>
      <c r="L290" s="333"/>
      <c r="M290" s="333"/>
      <c r="BF290" s="319">
        <f t="shared" si="124"/>
        <v>0</v>
      </c>
      <c r="BG290" s="340" t="s">
        <v>1251</v>
      </c>
      <c r="BI290" s="319">
        <f t="shared" si="118"/>
        <v>0</v>
      </c>
      <c r="BJ290" s="319">
        <f t="shared" si="125"/>
        <v>0</v>
      </c>
      <c r="BK290" s="319">
        <f t="shared" si="125"/>
        <v>0</v>
      </c>
      <c r="BL290" s="319">
        <f t="shared" si="125"/>
        <v>0</v>
      </c>
      <c r="BM290" s="319">
        <f t="shared" si="125"/>
        <v>0</v>
      </c>
      <c r="BN290" s="319">
        <f t="shared" si="125"/>
        <v>0</v>
      </c>
      <c r="BO290" s="319">
        <f t="shared" si="125"/>
        <v>0</v>
      </c>
      <c r="BP290" s="319">
        <f t="shared" si="125"/>
        <v>0</v>
      </c>
      <c r="BQ290" s="319">
        <f t="shared" si="125"/>
        <v>0</v>
      </c>
      <c r="BR290" s="319">
        <f t="shared" si="125"/>
        <v>0</v>
      </c>
      <c r="BS290" s="319">
        <f t="shared" si="125"/>
        <v>0</v>
      </c>
      <c r="BT290" s="319">
        <f t="shared" si="125"/>
        <v>0</v>
      </c>
      <c r="BU290" s="319">
        <f t="shared" si="125"/>
        <v>0</v>
      </c>
      <c r="BV290" s="319">
        <f t="shared" si="125"/>
        <v>0</v>
      </c>
      <c r="BW290" s="319">
        <f t="shared" si="125"/>
        <v>0</v>
      </c>
      <c r="BX290" s="319">
        <f t="shared" si="125"/>
        <v>0</v>
      </c>
      <c r="BY290" s="319">
        <f t="shared" si="125"/>
        <v>0</v>
      </c>
      <c r="BZ290" s="319">
        <f t="shared" si="125"/>
        <v>0</v>
      </c>
      <c r="CA290" s="319">
        <f t="shared" si="125"/>
        <v>0</v>
      </c>
      <c r="CB290" s="319">
        <f t="shared" si="125"/>
        <v>0</v>
      </c>
      <c r="CC290" s="319">
        <f t="shared" si="125"/>
        <v>0</v>
      </c>
      <c r="CD290" s="319">
        <f t="shared" si="125"/>
        <v>0</v>
      </c>
      <c r="CE290" s="319">
        <f t="shared" si="125"/>
        <v>0</v>
      </c>
      <c r="CF290" s="319">
        <f t="shared" si="125"/>
        <v>0</v>
      </c>
      <c r="CG290" s="319">
        <f t="shared" si="125"/>
        <v>0</v>
      </c>
      <c r="CH290" s="319">
        <f t="shared" si="125"/>
        <v>0</v>
      </c>
      <c r="CI290" s="319">
        <f t="shared" si="125"/>
        <v>0</v>
      </c>
      <c r="CJ290" s="319">
        <f t="shared" si="125"/>
        <v>0</v>
      </c>
      <c r="CK290" s="319">
        <f t="shared" si="125"/>
        <v>0</v>
      </c>
      <c r="CL290" s="319">
        <f t="shared" si="125"/>
        <v>0</v>
      </c>
      <c r="CM290" s="319">
        <f t="shared" si="125"/>
        <v>0</v>
      </c>
      <c r="CN290" s="319">
        <f t="shared" si="125"/>
        <v>0</v>
      </c>
      <c r="CO290" s="319">
        <f t="shared" si="125"/>
        <v>0</v>
      </c>
      <c r="CP290" s="319">
        <f t="shared" si="125"/>
        <v>0</v>
      </c>
      <c r="CQ290" s="319">
        <f t="shared" si="125"/>
        <v>0</v>
      </c>
      <c r="CR290" s="319">
        <f t="shared" si="125"/>
        <v>0</v>
      </c>
      <c r="CS290" s="319">
        <f t="shared" si="125"/>
        <v>0</v>
      </c>
      <c r="CT290" s="319">
        <f t="shared" si="125"/>
        <v>0</v>
      </c>
      <c r="CU290" s="319">
        <f t="shared" si="125"/>
        <v>0</v>
      </c>
      <c r="CV290" s="319">
        <f t="shared" si="125"/>
        <v>0</v>
      </c>
    </row>
    <row r="291" spans="1:100" x14ac:dyDescent="0.25">
      <c r="A291" s="319">
        <f t="shared" si="117"/>
        <v>0</v>
      </c>
      <c r="B291" s="319">
        <f t="shared" si="121"/>
        <v>0</v>
      </c>
      <c r="C291" s="340" t="s">
        <v>1414</v>
      </c>
      <c r="D291" s="341" t="s">
        <v>371</v>
      </c>
      <c r="E291" s="341">
        <v>4</v>
      </c>
      <c r="F291" s="341" t="str">
        <f>IF(AND(E291&lt;CharacterSheet!$V$34,'House Rules'!$B$4="Available",OR('House Rules'!$B$9="Standard",AND('House Rules'!$B$9="Single",$G$292="No"),AND('House Rules'!$B$9="Ten",COUNTIF($G$277:$G$306,"YES")&lt;10)),OR('House Rules'!$B$8="Standard",AND('House Rules'!$B$8="Ranked",OR($G$289="Yes",$G$290="Yes")))),"Yes","No")</f>
        <v>No</v>
      </c>
      <c r="G291" s="564" t="s">
        <v>347</v>
      </c>
      <c r="H291" s="333" t="str">
        <f>IF(C291="","",VLOOKUP(C291,Boonref2!A:B,2,FALSE))</f>
        <v>Yes</v>
      </c>
      <c r="I291" s="333"/>
      <c r="J291" s="333" t="str">
        <f>VLOOKUP(C291,BoonRef!A:Z,17,FALSE)</f>
        <v>Yes</v>
      </c>
      <c r="K291" s="333" t="str">
        <f>IF(J291="God",'House Rules'!$B$2,IF(J291="Demi",'House Rules'!$B$1,IF(J291="Comp",'House Rules'!$B$4,IF(J291="Yaz",'House Rules'!$B$5,IF(J291="Rag",'House Rules'!$B$3,"Available")))))</f>
        <v>Available</v>
      </c>
      <c r="L291" s="333"/>
      <c r="M291" s="333"/>
      <c r="BF291" s="319">
        <f t="shared" si="124"/>
        <v>0</v>
      </c>
      <c r="BG291" s="340" t="s">
        <v>2630</v>
      </c>
      <c r="BI291" s="319">
        <f t="shared" si="118"/>
        <v>0</v>
      </c>
      <c r="BJ291" s="319">
        <f t="shared" si="125"/>
        <v>0</v>
      </c>
      <c r="BK291" s="319">
        <f t="shared" si="125"/>
        <v>0</v>
      </c>
      <c r="BL291" s="319">
        <f t="shared" si="125"/>
        <v>0</v>
      </c>
      <c r="BM291" s="319">
        <f t="shared" si="125"/>
        <v>0</v>
      </c>
      <c r="BN291" s="319">
        <f t="shared" si="125"/>
        <v>0</v>
      </c>
      <c r="BO291" s="319">
        <f t="shared" si="125"/>
        <v>0</v>
      </c>
      <c r="BP291" s="319">
        <f t="shared" si="125"/>
        <v>0</v>
      </c>
      <c r="BQ291" s="319">
        <f t="shared" si="125"/>
        <v>0</v>
      </c>
      <c r="BR291" s="319">
        <f t="shared" si="125"/>
        <v>0</v>
      </c>
      <c r="BS291" s="319">
        <f t="shared" si="125"/>
        <v>0</v>
      </c>
      <c r="BT291" s="319">
        <f t="shared" si="125"/>
        <v>0</v>
      </c>
      <c r="BU291" s="319">
        <f t="shared" si="125"/>
        <v>0</v>
      </c>
      <c r="BV291" s="319">
        <f t="shared" si="125"/>
        <v>0</v>
      </c>
      <c r="BW291" s="319">
        <f t="shared" si="125"/>
        <v>0</v>
      </c>
      <c r="BX291" s="319">
        <f t="shared" si="125"/>
        <v>0</v>
      </c>
      <c r="BY291" s="319">
        <f t="shared" si="125"/>
        <v>0</v>
      </c>
      <c r="BZ291" s="319">
        <f t="shared" si="125"/>
        <v>0</v>
      </c>
      <c r="CA291" s="319">
        <f t="shared" si="125"/>
        <v>0</v>
      </c>
      <c r="CB291" s="319">
        <f t="shared" si="125"/>
        <v>0</v>
      </c>
      <c r="CC291" s="319">
        <f t="shared" si="125"/>
        <v>0</v>
      </c>
      <c r="CD291" s="319">
        <f t="shared" si="125"/>
        <v>0</v>
      </c>
      <c r="CE291" s="319">
        <f t="shared" si="125"/>
        <v>0</v>
      </c>
      <c r="CF291" s="319">
        <f t="shared" si="125"/>
        <v>0</v>
      </c>
      <c r="CG291" s="319">
        <f t="shared" si="125"/>
        <v>0</v>
      </c>
      <c r="CH291" s="319">
        <f t="shared" si="125"/>
        <v>0</v>
      </c>
      <c r="CI291" s="319">
        <f t="shared" si="125"/>
        <v>0</v>
      </c>
      <c r="CJ291" s="319">
        <f t="shared" si="125"/>
        <v>0</v>
      </c>
      <c r="CK291" s="319">
        <f t="shared" si="125"/>
        <v>0</v>
      </c>
      <c r="CL291" s="319">
        <f t="shared" si="125"/>
        <v>0</v>
      </c>
      <c r="CM291" s="319">
        <f t="shared" si="125"/>
        <v>0</v>
      </c>
      <c r="CN291" s="319">
        <f t="shared" si="125"/>
        <v>0</v>
      </c>
      <c r="CO291" s="319">
        <f t="shared" si="125"/>
        <v>0</v>
      </c>
      <c r="CP291" s="319">
        <f t="shared" si="125"/>
        <v>0</v>
      </c>
      <c r="CQ291" s="319">
        <f t="shared" si="125"/>
        <v>0</v>
      </c>
      <c r="CR291" s="319">
        <f t="shared" si="125"/>
        <v>0</v>
      </c>
      <c r="CS291" s="319">
        <f t="shared" si="125"/>
        <v>0</v>
      </c>
      <c r="CT291" s="319">
        <f t="shared" si="125"/>
        <v>0</v>
      </c>
      <c r="CU291" s="319">
        <f t="shared" si="125"/>
        <v>0</v>
      </c>
      <c r="CV291" s="319">
        <f t="shared" si="125"/>
        <v>0</v>
      </c>
    </row>
    <row r="292" spans="1:100" x14ac:dyDescent="0.25">
      <c r="A292" s="319">
        <f t="shared" si="117"/>
        <v>0</v>
      </c>
      <c r="B292" s="319">
        <f t="shared" si="121"/>
        <v>0</v>
      </c>
      <c r="C292" s="340" t="s">
        <v>1231</v>
      </c>
      <c r="D292" s="341" t="s">
        <v>371</v>
      </c>
      <c r="E292" s="341">
        <v>4</v>
      </c>
      <c r="F292" s="341" t="str">
        <f>IF(AND(E292&lt;CharacterSheet!$V$34,'House Rules'!$B$1="Available",OR('House Rules'!$B$9="Standard",AND('House Rules'!$B$9="Single",$G$291="No"),AND('House Rules'!$B$9="Ten",COUNTIF($G$277:$G$306,"YES")&lt;10)),OR('House Rules'!$B$8="Standard",AND('House Rules'!$B$8="Ranked",OR($G$289="Yes",$G$290="Yes")))),"Yes","No")</f>
        <v>No</v>
      </c>
      <c r="G292" s="564" t="s">
        <v>347</v>
      </c>
      <c r="H292" s="333" t="str">
        <f>IF(C292="","",VLOOKUP(C292,Boonref2!A:B,2,FALSE))</f>
        <v>Yes</v>
      </c>
      <c r="I292" s="333"/>
      <c r="J292" s="333" t="str">
        <f>VLOOKUP(C292,BoonRef!A:Z,17,FALSE)</f>
        <v>Yes</v>
      </c>
      <c r="K292" s="333" t="str">
        <f>IF(J292="God",'House Rules'!$B$2,IF(J292="Demi",'House Rules'!$B$1,IF(J292="Comp",'House Rules'!$B$4,IF(J292="Yaz",'House Rules'!$B$5,IF(J292="Rag",'House Rules'!$B$3,"Available")))))</f>
        <v>Available</v>
      </c>
      <c r="L292" s="333"/>
      <c r="M292" s="333"/>
      <c r="BF292" s="319">
        <f t="shared" si="124"/>
        <v>0</v>
      </c>
      <c r="BG292" s="340" t="s">
        <v>1252</v>
      </c>
      <c r="BI292" s="319">
        <f t="shared" si="118"/>
        <v>0</v>
      </c>
      <c r="BJ292" s="319">
        <f t="shared" si="125"/>
        <v>0</v>
      </c>
      <c r="BK292" s="319">
        <f t="shared" si="125"/>
        <v>0</v>
      </c>
      <c r="BL292" s="319">
        <f t="shared" si="125"/>
        <v>0</v>
      </c>
      <c r="BM292" s="319">
        <f t="shared" ref="BJ292:CV298" si="126">IF(AND($D292=BM$1,$G292="Yes"),$E292,0)</f>
        <v>0</v>
      </c>
      <c r="BN292" s="319">
        <f t="shared" si="126"/>
        <v>0</v>
      </c>
      <c r="BO292" s="319">
        <f t="shared" si="126"/>
        <v>0</v>
      </c>
      <c r="BP292" s="319">
        <f t="shared" si="126"/>
        <v>0</v>
      </c>
      <c r="BQ292" s="319">
        <f t="shared" si="126"/>
        <v>0</v>
      </c>
      <c r="BR292" s="319">
        <f t="shared" si="126"/>
        <v>0</v>
      </c>
      <c r="BS292" s="319">
        <f t="shared" si="126"/>
        <v>0</v>
      </c>
      <c r="BT292" s="319">
        <f t="shared" si="126"/>
        <v>0</v>
      </c>
      <c r="BU292" s="319">
        <f t="shared" si="126"/>
        <v>0</v>
      </c>
      <c r="BV292" s="319">
        <f t="shared" si="126"/>
        <v>0</v>
      </c>
      <c r="BW292" s="319">
        <f t="shared" si="126"/>
        <v>0</v>
      </c>
      <c r="BX292" s="319">
        <f t="shared" si="126"/>
        <v>0</v>
      </c>
      <c r="BY292" s="319">
        <f t="shared" si="126"/>
        <v>0</v>
      </c>
      <c r="BZ292" s="319">
        <f t="shared" si="126"/>
        <v>0</v>
      </c>
      <c r="CA292" s="319">
        <f t="shared" si="126"/>
        <v>0</v>
      </c>
      <c r="CB292" s="319">
        <f t="shared" si="126"/>
        <v>0</v>
      </c>
      <c r="CC292" s="319">
        <f t="shared" si="126"/>
        <v>0</v>
      </c>
      <c r="CD292" s="319">
        <f t="shared" si="126"/>
        <v>0</v>
      </c>
      <c r="CE292" s="319">
        <f t="shared" si="126"/>
        <v>0</v>
      </c>
      <c r="CF292" s="319">
        <f t="shared" si="126"/>
        <v>0</v>
      </c>
      <c r="CG292" s="319">
        <f t="shared" si="126"/>
        <v>0</v>
      </c>
      <c r="CH292" s="319">
        <f t="shared" si="126"/>
        <v>0</v>
      </c>
      <c r="CI292" s="319">
        <f t="shared" si="126"/>
        <v>0</v>
      </c>
      <c r="CJ292" s="319">
        <f t="shared" si="126"/>
        <v>0</v>
      </c>
      <c r="CK292" s="319">
        <f t="shared" si="126"/>
        <v>0</v>
      </c>
      <c r="CL292" s="319">
        <f t="shared" si="126"/>
        <v>0</v>
      </c>
      <c r="CM292" s="319">
        <f t="shared" si="126"/>
        <v>0</v>
      </c>
      <c r="CN292" s="319">
        <f t="shared" si="126"/>
        <v>0</v>
      </c>
      <c r="CO292" s="319">
        <f t="shared" si="126"/>
        <v>0</v>
      </c>
      <c r="CP292" s="319">
        <f t="shared" si="126"/>
        <v>0</v>
      </c>
      <c r="CQ292" s="319">
        <f t="shared" si="126"/>
        <v>0</v>
      </c>
      <c r="CR292" s="319">
        <f t="shared" si="126"/>
        <v>0</v>
      </c>
      <c r="CS292" s="319">
        <f t="shared" si="126"/>
        <v>0</v>
      </c>
      <c r="CT292" s="319">
        <f t="shared" si="126"/>
        <v>0</v>
      </c>
      <c r="CU292" s="319">
        <f t="shared" si="126"/>
        <v>0</v>
      </c>
      <c r="CV292" s="319">
        <f t="shared" si="126"/>
        <v>0</v>
      </c>
    </row>
    <row r="293" spans="1:100" x14ac:dyDescent="0.25">
      <c r="A293" s="319">
        <f t="shared" si="117"/>
        <v>0</v>
      </c>
      <c r="B293" s="319">
        <f t="shared" si="121"/>
        <v>0</v>
      </c>
      <c r="C293" s="340" t="s">
        <v>1232</v>
      </c>
      <c r="D293" s="341" t="s">
        <v>371</v>
      </c>
      <c r="E293" s="341">
        <v>5</v>
      </c>
      <c r="F293" s="341" t="str">
        <f>IF(AND(E293&lt;CharacterSheet!$V$34,'House Rules'!$B$1="Available",OR('House Rules'!$B$9="Standard",AND('House Rules'!$B$9="Single",$G$294="No"),AND('House Rules'!$B$9="Ten",COUNTIF($G$277:$G$306,"YES")&lt;10)),OR('House Rules'!$B$8="Standard",AND('House Rules'!$B$8="Ranked",OR($G$291="Yes",$G$292="Yes")))),"Yes","No")</f>
        <v>No</v>
      </c>
      <c r="G293" s="564" t="s">
        <v>347</v>
      </c>
      <c r="H293" s="333" t="str">
        <f>IF(C293="","",VLOOKUP(C293,Boonref2!A:B,2,FALSE))</f>
        <v>Yes</v>
      </c>
      <c r="I293" s="333"/>
      <c r="J293" s="333" t="str">
        <f>VLOOKUP(C293,BoonRef!A:Z,17,FALSE)</f>
        <v>Yes</v>
      </c>
      <c r="K293" s="333" t="str">
        <f>IF(J293="God",'House Rules'!$B$2,IF(J293="Demi",'House Rules'!$B$1,IF(J293="Comp",'House Rules'!$B$4,IF(J293="Yaz",'House Rules'!$B$5,IF(J293="Rag",'House Rules'!$B$3,"Available")))))</f>
        <v>Available</v>
      </c>
      <c r="L293" s="333"/>
      <c r="M293" s="333"/>
      <c r="BF293" s="319">
        <f t="shared" si="124"/>
        <v>0</v>
      </c>
      <c r="BG293" s="340" t="s">
        <v>1253</v>
      </c>
      <c r="BI293" s="319">
        <f t="shared" si="118"/>
        <v>0</v>
      </c>
      <c r="BJ293" s="319">
        <f t="shared" si="126"/>
        <v>0</v>
      </c>
      <c r="BK293" s="319">
        <f t="shared" si="126"/>
        <v>0</v>
      </c>
      <c r="BL293" s="319">
        <f t="shared" si="126"/>
        <v>0</v>
      </c>
      <c r="BM293" s="319">
        <f t="shared" si="126"/>
        <v>0</v>
      </c>
      <c r="BN293" s="319">
        <f t="shared" si="126"/>
        <v>0</v>
      </c>
      <c r="BO293" s="319">
        <f t="shared" si="126"/>
        <v>0</v>
      </c>
      <c r="BP293" s="319">
        <f t="shared" si="126"/>
        <v>0</v>
      </c>
      <c r="BQ293" s="319">
        <f t="shared" si="126"/>
        <v>0</v>
      </c>
      <c r="BR293" s="319">
        <f t="shared" si="126"/>
        <v>0</v>
      </c>
      <c r="BS293" s="319">
        <f t="shared" si="126"/>
        <v>0</v>
      </c>
      <c r="BT293" s="319">
        <f t="shared" si="126"/>
        <v>0</v>
      </c>
      <c r="BU293" s="319">
        <f t="shared" si="126"/>
        <v>0</v>
      </c>
      <c r="BV293" s="319">
        <f t="shared" si="126"/>
        <v>0</v>
      </c>
      <c r="BW293" s="319">
        <f t="shared" si="126"/>
        <v>0</v>
      </c>
      <c r="BX293" s="319">
        <f t="shared" si="126"/>
        <v>0</v>
      </c>
      <c r="BY293" s="319">
        <f t="shared" si="126"/>
        <v>0</v>
      </c>
      <c r="BZ293" s="319">
        <f t="shared" si="126"/>
        <v>0</v>
      </c>
      <c r="CA293" s="319">
        <f t="shared" si="126"/>
        <v>0</v>
      </c>
      <c r="CB293" s="319">
        <f t="shared" si="126"/>
        <v>0</v>
      </c>
      <c r="CC293" s="319">
        <f t="shared" si="126"/>
        <v>0</v>
      </c>
      <c r="CD293" s="319">
        <f t="shared" si="126"/>
        <v>0</v>
      </c>
      <c r="CE293" s="319">
        <f t="shared" si="126"/>
        <v>0</v>
      </c>
      <c r="CF293" s="319">
        <f t="shared" si="126"/>
        <v>0</v>
      </c>
      <c r="CG293" s="319">
        <f t="shared" si="126"/>
        <v>0</v>
      </c>
      <c r="CH293" s="319">
        <f t="shared" si="126"/>
        <v>0</v>
      </c>
      <c r="CI293" s="319">
        <f t="shared" si="126"/>
        <v>0</v>
      </c>
      <c r="CJ293" s="319">
        <f t="shared" si="126"/>
        <v>0</v>
      </c>
      <c r="CK293" s="319">
        <f t="shared" si="126"/>
        <v>0</v>
      </c>
      <c r="CL293" s="319">
        <f t="shared" si="126"/>
        <v>0</v>
      </c>
      <c r="CM293" s="319">
        <f t="shared" si="126"/>
        <v>0</v>
      </c>
      <c r="CN293" s="319">
        <f t="shared" si="126"/>
        <v>0</v>
      </c>
      <c r="CO293" s="319">
        <f t="shared" si="126"/>
        <v>0</v>
      </c>
      <c r="CP293" s="319">
        <f t="shared" si="126"/>
        <v>0</v>
      </c>
      <c r="CQ293" s="319">
        <f t="shared" si="126"/>
        <v>0</v>
      </c>
      <c r="CR293" s="319">
        <f t="shared" si="126"/>
        <v>0</v>
      </c>
      <c r="CS293" s="319">
        <f t="shared" si="126"/>
        <v>0</v>
      </c>
      <c r="CT293" s="319">
        <f t="shared" si="126"/>
        <v>0</v>
      </c>
      <c r="CU293" s="319">
        <f t="shared" si="126"/>
        <v>0</v>
      </c>
      <c r="CV293" s="319">
        <f t="shared" si="126"/>
        <v>0</v>
      </c>
    </row>
    <row r="294" spans="1:100" ht="15.75" thickBot="1" x14ac:dyDescent="0.3">
      <c r="A294" s="319">
        <f t="shared" si="117"/>
        <v>0</v>
      </c>
      <c r="B294" s="319">
        <f t="shared" si="121"/>
        <v>0</v>
      </c>
      <c r="C294" s="340" t="s">
        <v>1415</v>
      </c>
      <c r="D294" s="341" t="s">
        <v>371</v>
      </c>
      <c r="E294" s="341">
        <v>5</v>
      </c>
      <c r="F294" s="341" t="str">
        <f>IF(AND(E294&lt;CharacterSheet!$V$34,'House Rules'!$B$4="Available",OR('House Rules'!$B$9="Standard",AND('House Rules'!$B$9="Single",$G$293="No"),AND('House Rules'!$B$9="Ten",COUNTIF($G$277:$G$306,"YES")&lt;10)),OR('House Rules'!$B$8="Standard",AND('House Rules'!$B$8="Ranked",OR($G$291="Yes",$G$292="Yes")))),"Yes","No")</f>
        <v>No</v>
      </c>
      <c r="G294" s="564" t="s">
        <v>347</v>
      </c>
      <c r="H294" s="333" t="str">
        <f>IF(C294="","",VLOOKUP(C294,Boonref2!A:B,2,FALSE))</f>
        <v>Yes</v>
      </c>
      <c r="I294" s="333"/>
      <c r="J294" s="333" t="str">
        <f>VLOOKUP(C294,BoonRef!A:Z,17,FALSE)</f>
        <v>Yes</v>
      </c>
      <c r="K294" s="333" t="str">
        <f>IF(J294="God",'House Rules'!$B$2,IF(J294="Demi",'House Rules'!$B$1,IF(J294="Comp",'House Rules'!$B$4,IF(J294="Yaz",'House Rules'!$B$5,IF(J294="Rag",'House Rules'!$B$3,"Available")))))</f>
        <v>Available</v>
      </c>
      <c r="L294" s="333"/>
      <c r="M294" s="333"/>
      <c r="BF294" s="319">
        <f t="shared" si="124"/>
        <v>0</v>
      </c>
      <c r="BG294" s="352" t="s">
        <v>1254</v>
      </c>
      <c r="BI294" s="319">
        <f t="shared" si="118"/>
        <v>0</v>
      </c>
      <c r="BJ294" s="319">
        <f t="shared" si="126"/>
        <v>0</v>
      </c>
      <c r="BK294" s="319">
        <f t="shared" si="126"/>
        <v>0</v>
      </c>
      <c r="BL294" s="319">
        <f t="shared" si="126"/>
        <v>0</v>
      </c>
      <c r="BM294" s="319">
        <f t="shared" si="126"/>
        <v>0</v>
      </c>
      <c r="BN294" s="319">
        <f t="shared" si="126"/>
        <v>0</v>
      </c>
      <c r="BO294" s="319">
        <f t="shared" si="126"/>
        <v>0</v>
      </c>
      <c r="BP294" s="319">
        <f t="shared" si="126"/>
        <v>0</v>
      </c>
      <c r="BQ294" s="319">
        <f t="shared" si="126"/>
        <v>0</v>
      </c>
      <c r="BR294" s="319">
        <f t="shared" si="126"/>
        <v>0</v>
      </c>
      <c r="BS294" s="319">
        <f t="shared" si="126"/>
        <v>0</v>
      </c>
      <c r="BT294" s="319">
        <f t="shared" si="126"/>
        <v>0</v>
      </c>
      <c r="BU294" s="319">
        <f t="shared" si="126"/>
        <v>0</v>
      </c>
      <c r="BV294" s="319">
        <f t="shared" si="126"/>
        <v>0</v>
      </c>
      <c r="BW294" s="319">
        <f t="shared" si="126"/>
        <v>0</v>
      </c>
      <c r="BX294" s="319">
        <f t="shared" si="126"/>
        <v>0</v>
      </c>
      <c r="BY294" s="319">
        <f t="shared" si="126"/>
        <v>0</v>
      </c>
      <c r="BZ294" s="319">
        <f t="shared" si="126"/>
        <v>0</v>
      </c>
      <c r="CA294" s="319">
        <f t="shared" si="126"/>
        <v>0</v>
      </c>
      <c r="CB294" s="319">
        <f t="shared" si="126"/>
        <v>0</v>
      </c>
      <c r="CC294" s="319">
        <f t="shared" si="126"/>
        <v>0</v>
      </c>
      <c r="CD294" s="319">
        <f t="shared" si="126"/>
        <v>0</v>
      </c>
      <c r="CE294" s="319">
        <f t="shared" si="126"/>
        <v>0</v>
      </c>
      <c r="CF294" s="319">
        <f t="shared" si="126"/>
        <v>0</v>
      </c>
      <c r="CG294" s="319">
        <f t="shared" si="126"/>
        <v>0</v>
      </c>
      <c r="CH294" s="319">
        <f t="shared" si="126"/>
        <v>0</v>
      </c>
      <c r="CI294" s="319">
        <f t="shared" si="126"/>
        <v>0</v>
      </c>
      <c r="CJ294" s="319">
        <f t="shared" si="126"/>
        <v>0</v>
      </c>
      <c r="CK294" s="319">
        <f t="shared" si="126"/>
        <v>0</v>
      </c>
      <c r="CL294" s="319">
        <f t="shared" si="126"/>
        <v>0</v>
      </c>
      <c r="CM294" s="319">
        <f t="shared" si="126"/>
        <v>0</v>
      </c>
      <c r="CN294" s="319">
        <f t="shared" si="126"/>
        <v>0</v>
      </c>
      <c r="CO294" s="319">
        <f t="shared" si="126"/>
        <v>0</v>
      </c>
      <c r="CP294" s="319">
        <f t="shared" si="126"/>
        <v>0</v>
      </c>
      <c r="CQ294" s="319">
        <f t="shared" si="126"/>
        <v>0</v>
      </c>
      <c r="CR294" s="319">
        <f t="shared" si="126"/>
        <v>0</v>
      </c>
      <c r="CS294" s="319">
        <f t="shared" si="126"/>
        <v>0</v>
      </c>
      <c r="CT294" s="319">
        <f t="shared" si="126"/>
        <v>0</v>
      </c>
      <c r="CU294" s="319">
        <f t="shared" si="126"/>
        <v>0</v>
      </c>
      <c r="CV294" s="319">
        <f t="shared" si="126"/>
        <v>0</v>
      </c>
    </row>
    <row r="295" spans="1:100" x14ac:dyDescent="0.25">
      <c r="A295" s="319">
        <f t="shared" si="117"/>
        <v>0</v>
      </c>
      <c r="B295" s="319">
        <f t="shared" si="121"/>
        <v>0</v>
      </c>
      <c r="C295" s="340" t="s">
        <v>1514</v>
      </c>
      <c r="D295" s="341" t="s">
        <v>371</v>
      </c>
      <c r="E295" s="341">
        <v>6</v>
      </c>
      <c r="F295" s="341" t="str">
        <f>IF(AND(E295&lt;CharacterSheet!$V$34,'House Rules'!$B$1="Available",OR('House Rules'!$B$9="Standard",AND('House Rules'!$B$9="Single",$G$296="No",$G$297="No",$G$298="No"),AND('House Rules'!$B$9="Ten",COUNTIF($G$277:$G$306,"YES")&lt;10)),OR('House Rules'!$B$8="Standard",AND('House Rules'!$B$8="Ranked",OR($G$293="Yes",$G$294="Yes")))),"Yes","No")</f>
        <v>No</v>
      </c>
      <c r="G295" s="564" t="s">
        <v>347</v>
      </c>
      <c r="H295" s="333" t="str">
        <f>IF(C295="","",VLOOKUP(C295,Boonref2!A:B,2,FALSE))</f>
        <v>Yes</v>
      </c>
      <c r="I295" s="333"/>
      <c r="J295" s="333" t="str">
        <f>VLOOKUP(C295,BoonRef!A:Z,17,FALSE)</f>
        <v>Yes</v>
      </c>
      <c r="K295" s="333" t="str">
        <f>IF(J295="God",'House Rules'!$B$2,IF(J295="Demi",'House Rules'!$B$1,IF(J295="Comp",'House Rules'!$B$4,IF(J295="Yaz",'House Rules'!$B$5,IF(J295="Rag",'House Rules'!$B$3,"Available")))))</f>
        <v>Available</v>
      </c>
      <c r="L295" s="333"/>
      <c r="M295" s="333"/>
      <c r="BF295" s="319">
        <f t="shared" si="124"/>
        <v>0</v>
      </c>
      <c r="BG295" s="330" t="s">
        <v>1073</v>
      </c>
      <c r="BI295" s="319">
        <f t="shared" si="118"/>
        <v>0</v>
      </c>
      <c r="BJ295" s="319">
        <f t="shared" si="126"/>
        <v>0</v>
      </c>
      <c r="BK295" s="319">
        <f t="shared" si="126"/>
        <v>0</v>
      </c>
      <c r="BL295" s="319">
        <f t="shared" si="126"/>
        <v>0</v>
      </c>
      <c r="BM295" s="319">
        <f t="shared" si="126"/>
        <v>0</v>
      </c>
      <c r="BN295" s="319">
        <f t="shared" si="126"/>
        <v>0</v>
      </c>
      <c r="BO295" s="319">
        <f t="shared" si="126"/>
        <v>0</v>
      </c>
      <c r="BP295" s="319">
        <f t="shared" si="126"/>
        <v>0</v>
      </c>
      <c r="BQ295" s="319">
        <f t="shared" si="126"/>
        <v>0</v>
      </c>
      <c r="BR295" s="319">
        <f t="shared" si="126"/>
        <v>0</v>
      </c>
      <c r="BS295" s="319">
        <f t="shared" si="126"/>
        <v>0</v>
      </c>
      <c r="BT295" s="319">
        <f t="shared" si="126"/>
        <v>0</v>
      </c>
      <c r="BU295" s="319">
        <f t="shared" si="126"/>
        <v>0</v>
      </c>
      <c r="BV295" s="319">
        <f t="shared" si="126"/>
        <v>0</v>
      </c>
      <c r="BW295" s="319">
        <f t="shared" si="126"/>
        <v>0</v>
      </c>
      <c r="BX295" s="319">
        <f t="shared" si="126"/>
        <v>0</v>
      </c>
      <c r="BY295" s="319">
        <f t="shared" si="126"/>
        <v>0</v>
      </c>
      <c r="BZ295" s="319">
        <f t="shared" si="126"/>
        <v>0</v>
      </c>
      <c r="CA295" s="319">
        <f t="shared" si="126"/>
        <v>0</v>
      </c>
      <c r="CB295" s="319">
        <f t="shared" si="126"/>
        <v>0</v>
      </c>
      <c r="CC295" s="319">
        <f t="shared" si="126"/>
        <v>0</v>
      </c>
      <c r="CD295" s="319">
        <f t="shared" si="126"/>
        <v>0</v>
      </c>
      <c r="CE295" s="319">
        <f t="shared" si="126"/>
        <v>0</v>
      </c>
      <c r="CF295" s="319">
        <f t="shared" si="126"/>
        <v>0</v>
      </c>
      <c r="CG295" s="319">
        <f t="shared" si="126"/>
        <v>0</v>
      </c>
      <c r="CH295" s="319">
        <f t="shared" si="126"/>
        <v>0</v>
      </c>
      <c r="CI295" s="319">
        <f t="shared" si="126"/>
        <v>0</v>
      </c>
      <c r="CJ295" s="319">
        <f t="shared" si="126"/>
        <v>0</v>
      </c>
      <c r="CK295" s="319">
        <f t="shared" si="126"/>
        <v>0</v>
      </c>
      <c r="CL295" s="319">
        <f t="shared" si="126"/>
        <v>0</v>
      </c>
      <c r="CM295" s="319">
        <f t="shared" si="126"/>
        <v>0</v>
      </c>
      <c r="CN295" s="319">
        <f t="shared" si="126"/>
        <v>0</v>
      </c>
      <c r="CO295" s="319">
        <f t="shared" si="126"/>
        <v>0</v>
      </c>
      <c r="CP295" s="319">
        <f t="shared" si="126"/>
        <v>0</v>
      </c>
      <c r="CQ295" s="319">
        <f t="shared" si="126"/>
        <v>0</v>
      </c>
      <c r="CR295" s="319">
        <f t="shared" si="126"/>
        <v>0</v>
      </c>
      <c r="CS295" s="319">
        <f t="shared" si="126"/>
        <v>0</v>
      </c>
      <c r="CT295" s="319">
        <f t="shared" si="126"/>
        <v>0</v>
      </c>
      <c r="CU295" s="319">
        <f t="shared" si="126"/>
        <v>0</v>
      </c>
      <c r="CV295" s="319">
        <f t="shared" si="126"/>
        <v>0</v>
      </c>
    </row>
    <row r="296" spans="1:100" x14ac:dyDescent="0.25">
      <c r="A296" s="319">
        <f t="shared" si="117"/>
        <v>0</v>
      </c>
      <c r="B296" s="319">
        <f t="shared" si="121"/>
        <v>0</v>
      </c>
      <c r="C296" s="340" t="s">
        <v>1515</v>
      </c>
      <c r="D296" s="341" t="s">
        <v>371</v>
      </c>
      <c r="E296" s="341">
        <v>6</v>
      </c>
      <c r="F296" s="341" t="str">
        <f>IF(AND(E296&lt;CharacterSheet!$V$34,'House Rules'!$B$1="Available",OR('House Rules'!$B$9="Standard",AND('House Rules'!$B$9="Single",$G$295="No",$G$297="No",$G$298="No"),AND('House Rules'!$B$9="Ten",COUNTIF($G$277:$G$306,"YES")&lt;10)),OR('House Rules'!$B$8="Standard",AND('House Rules'!$B$8="Ranked",OR($G$293="Yes",$G$294="Yes")))),"Yes","No")</f>
        <v>No</v>
      </c>
      <c r="G296" s="564" t="s">
        <v>347</v>
      </c>
      <c r="H296" s="333" t="str">
        <f>IF(C296="","",VLOOKUP(C296,Boonref2!A:B,2,FALSE))</f>
        <v>Yes</v>
      </c>
      <c r="I296" s="333"/>
      <c r="J296" s="333" t="str">
        <f>VLOOKUP(C296,BoonRef!A:Z,17,FALSE)</f>
        <v>Yes</v>
      </c>
      <c r="K296" s="333" t="str">
        <f>IF(J296="God",'House Rules'!$B$2,IF(J296="Demi",'House Rules'!$B$1,IF(J296="Comp",'House Rules'!$B$4,IF(J296="Yaz",'House Rules'!$B$5,IF(J296="Rag",'House Rules'!$B$3,"Available")))))</f>
        <v>Available</v>
      </c>
      <c r="L296" s="333"/>
      <c r="M296" s="333"/>
      <c r="BF296" s="319">
        <f t="shared" si="124"/>
        <v>0</v>
      </c>
      <c r="BG296" s="340" t="s">
        <v>1385</v>
      </c>
      <c r="BI296" s="319">
        <f t="shared" si="118"/>
        <v>0</v>
      </c>
      <c r="BJ296" s="319">
        <f t="shared" si="126"/>
        <v>0</v>
      </c>
      <c r="BK296" s="319">
        <f t="shared" si="126"/>
        <v>0</v>
      </c>
      <c r="BL296" s="319">
        <f t="shared" si="126"/>
        <v>0</v>
      </c>
      <c r="BM296" s="319">
        <f t="shared" si="126"/>
        <v>0</v>
      </c>
      <c r="BN296" s="319">
        <f t="shared" si="126"/>
        <v>0</v>
      </c>
      <c r="BO296" s="319">
        <f t="shared" si="126"/>
        <v>0</v>
      </c>
      <c r="BP296" s="319">
        <f t="shared" si="126"/>
        <v>0</v>
      </c>
      <c r="BQ296" s="319">
        <f t="shared" si="126"/>
        <v>0</v>
      </c>
      <c r="BR296" s="319">
        <f t="shared" si="126"/>
        <v>0</v>
      </c>
      <c r="BS296" s="319">
        <f t="shared" si="126"/>
        <v>0</v>
      </c>
      <c r="BT296" s="319">
        <f t="shared" si="126"/>
        <v>0</v>
      </c>
      <c r="BU296" s="319">
        <f t="shared" si="126"/>
        <v>0</v>
      </c>
      <c r="BV296" s="319">
        <f t="shared" si="126"/>
        <v>0</v>
      </c>
      <c r="BW296" s="319">
        <f t="shared" si="126"/>
        <v>0</v>
      </c>
      <c r="BX296" s="319">
        <f t="shared" si="126"/>
        <v>0</v>
      </c>
      <c r="BY296" s="319">
        <f t="shared" si="126"/>
        <v>0</v>
      </c>
      <c r="BZ296" s="319">
        <f t="shared" si="126"/>
        <v>0</v>
      </c>
      <c r="CA296" s="319">
        <f t="shared" si="126"/>
        <v>0</v>
      </c>
      <c r="CB296" s="319">
        <f t="shared" si="126"/>
        <v>0</v>
      </c>
      <c r="CC296" s="319">
        <f t="shared" si="126"/>
        <v>0</v>
      </c>
      <c r="CD296" s="319">
        <f t="shared" si="126"/>
        <v>0</v>
      </c>
      <c r="CE296" s="319">
        <f t="shared" si="126"/>
        <v>0</v>
      </c>
      <c r="CF296" s="319">
        <f t="shared" si="126"/>
        <v>0</v>
      </c>
      <c r="CG296" s="319">
        <f t="shared" si="126"/>
        <v>0</v>
      </c>
      <c r="CH296" s="319">
        <f t="shared" si="126"/>
        <v>0</v>
      </c>
      <c r="CI296" s="319">
        <f t="shared" si="126"/>
        <v>0</v>
      </c>
      <c r="CJ296" s="319">
        <f t="shared" si="126"/>
        <v>0</v>
      </c>
      <c r="CK296" s="319">
        <f t="shared" si="126"/>
        <v>0</v>
      </c>
      <c r="CL296" s="319">
        <f t="shared" si="126"/>
        <v>0</v>
      </c>
      <c r="CM296" s="319">
        <f t="shared" si="126"/>
        <v>0</v>
      </c>
      <c r="CN296" s="319">
        <f t="shared" si="126"/>
        <v>0</v>
      </c>
      <c r="CO296" s="319">
        <f t="shared" si="126"/>
        <v>0</v>
      </c>
      <c r="CP296" s="319">
        <f t="shared" si="126"/>
        <v>0</v>
      </c>
      <c r="CQ296" s="319">
        <f t="shared" si="126"/>
        <v>0</v>
      </c>
      <c r="CR296" s="319">
        <f t="shared" si="126"/>
        <v>0</v>
      </c>
      <c r="CS296" s="319">
        <f t="shared" si="126"/>
        <v>0</v>
      </c>
      <c r="CT296" s="319">
        <f t="shared" si="126"/>
        <v>0</v>
      </c>
      <c r="CU296" s="319">
        <f t="shared" si="126"/>
        <v>0</v>
      </c>
      <c r="CV296" s="319">
        <f t="shared" si="126"/>
        <v>0</v>
      </c>
    </row>
    <row r="297" spans="1:100" x14ac:dyDescent="0.25">
      <c r="A297" s="319">
        <f t="shared" si="117"/>
        <v>0</v>
      </c>
      <c r="B297" s="319">
        <f t="shared" si="121"/>
        <v>0</v>
      </c>
      <c r="C297" s="340" t="s">
        <v>1233</v>
      </c>
      <c r="D297" s="341" t="s">
        <v>371</v>
      </c>
      <c r="E297" s="341">
        <v>6</v>
      </c>
      <c r="F297" s="341" t="str">
        <f>IF(AND(E297&lt;CharacterSheet!$V$34,'House Rules'!$B$1="Available",OR('House Rules'!$B$9="Standard",AND('House Rules'!$B$9="Single",$G$296="No",$G$295="No",$G$298="No"),AND('House Rules'!$B$9="Ten",COUNTIF($G$277:$G$306,"YES")&lt;10)),OR('House Rules'!$B$8="Standard",AND('House Rules'!$B$8="Ranked",OR($G$293="Yes",$G$294="Yes")))),"Yes","No")</f>
        <v>No</v>
      </c>
      <c r="G297" s="564" t="s">
        <v>347</v>
      </c>
      <c r="H297" s="333" t="str">
        <f>IF(C297="","",VLOOKUP(C297,Boonref2!A:B,2,FALSE))</f>
        <v>Yes</v>
      </c>
      <c r="I297" s="333"/>
      <c r="J297" s="333" t="str">
        <f>VLOOKUP(C297,BoonRef!A:Z,17,FALSE)</f>
        <v>Yes</v>
      </c>
      <c r="K297" s="333" t="str">
        <f>IF(J297="God",'House Rules'!$B$2,IF(J297="Demi",'House Rules'!$B$1,IF(J297="Comp",'House Rules'!$B$4,IF(J297="Yaz",'House Rules'!$B$5,IF(J297="Rag",'House Rules'!$B$3,"Available")))))</f>
        <v>Available</v>
      </c>
      <c r="L297" s="333"/>
      <c r="M297" s="333"/>
      <c r="BF297" s="319">
        <f t="shared" si="124"/>
        <v>0</v>
      </c>
      <c r="BG297" s="340" t="s">
        <v>1074</v>
      </c>
      <c r="BI297" s="319">
        <f t="shared" si="118"/>
        <v>0</v>
      </c>
      <c r="BJ297" s="319">
        <f t="shared" si="126"/>
        <v>0</v>
      </c>
      <c r="BK297" s="319">
        <f t="shared" si="126"/>
        <v>0</v>
      </c>
      <c r="BL297" s="319">
        <f t="shared" si="126"/>
        <v>0</v>
      </c>
      <c r="BM297" s="319">
        <f t="shared" si="126"/>
        <v>0</v>
      </c>
      <c r="BN297" s="319">
        <f t="shared" si="126"/>
        <v>0</v>
      </c>
      <c r="BO297" s="319">
        <f t="shared" si="126"/>
        <v>0</v>
      </c>
      <c r="BP297" s="319">
        <f t="shared" si="126"/>
        <v>0</v>
      </c>
      <c r="BQ297" s="319">
        <f t="shared" si="126"/>
        <v>0</v>
      </c>
      <c r="BR297" s="319">
        <f t="shared" si="126"/>
        <v>0</v>
      </c>
      <c r="BS297" s="319">
        <f t="shared" si="126"/>
        <v>0</v>
      </c>
      <c r="BT297" s="319">
        <f t="shared" si="126"/>
        <v>0</v>
      </c>
      <c r="BU297" s="319">
        <f t="shared" si="126"/>
        <v>0</v>
      </c>
      <c r="BV297" s="319">
        <f t="shared" si="126"/>
        <v>0</v>
      </c>
      <c r="BW297" s="319">
        <f t="shared" si="126"/>
        <v>0</v>
      </c>
      <c r="BX297" s="319">
        <f t="shared" si="126"/>
        <v>0</v>
      </c>
      <c r="BY297" s="319">
        <f t="shared" si="126"/>
        <v>0</v>
      </c>
      <c r="BZ297" s="319">
        <f t="shared" si="126"/>
        <v>0</v>
      </c>
      <c r="CA297" s="319">
        <f t="shared" si="126"/>
        <v>0</v>
      </c>
      <c r="CB297" s="319">
        <f t="shared" si="126"/>
        <v>0</v>
      </c>
      <c r="CC297" s="319">
        <f t="shared" si="126"/>
        <v>0</v>
      </c>
      <c r="CD297" s="319">
        <f t="shared" si="126"/>
        <v>0</v>
      </c>
      <c r="CE297" s="319">
        <f t="shared" si="126"/>
        <v>0</v>
      </c>
      <c r="CF297" s="319">
        <f t="shared" si="126"/>
        <v>0</v>
      </c>
      <c r="CG297" s="319">
        <f t="shared" si="126"/>
        <v>0</v>
      </c>
      <c r="CH297" s="319">
        <f t="shared" si="126"/>
        <v>0</v>
      </c>
      <c r="CI297" s="319">
        <f t="shared" si="126"/>
        <v>0</v>
      </c>
      <c r="CJ297" s="319">
        <f t="shared" si="126"/>
        <v>0</v>
      </c>
      <c r="CK297" s="319">
        <f t="shared" si="126"/>
        <v>0</v>
      </c>
      <c r="CL297" s="319">
        <f t="shared" si="126"/>
        <v>0</v>
      </c>
      <c r="CM297" s="319">
        <f t="shared" si="126"/>
        <v>0</v>
      </c>
      <c r="CN297" s="319">
        <f t="shared" si="126"/>
        <v>0</v>
      </c>
      <c r="CO297" s="319">
        <f t="shared" si="126"/>
        <v>0</v>
      </c>
      <c r="CP297" s="319">
        <f t="shared" si="126"/>
        <v>0</v>
      </c>
      <c r="CQ297" s="319">
        <f t="shared" si="126"/>
        <v>0</v>
      </c>
      <c r="CR297" s="319">
        <f t="shared" si="126"/>
        <v>0</v>
      </c>
      <c r="CS297" s="319">
        <f t="shared" si="126"/>
        <v>0</v>
      </c>
      <c r="CT297" s="319">
        <f t="shared" si="126"/>
        <v>0</v>
      </c>
      <c r="CU297" s="319">
        <f t="shared" si="126"/>
        <v>0</v>
      </c>
      <c r="CV297" s="319">
        <f t="shared" si="126"/>
        <v>0</v>
      </c>
    </row>
    <row r="298" spans="1:100" x14ac:dyDescent="0.25">
      <c r="A298" s="319">
        <f t="shared" si="117"/>
        <v>0</v>
      </c>
      <c r="B298" s="319">
        <f t="shared" si="121"/>
        <v>0</v>
      </c>
      <c r="C298" s="340" t="s">
        <v>1416</v>
      </c>
      <c r="D298" s="341" t="s">
        <v>371</v>
      </c>
      <c r="E298" s="341">
        <v>6</v>
      </c>
      <c r="F298" s="341" t="str">
        <f>IF(AND(E298&lt;CharacterSheet!$V$34,'House Rules'!$B$4="Available",OR('House Rules'!$B$9="Standard",AND('House Rules'!$B$9="Single",$G$296="No",$G$297="No",$G$295="No"),AND('House Rules'!$B$9="Ten",COUNTIF($G$277:$G$306,"YES")&lt;10)),OR('House Rules'!$B$8="Standard",AND('House Rules'!$B$8="Ranked",OR($G$293="Yes",$G$294="Yes")))),"Yes","No")</f>
        <v>No</v>
      </c>
      <c r="G298" s="564" t="s">
        <v>347</v>
      </c>
      <c r="H298" s="333" t="str">
        <f>IF(C298="","",VLOOKUP(C298,Boonref2!A:B,2,FALSE))</f>
        <v>Yes</v>
      </c>
      <c r="I298" s="333"/>
      <c r="J298" s="333" t="str">
        <f>VLOOKUP(C298,BoonRef!A:Z,17,FALSE)</f>
        <v>Yes</v>
      </c>
      <c r="K298" s="333" t="str">
        <f>IF(J298="God",'House Rules'!$B$2,IF(J298="Demi",'House Rules'!$B$1,IF(J298="Comp",'House Rules'!$B$4,IF(J298="Yaz",'House Rules'!$B$5,IF(J298="Rag",'House Rules'!$B$3,"Available")))))</f>
        <v>Available</v>
      </c>
      <c r="L298" s="333"/>
      <c r="M298" s="333"/>
      <c r="BF298" s="319">
        <f t="shared" si="124"/>
        <v>0</v>
      </c>
      <c r="BG298" s="340" t="s">
        <v>1075</v>
      </c>
      <c r="BI298" s="319">
        <f t="shared" si="118"/>
        <v>0</v>
      </c>
      <c r="BJ298" s="319">
        <f t="shared" si="126"/>
        <v>0</v>
      </c>
      <c r="BK298" s="319">
        <f t="shared" si="126"/>
        <v>0</v>
      </c>
      <c r="BL298" s="319">
        <f t="shared" si="126"/>
        <v>0</v>
      </c>
      <c r="BM298" s="319">
        <f t="shared" si="126"/>
        <v>0</v>
      </c>
      <c r="BN298" s="319">
        <f t="shared" si="126"/>
        <v>0</v>
      </c>
      <c r="BO298" s="319">
        <f t="shared" si="126"/>
        <v>0</v>
      </c>
      <c r="BP298" s="319">
        <f t="shared" si="126"/>
        <v>0</v>
      </c>
      <c r="BQ298" s="319">
        <f t="shared" si="126"/>
        <v>0</v>
      </c>
      <c r="BR298" s="319">
        <f t="shared" si="126"/>
        <v>0</v>
      </c>
      <c r="BS298" s="319">
        <f t="shared" si="126"/>
        <v>0</v>
      </c>
      <c r="BT298" s="319">
        <f t="shared" si="126"/>
        <v>0</v>
      </c>
      <c r="BU298" s="319">
        <f t="shared" si="126"/>
        <v>0</v>
      </c>
      <c r="BV298" s="319">
        <f t="shared" si="126"/>
        <v>0</v>
      </c>
      <c r="BW298" s="319">
        <f t="shared" si="126"/>
        <v>0</v>
      </c>
      <c r="BX298" s="319">
        <f t="shared" si="126"/>
        <v>0</v>
      </c>
      <c r="BY298" s="319">
        <f t="shared" si="126"/>
        <v>0</v>
      </c>
      <c r="BZ298" s="319">
        <f t="shared" si="126"/>
        <v>0</v>
      </c>
      <c r="CA298" s="319">
        <f t="shared" si="126"/>
        <v>0</v>
      </c>
      <c r="CB298" s="319">
        <f t="shared" si="126"/>
        <v>0</v>
      </c>
      <c r="CC298" s="319">
        <f t="shared" si="126"/>
        <v>0</v>
      </c>
      <c r="CD298" s="319">
        <f t="shared" si="126"/>
        <v>0</v>
      </c>
      <c r="CE298" s="319">
        <f t="shared" si="126"/>
        <v>0</v>
      </c>
      <c r="CF298" s="319">
        <f t="shared" si="126"/>
        <v>0</v>
      </c>
      <c r="CG298" s="319">
        <f t="shared" si="126"/>
        <v>0</v>
      </c>
      <c r="CH298" s="319">
        <f t="shared" ref="BJ298:CV305" si="127">IF(AND($D298=CH$1,$G298="Yes"),$E298,0)</f>
        <v>0</v>
      </c>
      <c r="CI298" s="319">
        <f t="shared" si="127"/>
        <v>0</v>
      </c>
      <c r="CJ298" s="319">
        <f t="shared" si="127"/>
        <v>0</v>
      </c>
      <c r="CK298" s="319">
        <f t="shared" si="127"/>
        <v>0</v>
      </c>
      <c r="CL298" s="319">
        <f t="shared" si="127"/>
        <v>0</v>
      </c>
      <c r="CM298" s="319">
        <f t="shared" si="127"/>
        <v>0</v>
      </c>
      <c r="CN298" s="319">
        <f t="shared" si="127"/>
        <v>0</v>
      </c>
      <c r="CO298" s="319">
        <f t="shared" si="127"/>
        <v>0</v>
      </c>
      <c r="CP298" s="319">
        <f t="shared" si="127"/>
        <v>0</v>
      </c>
      <c r="CQ298" s="319">
        <f t="shared" si="127"/>
        <v>0</v>
      </c>
      <c r="CR298" s="319">
        <f t="shared" si="127"/>
        <v>0</v>
      </c>
      <c r="CS298" s="319">
        <f t="shared" si="127"/>
        <v>0</v>
      </c>
      <c r="CT298" s="319">
        <f t="shared" si="127"/>
        <v>0</v>
      </c>
      <c r="CU298" s="319">
        <f t="shared" si="127"/>
        <v>0</v>
      </c>
      <c r="CV298" s="319">
        <f t="shared" si="127"/>
        <v>0</v>
      </c>
    </row>
    <row r="299" spans="1:100" x14ac:dyDescent="0.25">
      <c r="A299" s="319">
        <f t="shared" si="117"/>
        <v>0</v>
      </c>
      <c r="B299" s="319">
        <f t="shared" si="121"/>
        <v>0</v>
      </c>
      <c r="C299" s="340" t="s">
        <v>1234</v>
      </c>
      <c r="D299" s="341" t="s">
        <v>371</v>
      </c>
      <c r="E299" s="341">
        <v>7</v>
      </c>
      <c r="F299" s="341" t="str">
        <f>IF(AND(E299&lt;CharacterSheet!$V$34,'House Rules'!$B$1="Available",OR('House Rules'!$B$9="Standard",AND('House Rules'!$B$9="Single",$G$300="No"),AND('House Rules'!$B$9="Ten",COUNTIF($G$277:$G$306,"YES")&lt;10)),OR('House Rules'!$B$8="Standard",AND('House Rules'!$B$8="Ranked",OR($G$295="Yes",$G$296="Yes",$G$297="Yes",$G$298="Yes")))),"Yes","No")</f>
        <v>No</v>
      </c>
      <c r="G299" s="564" t="s">
        <v>347</v>
      </c>
      <c r="H299" s="333" t="str">
        <f>IF(C299="","",VLOOKUP(C299,Boonref2!A:B,2,FALSE))</f>
        <v>Yes</v>
      </c>
      <c r="I299" s="333"/>
      <c r="J299" s="333" t="str">
        <f>VLOOKUP(C299,BoonRef!A:Z,17,FALSE)</f>
        <v>Yes</v>
      </c>
      <c r="K299" s="333" t="str">
        <f>IF(J299="God",'House Rules'!$B$2,IF(J299="Demi",'House Rules'!$B$1,IF(J299="Comp",'House Rules'!$B$4,IF(J299="Yaz",'House Rules'!$B$5,IF(J299="Rag",'House Rules'!$B$3,"Available")))))</f>
        <v>Available</v>
      </c>
      <c r="L299" s="333"/>
      <c r="M299" s="333"/>
      <c r="BF299" s="319">
        <f t="shared" si="124"/>
        <v>0</v>
      </c>
      <c r="BG299" s="340" t="s">
        <v>1155</v>
      </c>
      <c r="BI299" s="319">
        <f t="shared" si="118"/>
        <v>0</v>
      </c>
      <c r="BJ299" s="319">
        <f t="shared" si="127"/>
        <v>0</v>
      </c>
      <c r="BK299" s="319">
        <f t="shared" si="127"/>
        <v>0</v>
      </c>
      <c r="BL299" s="319">
        <f t="shared" si="127"/>
        <v>0</v>
      </c>
      <c r="BM299" s="319">
        <f t="shared" si="127"/>
        <v>0</v>
      </c>
      <c r="BN299" s="319">
        <f t="shared" si="127"/>
        <v>0</v>
      </c>
      <c r="BO299" s="319">
        <f t="shared" si="127"/>
        <v>0</v>
      </c>
      <c r="BP299" s="319">
        <f t="shared" si="127"/>
        <v>0</v>
      </c>
      <c r="BQ299" s="319">
        <f t="shared" si="127"/>
        <v>0</v>
      </c>
      <c r="BR299" s="319">
        <f t="shared" si="127"/>
        <v>0</v>
      </c>
      <c r="BS299" s="319">
        <f t="shared" si="127"/>
        <v>0</v>
      </c>
      <c r="BT299" s="319">
        <f t="shared" si="127"/>
        <v>0</v>
      </c>
      <c r="BU299" s="319">
        <f t="shared" si="127"/>
        <v>0</v>
      </c>
      <c r="BV299" s="319">
        <f t="shared" si="127"/>
        <v>0</v>
      </c>
      <c r="BW299" s="319">
        <f t="shared" si="127"/>
        <v>0</v>
      </c>
      <c r="BX299" s="319">
        <f t="shared" si="127"/>
        <v>0</v>
      </c>
      <c r="BY299" s="319">
        <f t="shared" si="127"/>
        <v>0</v>
      </c>
      <c r="BZ299" s="319">
        <f t="shared" si="127"/>
        <v>0</v>
      </c>
      <c r="CA299" s="319">
        <f t="shared" si="127"/>
        <v>0</v>
      </c>
      <c r="CB299" s="319">
        <f t="shared" si="127"/>
        <v>0</v>
      </c>
      <c r="CC299" s="319">
        <f t="shared" si="127"/>
        <v>0</v>
      </c>
      <c r="CD299" s="319">
        <f t="shared" si="127"/>
        <v>0</v>
      </c>
      <c r="CE299" s="319">
        <f t="shared" si="127"/>
        <v>0</v>
      </c>
      <c r="CF299" s="319">
        <f t="shared" si="127"/>
        <v>0</v>
      </c>
      <c r="CG299" s="319">
        <f t="shared" si="127"/>
        <v>0</v>
      </c>
      <c r="CH299" s="319">
        <f t="shared" si="127"/>
        <v>0</v>
      </c>
      <c r="CI299" s="319">
        <f t="shared" si="127"/>
        <v>0</v>
      </c>
      <c r="CJ299" s="319">
        <f t="shared" si="127"/>
        <v>0</v>
      </c>
      <c r="CK299" s="319">
        <f t="shared" si="127"/>
        <v>0</v>
      </c>
      <c r="CL299" s="319">
        <f t="shared" si="127"/>
        <v>0</v>
      </c>
      <c r="CM299" s="319">
        <f t="shared" si="127"/>
        <v>0</v>
      </c>
      <c r="CN299" s="319">
        <f t="shared" si="127"/>
        <v>0</v>
      </c>
      <c r="CO299" s="319">
        <f t="shared" si="127"/>
        <v>0</v>
      </c>
      <c r="CP299" s="319">
        <f t="shared" si="127"/>
        <v>0</v>
      </c>
      <c r="CQ299" s="319">
        <f t="shared" si="127"/>
        <v>0</v>
      </c>
      <c r="CR299" s="319">
        <f t="shared" si="127"/>
        <v>0</v>
      </c>
      <c r="CS299" s="319">
        <f t="shared" si="127"/>
        <v>0</v>
      </c>
      <c r="CT299" s="319">
        <f t="shared" si="127"/>
        <v>0</v>
      </c>
      <c r="CU299" s="319">
        <f t="shared" si="127"/>
        <v>0</v>
      </c>
      <c r="CV299" s="319">
        <f t="shared" si="127"/>
        <v>0</v>
      </c>
    </row>
    <row r="300" spans="1:100" x14ac:dyDescent="0.25">
      <c r="A300" s="319">
        <f t="shared" si="117"/>
        <v>0</v>
      </c>
      <c r="B300" s="319">
        <f t="shared" si="121"/>
        <v>0</v>
      </c>
      <c r="C300" s="340" t="s">
        <v>1417</v>
      </c>
      <c r="D300" s="341" t="s">
        <v>371</v>
      </c>
      <c r="E300" s="341">
        <v>7</v>
      </c>
      <c r="F300" s="341" t="str">
        <f>IF(AND(E300&lt;CharacterSheet!$V$34,'House Rules'!$B$4="Available",OR('House Rules'!$B$9="Standard",AND('House Rules'!$B$9="Single",$G$299="No"),AND('House Rules'!$B$9="Ten",COUNTIF($G$277:$G$306,"YES")&lt;10)),OR('House Rules'!$B$8="Standard",AND('House Rules'!$B$8="Ranked",OR($G$295="Yes",$G$296="Yes",$G$297="Yes",$G$298="Yes")))),"Yes","No")</f>
        <v>No</v>
      </c>
      <c r="G300" s="564" t="s">
        <v>347</v>
      </c>
      <c r="H300" s="333" t="str">
        <f>IF(C300="","",VLOOKUP(C300,Boonref2!A:B,2,FALSE))</f>
        <v>Yes</v>
      </c>
      <c r="I300" s="333"/>
      <c r="J300" s="333" t="str">
        <f>VLOOKUP(C300,BoonRef!A:Z,17,FALSE)</f>
        <v>Yes</v>
      </c>
      <c r="K300" s="333" t="str">
        <f>IF(J300="God",'House Rules'!$B$2,IF(J300="Demi",'House Rules'!$B$1,IF(J300="Comp",'House Rules'!$B$4,IF(J300="Yaz",'House Rules'!$B$5,IF(J300="Rag",'House Rules'!$B$3,"Available")))))</f>
        <v>Available</v>
      </c>
      <c r="L300" s="333"/>
      <c r="M300" s="333"/>
      <c r="BF300" s="319">
        <f t="shared" si="124"/>
        <v>0</v>
      </c>
      <c r="BG300" s="340" t="s">
        <v>1156</v>
      </c>
      <c r="BI300" s="319">
        <f t="shared" si="118"/>
        <v>0</v>
      </c>
      <c r="BJ300" s="319">
        <f t="shared" si="127"/>
        <v>0</v>
      </c>
      <c r="BK300" s="319">
        <f t="shared" si="127"/>
        <v>0</v>
      </c>
      <c r="BL300" s="319">
        <f t="shared" si="127"/>
        <v>0</v>
      </c>
      <c r="BM300" s="319">
        <f t="shared" si="127"/>
        <v>0</v>
      </c>
      <c r="BN300" s="319">
        <f t="shared" si="127"/>
        <v>0</v>
      </c>
      <c r="BO300" s="319">
        <f t="shared" si="127"/>
        <v>0</v>
      </c>
      <c r="BP300" s="319">
        <f t="shared" si="127"/>
        <v>0</v>
      </c>
      <c r="BQ300" s="319">
        <f t="shared" si="127"/>
        <v>0</v>
      </c>
      <c r="BR300" s="319">
        <f t="shared" si="127"/>
        <v>0</v>
      </c>
      <c r="BS300" s="319">
        <f t="shared" si="127"/>
        <v>0</v>
      </c>
      <c r="BT300" s="319">
        <f t="shared" si="127"/>
        <v>0</v>
      </c>
      <c r="BU300" s="319">
        <f t="shared" si="127"/>
        <v>0</v>
      </c>
      <c r="BV300" s="319">
        <f t="shared" si="127"/>
        <v>0</v>
      </c>
      <c r="BW300" s="319">
        <f t="shared" si="127"/>
        <v>0</v>
      </c>
      <c r="BX300" s="319">
        <f t="shared" si="127"/>
        <v>0</v>
      </c>
      <c r="BY300" s="319">
        <f t="shared" si="127"/>
        <v>0</v>
      </c>
      <c r="BZ300" s="319">
        <f t="shared" si="127"/>
        <v>0</v>
      </c>
      <c r="CA300" s="319">
        <f t="shared" si="127"/>
        <v>0</v>
      </c>
      <c r="CB300" s="319">
        <f t="shared" si="127"/>
        <v>0</v>
      </c>
      <c r="CC300" s="319">
        <f t="shared" si="127"/>
        <v>0</v>
      </c>
      <c r="CD300" s="319">
        <f t="shared" si="127"/>
        <v>0</v>
      </c>
      <c r="CE300" s="319">
        <f t="shared" si="127"/>
        <v>0</v>
      </c>
      <c r="CF300" s="319">
        <f t="shared" si="127"/>
        <v>0</v>
      </c>
      <c r="CG300" s="319">
        <f t="shared" si="127"/>
        <v>0</v>
      </c>
      <c r="CH300" s="319">
        <f t="shared" si="127"/>
        <v>0</v>
      </c>
      <c r="CI300" s="319">
        <f t="shared" si="127"/>
        <v>0</v>
      </c>
      <c r="CJ300" s="319">
        <f t="shared" si="127"/>
        <v>0</v>
      </c>
      <c r="CK300" s="319">
        <f t="shared" si="127"/>
        <v>0</v>
      </c>
      <c r="CL300" s="319">
        <f t="shared" si="127"/>
        <v>0</v>
      </c>
      <c r="CM300" s="319">
        <f t="shared" si="127"/>
        <v>0</v>
      </c>
      <c r="CN300" s="319">
        <f t="shared" si="127"/>
        <v>0</v>
      </c>
      <c r="CO300" s="319">
        <f t="shared" si="127"/>
        <v>0</v>
      </c>
      <c r="CP300" s="319">
        <f t="shared" si="127"/>
        <v>0</v>
      </c>
      <c r="CQ300" s="319">
        <f t="shared" si="127"/>
        <v>0</v>
      </c>
      <c r="CR300" s="319">
        <f t="shared" si="127"/>
        <v>0</v>
      </c>
      <c r="CS300" s="319">
        <f t="shared" si="127"/>
        <v>0</v>
      </c>
      <c r="CT300" s="319">
        <f t="shared" si="127"/>
        <v>0</v>
      </c>
      <c r="CU300" s="319">
        <f t="shared" si="127"/>
        <v>0</v>
      </c>
      <c r="CV300" s="319">
        <f t="shared" si="127"/>
        <v>0</v>
      </c>
    </row>
    <row r="301" spans="1:100" x14ac:dyDescent="0.25">
      <c r="A301" s="319">
        <f t="shared" si="117"/>
        <v>0</v>
      </c>
      <c r="B301" s="319">
        <f t="shared" si="121"/>
        <v>0</v>
      </c>
      <c r="C301" s="340" t="s">
        <v>1324</v>
      </c>
      <c r="D301" s="341" t="s">
        <v>371</v>
      </c>
      <c r="E301" s="341">
        <v>8</v>
      </c>
      <c r="F301" s="341" t="str">
        <f>IF(AND(E301&lt;CharacterSheet!$V$34,'House Rules'!$B$2="available",OR('House Rules'!$B$9="Standard",AND('House Rules'!$B$9="Single",$G$302="No"),AND('House Rules'!$B$9="Ten",COUNTIF($G$277:$G$306,"YES")&lt;10)),OR('House Rules'!$B$8="Standard",AND('House Rules'!$B$8="Ranked",OR($G$299="Yes",$G$300="Yes")))),"Yes","No")</f>
        <v>No</v>
      </c>
      <c r="G301" s="564" t="s">
        <v>347</v>
      </c>
      <c r="H301" s="333" t="str">
        <f>IF(C301="","",VLOOKUP(C301,Boonref2!A:B,2,FALSE))</f>
        <v>Yes</v>
      </c>
      <c r="I301" s="333"/>
      <c r="J301" s="333" t="str">
        <f>VLOOKUP(C301,BoonRef!A:Z,17,FALSE)</f>
        <v>Yes</v>
      </c>
      <c r="K301" s="333" t="str">
        <f>IF(J301="God",'House Rules'!$B$2,IF(J301="Demi",'House Rules'!$B$1,IF(J301="Comp",'House Rules'!$B$4,IF(J301="Yaz",'House Rules'!$B$5,IF(J301="Rag",'House Rules'!$B$3,"Available")))))</f>
        <v>Available</v>
      </c>
      <c r="L301" s="333"/>
      <c r="M301" s="333"/>
      <c r="BF301" s="319">
        <f t="shared" si="124"/>
        <v>0</v>
      </c>
      <c r="BG301" s="340" t="s">
        <v>1157</v>
      </c>
      <c r="BI301" s="319">
        <f t="shared" si="118"/>
        <v>0</v>
      </c>
      <c r="BJ301" s="319">
        <f t="shared" si="127"/>
        <v>0</v>
      </c>
      <c r="BK301" s="319">
        <f t="shared" si="127"/>
        <v>0</v>
      </c>
      <c r="BL301" s="319">
        <f t="shared" si="127"/>
        <v>0</v>
      </c>
      <c r="BM301" s="319">
        <f t="shared" si="127"/>
        <v>0</v>
      </c>
      <c r="BN301" s="319">
        <f t="shared" si="127"/>
        <v>0</v>
      </c>
      <c r="BO301" s="319">
        <f t="shared" si="127"/>
        <v>0</v>
      </c>
      <c r="BP301" s="319">
        <f t="shared" si="127"/>
        <v>0</v>
      </c>
      <c r="BQ301" s="319">
        <f t="shared" si="127"/>
        <v>0</v>
      </c>
      <c r="BR301" s="319">
        <f t="shared" si="127"/>
        <v>0</v>
      </c>
      <c r="BS301" s="319">
        <f t="shared" si="127"/>
        <v>0</v>
      </c>
      <c r="BT301" s="319">
        <f t="shared" si="127"/>
        <v>0</v>
      </c>
      <c r="BU301" s="319">
        <f t="shared" si="127"/>
        <v>0</v>
      </c>
      <c r="BV301" s="319">
        <f t="shared" si="127"/>
        <v>0</v>
      </c>
      <c r="BW301" s="319">
        <f t="shared" si="127"/>
        <v>0</v>
      </c>
      <c r="BX301" s="319">
        <f t="shared" si="127"/>
        <v>0</v>
      </c>
      <c r="BY301" s="319">
        <f t="shared" si="127"/>
        <v>0</v>
      </c>
      <c r="BZ301" s="319">
        <f t="shared" si="127"/>
        <v>0</v>
      </c>
      <c r="CA301" s="319">
        <f t="shared" si="127"/>
        <v>0</v>
      </c>
      <c r="CB301" s="319">
        <f t="shared" si="127"/>
        <v>0</v>
      </c>
      <c r="CC301" s="319">
        <f t="shared" si="127"/>
        <v>0</v>
      </c>
      <c r="CD301" s="319">
        <f t="shared" si="127"/>
        <v>0</v>
      </c>
      <c r="CE301" s="319">
        <f t="shared" si="127"/>
        <v>0</v>
      </c>
      <c r="CF301" s="319">
        <f t="shared" si="127"/>
        <v>0</v>
      </c>
      <c r="CG301" s="319">
        <f t="shared" si="127"/>
        <v>0</v>
      </c>
      <c r="CH301" s="319">
        <f t="shared" si="127"/>
        <v>0</v>
      </c>
      <c r="CI301" s="319">
        <f t="shared" si="127"/>
        <v>0</v>
      </c>
      <c r="CJ301" s="319">
        <f t="shared" si="127"/>
        <v>0</v>
      </c>
      <c r="CK301" s="319">
        <f t="shared" si="127"/>
        <v>0</v>
      </c>
      <c r="CL301" s="319">
        <f t="shared" si="127"/>
        <v>0</v>
      </c>
      <c r="CM301" s="319">
        <f t="shared" si="127"/>
        <v>0</v>
      </c>
      <c r="CN301" s="319">
        <f t="shared" si="127"/>
        <v>0</v>
      </c>
      <c r="CO301" s="319">
        <f t="shared" si="127"/>
        <v>0</v>
      </c>
      <c r="CP301" s="319">
        <f t="shared" si="127"/>
        <v>0</v>
      </c>
      <c r="CQ301" s="319">
        <f t="shared" si="127"/>
        <v>0</v>
      </c>
      <c r="CR301" s="319">
        <f t="shared" si="127"/>
        <v>0</v>
      </c>
      <c r="CS301" s="319">
        <f t="shared" si="127"/>
        <v>0</v>
      </c>
      <c r="CT301" s="319">
        <f t="shared" si="127"/>
        <v>0</v>
      </c>
      <c r="CU301" s="319">
        <f t="shared" si="127"/>
        <v>0</v>
      </c>
      <c r="CV301" s="319">
        <f t="shared" si="127"/>
        <v>0</v>
      </c>
    </row>
    <row r="302" spans="1:100" x14ac:dyDescent="0.25">
      <c r="A302" s="319">
        <f t="shared" si="117"/>
        <v>0</v>
      </c>
      <c r="B302" s="319">
        <f t="shared" si="121"/>
        <v>0</v>
      </c>
      <c r="C302" s="340" t="s">
        <v>1418</v>
      </c>
      <c r="D302" s="341" t="s">
        <v>371</v>
      </c>
      <c r="E302" s="341">
        <v>8</v>
      </c>
      <c r="F302" s="341" t="str">
        <f>IF(AND(E302&lt;CharacterSheet!$V$34,'House Rules'!$B$4="Available",OR('House Rules'!$B$9="Standard",AND('House Rules'!$B$9="Single",$G$301="No"),AND('House Rules'!$B$9="Ten",COUNTIF($G$277:$G$306,"YES")&lt;10)),OR('House Rules'!$B$8="Standard",AND('House Rules'!$B$8="Ranked",OR($G$299="Yes",$G$300="Yes")))),"Yes","No")</f>
        <v>No</v>
      </c>
      <c r="G302" s="564" t="s">
        <v>347</v>
      </c>
      <c r="H302" s="333" t="str">
        <f>IF(C302="","",VLOOKUP(C302,Boonref2!A:B,2,FALSE))</f>
        <v>Yes</v>
      </c>
      <c r="I302" s="333"/>
      <c r="J302" s="333" t="str">
        <f>VLOOKUP(C302,BoonRef!A:Z,17,FALSE)</f>
        <v>Yes</v>
      </c>
      <c r="K302" s="333" t="str">
        <f>IF(J302="God",'House Rules'!$B$2,IF(J302="Demi",'House Rules'!$B$1,IF(J302="Comp",'House Rules'!$B$4,IF(J302="Yaz",'House Rules'!$B$5,IF(J302="Rag",'House Rules'!$B$3,"Available")))))</f>
        <v>Available</v>
      </c>
      <c r="L302" s="333"/>
      <c r="M302" s="333"/>
      <c r="BF302" s="319">
        <f t="shared" si="124"/>
        <v>0</v>
      </c>
      <c r="BG302" s="340" t="s">
        <v>1158</v>
      </c>
      <c r="BI302" s="319">
        <f t="shared" si="118"/>
        <v>0</v>
      </c>
      <c r="BJ302" s="319">
        <f t="shared" si="127"/>
        <v>0</v>
      </c>
      <c r="BK302" s="319">
        <f t="shared" si="127"/>
        <v>0</v>
      </c>
      <c r="BL302" s="319">
        <f t="shared" si="127"/>
        <v>0</v>
      </c>
      <c r="BM302" s="319">
        <f t="shared" si="127"/>
        <v>0</v>
      </c>
      <c r="BN302" s="319">
        <f t="shared" si="127"/>
        <v>0</v>
      </c>
      <c r="BO302" s="319">
        <f t="shared" si="127"/>
        <v>0</v>
      </c>
      <c r="BP302" s="319">
        <f t="shared" si="127"/>
        <v>0</v>
      </c>
      <c r="BQ302" s="319">
        <f t="shared" si="127"/>
        <v>0</v>
      </c>
      <c r="BR302" s="319">
        <f t="shared" si="127"/>
        <v>0</v>
      </c>
      <c r="BS302" s="319">
        <f t="shared" si="127"/>
        <v>0</v>
      </c>
      <c r="BT302" s="319">
        <f t="shared" si="127"/>
        <v>0</v>
      </c>
      <c r="BU302" s="319">
        <f t="shared" si="127"/>
        <v>0</v>
      </c>
      <c r="BV302" s="319">
        <f t="shared" si="127"/>
        <v>0</v>
      </c>
      <c r="BW302" s="319">
        <f t="shared" si="127"/>
        <v>0</v>
      </c>
      <c r="BX302" s="319">
        <f t="shared" si="127"/>
        <v>0</v>
      </c>
      <c r="BY302" s="319">
        <f t="shared" si="127"/>
        <v>0</v>
      </c>
      <c r="BZ302" s="319">
        <f t="shared" si="127"/>
        <v>0</v>
      </c>
      <c r="CA302" s="319">
        <f t="shared" si="127"/>
        <v>0</v>
      </c>
      <c r="CB302" s="319">
        <f t="shared" si="127"/>
        <v>0</v>
      </c>
      <c r="CC302" s="319">
        <f t="shared" si="127"/>
        <v>0</v>
      </c>
      <c r="CD302" s="319">
        <f t="shared" si="127"/>
        <v>0</v>
      </c>
      <c r="CE302" s="319">
        <f t="shared" si="127"/>
        <v>0</v>
      </c>
      <c r="CF302" s="319">
        <f t="shared" si="127"/>
        <v>0</v>
      </c>
      <c r="CG302" s="319">
        <f t="shared" si="127"/>
        <v>0</v>
      </c>
      <c r="CH302" s="319">
        <f t="shared" si="127"/>
        <v>0</v>
      </c>
      <c r="CI302" s="319">
        <f t="shared" si="127"/>
        <v>0</v>
      </c>
      <c r="CJ302" s="319">
        <f t="shared" si="127"/>
        <v>0</v>
      </c>
      <c r="CK302" s="319">
        <f t="shared" si="127"/>
        <v>0</v>
      </c>
      <c r="CL302" s="319">
        <f t="shared" si="127"/>
        <v>0</v>
      </c>
      <c r="CM302" s="319">
        <f t="shared" si="127"/>
        <v>0</v>
      </c>
      <c r="CN302" s="319">
        <f t="shared" si="127"/>
        <v>0</v>
      </c>
      <c r="CO302" s="319">
        <f t="shared" si="127"/>
        <v>0</v>
      </c>
      <c r="CP302" s="319">
        <f t="shared" si="127"/>
        <v>0</v>
      </c>
      <c r="CQ302" s="319">
        <f t="shared" si="127"/>
        <v>0</v>
      </c>
      <c r="CR302" s="319">
        <f t="shared" si="127"/>
        <v>0</v>
      </c>
      <c r="CS302" s="319">
        <f t="shared" si="127"/>
        <v>0</v>
      </c>
      <c r="CT302" s="319">
        <f t="shared" si="127"/>
        <v>0</v>
      </c>
      <c r="CU302" s="319">
        <f t="shared" si="127"/>
        <v>0</v>
      </c>
      <c r="CV302" s="319">
        <f t="shared" si="127"/>
        <v>0</v>
      </c>
    </row>
    <row r="303" spans="1:100" x14ac:dyDescent="0.25">
      <c r="A303" s="319">
        <f t="shared" si="117"/>
        <v>0</v>
      </c>
      <c r="B303" s="319">
        <f t="shared" si="121"/>
        <v>0</v>
      </c>
      <c r="C303" s="340" t="s">
        <v>1419</v>
      </c>
      <c r="D303" s="341" t="s">
        <v>371</v>
      </c>
      <c r="E303" s="341">
        <v>9</v>
      </c>
      <c r="F303" s="341" t="str">
        <f>IF(AND(E303&lt;CharacterSheet!$V$34,'House Rules'!$B$4="Available",OR('House Rules'!$B$9="Standard",AND('House Rules'!$B$9="Single",$G$304="No"),AND('House Rules'!$B$9="Ten",COUNTIF($G$277:$G$306,"YES")&lt;10)),OR('House Rules'!$B$8="Standard",AND('House Rules'!$B$8="Ranked",OR($G$301="Yes",$G$302="Yes")))),"Yes","No")</f>
        <v>No</v>
      </c>
      <c r="G303" s="564" t="s">
        <v>347</v>
      </c>
      <c r="H303" s="333" t="str">
        <f>IF(C303="","",VLOOKUP(C303,Boonref2!A:B,2,FALSE))</f>
        <v>Yes</v>
      </c>
      <c r="I303" s="333"/>
      <c r="J303" s="333" t="str">
        <f>VLOOKUP(C303,BoonRef!A:Z,17,FALSE)</f>
        <v>Yes</v>
      </c>
      <c r="K303" s="333" t="str">
        <f>IF(J303="God",'House Rules'!$B$2,IF(J303="Demi",'House Rules'!$B$1,IF(J303="Comp",'House Rules'!$B$4,IF(J303="Yaz",'House Rules'!$B$5,IF(J303="Rag",'House Rules'!$B$3,"Available")))))</f>
        <v>Available</v>
      </c>
      <c r="L303" s="333"/>
      <c r="M303" s="333"/>
      <c r="BF303" s="319">
        <f t="shared" si="124"/>
        <v>0</v>
      </c>
      <c r="BG303" s="340" t="s">
        <v>1255</v>
      </c>
      <c r="BI303" s="319">
        <f t="shared" si="118"/>
        <v>0</v>
      </c>
      <c r="BJ303" s="319">
        <f t="shared" si="127"/>
        <v>0</v>
      </c>
      <c r="BK303" s="319">
        <f t="shared" si="127"/>
        <v>0</v>
      </c>
      <c r="BL303" s="319">
        <f t="shared" si="127"/>
        <v>0</v>
      </c>
      <c r="BM303" s="319">
        <f t="shared" si="127"/>
        <v>0</v>
      </c>
      <c r="BN303" s="319">
        <f t="shared" si="127"/>
        <v>0</v>
      </c>
      <c r="BO303" s="319">
        <f t="shared" si="127"/>
        <v>0</v>
      </c>
      <c r="BP303" s="319">
        <f t="shared" si="127"/>
        <v>0</v>
      </c>
      <c r="BQ303" s="319">
        <f t="shared" si="127"/>
        <v>0</v>
      </c>
      <c r="BR303" s="319">
        <f t="shared" si="127"/>
        <v>0</v>
      </c>
      <c r="BS303" s="319">
        <f t="shared" si="127"/>
        <v>0</v>
      </c>
      <c r="BT303" s="319">
        <f t="shared" si="127"/>
        <v>0</v>
      </c>
      <c r="BU303" s="319">
        <f t="shared" si="127"/>
        <v>0</v>
      </c>
      <c r="BV303" s="319">
        <f t="shared" si="127"/>
        <v>0</v>
      </c>
      <c r="BW303" s="319">
        <f t="shared" si="127"/>
        <v>0</v>
      </c>
      <c r="BX303" s="319">
        <f t="shared" si="127"/>
        <v>0</v>
      </c>
      <c r="BY303" s="319">
        <f t="shared" si="127"/>
        <v>0</v>
      </c>
      <c r="BZ303" s="319">
        <f t="shared" si="127"/>
        <v>0</v>
      </c>
      <c r="CA303" s="319">
        <f t="shared" si="127"/>
        <v>0</v>
      </c>
      <c r="CB303" s="319">
        <f t="shared" si="127"/>
        <v>0</v>
      </c>
      <c r="CC303" s="319">
        <f t="shared" si="127"/>
        <v>0</v>
      </c>
      <c r="CD303" s="319">
        <f t="shared" si="127"/>
        <v>0</v>
      </c>
      <c r="CE303" s="319">
        <f t="shared" si="127"/>
        <v>0</v>
      </c>
      <c r="CF303" s="319">
        <f t="shared" si="127"/>
        <v>0</v>
      </c>
      <c r="CG303" s="319">
        <f t="shared" si="127"/>
        <v>0</v>
      </c>
      <c r="CH303" s="319">
        <f t="shared" si="127"/>
        <v>0</v>
      </c>
      <c r="CI303" s="319">
        <f t="shared" si="127"/>
        <v>0</v>
      </c>
      <c r="CJ303" s="319">
        <f t="shared" si="127"/>
        <v>0</v>
      </c>
      <c r="CK303" s="319">
        <f t="shared" si="127"/>
        <v>0</v>
      </c>
      <c r="CL303" s="319">
        <f t="shared" si="127"/>
        <v>0</v>
      </c>
      <c r="CM303" s="319">
        <f t="shared" si="127"/>
        <v>0</v>
      </c>
      <c r="CN303" s="319">
        <f t="shared" si="127"/>
        <v>0</v>
      </c>
      <c r="CO303" s="319">
        <f t="shared" si="127"/>
        <v>0</v>
      </c>
      <c r="CP303" s="319">
        <f t="shared" si="127"/>
        <v>0</v>
      </c>
      <c r="CQ303" s="319">
        <f t="shared" si="127"/>
        <v>0</v>
      </c>
      <c r="CR303" s="319">
        <f t="shared" si="127"/>
        <v>0</v>
      </c>
      <c r="CS303" s="319">
        <f t="shared" si="127"/>
        <v>0</v>
      </c>
      <c r="CT303" s="319">
        <f t="shared" si="127"/>
        <v>0</v>
      </c>
      <c r="CU303" s="319">
        <f t="shared" si="127"/>
        <v>0</v>
      </c>
      <c r="CV303" s="319">
        <f t="shared" si="127"/>
        <v>0</v>
      </c>
    </row>
    <row r="304" spans="1:100" x14ac:dyDescent="0.25">
      <c r="A304" s="319">
        <f t="shared" si="117"/>
        <v>0</v>
      </c>
      <c r="B304" s="319">
        <f t="shared" si="121"/>
        <v>0</v>
      </c>
      <c r="C304" s="340" t="s">
        <v>1325</v>
      </c>
      <c r="D304" s="341" t="s">
        <v>371</v>
      </c>
      <c r="E304" s="341">
        <v>9</v>
      </c>
      <c r="F304" s="341" t="str">
        <f>IF(AND(E304&lt;CharacterSheet!$V$34,'House Rules'!$B$2="available",OR('House Rules'!$B$9="Standard",AND('House Rules'!$B$9="Single",$G$303="No"),AND('House Rules'!$B$9="Ten",COUNTIF($G$277:$G$306,"YES")&lt;10)),OR('House Rules'!$B$8="Standard",AND('House Rules'!$B$8="Ranked",OR($G$301="Yes",$G$302="Yes")))),"Yes","No")</f>
        <v>No</v>
      </c>
      <c r="G304" s="564" t="s">
        <v>347</v>
      </c>
      <c r="H304" s="333" t="str">
        <f>IF(C304="","",VLOOKUP(C304,Boonref2!A:B,2,FALSE))</f>
        <v>Yes</v>
      </c>
      <c r="I304" s="333"/>
      <c r="J304" s="333" t="str">
        <f>VLOOKUP(C304,BoonRef!A:Z,17,FALSE)</f>
        <v>Yes</v>
      </c>
      <c r="K304" s="333" t="str">
        <f>IF(J304="God",'House Rules'!$B$2,IF(J304="Demi",'House Rules'!$B$1,IF(J304="Comp",'House Rules'!$B$4,IF(J304="Yaz",'House Rules'!$B$5,IF(J304="Rag",'House Rules'!$B$3,"Available")))))</f>
        <v>Available</v>
      </c>
      <c r="L304" s="333"/>
      <c r="M304" s="333"/>
      <c r="BF304" s="319">
        <f t="shared" si="124"/>
        <v>0</v>
      </c>
      <c r="BG304" s="340" t="s">
        <v>2631</v>
      </c>
      <c r="BI304" s="319">
        <f t="shared" si="118"/>
        <v>0</v>
      </c>
      <c r="BJ304" s="319">
        <f t="shared" si="127"/>
        <v>0</v>
      </c>
      <c r="BK304" s="319">
        <f t="shared" si="127"/>
        <v>0</v>
      </c>
      <c r="BL304" s="319">
        <f t="shared" si="127"/>
        <v>0</v>
      </c>
      <c r="BM304" s="319">
        <f t="shared" si="127"/>
        <v>0</v>
      </c>
      <c r="BN304" s="319">
        <f t="shared" si="127"/>
        <v>0</v>
      </c>
      <c r="BO304" s="319">
        <f t="shared" si="127"/>
        <v>0</v>
      </c>
      <c r="BP304" s="319">
        <f t="shared" si="127"/>
        <v>0</v>
      </c>
      <c r="BQ304" s="319">
        <f t="shared" si="127"/>
        <v>0</v>
      </c>
      <c r="BR304" s="319">
        <f t="shared" si="127"/>
        <v>0</v>
      </c>
      <c r="BS304" s="319">
        <f t="shared" si="127"/>
        <v>0</v>
      </c>
      <c r="BT304" s="319">
        <f t="shared" si="127"/>
        <v>0</v>
      </c>
      <c r="BU304" s="319">
        <f t="shared" si="127"/>
        <v>0</v>
      </c>
      <c r="BV304" s="319">
        <f t="shared" si="127"/>
        <v>0</v>
      </c>
      <c r="BW304" s="319">
        <f t="shared" si="127"/>
        <v>0</v>
      </c>
      <c r="BX304" s="319">
        <f t="shared" si="127"/>
        <v>0</v>
      </c>
      <c r="BY304" s="319">
        <f t="shared" si="127"/>
        <v>0</v>
      </c>
      <c r="BZ304" s="319">
        <f t="shared" si="127"/>
        <v>0</v>
      </c>
      <c r="CA304" s="319">
        <f t="shared" si="127"/>
        <v>0</v>
      </c>
      <c r="CB304" s="319">
        <f t="shared" si="127"/>
        <v>0</v>
      </c>
      <c r="CC304" s="319">
        <f t="shared" si="127"/>
        <v>0</v>
      </c>
      <c r="CD304" s="319">
        <f t="shared" si="127"/>
        <v>0</v>
      </c>
      <c r="CE304" s="319">
        <f t="shared" si="127"/>
        <v>0</v>
      </c>
      <c r="CF304" s="319">
        <f t="shared" si="127"/>
        <v>0</v>
      </c>
      <c r="CG304" s="319">
        <f t="shared" si="127"/>
        <v>0</v>
      </c>
      <c r="CH304" s="319">
        <f t="shared" si="127"/>
        <v>0</v>
      </c>
      <c r="CI304" s="319">
        <f t="shared" si="127"/>
        <v>0</v>
      </c>
      <c r="CJ304" s="319">
        <f t="shared" si="127"/>
        <v>0</v>
      </c>
      <c r="CK304" s="319">
        <f t="shared" si="127"/>
        <v>0</v>
      </c>
      <c r="CL304" s="319">
        <f t="shared" si="127"/>
        <v>0</v>
      </c>
      <c r="CM304" s="319">
        <f t="shared" si="127"/>
        <v>0</v>
      </c>
      <c r="CN304" s="319">
        <f t="shared" si="127"/>
        <v>0</v>
      </c>
      <c r="CO304" s="319">
        <f t="shared" si="127"/>
        <v>0</v>
      </c>
      <c r="CP304" s="319">
        <f t="shared" si="127"/>
        <v>0</v>
      </c>
      <c r="CQ304" s="319">
        <f t="shared" si="127"/>
        <v>0</v>
      </c>
      <c r="CR304" s="319">
        <f t="shared" si="127"/>
        <v>0</v>
      </c>
      <c r="CS304" s="319">
        <f t="shared" si="127"/>
        <v>0</v>
      </c>
      <c r="CT304" s="319">
        <f t="shared" si="127"/>
        <v>0</v>
      </c>
      <c r="CU304" s="319">
        <f t="shared" si="127"/>
        <v>0</v>
      </c>
      <c r="CV304" s="319">
        <f t="shared" si="127"/>
        <v>0</v>
      </c>
    </row>
    <row r="305" spans="1:100" x14ac:dyDescent="0.25">
      <c r="A305" s="319">
        <f t="shared" si="117"/>
        <v>0</v>
      </c>
      <c r="B305" s="319">
        <f t="shared" si="121"/>
        <v>0</v>
      </c>
      <c r="C305" s="340" t="s">
        <v>1326</v>
      </c>
      <c r="D305" s="341" t="s">
        <v>371</v>
      </c>
      <c r="E305" s="341">
        <v>10</v>
      </c>
      <c r="F305" s="341" t="str">
        <f>IF(AND(E305&lt;CharacterSheet!$V$34,'House Rules'!$B$2="available",OR('House Rules'!$B$9="Standard",AND('House Rules'!$B$9="Single",$G$306="No"),AND('House Rules'!$B$9="Ten",COUNTIF($G$277:$G$306,"YES")&lt;10)),OR('House Rules'!$B$8="Standard",AND('House Rules'!$B$8="Ranked",OR($G$303="Yes",$G$304="Yes")))),"Yes","No")</f>
        <v>No</v>
      </c>
      <c r="G305" s="564" t="s">
        <v>347</v>
      </c>
      <c r="H305" s="333" t="str">
        <f>IF(C305="","",VLOOKUP(C305,Boonref2!A:B,2,FALSE))</f>
        <v>Yes</v>
      </c>
      <c r="I305" s="333"/>
      <c r="J305" s="333" t="str">
        <f>VLOOKUP(C305,BoonRef!A:Z,17,FALSE)</f>
        <v>Yes</v>
      </c>
      <c r="K305" s="333" t="str">
        <f>IF(J305="God",'House Rules'!$B$2,IF(J305="Demi",'House Rules'!$B$1,IF(J305="Comp",'House Rules'!$B$4,IF(J305="Yaz",'House Rules'!$B$5,IF(J305="Rag",'House Rules'!$B$3,"Available")))))</f>
        <v>Available</v>
      </c>
      <c r="L305" s="333"/>
      <c r="M305" s="333"/>
      <c r="BF305" s="319">
        <f t="shared" si="124"/>
        <v>0</v>
      </c>
      <c r="BG305" s="340" t="s">
        <v>1256</v>
      </c>
      <c r="BI305" s="319">
        <f t="shared" si="118"/>
        <v>0</v>
      </c>
      <c r="BJ305" s="319">
        <f t="shared" si="127"/>
        <v>0</v>
      </c>
      <c r="BK305" s="319">
        <f t="shared" si="127"/>
        <v>0</v>
      </c>
      <c r="BL305" s="319">
        <f t="shared" si="127"/>
        <v>0</v>
      </c>
      <c r="BM305" s="319">
        <f t="shared" si="127"/>
        <v>0</v>
      </c>
      <c r="BN305" s="319">
        <f t="shared" si="127"/>
        <v>0</v>
      </c>
      <c r="BO305" s="319">
        <f t="shared" si="127"/>
        <v>0</v>
      </c>
      <c r="BP305" s="319">
        <f t="shared" ref="BJ305:CV311" si="128">IF(AND($D305=BP$1,$G305="Yes"),$E305,0)</f>
        <v>0</v>
      </c>
      <c r="BQ305" s="319">
        <f t="shared" si="128"/>
        <v>0</v>
      </c>
      <c r="BR305" s="319">
        <f t="shared" si="128"/>
        <v>0</v>
      </c>
      <c r="BS305" s="319">
        <f t="shared" si="128"/>
        <v>0</v>
      </c>
      <c r="BT305" s="319">
        <f t="shared" si="128"/>
        <v>0</v>
      </c>
      <c r="BU305" s="319">
        <f t="shared" si="128"/>
        <v>0</v>
      </c>
      <c r="BV305" s="319">
        <f t="shared" si="128"/>
        <v>0</v>
      </c>
      <c r="BW305" s="319">
        <f t="shared" si="128"/>
        <v>0</v>
      </c>
      <c r="BX305" s="319">
        <f t="shared" si="128"/>
        <v>0</v>
      </c>
      <c r="BY305" s="319">
        <f t="shared" si="128"/>
        <v>0</v>
      </c>
      <c r="BZ305" s="319">
        <f t="shared" si="128"/>
        <v>0</v>
      </c>
      <c r="CA305" s="319">
        <f t="shared" si="128"/>
        <v>0</v>
      </c>
      <c r="CB305" s="319">
        <f t="shared" si="128"/>
        <v>0</v>
      </c>
      <c r="CC305" s="319">
        <f t="shared" si="128"/>
        <v>0</v>
      </c>
      <c r="CD305" s="319">
        <f t="shared" si="128"/>
        <v>0</v>
      </c>
      <c r="CE305" s="319">
        <f t="shared" si="128"/>
        <v>0</v>
      </c>
      <c r="CF305" s="319">
        <f t="shared" si="128"/>
        <v>0</v>
      </c>
      <c r="CG305" s="319">
        <f t="shared" si="128"/>
        <v>0</v>
      </c>
      <c r="CH305" s="319">
        <f t="shared" si="128"/>
        <v>0</v>
      </c>
      <c r="CI305" s="319">
        <f t="shared" si="128"/>
        <v>0</v>
      </c>
      <c r="CJ305" s="319">
        <f t="shared" si="128"/>
        <v>0</v>
      </c>
      <c r="CK305" s="319">
        <f t="shared" si="128"/>
        <v>0</v>
      </c>
      <c r="CL305" s="319">
        <f t="shared" si="128"/>
        <v>0</v>
      </c>
      <c r="CM305" s="319">
        <f t="shared" si="128"/>
        <v>0</v>
      </c>
      <c r="CN305" s="319">
        <f t="shared" si="128"/>
        <v>0</v>
      </c>
      <c r="CO305" s="319">
        <f t="shared" si="128"/>
        <v>0</v>
      </c>
      <c r="CP305" s="319">
        <f t="shared" si="128"/>
        <v>0</v>
      </c>
      <c r="CQ305" s="319">
        <f t="shared" si="128"/>
        <v>0</v>
      </c>
      <c r="CR305" s="319">
        <f t="shared" si="128"/>
        <v>0</v>
      </c>
      <c r="CS305" s="319">
        <f t="shared" si="128"/>
        <v>0</v>
      </c>
      <c r="CT305" s="319">
        <f t="shared" si="128"/>
        <v>0</v>
      </c>
      <c r="CU305" s="319">
        <f t="shared" si="128"/>
        <v>0</v>
      </c>
      <c r="CV305" s="319">
        <f t="shared" si="128"/>
        <v>0</v>
      </c>
    </row>
    <row r="306" spans="1:100" x14ac:dyDescent="0.25">
      <c r="A306" s="319">
        <f t="shared" si="117"/>
        <v>0</v>
      </c>
      <c r="B306" s="319">
        <f t="shared" si="121"/>
        <v>0</v>
      </c>
      <c r="C306" s="340" t="s">
        <v>1420</v>
      </c>
      <c r="D306" s="341" t="s">
        <v>371</v>
      </c>
      <c r="E306" s="341">
        <v>10</v>
      </c>
      <c r="F306" s="341" t="str">
        <f>IF(AND(E306&lt;CharacterSheet!$V$34,'House Rules'!$B$4="Available",OR('House Rules'!$B$9="Standard",AND('House Rules'!$B$9="Single",$G$305="No"),AND('House Rules'!$B$9="Ten",COUNTIF($G$277:$G$306,"YES")&lt;10)),OR('House Rules'!$B$8="Standard",AND('House Rules'!$B$8="Ranked",OR($G$303="Yes",$G$304="Yes")))),"Yes","No")</f>
        <v>No</v>
      </c>
      <c r="G306" s="564" t="s">
        <v>347</v>
      </c>
      <c r="H306" s="333" t="str">
        <f>IF(C306="","",VLOOKUP(C306,Boonref2!A:B,2,FALSE))</f>
        <v>Yes</v>
      </c>
      <c r="I306" s="333"/>
      <c r="J306" s="333" t="str">
        <f>VLOOKUP(C306,BoonRef!A:Z,17,FALSE)</f>
        <v>Yes</v>
      </c>
      <c r="K306" s="333" t="str">
        <f>IF(J306="God",'House Rules'!$B$2,IF(J306="Demi",'House Rules'!$B$1,IF(J306="Comp",'House Rules'!$B$4,IF(J306="Yaz",'House Rules'!$B$5,IF(J306="Rag",'House Rules'!$B$3,"Available")))))</f>
        <v>Available</v>
      </c>
      <c r="L306" s="333"/>
      <c r="M306" s="333"/>
      <c r="BF306" s="319">
        <f t="shared" si="124"/>
        <v>0</v>
      </c>
      <c r="BG306" s="340" t="s">
        <v>1386</v>
      </c>
      <c r="BI306" s="319">
        <f t="shared" si="118"/>
        <v>0</v>
      </c>
      <c r="BJ306" s="319">
        <f t="shared" si="128"/>
        <v>0</v>
      </c>
      <c r="BK306" s="319">
        <f t="shared" si="128"/>
        <v>0</v>
      </c>
      <c r="BL306" s="319">
        <f t="shared" si="128"/>
        <v>0</v>
      </c>
      <c r="BM306" s="319">
        <f t="shared" si="128"/>
        <v>0</v>
      </c>
      <c r="BN306" s="319">
        <f t="shared" si="128"/>
        <v>0</v>
      </c>
      <c r="BO306" s="319">
        <f t="shared" si="128"/>
        <v>0</v>
      </c>
      <c r="BP306" s="319">
        <f t="shared" si="128"/>
        <v>0</v>
      </c>
      <c r="BQ306" s="319">
        <f t="shared" si="128"/>
        <v>0</v>
      </c>
      <c r="BR306" s="319">
        <f t="shared" si="128"/>
        <v>0</v>
      </c>
      <c r="BS306" s="319">
        <f t="shared" si="128"/>
        <v>0</v>
      </c>
      <c r="BT306" s="319">
        <f t="shared" si="128"/>
        <v>0</v>
      </c>
      <c r="BU306" s="319">
        <f t="shared" si="128"/>
        <v>0</v>
      </c>
      <c r="BV306" s="319">
        <f t="shared" si="128"/>
        <v>0</v>
      </c>
      <c r="BW306" s="319">
        <f t="shared" si="128"/>
        <v>0</v>
      </c>
      <c r="BX306" s="319">
        <f t="shared" si="128"/>
        <v>0</v>
      </c>
      <c r="BY306" s="319">
        <f t="shared" si="128"/>
        <v>0</v>
      </c>
      <c r="BZ306" s="319">
        <f t="shared" si="128"/>
        <v>0</v>
      </c>
      <c r="CA306" s="319">
        <f t="shared" si="128"/>
        <v>0</v>
      </c>
      <c r="CB306" s="319">
        <f t="shared" si="128"/>
        <v>0</v>
      </c>
      <c r="CC306" s="319">
        <f t="shared" si="128"/>
        <v>0</v>
      </c>
      <c r="CD306" s="319">
        <f t="shared" si="128"/>
        <v>0</v>
      </c>
      <c r="CE306" s="319">
        <f t="shared" si="128"/>
        <v>0</v>
      </c>
      <c r="CF306" s="319">
        <f t="shared" si="128"/>
        <v>0</v>
      </c>
      <c r="CG306" s="319">
        <f t="shared" si="128"/>
        <v>0</v>
      </c>
      <c r="CH306" s="319">
        <f t="shared" si="128"/>
        <v>0</v>
      </c>
      <c r="CI306" s="319">
        <f t="shared" si="128"/>
        <v>0</v>
      </c>
      <c r="CJ306" s="319">
        <f t="shared" si="128"/>
        <v>0</v>
      </c>
      <c r="CK306" s="319">
        <f t="shared" si="128"/>
        <v>0</v>
      </c>
      <c r="CL306" s="319">
        <f t="shared" si="128"/>
        <v>0</v>
      </c>
      <c r="CM306" s="319">
        <f t="shared" si="128"/>
        <v>0</v>
      </c>
      <c r="CN306" s="319">
        <f t="shared" si="128"/>
        <v>0</v>
      </c>
      <c r="CO306" s="319">
        <f t="shared" si="128"/>
        <v>0</v>
      </c>
      <c r="CP306" s="319">
        <f t="shared" si="128"/>
        <v>0</v>
      </c>
      <c r="CQ306" s="319">
        <f t="shared" si="128"/>
        <v>0</v>
      </c>
      <c r="CR306" s="319">
        <f t="shared" si="128"/>
        <v>0</v>
      </c>
      <c r="CS306" s="319">
        <f t="shared" si="128"/>
        <v>0</v>
      </c>
      <c r="CT306" s="319">
        <f t="shared" si="128"/>
        <v>0</v>
      </c>
      <c r="CU306" s="319">
        <f t="shared" si="128"/>
        <v>0</v>
      </c>
      <c r="CV306" s="319">
        <f t="shared" si="128"/>
        <v>0</v>
      </c>
    </row>
    <row r="307" spans="1:100" ht="15.75" thickBot="1" x14ac:dyDescent="0.3">
      <c r="A307" s="319">
        <f t="shared" si="117"/>
        <v>0</v>
      </c>
      <c r="B307" s="319">
        <f t="shared" si="121"/>
        <v>0</v>
      </c>
      <c r="C307" s="352" t="s">
        <v>1327</v>
      </c>
      <c r="D307" s="353" t="s">
        <v>371</v>
      </c>
      <c r="E307" s="353">
        <v>11</v>
      </c>
      <c r="F307" s="353" t="str">
        <f>IF(OR('House Rules'!$B$9="Standard",'House Rules'!$B$9="Sin$G$le"),IF(AND(OR($G$277="Yes",$G$278="Yes",$G$279="Yes",$G$280="Yes",$G$281="Yes"),OR($G$282="Yes",$G$283="Yes",$G$284="Yes",$G$285="Yes",$G$286="Yes"),OR($G$287="Yes",$G$288="Yes",$G$289="Yes",$G$290="Yes"),OR($G$291="Yes",$G$292="Yes"),OR($G$293="Yes",$G$294="Yes"),OR($G$295="Yes",$G$296="Yes",$G$297="Yes",$G$298="Yes"),OR($G$299="Yes",$G$300="Yes"),OR($G$301="Yes",$G$302="Yes"),OR($G$303="Yes",$G$304="Yes"),OR($G$305="Yes",$G$306="Yes"),G329="No",G340="No"),"Yes","No"),IF(AND('House Rules'!$B$9="Ten",G329="No",G340="No",COUNTIF($G$277:$G$306,"Yes")&gt;9),"Yes","No"))</f>
        <v>No</v>
      </c>
      <c r="G307" s="565" t="s">
        <v>347</v>
      </c>
      <c r="H307" s="333" t="str">
        <f>IF(C307="","",VLOOKUP(C307,Boonref2!A:B,2,FALSE))</f>
        <v>No</v>
      </c>
      <c r="I307" s="333"/>
      <c r="J307" s="333" t="str">
        <f>VLOOKUP(C307,BoonRef!A:Z,17,FALSE)</f>
        <v>Yes</v>
      </c>
      <c r="K307" s="333" t="str">
        <f>IF(J307="God",'House Rules'!$B$2,IF(J307="Demi",'House Rules'!$B$1,IF(J307="Comp",'House Rules'!$B$4,IF(J307="Yaz",'House Rules'!$B$5,IF(J307="Rag",'House Rules'!$B$3,"Available")))))</f>
        <v>Available</v>
      </c>
      <c r="L307" s="333"/>
      <c r="M307" s="333"/>
      <c r="BF307" s="319">
        <f t="shared" si="124"/>
        <v>0</v>
      </c>
      <c r="BG307" s="340" t="s">
        <v>1257</v>
      </c>
      <c r="BI307" s="319">
        <f t="shared" si="118"/>
        <v>0</v>
      </c>
      <c r="BJ307" s="319">
        <f t="shared" si="128"/>
        <v>0</v>
      </c>
      <c r="BK307" s="319">
        <f t="shared" si="128"/>
        <v>0</v>
      </c>
      <c r="BL307" s="319">
        <f t="shared" si="128"/>
        <v>0</v>
      </c>
      <c r="BM307" s="319">
        <f t="shared" si="128"/>
        <v>0</v>
      </c>
      <c r="BN307" s="319">
        <f t="shared" si="128"/>
        <v>0</v>
      </c>
      <c r="BO307" s="319">
        <f t="shared" si="128"/>
        <v>0</v>
      </c>
      <c r="BP307" s="319">
        <f t="shared" si="128"/>
        <v>0</v>
      </c>
      <c r="BQ307" s="319">
        <f t="shared" si="128"/>
        <v>0</v>
      </c>
      <c r="BR307" s="319">
        <f t="shared" si="128"/>
        <v>0</v>
      </c>
      <c r="BS307" s="319">
        <f t="shared" si="128"/>
        <v>0</v>
      </c>
      <c r="BT307" s="319">
        <f t="shared" si="128"/>
        <v>0</v>
      </c>
      <c r="BU307" s="319">
        <f t="shared" si="128"/>
        <v>0</v>
      </c>
      <c r="BV307" s="319">
        <f t="shared" si="128"/>
        <v>0</v>
      </c>
      <c r="BW307" s="319">
        <f t="shared" si="128"/>
        <v>0</v>
      </c>
      <c r="BX307" s="319">
        <f t="shared" si="128"/>
        <v>0</v>
      </c>
      <c r="BY307" s="319">
        <f t="shared" si="128"/>
        <v>0</v>
      </c>
      <c r="BZ307" s="319">
        <f t="shared" si="128"/>
        <v>0</v>
      </c>
      <c r="CA307" s="319">
        <f t="shared" si="128"/>
        <v>0</v>
      </c>
      <c r="CB307" s="319">
        <f t="shared" si="128"/>
        <v>0</v>
      </c>
      <c r="CC307" s="319">
        <f t="shared" si="128"/>
        <v>0</v>
      </c>
      <c r="CD307" s="319">
        <f t="shared" si="128"/>
        <v>0</v>
      </c>
      <c r="CE307" s="319">
        <f t="shared" si="128"/>
        <v>0</v>
      </c>
      <c r="CF307" s="319">
        <f t="shared" si="128"/>
        <v>0</v>
      </c>
      <c r="CG307" s="319">
        <f t="shared" si="128"/>
        <v>0</v>
      </c>
      <c r="CH307" s="319">
        <f t="shared" si="128"/>
        <v>0</v>
      </c>
      <c r="CI307" s="319">
        <f t="shared" si="128"/>
        <v>0</v>
      </c>
      <c r="CJ307" s="319">
        <f t="shared" si="128"/>
        <v>0</v>
      </c>
      <c r="CK307" s="319">
        <f t="shared" si="128"/>
        <v>0</v>
      </c>
      <c r="CL307" s="319">
        <f t="shared" si="128"/>
        <v>0</v>
      </c>
      <c r="CM307" s="319">
        <f t="shared" si="128"/>
        <v>0</v>
      </c>
      <c r="CN307" s="319">
        <f t="shared" si="128"/>
        <v>0</v>
      </c>
      <c r="CO307" s="319">
        <f t="shared" si="128"/>
        <v>0</v>
      </c>
      <c r="CP307" s="319">
        <f t="shared" si="128"/>
        <v>0</v>
      </c>
      <c r="CQ307" s="319">
        <f t="shared" si="128"/>
        <v>0</v>
      </c>
      <c r="CR307" s="319">
        <f t="shared" si="128"/>
        <v>0</v>
      </c>
      <c r="CS307" s="319">
        <f t="shared" si="128"/>
        <v>0</v>
      </c>
      <c r="CT307" s="319">
        <f t="shared" si="128"/>
        <v>0</v>
      </c>
      <c r="CU307" s="319">
        <f t="shared" si="128"/>
        <v>0</v>
      </c>
      <c r="CV307" s="319">
        <f t="shared" si="128"/>
        <v>0</v>
      </c>
    </row>
    <row r="308" spans="1:100" ht="15.75" thickBot="1" x14ac:dyDescent="0.3">
      <c r="A308" s="319">
        <f>IF(AND(H308="Yes",G308="Yes",G309="No"),A307+1,A307)</f>
        <v>0</v>
      </c>
      <c r="B308" s="319">
        <f>IF(AND(G308="Yes",G309="No"),B307+1,B307)</f>
        <v>0</v>
      </c>
      <c r="C308" s="330" t="s">
        <v>2340</v>
      </c>
      <c r="D308" s="331" t="s">
        <v>689</v>
      </c>
      <c r="E308" s="331">
        <v>1</v>
      </c>
      <c r="F308" s="331" t="str">
        <f>IF(AND(E308&lt;CharacterSheet!$V$34,'House Rules'!$B$1="Available",'House Rules'!$B$4="Available",'House Rules'!$B$13="Special"),"Yes","No")</f>
        <v>Yes</v>
      </c>
      <c r="G308" s="563" t="s">
        <v>347</v>
      </c>
      <c r="H308" s="333" t="str">
        <f>IF(C308="","",VLOOKUP(C308,Boonref2!A:B,2,FALSE))</f>
        <v>Yes</v>
      </c>
      <c r="I308" s="333"/>
      <c r="J308" s="333" t="str">
        <f>VLOOKUP(C308,BoonRef!A:Z,17,FALSE)</f>
        <v>Yes</v>
      </c>
      <c r="K308" s="333" t="str">
        <f>IF(J308="God",'House Rules'!$B$2,IF(J308="Demi",'House Rules'!$B$1,IF(J308="Comp",'House Rules'!$B$4,IF(J308="Yaz",'House Rules'!$B$5,IF(J308="Rag",'House Rules'!$B$3,"Available")))))</f>
        <v>Available</v>
      </c>
      <c r="L308" s="333"/>
      <c r="M308" s="333"/>
      <c r="BF308" s="319">
        <f t="shared" si="124"/>
        <v>0</v>
      </c>
      <c r="BG308" s="352" t="s">
        <v>1258</v>
      </c>
      <c r="BI308" s="319">
        <f t="shared" si="118"/>
        <v>0</v>
      </c>
      <c r="BJ308" s="319">
        <f t="shared" si="128"/>
        <v>0</v>
      </c>
      <c r="BK308" s="319">
        <f t="shared" si="128"/>
        <v>0</v>
      </c>
      <c r="BL308" s="319">
        <f t="shared" si="128"/>
        <v>0</v>
      </c>
      <c r="BM308" s="319">
        <f t="shared" si="128"/>
        <v>0</v>
      </c>
      <c r="BN308" s="319">
        <f t="shared" si="128"/>
        <v>0</v>
      </c>
      <c r="BO308" s="319">
        <f t="shared" si="128"/>
        <v>0</v>
      </c>
      <c r="BP308" s="319">
        <f t="shared" si="128"/>
        <v>0</v>
      </c>
      <c r="BQ308" s="319">
        <f t="shared" si="128"/>
        <v>0</v>
      </c>
      <c r="BR308" s="319">
        <f t="shared" si="128"/>
        <v>0</v>
      </c>
      <c r="BS308" s="319">
        <f t="shared" si="128"/>
        <v>0</v>
      </c>
      <c r="BT308" s="319">
        <f t="shared" si="128"/>
        <v>0</v>
      </c>
      <c r="BU308" s="319">
        <f t="shared" si="128"/>
        <v>0</v>
      </c>
      <c r="BV308" s="319">
        <f t="shared" si="128"/>
        <v>0</v>
      </c>
      <c r="BW308" s="319">
        <f t="shared" si="128"/>
        <v>0</v>
      </c>
      <c r="BX308" s="319">
        <f t="shared" si="128"/>
        <v>0</v>
      </c>
      <c r="BY308" s="319">
        <f t="shared" si="128"/>
        <v>0</v>
      </c>
      <c r="BZ308" s="319">
        <f t="shared" si="128"/>
        <v>0</v>
      </c>
      <c r="CA308" s="319">
        <f t="shared" si="128"/>
        <v>0</v>
      </c>
      <c r="CB308" s="319">
        <f t="shared" si="128"/>
        <v>0</v>
      </c>
      <c r="CC308" s="319">
        <f t="shared" si="128"/>
        <v>0</v>
      </c>
      <c r="CD308" s="319">
        <f t="shared" si="128"/>
        <v>0</v>
      </c>
      <c r="CE308" s="319">
        <f t="shared" si="128"/>
        <v>0</v>
      </c>
      <c r="CF308" s="319">
        <f t="shared" si="128"/>
        <v>0</v>
      </c>
      <c r="CG308" s="319">
        <f t="shared" si="128"/>
        <v>0</v>
      </c>
      <c r="CH308" s="319">
        <f t="shared" si="128"/>
        <v>0</v>
      </c>
      <c r="CI308" s="319">
        <f t="shared" si="128"/>
        <v>0</v>
      </c>
      <c r="CJ308" s="319">
        <f t="shared" si="128"/>
        <v>0</v>
      </c>
      <c r="CK308" s="319">
        <f t="shared" si="128"/>
        <v>0</v>
      </c>
      <c r="CL308" s="319">
        <f t="shared" si="128"/>
        <v>0</v>
      </c>
      <c r="CM308" s="319">
        <f t="shared" si="128"/>
        <v>0</v>
      </c>
      <c r="CN308" s="319">
        <f t="shared" si="128"/>
        <v>0</v>
      </c>
      <c r="CO308" s="319">
        <f t="shared" si="128"/>
        <v>0</v>
      </c>
      <c r="CP308" s="319">
        <f t="shared" si="128"/>
        <v>0</v>
      </c>
      <c r="CQ308" s="319">
        <f t="shared" si="128"/>
        <v>0</v>
      </c>
      <c r="CR308" s="319">
        <f t="shared" si="128"/>
        <v>0</v>
      </c>
      <c r="CS308" s="319">
        <f t="shared" si="128"/>
        <v>0</v>
      </c>
      <c r="CT308" s="319">
        <f t="shared" si="128"/>
        <v>0</v>
      </c>
      <c r="CU308" s="319">
        <f t="shared" si="128"/>
        <v>0</v>
      </c>
      <c r="CV308" s="319">
        <f t="shared" si="128"/>
        <v>0</v>
      </c>
    </row>
    <row r="309" spans="1:100" x14ac:dyDescent="0.25">
      <c r="A309" s="319">
        <f t="shared" ref="A309:A317" si="129">IF(AND(H309="Yes",G309="Yes",G310="No"),A308+1,A308)</f>
        <v>0</v>
      </c>
      <c r="B309" s="319">
        <f t="shared" ref="B309:B316" si="130">IF(AND(G309="Yes",G310="No"),B308+1,B308)</f>
        <v>0</v>
      </c>
      <c r="C309" s="340" t="s">
        <v>2341</v>
      </c>
      <c r="D309" s="341" t="s">
        <v>689</v>
      </c>
      <c r="E309" s="341">
        <v>2</v>
      </c>
      <c r="F309" s="341" t="str">
        <f>IF(AND(E309&lt;CharacterSheet!$V$34,'House Rules'!$B$1="Available",'House Rules'!$B$4="Available",G308="Yes",'House Rules'!$B$13="Special"),"Yes","No")</f>
        <v>No</v>
      </c>
      <c r="G309" s="564" t="s">
        <v>347</v>
      </c>
      <c r="H309" s="333" t="str">
        <f>IF(C309="","",VLOOKUP(C309,Boonref2!A:B,2,FALSE))</f>
        <v>Yes</v>
      </c>
      <c r="I309" s="333"/>
      <c r="J309" s="333" t="str">
        <f>VLOOKUP(C309,BoonRef!A:Z,17,FALSE)</f>
        <v>Yes</v>
      </c>
      <c r="K309" s="333" t="str">
        <f>IF(J309="God",'House Rules'!$B$2,IF(J309="Demi",'House Rules'!$B$1,IF(J309="Comp",'House Rules'!$B$4,IF(J309="Yaz",'House Rules'!$B$5,IF(J309="Rag",'House Rules'!$B$3,"Available")))))</f>
        <v>Available</v>
      </c>
      <c r="L309" s="333"/>
      <c r="M309" s="333"/>
      <c r="BF309" s="319">
        <f t="shared" si="124"/>
        <v>0</v>
      </c>
      <c r="BG309" s="330" t="s">
        <v>1076</v>
      </c>
      <c r="BI309" s="319">
        <f t="shared" si="118"/>
        <v>0</v>
      </c>
      <c r="BJ309" s="319">
        <f t="shared" si="128"/>
        <v>0</v>
      </c>
      <c r="BK309" s="319">
        <f t="shared" si="128"/>
        <v>0</v>
      </c>
      <c r="BL309" s="319">
        <f t="shared" si="128"/>
        <v>0</v>
      </c>
      <c r="BM309" s="319">
        <f t="shared" si="128"/>
        <v>0</v>
      </c>
      <c r="BN309" s="319">
        <f t="shared" si="128"/>
        <v>0</v>
      </c>
      <c r="BO309" s="319">
        <f t="shared" si="128"/>
        <v>0</v>
      </c>
      <c r="BP309" s="319">
        <f t="shared" si="128"/>
        <v>0</v>
      </c>
      <c r="BQ309" s="319">
        <f t="shared" si="128"/>
        <v>0</v>
      </c>
      <c r="BR309" s="319">
        <f t="shared" si="128"/>
        <v>0</v>
      </c>
      <c r="BS309" s="319">
        <f t="shared" si="128"/>
        <v>0</v>
      </c>
      <c r="BT309" s="319">
        <f t="shared" si="128"/>
        <v>0</v>
      </c>
      <c r="BU309" s="319">
        <f t="shared" si="128"/>
        <v>0</v>
      </c>
      <c r="BV309" s="319">
        <f t="shared" si="128"/>
        <v>0</v>
      </c>
      <c r="BW309" s="319">
        <f t="shared" si="128"/>
        <v>0</v>
      </c>
      <c r="BX309" s="319">
        <f t="shared" si="128"/>
        <v>0</v>
      </c>
      <c r="BY309" s="319">
        <f t="shared" si="128"/>
        <v>0</v>
      </c>
      <c r="BZ309" s="319">
        <f t="shared" si="128"/>
        <v>0</v>
      </c>
      <c r="CA309" s="319">
        <f t="shared" si="128"/>
        <v>0</v>
      </c>
      <c r="CB309" s="319">
        <f t="shared" si="128"/>
        <v>0</v>
      </c>
      <c r="CC309" s="319">
        <f t="shared" si="128"/>
        <v>0</v>
      </c>
      <c r="CD309" s="319">
        <f t="shared" si="128"/>
        <v>0</v>
      </c>
      <c r="CE309" s="319">
        <f t="shared" si="128"/>
        <v>0</v>
      </c>
      <c r="CF309" s="319">
        <f t="shared" si="128"/>
        <v>0</v>
      </c>
      <c r="CG309" s="319">
        <f t="shared" si="128"/>
        <v>0</v>
      </c>
      <c r="CH309" s="319">
        <f t="shared" si="128"/>
        <v>0</v>
      </c>
      <c r="CI309" s="319">
        <f t="shared" si="128"/>
        <v>0</v>
      </c>
      <c r="CJ309" s="319">
        <f t="shared" si="128"/>
        <v>0</v>
      </c>
      <c r="CK309" s="319">
        <f t="shared" si="128"/>
        <v>0</v>
      </c>
      <c r="CL309" s="319">
        <f t="shared" si="128"/>
        <v>0</v>
      </c>
      <c r="CM309" s="319">
        <f t="shared" si="128"/>
        <v>0</v>
      </c>
      <c r="CN309" s="319">
        <f t="shared" si="128"/>
        <v>0</v>
      </c>
      <c r="CO309" s="319">
        <f t="shared" si="128"/>
        <v>0</v>
      </c>
      <c r="CP309" s="319">
        <f t="shared" si="128"/>
        <v>0</v>
      </c>
      <c r="CQ309" s="319">
        <f t="shared" si="128"/>
        <v>0</v>
      </c>
      <c r="CR309" s="319">
        <f t="shared" si="128"/>
        <v>0</v>
      </c>
      <c r="CS309" s="319">
        <f t="shared" si="128"/>
        <v>0</v>
      </c>
      <c r="CT309" s="319">
        <f t="shared" si="128"/>
        <v>0</v>
      </c>
      <c r="CU309" s="319">
        <f t="shared" si="128"/>
        <v>0</v>
      </c>
      <c r="CV309" s="319">
        <f t="shared" si="128"/>
        <v>0</v>
      </c>
    </row>
    <row r="310" spans="1:100" x14ac:dyDescent="0.25">
      <c r="A310" s="319">
        <f t="shared" si="129"/>
        <v>0</v>
      </c>
      <c r="B310" s="319">
        <f t="shared" si="130"/>
        <v>0</v>
      </c>
      <c r="C310" s="340" t="s">
        <v>2342</v>
      </c>
      <c r="D310" s="341" t="s">
        <v>689</v>
      </c>
      <c r="E310" s="341">
        <v>3</v>
      </c>
      <c r="F310" s="341" t="str">
        <f>IF(AND(E310&lt;CharacterSheet!$V$34,'House Rules'!$B$1="Available",'House Rules'!$B$4="Available",G309="Yes",'House Rules'!$B$13="Special"),"Yes","No")</f>
        <v>No</v>
      </c>
      <c r="G310" s="564" t="s">
        <v>347</v>
      </c>
      <c r="H310" s="333" t="str">
        <f>IF(C310="","",VLOOKUP(C310,Boonref2!A:B,2,FALSE))</f>
        <v>Yes</v>
      </c>
      <c r="I310" s="333"/>
      <c r="J310" s="333" t="str">
        <f>VLOOKUP(C310,BoonRef!A:Z,17,FALSE)</f>
        <v>Yes</v>
      </c>
      <c r="K310" s="333" t="str">
        <f>IF(J310="God",'House Rules'!$B$2,IF(J310="Demi",'House Rules'!$B$1,IF(J310="Comp",'House Rules'!$B$4,IF(J310="Yaz",'House Rules'!$B$5,IF(J310="Rag",'House Rules'!$B$3,"Available")))))</f>
        <v>Available</v>
      </c>
      <c r="L310" s="333"/>
      <c r="M310" s="333"/>
      <c r="BF310" s="319">
        <f t="shared" si="124"/>
        <v>0</v>
      </c>
      <c r="BG310" s="340" t="s">
        <v>1077</v>
      </c>
      <c r="BI310" s="319">
        <f t="shared" si="118"/>
        <v>0</v>
      </c>
      <c r="BJ310" s="319">
        <f t="shared" si="128"/>
        <v>0</v>
      </c>
      <c r="BK310" s="319">
        <f t="shared" si="128"/>
        <v>0</v>
      </c>
      <c r="BL310" s="319">
        <f t="shared" si="128"/>
        <v>0</v>
      </c>
      <c r="BM310" s="319">
        <f t="shared" si="128"/>
        <v>0</v>
      </c>
      <c r="BN310" s="319">
        <f t="shared" si="128"/>
        <v>0</v>
      </c>
      <c r="BO310" s="319">
        <f t="shared" si="128"/>
        <v>0</v>
      </c>
      <c r="BP310" s="319">
        <f t="shared" si="128"/>
        <v>0</v>
      </c>
      <c r="BQ310" s="319">
        <f t="shared" si="128"/>
        <v>0</v>
      </c>
      <c r="BR310" s="319">
        <f t="shared" si="128"/>
        <v>0</v>
      </c>
      <c r="BS310" s="319">
        <f t="shared" si="128"/>
        <v>0</v>
      </c>
      <c r="BT310" s="319">
        <f t="shared" si="128"/>
        <v>0</v>
      </c>
      <c r="BU310" s="319">
        <f t="shared" si="128"/>
        <v>0</v>
      </c>
      <c r="BV310" s="319">
        <f t="shared" si="128"/>
        <v>0</v>
      </c>
      <c r="BW310" s="319">
        <f t="shared" si="128"/>
        <v>0</v>
      </c>
      <c r="BX310" s="319">
        <f t="shared" si="128"/>
        <v>0</v>
      </c>
      <c r="BY310" s="319">
        <f t="shared" si="128"/>
        <v>0</v>
      </c>
      <c r="BZ310" s="319">
        <f t="shared" si="128"/>
        <v>0</v>
      </c>
      <c r="CA310" s="319">
        <f t="shared" si="128"/>
        <v>0</v>
      </c>
      <c r="CB310" s="319">
        <f t="shared" si="128"/>
        <v>0</v>
      </c>
      <c r="CC310" s="319">
        <f t="shared" si="128"/>
        <v>0</v>
      </c>
      <c r="CD310" s="319">
        <f t="shared" si="128"/>
        <v>0</v>
      </c>
      <c r="CE310" s="319">
        <f t="shared" si="128"/>
        <v>0</v>
      </c>
      <c r="CF310" s="319">
        <f t="shared" si="128"/>
        <v>0</v>
      </c>
      <c r="CG310" s="319">
        <f t="shared" si="128"/>
        <v>0</v>
      </c>
      <c r="CH310" s="319">
        <f t="shared" si="128"/>
        <v>0</v>
      </c>
      <c r="CI310" s="319">
        <f t="shared" si="128"/>
        <v>0</v>
      </c>
      <c r="CJ310" s="319">
        <f t="shared" si="128"/>
        <v>0</v>
      </c>
      <c r="CK310" s="319">
        <f t="shared" si="128"/>
        <v>0</v>
      </c>
      <c r="CL310" s="319">
        <f t="shared" si="128"/>
        <v>0</v>
      </c>
      <c r="CM310" s="319">
        <f t="shared" si="128"/>
        <v>0</v>
      </c>
      <c r="CN310" s="319">
        <f t="shared" si="128"/>
        <v>0</v>
      </c>
      <c r="CO310" s="319">
        <f t="shared" si="128"/>
        <v>0</v>
      </c>
      <c r="CP310" s="319">
        <f t="shared" si="128"/>
        <v>0</v>
      </c>
      <c r="CQ310" s="319">
        <f t="shared" si="128"/>
        <v>0</v>
      </c>
      <c r="CR310" s="319">
        <f t="shared" si="128"/>
        <v>0</v>
      </c>
      <c r="CS310" s="319">
        <f t="shared" si="128"/>
        <v>0</v>
      </c>
      <c r="CT310" s="319">
        <f t="shared" si="128"/>
        <v>0</v>
      </c>
      <c r="CU310" s="319">
        <f t="shared" si="128"/>
        <v>0</v>
      </c>
      <c r="CV310" s="319">
        <f t="shared" si="128"/>
        <v>0</v>
      </c>
    </row>
    <row r="311" spans="1:100" x14ac:dyDescent="0.25">
      <c r="A311" s="319">
        <f t="shared" si="129"/>
        <v>0</v>
      </c>
      <c r="B311" s="319">
        <f t="shared" si="130"/>
        <v>0</v>
      </c>
      <c r="C311" s="340" t="s">
        <v>2343</v>
      </c>
      <c r="D311" s="341" t="s">
        <v>689</v>
      </c>
      <c r="E311" s="341">
        <v>4</v>
      </c>
      <c r="F311" s="341" t="str">
        <f>IF(AND(E311&lt;CharacterSheet!$V$34,'House Rules'!$B$1="Available",'House Rules'!$B$4="Available",G310="Yes",'House Rules'!$B$13="Special"),"Yes","No")</f>
        <v>No</v>
      </c>
      <c r="G311" s="564" t="s">
        <v>347</v>
      </c>
      <c r="H311" s="333" t="str">
        <f>IF(C311="","",VLOOKUP(C311,Boonref2!A:B,2,FALSE))</f>
        <v>Yes</v>
      </c>
      <c r="I311" s="333"/>
      <c r="J311" s="333" t="str">
        <f>VLOOKUP(C311,BoonRef!A:Z,17,FALSE)</f>
        <v>Yes</v>
      </c>
      <c r="K311" s="333" t="str">
        <f>IF(J311="God",'House Rules'!$B$2,IF(J311="Demi",'House Rules'!$B$1,IF(J311="Comp",'House Rules'!$B$4,IF(J311="Yaz",'House Rules'!$B$5,IF(J311="Rag",'House Rules'!$B$3,"Available")))))</f>
        <v>Available</v>
      </c>
      <c r="L311" s="333"/>
      <c r="M311" s="333"/>
      <c r="BF311" s="319">
        <f t="shared" si="124"/>
        <v>0</v>
      </c>
      <c r="BG311" s="340" t="s">
        <v>1078</v>
      </c>
      <c r="BI311" s="319">
        <f t="shared" si="118"/>
        <v>0</v>
      </c>
      <c r="BJ311" s="319">
        <f t="shared" si="128"/>
        <v>0</v>
      </c>
      <c r="BK311" s="319">
        <f t="shared" si="128"/>
        <v>0</v>
      </c>
      <c r="BL311" s="319">
        <f t="shared" si="128"/>
        <v>0</v>
      </c>
      <c r="BM311" s="319">
        <f t="shared" si="128"/>
        <v>0</v>
      </c>
      <c r="BN311" s="319">
        <f t="shared" si="128"/>
        <v>0</v>
      </c>
      <c r="BO311" s="319">
        <f t="shared" si="128"/>
        <v>0</v>
      </c>
      <c r="BP311" s="319">
        <f t="shared" si="128"/>
        <v>0</v>
      </c>
      <c r="BQ311" s="319">
        <f t="shared" si="128"/>
        <v>0</v>
      </c>
      <c r="BR311" s="319">
        <f t="shared" si="128"/>
        <v>0</v>
      </c>
      <c r="BS311" s="319">
        <f t="shared" si="128"/>
        <v>0</v>
      </c>
      <c r="BT311" s="319">
        <f t="shared" si="128"/>
        <v>0</v>
      </c>
      <c r="BU311" s="319">
        <f t="shared" si="128"/>
        <v>0</v>
      </c>
      <c r="BV311" s="319">
        <f t="shared" si="128"/>
        <v>0</v>
      </c>
      <c r="BW311" s="319">
        <f t="shared" si="128"/>
        <v>0</v>
      </c>
      <c r="BX311" s="319">
        <f t="shared" si="128"/>
        <v>0</v>
      </c>
      <c r="BY311" s="319">
        <f t="shared" si="128"/>
        <v>0</v>
      </c>
      <c r="BZ311" s="319">
        <f t="shared" si="128"/>
        <v>0</v>
      </c>
      <c r="CA311" s="319">
        <f t="shared" si="128"/>
        <v>0</v>
      </c>
      <c r="CB311" s="319">
        <f t="shared" si="128"/>
        <v>0</v>
      </c>
      <c r="CC311" s="319">
        <f t="shared" si="128"/>
        <v>0</v>
      </c>
      <c r="CD311" s="319">
        <f t="shared" si="128"/>
        <v>0</v>
      </c>
      <c r="CE311" s="319">
        <f t="shared" si="128"/>
        <v>0</v>
      </c>
      <c r="CF311" s="319">
        <f t="shared" si="128"/>
        <v>0</v>
      </c>
      <c r="CG311" s="319">
        <f t="shared" si="128"/>
        <v>0</v>
      </c>
      <c r="CH311" s="319">
        <f t="shared" si="128"/>
        <v>0</v>
      </c>
      <c r="CI311" s="319">
        <f t="shared" si="128"/>
        <v>0</v>
      </c>
      <c r="CJ311" s="319">
        <f t="shared" si="128"/>
        <v>0</v>
      </c>
      <c r="CK311" s="319">
        <f t="shared" ref="BJ311:CV318" si="131">IF(AND($D311=CK$1,$G311="Yes"),$E311,0)</f>
        <v>0</v>
      </c>
      <c r="CL311" s="319">
        <f t="shared" si="131"/>
        <v>0</v>
      </c>
      <c r="CM311" s="319">
        <f t="shared" si="131"/>
        <v>0</v>
      </c>
      <c r="CN311" s="319">
        <f t="shared" si="131"/>
        <v>0</v>
      </c>
      <c r="CO311" s="319">
        <f t="shared" si="131"/>
        <v>0</v>
      </c>
      <c r="CP311" s="319">
        <f t="shared" si="131"/>
        <v>0</v>
      </c>
      <c r="CQ311" s="319">
        <f t="shared" si="131"/>
        <v>0</v>
      </c>
      <c r="CR311" s="319">
        <f t="shared" si="131"/>
        <v>0</v>
      </c>
      <c r="CS311" s="319">
        <f t="shared" si="131"/>
        <v>0</v>
      </c>
      <c r="CT311" s="319">
        <f t="shared" si="131"/>
        <v>0</v>
      </c>
      <c r="CU311" s="319">
        <f t="shared" si="131"/>
        <v>0</v>
      </c>
      <c r="CV311" s="319">
        <f t="shared" si="131"/>
        <v>0</v>
      </c>
    </row>
    <row r="312" spans="1:100" x14ac:dyDescent="0.25">
      <c r="A312" s="319">
        <f t="shared" si="129"/>
        <v>0</v>
      </c>
      <c r="B312" s="319">
        <f t="shared" si="130"/>
        <v>0</v>
      </c>
      <c r="C312" s="340" t="s">
        <v>2344</v>
      </c>
      <c r="D312" s="341" t="s">
        <v>689</v>
      </c>
      <c r="E312" s="341">
        <v>5</v>
      </c>
      <c r="F312" s="341" t="str">
        <f>IF(AND(E312&lt;CharacterSheet!$V$34,'House Rules'!$B$1="Available",'House Rules'!$B$4="Available",G311="Yes",'House Rules'!$B$13="Special"),"Yes","No")</f>
        <v>No</v>
      </c>
      <c r="G312" s="564" t="s">
        <v>347</v>
      </c>
      <c r="H312" s="333" t="str">
        <f>IF(C312="","",VLOOKUP(C312,Boonref2!A:B,2,FALSE))</f>
        <v>Yes</v>
      </c>
      <c r="I312" s="333"/>
      <c r="J312" s="333" t="str">
        <f>VLOOKUP(C312,BoonRef!A:Z,17,FALSE)</f>
        <v>Yes</v>
      </c>
      <c r="K312" s="333" t="str">
        <f>IF(J312="God",'House Rules'!$B$2,IF(J312="Demi",'House Rules'!$B$1,IF(J312="Comp",'House Rules'!$B$4,IF(J312="Yaz",'House Rules'!$B$5,IF(J312="Rag",'House Rules'!$B$3,"Available")))))</f>
        <v>Available</v>
      </c>
      <c r="L312" s="333"/>
      <c r="M312" s="333"/>
      <c r="BF312" s="319">
        <f t="shared" si="124"/>
        <v>0</v>
      </c>
      <c r="BG312" s="340" t="s">
        <v>1159</v>
      </c>
      <c r="BI312" s="319">
        <f t="shared" si="118"/>
        <v>0</v>
      </c>
      <c r="BJ312" s="319">
        <f t="shared" si="131"/>
        <v>0</v>
      </c>
      <c r="BK312" s="319">
        <f t="shared" si="131"/>
        <v>0</v>
      </c>
      <c r="BL312" s="319">
        <f t="shared" si="131"/>
        <v>0</v>
      </c>
      <c r="BM312" s="319">
        <f t="shared" si="131"/>
        <v>0</v>
      </c>
      <c r="BN312" s="319">
        <f t="shared" si="131"/>
        <v>0</v>
      </c>
      <c r="BO312" s="319">
        <f t="shared" si="131"/>
        <v>0</v>
      </c>
      <c r="BP312" s="319">
        <f t="shared" si="131"/>
        <v>0</v>
      </c>
      <c r="BQ312" s="319">
        <f t="shared" si="131"/>
        <v>0</v>
      </c>
      <c r="BR312" s="319">
        <f t="shared" si="131"/>
        <v>0</v>
      </c>
      <c r="BS312" s="319">
        <f t="shared" si="131"/>
        <v>0</v>
      </c>
      <c r="BT312" s="319">
        <f t="shared" si="131"/>
        <v>0</v>
      </c>
      <c r="BU312" s="319">
        <f t="shared" si="131"/>
        <v>0</v>
      </c>
      <c r="BV312" s="319">
        <f t="shared" si="131"/>
        <v>0</v>
      </c>
      <c r="BW312" s="319">
        <f t="shared" si="131"/>
        <v>0</v>
      </c>
      <c r="BX312" s="319">
        <f t="shared" si="131"/>
        <v>0</v>
      </c>
      <c r="BY312" s="319">
        <f t="shared" si="131"/>
        <v>0</v>
      </c>
      <c r="BZ312" s="319">
        <f t="shared" si="131"/>
        <v>0</v>
      </c>
      <c r="CA312" s="319">
        <f t="shared" si="131"/>
        <v>0</v>
      </c>
      <c r="CB312" s="319">
        <f t="shared" si="131"/>
        <v>0</v>
      </c>
      <c r="CC312" s="319">
        <f t="shared" si="131"/>
        <v>0</v>
      </c>
      <c r="CD312" s="319">
        <f t="shared" si="131"/>
        <v>0</v>
      </c>
      <c r="CE312" s="319">
        <f t="shared" si="131"/>
        <v>0</v>
      </c>
      <c r="CF312" s="319">
        <f t="shared" si="131"/>
        <v>0</v>
      </c>
      <c r="CG312" s="319">
        <f t="shared" si="131"/>
        <v>0</v>
      </c>
      <c r="CH312" s="319">
        <f t="shared" si="131"/>
        <v>0</v>
      </c>
      <c r="CI312" s="319">
        <f t="shared" si="131"/>
        <v>0</v>
      </c>
      <c r="CJ312" s="319">
        <f t="shared" si="131"/>
        <v>0</v>
      </c>
      <c r="CK312" s="319">
        <f t="shared" si="131"/>
        <v>0</v>
      </c>
      <c r="CL312" s="319">
        <f t="shared" si="131"/>
        <v>0</v>
      </c>
      <c r="CM312" s="319">
        <f t="shared" si="131"/>
        <v>0</v>
      </c>
      <c r="CN312" s="319">
        <f t="shared" si="131"/>
        <v>0</v>
      </c>
      <c r="CO312" s="319">
        <f t="shared" si="131"/>
        <v>0</v>
      </c>
      <c r="CP312" s="319">
        <f t="shared" si="131"/>
        <v>0</v>
      </c>
      <c r="CQ312" s="319">
        <f t="shared" si="131"/>
        <v>0</v>
      </c>
      <c r="CR312" s="319">
        <f t="shared" si="131"/>
        <v>0</v>
      </c>
      <c r="CS312" s="319">
        <f t="shared" si="131"/>
        <v>0</v>
      </c>
      <c r="CT312" s="319">
        <f t="shared" si="131"/>
        <v>0</v>
      </c>
      <c r="CU312" s="319">
        <f t="shared" si="131"/>
        <v>0</v>
      </c>
      <c r="CV312" s="319">
        <f t="shared" si="131"/>
        <v>0</v>
      </c>
    </row>
    <row r="313" spans="1:100" x14ac:dyDescent="0.25">
      <c r="A313" s="319">
        <f t="shared" si="129"/>
        <v>0</v>
      </c>
      <c r="B313" s="319">
        <f t="shared" si="130"/>
        <v>0</v>
      </c>
      <c r="C313" s="340" t="s">
        <v>2345</v>
      </c>
      <c r="D313" s="341" t="s">
        <v>689</v>
      </c>
      <c r="E313" s="341">
        <v>6</v>
      </c>
      <c r="F313" s="341" t="str">
        <f>IF(AND(E313&lt;CharacterSheet!$V$34,'House Rules'!$B$1="Available",'House Rules'!$B$4="Available",G312="Yes",'House Rules'!$B$13="Special"),"Yes","No")</f>
        <v>No</v>
      </c>
      <c r="G313" s="564" t="s">
        <v>347</v>
      </c>
      <c r="H313" s="333" t="str">
        <f>IF(C313="","",VLOOKUP(C313,Boonref2!A:B,2,FALSE))</f>
        <v>Yes</v>
      </c>
      <c r="I313" s="333"/>
      <c r="J313" s="333" t="str">
        <f>VLOOKUP(C313,BoonRef!A:Z,17,FALSE)</f>
        <v>Yes</v>
      </c>
      <c r="K313" s="333" t="str">
        <f>IF(J313="God",'House Rules'!$B$2,IF(J313="Demi",'House Rules'!$B$1,IF(J313="Comp",'House Rules'!$B$4,IF(J313="Yaz",'House Rules'!$B$5,IF(J313="Rag",'House Rules'!$B$3,"Available")))))</f>
        <v>Available</v>
      </c>
      <c r="L313" s="333"/>
      <c r="M313" s="333"/>
      <c r="BF313" s="319">
        <f t="shared" si="124"/>
        <v>0</v>
      </c>
      <c r="BG313" s="340" t="s">
        <v>1387</v>
      </c>
      <c r="BI313" s="319">
        <f t="shared" si="118"/>
        <v>0</v>
      </c>
      <c r="BJ313" s="319">
        <f t="shared" si="131"/>
        <v>0</v>
      </c>
      <c r="BK313" s="319">
        <f t="shared" si="131"/>
        <v>0</v>
      </c>
      <c r="BL313" s="319">
        <f t="shared" si="131"/>
        <v>0</v>
      </c>
      <c r="BM313" s="319">
        <f t="shared" si="131"/>
        <v>0</v>
      </c>
      <c r="BN313" s="319">
        <f t="shared" si="131"/>
        <v>0</v>
      </c>
      <c r="BO313" s="319">
        <f t="shared" si="131"/>
        <v>0</v>
      </c>
      <c r="BP313" s="319">
        <f t="shared" si="131"/>
        <v>0</v>
      </c>
      <c r="BQ313" s="319">
        <f t="shared" si="131"/>
        <v>0</v>
      </c>
      <c r="BR313" s="319">
        <f t="shared" si="131"/>
        <v>0</v>
      </c>
      <c r="BS313" s="319">
        <f t="shared" si="131"/>
        <v>0</v>
      </c>
      <c r="BT313" s="319">
        <f t="shared" si="131"/>
        <v>0</v>
      </c>
      <c r="BU313" s="319">
        <f t="shared" si="131"/>
        <v>0</v>
      </c>
      <c r="BV313" s="319">
        <f t="shared" si="131"/>
        <v>0</v>
      </c>
      <c r="BW313" s="319">
        <f t="shared" si="131"/>
        <v>0</v>
      </c>
      <c r="BX313" s="319">
        <f t="shared" si="131"/>
        <v>0</v>
      </c>
      <c r="BY313" s="319">
        <f t="shared" si="131"/>
        <v>0</v>
      </c>
      <c r="BZ313" s="319">
        <f t="shared" si="131"/>
        <v>0</v>
      </c>
      <c r="CA313" s="319">
        <f t="shared" si="131"/>
        <v>0</v>
      </c>
      <c r="CB313" s="319">
        <f t="shared" si="131"/>
        <v>0</v>
      </c>
      <c r="CC313" s="319">
        <f t="shared" si="131"/>
        <v>0</v>
      </c>
      <c r="CD313" s="319">
        <f t="shared" si="131"/>
        <v>0</v>
      </c>
      <c r="CE313" s="319">
        <f t="shared" si="131"/>
        <v>0</v>
      </c>
      <c r="CF313" s="319">
        <f t="shared" si="131"/>
        <v>0</v>
      </c>
      <c r="CG313" s="319">
        <f t="shared" si="131"/>
        <v>0</v>
      </c>
      <c r="CH313" s="319">
        <f t="shared" si="131"/>
        <v>0</v>
      </c>
      <c r="CI313" s="319">
        <f t="shared" si="131"/>
        <v>0</v>
      </c>
      <c r="CJ313" s="319">
        <f t="shared" si="131"/>
        <v>0</v>
      </c>
      <c r="CK313" s="319">
        <f t="shared" si="131"/>
        <v>0</v>
      </c>
      <c r="CL313" s="319">
        <f t="shared" si="131"/>
        <v>0</v>
      </c>
      <c r="CM313" s="319">
        <f t="shared" si="131"/>
        <v>0</v>
      </c>
      <c r="CN313" s="319">
        <f t="shared" si="131"/>
        <v>0</v>
      </c>
      <c r="CO313" s="319">
        <f t="shared" si="131"/>
        <v>0</v>
      </c>
      <c r="CP313" s="319">
        <f t="shared" si="131"/>
        <v>0</v>
      </c>
      <c r="CQ313" s="319">
        <f t="shared" si="131"/>
        <v>0</v>
      </c>
      <c r="CR313" s="319">
        <f t="shared" si="131"/>
        <v>0</v>
      </c>
      <c r="CS313" s="319">
        <f t="shared" si="131"/>
        <v>0</v>
      </c>
      <c r="CT313" s="319">
        <f t="shared" si="131"/>
        <v>0</v>
      </c>
      <c r="CU313" s="319">
        <f t="shared" si="131"/>
        <v>0</v>
      </c>
      <c r="CV313" s="319">
        <f t="shared" si="131"/>
        <v>0</v>
      </c>
    </row>
    <row r="314" spans="1:100" x14ac:dyDescent="0.25">
      <c r="A314" s="319">
        <f t="shared" si="129"/>
        <v>0</v>
      </c>
      <c r="B314" s="319">
        <f t="shared" si="130"/>
        <v>0</v>
      </c>
      <c r="C314" s="340" t="s">
        <v>2346</v>
      </c>
      <c r="D314" s="341" t="s">
        <v>689</v>
      </c>
      <c r="E314" s="341">
        <v>7</v>
      </c>
      <c r="F314" s="341" t="str">
        <f>IF(AND(E314&lt;CharacterSheet!$V$34,'House Rules'!$B$1="Available",'House Rules'!$B$4="Available",G313="Yes",'House Rules'!$B$13="Special"),"Yes","No")</f>
        <v>No</v>
      </c>
      <c r="G314" s="564" t="s">
        <v>347</v>
      </c>
      <c r="H314" s="333" t="str">
        <f>IF(C314="","",VLOOKUP(C314,Boonref2!A:B,2,FALSE))</f>
        <v>Yes</v>
      </c>
      <c r="I314" s="333"/>
      <c r="J314" s="333" t="str">
        <f>VLOOKUP(C314,BoonRef!A:Z,17,FALSE)</f>
        <v>Yes</v>
      </c>
      <c r="K314" s="333" t="str">
        <f>IF(J314="God",'House Rules'!$B$2,IF(J314="Demi",'House Rules'!$B$1,IF(J314="Comp",'House Rules'!$B$4,IF(J314="Yaz",'House Rules'!$B$5,IF(J314="Rag",'House Rules'!$B$3,"Available")))))</f>
        <v>Available</v>
      </c>
      <c r="L314" s="333"/>
      <c r="M314" s="333"/>
      <c r="BF314" s="319">
        <f t="shared" si="124"/>
        <v>0</v>
      </c>
      <c r="BG314" s="340" t="s">
        <v>1160</v>
      </c>
      <c r="BI314" s="319">
        <f t="shared" si="118"/>
        <v>0</v>
      </c>
      <c r="BJ314" s="319">
        <f t="shared" si="131"/>
        <v>0</v>
      </c>
      <c r="BK314" s="319">
        <f t="shared" si="131"/>
        <v>0</v>
      </c>
      <c r="BL314" s="319">
        <f t="shared" si="131"/>
        <v>0</v>
      </c>
      <c r="BM314" s="319">
        <f t="shared" si="131"/>
        <v>0</v>
      </c>
      <c r="BN314" s="319">
        <f t="shared" si="131"/>
        <v>0</v>
      </c>
      <c r="BO314" s="319">
        <f t="shared" si="131"/>
        <v>0</v>
      </c>
      <c r="BP314" s="319">
        <f t="shared" si="131"/>
        <v>0</v>
      </c>
      <c r="BQ314" s="319">
        <f t="shared" si="131"/>
        <v>0</v>
      </c>
      <c r="BR314" s="319">
        <f t="shared" si="131"/>
        <v>0</v>
      </c>
      <c r="BS314" s="319">
        <f t="shared" si="131"/>
        <v>0</v>
      </c>
      <c r="BT314" s="319">
        <f t="shared" si="131"/>
        <v>0</v>
      </c>
      <c r="BU314" s="319">
        <f t="shared" si="131"/>
        <v>0</v>
      </c>
      <c r="BV314" s="319">
        <f t="shared" si="131"/>
        <v>0</v>
      </c>
      <c r="BW314" s="319">
        <f t="shared" si="131"/>
        <v>0</v>
      </c>
      <c r="BX314" s="319">
        <f t="shared" si="131"/>
        <v>0</v>
      </c>
      <c r="BY314" s="319">
        <f t="shared" si="131"/>
        <v>0</v>
      </c>
      <c r="BZ314" s="319">
        <f t="shared" si="131"/>
        <v>0</v>
      </c>
      <c r="CA314" s="319">
        <f t="shared" si="131"/>
        <v>0</v>
      </c>
      <c r="CB314" s="319">
        <f t="shared" si="131"/>
        <v>0</v>
      </c>
      <c r="CC314" s="319">
        <f t="shared" si="131"/>
        <v>0</v>
      </c>
      <c r="CD314" s="319">
        <f t="shared" si="131"/>
        <v>0</v>
      </c>
      <c r="CE314" s="319">
        <f t="shared" si="131"/>
        <v>0</v>
      </c>
      <c r="CF314" s="319">
        <f t="shared" si="131"/>
        <v>0</v>
      </c>
      <c r="CG314" s="319">
        <f t="shared" si="131"/>
        <v>0</v>
      </c>
      <c r="CH314" s="319">
        <f t="shared" si="131"/>
        <v>0</v>
      </c>
      <c r="CI314" s="319">
        <f t="shared" si="131"/>
        <v>0</v>
      </c>
      <c r="CJ314" s="319">
        <f t="shared" si="131"/>
        <v>0</v>
      </c>
      <c r="CK314" s="319">
        <f t="shared" si="131"/>
        <v>0</v>
      </c>
      <c r="CL314" s="319">
        <f t="shared" si="131"/>
        <v>0</v>
      </c>
      <c r="CM314" s="319">
        <f t="shared" si="131"/>
        <v>0</v>
      </c>
      <c r="CN314" s="319">
        <f t="shared" si="131"/>
        <v>0</v>
      </c>
      <c r="CO314" s="319">
        <f t="shared" si="131"/>
        <v>0</v>
      </c>
      <c r="CP314" s="319">
        <f t="shared" si="131"/>
        <v>0</v>
      </c>
      <c r="CQ314" s="319">
        <f t="shared" si="131"/>
        <v>0</v>
      </c>
      <c r="CR314" s="319">
        <f t="shared" si="131"/>
        <v>0</v>
      </c>
      <c r="CS314" s="319">
        <f t="shared" si="131"/>
        <v>0</v>
      </c>
      <c r="CT314" s="319">
        <f t="shared" si="131"/>
        <v>0</v>
      </c>
      <c r="CU314" s="319">
        <f t="shared" si="131"/>
        <v>0</v>
      </c>
      <c r="CV314" s="319">
        <f t="shared" si="131"/>
        <v>0</v>
      </c>
    </row>
    <row r="315" spans="1:100" x14ac:dyDescent="0.25">
      <c r="A315" s="319">
        <f t="shared" si="129"/>
        <v>0</v>
      </c>
      <c r="B315" s="319">
        <f t="shared" si="130"/>
        <v>0</v>
      </c>
      <c r="C315" s="340" t="s">
        <v>2347</v>
      </c>
      <c r="D315" s="341" t="s">
        <v>689</v>
      </c>
      <c r="E315" s="341">
        <v>8</v>
      </c>
      <c r="F315" s="341" t="str">
        <f>IF(AND(E315&lt;CharacterSheet!$V$34,'House Rules'!$B$1="Available",'House Rules'!$B$4="Available",G314="Yes",'House Rules'!$B$13="Special"),"Yes","No")</f>
        <v>No</v>
      </c>
      <c r="G315" s="564" t="s">
        <v>347</v>
      </c>
      <c r="H315" s="333" t="str">
        <f>IF(C315="","",VLOOKUP(C315,Boonref2!A:B,2,FALSE))</f>
        <v>Yes</v>
      </c>
      <c r="I315" s="333"/>
      <c r="J315" s="333" t="str">
        <f>VLOOKUP(C315,BoonRef!A:Z,17,FALSE)</f>
        <v>Yes</v>
      </c>
      <c r="K315" s="333" t="str">
        <f>IF(J315="God",'House Rules'!$B$2,IF(J315="Demi",'House Rules'!$B$1,IF(J315="Comp",'House Rules'!$B$4,IF(J315="Yaz",'House Rules'!$B$5,IF(J315="Rag",'House Rules'!$B$3,"Available")))))</f>
        <v>Available</v>
      </c>
      <c r="L315" s="333"/>
      <c r="M315" s="333"/>
      <c r="BF315" s="319">
        <f t="shared" si="124"/>
        <v>0</v>
      </c>
      <c r="BG315" s="340" t="s">
        <v>1161</v>
      </c>
      <c r="BI315" s="319">
        <f t="shared" si="118"/>
        <v>0</v>
      </c>
      <c r="BJ315" s="319">
        <f t="shared" si="131"/>
        <v>0</v>
      </c>
      <c r="BK315" s="319">
        <f t="shared" si="131"/>
        <v>0</v>
      </c>
      <c r="BL315" s="319">
        <f t="shared" si="131"/>
        <v>0</v>
      </c>
      <c r="BM315" s="319">
        <f t="shared" si="131"/>
        <v>0</v>
      </c>
      <c r="BN315" s="319">
        <f t="shared" si="131"/>
        <v>0</v>
      </c>
      <c r="BO315" s="319">
        <f t="shared" si="131"/>
        <v>0</v>
      </c>
      <c r="BP315" s="319">
        <f t="shared" si="131"/>
        <v>0</v>
      </c>
      <c r="BQ315" s="319">
        <f t="shared" si="131"/>
        <v>0</v>
      </c>
      <c r="BR315" s="319">
        <f t="shared" si="131"/>
        <v>0</v>
      </c>
      <c r="BS315" s="319">
        <f t="shared" si="131"/>
        <v>0</v>
      </c>
      <c r="BT315" s="319">
        <f t="shared" si="131"/>
        <v>0</v>
      </c>
      <c r="BU315" s="319">
        <f t="shared" si="131"/>
        <v>0</v>
      </c>
      <c r="BV315" s="319">
        <f t="shared" si="131"/>
        <v>0</v>
      </c>
      <c r="BW315" s="319">
        <f t="shared" si="131"/>
        <v>0</v>
      </c>
      <c r="BX315" s="319">
        <f t="shared" si="131"/>
        <v>0</v>
      </c>
      <c r="BY315" s="319">
        <f t="shared" si="131"/>
        <v>0</v>
      </c>
      <c r="BZ315" s="319">
        <f t="shared" si="131"/>
        <v>0</v>
      </c>
      <c r="CA315" s="319">
        <f t="shared" si="131"/>
        <v>0</v>
      </c>
      <c r="CB315" s="319">
        <f t="shared" si="131"/>
        <v>0</v>
      </c>
      <c r="CC315" s="319">
        <f t="shared" si="131"/>
        <v>0</v>
      </c>
      <c r="CD315" s="319">
        <f t="shared" si="131"/>
        <v>0</v>
      </c>
      <c r="CE315" s="319">
        <f t="shared" si="131"/>
        <v>0</v>
      </c>
      <c r="CF315" s="319">
        <f t="shared" si="131"/>
        <v>0</v>
      </c>
      <c r="CG315" s="319">
        <f t="shared" si="131"/>
        <v>0</v>
      </c>
      <c r="CH315" s="319">
        <f t="shared" si="131"/>
        <v>0</v>
      </c>
      <c r="CI315" s="319">
        <f t="shared" si="131"/>
        <v>0</v>
      </c>
      <c r="CJ315" s="319">
        <f t="shared" si="131"/>
        <v>0</v>
      </c>
      <c r="CK315" s="319">
        <f t="shared" si="131"/>
        <v>0</v>
      </c>
      <c r="CL315" s="319">
        <f t="shared" si="131"/>
        <v>0</v>
      </c>
      <c r="CM315" s="319">
        <f t="shared" si="131"/>
        <v>0</v>
      </c>
      <c r="CN315" s="319">
        <f t="shared" si="131"/>
        <v>0</v>
      </c>
      <c r="CO315" s="319">
        <f t="shared" si="131"/>
        <v>0</v>
      </c>
      <c r="CP315" s="319">
        <f t="shared" si="131"/>
        <v>0</v>
      </c>
      <c r="CQ315" s="319">
        <f t="shared" si="131"/>
        <v>0</v>
      </c>
      <c r="CR315" s="319">
        <f t="shared" si="131"/>
        <v>0</v>
      </c>
      <c r="CS315" s="319">
        <f t="shared" si="131"/>
        <v>0</v>
      </c>
      <c r="CT315" s="319">
        <f t="shared" si="131"/>
        <v>0</v>
      </c>
      <c r="CU315" s="319">
        <f t="shared" si="131"/>
        <v>0</v>
      </c>
      <c r="CV315" s="319">
        <f t="shared" si="131"/>
        <v>0</v>
      </c>
    </row>
    <row r="316" spans="1:100" x14ac:dyDescent="0.25">
      <c r="A316" s="319">
        <f t="shared" si="129"/>
        <v>0</v>
      </c>
      <c r="B316" s="319">
        <f t="shared" si="130"/>
        <v>0</v>
      </c>
      <c r="C316" s="340" t="s">
        <v>2348</v>
      </c>
      <c r="D316" s="341" t="s">
        <v>689</v>
      </c>
      <c r="E316" s="341">
        <v>9</v>
      </c>
      <c r="F316" s="341" t="str">
        <f>IF(AND(E316&lt;CharacterSheet!$V$34,'House Rules'!$B$1="Available",'House Rules'!$B$4="Available",G315="Yes",'House Rules'!$B$13="Special"),"Yes","No")</f>
        <v>No</v>
      </c>
      <c r="G316" s="564" t="s">
        <v>347</v>
      </c>
      <c r="H316" s="333" t="str">
        <f>IF(C316="","",VLOOKUP(C316,Boonref2!A:B,2,FALSE))</f>
        <v>Yes</v>
      </c>
      <c r="I316" s="333"/>
      <c r="J316" s="333" t="str">
        <f>VLOOKUP(C316,BoonRef!A:Z,17,FALSE)</f>
        <v>Yes</v>
      </c>
      <c r="K316" s="333" t="str">
        <f>IF(J316="God",'House Rules'!$B$2,IF(J316="Demi",'House Rules'!$B$1,IF(J316="Comp",'House Rules'!$B$4,IF(J316="Yaz",'House Rules'!$B$5,IF(J316="Rag",'House Rules'!$B$3,"Available")))))</f>
        <v>Available</v>
      </c>
      <c r="L316" s="333"/>
      <c r="M316" s="333"/>
      <c r="BF316" s="319">
        <f t="shared" si="124"/>
        <v>0</v>
      </c>
      <c r="BG316" s="340" t="s">
        <v>1388</v>
      </c>
      <c r="BI316" s="319">
        <f t="shared" si="118"/>
        <v>0</v>
      </c>
      <c r="BJ316" s="319">
        <f t="shared" si="131"/>
        <v>0</v>
      </c>
      <c r="BK316" s="319">
        <f t="shared" si="131"/>
        <v>0</v>
      </c>
      <c r="BL316" s="319">
        <f t="shared" si="131"/>
        <v>0</v>
      </c>
      <c r="BM316" s="319">
        <f t="shared" si="131"/>
        <v>0</v>
      </c>
      <c r="BN316" s="319">
        <f t="shared" si="131"/>
        <v>0</v>
      </c>
      <c r="BO316" s="319">
        <f t="shared" si="131"/>
        <v>0</v>
      </c>
      <c r="BP316" s="319">
        <f t="shared" si="131"/>
        <v>0</v>
      </c>
      <c r="BQ316" s="319">
        <f t="shared" si="131"/>
        <v>0</v>
      </c>
      <c r="BR316" s="319">
        <f t="shared" si="131"/>
        <v>0</v>
      </c>
      <c r="BS316" s="319">
        <f t="shared" si="131"/>
        <v>0</v>
      </c>
      <c r="BT316" s="319">
        <f t="shared" si="131"/>
        <v>0</v>
      </c>
      <c r="BU316" s="319">
        <f t="shared" si="131"/>
        <v>0</v>
      </c>
      <c r="BV316" s="319">
        <f t="shared" si="131"/>
        <v>0</v>
      </c>
      <c r="BW316" s="319">
        <f t="shared" si="131"/>
        <v>0</v>
      </c>
      <c r="BX316" s="319">
        <f t="shared" si="131"/>
        <v>0</v>
      </c>
      <c r="BY316" s="319">
        <f t="shared" si="131"/>
        <v>0</v>
      </c>
      <c r="BZ316" s="319">
        <f t="shared" si="131"/>
        <v>0</v>
      </c>
      <c r="CA316" s="319">
        <f t="shared" si="131"/>
        <v>0</v>
      </c>
      <c r="CB316" s="319">
        <f t="shared" si="131"/>
        <v>0</v>
      </c>
      <c r="CC316" s="319">
        <f t="shared" si="131"/>
        <v>0</v>
      </c>
      <c r="CD316" s="319">
        <f t="shared" si="131"/>
        <v>0</v>
      </c>
      <c r="CE316" s="319">
        <f t="shared" si="131"/>
        <v>0</v>
      </c>
      <c r="CF316" s="319">
        <f t="shared" si="131"/>
        <v>0</v>
      </c>
      <c r="CG316" s="319">
        <f t="shared" si="131"/>
        <v>0</v>
      </c>
      <c r="CH316" s="319">
        <f t="shared" si="131"/>
        <v>0</v>
      </c>
      <c r="CI316" s="319">
        <f t="shared" si="131"/>
        <v>0</v>
      </c>
      <c r="CJ316" s="319">
        <f t="shared" si="131"/>
        <v>0</v>
      </c>
      <c r="CK316" s="319">
        <f t="shared" si="131"/>
        <v>0</v>
      </c>
      <c r="CL316" s="319">
        <f t="shared" si="131"/>
        <v>0</v>
      </c>
      <c r="CM316" s="319">
        <f t="shared" si="131"/>
        <v>0</v>
      </c>
      <c r="CN316" s="319">
        <f t="shared" si="131"/>
        <v>0</v>
      </c>
      <c r="CO316" s="319">
        <f t="shared" si="131"/>
        <v>0</v>
      </c>
      <c r="CP316" s="319">
        <f t="shared" si="131"/>
        <v>0</v>
      </c>
      <c r="CQ316" s="319">
        <f t="shared" si="131"/>
        <v>0</v>
      </c>
      <c r="CR316" s="319">
        <f t="shared" si="131"/>
        <v>0</v>
      </c>
      <c r="CS316" s="319">
        <f t="shared" si="131"/>
        <v>0</v>
      </c>
      <c r="CT316" s="319">
        <f t="shared" si="131"/>
        <v>0</v>
      </c>
      <c r="CU316" s="319">
        <f t="shared" si="131"/>
        <v>0</v>
      </c>
      <c r="CV316" s="319">
        <f t="shared" si="131"/>
        <v>0</v>
      </c>
    </row>
    <row r="317" spans="1:100" x14ac:dyDescent="0.25">
      <c r="A317" s="319">
        <f t="shared" si="129"/>
        <v>0</v>
      </c>
      <c r="B317" s="319">
        <f>IF(G317="Yes",B316+1,B316)</f>
        <v>0</v>
      </c>
      <c r="C317" s="340" t="s">
        <v>2349</v>
      </c>
      <c r="D317" s="341" t="s">
        <v>689</v>
      </c>
      <c r="E317" s="341">
        <v>10</v>
      </c>
      <c r="F317" s="341" t="str">
        <f>IF(AND(E317&lt;CharacterSheet!$V$34,'House Rules'!$B$1="Available",'House Rules'!$B$4="Available",G316="Yes",'House Rules'!$B$13="Special"),"Yes","No")</f>
        <v>No</v>
      </c>
      <c r="G317" s="564" t="s">
        <v>347</v>
      </c>
      <c r="H317" s="333" t="str">
        <f>IF(C317="","",VLOOKUP(C317,Boonref2!A:B,2,FALSE))</f>
        <v>Yes</v>
      </c>
      <c r="I317" s="333"/>
      <c r="J317" s="333" t="str">
        <f>VLOOKUP(C317,BoonRef!A:Z,17,FALSE)</f>
        <v>Yes</v>
      </c>
      <c r="K317" s="333" t="str">
        <f>IF(J317="God",'House Rules'!$B$2,IF(J317="Demi",'House Rules'!$B$1,IF(J317="Comp",'House Rules'!$B$4,IF(J317="Yaz",'House Rules'!$B$5,IF(J317="Rag",'House Rules'!$B$3,"Available")))))</f>
        <v>Available</v>
      </c>
      <c r="L317" s="333"/>
      <c r="M317" s="333"/>
      <c r="BF317" s="319">
        <f t="shared" ref="BF317:BF348" si="132">B76</f>
        <v>0</v>
      </c>
      <c r="BG317" s="340" t="s">
        <v>1162</v>
      </c>
      <c r="BI317" s="319">
        <f t="shared" si="118"/>
        <v>0</v>
      </c>
      <c r="BJ317" s="319">
        <f t="shared" si="131"/>
        <v>0</v>
      </c>
      <c r="BK317" s="319">
        <f t="shared" si="131"/>
        <v>0</v>
      </c>
      <c r="BL317" s="319">
        <f t="shared" si="131"/>
        <v>0</v>
      </c>
      <c r="BM317" s="319">
        <f t="shared" si="131"/>
        <v>0</v>
      </c>
      <c r="BN317" s="319">
        <f t="shared" si="131"/>
        <v>0</v>
      </c>
      <c r="BO317" s="319">
        <f t="shared" si="131"/>
        <v>0</v>
      </c>
      <c r="BP317" s="319">
        <f t="shared" si="131"/>
        <v>0</v>
      </c>
      <c r="BQ317" s="319">
        <f t="shared" si="131"/>
        <v>0</v>
      </c>
      <c r="BR317" s="319">
        <f t="shared" si="131"/>
        <v>0</v>
      </c>
      <c r="BS317" s="319">
        <f t="shared" si="131"/>
        <v>0</v>
      </c>
      <c r="BT317" s="319">
        <f t="shared" si="131"/>
        <v>0</v>
      </c>
      <c r="BU317" s="319">
        <f t="shared" si="131"/>
        <v>0</v>
      </c>
      <c r="BV317" s="319">
        <f t="shared" si="131"/>
        <v>0</v>
      </c>
      <c r="BW317" s="319">
        <f t="shared" si="131"/>
        <v>0</v>
      </c>
      <c r="BX317" s="319">
        <f t="shared" si="131"/>
        <v>0</v>
      </c>
      <c r="BY317" s="319">
        <f t="shared" si="131"/>
        <v>0</v>
      </c>
      <c r="BZ317" s="319">
        <f t="shared" si="131"/>
        <v>0</v>
      </c>
      <c r="CA317" s="319">
        <f t="shared" si="131"/>
        <v>0</v>
      </c>
      <c r="CB317" s="319">
        <f t="shared" si="131"/>
        <v>0</v>
      </c>
      <c r="CC317" s="319">
        <f t="shared" si="131"/>
        <v>0</v>
      </c>
      <c r="CD317" s="319">
        <f t="shared" si="131"/>
        <v>0</v>
      </c>
      <c r="CE317" s="319">
        <f t="shared" si="131"/>
        <v>0</v>
      </c>
      <c r="CF317" s="319">
        <f t="shared" si="131"/>
        <v>0</v>
      </c>
      <c r="CG317" s="319">
        <f t="shared" si="131"/>
        <v>0</v>
      </c>
      <c r="CH317" s="319">
        <f t="shared" si="131"/>
        <v>0</v>
      </c>
      <c r="CI317" s="319">
        <f t="shared" si="131"/>
        <v>0</v>
      </c>
      <c r="CJ317" s="319">
        <f t="shared" si="131"/>
        <v>0</v>
      </c>
      <c r="CK317" s="319">
        <f t="shared" si="131"/>
        <v>0</v>
      </c>
      <c r="CL317" s="319">
        <f t="shared" si="131"/>
        <v>0</v>
      </c>
      <c r="CM317" s="319">
        <f t="shared" si="131"/>
        <v>0</v>
      </c>
      <c r="CN317" s="319">
        <f t="shared" si="131"/>
        <v>0</v>
      </c>
      <c r="CO317" s="319">
        <f t="shared" si="131"/>
        <v>0</v>
      </c>
      <c r="CP317" s="319">
        <f t="shared" si="131"/>
        <v>0</v>
      </c>
      <c r="CQ317" s="319">
        <f t="shared" si="131"/>
        <v>0</v>
      </c>
      <c r="CR317" s="319">
        <f t="shared" si="131"/>
        <v>0</v>
      </c>
      <c r="CS317" s="319">
        <f t="shared" si="131"/>
        <v>0</v>
      </c>
      <c r="CT317" s="319">
        <f t="shared" si="131"/>
        <v>0</v>
      </c>
      <c r="CU317" s="319">
        <f t="shared" si="131"/>
        <v>0</v>
      </c>
      <c r="CV317" s="319">
        <f t="shared" si="131"/>
        <v>0</v>
      </c>
    </row>
    <row r="318" spans="1:100" ht="15.75" thickBot="1" x14ac:dyDescent="0.3">
      <c r="A318" s="319">
        <f t="shared" si="117"/>
        <v>0</v>
      </c>
      <c r="B318" s="319">
        <f t="shared" si="121"/>
        <v>0</v>
      </c>
      <c r="C318" s="352" t="s">
        <v>1509</v>
      </c>
      <c r="D318" s="353" t="s">
        <v>689</v>
      </c>
      <c r="E318" s="353">
        <v>11</v>
      </c>
      <c r="F318" s="353" t="str">
        <f>IF(AND(E318&lt;CharacterSheet!$V$34,G317="Yes"),"Yes","No")</f>
        <v>No</v>
      </c>
      <c r="G318" s="565" t="s">
        <v>347</v>
      </c>
      <c r="H318" s="333" t="str">
        <f>IF(C318="","",VLOOKUP(C318,Boonref2!A:B,2,FALSE))</f>
        <v>No</v>
      </c>
      <c r="I318" s="333"/>
      <c r="J318" s="333" t="str">
        <f>VLOOKUP(C318,BoonRef!A:Z,17,FALSE)</f>
        <v>Yes</v>
      </c>
      <c r="K318" s="333" t="str">
        <f>IF(J318="God",'House Rules'!$B$2,IF(J318="Demi",'House Rules'!$B$1,IF(J318="Comp",'House Rules'!$B$4,IF(J318="Yaz",'House Rules'!$B$5,IF(J318="Rag",'House Rules'!$B$3,"Available")))))</f>
        <v>Available</v>
      </c>
      <c r="L318" s="333"/>
      <c r="M318" s="333"/>
      <c r="BF318" s="319">
        <f t="shared" si="132"/>
        <v>0</v>
      </c>
      <c r="BG318" s="340" t="s">
        <v>1259</v>
      </c>
      <c r="BI318" s="319">
        <f t="shared" si="118"/>
        <v>0</v>
      </c>
      <c r="BJ318" s="319">
        <f t="shared" si="131"/>
        <v>0</v>
      </c>
      <c r="BK318" s="319">
        <f t="shared" si="131"/>
        <v>0</v>
      </c>
      <c r="BL318" s="319">
        <f t="shared" si="131"/>
        <v>0</v>
      </c>
      <c r="BM318" s="319">
        <f t="shared" si="131"/>
        <v>0</v>
      </c>
      <c r="BN318" s="319">
        <f t="shared" si="131"/>
        <v>0</v>
      </c>
      <c r="BO318" s="319">
        <f t="shared" si="131"/>
        <v>0</v>
      </c>
      <c r="BP318" s="319">
        <f t="shared" si="131"/>
        <v>0</v>
      </c>
      <c r="BQ318" s="319">
        <f t="shared" si="131"/>
        <v>0</v>
      </c>
      <c r="BR318" s="319">
        <f t="shared" si="131"/>
        <v>0</v>
      </c>
      <c r="BS318" s="319">
        <f t="shared" ref="BJ318:CV325" si="133">IF(AND($D318=BS$1,$G318="Yes"),$E318,0)</f>
        <v>0</v>
      </c>
      <c r="BT318" s="319">
        <f t="shared" si="133"/>
        <v>0</v>
      </c>
      <c r="BU318" s="319">
        <f t="shared" si="133"/>
        <v>0</v>
      </c>
      <c r="BV318" s="319">
        <f t="shared" si="133"/>
        <v>0</v>
      </c>
      <c r="BW318" s="319">
        <f t="shared" si="133"/>
        <v>0</v>
      </c>
      <c r="BX318" s="319">
        <f t="shared" si="133"/>
        <v>0</v>
      </c>
      <c r="BY318" s="319">
        <f t="shared" si="133"/>
        <v>0</v>
      </c>
      <c r="BZ318" s="319">
        <f t="shared" si="133"/>
        <v>0</v>
      </c>
      <c r="CA318" s="319">
        <f t="shared" si="133"/>
        <v>0</v>
      </c>
      <c r="CB318" s="319">
        <f t="shared" si="133"/>
        <v>0</v>
      </c>
      <c r="CC318" s="319">
        <f t="shared" si="133"/>
        <v>0</v>
      </c>
      <c r="CD318" s="319">
        <f t="shared" si="133"/>
        <v>0</v>
      </c>
      <c r="CE318" s="319">
        <f t="shared" si="133"/>
        <v>0</v>
      </c>
      <c r="CF318" s="319">
        <f t="shared" si="133"/>
        <v>0</v>
      </c>
      <c r="CG318" s="319">
        <f t="shared" si="133"/>
        <v>0</v>
      </c>
      <c r="CH318" s="319">
        <f t="shared" si="133"/>
        <v>0</v>
      </c>
      <c r="CI318" s="319">
        <f t="shared" si="133"/>
        <v>0</v>
      </c>
      <c r="CJ318" s="319">
        <f t="shared" si="133"/>
        <v>0</v>
      </c>
      <c r="CK318" s="319">
        <f t="shared" si="133"/>
        <v>0</v>
      </c>
      <c r="CL318" s="319">
        <f t="shared" si="133"/>
        <v>0</v>
      </c>
      <c r="CM318" s="319">
        <f t="shared" si="133"/>
        <v>0</v>
      </c>
      <c r="CN318" s="319">
        <f t="shared" si="133"/>
        <v>0</v>
      </c>
      <c r="CO318" s="319">
        <f t="shared" si="133"/>
        <v>0</v>
      </c>
      <c r="CP318" s="319">
        <f t="shared" si="133"/>
        <v>0</v>
      </c>
      <c r="CQ318" s="319">
        <f t="shared" si="133"/>
        <v>0</v>
      </c>
      <c r="CR318" s="319">
        <f t="shared" si="133"/>
        <v>0</v>
      </c>
      <c r="CS318" s="319">
        <f t="shared" si="133"/>
        <v>0</v>
      </c>
      <c r="CT318" s="319">
        <f t="shared" si="133"/>
        <v>0</v>
      </c>
      <c r="CU318" s="319">
        <f t="shared" si="133"/>
        <v>0</v>
      </c>
      <c r="CV318" s="319">
        <f t="shared" si="133"/>
        <v>0</v>
      </c>
    </row>
    <row r="319" spans="1:100" x14ac:dyDescent="0.25">
      <c r="A319" s="319">
        <f t="shared" ref="A319:A328" si="134">IF(AND(H319="Yes",G319="Yes",G320="No"),A318+1,A318)</f>
        <v>0</v>
      </c>
      <c r="B319" s="319">
        <f t="shared" ref="B319:B327" si="135">IF(AND(G319="Yes",G320="No"),B318+1,B318)</f>
        <v>0</v>
      </c>
      <c r="C319" s="330" t="s">
        <v>1137</v>
      </c>
      <c r="D319" s="331" t="s">
        <v>369</v>
      </c>
      <c r="E319" s="331">
        <v>1</v>
      </c>
      <c r="F319" s="331" t="str">
        <f>IF(E319&lt;CharacterSheet!$V$34,"Yes","No")</f>
        <v>Yes</v>
      </c>
      <c r="G319" s="563" t="s">
        <v>347</v>
      </c>
      <c r="H319" s="333" t="str">
        <f>IF(C319="","",VLOOKUP(C319,Boonref2!A:B,2,FALSE))</f>
        <v>Yes</v>
      </c>
      <c r="I319" s="333"/>
      <c r="J319" s="333" t="str">
        <f>VLOOKUP(C319,BoonRef!A:Z,17,FALSE)</f>
        <v>No</v>
      </c>
      <c r="K319" s="333" t="str">
        <f>IF(J319="God",'House Rules'!$B$2,IF(J319="Demi",'House Rules'!$B$1,IF(J319="Comp",'House Rules'!$B$4,IF(J319="Yaz",'House Rules'!$B$5,IF(J319="Rag",'House Rules'!$B$3,"Available")))))</f>
        <v>Available</v>
      </c>
      <c r="L319" s="333"/>
      <c r="M319" s="333"/>
      <c r="BF319" s="319">
        <f t="shared" si="132"/>
        <v>0</v>
      </c>
      <c r="BG319" s="340" t="s">
        <v>2632</v>
      </c>
      <c r="BI319" s="319">
        <f t="shared" si="118"/>
        <v>0</v>
      </c>
      <c r="BJ319" s="319">
        <f t="shared" si="133"/>
        <v>0</v>
      </c>
      <c r="BK319" s="319">
        <f t="shared" si="133"/>
        <v>0</v>
      </c>
      <c r="BL319" s="319">
        <f t="shared" si="133"/>
        <v>0</v>
      </c>
      <c r="BM319" s="319">
        <f t="shared" si="133"/>
        <v>0</v>
      </c>
      <c r="BN319" s="319">
        <f t="shared" si="133"/>
        <v>0</v>
      </c>
      <c r="BO319" s="319">
        <f t="shared" si="133"/>
        <v>0</v>
      </c>
      <c r="BP319" s="319">
        <f t="shared" si="133"/>
        <v>0</v>
      </c>
      <c r="BQ319" s="319">
        <f t="shared" si="133"/>
        <v>0</v>
      </c>
      <c r="BR319" s="319">
        <f t="shared" si="133"/>
        <v>0</v>
      </c>
      <c r="BS319" s="319">
        <f t="shared" si="133"/>
        <v>0</v>
      </c>
      <c r="BT319" s="319">
        <f t="shared" si="133"/>
        <v>0</v>
      </c>
      <c r="BU319" s="319">
        <f t="shared" si="133"/>
        <v>0</v>
      </c>
      <c r="BV319" s="319">
        <f t="shared" si="133"/>
        <v>0</v>
      </c>
      <c r="BW319" s="319">
        <f t="shared" si="133"/>
        <v>0</v>
      </c>
      <c r="BX319" s="319">
        <f t="shared" si="133"/>
        <v>0</v>
      </c>
      <c r="BY319" s="319">
        <f t="shared" si="133"/>
        <v>0</v>
      </c>
      <c r="BZ319" s="319">
        <f t="shared" si="133"/>
        <v>0</v>
      </c>
      <c r="CA319" s="319">
        <f t="shared" si="133"/>
        <v>0</v>
      </c>
      <c r="CB319" s="319">
        <f t="shared" si="133"/>
        <v>0</v>
      </c>
      <c r="CC319" s="319">
        <f t="shared" si="133"/>
        <v>0</v>
      </c>
      <c r="CD319" s="319">
        <f t="shared" si="133"/>
        <v>0</v>
      </c>
      <c r="CE319" s="319">
        <f t="shared" si="133"/>
        <v>0</v>
      </c>
      <c r="CF319" s="319">
        <f t="shared" si="133"/>
        <v>0</v>
      </c>
      <c r="CG319" s="319">
        <f t="shared" si="133"/>
        <v>0</v>
      </c>
      <c r="CH319" s="319">
        <f t="shared" si="133"/>
        <v>0</v>
      </c>
      <c r="CI319" s="319">
        <f t="shared" si="133"/>
        <v>0</v>
      </c>
      <c r="CJ319" s="319">
        <f t="shared" si="133"/>
        <v>0</v>
      </c>
      <c r="CK319" s="319">
        <f t="shared" si="133"/>
        <v>0</v>
      </c>
      <c r="CL319" s="319">
        <f t="shared" si="133"/>
        <v>0</v>
      </c>
      <c r="CM319" s="319">
        <f t="shared" si="133"/>
        <v>0</v>
      </c>
      <c r="CN319" s="319">
        <f t="shared" si="133"/>
        <v>0</v>
      </c>
      <c r="CO319" s="319">
        <f t="shared" si="133"/>
        <v>0</v>
      </c>
      <c r="CP319" s="319">
        <f t="shared" si="133"/>
        <v>0</v>
      </c>
      <c r="CQ319" s="319">
        <f t="shared" si="133"/>
        <v>0</v>
      </c>
      <c r="CR319" s="319">
        <f t="shared" si="133"/>
        <v>0</v>
      </c>
      <c r="CS319" s="319">
        <f t="shared" si="133"/>
        <v>0</v>
      </c>
      <c r="CT319" s="319">
        <f t="shared" si="133"/>
        <v>0</v>
      </c>
      <c r="CU319" s="319">
        <f t="shared" si="133"/>
        <v>0</v>
      </c>
      <c r="CV319" s="319">
        <f t="shared" si="133"/>
        <v>0</v>
      </c>
    </row>
    <row r="320" spans="1:100" x14ac:dyDescent="0.25">
      <c r="A320" s="319">
        <f t="shared" si="134"/>
        <v>0</v>
      </c>
      <c r="B320" s="319">
        <f t="shared" si="135"/>
        <v>0</v>
      </c>
      <c r="C320" s="340" t="s">
        <v>1138</v>
      </c>
      <c r="D320" s="341" t="s">
        <v>369</v>
      </c>
      <c r="E320" s="341">
        <v>2</v>
      </c>
      <c r="F320" s="341" t="str">
        <f>IF(AND(E320&lt;CharacterSheet!$V$34,G319="Yes"),"Yes","No")</f>
        <v>No</v>
      </c>
      <c r="G320" s="564" t="s">
        <v>347</v>
      </c>
      <c r="H320" s="333" t="str">
        <f>IF(C320="","",VLOOKUP(C320,Boonref2!A:B,2,FALSE))</f>
        <v>Yes</v>
      </c>
      <c r="I320" s="333"/>
      <c r="J320" s="333" t="str">
        <f>VLOOKUP(C320,BoonRef!A:Z,17,FALSE)</f>
        <v>No</v>
      </c>
      <c r="K320" s="333" t="str">
        <f>IF(J320="God",'House Rules'!$B$2,IF(J320="Demi",'House Rules'!$B$1,IF(J320="Comp",'House Rules'!$B$4,IF(J320="Yaz",'House Rules'!$B$5,IF(J320="Rag",'House Rules'!$B$3,"Available")))))</f>
        <v>Available</v>
      </c>
      <c r="L320" s="333"/>
      <c r="M320" s="333"/>
      <c r="BF320" s="319">
        <f t="shared" si="132"/>
        <v>0</v>
      </c>
      <c r="BG320" s="340" t="s">
        <v>1260</v>
      </c>
      <c r="BI320" s="319">
        <f t="shared" si="118"/>
        <v>0</v>
      </c>
      <c r="BJ320" s="319">
        <f t="shared" si="133"/>
        <v>0</v>
      </c>
      <c r="BK320" s="319">
        <f t="shared" si="133"/>
        <v>0</v>
      </c>
      <c r="BL320" s="319">
        <f t="shared" si="133"/>
        <v>0</v>
      </c>
      <c r="BM320" s="319">
        <f t="shared" si="133"/>
        <v>0</v>
      </c>
      <c r="BN320" s="319">
        <f t="shared" si="133"/>
        <v>0</v>
      </c>
      <c r="BO320" s="319">
        <f t="shared" si="133"/>
        <v>0</v>
      </c>
      <c r="BP320" s="319">
        <f t="shared" si="133"/>
        <v>0</v>
      </c>
      <c r="BQ320" s="319">
        <f t="shared" si="133"/>
        <v>0</v>
      </c>
      <c r="BR320" s="319">
        <f t="shared" si="133"/>
        <v>0</v>
      </c>
      <c r="BS320" s="319">
        <f t="shared" si="133"/>
        <v>0</v>
      </c>
      <c r="BT320" s="319">
        <f t="shared" si="133"/>
        <v>0</v>
      </c>
      <c r="BU320" s="319">
        <f t="shared" si="133"/>
        <v>0</v>
      </c>
      <c r="BV320" s="319">
        <f t="shared" si="133"/>
        <v>0</v>
      </c>
      <c r="BW320" s="319">
        <f t="shared" si="133"/>
        <v>0</v>
      </c>
      <c r="BX320" s="319">
        <f t="shared" si="133"/>
        <v>0</v>
      </c>
      <c r="BY320" s="319">
        <f t="shared" si="133"/>
        <v>0</v>
      </c>
      <c r="BZ320" s="319">
        <f t="shared" si="133"/>
        <v>0</v>
      </c>
      <c r="CA320" s="319">
        <f t="shared" si="133"/>
        <v>0</v>
      </c>
      <c r="CB320" s="319">
        <f t="shared" si="133"/>
        <v>0</v>
      </c>
      <c r="CC320" s="319">
        <f t="shared" si="133"/>
        <v>0</v>
      </c>
      <c r="CD320" s="319">
        <f t="shared" si="133"/>
        <v>0</v>
      </c>
      <c r="CE320" s="319">
        <f t="shared" si="133"/>
        <v>0</v>
      </c>
      <c r="CF320" s="319">
        <f t="shared" si="133"/>
        <v>0</v>
      </c>
      <c r="CG320" s="319">
        <f t="shared" si="133"/>
        <v>0</v>
      </c>
      <c r="CH320" s="319">
        <f t="shared" si="133"/>
        <v>0</v>
      </c>
      <c r="CI320" s="319">
        <f t="shared" si="133"/>
        <v>0</v>
      </c>
      <c r="CJ320" s="319">
        <f t="shared" si="133"/>
        <v>0</v>
      </c>
      <c r="CK320" s="319">
        <f t="shared" si="133"/>
        <v>0</v>
      </c>
      <c r="CL320" s="319">
        <f t="shared" si="133"/>
        <v>0</v>
      </c>
      <c r="CM320" s="319">
        <f t="shared" si="133"/>
        <v>0</v>
      </c>
      <c r="CN320" s="319">
        <f t="shared" si="133"/>
        <v>0</v>
      </c>
      <c r="CO320" s="319">
        <f t="shared" si="133"/>
        <v>0</v>
      </c>
      <c r="CP320" s="319">
        <f t="shared" si="133"/>
        <v>0</v>
      </c>
      <c r="CQ320" s="319">
        <f t="shared" si="133"/>
        <v>0</v>
      </c>
      <c r="CR320" s="319">
        <f t="shared" si="133"/>
        <v>0</v>
      </c>
      <c r="CS320" s="319">
        <f t="shared" si="133"/>
        <v>0</v>
      </c>
      <c r="CT320" s="319">
        <f t="shared" si="133"/>
        <v>0</v>
      </c>
      <c r="CU320" s="319">
        <f t="shared" si="133"/>
        <v>0</v>
      </c>
      <c r="CV320" s="319">
        <f t="shared" si="133"/>
        <v>0</v>
      </c>
    </row>
    <row r="321" spans="1:100" x14ac:dyDescent="0.25">
      <c r="A321" s="319">
        <f t="shared" si="134"/>
        <v>0</v>
      </c>
      <c r="B321" s="319">
        <f t="shared" si="135"/>
        <v>0</v>
      </c>
      <c r="C321" s="340" t="s">
        <v>1139</v>
      </c>
      <c r="D321" s="341" t="s">
        <v>369</v>
      </c>
      <c r="E321" s="341">
        <v>3</v>
      </c>
      <c r="F321" s="341" t="str">
        <f>IF(AND(E321&lt;CharacterSheet!$V$34,G320="Yes"),"Yes","No")</f>
        <v>No</v>
      </c>
      <c r="G321" s="564" t="s">
        <v>347</v>
      </c>
      <c r="H321" s="333" t="str">
        <f>IF(C321="","",VLOOKUP(C321,Boonref2!A:B,2,FALSE))</f>
        <v>Yes</v>
      </c>
      <c r="I321" s="333"/>
      <c r="J321" s="333" t="str">
        <f>VLOOKUP(C321,BoonRef!A:Z,17,FALSE)</f>
        <v>No</v>
      </c>
      <c r="K321" s="333" t="str">
        <f>IF(J321="God",'House Rules'!$B$2,IF(J321="Demi",'House Rules'!$B$1,IF(J321="Comp",'House Rules'!$B$4,IF(J321="Yaz",'House Rules'!$B$5,IF(J321="Rag",'House Rules'!$B$3,"Available")))))</f>
        <v>Available</v>
      </c>
      <c r="L321" s="333"/>
      <c r="M321" s="333"/>
      <c r="BF321" s="319">
        <f t="shared" si="132"/>
        <v>0</v>
      </c>
      <c r="BG321" s="340" t="s">
        <v>1261</v>
      </c>
      <c r="BI321" s="319">
        <f t="shared" si="118"/>
        <v>0</v>
      </c>
      <c r="BJ321" s="319">
        <f t="shared" si="133"/>
        <v>0</v>
      </c>
      <c r="BK321" s="319">
        <f t="shared" si="133"/>
        <v>0</v>
      </c>
      <c r="BL321" s="319">
        <f t="shared" si="133"/>
        <v>0</v>
      </c>
      <c r="BM321" s="319">
        <f t="shared" si="133"/>
        <v>0</v>
      </c>
      <c r="BN321" s="319">
        <f t="shared" si="133"/>
        <v>0</v>
      </c>
      <c r="BO321" s="319">
        <f t="shared" si="133"/>
        <v>0</v>
      </c>
      <c r="BP321" s="319">
        <f t="shared" si="133"/>
        <v>0</v>
      </c>
      <c r="BQ321" s="319">
        <f t="shared" si="133"/>
        <v>0</v>
      </c>
      <c r="BR321" s="319">
        <f t="shared" si="133"/>
        <v>0</v>
      </c>
      <c r="BS321" s="319">
        <f t="shared" si="133"/>
        <v>0</v>
      </c>
      <c r="BT321" s="319">
        <f t="shared" si="133"/>
        <v>0</v>
      </c>
      <c r="BU321" s="319">
        <f t="shared" si="133"/>
        <v>0</v>
      </c>
      <c r="BV321" s="319">
        <f t="shared" si="133"/>
        <v>0</v>
      </c>
      <c r="BW321" s="319">
        <f t="shared" si="133"/>
        <v>0</v>
      </c>
      <c r="BX321" s="319">
        <f t="shared" si="133"/>
        <v>0</v>
      </c>
      <c r="BY321" s="319">
        <f t="shared" si="133"/>
        <v>0</v>
      </c>
      <c r="BZ321" s="319">
        <f t="shared" si="133"/>
        <v>0</v>
      </c>
      <c r="CA321" s="319">
        <f t="shared" si="133"/>
        <v>0</v>
      </c>
      <c r="CB321" s="319">
        <f t="shared" si="133"/>
        <v>0</v>
      </c>
      <c r="CC321" s="319">
        <f t="shared" si="133"/>
        <v>0</v>
      </c>
      <c r="CD321" s="319">
        <f t="shared" si="133"/>
        <v>0</v>
      </c>
      <c r="CE321" s="319">
        <f t="shared" si="133"/>
        <v>0</v>
      </c>
      <c r="CF321" s="319">
        <f t="shared" si="133"/>
        <v>0</v>
      </c>
      <c r="CG321" s="319">
        <f t="shared" si="133"/>
        <v>0</v>
      </c>
      <c r="CH321" s="319">
        <f t="shared" si="133"/>
        <v>0</v>
      </c>
      <c r="CI321" s="319">
        <f t="shared" si="133"/>
        <v>0</v>
      </c>
      <c r="CJ321" s="319">
        <f t="shared" si="133"/>
        <v>0</v>
      </c>
      <c r="CK321" s="319">
        <f t="shared" si="133"/>
        <v>0</v>
      </c>
      <c r="CL321" s="319">
        <f t="shared" si="133"/>
        <v>0</v>
      </c>
      <c r="CM321" s="319">
        <f t="shared" si="133"/>
        <v>0</v>
      </c>
      <c r="CN321" s="319">
        <f t="shared" si="133"/>
        <v>0</v>
      </c>
      <c r="CO321" s="319">
        <f t="shared" si="133"/>
        <v>0</v>
      </c>
      <c r="CP321" s="319">
        <f t="shared" si="133"/>
        <v>0</v>
      </c>
      <c r="CQ321" s="319">
        <f t="shared" si="133"/>
        <v>0</v>
      </c>
      <c r="CR321" s="319">
        <f t="shared" si="133"/>
        <v>0</v>
      </c>
      <c r="CS321" s="319">
        <f t="shared" si="133"/>
        <v>0</v>
      </c>
      <c r="CT321" s="319">
        <f t="shared" si="133"/>
        <v>0</v>
      </c>
      <c r="CU321" s="319">
        <f t="shared" si="133"/>
        <v>0</v>
      </c>
      <c r="CV321" s="319">
        <f t="shared" si="133"/>
        <v>0</v>
      </c>
    </row>
    <row r="322" spans="1:100" ht="15.75" thickBot="1" x14ac:dyDescent="0.3">
      <c r="A322" s="319">
        <f t="shared" si="134"/>
        <v>0</v>
      </c>
      <c r="B322" s="319">
        <f t="shared" si="135"/>
        <v>0</v>
      </c>
      <c r="C322" s="340" t="s">
        <v>1235</v>
      </c>
      <c r="D322" s="341" t="s">
        <v>369</v>
      </c>
      <c r="E322" s="341">
        <v>4</v>
      </c>
      <c r="F322" s="341" t="str">
        <f>IF(AND(E322&lt;CharacterSheet!$V$34,'House Rules'!$B$1="Available",G321="Yes"),"Yes","No")</f>
        <v>No</v>
      </c>
      <c r="G322" s="564" t="s">
        <v>347</v>
      </c>
      <c r="H322" s="333" t="str">
        <f>IF(C322="","",VLOOKUP(C322,Boonref2!A:B,2,FALSE))</f>
        <v>Yes</v>
      </c>
      <c r="I322" s="333"/>
      <c r="J322" s="333" t="str">
        <f>VLOOKUP(C322,BoonRef!A:Z,17,FALSE)</f>
        <v>No</v>
      </c>
      <c r="K322" s="333" t="str">
        <f>IF(J322="God",'House Rules'!$B$2,IF(J322="Demi",'House Rules'!$B$1,IF(J322="Comp",'House Rules'!$B$4,IF(J322="Yaz",'House Rules'!$B$5,IF(J322="Rag",'House Rules'!$B$3,"Available")))))</f>
        <v>Available</v>
      </c>
      <c r="L322" s="333"/>
      <c r="M322" s="333"/>
      <c r="BF322" s="319">
        <f t="shared" si="132"/>
        <v>0</v>
      </c>
      <c r="BG322" s="352" t="s">
        <v>1262</v>
      </c>
      <c r="BI322" s="319">
        <f t="shared" si="118"/>
        <v>0</v>
      </c>
      <c r="BJ322" s="319">
        <f t="shared" si="133"/>
        <v>0</v>
      </c>
      <c r="BK322" s="319">
        <f t="shared" si="133"/>
        <v>0</v>
      </c>
      <c r="BL322" s="319">
        <f t="shared" si="133"/>
        <v>0</v>
      </c>
      <c r="BM322" s="319">
        <f t="shared" si="133"/>
        <v>0</v>
      </c>
      <c r="BN322" s="319">
        <f t="shared" si="133"/>
        <v>0</v>
      </c>
      <c r="BO322" s="319">
        <f t="shared" si="133"/>
        <v>0</v>
      </c>
      <c r="BP322" s="319">
        <f t="shared" si="133"/>
        <v>0</v>
      </c>
      <c r="BQ322" s="319">
        <f t="shared" si="133"/>
        <v>0</v>
      </c>
      <c r="BR322" s="319">
        <f t="shared" si="133"/>
        <v>0</v>
      </c>
      <c r="BS322" s="319">
        <f t="shared" si="133"/>
        <v>0</v>
      </c>
      <c r="BT322" s="319">
        <f t="shared" si="133"/>
        <v>0</v>
      </c>
      <c r="BU322" s="319">
        <f t="shared" si="133"/>
        <v>0</v>
      </c>
      <c r="BV322" s="319">
        <f t="shared" si="133"/>
        <v>0</v>
      </c>
      <c r="BW322" s="319">
        <f t="shared" si="133"/>
        <v>0</v>
      </c>
      <c r="BX322" s="319">
        <f t="shared" si="133"/>
        <v>0</v>
      </c>
      <c r="BY322" s="319">
        <f t="shared" si="133"/>
        <v>0</v>
      </c>
      <c r="BZ322" s="319">
        <f t="shared" si="133"/>
        <v>0</v>
      </c>
      <c r="CA322" s="319">
        <f t="shared" si="133"/>
        <v>0</v>
      </c>
      <c r="CB322" s="319">
        <f t="shared" si="133"/>
        <v>0</v>
      </c>
      <c r="CC322" s="319">
        <f t="shared" si="133"/>
        <v>0</v>
      </c>
      <c r="CD322" s="319">
        <f t="shared" si="133"/>
        <v>0</v>
      </c>
      <c r="CE322" s="319">
        <f t="shared" si="133"/>
        <v>0</v>
      </c>
      <c r="CF322" s="319">
        <f t="shared" si="133"/>
        <v>0</v>
      </c>
      <c r="CG322" s="319">
        <f t="shared" si="133"/>
        <v>0</v>
      </c>
      <c r="CH322" s="319">
        <f t="shared" si="133"/>
        <v>0</v>
      </c>
      <c r="CI322" s="319">
        <f t="shared" si="133"/>
        <v>0</v>
      </c>
      <c r="CJ322" s="319">
        <f t="shared" si="133"/>
        <v>0</v>
      </c>
      <c r="CK322" s="319">
        <f t="shared" si="133"/>
        <v>0</v>
      </c>
      <c r="CL322" s="319">
        <f t="shared" si="133"/>
        <v>0</v>
      </c>
      <c r="CM322" s="319">
        <f t="shared" si="133"/>
        <v>0</v>
      </c>
      <c r="CN322" s="319">
        <f t="shared" si="133"/>
        <v>0</v>
      </c>
      <c r="CO322" s="319">
        <f t="shared" si="133"/>
        <v>0</v>
      </c>
      <c r="CP322" s="319">
        <f t="shared" si="133"/>
        <v>0</v>
      </c>
      <c r="CQ322" s="319">
        <f t="shared" si="133"/>
        <v>0</v>
      </c>
      <c r="CR322" s="319">
        <f t="shared" si="133"/>
        <v>0</v>
      </c>
      <c r="CS322" s="319">
        <f t="shared" si="133"/>
        <v>0</v>
      </c>
      <c r="CT322" s="319">
        <f t="shared" si="133"/>
        <v>0</v>
      </c>
      <c r="CU322" s="319">
        <f t="shared" si="133"/>
        <v>0</v>
      </c>
      <c r="CV322" s="319">
        <f t="shared" si="133"/>
        <v>0</v>
      </c>
    </row>
    <row r="323" spans="1:100" x14ac:dyDescent="0.25">
      <c r="A323" s="319">
        <f t="shared" si="134"/>
        <v>0</v>
      </c>
      <c r="B323" s="319">
        <f t="shared" si="135"/>
        <v>0</v>
      </c>
      <c r="C323" s="340" t="s">
        <v>1236</v>
      </c>
      <c r="D323" s="341" t="s">
        <v>369</v>
      </c>
      <c r="E323" s="341">
        <v>5</v>
      </c>
      <c r="F323" s="341" t="str">
        <f>IF(AND(E323&lt;CharacterSheet!$V$34,'House Rules'!$B$1="Available",G322="Yes"),"Yes","No")</f>
        <v>No</v>
      </c>
      <c r="G323" s="564" t="s">
        <v>347</v>
      </c>
      <c r="H323" s="333" t="str">
        <f>IF(C323="","",VLOOKUP(C323,Boonref2!A:B,2,FALSE))</f>
        <v>Yes</v>
      </c>
      <c r="I323" s="333"/>
      <c r="J323" s="333" t="str">
        <f>VLOOKUP(C323,BoonRef!A:Z,17,FALSE)</f>
        <v>No</v>
      </c>
      <c r="K323" s="333" t="str">
        <f>IF(J323="God",'House Rules'!$B$2,IF(J323="Demi",'House Rules'!$B$1,IF(J323="Comp",'House Rules'!$B$4,IF(J323="Yaz",'House Rules'!$B$5,IF(J323="Rag",'House Rules'!$B$3,"Available")))))</f>
        <v>Available</v>
      </c>
      <c r="L323" s="333"/>
      <c r="M323" s="333"/>
      <c r="BF323" s="319">
        <f t="shared" si="132"/>
        <v>0</v>
      </c>
      <c r="BG323" s="330" t="s">
        <v>1079</v>
      </c>
      <c r="BI323" s="319">
        <f t="shared" ref="BI323:BX386" si="136">IF(AND($D323=BI$1,$G323="Yes"),$E323,0)</f>
        <v>0</v>
      </c>
      <c r="BJ323" s="319">
        <f t="shared" si="136"/>
        <v>0</v>
      </c>
      <c r="BK323" s="319">
        <f t="shared" si="136"/>
        <v>0</v>
      </c>
      <c r="BL323" s="319">
        <f t="shared" si="136"/>
        <v>0</v>
      </c>
      <c r="BM323" s="319">
        <f t="shared" si="136"/>
        <v>0</v>
      </c>
      <c r="BN323" s="319">
        <f t="shared" si="136"/>
        <v>0</v>
      </c>
      <c r="BO323" s="319">
        <f t="shared" si="136"/>
        <v>0</v>
      </c>
      <c r="BP323" s="319">
        <f t="shared" si="136"/>
        <v>0</v>
      </c>
      <c r="BQ323" s="319">
        <f t="shared" si="136"/>
        <v>0</v>
      </c>
      <c r="BR323" s="319">
        <f t="shared" si="136"/>
        <v>0</v>
      </c>
      <c r="BS323" s="319">
        <f t="shared" si="136"/>
        <v>0</v>
      </c>
      <c r="BT323" s="319">
        <f t="shared" si="136"/>
        <v>0</v>
      </c>
      <c r="BU323" s="319">
        <f t="shared" si="136"/>
        <v>0</v>
      </c>
      <c r="BV323" s="319">
        <f t="shared" si="136"/>
        <v>0</v>
      </c>
      <c r="BW323" s="319">
        <f t="shared" si="136"/>
        <v>0</v>
      </c>
      <c r="BX323" s="319">
        <f t="shared" si="136"/>
        <v>0</v>
      </c>
      <c r="BY323" s="319">
        <f t="shared" si="133"/>
        <v>0</v>
      </c>
      <c r="BZ323" s="319">
        <f t="shared" si="133"/>
        <v>0</v>
      </c>
      <c r="CA323" s="319">
        <f t="shared" si="133"/>
        <v>0</v>
      </c>
      <c r="CB323" s="319">
        <f t="shared" si="133"/>
        <v>0</v>
      </c>
      <c r="CC323" s="319">
        <f t="shared" si="133"/>
        <v>0</v>
      </c>
      <c r="CD323" s="319">
        <f t="shared" si="133"/>
        <v>0</v>
      </c>
      <c r="CE323" s="319">
        <f t="shared" si="133"/>
        <v>0</v>
      </c>
      <c r="CF323" s="319">
        <f t="shared" si="133"/>
        <v>0</v>
      </c>
      <c r="CG323" s="319">
        <f t="shared" si="133"/>
        <v>0</v>
      </c>
      <c r="CH323" s="319">
        <f t="shared" si="133"/>
        <v>0</v>
      </c>
      <c r="CI323" s="319">
        <f t="shared" si="133"/>
        <v>0</v>
      </c>
      <c r="CJ323" s="319">
        <f t="shared" si="133"/>
        <v>0</v>
      </c>
      <c r="CK323" s="319">
        <f t="shared" si="133"/>
        <v>0</v>
      </c>
      <c r="CL323" s="319">
        <f t="shared" si="133"/>
        <v>0</v>
      </c>
      <c r="CM323" s="319">
        <f t="shared" si="133"/>
        <v>0</v>
      </c>
      <c r="CN323" s="319">
        <f t="shared" si="133"/>
        <v>0</v>
      </c>
      <c r="CO323" s="319">
        <f t="shared" si="133"/>
        <v>0</v>
      </c>
      <c r="CP323" s="319">
        <f t="shared" si="133"/>
        <v>0</v>
      </c>
      <c r="CQ323" s="319">
        <f t="shared" si="133"/>
        <v>0</v>
      </c>
      <c r="CR323" s="319">
        <f t="shared" si="133"/>
        <v>0</v>
      </c>
      <c r="CS323" s="319">
        <f t="shared" si="133"/>
        <v>0</v>
      </c>
      <c r="CT323" s="319">
        <f t="shared" si="133"/>
        <v>0</v>
      </c>
      <c r="CU323" s="319">
        <f t="shared" si="133"/>
        <v>0</v>
      </c>
      <c r="CV323" s="319">
        <f t="shared" si="133"/>
        <v>0</v>
      </c>
    </row>
    <row r="324" spans="1:100" x14ac:dyDescent="0.25">
      <c r="A324" s="319">
        <f t="shared" si="134"/>
        <v>0</v>
      </c>
      <c r="B324" s="319">
        <f t="shared" si="135"/>
        <v>0</v>
      </c>
      <c r="C324" s="340" t="s">
        <v>1237</v>
      </c>
      <c r="D324" s="341" t="s">
        <v>369</v>
      </c>
      <c r="E324" s="341">
        <v>6</v>
      </c>
      <c r="F324" s="341" t="str">
        <f>IF(AND(E324&lt;CharacterSheet!$V$34,'House Rules'!$B$1="Available",G323="Yes"),"Yes","No")</f>
        <v>No</v>
      </c>
      <c r="G324" s="564" t="s">
        <v>347</v>
      </c>
      <c r="H324" s="333" t="str">
        <f>IF(C324="","",VLOOKUP(C324,Boonref2!A:B,2,FALSE))</f>
        <v>Yes</v>
      </c>
      <c r="I324" s="333"/>
      <c r="J324" s="333" t="str">
        <f>VLOOKUP(C324,BoonRef!A:Z,17,FALSE)</f>
        <v>No</v>
      </c>
      <c r="K324" s="333" t="str">
        <f>IF(J324="God",'House Rules'!$B$2,IF(J324="Demi",'House Rules'!$B$1,IF(J324="Comp",'House Rules'!$B$4,IF(J324="Yaz",'House Rules'!$B$5,IF(J324="Rag",'House Rules'!$B$3,"Available")))))</f>
        <v>Available</v>
      </c>
      <c r="L324" s="333"/>
      <c r="M324" s="333"/>
      <c r="BF324" s="319">
        <f t="shared" si="132"/>
        <v>0</v>
      </c>
      <c r="BG324" s="340" t="s">
        <v>1080</v>
      </c>
      <c r="BI324" s="319">
        <f t="shared" si="136"/>
        <v>0</v>
      </c>
      <c r="BJ324" s="319">
        <f t="shared" si="133"/>
        <v>0</v>
      </c>
      <c r="BK324" s="319">
        <f t="shared" si="133"/>
        <v>0</v>
      </c>
      <c r="BL324" s="319">
        <f t="shared" si="133"/>
        <v>0</v>
      </c>
      <c r="BM324" s="319">
        <f t="shared" si="133"/>
        <v>0</v>
      </c>
      <c r="BN324" s="319">
        <f t="shared" si="133"/>
        <v>0</v>
      </c>
      <c r="BO324" s="319">
        <f t="shared" si="133"/>
        <v>0</v>
      </c>
      <c r="BP324" s="319">
        <f t="shared" si="133"/>
        <v>0</v>
      </c>
      <c r="BQ324" s="319">
        <f t="shared" si="133"/>
        <v>0</v>
      </c>
      <c r="BR324" s="319">
        <f t="shared" si="133"/>
        <v>0</v>
      </c>
      <c r="BS324" s="319">
        <f t="shared" si="133"/>
        <v>0</v>
      </c>
      <c r="BT324" s="319">
        <f t="shared" si="133"/>
        <v>0</v>
      </c>
      <c r="BU324" s="319">
        <f t="shared" si="133"/>
        <v>0</v>
      </c>
      <c r="BV324" s="319">
        <f t="shared" si="133"/>
        <v>0</v>
      </c>
      <c r="BW324" s="319">
        <f t="shared" si="133"/>
        <v>0</v>
      </c>
      <c r="BX324" s="319">
        <f t="shared" si="133"/>
        <v>0</v>
      </c>
      <c r="BY324" s="319">
        <f t="shared" si="133"/>
        <v>0</v>
      </c>
      <c r="BZ324" s="319">
        <f t="shared" si="133"/>
        <v>0</v>
      </c>
      <c r="CA324" s="319">
        <f t="shared" si="133"/>
        <v>0</v>
      </c>
      <c r="CB324" s="319">
        <f t="shared" si="133"/>
        <v>0</v>
      </c>
      <c r="CC324" s="319">
        <f t="shared" si="133"/>
        <v>0</v>
      </c>
      <c r="CD324" s="319">
        <f t="shared" si="133"/>
        <v>0</v>
      </c>
      <c r="CE324" s="319">
        <f t="shared" si="133"/>
        <v>0</v>
      </c>
      <c r="CF324" s="319">
        <f t="shared" si="133"/>
        <v>0</v>
      </c>
      <c r="CG324" s="319">
        <f t="shared" si="133"/>
        <v>0</v>
      </c>
      <c r="CH324" s="319">
        <f t="shared" si="133"/>
        <v>0</v>
      </c>
      <c r="CI324" s="319">
        <f t="shared" si="133"/>
        <v>0</v>
      </c>
      <c r="CJ324" s="319">
        <f t="shared" si="133"/>
        <v>0</v>
      </c>
      <c r="CK324" s="319">
        <f t="shared" si="133"/>
        <v>0</v>
      </c>
      <c r="CL324" s="319">
        <f t="shared" si="133"/>
        <v>0</v>
      </c>
      <c r="CM324" s="319">
        <f t="shared" si="133"/>
        <v>0</v>
      </c>
      <c r="CN324" s="319">
        <f t="shared" si="133"/>
        <v>0</v>
      </c>
      <c r="CO324" s="319">
        <f t="shared" si="133"/>
        <v>0</v>
      </c>
      <c r="CP324" s="319">
        <f t="shared" si="133"/>
        <v>0</v>
      </c>
      <c r="CQ324" s="319">
        <f t="shared" si="133"/>
        <v>0</v>
      </c>
      <c r="CR324" s="319">
        <f t="shared" si="133"/>
        <v>0</v>
      </c>
      <c r="CS324" s="319">
        <f t="shared" si="133"/>
        <v>0</v>
      </c>
      <c r="CT324" s="319">
        <f t="shared" si="133"/>
        <v>0</v>
      </c>
      <c r="CU324" s="319">
        <f t="shared" si="133"/>
        <v>0</v>
      </c>
      <c r="CV324" s="319">
        <f t="shared" si="133"/>
        <v>0</v>
      </c>
    </row>
    <row r="325" spans="1:100" x14ac:dyDescent="0.25">
      <c r="A325" s="319">
        <f t="shared" si="134"/>
        <v>0</v>
      </c>
      <c r="B325" s="319">
        <f t="shared" si="135"/>
        <v>0</v>
      </c>
      <c r="C325" s="340" t="s">
        <v>1238</v>
      </c>
      <c r="D325" s="341" t="s">
        <v>369</v>
      </c>
      <c r="E325" s="341">
        <v>7</v>
      </c>
      <c r="F325" s="341" t="str">
        <f>IF(AND(E325&lt;CharacterSheet!$V$34,'House Rules'!$B$1="Available",G324="Yes"),"Yes","No")</f>
        <v>No</v>
      </c>
      <c r="G325" s="564" t="s">
        <v>347</v>
      </c>
      <c r="H325" s="333" t="str">
        <f>IF(C325="","",VLOOKUP(C325,Boonref2!A:B,2,FALSE))</f>
        <v>Yes</v>
      </c>
      <c r="I325" s="333"/>
      <c r="J325" s="333" t="str">
        <f>VLOOKUP(C325,BoonRef!A:Z,17,FALSE)</f>
        <v>No</v>
      </c>
      <c r="K325" s="333" t="str">
        <f>IF(J325="God",'House Rules'!$B$2,IF(J325="Demi",'House Rules'!$B$1,IF(J325="Comp",'House Rules'!$B$4,IF(J325="Yaz",'House Rules'!$B$5,IF(J325="Rag",'House Rules'!$B$3,"Available")))))</f>
        <v>Available</v>
      </c>
      <c r="L325" s="333"/>
      <c r="M325" s="333"/>
      <c r="BF325" s="319">
        <f t="shared" si="132"/>
        <v>0</v>
      </c>
      <c r="BG325" s="340" t="s">
        <v>1389</v>
      </c>
      <c r="BI325" s="319">
        <f t="shared" si="136"/>
        <v>0</v>
      </c>
      <c r="BJ325" s="319">
        <f t="shared" si="133"/>
        <v>0</v>
      </c>
      <c r="BK325" s="319">
        <f t="shared" si="133"/>
        <v>0</v>
      </c>
      <c r="BL325" s="319">
        <f t="shared" si="133"/>
        <v>0</v>
      </c>
      <c r="BM325" s="319">
        <f t="shared" si="133"/>
        <v>0</v>
      </c>
      <c r="BN325" s="319">
        <f t="shared" si="133"/>
        <v>0</v>
      </c>
      <c r="BO325" s="319">
        <f t="shared" si="133"/>
        <v>0</v>
      </c>
      <c r="BP325" s="319">
        <f t="shared" ref="BJ325:CV331" si="137">IF(AND($D325=BP$1,$G325="Yes"),$E325,0)</f>
        <v>0</v>
      </c>
      <c r="BQ325" s="319">
        <f t="shared" si="137"/>
        <v>0</v>
      </c>
      <c r="BR325" s="319">
        <f t="shared" si="137"/>
        <v>0</v>
      </c>
      <c r="BS325" s="319">
        <f t="shared" si="137"/>
        <v>0</v>
      </c>
      <c r="BT325" s="319">
        <f t="shared" si="137"/>
        <v>0</v>
      </c>
      <c r="BU325" s="319">
        <f t="shared" si="137"/>
        <v>0</v>
      </c>
      <c r="BV325" s="319">
        <f t="shared" si="137"/>
        <v>0</v>
      </c>
      <c r="BW325" s="319">
        <f t="shared" si="137"/>
        <v>0</v>
      </c>
      <c r="BX325" s="319">
        <f t="shared" si="137"/>
        <v>0</v>
      </c>
      <c r="BY325" s="319">
        <f t="shared" si="137"/>
        <v>0</v>
      </c>
      <c r="BZ325" s="319">
        <f t="shared" si="137"/>
        <v>0</v>
      </c>
      <c r="CA325" s="319">
        <f t="shared" si="137"/>
        <v>0</v>
      </c>
      <c r="CB325" s="319">
        <f t="shared" si="137"/>
        <v>0</v>
      </c>
      <c r="CC325" s="319">
        <f t="shared" si="137"/>
        <v>0</v>
      </c>
      <c r="CD325" s="319">
        <f t="shared" si="137"/>
        <v>0</v>
      </c>
      <c r="CE325" s="319">
        <f t="shared" si="137"/>
        <v>0</v>
      </c>
      <c r="CF325" s="319">
        <f t="shared" si="137"/>
        <v>0</v>
      </c>
      <c r="CG325" s="319">
        <f t="shared" si="137"/>
        <v>0</v>
      </c>
      <c r="CH325" s="319">
        <f t="shared" si="137"/>
        <v>0</v>
      </c>
      <c r="CI325" s="319">
        <f t="shared" si="137"/>
        <v>0</v>
      </c>
      <c r="CJ325" s="319">
        <f t="shared" si="137"/>
        <v>0</v>
      </c>
      <c r="CK325" s="319">
        <f t="shared" si="137"/>
        <v>0</v>
      </c>
      <c r="CL325" s="319">
        <f t="shared" si="137"/>
        <v>0</v>
      </c>
      <c r="CM325" s="319">
        <f t="shared" si="137"/>
        <v>0</v>
      </c>
      <c r="CN325" s="319">
        <f t="shared" si="137"/>
        <v>0</v>
      </c>
      <c r="CO325" s="319">
        <f t="shared" si="137"/>
        <v>0</v>
      </c>
      <c r="CP325" s="319">
        <f t="shared" si="137"/>
        <v>0</v>
      </c>
      <c r="CQ325" s="319">
        <f t="shared" si="137"/>
        <v>0</v>
      </c>
      <c r="CR325" s="319">
        <f t="shared" si="137"/>
        <v>0</v>
      </c>
      <c r="CS325" s="319">
        <f t="shared" si="137"/>
        <v>0</v>
      </c>
      <c r="CT325" s="319">
        <f t="shared" si="137"/>
        <v>0</v>
      </c>
      <c r="CU325" s="319">
        <f t="shared" si="137"/>
        <v>0</v>
      </c>
      <c r="CV325" s="319">
        <f t="shared" si="137"/>
        <v>0</v>
      </c>
    </row>
    <row r="326" spans="1:100" x14ac:dyDescent="0.25">
      <c r="A326" s="319">
        <f t="shared" si="134"/>
        <v>0</v>
      </c>
      <c r="B326" s="319">
        <f t="shared" si="135"/>
        <v>0</v>
      </c>
      <c r="C326" s="340" t="s">
        <v>1328</v>
      </c>
      <c r="D326" s="341" t="s">
        <v>369</v>
      </c>
      <c r="E326" s="341">
        <v>8</v>
      </c>
      <c r="F326" s="341" t="str">
        <f>IF(AND(E326&lt;CharacterSheet!$V$34,'House Rules'!$B$2="available",G325="Yes"),"Yes","No")</f>
        <v>No</v>
      </c>
      <c r="G326" s="564" t="s">
        <v>347</v>
      </c>
      <c r="H326" s="333" t="str">
        <f>IF(C326="","",VLOOKUP(C326,Boonref2!A:B,2,FALSE))</f>
        <v>Yes</v>
      </c>
      <c r="I326" s="333"/>
      <c r="J326" s="333" t="str">
        <f>VLOOKUP(C326,BoonRef!A:Z,17,FALSE)</f>
        <v>No</v>
      </c>
      <c r="K326" s="333" t="str">
        <f>IF(J326="God",'House Rules'!$B$2,IF(J326="Demi",'House Rules'!$B$1,IF(J326="Comp",'House Rules'!$B$4,IF(J326="Yaz",'House Rules'!$B$5,IF(J326="Rag",'House Rules'!$B$3,"Available")))))</f>
        <v>Available</v>
      </c>
      <c r="L326" s="333"/>
      <c r="M326" s="333"/>
      <c r="BF326" s="319">
        <f t="shared" si="132"/>
        <v>0</v>
      </c>
      <c r="BG326" s="340" t="s">
        <v>1081</v>
      </c>
      <c r="BI326" s="319">
        <f t="shared" si="136"/>
        <v>0</v>
      </c>
      <c r="BJ326" s="319">
        <f t="shared" si="137"/>
        <v>0</v>
      </c>
      <c r="BK326" s="319">
        <f t="shared" si="137"/>
        <v>0</v>
      </c>
      <c r="BL326" s="319">
        <f t="shared" si="137"/>
        <v>0</v>
      </c>
      <c r="BM326" s="319">
        <f t="shared" si="137"/>
        <v>0</v>
      </c>
      <c r="BN326" s="319">
        <f t="shared" si="137"/>
        <v>0</v>
      </c>
      <c r="BO326" s="319">
        <f t="shared" si="137"/>
        <v>0</v>
      </c>
      <c r="BP326" s="319">
        <f t="shared" si="137"/>
        <v>0</v>
      </c>
      <c r="BQ326" s="319">
        <f t="shared" si="137"/>
        <v>0</v>
      </c>
      <c r="BR326" s="319">
        <f t="shared" si="137"/>
        <v>0</v>
      </c>
      <c r="BS326" s="319">
        <f t="shared" si="137"/>
        <v>0</v>
      </c>
      <c r="BT326" s="319">
        <f t="shared" si="137"/>
        <v>0</v>
      </c>
      <c r="BU326" s="319">
        <f t="shared" si="137"/>
        <v>0</v>
      </c>
      <c r="BV326" s="319">
        <f t="shared" si="137"/>
        <v>0</v>
      </c>
      <c r="BW326" s="319">
        <f t="shared" si="137"/>
        <v>0</v>
      </c>
      <c r="BX326" s="319">
        <f t="shared" si="137"/>
        <v>0</v>
      </c>
      <c r="BY326" s="319">
        <f t="shared" si="137"/>
        <v>0</v>
      </c>
      <c r="BZ326" s="319">
        <f t="shared" si="137"/>
        <v>0</v>
      </c>
      <c r="CA326" s="319">
        <f t="shared" si="137"/>
        <v>0</v>
      </c>
      <c r="CB326" s="319">
        <f t="shared" si="137"/>
        <v>0</v>
      </c>
      <c r="CC326" s="319">
        <f t="shared" si="137"/>
        <v>0</v>
      </c>
      <c r="CD326" s="319">
        <f t="shared" si="137"/>
        <v>0</v>
      </c>
      <c r="CE326" s="319">
        <f t="shared" si="137"/>
        <v>0</v>
      </c>
      <c r="CF326" s="319">
        <f t="shared" si="137"/>
        <v>0</v>
      </c>
      <c r="CG326" s="319">
        <f t="shared" si="137"/>
        <v>0</v>
      </c>
      <c r="CH326" s="319">
        <f t="shared" si="137"/>
        <v>0</v>
      </c>
      <c r="CI326" s="319">
        <f t="shared" si="137"/>
        <v>0</v>
      </c>
      <c r="CJ326" s="319">
        <f t="shared" si="137"/>
        <v>0</v>
      </c>
      <c r="CK326" s="319">
        <f t="shared" si="137"/>
        <v>0</v>
      </c>
      <c r="CL326" s="319">
        <f t="shared" si="137"/>
        <v>0</v>
      </c>
      <c r="CM326" s="319">
        <f t="shared" si="137"/>
        <v>0</v>
      </c>
      <c r="CN326" s="319">
        <f t="shared" si="137"/>
        <v>0</v>
      </c>
      <c r="CO326" s="319">
        <f t="shared" si="137"/>
        <v>0</v>
      </c>
      <c r="CP326" s="319">
        <f t="shared" si="137"/>
        <v>0</v>
      </c>
      <c r="CQ326" s="319">
        <f t="shared" si="137"/>
        <v>0</v>
      </c>
      <c r="CR326" s="319">
        <f t="shared" si="137"/>
        <v>0</v>
      </c>
      <c r="CS326" s="319">
        <f t="shared" si="137"/>
        <v>0</v>
      </c>
      <c r="CT326" s="319">
        <f t="shared" si="137"/>
        <v>0</v>
      </c>
      <c r="CU326" s="319">
        <f t="shared" si="137"/>
        <v>0</v>
      </c>
      <c r="CV326" s="319">
        <f t="shared" si="137"/>
        <v>0</v>
      </c>
    </row>
    <row r="327" spans="1:100" x14ac:dyDescent="0.25">
      <c r="A327" s="319">
        <f t="shared" si="134"/>
        <v>0</v>
      </c>
      <c r="B327" s="319">
        <f t="shared" si="135"/>
        <v>0</v>
      </c>
      <c r="C327" s="340" t="s">
        <v>1329</v>
      </c>
      <c r="D327" s="341" t="s">
        <v>369</v>
      </c>
      <c r="E327" s="341">
        <v>9</v>
      </c>
      <c r="F327" s="341" t="str">
        <f>IF(AND(E327&lt;CharacterSheet!$V$34,'House Rules'!$B$2="available",G326="Yes"),"Yes","No")</f>
        <v>No</v>
      </c>
      <c r="G327" s="564" t="s">
        <v>347</v>
      </c>
      <c r="H327" s="333" t="str">
        <f>IF(C327="","",VLOOKUP(C327,Boonref2!A:B,2,FALSE))</f>
        <v>Yes</v>
      </c>
      <c r="I327" s="333"/>
      <c r="J327" s="333" t="str">
        <f>VLOOKUP(C327,BoonRef!A:Z,17,FALSE)</f>
        <v>No</v>
      </c>
      <c r="K327" s="333" t="str">
        <f>IF(J327="God",'House Rules'!$B$2,IF(J327="Demi",'House Rules'!$B$1,IF(J327="Comp",'House Rules'!$B$4,IF(J327="Yaz",'House Rules'!$B$5,IF(J327="Rag",'House Rules'!$B$3,"Available")))))</f>
        <v>Available</v>
      </c>
      <c r="L327" s="333"/>
      <c r="M327" s="333"/>
      <c r="BF327" s="319">
        <f t="shared" si="132"/>
        <v>0</v>
      </c>
      <c r="BG327" s="340" t="s">
        <v>1390</v>
      </c>
      <c r="BI327" s="319">
        <f t="shared" si="136"/>
        <v>0</v>
      </c>
      <c r="BJ327" s="319">
        <f t="shared" si="137"/>
        <v>0</v>
      </c>
      <c r="BK327" s="319">
        <f t="shared" si="137"/>
        <v>0</v>
      </c>
      <c r="BL327" s="319">
        <f t="shared" si="137"/>
        <v>0</v>
      </c>
      <c r="BM327" s="319">
        <f t="shared" si="137"/>
        <v>0</v>
      </c>
      <c r="BN327" s="319">
        <f t="shared" si="137"/>
        <v>0</v>
      </c>
      <c r="BO327" s="319">
        <f t="shared" si="137"/>
        <v>0</v>
      </c>
      <c r="BP327" s="319">
        <f t="shared" si="137"/>
        <v>0</v>
      </c>
      <c r="BQ327" s="319">
        <f t="shared" si="137"/>
        <v>0</v>
      </c>
      <c r="BR327" s="319">
        <f t="shared" si="137"/>
        <v>0</v>
      </c>
      <c r="BS327" s="319">
        <f t="shared" si="137"/>
        <v>0</v>
      </c>
      <c r="BT327" s="319">
        <f t="shared" si="137"/>
        <v>0</v>
      </c>
      <c r="BU327" s="319">
        <f t="shared" si="137"/>
        <v>0</v>
      </c>
      <c r="BV327" s="319">
        <f t="shared" si="137"/>
        <v>0</v>
      </c>
      <c r="BW327" s="319">
        <f t="shared" si="137"/>
        <v>0</v>
      </c>
      <c r="BX327" s="319">
        <f t="shared" si="137"/>
        <v>0</v>
      </c>
      <c r="BY327" s="319">
        <f t="shared" si="137"/>
        <v>0</v>
      </c>
      <c r="BZ327" s="319">
        <f t="shared" si="137"/>
        <v>0</v>
      </c>
      <c r="CA327" s="319">
        <f t="shared" si="137"/>
        <v>0</v>
      </c>
      <c r="CB327" s="319">
        <f t="shared" si="137"/>
        <v>0</v>
      </c>
      <c r="CC327" s="319">
        <f t="shared" si="137"/>
        <v>0</v>
      </c>
      <c r="CD327" s="319">
        <f t="shared" si="137"/>
        <v>0</v>
      </c>
      <c r="CE327" s="319">
        <f t="shared" si="137"/>
        <v>0</v>
      </c>
      <c r="CF327" s="319">
        <f t="shared" si="137"/>
        <v>0</v>
      </c>
      <c r="CG327" s="319">
        <f t="shared" si="137"/>
        <v>0</v>
      </c>
      <c r="CH327" s="319">
        <f t="shared" si="137"/>
        <v>0</v>
      </c>
      <c r="CI327" s="319">
        <f t="shared" si="137"/>
        <v>0</v>
      </c>
      <c r="CJ327" s="319">
        <f t="shared" si="137"/>
        <v>0</v>
      </c>
      <c r="CK327" s="319">
        <f t="shared" si="137"/>
        <v>0</v>
      </c>
      <c r="CL327" s="319">
        <f t="shared" si="137"/>
        <v>0</v>
      </c>
      <c r="CM327" s="319">
        <f t="shared" si="137"/>
        <v>0</v>
      </c>
      <c r="CN327" s="319">
        <f t="shared" si="137"/>
        <v>0</v>
      </c>
      <c r="CO327" s="319">
        <f t="shared" si="137"/>
        <v>0</v>
      </c>
      <c r="CP327" s="319">
        <f t="shared" si="137"/>
        <v>0</v>
      </c>
      <c r="CQ327" s="319">
        <f t="shared" si="137"/>
        <v>0</v>
      </c>
      <c r="CR327" s="319">
        <f t="shared" si="137"/>
        <v>0</v>
      </c>
      <c r="CS327" s="319">
        <f t="shared" si="137"/>
        <v>0</v>
      </c>
      <c r="CT327" s="319">
        <f t="shared" si="137"/>
        <v>0</v>
      </c>
      <c r="CU327" s="319">
        <f t="shared" si="137"/>
        <v>0</v>
      </c>
      <c r="CV327" s="319">
        <f t="shared" si="137"/>
        <v>0</v>
      </c>
    </row>
    <row r="328" spans="1:100" x14ac:dyDescent="0.25">
      <c r="A328" s="319">
        <f t="shared" si="134"/>
        <v>0</v>
      </c>
      <c r="B328" s="319">
        <f>IF(G328="Yes",B327+1,B327)</f>
        <v>0</v>
      </c>
      <c r="C328" s="340" t="s">
        <v>1330</v>
      </c>
      <c r="D328" s="341" t="s">
        <v>369</v>
      </c>
      <c r="E328" s="341">
        <v>10</v>
      </c>
      <c r="F328" s="341" t="str">
        <f>IF(AND(E328&lt;CharacterSheet!$V$34,'House Rules'!$B$2="available",G327="Yes"),"Yes","No")</f>
        <v>No</v>
      </c>
      <c r="G328" s="564" t="s">
        <v>347</v>
      </c>
      <c r="H328" s="333" t="str">
        <f>IF(C328="","",VLOOKUP(C328,Boonref2!A:B,2,FALSE))</f>
        <v>Yes</v>
      </c>
      <c r="I328" s="333"/>
      <c r="J328" s="333" t="str">
        <f>VLOOKUP(C328,BoonRef!A:Z,17,FALSE)</f>
        <v>No</v>
      </c>
      <c r="K328" s="333" t="str">
        <f>IF(J328="God",'House Rules'!$B$2,IF(J328="Demi",'House Rules'!$B$1,IF(J328="Comp",'House Rules'!$B$4,IF(J328="Yaz",'House Rules'!$B$5,IF(J328="Rag",'House Rules'!$B$3,"Available")))))</f>
        <v>Available</v>
      </c>
      <c r="L328" s="333"/>
      <c r="M328" s="333"/>
      <c r="BF328" s="319">
        <f t="shared" si="132"/>
        <v>0</v>
      </c>
      <c r="BG328" s="340" t="s">
        <v>1163</v>
      </c>
      <c r="BI328" s="319">
        <f t="shared" si="136"/>
        <v>0</v>
      </c>
      <c r="BJ328" s="319">
        <f t="shared" si="137"/>
        <v>0</v>
      </c>
      <c r="BK328" s="319">
        <f t="shared" si="137"/>
        <v>0</v>
      </c>
      <c r="BL328" s="319">
        <f t="shared" si="137"/>
        <v>0</v>
      </c>
      <c r="BM328" s="319">
        <f t="shared" si="137"/>
        <v>0</v>
      </c>
      <c r="BN328" s="319">
        <f t="shared" si="137"/>
        <v>0</v>
      </c>
      <c r="BO328" s="319">
        <f t="shared" si="137"/>
        <v>0</v>
      </c>
      <c r="BP328" s="319">
        <f t="shared" si="137"/>
        <v>0</v>
      </c>
      <c r="BQ328" s="319">
        <f t="shared" si="137"/>
        <v>0</v>
      </c>
      <c r="BR328" s="319">
        <f t="shared" si="137"/>
        <v>0</v>
      </c>
      <c r="BS328" s="319">
        <f t="shared" si="137"/>
        <v>0</v>
      </c>
      <c r="BT328" s="319">
        <f t="shared" si="137"/>
        <v>0</v>
      </c>
      <c r="BU328" s="319">
        <f t="shared" si="137"/>
        <v>0</v>
      </c>
      <c r="BV328" s="319">
        <f t="shared" si="137"/>
        <v>0</v>
      </c>
      <c r="BW328" s="319">
        <f t="shared" si="137"/>
        <v>0</v>
      </c>
      <c r="BX328" s="319">
        <f t="shared" si="137"/>
        <v>0</v>
      </c>
      <c r="BY328" s="319">
        <f t="shared" si="137"/>
        <v>0</v>
      </c>
      <c r="BZ328" s="319">
        <f t="shared" si="137"/>
        <v>0</v>
      </c>
      <c r="CA328" s="319">
        <f t="shared" si="137"/>
        <v>0</v>
      </c>
      <c r="CB328" s="319">
        <f t="shared" si="137"/>
        <v>0</v>
      </c>
      <c r="CC328" s="319">
        <f t="shared" si="137"/>
        <v>0</v>
      </c>
      <c r="CD328" s="319">
        <f t="shared" si="137"/>
        <v>0</v>
      </c>
      <c r="CE328" s="319">
        <f t="shared" si="137"/>
        <v>0</v>
      </c>
      <c r="CF328" s="319">
        <f t="shared" si="137"/>
        <v>0</v>
      </c>
      <c r="CG328" s="319">
        <f t="shared" si="137"/>
        <v>0</v>
      </c>
      <c r="CH328" s="319">
        <f t="shared" si="137"/>
        <v>0</v>
      </c>
      <c r="CI328" s="319">
        <f t="shared" si="137"/>
        <v>0</v>
      </c>
      <c r="CJ328" s="319">
        <f t="shared" si="137"/>
        <v>0</v>
      </c>
      <c r="CK328" s="319">
        <f t="shared" si="137"/>
        <v>0</v>
      </c>
      <c r="CL328" s="319">
        <f t="shared" si="137"/>
        <v>0</v>
      </c>
      <c r="CM328" s="319">
        <f t="shared" si="137"/>
        <v>0</v>
      </c>
      <c r="CN328" s="319">
        <f t="shared" si="137"/>
        <v>0</v>
      </c>
      <c r="CO328" s="319">
        <f t="shared" si="137"/>
        <v>0</v>
      </c>
      <c r="CP328" s="319">
        <f t="shared" si="137"/>
        <v>0</v>
      </c>
      <c r="CQ328" s="319">
        <f t="shared" si="137"/>
        <v>0</v>
      </c>
      <c r="CR328" s="319">
        <f t="shared" si="137"/>
        <v>0</v>
      </c>
      <c r="CS328" s="319">
        <f t="shared" si="137"/>
        <v>0</v>
      </c>
      <c r="CT328" s="319">
        <f t="shared" si="137"/>
        <v>0</v>
      </c>
      <c r="CU328" s="319">
        <f t="shared" si="137"/>
        <v>0</v>
      </c>
      <c r="CV328" s="319">
        <f t="shared" si="137"/>
        <v>0</v>
      </c>
    </row>
    <row r="329" spans="1:100" ht="15.75" thickBot="1" x14ac:dyDescent="0.3">
      <c r="A329" s="319">
        <f t="shared" ref="A329:A386" si="138">IF(AND(H329="Yes",G329="Yes"),A328+1,A328)</f>
        <v>0</v>
      </c>
      <c r="B329" s="319">
        <f t="shared" si="121"/>
        <v>0</v>
      </c>
      <c r="C329" s="352" t="s">
        <v>1331</v>
      </c>
      <c r="D329" s="353" t="s">
        <v>369</v>
      </c>
      <c r="E329" s="353">
        <v>11</v>
      </c>
      <c r="F329" s="353" t="str">
        <f>IF(AND(E329&lt;CharacterSheet!$V$34,'House Rules'!$B$2="available",G328="Yes",G340="No",G307="No"),"Yes","No")</f>
        <v>No</v>
      </c>
      <c r="G329" s="565" t="s">
        <v>347</v>
      </c>
      <c r="H329" s="333" t="str">
        <f>IF(C329="","",VLOOKUP(C329,Boonref2!A:B,2,FALSE))</f>
        <v>No</v>
      </c>
      <c r="I329" s="333"/>
      <c r="J329" s="333" t="str">
        <f>VLOOKUP(C329,BoonRef!A:Z,17,FALSE)</f>
        <v>Yes</v>
      </c>
      <c r="K329" s="333" t="str">
        <f>IF(J329="God",'House Rules'!$B$2,IF(J329="Demi",'House Rules'!$B$1,IF(J329="Comp",'House Rules'!$B$4,IF(J329="Yaz",'House Rules'!$B$5,IF(J329="Rag",'House Rules'!$B$3,"Available")))))</f>
        <v>Available</v>
      </c>
      <c r="L329" s="333"/>
      <c r="M329" s="333"/>
      <c r="BF329" s="319">
        <f t="shared" si="132"/>
        <v>0</v>
      </c>
      <c r="BG329" s="340" t="s">
        <v>1164</v>
      </c>
      <c r="BI329" s="319">
        <f t="shared" si="136"/>
        <v>0</v>
      </c>
      <c r="BJ329" s="319">
        <f t="shared" si="137"/>
        <v>0</v>
      </c>
      <c r="BK329" s="319">
        <f t="shared" si="137"/>
        <v>0</v>
      </c>
      <c r="BL329" s="319">
        <f t="shared" si="137"/>
        <v>0</v>
      </c>
      <c r="BM329" s="319">
        <f t="shared" si="137"/>
        <v>0</v>
      </c>
      <c r="BN329" s="319">
        <f t="shared" si="137"/>
        <v>0</v>
      </c>
      <c r="BO329" s="319">
        <f t="shared" si="137"/>
        <v>0</v>
      </c>
      <c r="BP329" s="319">
        <f t="shared" si="137"/>
        <v>0</v>
      </c>
      <c r="BQ329" s="319">
        <f t="shared" si="137"/>
        <v>0</v>
      </c>
      <c r="BR329" s="319">
        <f t="shared" si="137"/>
        <v>0</v>
      </c>
      <c r="BS329" s="319">
        <f t="shared" si="137"/>
        <v>0</v>
      </c>
      <c r="BT329" s="319">
        <f t="shared" si="137"/>
        <v>0</v>
      </c>
      <c r="BU329" s="319">
        <f t="shared" si="137"/>
        <v>0</v>
      </c>
      <c r="BV329" s="319">
        <f t="shared" si="137"/>
        <v>0</v>
      </c>
      <c r="BW329" s="319">
        <f t="shared" si="137"/>
        <v>0</v>
      </c>
      <c r="BX329" s="319">
        <f t="shared" si="137"/>
        <v>0</v>
      </c>
      <c r="BY329" s="319">
        <f t="shared" si="137"/>
        <v>0</v>
      </c>
      <c r="BZ329" s="319">
        <f t="shared" si="137"/>
        <v>0</v>
      </c>
      <c r="CA329" s="319">
        <f t="shared" si="137"/>
        <v>0</v>
      </c>
      <c r="CB329" s="319">
        <f t="shared" si="137"/>
        <v>0</v>
      </c>
      <c r="CC329" s="319">
        <f t="shared" si="137"/>
        <v>0</v>
      </c>
      <c r="CD329" s="319">
        <f t="shared" si="137"/>
        <v>0</v>
      </c>
      <c r="CE329" s="319">
        <f t="shared" si="137"/>
        <v>0</v>
      </c>
      <c r="CF329" s="319">
        <f t="shared" si="137"/>
        <v>0</v>
      </c>
      <c r="CG329" s="319">
        <f t="shared" si="137"/>
        <v>0</v>
      </c>
      <c r="CH329" s="319">
        <f t="shared" si="137"/>
        <v>0</v>
      </c>
      <c r="CI329" s="319">
        <f t="shared" si="137"/>
        <v>0</v>
      </c>
      <c r="CJ329" s="319">
        <f t="shared" si="137"/>
        <v>0</v>
      </c>
      <c r="CK329" s="319">
        <f t="shared" si="137"/>
        <v>0</v>
      </c>
      <c r="CL329" s="319">
        <f t="shared" si="137"/>
        <v>0</v>
      </c>
      <c r="CM329" s="319">
        <f t="shared" si="137"/>
        <v>0</v>
      </c>
      <c r="CN329" s="319">
        <f t="shared" si="137"/>
        <v>0</v>
      </c>
      <c r="CO329" s="319">
        <f t="shared" si="137"/>
        <v>0</v>
      </c>
      <c r="CP329" s="319">
        <f t="shared" si="137"/>
        <v>0</v>
      </c>
      <c r="CQ329" s="319">
        <f t="shared" si="137"/>
        <v>0</v>
      </c>
      <c r="CR329" s="319">
        <f t="shared" si="137"/>
        <v>0</v>
      </c>
      <c r="CS329" s="319">
        <f t="shared" si="137"/>
        <v>0</v>
      </c>
      <c r="CT329" s="319">
        <f t="shared" si="137"/>
        <v>0</v>
      </c>
      <c r="CU329" s="319">
        <f t="shared" si="137"/>
        <v>0</v>
      </c>
      <c r="CV329" s="319">
        <f t="shared" si="137"/>
        <v>0</v>
      </c>
    </row>
    <row r="330" spans="1:100" x14ac:dyDescent="0.25">
      <c r="A330" s="319">
        <f t="shared" ref="A330:A339" si="139">IF(AND(H330="Yes",G330="Yes",G331="No"),A329+1,A329)</f>
        <v>0</v>
      </c>
      <c r="B330" s="319">
        <f t="shared" ref="B330:B338" si="140">IF(AND(G330="Yes",G331="No"),B329+1,B329)</f>
        <v>0</v>
      </c>
      <c r="C330" s="330" t="s">
        <v>1140</v>
      </c>
      <c r="D330" s="331" t="s">
        <v>370</v>
      </c>
      <c r="E330" s="331">
        <v>1</v>
      </c>
      <c r="F330" s="331" t="str">
        <f>IF(E330&lt;CharacterSheet!$V$34,"Yes","No")</f>
        <v>Yes</v>
      </c>
      <c r="G330" s="563" t="s">
        <v>347</v>
      </c>
      <c r="H330" s="333" t="str">
        <f>IF(C330="","",VLOOKUP(C330,Boonref2!A:B,2,FALSE))</f>
        <v>Yes</v>
      </c>
      <c r="I330" s="333"/>
      <c r="J330" s="333" t="str">
        <f>VLOOKUP(C330,BoonRef!A:Z,17,FALSE)</f>
        <v>No</v>
      </c>
      <c r="K330" s="333" t="str">
        <f>IF(J330="God",'House Rules'!$B$2,IF(J330="Demi",'House Rules'!$B$1,IF(J330="Comp",'House Rules'!$B$4,IF(J330="Yaz",'House Rules'!$B$5,IF(J330="Rag",'House Rules'!$B$3,"Available")))))</f>
        <v>Available</v>
      </c>
      <c r="L330" s="333"/>
      <c r="M330" s="333"/>
      <c r="BF330" s="319">
        <f t="shared" si="132"/>
        <v>0</v>
      </c>
      <c r="BG330" s="340" t="s">
        <v>1165</v>
      </c>
      <c r="BI330" s="319">
        <f t="shared" si="136"/>
        <v>0</v>
      </c>
      <c r="BJ330" s="319">
        <f t="shared" si="137"/>
        <v>0</v>
      </c>
      <c r="BK330" s="319">
        <f t="shared" si="137"/>
        <v>0</v>
      </c>
      <c r="BL330" s="319">
        <f t="shared" si="137"/>
        <v>0</v>
      </c>
      <c r="BM330" s="319">
        <f t="shared" si="137"/>
        <v>0</v>
      </c>
      <c r="BN330" s="319">
        <f t="shared" si="137"/>
        <v>0</v>
      </c>
      <c r="BO330" s="319">
        <f t="shared" si="137"/>
        <v>0</v>
      </c>
      <c r="BP330" s="319">
        <f t="shared" si="137"/>
        <v>0</v>
      </c>
      <c r="BQ330" s="319">
        <f t="shared" si="137"/>
        <v>0</v>
      </c>
      <c r="BR330" s="319">
        <f t="shared" si="137"/>
        <v>0</v>
      </c>
      <c r="BS330" s="319">
        <f t="shared" si="137"/>
        <v>0</v>
      </c>
      <c r="BT330" s="319">
        <f t="shared" si="137"/>
        <v>0</v>
      </c>
      <c r="BU330" s="319">
        <f t="shared" si="137"/>
        <v>0</v>
      </c>
      <c r="BV330" s="319">
        <f t="shared" si="137"/>
        <v>0</v>
      </c>
      <c r="BW330" s="319">
        <f t="shared" si="137"/>
        <v>0</v>
      </c>
      <c r="BX330" s="319">
        <f t="shared" si="137"/>
        <v>0</v>
      </c>
      <c r="BY330" s="319">
        <f t="shared" si="137"/>
        <v>0</v>
      </c>
      <c r="BZ330" s="319">
        <f t="shared" si="137"/>
        <v>0</v>
      </c>
      <c r="CA330" s="319">
        <f t="shared" si="137"/>
        <v>0</v>
      </c>
      <c r="CB330" s="319">
        <f t="shared" si="137"/>
        <v>0</v>
      </c>
      <c r="CC330" s="319">
        <f t="shared" si="137"/>
        <v>0</v>
      </c>
      <c r="CD330" s="319">
        <f t="shared" si="137"/>
        <v>0</v>
      </c>
      <c r="CE330" s="319">
        <f t="shared" si="137"/>
        <v>0</v>
      </c>
      <c r="CF330" s="319">
        <f t="shared" si="137"/>
        <v>0</v>
      </c>
      <c r="CG330" s="319">
        <f t="shared" si="137"/>
        <v>0</v>
      </c>
      <c r="CH330" s="319">
        <f t="shared" si="137"/>
        <v>0</v>
      </c>
      <c r="CI330" s="319">
        <f t="shared" si="137"/>
        <v>0</v>
      </c>
      <c r="CJ330" s="319">
        <f t="shared" si="137"/>
        <v>0</v>
      </c>
      <c r="CK330" s="319">
        <f t="shared" si="137"/>
        <v>0</v>
      </c>
      <c r="CL330" s="319">
        <f t="shared" si="137"/>
        <v>0</v>
      </c>
      <c r="CM330" s="319">
        <f t="shared" si="137"/>
        <v>0</v>
      </c>
      <c r="CN330" s="319">
        <f t="shared" si="137"/>
        <v>0</v>
      </c>
      <c r="CO330" s="319">
        <f t="shared" si="137"/>
        <v>0</v>
      </c>
      <c r="CP330" s="319">
        <f t="shared" si="137"/>
        <v>0</v>
      </c>
      <c r="CQ330" s="319">
        <f t="shared" si="137"/>
        <v>0</v>
      </c>
      <c r="CR330" s="319">
        <f t="shared" si="137"/>
        <v>0</v>
      </c>
      <c r="CS330" s="319">
        <f t="shared" si="137"/>
        <v>0</v>
      </c>
      <c r="CT330" s="319">
        <f t="shared" si="137"/>
        <v>0</v>
      </c>
      <c r="CU330" s="319">
        <f t="shared" si="137"/>
        <v>0</v>
      </c>
      <c r="CV330" s="319">
        <f t="shared" si="137"/>
        <v>0</v>
      </c>
    </row>
    <row r="331" spans="1:100" x14ac:dyDescent="0.25">
      <c r="A331" s="319">
        <f t="shared" si="139"/>
        <v>0</v>
      </c>
      <c r="B331" s="319">
        <f t="shared" si="140"/>
        <v>0</v>
      </c>
      <c r="C331" s="340" t="s">
        <v>1141</v>
      </c>
      <c r="D331" s="341" t="s">
        <v>370</v>
      </c>
      <c r="E331" s="341">
        <v>2</v>
      </c>
      <c r="F331" s="341" t="str">
        <f>IF(AND(E331&lt;CharacterSheet!$V$34,G330="Yes"),"Yes","No")</f>
        <v>No</v>
      </c>
      <c r="G331" s="564" t="s">
        <v>347</v>
      </c>
      <c r="H331" s="333" t="str">
        <f>IF(C331="","",VLOOKUP(C331,Boonref2!A:B,2,FALSE))</f>
        <v>Yes</v>
      </c>
      <c r="I331" s="333"/>
      <c r="J331" s="333" t="str">
        <f>VLOOKUP(C331,BoonRef!A:Z,17,FALSE)</f>
        <v>No</v>
      </c>
      <c r="K331" s="333" t="str">
        <f>IF(J331="God",'House Rules'!$B$2,IF(J331="Demi",'House Rules'!$B$1,IF(J331="Comp",'House Rules'!$B$4,IF(J331="Yaz",'House Rules'!$B$5,IF(J331="Rag",'House Rules'!$B$3,"Available")))))</f>
        <v>Available</v>
      </c>
      <c r="L331" s="333"/>
      <c r="M331" s="333"/>
      <c r="BF331" s="319">
        <f t="shared" si="132"/>
        <v>0</v>
      </c>
      <c r="BG331" s="340" t="s">
        <v>1166</v>
      </c>
      <c r="BI331" s="319">
        <f t="shared" si="136"/>
        <v>0</v>
      </c>
      <c r="BJ331" s="319">
        <f t="shared" si="137"/>
        <v>0</v>
      </c>
      <c r="BK331" s="319">
        <f t="shared" si="137"/>
        <v>0</v>
      </c>
      <c r="BL331" s="319">
        <f t="shared" si="137"/>
        <v>0</v>
      </c>
      <c r="BM331" s="319">
        <f t="shared" si="137"/>
        <v>0</v>
      </c>
      <c r="BN331" s="319">
        <f t="shared" si="137"/>
        <v>0</v>
      </c>
      <c r="BO331" s="319">
        <f t="shared" si="137"/>
        <v>0</v>
      </c>
      <c r="BP331" s="319">
        <f t="shared" si="137"/>
        <v>0</v>
      </c>
      <c r="BQ331" s="319">
        <f t="shared" si="137"/>
        <v>0</v>
      </c>
      <c r="BR331" s="319">
        <f t="shared" si="137"/>
        <v>0</v>
      </c>
      <c r="BS331" s="319">
        <f t="shared" si="137"/>
        <v>0</v>
      </c>
      <c r="BT331" s="319">
        <f t="shared" si="137"/>
        <v>0</v>
      </c>
      <c r="BU331" s="319">
        <f t="shared" si="137"/>
        <v>0</v>
      </c>
      <c r="BV331" s="319">
        <f t="shared" si="137"/>
        <v>0</v>
      </c>
      <c r="BW331" s="319">
        <f t="shared" si="137"/>
        <v>0</v>
      </c>
      <c r="BX331" s="319">
        <f t="shared" si="137"/>
        <v>0</v>
      </c>
      <c r="BY331" s="319">
        <f t="shared" si="137"/>
        <v>0</v>
      </c>
      <c r="BZ331" s="319">
        <f t="shared" si="137"/>
        <v>0</v>
      </c>
      <c r="CA331" s="319">
        <f t="shared" si="137"/>
        <v>0</v>
      </c>
      <c r="CB331" s="319">
        <f t="shared" si="137"/>
        <v>0</v>
      </c>
      <c r="CC331" s="319">
        <f t="shared" si="137"/>
        <v>0</v>
      </c>
      <c r="CD331" s="319">
        <f t="shared" si="137"/>
        <v>0</v>
      </c>
      <c r="CE331" s="319">
        <f t="shared" si="137"/>
        <v>0</v>
      </c>
      <c r="CF331" s="319">
        <f t="shared" si="137"/>
        <v>0</v>
      </c>
      <c r="CG331" s="319">
        <f t="shared" si="137"/>
        <v>0</v>
      </c>
      <c r="CH331" s="319">
        <f t="shared" si="137"/>
        <v>0</v>
      </c>
      <c r="CI331" s="319">
        <f t="shared" si="137"/>
        <v>0</v>
      </c>
      <c r="CJ331" s="319">
        <f t="shared" si="137"/>
        <v>0</v>
      </c>
      <c r="CK331" s="319">
        <f t="shared" ref="BJ331:CV338" si="141">IF(AND($D331=CK$1,$G331="Yes"),$E331,0)</f>
        <v>0</v>
      </c>
      <c r="CL331" s="319">
        <f t="shared" si="141"/>
        <v>0</v>
      </c>
      <c r="CM331" s="319">
        <f t="shared" si="141"/>
        <v>0</v>
      </c>
      <c r="CN331" s="319">
        <f t="shared" si="141"/>
        <v>0</v>
      </c>
      <c r="CO331" s="319">
        <f t="shared" si="141"/>
        <v>0</v>
      </c>
      <c r="CP331" s="319">
        <f t="shared" si="141"/>
        <v>0</v>
      </c>
      <c r="CQ331" s="319">
        <f t="shared" si="141"/>
        <v>0</v>
      </c>
      <c r="CR331" s="319">
        <f t="shared" si="141"/>
        <v>0</v>
      </c>
      <c r="CS331" s="319">
        <f t="shared" si="141"/>
        <v>0</v>
      </c>
      <c r="CT331" s="319">
        <f t="shared" si="141"/>
        <v>0</v>
      </c>
      <c r="CU331" s="319">
        <f t="shared" si="141"/>
        <v>0</v>
      </c>
      <c r="CV331" s="319">
        <f t="shared" si="141"/>
        <v>0</v>
      </c>
    </row>
    <row r="332" spans="1:100" x14ac:dyDescent="0.25">
      <c r="A332" s="319">
        <f t="shared" si="139"/>
        <v>0</v>
      </c>
      <c r="B332" s="319">
        <f t="shared" si="140"/>
        <v>0</v>
      </c>
      <c r="C332" s="340" t="s">
        <v>1142</v>
      </c>
      <c r="D332" s="341" t="s">
        <v>370</v>
      </c>
      <c r="E332" s="341">
        <v>3</v>
      </c>
      <c r="F332" s="341" t="str">
        <f>IF(AND(E332&lt;CharacterSheet!$V$34,G331="Yes"),"Yes","No")</f>
        <v>No</v>
      </c>
      <c r="G332" s="564" t="s">
        <v>347</v>
      </c>
      <c r="H332" s="333" t="str">
        <f>IF(C332="","",VLOOKUP(C332,Boonref2!A:B,2,FALSE))</f>
        <v>Yes</v>
      </c>
      <c r="I332" s="333"/>
      <c r="J332" s="333" t="str">
        <f>VLOOKUP(C332,BoonRef!A:Z,17,FALSE)</f>
        <v>No</v>
      </c>
      <c r="K332" s="333" t="str">
        <f>IF(J332="God",'House Rules'!$B$2,IF(J332="Demi",'House Rules'!$B$1,IF(J332="Comp",'House Rules'!$B$4,IF(J332="Yaz",'House Rules'!$B$5,IF(J332="Rag",'House Rules'!$B$3,"Available")))))</f>
        <v>Available</v>
      </c>
      <c r="L332" s="333"/>
      <c r="M332" s="333"/>
      <c r="BF332" s="319">
        <f t="shared" si="132"/>
        <v>0</v>
      </c>
      <c r="BG332" s="340" t="s">
        <v>1263</v>
      </c>
      <c r="BI332" s="319">
        <f t="shared" si="136"/>
        <v>0</v>
      </c>
      <c r="BJ332" s="319">
        <f t="shared" si="141"/>
        <v>0</v>
      </c>
      <c r="BK332" s="319">
        <f t="shared" si="141"/>
        <v>0</v>
      </c>
      <c r="BL332" s="319">
        <f t="shared" si="141"/>
        <v>0</v>
      </c>
      <c r="BM332" s="319">
        <f t="shared" si="141"/>
        <v>0</v>
      </c>
      <c r="BN332" s="319">
        <f t="shared" si="141"/>
        <v>0</v>
      </c>
      <c r="BO332" s="319">
        <f t="shared" si="141"/>
        <v>0</v>
      </c>
      <c r="BP332" s="319">
        <f t="shared" si="141"/>
        <v>0</v>
      </c>
      <c r="BQ332" s="319">
        <f t="shared" si="141"/>
        <v>0</v>
      </c>
      <c r="BR332" s="319">
        <f t="shared" si="141"/>
        <v>0</v>
      </c>
      <c r="BS332" s="319">
        <f t="shared" si="141"/>
        <v>0</v>
      </c>
      <c r="BT332" s="319">
        <f t="shared" si="141"/>
        <v>0</v>
      </c>
      <c r="BU332" s="319">
        <f t="shared" si="141"/>
        <v>0</v>
      </c>
      <c r="BV332" s="319">
        <f t="shared" si="141"/>
        <v>0</v>
      </c>
      <c r="BW332" s="319">
        <f t="shared" si="141"/>
        <v>0</v>
      </c>
      <c r="BX332" s="319">
        <f t="shared" si="141"/>
        <v>0</v>
      </c>
      <c r="BY332" s="319">
        <f t="shared" si="141"/>
        <v>0</v>
      </c>
      <c r="BZ332" s="319">
        <f t="shared" si="141"/>
        <v>0</v>
      </c>
      <c r="CA332" s="319">
        <f t="shared" si="141"/>
        <v>0</v>
      </c>
      <c r="CB332" s="319">
        <f t="shared" si="141"/>
        <v>0</v>
      </c>
      <c r="CC332" s="319">
        <f t="shared" si="141"/>
        <v>0</v>
      </c>
      <c r="CD332" s="319">
        <f t="shared" si="141"/>
        <v>0</v>
      </c>
      <c r="CE332" s="319">
        <f t="shared" si="141"/>
        <v>0</v>
      </c>
      <c r="CF332" s="319">
        <f t="shared" si="141"/>
        <v>0</v>
      </c>
      <c r="CG332" s="319">
        <f t="shared" si="141"/>
        <v>0</v>
      </c>
      <c r="CH332" s="319">
        <f t="shared" si="141"/>
        <v>0</v>
      </c>
      <c r="CI332" s="319">
        <f t="shared" si="141"/>
        <v>0</v>
      </c>
      <c r="CJ332" s="319">
        <f t="shared" si="141"/>
        <v>0</v>
      </c>
      <c r="CK332" s="319">
        <f t="shared" si="141"/>
        <v>0</v>
      </c>
      <c r="CL332" s="319">
        <f t="shared" si="141"/>
        <v>0</v>
      </c>
      <c r="CM332" s="319">
        <f t="shared" si="141"/>
        <v>0</v>
      </c>
      <c r="CN332" s="319">
        <f t="shared" si="141"/>
        <v>0</v>
      </c>
      <c r="CO332" s="319">
        <f t="shared" si="141"/>
        <v>0</v>
      </c>
      <c r="CP332" s="319">
        <f t="shared" si="141"/>
        <v>0</v>
      </c>
      <c r="CQ332" s="319">
        <f t="shared" si="141"/>
        <v>0</v>
      </c>
      <c r="CR332" s="319">
        <f t="shared" si="141"/>
        <v>0</v>
      </c>
      <c r="CS332" s="319">
        <f t="shared" si="141"/>
        <v>0</v>
      </c>
      <c r="CT332" s="319">
        <f t="shared" si="141"/>
        <v>0</v>
      </c>
      <c r="CU332" s="319">
        <f t="shared" si="141"/>
        <v>0</v>
      </c>
      <c r="CV332" s="319">
        <f t="shared" si="141"/>
        <v>0</v>
      </c>
    </row>
    <row r="333" spans="1:100" x14ac:dyDescent="0.25">
      <c r="A333" s="319">
        <f t="shared" si="139"/>
        <v>0</v>
      </c>
      <c r="B333" s="319">
        <f t="shared" si="140"/>
        <v>0</v>
      </c>
      <c r="C333" s="340" t="s">
        <v>1239</v>
      </c>
      <c r="D333" s="341" t="s">
        <v>370</v>
      </c>
      <c r="E333" s="341">
        <v>4</v>
      </c>
      <c r="F333" s="341" t="str">
        <f>IF(AND(E333&lt;CharacterSheet!$V$34,'House Rules'!$B$1="Available",G332="Yes"),"Yes","No")</f>
        <v>No</v>
      </c>
      <c r="G333" s="564" t="s">
        <v>347</v>
      </c>
      <c r="H333" s="333" t="str">
        <f>IF(C333="","",VLOOKUP(C333,Boonref2!A:B,2,FALSE))</f>
        <v>Yes</v>
      </c>
      <c r="I333" s="333"/>
      <c r="J333" s="333" t="str">
        <f>VLOOKUP(C333,BoonRef!A:Z,17,FALSE)</f>
        <v>No</v>
      </c>
      <c r="K333" s="333" t="str">
        <f>IF(J333="God",'House Rules'!$B$2,IF(J333="Demi",'House Rules'!$B$1,IF(J333="Comp",'House Rules'!$B$4,IF(J333="Yaz",'House Rules'!$B$5,IF(J333="Rag",'House Rules'!$B$3,"Available")))))</f>
        <v>Available</v>
      </c>
      <c r="L333" s="333"/>
      <c r="M333" s="333"/>
      <c r="BF333" s="319">
        <f t="shared" si="132"/>
        <v>0</v>
      </c>
      <c r="BG333" s="340" t="s">
        <v>2633</v>
      </c>
      <c r="BI333" s="319">
        <f t="shared" si="136"/>
        <v>0</v>
      </c>
      <c r="BJ333" s="319">
        <f t="shared" si="141"/>
        <v>0</v>
      </c>
      <c r="BK333" s="319">
        <f t="shared" si="141"/>
        <v>0</v>
      </c>
      <c r="BL333" s="319">
        <f t="shared" si="141"/>
        <v>0</v>
      </c>
      <c r="BM333" s="319">
        <f t="shared" si="141"/>
        <v>0</v>
      </c>
      <c r="BN333" s="319">
        <f t="shared" si="141"/>
        <v>0</v>
      </c>
      <c r="BO333" s="319">
        <f t="shared" si="141"/>
        <v>0</v>
      </c>
      <c r="BP333" s="319">
        <f t="shared" si="141"/>
        <v>0</v>
      </c>
      <c r="BQ333" s="319">
        <f t="shared" si="141"/>
        <v>0</v>
      </c>
      <c r="BR333" s="319">
        <f t="shared" si="141"/>
        <v>0</v>
      </c>
      <c r="BS333" s="319">
        <f t="shared" si="141"/>
        <v>0</v>
      </c>
      <c r="BT333" s="319">
        <f t="shared" si="141"/>
        <v>0</v>
      </c>
      <c r="BU333" s="319">
        <f t="shared" si="141"/>
        <v>0</v>
      </c>
      <c r="BV333" s="319">
        <f t="shared" si="141"/>
        <v>0</v>
      </c>
      <c r="BW333" s="319">
        <f t="shared" si="141"/>
        <v>0</v>
      </c>
      <c r="BX333" s="319">
        <f t="shared" si="141"/>
        <v>0</v>
      </c>
      <c r="BY333" s="319">
        <f t="shared" si="141"/>
        <v>0</v>
      </c>
      <c r="BZ333" s="319">
        <f t="shared" si="141"/>
        <v>0</v>
      </c>
      <c r="CA333" s="319">
        <f t="shared" si="141"/>
        <v>0</v>
      </c>
      <c r="CB333" s="319">
        <f t="shared" si="141"/>
        <v>0</v>
      </c>
      <c r="CC333" s="319">
        <f t="shared" si="141"/>
        <v>0</v>
      </c>
      <c r="CD333" s="319">
        <f t="shared" si="141"/>
        <v>0</v>
      </c>
      <c r="CE333" s="319">
        <f t="shared" si="141"/>
        <v>0</v>
      </c>
      <c r="CF333" s="319">
        <f t="shared" si="141"/>
        <v>0</v>
      </c>
      <c r="CG333" s="319">
        <f t="shared" si="141"/>
        <v>0</v>
      </c>
      <c r="CH333" s="319">
        <f t="shared" si="141"/>
        <v>0</v>
      </c>
      <c r="CI333" s="319">
        <f t="shared" si="141"/>
        <v>0</v>
      </c>
      <c r="CJ333" s="319">
        <f t="shared" si="141"/>
        <v>0</v>
      </c>
      <c r="CK333" s="319">
        <f t="shared" si="141"/>
        <v>0</v>
      </c>
      <c r="CL333" s="319">
        <f t="shared" si="141"/>
        <v>0</v>
      </c>
      <c r="CM333" s="319">
        <f t="shared" si="141"/>
        <v>0</v>
      </c>
      <c r="CN333" s="319">
        <f t="shared" si="141"/>
        <v>0</v>
      </c>
      <c r="CO333" s="319">
        <f t="shared" si="141"/>
        <v>0</v>
      </c>
      <c r="CP333" s="319">
        <f t="shared" si="141"/>
        <v>0</v>
      </c>
      <c r="CQ333" s="319">
        <f t="shared" si="141"/>
        <v>0</v>
      </c>
      <c r="CR333" s="319">
        <f t="shared" si="141"/>
        <v>0</v>
      </c>
      <c r="CS333" s="319">
        <f t="shared" si="141"/>
        <v>0</v>
      </c>
      <c r="CT333" s="319">
        <f t="shared" si="141"/>
        <v>0</v>
      </c>
      <c r="CU333" s="319">
        <f t="shared" si="141"/>
        <v>0</v>
      </c>
      <c r="CV333" s="319">
        <f t="shared" si="141"/>
        <v>0</v>
      </c>
    </row>
    <row r="334" spans="1:100" x14ac:dyDescent="0.25">
      <c r="A334" s="319">
        <f t="shared" si="139"/>
        <v>0</v>
      </c>
      <c r="B334" s="319">
        <f t="shared" si="140"/>
        <v>0</v>
      </c>
      <c r="C334" s="340" t="s">
        <v>1240</v>
      </c>
      <c r="D334" s="341" t="s">
        <v>370</v>
      </c>
      <c r="E334" s="341">
        <v>5</v>
      </c>
      <c r="F334" s="341" t="str">
        <f>IF(AND(E334&lt;CharacterSheet!$V$34,'House Rules'!$B$1="Available",G333="Yes"),"Yes","No")</f>
        <v>No</v>
      </c>
      <c r="G334" s="564" t="s">
        <v>347</v>
      </c>
      <c r="H334" s="333" t="str">
        <f>IF(C334="","",VLOOKUP(C334,Boonref2!A:B,2,FALSE))</f>
        <v>Yes</v>
      </c>
      <c r="I334" s="333"/>
      <c r="J334" s="333" t="str">
        <f>VLOOKUP(C334,BoonRef!A:Z,17,FALSE)</f>
        <v>No</v>
      </c>
      <c r="K334" s="333" t="str">
        <f>IF(J334="God",'House Rules'!$B$2,IF(J334="Demi",'House Rules'!$B$1,IF(J334="Comp",'House Rules'!$B$4,IF(J334="Yaz",'House Rules'!$B$5,IF(J334="Rag",'House Rules'!$B$3,"Available")))))</f>
        <v>Available</v>
      </c>
      <c r="L334" s="333"/>
      <c r="M334" s="333"/>
      <c r="BF334" s="319">
        <f t="shared" si="132"/>
        <v>0</v>
      </c>
      <c r="BG334" s="340" t="s">
        <v>1264</v>
      </c>
      <c r="BI334" s="319">
        <f t="shared" si="136"/>
        <v>0</v>
      </c>
      <c r="BJ334" s="319">
        <f t="shared" si="141"/>
        <v>0</v>
      </c>
      <c r="BK334" s="319">
        <f t="shared" si="141"/>
        <v>0</v>
      </c>
      <c r="BL334" s="319">
        <f t="shared" si="141"/>
        <v>0</v>
      </c>
      <c r="BM334" s="319">
        <f t="shared" si="141"/>
        <v>0</v>
      </c>
      <c r="BN334" s="319">
        <f t="shared" si="141"/>
        <v>0</v>
      </c>
      <c r="BO334" s="319">
        <f t="shared" si="141"/>
        <v>0</v>
      </c>
      <c r="BP334" s="319">
        <f t="shared" si="141"/>
        <v>0</v>
      </c>
      <c r="BQ334" s="319">
        <f t="shared" si="141"/>
        <v>0</v>
      </c>
      <c r="BR334" s="319">
        <f t="shared" si="141"/>
        <v>0</v>
      </c>
      <c r="BS334" s="319">
        <f t="shared" si="141"/>
        <v>0</v>
      </c>
      <c r="BT334" s="319">
        <f t="shared" si="141"/>
        <v>0</v>
      </c>
      <c r="BU334" s="319">
        <f t="shared" si="141"/>
        <v>0</v>
      </c>
      <c r="BV334" s="319">
        <f t="shared" si="141"/>
        <v>0</v>
      </c>
      <c r="BW334" s="319">
        <f t="shared" si="141"/>
        <v>0</v>
      </c>
      <c r="BX334" s="319">
        <f t="shared" si="141"/>
        <v>0</v>
      </c>
      <c r="BY334" s="319">
        <f t="shared" si="141"/>
        <v>0</v>
      </c>
      <c r="BZ334" s="319">
        <f t="shared" si="141"/>
        <v>0</v>
      </c>
      <c r="CA334" s="319">
        <f t="shared" si="141"/>
        <v>0</v>
      </c>
      <c r="CB334" s="319">
        <f t="shared" si="141"/>
        <v>0</v>
      </c>
      <c r="CC334" s="319">
        <f t="shared" si="141"/>
        <v>0</v>
      </c>
      <c r="CD334" s="319">
        <f t="shared" si="141"/>
        <v>0</v>
      </c>
      <c r="CE334" s="319">
        <f t="shared" si="141"/>
        <v>0</v>
      </c>
      <c r="CF334" s="319">
        <f t="shared" si="141"/>
        <v>0</v>
      </c>
      <c r="CG334" s="319">
        <f t="shared" si="141"/>
        <v>0</v>
      </c>
      <c r="CH334" s="319">
        <f t="shared" si="141"/>
        <v>0</v>
      </c>
      <c r="CI334" s="319">
        <f t="shared" si="141"/>
        <v>0</v>
      </c>
      <c r="CJ334" s="319">
        <f t="shared" si="141"/>
        <v>0</v>
      </c>
      <c r="CK334" s="319">
        <f t="shared" si="141"/>
        <v>0</v>
      </c>
      <c r="CL334" s="319">
        <f t="shared" si="141"/>
        <v>0</v>
      </c>
      <c r="CM334" s="319">
        <f t="shared" si="141"/>
        <v>0</v>
      </c>
      <c r="CN334" s="319">
        <f t="shared" si="141"/>
        <v>0</v>
      </c>
      <c r="CO334" s="319">
        <f t="shared" si="141"/>
        <v>0</v>
      </c>
      <c r="CP334" s="319">
        <f t="shared" si="141"/>
        <v>0</v>
      </c>
      <c r="CQ334" s="319">
        <f t="shared" si="141"/>
        <v>0</v>
      </c>
      <c r="CR334" s="319">
        <f t="shared" si="141"/>
        <v>0</v>
      </c>
      <c r="CS334" s="319">
        <f t="shared" si="141"/>
        <v>0</v>
      </c>
      <c r="CT334" s="319">
        <f t="shared" si="141"/>
        <v>0</v>
      </c>
      <c r="CU334" s="319">
        <f t="shared" si="141"/>
        <v>0</v>
      </c>
      <c r="CV334" s="319">
        <f t="shared" si="141"/>
        <v>0</v>
      </c>
    </row>
    <row r="335" spans="1:100" x14ac:dyDescent="0.25">
      <c r="A335" s="319">
        <f t="shared" si="139"/>
        <v>0</v>
      </c>
      <c r="B335" s="319">
        <f t="shared" si="140"/>
        <v>0</v>
      </c>
      <c r="C335" s="340" t="s">
        <v>1241</v>
      </c>
      <c r="D335" s="341" t="s">
        <v>370</v>
      </c>
      <c r="E335" s="341">
        <v>6</v>
      </c>
      <c r="F335" s="341" t="str">
        <f>IF(AND(E335&lt;CharacterSheet!$V$34,'House Rules'!$B$1="Available",G334="Yes"),"Yes","No")</f>
        <v>No</v>
      </c>
      <c r="G335" s="564" t="s">
        <v>347</v>
      </c>
      <c r="H335" s="333" t="str">
        <f>IF(C335="","",VLOOKUP(C335,Boonref2!A:B,2,FALSE))</f>
        <v>Yes</v>
      </c>
      <c r="I335" s="333"/>
      <c r="J335" s="333" t="str">
        <f>VLOOKUP(C335,BoonRef!A:Z,17,FALSE)</f>
        <v>No</v>
      </c>
      <c r="K335" s="333" t="str">
        <f>IF(J335="God",'House Rules'!$B$2,IF(J335="Demi",'House Rules'!$B$1,IF(J335="Comp",'House Rules'!$B$4,IF(J335="Yaz",'House Rules'!$B$5,IF(J335="Rag",'House Rules'!$B$3,"Available")))))</f>
        <v>Available</v>
      </c>
      <c r="L335" s="333"/>
      <c r="M335" s="333"/>
      <c r="BF335" s="319">
        <f t="shared" si="132"/>
        <v>0</v>
      </c>
      <c r="BG335" s="340" t="s">
        <v>1265</v>
      </c>
      <c r="BI335" s="319">
        <f t="shared" si="136"/>
        <v>0</v>
      </c>
      <c r="BJ335" s="319">
        <f t="shared" si="141"/>
        <v>0</v>
      </c>
      <c r="BK335" s="319">
        <f t="shared" si="141"/>
        <v>0</v>
      </c>
      <c r="BL335" s="319">
        <f t="shared" si="141"/>
        <v>0</v>
      </c>
      <c r="BM335" s="319">
        <f t="shared" si="141"/>
        <v>0</v>
      </c>
      <c r="BN335" s="319">
        <f t="shared" si="141"/>
        <v>0</v>
      </c>
      <c r="BO335" s="319">
        <f t="shared" si="141"/>
        <v>0</v>
      </c>
      <c r="BP335" s="319">
        <f t="shared" si="141"/>
        <v>0</v>
      </c>
      <c r="BQ335" s="319">
        <f t="shared" si="141"/>
        <v>0</v>
      </c>
      <c r="BR335" s="319">
        <f t="shared" si="141"/>
        <v>0</v>
      </c>
      <c r="BS335" s="319">
        <f t="shared" si="141"/>
        <v>0</v>
      </c>
      <c r="BT335" s="319">
        <f t="shared" si="141"/>
        <v>0</v>
      </c>
      <c r="BU335" s="319">
        <f t="shared" si="141"/>
        <v>0</v>
      </c>
      <c r="BV335" s="319">
        <f t="shared" si="141"/>
        <v>0</v>
      </c>
      <c r="BW335" s="319">
        <f t="shared" si="141"/>
        <v>0</v>
      </c>
      <c r="BX335" s="319">
        <f t="shared" si="141"/>
        <v>0</v>
      </c>
      <c r="BY335" s="319">
        <f t="shared" si="141"/>
        <v>0</v>
      </c>
      <c r="BZ335" s="319">
        <f t="shared" si="141"/>
        <v>0</v>
      </c>
      <c r="CA335" s="319">
        <f t="shared" si="141"/>
        <v>0</v>
      </c>
      <c r="CB335" s="319">
        <f t="shared" si="141"/>
        <v>0</v>
      </c>
      <c r="CC335" s="319">
        <f t="shared" si="141"/>
        <v>0</v>
      </c>
      <c r="CD335" s="319">
        <f t="shared" si="141"/>
        <v>0</v>
      </c>
      <c r="CE335" s="319">
        <f t="shared" si="141"/>
        <v>0</v>
      </c>
      <c r="CF335" s="319">
        <f t="shared" si="141"/>
        <v>0</v>
      </c>
      <c r="CG335" s="319">
        <f t="shared" si="141"/>
        <v>0</v>
      </c>
      <c r="CH335" s="319">
        <f t="shared" si="141"/>
        <v>0</v>
      </c>
      <c r="CI335" s="319">
        <f t="shared" si="141"/>
        <v>0</v>
      </c>
      <c r="CJ335" s="319">
        <f t="shared" si="141"/>
        <v>0</v>
      </c>
      <c r="CK335" s="319">
        <f t="shared" si="141"/>
        <v>0</v>
      </c>
      <c r="CL335" s="319">
        <f t="shared" si="141"/>
        <v>0</v>
      </c>
      <c r="CM335" s="319">
        <f t="shared" si="141"/>
        <v>0</v>
      </c>
      <c r="CN335" s="319">
        <f t="shared" si="141"/>
        <v>0</v>
      </c>
      <c r="CO335" s="319">
        <f t="shared" si="141"/>
        <v>0</v>
      </c>
      <c r="CP335" s="319">
        <f t="shared" si="141"/>
        <v>0</v>
      </c>
      <c r="CQ335" s="319">
        <f t="shared" si="141"/>
        <v>0</v>
      </c>
      <c r="CR335" s="319">
        <f t="shared" si="141"/>
        <v>0</v>
      </c>
      <c r="CS335" s="319">
        <f t="shared" si="141"/>
        <v>0</v>
      </c>
      <c r="CT335" s="319">
        <f t="shared" si="141"/>
        <v>0</v>
      </c>
      <c r="CU335" s="319">
        <f t="shared" si="141"/>
        <v>0</v>
      </c>
      <c r="CV335" s="319">
        <f t="shared" si="141"/>
        <v>0</v>
      </c>
    </row>
    <row r="336" spans="1:100" ht="15.75" thickBot="1" x14ac:dyDescent="0.3">
      <c r="A336" s="319">
        <f t="shared" si="139"/>
        <v>0</v>
      </c>
      <c r="B336" s="319">
        <f t="shared" si="140"/>
        <v>0</v>
      </c>
      <c r="C336" s="340" t="s">
        <v>1242</v>
      </c>
      <c r="D336" s="341" t="s">
        <v>370</v>
      </c>
      <c r="E336" s="341">
        <v>7</v>
      </c>
      <c r="F336" s="341" t="str">
        <f>IF(AND(E336&lt;CharacterSheet!$V$34,'House Rules'!$B$1="Available",G335="Yes"),"Yes","No")</f>
        <v>No</v>
      </c>
      <c r="G336" s="564" t="s">
        <v>347</v>
      </c>
      <c r="H336" s="333" t="str">
        <f>IF(C336="","",VLOOKUP(C336,Boonref2!A:B,2,FALSE))</f>
        <v>Yes</v>
      </c>
      <c r="I336" s="333"/>
      <c r="J336" s="333" t="str">
        <f>VLOOKUP(C336,BoonRef!A:Z,17,FALSE)</f>
        <v>No</v>
      </c>
      <c r="K336" s="333" t="str">
        <f>IF(J336="God",'House Rules'!$B$2,IF(J336="Demi",'House Rules'!$B$1,IF(J336="Comp",'House Rules'!$B$4,IF(J336="Yaz",'House Rules'!$B$5,IF(J336="Rag",'House Rules'!$B$3,"Available")))))</f>
        <v>Available</v>
      </c>
      <c r="L336" s="333"/>
      <c r="M336" s="333"/>
      <c r="BF336" s="319">
        <f t="shared" si="132"/>
        <v>0</v>
      </c>
      <c r="BG336" s="352" t="s">
        <v>1266</v>
      </c>
      <c r="BI336" s="319">
        <f t="shared" si="136"/>
        <v>0</v>
      </c>
      <c r="BJ336" s="319">
        <f t="shared" si="141"/>
        <v>0</v>
      </c>
      <c r="BK336" s="319">
        <f t="shared" si="141"/>
        <v>0</v>
      </c>
      <c r="BL336" s="319">
        <f t="shared" si="141"/>
        <v>0</v>
      </c>
      <c r="BM336" s="319">
        <f t="shared" si="141"/>
        <v>0</v>
      </c>
      <c r="BN336" s="319">
        <f t="shared" si="141"/>
        <v>0</v>
      </c>
      <c r="BO336" s="319">
        <f t="shared" si="141"/>
        <v>0</v>
      </c>
      <c r="BP336" s="319">
        <f t="shared" si="141"/>
        <v>0</v>
      </c>
      <c r="BQ336" s="319">
        <f t="shared" si="141"/>
        <v>0</v>
      </c>
      <c r="BR336" s="319">
        <f t="shared" si="141"/>
        <v>0</v>
      </c>
      <c r="BS336" s="319">
        <f t="shared" si="141"/>
        <v>0</v>
      </c>
      <c r="BT336" s="319">
        <f t="shared" si="141"/>
        <v>0</v>
      </c>
      <c r="BU336" s="319">
        <f t="shared" si="141"/>
        <v>0</v>
      </c>
      <c r="BV336" s="319">
        <f t="shared" si="141"/>
        <v>0</v>
      </c>
      <c r="BW336" s="319">
        <f t="shared" si="141"/>
        <v>0</v>
      </c>
      <c r="BX336" s="319">
        <f t="shared" si="141"/>
        <v>0</v>
      </c>
      <c r="BY336" s="319">
        <f t="shared" si="141"/>
        <v>0</v>
      </c>
      <c r="BZ336" s="319">
        <f t="shared" si="141"/>
        <v>0</v>
      </c>
      <c r="CA336" s="319">
        <f t="shared" si="141"/>
        <v>0</v>
      </c>
      <c r="CB336" s="319">
        <f t="shared" si="141"/>
        <v>0</v>
      </c>
      <c r="CC336" s="319">
        <f t="shared" si="141"/>
        <v>0</v>
      </c>
      <c r="CD336" s="319">
        <f t="shared" si="141"/>
        <v>0</v>
      </c>
      <c r="CE336" s="319">
        <f t="shared" si="141"/>
        <v>0</v>
      </c>
      <c r="CF336" s="319">
        <f t="shared" si="141"/>
        <v>0</v>
      </c>
      <c r="CG336" s="319">
        <f t="shared" si="141"/>
        <v>0</v>
      </c>
      <c r="CH336" s="319">
        <f t="shared" si="141"/>
        <v>0</v>
      </c>
      <c r="CI336" s="319">
        <f t="shared" si="141"/>
        <v>0</v>
      </c>
      <c r="CJ336" s="319">
        <f t="shared" si="141"/>
        <v>0</v>
      </c>
      <c r="CK336" s="319">
        <f t="shared" si="141"/>
        <v>0</v>
      </c>
      <c r="CL336" s="319">
        <f t="shared" si="141"/>
        <v>0</v>
      </c>
      <c r="CM336" s="319">
        <f t="shared" si="141"/>
        <v>0</v>
      </c>
      <c r="CN336" s="319">
        <f t="shared" si="141"/>
        <v>0</v>
      </c>
      <c r="CO336" s="319">
        <f t="shared" si="141"/>
        <v>0</v>
      </c>
      <c r="CP336" s="319">
        <f t="shared" si="141"/>
        <v>0</v>
      </c>
      <c r="CQ336" s="319">
        <f t="shared" si="141"/>
        <v>0</v>
      </c>
      <c r="CR336" s="319">
        <f t="shared" si="141"/>
        <v>0</v>
      </c>
      <c r="CS336" s="319">
        <f t="shared" si="141"/>
        <v>0</v>
      </c>
      <c r="CT336" s="319">
        <f t="shared" si="141"/>
        <v>0</v>
      </c>
      <c r="CU336" s="319">
        <f t="shared" si="141"/>
        <v>0</v>
      </c>
      <c r="CV336" s="319">
        <f t="shared" si="141"/>
        <v>0</v>
      </c>
    </row>
    <row r="337" spans="1:100" x14ac:dyDescent="0.25">
      <c r="A337" s="319">
        <f t="shared" si="139"/>
        <v>0</v>
      </c>
      <c r="B337" s="319">
        <f t="shared" si="140"/>
        <v>0</v>
      </c>
      <c r="C337" s="340" t="s">
        <v>1332</v>
      </c>
      <c r="D337" s="341" t="s">
        <v>370</v>
      </c>
      <c r="E337" s="341">
        <v>8</v>
      </c>
      <c r="F337" s="341" t="str">
        <f>IF(AND(E337&lt;CharacterSheet!$V$34,'House Rules'!$B$2="available",G336="Yes"),"Yes","No")</f>
        <v>No</v>
      </c>
      <c r="G337" s="564" t="s">
        <v>347</v>
      </c>
      <c r="H337" s="333" t="str">
        <f>IF(C337="","",VLOOKUP(C337,Boonref2!A:B,2,FALSE))</f>
        <v>Yes</v>
      </c>
      <c r="I337" s="333"/>
      <c r="J337" s="333" t="str">
        <f>VLOOKUP(C337,BoonRef!A:Z,17,FALSE)</f>
        <v>No</v>
      </c>
      <c r="K337" s="333" t="str">
        <f>IF(J337="God",'House Rules'!$B$2,IF(J337="Demi",'House Rules'!$B$1,IF(J337="Comp",'House Rules'!$B$4,IF(J337="Yaz",'House Rules'!$B$5,IF(J337="Rag",'House Rules'!$B$3,"Available")))))</f>
        <v>Available</v>
      </c>
      <c r="L337" s="333"/>
      <c r="M337" s="333"/>
      <c r="BF337" s="319">
        <f t="shared" si="132"/>
        <v>0</v>
      </c>
      <c r="BG337" s="330" t="s">
        <v>1082</v>
      </c>
      <c r="BI337" s="319">
        <f t="shared" si="136"/>
        <v>0</v>
      </c>
      <c r="BJ337" s="319">
        <f t="shared" si="141"/>
        <v>0</v>
      </c>
      <c r="BK337" s="319">
        <f t="shared" si="141"/>
        <v>0</v>
      </c>
      <c r="BL337" s="319">
        <f t="shared" si="141"/>
        <v>0</v>
      </c>
      <c r="BM337" s="319">
        <f t="shared" si="141"/>
        <v>0</v>
      </c>
      <c r="BN337" s="319">
        <f t="shared" si="141"/>
        <v>0</v>
      </c>
      <c r="BO337" s="319">
        <f t="shared" si="141"/>
        <v>0</v>
      </c>
      <c r="BP337" s="319">
        <f t="shared" si="141"/>
        <v>0</v>
      </c>
      <c r="BQ337" s="319">
        <f t="shared" si="141"/>
        <v>0</v>
      </c>
      <c r="BR337" s="319">
        <f t="shared" si="141"/>
        <v>0</v>
      </c>
      <c r="BS337" s="319">
        <f t="shared" si="141"/>
        <v>0</v>
      </c>
      <c r="BT337" s="319">
        <f t="shared" si="141"/>
        <v>0</v>
      </c>
      <c r="BU337" s="319">
        <f t="shared" si="141"/>
        <v>0</v>
      </c>
      <c r="BV337" s="319">
        <f t="shared" si="141"/>
        <v>0</v>
      </c>
      <c r="BW337" s="319">
        <f t="shared" si="141"/>
        <v>0</v>
      </c>
      <c r="BX337" s="319">
        <f t="shared" si="141"/>
        <v>0</v>
      </c>
      <c r="BY337" s="319">
        <f t="shared" si="141"/>
        <v>0</v>
      </c>
      <c r="BZ337" s="319">
        <f t="shared" si="141"/>
        <v>0</v>
      </c>
      <c r="CA337" s="319">
        <f t="shared" si="141"/>
        <v>0</v>
      </c>
      <c r="CB337" s="319">
        <f t="shared" si="141"/>
        <v>0</v>
      </c>
      <c r="CC337" s="319">
        <f t="shared" si="141"/>
        <v>0</v>
      </c>
      <c r="CD337" s="319">
        <f t="shared" si="141"/>
        <v>0</v>
      </c>
      <c r="CE337" s="319">
        <f t="shared" si="141"/>
        <v>0</v>
      </c>
      <c r="CF337" s="319">
        <f t="shared" si="141"/>
        <v>0</v>
      </c>
      <c r="CG337" s="319">
        <f t="shared" si="141"/>
        <v>0</v>
      </c>
      <c r="CH337" s="319">
        <f t="shared" si="141"/>
        <v>0</v>
      </c>
      <c r="CI337" s="319">
        <f t="shared" si="141"/>
        <v>0</v>
      </c>
      <c r="CJ337" s="319">
        <f t="shared" si="141"/>
        <v>0</v>
      </c>
      <c r="CK337" s="319">
        <f t="shared" si="141"/>
        <v>0</v>
      </c>
      <c r="CL337" s="319">
        <f t="shared" si="141"/>
        <v>0</v>
      </c>
      <c r="CM337" s="319">
        <f t="shared" si="141"/>
        <v>0</v>
      </c>
      <c r="CN337" s="319">
        <f t="shared" si="141"/>
        <v>0</v>
      </c>
      <c r="CO337" s="319">
        <f t="shared" si="141"/>
        <v>0</v>
      </c>
      <c r="CP337" s="319">
        <f t="shared" si="141"/>
        <v>0</v>
      </c>
      <c r="CQ337" s="319">
        <f t="shared" si="141"/>
        <v>0</v>
      </c>
      <c r="CR337" s="319">
        <f t="shared" si="141"/>
        <v>0</v>
      </c>
      <c r="CS337" s="319">
        <f t="shared" si="141"/>
        <v>0</v>
      </c>
      <c r="CT337" s="319">
        <f t="shared" si="141"/>
        <v>0</v>
      </c>
      <c r="CU337" s="319">
        <f t="shared" si="141"/>
        <v>0</v>
      </c>
      <c r="CV337" s="319">
        <f t="shared" si="141"/>
        <v>0</v>
      </c>
    </row>
    <row r="338" spans="1:100" x14ac:dyDescent="0.25">
      <c r="A338" s="319">
        <f t="shared" si="139"/>
        <v>0</v>
      </c>
      <c r="B338" s="319">
        <f t="shared" si="140"/>
        <v>0</v>
      </c>
      <c r="C338" s="340" t="s">
        <v>1333</v>
      </c>
      <c r="D338" s="341" t="s">
        <v>370</v>
      </c>
      <c r="E338" s="341">
        <v>9</v>
      </c>
      <c r="F338" s="341" t="str">
        <f>IF(AND(E338&lt;CharacterSheet!$V$34,'House Rules'!$B$2="available",G337="Yes"),"Yes","No")</f>
        <v>No</v>
      </c>
      <c r="G338" s="564" t="s">
        <v>347</v>
      </c>
      <c r="H338" s="333" t="str">
        <f>IF(C338="","",VLOOKUP(C338,Boonref2!A:B,2,FALSE))</f>
        <v>Yes</v>
      </c>
      <c r="I338" s="333"/>
      <c r="J338" s="333" t="str">
        <f>VLOOKUP(C338,BoonRef!A:Z,17,FALSE)</f>
        <v>No</v>
      </c>
      <c r="K338" s="333" t="str">
        <f>IF(J338="God",'House Rules'!$B$2,IF(J338="Demi",'House Rules'!$B$1,IF(J338="Comp",'House Rules'!$B$4,IF(J338="Yaz",'House Rules'!$B$5,IF(J338="Rag",'House Rules'!$B$3,"Available")))))</f>
        <v>Available</v>
      </c>
      <c r="L338" s="333"/>
      <c r="M338" s="333"/>
      <c r="BF338" s="319">
        <f t="shared" si="132"/>
        <v>0</v>
      </c>
      <c r="BG338" s="340" t="s">
        <v>1083</v>
      </c>
      <c r="BI338" s="319">
        <f t="shared" si="136"/>
        <v>0</v>
      </c>
      <c r="BJ338" s="319">
        <f t="shared" si="141"/>
        <v>0</v>
      </c>
      <c r="BK338" s="319">
        <f t="shared" si="141"/>
        <v>0</v>
      </c>
      <c r="BL338" s="319">
        <f t="shared" si="141"/>
        <v>0</v>
      </c>
      <c r="BM338" s="319">
        <f t="shared" si="141"/>
        <v>0</v>
      </c>
      <c r="BN338" s="319">
        <f t="shared" si="141"/>
        <v>0</v>
      </c>
      <c r="BO338" s="319">
        <f t="shared" si="141"/>
        <v>0</v>
      </c>
      <c r="BP338" s="319">
        <f t="shared" si="141"/>
        <v>0</v>
      </c>
      <c r="BQ338" s="319">
        <f t="shared" si="141"/>
        <v>0</v>
      </c>
      <c r="BR338" s="319">
        <f t="shared" si="141"/>
        <v>0</v>
      </c>
      <c r="BS338" s="319">
        <f t="shared" ref="BJ338:CV344" si="142">IF(AND($D338=BS$1,$G338="Yes"),$E338,0)</f>
        <v>0</v>
      </c>
      <c r="BT338" s="319">
        <f t="shared" si="142"/>
        <v>0</v>
      </c>
      <c r="BU338" s="319">
        <f t="shared" si="142"/>
        <v>0</v>
      </c>
      <c r="BV338" s="319">
        <f t="shared" si="142"/>
        <v>0</v>
      </c>
      <c r="BW338" s="319">
        <f t="shared" si="142"/>
        <v>0</v>
      </c>
      <c r="BX338" s="319">
        <f t="shared" si="142"/>
        <v>0</v>
      </c>
      <c r="BY338" s="319">
        <f t="shared" si="142"/>
        <v>0</v>
      </c>
      <c r="BZ338" s="319">
        <f t="shared" si="142"/>
        <v>0</v>
      </c>
      <c r="CA338" s="319">
        <f t="shared" si="142"/>
        <v>0</v>
      </c>
      <c r="CB338" s="319">
        <f t="shared" si="142"/>
        <v>0</v>
      </c>
      <c r="CC338" s="319">
        <f t="shared" si="142"/>
        <v>0</v>
      </c>
      <c r="CD338" s="319">
        <f t="shared" si="142"/>
        <v>0</v>
      </c>
      <c r="CE338" s="319">
        <f t="shared" si="142"/>
        <v>0</v>
      </c>
      <c r="CF338" s="319">
        <f t="shared" si="142"/>
        <v>0</v>
      </c>
      <c r="CG338" s="319">
        <f t="shared" si="142"/>
        <v>0</v>
      </c>
      <c r="CH338" s="319">
        <f t="shared" si="142"/>
        <v>0</v>
      </c>
      <c r="CI338" s="319">
        <f t="shared" si="142"/>
        <v>0</v>
      </c>
      <c r="CJ338" s="319">
        <f t="shared" si="142"/>
        <v>0</v>
      </c>
      <c r="CK338" s="319">
        <f t="shared" si="142"/>
        <v>0</v>
      </c>
      <c r="CL338" s="319">
        <f t="shared" si="142"/>
        <v>0</v>
      </c>
      <c r="CM338" s="319">
        <f t="shared" si="142"/>
        <v>0</v>
      </c>
      <c r="CN338" s="319">
        <f t="shared" si="142"/>
        <v>0</v>
      </c>
      <c r="CO338" s="319">
        <f t="shared" si="142"/>
        <v>0</v>
      </c>
      <c r="CP338" s="319">
        <f t="shared" si="142"/>
        <v>0</v>
      </c>
      <c r="CQ338" s="319">
        <f t="shared" si="142"/>
        <v>0</v>
      </c>
      <c r="CR338" s="319">
        <f t="shared" si="142"/>
        <v>0</v>
      </c>
      <c r="CS338" s="319">
        <f t="shared" si="142"/>
        <v>0</v>
      </c>
      <c r="CT338" s="319">
        <f t="shared" si="142"/>
        <v>0</v>
      </c>
      <c r="CU338" s="319">
        <f t="shared" si="142"/>
        <v>0</v>
      </c>
      <c r="CV338" s="319">
        <f t="shared" si="142"/>
        <v>0</v>
      </c>
    </row>
    <row r="339" spans="1:100" x14ac:dyDescent="0.25">
      <c r="A339" s="319">
        <f t="shared" si="139"/>
        <v>0</v>
      </c>
      <c r="B339" s="319">
        <f>IF(G339="Yes",B338+1,B338)</f>
        <v>0</v>
      </c>
      <c r="C339" s="340" t="s">
        <v>1334</v>
      </c>
      <c r="D339" s="341" t="s">
        <v>370</v>
      </c>
      <c r="E339" s="341">
        <v>10</v>
      </c>
      <c r="F339" s="341" t="str">
        <f>IF(AND(E339&lt;CharacterSheet!$V$34,'House Rules'!$B$2="available",G338="Yes"),"Yes","No")</f>
        <v>No</v>
      </c>
      <c r="G339" s="564" t="s">
        <v>347</v>
      </c>
      <c r="H339" s="333" t="str">
        <f>IF(C339="","",VLOOKUP(C339,Boonref2!A:B,2,FALSE))</f>
        <v>Yes</v>
      </c>
      <c r="I339" s="333"/>
      <c r="J339" s="333" t="str">
        <f>VLOOKUP(C339,BoonRef!A:Z,17,FALSE)</f>
        <v>No</v>
      </c>
      <c r="K339" s="333" t="str">
        <f>IF(J339="God",'House Rules'!$B$2,IF(J339="Demi",'House Rules'!$B$1,IF(J339="Comp",'House Rules'!$B$4,IF(J339="Yaz",'House Rules'!$B$5,IF(J339="Rag",'House Rules'!$B$3,"Available")))))</f>
        <v>Available</v>
      </c>
      <c r="L339" s="333"/>
      <c r="M339" s="333"/>
      <c r="BF339" s="319">
        <f t="shared" si="132"/>
        <v>0</v>
      </c>
      <c r="BG339" s="340" t="s">
        <v>1084</v>
      </c>
      <c r="BI339" s="319">
        <f t="shared" si="136"/>
        <v>0</v>
      </c>
      <c r="BJ339" s="319">
        <f t="shared" si="142"/>
        <v>0</v>
      </c>
      <c r="BK339" s="319">
        <f t="shared" si="142"/>
        <v>0</v>
      </c>
      <c r="BL339" s="319">
        <f t="shared" si="142"/>
        <v>0</v>
      </c>
      <c r="BM339" s="319">
        <f t="shared" si="142"/>
        <v>0</v>
      </c>
      <c r="BN339" s="319">
        <f t="shared" si="142"/>
        <v>0</v>
      </c>
      <c r="BO339" s="319">
        <f t="shared" si="142"/>
        <v>0</v>
      </c>
      <c r="BP339" s="319">
        <f t="shared" si="142"/>
        <v>0</v>
      </c>
      <c r="BQ339" s="319">
        <f t="shared" si="142"/>
        <v>0</v>
      </c>
      <c r="BR339" s="319">
        <f t="shared" si="142"/>
        <v>0</v>
      </c>
      <c r="BS339" s="319">
        <f t="shared" si="142"/>
        <v>0</v>
      </c>
      <c r="BT339" s="319">
        <f t="shared" si="142"/>
        <v>0</v>
      </c>
      <c r="BU339" s="319">
        <f t="shared" si="142"/>
        <v>0</v>
      </c>
      <c r="BV339" s="319">
        <f t="shared" si="142"/>
        <v>0</v>
      </c>
      <c r="BW339" s="319">
        <f t="shared" si="142"/>
        <v>0</v>
      </c>
      <c r="BX339" s="319">
        <f t="shared" si="142"/>
        <v>0</v>
      </c>
      <c r="BY339" s="319">
        <f t="shared" si="142"/>
        <v>0</v>
      </c>
      <c r="BZ339" s="319">
        <f t="shared" si="142"/>
        <v>0</v>
      </c>
      <c r="CA339" s="319">
        <f t="shared" si="142"/>
        <v>0</v>
      </c>
      <c r="CB339" s="319">
        <f t="shared" si="142"/>
        <v>0</v>
      </c>
      <c r="CC339" s="319">
        <f t="shared" si="142"/>
        <v>0</v>
      </c>
      <c r="CD339" s="319">
        <f t="shared" si="142"/>
        <v>0</v>
      </c>
      <c r="CE339" s="319">
        <f t="shared" si="142"/>
        <v>0</v>
      </c>
      <c r="CF339" s="319">
        <f t="shared" si="142"/>
        <v>0</v>
      </c>
      <c r="CG339" s="319">
        <f t="shared" si="142"/>
        <v>0</v>
      </c>
      <c r="CH339" s="319">
        <f t="shared" si="142"/>
        <v>0</v>
      </c>
      <c r="CI339" s="319">
        <f t="shared" si="142"/>
        <v>0</v>
      </c>
      <c r="CJ339" s="319">
        <f t="shared" si="142"/>
        <v>0</v>
      </c>
      <c r="CK339" s="319">
        <f t="shared" si="142"/>
        <v>0</v>
      </c>
      <c r="CL339" s="319">
        <f t="shared" si="142"/>
        <v>0</v>
      </c>
      <c r="CM339" s="319">
        <f t="shared" si="142"/>
        <v>0</v>
      </c>
      <c r="CN339" s="319">
        <f t="shared" si="142"/>
        <v>0</v>
      </c>
      <c r="CO339" s="319">
        <f t="shared" si="142"/>
        <v>0</v>
      </c>
      <c r="CP339" s="319">
        <f t="shared" si="142"/>
        <v>0</v>
      </c>
      <c r="CQ339" s="319">
        <f t="shared" si="142"/>
        <v>0</v>
      </c>
      <c r="CR339" s="319">
        <f t="shared" si="142"/>
        <v>0</v>
      </c>
      <c r="CS339" s="319">
        <f t="shared" si="142"/>
        <v>0</v>
      </c>
      <c r="CT339" s="319">
        <f t="shared" si="142"/>
        <v>0</v>
      </c>
      <c r="CU339" s="319">
        <f t="shared" si="142"/>
        <v>0</v>
      </c>
      <c r="CV339" s="319">
        <f t="shared" si="142"/>
        <v>0</v>
      </c>
    </row>
    <row r="340" spans="1:100" ht="15.75" thickBot="1" x14ac:dyDescent="0.3">
      <c r="A340" s="319">
        <f t="shared" si="138"/>
        <v>0</v>
      </c>
      <c r="B340" s="319">
        <f t="shared" ref="B340:B396" si="143">IF(G340="Yes",B339+1,B339)</f>
        <v>0</v>
      </c>
      <c r="C340" s="352" t="s">
        <v>1335</v>
      </c>
      <c r="D340" s="353" t="s">
        <v>370</v>
      </c>
      <c r="E340" s="353">
        <v>11</v>
      </c>
      <c r="F340" s="353" t="str">
        <f>IF(AND(E340&lt;CharacterSheet!$V$34,'House Rules'!$B$2="available",G339="Yes",G329="No",G307="No"),"Yes","No")</f>
        <v>No</v>
      </c>
      <c r="G340" s="565" t="s">
        <v>347</v>
      </c>
      <c r="H340" s="333" t="str">
        <f>IF(C340="","",VLOOKUP(C340,Boonref2!A:B,2,FALSE))</f>
        <v>No</v>
      </c>
      <c r="I340" s="333"/>
      <c r="J340" s="333" t="str">
        <f>VLOOKUP(C340,BoonRef!A:Z,17,FALSE)</f>
        <v>Yes</v>
      </c>
      <c r="K340" s="333" t="str">
        <f>IF(J340="God",'House Rules'!$B$2,IF(J340="Demi",'House Rules'!$B$1,IF(J340="Comp",'House Rules'!$B$4,IF(J340="Yaz",'House Rules'!$B$5,IF(J340="Rag",'House Rules'!$B$3,"Available")))))</f>
        <v>Available</v>
      </c>
      <c r="L340" s="333"/>
      <c r="M340" s="333"/>
      <c r="BF340" s="319">
        <f t="shared" si="132"/>
        <v>0</v>
      </c>
      <c r="BG340" s="340" t="s">
        <v>1167</v>
      </c>
      <c r="BI340" s="319">
        <f t="shared" si="136"/>
        <v>0</v>
      </c>
      <c r="BJ340" s="319">
        <f t="shared" si="142"/>
        <v>0</v>
      </c>
      <c r="BK340" s="319">
        <f t="shared" si="142"/>
        <v>0</v>
      </c>
      <c r="BL340" s="319">
        <f t="shared" si="142"/>
        <v>0</v>
      </c>
      <c r="BM340" s="319">
        <f t="shared" si="142"/>
        <v>0</v>
      </c>
      <c r="BN340" s="319">
        <f t="shared" si="142"/>
        <v>0</v>
      </c>
      <c r="BO340" s="319">
        <f t="shared" si="142"/>
        <v>0</v>
      </c>
      <c r="BP340" s="319">
        <f t="shared" si="142"/>
        <v>0</v>
      </c>
      <c r="BQ340" s="319">
        <f t="shared" si="142"/>
        <v>0</v>
      </c>
      <c r="BR340" s="319">
        <f t="shared" si="142"/>
        <v>0</v>
      </c>
      <c r="BS340" s="319">
        <f t="shared" si="142"/>
        <v>0</v>
      </c>
      <c r="BT340" s="319">
        <f t="shared" si="142"/>
        <v>0</v>
      </c>
      <c r="BU340" s="319">
        <f t="shared" si="142"/>
        <v>0</v>
      </c>
      <c r="BV340" s="319">
        <f t="shared" si="142"/>
        <v>0</v>
      </c>
      <c r="BW340" s="319">
        <f t="shared" si="142"/>
        <v>0</v>
      </c>
      <c r="BX340" s="319">
        <f t="shared" si="142"/>
        <v>0</v>
      </c>
      <c r="BY340" s="319">
        <f t="shared" si="142"/>
        <v>0</v>
      </c>
      <c r="BZ340" s="319">
        <f t="shared" si="142"/>
        <v>0</v>
      </c>
      <c r="CA340" s="319">
        <f t="shared" si="142"/>
        <v>0</v>
      </c>
      <c r="CB340" s="319">
        <f t="shared" si="142"/>
        <v>0</v>
      </c>
      <c r="CC340" s="319">
        <f t="shared" si="142"/>
        <v>0</v>
      </c>
      <c r="CD340" s="319">
        <f t="shared" si="142"/>
        <v>0</v>
      </c>
      <c r="CE340" s="319">
        <f t="shared" si="142"/>
        <v>0</v>
      </c>
      <c r="CF340" s="319">
        <f t="shared" si="142"/>
        <v>0</v>
      </c>
      <c r="CG340" s="319">
        <f t="shared" si="142"/>
        <v>0</v>
      </c>
      <c r="CH340" s="319">
        <f t="shared" si="142"/>
        <v>0</v>
      </c>
      <c r="CI340" s="319">
        <f t="shared" si="142"/>
        <v>0</v>
      </c>
      <c r="CJ340" s="319">
        <f t="shared" si="142"/>
        <v>0</v>
      </c>
      <c r="CK340" s="319">
        <f t="shared" si="142"/>
        <v>0</v>
      </c>
      <c r="CL340" s="319">
        <f t="shared" si="142"/>
        <v>0</v>
      </c>
      <c r="CM340" s="319">
        <f t="shared" si="142"/>
        <v>0</v>
      </c>
      <c r="CN340" s="319">
        <f t="shared" si="142"/>
        <v>0</v>
      </c>
      <c r="CO340" s="319">
        <f t="shared" si="142"/>
        <v>0</v>
      </c>
      <c r="CP340" s="319">
        <f t="shared" si="142"/>
        <v>0</v>
      </c>
      <c r="CQ340" s="319">
        <f t="shared" si="142"/>
        <v>0</v>
      </c>
      <c r="CR340" s="319">
        <f t="shared" si="142"/>
        <v>0</v>
      </c>
      <c r="CS340" s="319">
        <f t="shared" si="142"/>
        <v>0</v>
      </c>
      <c r="CT340" s="319">
        <f t="shared" si="142"/>
        <v>0</v>
      </c>
      <c r="CU340" s="319">
        <f t="shared" si="142"/>
        <v>0</v>
      </c>
      <c r="CV340" s="319">
        <f t="shared" si="142"/>
        <v>0</v>
      </c>
    </row>
    <row r="341" spans="1:100" x14ac:dyDescent="0.25">
      <c r="A341" s="319">
        <f t="shared" si="138"/>
        <v>0</v>
      </c>
      <c r="B341" s="319">
        <f t="shared" si="143"/>
        <v>0</v>
      </c>
      <c r="C341" s="364" t="str">
        <f>IF(Sandbox!AX8="","",Sandbox!AX8)</f>
        <v/>
      </c>
      <c r="D341" s="406" t="str">
        <f>IF(Sandbox!$BH$4="","",Sandbox!$BH$4)</f>
        <v/>
      </c>
      <c r="E341" s="406" t="str">
        <f>IF(Sandbox!AY8="","",Sandbox!AY8)</f>
        <v/>
      </c>
      <c r="F341" s="406" t="str">
        <f>IF(E341&lt;CharacterSheet!$V$34,"Yes","No")</f>
        <v>No</v>
      </c>
      <c r="G341" s="570" t="s">
        <v>347</v>
      </c>
      <c r="H341" s="333" t="str">
        <f>IF(C341="","",VLOOKUP(C341,Boonref2!A:B,2,FALSE))</f>
        <v/>
      </c>
      <c r="I341" s="333"/>
      <c r="J341" s="333" t="str">
        <f>VLOOKUP(C341,BoonRef!A:Z,17,FALSE)</f>
        <v>Yes</v>
      </c>
      <c r="K341" s="333" t="str">
        <f>IF(J341="God",'House Rules'!$B$2,IF(J341="Demi",'House Rules'!$B$1,IF(J341="Comp",'House Rules'!$B$4,IF(J341="Yaz",'House Rules'!$B$5,IF(J341="Rag",'House Rules'!$B$3,"Available")))))</f>
        <v>Available</v>
      </c>
      <c r="L341" s="333"/>
      <c r="M341" s="333"/>
      <c r="BF341" s="319">
        <f t="shared" si="132"/>
        <v>0</v>
      </c>
      <c r="BG341" s="340" t="s">
        <v>1391</v>
      </c>
      <c r="BI341" s="319">
        <f t="shared" si="136"/>
        <v>0</v>
      </c>
      <c r="BJ341" s="319">
        <f t="shared" si="142"/>
        <v>0</v>
      </c>
      <c r="BK341" s="319">
        <f t="shared" si="142"/>
        <v>0</v>
      </c>
      <c r="BL341" s="319">
        <f t="shared" si="142"/>
        <v>0</v>
      </c>
      <c r="BM341" s="319">
        <f t="shared" si="142"/>
        <v>0</v>
      </c>
      <c r="BN341" s="319">
        <f t="shared" si="142"/>
        <v>0</v>
      </c>
      <c r="BO341" s="319">
        <f t="shared" si="142"/>
        <v>0</v>
      </c>
      <c r="BP341" s="319">
        <f t="shared" si="142"/>
        <v>0</v>
      </c>
      <c r="BQ341" s="319">
        <f t="shared" si="142"/>
        <v>0</v>
      </c>
      <c r="BR341" s="319">
        <f t="shared" si="142"/>
        <v>0</v>
      </c>
      <c r="BS341" s="319">
        <f t="shared" si="142"/>
        <v>0</v>
      </c>
      <c r="BT341" s="319">
        <f t="shared" si="142"/>
        <v>0</v>
      </c>
      <c r="BU341" s="319">
        <f t="shared" si="142"/>
        <v>0</v>
      </c>
      <c r="BV341" s="319">
        <f t="shared" si="142"/>
        <v>0</v>
      </c>
      <c r="BW341" s="319">
        <f t="shared" si="142"/>
        <v>0</v>
      </c>
      <c r="BX341" s="319">
        <f t="shared" si="142"/>
        <v>0</v>
      </c>
      <c r="BY341" s="319">
        <f t="shared" si="142"/>
        <v>0</v>
      </c>
      <c r="BZ341" s="319">
        <f t="shared" si="142"/>
        <v>0</v>
      </c>
      <c r="CA341" s="319">
        <f t="shared" si="142"/>
        <v>0</v>
      </c>
      <c r="CB341" s="319">
        <f t="shared" si="142"/>
        <v>0</v>
      </c>
      <c r="CC341" s="319">
        <f t="shared" si="142"/>
        <v>0</v>
      </c>
      <c r="CD341" s="319">
        <f t="shared" si="142"/>
        <v>0</v>
      </c>
      <c r="CE341" s="319">
        <f t="shared" si="142"/>
        <v>0</v>
      </c>
      <c r="CF341" s="319">
        <f t="shared" si="142"/>
        <v>0</v>
      </c>
      <c r="CG341" s="319">
        <f t="shared" si="142"/>
        <v>0</v>
      </c>
      <c r="CH341" s="319">
        <f t="shared" si="142"/>
        <v>0</v>
      </c>
      <c r="CI341" s="319">
        <f t="shared" si="142"/>
        <v>0</v>
      </c>
      <c r="CJ341" s="319">
        <f t="shared" si="142"/>
        <v>0</v>
      </c>
      <c r="CK341" s="319">
        <f t="shared" si="142"/>
        <v>0</v>
      </c>
      <c r="CL341" s="319">
        <f t="shared" si="142"/>
        <v>0</v>
      </c>
      <c r="CM341" s="319">
        <f t="shared" si="142"/>
        <v>0</v>
      </c>
      <c r="CN341" s="319">
        <f t="shared" si="142"/>
        <v>0</v>
      </c>
      <c r="CO341" s="319">
        <f t="shared" si="142"/>
        <v>0</v>
      </c>
      <c r="CP341" s="319">
        <f t="shared" si="142"/>
        <v>0</v>
      </c>
      <c r="CQ341" s="319">
        <f t="shared" si="142"/>
        <v>0</v>
      </c>
      <c r="CR341" s="319">
        <f t="shared" si="142"/>
        <v>0</v>
      </c>
      <c r="CS341" s="319">
        <f t="shared" si="142"/>
        <v>0</v>
      </c>
      <c r="CT341" s="319">
        <f t="shared" si="142"/>
        <v>0</v>
      </c>
      <c r="CU341" s="319">
        <f t="shared" si="142"/>
        <v>0</v>
      </c>
      <c r="CV341" s="319">
        <f t="shared" si="142"/>
        <v>0</v>
      </c>
    </row>
    <row r="342" spans="1:100" x14ac:dyDescent="0.25">
      <c r="A342" s="319">
        <f t="shared" si="138"/>
        <v>0</v>
      </c>
      <c r="B342" s="319">
        <f t="shared" si="143"/>
        <v>0</v>
      </c>
      <c r="C342" s="345" t="str">
        <f>IF(Sandbox!AX9="","",Sandbox!AX9)</f>
        <v/>
      </c>
      <c r="D342" s="343" t="str">
        <f>IF(Sandbox!$BH$4="","",Sandbox!$BH$4)</f>
        <v/>
      </c>
      <c r="E342" s="343" t="str">
        <f>IF(Sandbox!AY9="","",Sandbox!AY9)</f>
        <v/>
      </c>
      <c r="F342" s="343" t="str">
        <f>IF(E342&lt;CharacterSheet!$V$34,"Yes","No")</f>
        <v>No</v>
      </c>
      <c r="G342" s="564" t="s">
        <v>347</v>
      </c>
      <c r="H342" s="333" t="str">
        <f>IF(C342="","",VLOOKUP(C342,Boonref2!A:B,2,FALSE))</f>
        <v/>
      </c>
      <c r="I342" s="333"/>
      <c r="J342" s="333" t="str">
        <f>VLOOKUP(C342,BoonRef!A:Z,17,FALSE)</f>
        <v>Yes</v>
      </c>
      <c r="K342" s="333" t="str">
        <f>IF(J342="God",'House Rules'!$B$2,IF(J342="Demi",'House Rules'!$B$1,IF(J342="Comp",'House Rules'!$B$4,IF(J342="Yaz",'House Rules'!$B$5,IF(J342="Rag",'House Rules'!$B$3,"Available")))))</f>
        <v>Available</v>
      </c>
      <c r="L342" s="333"/>
      <c r="M342" s="333"/>
      <c r="BF342" s="319">
        <f t="shared" si="132"/>
        <v>0</v>
      </c>
      <c r="BG342" s="340" t="s">
        <v>1168</v>
      </c>
      <c r="BI342" s="319">
        <f t="shared" si="136"/>
        <v>0</v>
      </c>
      <c r="BJ342" s="319">
        <f t="shared" si="142"/>
        <v>0</v>
      </c>
      <c r="BK342" s="319">
        <f t="shared" si="142"/>
        <v>0</v>
      </c>
      <c r="BL342" s="319">
        <f t="shared" si="142"/>
        <v>0</v>
      </c>
      <c r="BM342" s="319">
        <f t="shared" si="142"/>
        <v>0</v>
      </c>
      <c r="BN342" s="319">
        <f t="shared" si="142"/>
        <v>0</v>
      </c>
      <c r="BO342" s="319">
        <f t="shared" si="142"/>
        <v>0</v>
      </c>
      <c r="BP342" s="319">
        <f t="shared" si="142"/>
        <v>0</v>
      </c>
      <c r="BQ342" s="319">
        <f t="shared" si="142"/>
        <v>0</v>
      </c>
      <c r="BR342" s="319">
        <f t="shared" si="142"/>
        <v>0</v>
      </c>
      <c r="BS342" s="319">
        <f t="shared" si="142"/>
        <v>0</v>
      </c>
      <c r="BT342" s="319">
        <f t="shared" si="142"/>
        <v>0</v>
      </c>
      <c r="BU342" s="319">
        <f t="shared" si="142"/>
        <v>0</v>
      </c>
      <c r="BV342" s="319">
        <f t="shared" si="142"/>
        <v>0</v>
      </c>
      <c r="BW342" s="319">
        <f t="shared" si="142"/>
        <v>0</v>
      </c>
      <c r="BX342" s="319">
        <f t="shared" si="142"/>
        <v>0</v>
      </c>
      <c r="BY342" s="319">
        <f t="shared" si="142"/>
        <v>0</v>
      </c>
      <c r="BZ342" s="319">
        <f t="shared" si="142"/>
        <v>0</v>
      </c>
      <c r="CA342" s="319">
        <f t="shared" si="142"/>
        <v>0</v>
      </c>
      <c r="CB342" s="319">
        <f t="shared" si="142"/>
        <v>0</v>
      </c>
      <c r="CC342" s="319">
        <f t="shared" si="142"/>
        <v>0</v>
      </c>
      <c r="CD342" s="319">
        <f t="shared" si="142"/>
        <v>0</v>
      </c>
      <c r="CE342" s="319">
        <f t="shared" si="142"/>
        <v>0</v>
      </c>
      <c r="CF342" s="319">
        <f t="shared" si="142"/>
        <v>0</v>
      </c>
      <c r="CG342" s="319">
        <f t="shared" si="142"/>
        <v>0</v>
      </c>
      <c r="CH342" s="319">
        <f t="shared" si="142"/>
        <v>0</v>
      </c>
      <c r="CI342" s="319">
        <f t="shared" si="142"/>
        <v>0</v>
      </c>
      <c r="CJ342" s="319">
        <f t="shared" si="142"/>
        <v>0</v>
      </c>
      <c r="CK342" s="319">
        <f t="shared" si="142"/>
        <v>0</v>
      </c>
      <c r="CL342" s="319">
        <f t="shared" si="142"/>
        <v>0</v>
      </c>
      <c r="CM342" s="319">
        <f t="shared" si="142"/>
        <v>0</v>
      </c>
      <c r="CN342" s="319">
        <f t="shared" si="142"/>
        <v>0</v>
      </c>
      <c r="CO342" s="319">
        <f t="shared" si="142"/>
        <v>0</v>
      </c>
      <c r="CP342" s="319">
        <f t="shared" si="142"/>
        <v>0</v>
      </c>
      <c r="CQ342" s="319">
        <f t="shared" si="142"/>
        <v>0</v>
      </c>
      <c r="CR342" s="319">
        <f t="shared" si="142"/>
        <v>0</v>
      </c>
      <c r="CS342" s="319">
        <f t="shared" si="142"/>
        <v>0</v>
      </c>
      <c r="CT342" s="319">
        <f t="shared" si="142"/>
        <v>0</v>
      </c>
      <c r="CU342" s="319">
        <f t="shared" si="142"/>
        <v>0</v>
      </c>
      <c r="CV342" s="319">
        <f t="shared" si="142"/>
        <v>0</v>
      </c>
    </row>
    <row r="343" spans="1:100" x14ac:dyDescent="0.25">
      <c r="A343" s="319">
        <f t="shared" si="138"/>
        <v>0</v>
      </c>
      <c r="B343" s="319">
        <f t="shared" si="143"/>
        <v>0</v>
      </c>
      <c r="C343" s="345" t="str">
        <f>IF(Sandbox!AX10="","",Sandbox!AX10)</f>
        <v/>
      </c>
      <c r="D343" s="343" t="str">
        <f>IF(Sandbox!$BH$4="","",Sandbox!$BH$4)</f>
        <v/>
      </c>
      <c r="E343" s="343" t="str">
        <f>IF(Sandbox!AY10="","",Sandbox!AY10)</f>
        <v/>
      </c>
      <c r="F343" s="343" t="str">
        <f>IF(E343&lt;CharacterSheet!$V$34,"Yes","No")</f>
        <v>No</v>
      </c>
      <c r="G343" s="564" t="s">
        <v>347</v>
      </c>
      <c r="H343" s="333" t="str">
        <f>IF(C343="","",VLOOKUP(C343,Boonref2!A:B,2,FALSE))</f>
        <v/>
      </c>
      <c r="I343" s="333"/>
      <c r="J343" s="333" t="str">
        <f>VLOOKUP(C343,BoonRef!A:Z,17,FALSE)</f>
        <v>Yes</v>
      </c>
      <c r="K343" s="333" t="str">
        <f>IF(J343="God",'House Rules'!$B$2,IF(J343="Demi",'House Rules'!$B$1,IF(J343="Comp",'House Rules'!$B$4,IF(J343="Yaz",'House Rules'!$B$5,IF(J343="Rag",'House Rules'!$B$3,"Available")))))</f>
        <v>Available</v>
      </c>
      <c r="L343" s="333"/>
      <c r="M343" s="333"/>
      <c r="BF343" s="319">
        <f t="shared" si="132"/>
        <v>0</v>
      </c>
      <c r="BG343" s="340" t="s">
        <v>1169</v>
      </c>
      <c r="BI343" s="319">
        <f t="shared" si="136"/>
        <v>0</v>
      </c>
      <c r="BJ343" s="319">
        <f t="shared" si="142"/>
        <v>0</v>
      </c>
      <c r="BK343" s="319">
        <f t="shared" si="142"/>
        <v>0</v>
      </c>
      <c r="BL343" s="319">
        <f t="shared" si="142"/>
        <v>0</v>
      </c>
      <c r="BM343" s="319">
        <f t="shared" si="142"/>
        <v>0</v>
      </c>
      <c r="BN343" s="319">
        <f t="shared" si="142"/>
        <v>0</v>
      </c>
      <c r="BO343" s="319">
        <f t="shared" si="142"/>
        <v>0</v>
      </c>
      <c r="BP343" s="319">
        <f t="shared" si="142"/>
        <v>0</v>
      </c>
      <c r="BQ343" s="319">
        <f t="shared" si="142"/>
        <v>0</v>
      </c>
      <c r="BR343" s="319">
        <f t="shared" si="142"/>
        <v>0</v>
      </c>
      <c r="BS343" s="319">
        <f t="shared" si="142"/>
        <v>0</v>
      </c>
      <c r="BT343" s="319">
        <f t="shared" si="142"/>
        <v>0</v>
      </c>
      <c r="BU343" s="319">
        <f t="shared" si="142"/>
        <v>0</v>
      </c>
      <c r="BV343" s="319">
        <f t="shared" si="142"/>
        <v>0</v>
      </c>
      <c r="BW343" s="319">
        <f t="shared" si="142"/>
        <v>0</v>
      </c>
      <c r="BX343" s="319">
        <f t="shared" si="142"/>
        <v>0</v>
      </c>
      <c r="BY343" s="319">
        <f t="shared" si="142"/>
        <v>0</v>
      </c>
      <c r="BZ343" s="319">
        <f t="shared" si="142"/>
        <v>0</v>
      </c>
      <c r="CA343" s="319">
        <f t="shared" si="142"/>
        <v>0</v>
      </c>
      <c r="CB343" s="319">
        <f t="shared" si="142"/>
        <v>0</v>
      </c>
      <c r="CC343" s="319">
        <f t="shared" si="142"/>
        <v>0</v>
      </c>
      <c r="CD343" s="319">
        <f t="shared" si="142"/>
        <v>0</v>
      </c>
      <c r="CE343" s="319">
        <f t="shared" si="142"/>
        <v>0</v>
      </c>
      <c r="CF343" s="319">
        <f t="shared" si="142"/>
        <v>0</v>
      </c>
      <c r="CG343" s="319">
        <f t="shared" si="142"/>
        <v>0</v>
      </c>
      <c r="CH343" s="319">
        <f t="shared" si="142"/>
        <v>0</v>
      </c>
      <c r="CI343" s="319">
        <f t="shared" si="142"/>
        <v>0</v>
      </c>
      <c r="CJ343" s="319">
        <f t="shared" si="142"/>
        <v>0</v>
      </c>
      <c r="CK343" s="319">
        <f t="shared" si="142"/>
        <v>0</v>
      </c>
      <c r="CL343" s="319">
        <f t="shared" si="142"/>
        <v>0</v>
      </c>
      <c r="CM343" s="319">
        <f t="shared" si="142"/>
        <v>0</v>
      </c>
      <c r="CN343" s="319">
        <f t="shared" si="142"/>
        <v>0</v>
      </c>
      <c r="CO343" s="319">
        <f t="shared" si="142"/>
        <v>0</v>
      </c>
      <c r="CP343" s="319">
        <f t="shared" si="142"/>
        <v>0</v>
      </c>
      <c r="CQ343" s="319">
        <f t="shared" si="142"/>
        <v>0</v>
      </c>
      <c r="CR343" s="319">
        <f t="shared" si="142"/>
        <v>0</v>
      </c>
      <c r="CS343" s="319">
        <f t="shared" si="142"/>
        <v>0</v>
      </c>
      <c r="CT343" s="319">
        <f t="shared" si="142"/>
        <v>0</v>
      </c>
      <c r="CU343" s="319">
        <f t="shared" si="142"/>
        <v>0</v>
      </c>
      <c r="CV343" s="319">
        <f t="shared" si="142"/>
        <v>0</v>
      </c>
    </row>
    <row r="344" spans="1:100" x14ac:dyDescent="0.25">
      <c r="A344" s="319">
        <f t="shared" si="138"/>
        <v>0</v>
      </c>
      <c r="B344" s="319">
        <f t="shared" si="143"/>
        <v>0</v>
      </c>
      <c r="C344" s="345" t="str">
        <f>IF(Sandbox!AX11="","",Sandbox!AX11)</f>
        <v/>
      </c>
      <c r="D344" s="343" t="str">
        <f>IF(Sandbox!$BH$4="","",Sandbox!$BH$4)</f>
        <v/>
      </c>
      <c r="E344" s="343" t="str">
        <f>IF(Sandbox!AY11="","",Sandbox!AY11)</f>
        <v/>
      </c>
      <c r="F344" s="343" t="str">
        <f>IF(E344&lt;CharacterSheet!$V$34,"Yes","No")</f>
        <v>No</v>
      </c>
      <c r="G344" s="564" t="s">
        <v>347</v>
      </c>
      <c r="H344" s="333" t="str">
        <f>IF(C344="","",VLOOKUP(C344,Boonref2!A:B,2,FALSE))</f>
        <v/>
      </c>
      <c r="I344" s="333"/>
      <c r="J344" s="333" t="str">
        <f>VLOOKUP(C344,BoonRef!A:Z,17,FALSE)</f>
        <v>Yes</v>
      </c>
      <c r="K344" s="333" t="str">
        <f>IF(J344="God",'House Rules'!$B$2,IF(J344="Demi",'House Rules'!$B$1,IF(J344="Comp",'House Rules'!$B$4,IF(J344="Yaz",'House Rules'!$B$5,IF(J344="Rag",'House Rules'!$B$3,"Available")))))</f>
        <v>Available</v>
      </c>
      <c r="L344" s="333"/>
      <c r="M344" s="333"/>
      <c r="BF344" s="319">
        <f t="shared" si="132"/>
        <v>0</v>
      </c>
      <c r="BG344" s="340" t="s">
        <v>1170</v>
      </c>
      <c r="BI344" s="319">
        <f t="shared" si="136"/>
        <v>0</v>
      </c>
      <c r="BJ344" s="319">
        <f t="shared" si="142"/>
        <v>0</v>
      </c>
      <c r="BK344" s="319">
        <f t="shared" si="142"/>
        <v>0</v>
      </c>
      <c r="BL344" s="319">
        <f t="shared" si="142"/>
        <v>0</v>
      </c>
      <c r="BM344" s="319">
        <f t="shared" si="142"/>
        <v>0</v>
      </c>
      <c r="BN344" s="319">
        <f t="shared" si="142"/>
        <v>0</v>
      </c>
      <c r="BO344" s="319">
        <f t="shared" si="142"/>
        <v>0</v>
      </c>
      <c r="BP344" s="319">
        <f t="shared" si="142"/>
        <v>0</v>
      </c>
      <c r="BQ344" s="319">
        <f t="shared" si="142"/>
        <v>0</v>
      </c>
      <c r="BR344" s="319">
        <f t="shared" si="142"/>
        <v>0</v>
      </c>
      <c r="BS344" s="319">
        <f t="shared" si="142"/>
        <v>0</v>
      </c>
      <c r="BT344" s="319">
        <f t="shared" si="142"/>
        <v>0</v>
      </c>
      <c r="BU344" s="319">
        <f t="shared" si="142"/>
        <v>0</v>
      </c>
      <c r="BV344" s="319">
        <f t="shared" si="142"/>
        <v>0</v>
      </c>
      <c r="BW344" s="319">
        <f t="shared" si="142"/>
        <v>0</v>
      </c>
      <c r="BX344" s="319">
        <f t="shared" si="142"/>
        <v>0</v>
      </c>
      <c r="BY344" s="319">
        <f t="shared" si="142"/>
        <v>0</v>
      </c>
      <c r="BZ344" s="319">
        <f t="shared" si="142"/>
        <v>0</v>
      </c>
      <c r="CA344" s="319">
        <f t="shared" si="142"/>
        <v>0</v>
      </c>
      <c r="CB344" s="319">
        <f t="shared" si="142"/>
        <v>0</v>
      </c>
      <c r="CC344" s="319">
        <f t="shared" si="142"/>
        <v>0</v>
      </c>
      <c r="CD344" s="319">
        <f t="shared" si="142"/>
        <v>0</v>
      </c>
      <c r="CE344" s="319">
        <f t="shared" si="142"/>
        <v>0</v>
      </c>
      <c r="CF344" s="319">
        <f t="shared" si="142"/>
        <v>0</v>
      </c>
      <c r="CG344" s="319">
        <f t="shared" si="142"/>
        <v>0</v>
      </c>
      <c r="CH344" s="319">
        <f t="shared" si="142"/>
        <v>0</v>
      </c>
      <c r="CI344" s="319">
        <f t="shared" si="142"/>
        <v>0</v>
      </c>
      <c r="CJ344" s="319">
        <f t="shared" si="142"/>
        <v>0</v>
      </c>
      <c r="CK344" s="319">
        <f t="shared" si="142"/>
        <v>0</v>
      </c>
      <c r="CL344" s="319">
        <f t="shared" si="142"/>
        <v>0</v>
      </c>
      <c r="CM344" s="319">
        <f t="shared" si="142"/>
        <v>0</v>
      </c>
      <c r="CN344" s="319">
        <f t="shared" ref="BJ344:CV351" si="144">IF(AND($D344=CN$1,$G344="Yes"),$E344,0)</f>
        <v>0</v>
      </c>
      <c r="CO344" s="319">
        <f t="shared" si="144"/>
        <v>0</v>
      </c>
      <c r="CP344" s="319">
        <f t="shared" si="144"/>
        <v>0</v>
      </c>
      <c r="CQ344" s="319">
        <f t="shared" si="144"/>
        <v>0</v>
      </c>
      <c r="CR344" s="319">
        <f t="shared" si="144"/>
        <v>0</v>
      </c>
      <c r="CS344" s="319">
        <f t="shared" si="144"/>
        <v>0</v>
      </c>
      <c r="CT344" s="319">
        <f t="shared" si="144"/>
        <v>0</v>
      </c>
      <c r="CU344" s="319">
        <f t="shared" si="144"/>
        <v>0</v>
      </c>
      <c r="CV344" s="319">
        <f t="shared" si="144"/>
        <v>0</v>
      </c>
    </row>
    <row r="345" spans="1:100" x14ac:dyDescent="0.25">
      <c r="A345" s="319">
        <f t="shared" si="138"/>
        <v>0</v>
      </c>
      <c r="B345" s="319">
        <f t="shared" si="143"/>
        <v>0</v>
      </c>
      <c r="C345" s="345" t="str">
        <f>IF(Sandbox!AX12="","",Sandbox!AX12)</f>
        <v/>
      </c>
      <c r="D345" s="343" t="str">
        <f>IF(Sandbox!$BH$4="","",Sandbox!$BH$4)</f>
        <v/>
      </c>
      <c r="E345" s="343" t="str">
        <f>IF(Sandbox!AY12="","",Sandbox!AY12)</f>
        <v/>
      </c>
      <c r="F345" s="343" t="str">
        <f>IF(E345&lt;CharacterSheet!$V$34,"Yes","No")</f>
        <v>No</v>
      </c>
      <c r="G345" s="564" t="s">
        <v>347</v>
      </c>
      <c r="H345" s="333" t="str">
        <f>IF(C345="","",VLOOKUP(C345,Boonref2!A:B,2,FALSE))</f>
        <v/>
      </c>
      <c r="I345" s="333"/>
      <c r="J345" s="333" t="str">
        <f>VLOOKUP(C345,BoonRef!A:Z,17,FALSE)</f>
        <v>Yes</v>
      </c>
      <c r="K345" s="333" t="str">
        <f>IF(J345="God",'House Rules'!$B$2,IF(J345="Demi",'House Rules'!$B$1,IF(J345="Comp",'House Rules'!$B$4,IF(J345="Yaz",'House Rules'!$B$5,IF(J345="Rag",'House Rules'!$B$3,"Available")))))</f>
        <v>Available</v>
      </c>
      <c r="L345" s="333"/>
      <c r="M345" s="333"/>
      <c r="BF345" s="319">
        <f t="shared" si="132"/>
        <v>0</v>
      </c>
      <c r="BG345" s="340" t="s">
        <v>1267</v>
      </c>
      <c r="BI345" s="319">
        <f t="shared" si="136"/>
        <v>0</v>
      </c>
      <c r="BJ345" s="319">
        <f t="shared" si="144"/>
        <v>0</v>
      </c>
      <c r="BK345" s="319">
        <f t="shared" si="144"/>
        <v>0</v>
      </c>
      <c r="BL345" s="319">
        <f t="shared" si="144"/>
        <v>0</v>
      </c>
      <c r="BM345" s="319">
        <f t="shared" si="144"/>
        <v>0</v>
      </c>
      <c r="BN345" s="319">
        <f t="shared" si="144"/>
        <v>0</v>
      </c>
      <c r="BO345" s="319">
        <f t="shared" si="144"/>
        <v>0</v>
      </c>
      <c r="BP345" s="319">
        <f t="shared" si="144"/>
        <v>0</v>
      </c>
      <c r="BQ345" s="319">
        <f t="shared" si="144"/>
        <v>0</v>
      </c>
      <c r="BR345" s="319">
        <f t="shared" si="144"/>
        <v>0</v>
      </c>
      <c r="BS345" s="319">
        <f t="shared" si="144"/>
        <v>0</v>
      </c>
      <c r="BT345" s="319">
        <f t="shared" si="144"/>
        <v>0</v>
      </c>
      <c r="BU345" s="319">
        <f t="shared" si="144"/>
        <v>0</v>
      </c>
      <c r="BV345" s="319">
        <f t="shared" si="144"/>
        <v>0</v>
      </c>
      <c r="BW345" s="319">
        <f t="shared" si="144"/>
        <v>0</v>
      </c>
      <c r="BX345" s="319">
        <f t="shared" si="144"/>
        <v>0</v>
      </c>
      <c r="BY345" s="319">
        <f t="shared" si="144"/>
        <v>0</v>
      </c>
      <c r="BZ345" s="319">
        <f t="shared" si="144"/>
        <v>0</v>
      </c>
      <c r="CA345" s="319">
        <f t="shared" si="144"/>
        <v>0</v>
      </c>
      <c r="CB345" s="319">
        <f t="shared" si="144"/>
        <v>0</v>
      </c>
      <c r="CC345" s="319">
        <f t="shared" si="144"/>
        <v>0</v>
      </c>
      <c r="CD345" s="319">
        <f t="shared" si="144"/>
        <v>0</v>
      </c>
      <c r="CE345" s="319">
        <f t="shared" si="144"/>
        <v>0</v>
      </c>
      <c r="CF345" s="319">
        <f t="shared" si="144"/>
        <v>0</v>
      </c>
      <c r="CG345" s="319">
        <f t="shared" si="144"/>
        <v>0</v>
      </c>
      <c r="CH345" s="319">
        <f t="shared" si="144"/>
        <v>0</v>
      </c>
      <c r="CI345" s="319">
        <f t="shared" si="144"/>
        <v>0</v>
      </c>
      <c r="CJ345" s="319">
        <f t="shared" si="144"/>
        <v>0</v>
      </c>
      <c r="CK345" s="319">
        <f t="shared" si="144"/>
        <v>0</v>
      </c>
      <c r="CL345" s="319">
        <f t="shared" si="144"/>
        <v>0</v>
      </c>
      <c r="CM345" s="319">
        <f t="shared" si="144"/>
        <v>0</v>
      </c>
      <c r="CN345" s="319">
        <f t="shared" si="144"/>
        <v>0</v>
      </c>
      <c r="CO345" s="319">
        <f t="shared" si="144"/>
        <v>0</v>
      </c>
      <c r="CP345" s="319">
        <f t="shared" si="144"/>
        <v>0</v>
      </c>
      <c r="CQ345" s="319">
        <f t="shared" si="144"/>
        <v>0</v>
      </c>
      <c r="CR345" s="319">
        <f t="shared" si="144"/>
        <v>0</v>
      </c>
      <c r="CS345" s="319">
        <f t="shared" si="144"/>
        <v>0</v>
      </c>
      <c r="CT345" s="319">
        <f t="shared" si="144"/>
        <v>0</v>
      </c>
      <c r="CU345" s="319">
        <f t="shared" si="144"/>
        <v>0</v>
      </c>
      <c r="CV345" s="319">
        <f t="shared" si="144"/>
        <v>0</v>
      </c>
    </row>
    <row r="346" spans="1:100" x14ac:dyDescent="0.25">
      <c r="A346" s="319">
        <f t="shared" si="138"/>
        <v>0</v>
      </c>
      <c r="B346" s="319">
        <f t="shared" si="143"/>
        <v>0</v>
      </c>
      <c r="C346" s="345" t="str">
        <f>IF(Sandbox!AX13="","",Sandbox!AX13)</f>
        <v/>
      </c>
      <c r="D346" s="343" t="str">
        <f>IF(Sandbox!$BH$4="","",Sandbox!$BH$4)</f>
        <v/>
      </c>
      <c r="E346" s="343" t="str">
        <f>IF(Sandbox!AY13="","",Sandbox!AY13)</f>
        <v/>
      </c>
      <c r="F346" s="343" t="str">
        <f>IF(E346&lt;CharacterSheet!$V$34,"Yes","No")</f>
        <v>No</v>
      </c>
      <c r="G346" s="342" t="s">
        <v>347</v>
      </c>
      <c r="H346" s="333" t="str">
        <f>IF(C346="","",VLOOKUP(C346,Boonref2!A:B,2,FALSE))</f>
        <v/>
      </c>
      <c r="I346" s="333"/>
      <c r="J346" s="333" t="str">
        <f>VLOOKUP(C346,BoonRef!A:Z,17,FALSE)</f>
        <v>Yes</v>
      </c>
      <c r="K346" s="333" t="str">
        <f>IF(J346="God",'House Rules'!$B$2,IF(J346="Demi",'House Rules'!$B$1,IF(J346="Comp",'House Rules'!$B$4,IF(J346="Yaz",'House Rules'!$B$5,IF(J346="Rag",'House Rules'!$B$3,"Available")))))</f>
        <v>Available</v>
      </c>
      <c r="L346" s="333"/>
      <c r="M346" s="333"/>
      <c r="BF346" s="319">
        <f t="shared" si="132"/>
        <v>0</v>
      </c>
      <c r="BG346" s="340" t="s">
        <v>2634</v>
      </c>
      <c r="BI346" s="319">
        <f t="shared" si="136"/>
        <v>0</v>
      </c>
      <c r="BJ346" s="319">
        <f t="shared" si="144"/>
        <v>0</v>
      </c>
      <c r="BK346" s="319">
        <f t="shared" si="144"/>
        <v>0</v>
      </c>
      <c r="BL346" s="319">
        <f t="shared" si="144"/>
        <v>0</v>
      </c>
      <c r="BM346" s="319">
        <f t="shared" si="144"/>
        <v>0</v>
      </c>
      <c r="BN346" s="319">
        <f t="shared" si="144"/>
        <v>0</v>
      </c>
      <c r="BO346" s="319">
        <f t="shared" si="144"/>
        <v>0</v>
      </c>
      <c r="BP346" s="319">
        <f t="shared" si="144"/>
        <v>0</v>
      </c>
      <c r="BQ346" s="319">
        <f t="shared" si="144"/>
        <v>0</v>
      </c>
      <c r="BR346" s="319">
        <f t="shared" si="144"/>
        <v>0</v>
      </c>
      <c r="BS346" s="319">
        <f t="shared" si="144"/>
        <v>0</v>
      </c>
      <c r="BT346" s="319">
        <f t="shared" si="144"/>
        <v>0</v>
      </c>
      <c r="BU346" s="319">
        <f t="shared" si="144"/>
        <v>0</v>
      </c>
      <c r="BV346" s="319">
        <f t="shared" si="144"/>
        <v>0</v>
      </c>
      <c r="BW346" s="319">
        <f t="shared" si="144"/>
        <v>0</v>
      </c>
      <c r="BX346" s="319">
        <f t="shared" si="144"/>
        <v>0</v>
      </c>
      <c r="BY346" s="319">
        <f t="shared" si="144"/>
        <v>0</v>
      </c>
      <c r="BZ346" s="319">
        <f t="shared" si="144"/>
        <v>0</v>
      </c>
      <c r="CA346" s="319">
        <f t="shared" si="144"/>
        <v>0</v>
      </c>
      <c r="CB346" s="319">
        <f t="shared" si="144"/>
        <v>0</v>
      </c>
      <c r="CC346" s="319">
        <f t="shared" si="144"/>
        <v>0</v>
      </c>
      <c r="CD346" s="319">
        <f t="shared" si="144"/>
        <v>0</v>
      </c>
      <c r="CE346" s="319">
        <f t="shared" si="144"/>
        <v>0</v>
      </c>
      <c r="CF346" s="319">
        <f t="shared" si="144"/>
        <v>0</v>
      </c>
      <c r="CG346" s="319">
        <f t="shared" si="144"/>
        <v>0</v>
      </c>
      <c r="CH346" s="319">
        <f t="shared" si="144"/>
        <v>0</v>
      </c>
      <c r="CI346" s="319">
        <f t="shared" si="144"/>
        <v>0</v>
      </c>
      <c r="CJ346" s="319">
        <f t="shared" si="144"/>
        <v>0</v>
      </c>
      <c r="CK346" s="319">
        <f t="shared" si="144"/>
        <v>0</v>
      </c>
      <c r="CL346" s="319">
        <f t="shared" si="144"/>
        <v>0</v>
      </c>
      <c r="CM346" s="319">
        <f t="shared" si="144"/>
        <v>0</v>
      </c>
      <c r="CN346" s="319">
        <f t="shared" si="144"/>
        <v>0</v>
      </c>
      <c r="CO346" s="319">
        <f t="shared" si="144"/>
        <v>0</v>
      </c>
      <c r="CP346" s="319">
        <f t="shared" si="144"/>
        <v>0</v>
      </c>
      <c r="CQ346" s="319">
        <f t="shared" si="144"/>
        <v>0</v>
      </c>
      <c r="CR346" s="319">
        <f t="shared" si="144"/>
        <v>0</v>
      </c>
      <c r="CS346" s="319">
        <f t="shared" si="144"/>
        <v>0</v>
      </c>
      <c r="CT346" s="319">
        <f t="shared" si="144"/>
        <v>0</v>
      </c>
      <c r="CU346" s="319">
        <f t="shared" si="144"/>
        <v>0</v>
      </c>
      <c r="CV346" s="319">
        <f t="shared" si="144"/>
        <v>0</v>
      </c>
    </row>
    <row r="347" spans="1:100" x14ac:dyDescent="0.25">
      <c r="A347" s="319">
        <f t="shared" si="138"/>
        <v>0</v>
      </c>
      <c r="B347" s="319">
        <f t="shared" si="143"/>
        <v>0</v>
      </c>
      <c r="C347" s="345" t="str">
        <f>IF(Sandbox!AX14="","",Sandbox!AX14)</f>
        <v/>
      </c>
      <c r="D347" s="343" t="str">
        <f>IF(Sandbox!$BH$4="","",Sandbox!$BH$4)</f>
        <v/>
      </c>
      <c r="E347" s="343" t="str">
        <f>IF(Sandbox!AY14="","",Sandbox!AY14)</f>
        <v/>
      </c>
      <c r="F347" s="343" t="str">
        <f>IF(E347&lt;CharacterSheet!$V$34,"Yes","No")</f>
        <v>No</v>
      </c>
      <c r="G347" s="342" t="s">
        <v>347</v>
      </c>
      <c r="H347" s="333" t="str">
        <f>IF(C347="","",VLOOKUP(C347,Boonref2!A:B,2,FALSE))</f>
        <v/>
      </c>
      <c r="I347" s="333"/>
      <c r="J347" s="333" t="str">
        <f>VLOOKUP(C347,BoonRef!A:Z,17,FALSE)</f>
        <v>Yes</v>
      </c>
      <c r="K347" s="333" t="str">
        <f>IF(J347="God",'House Rules'!$B$2,IF(J347="Demi",'House Rules'!$B$1,IF(J347="Comp",'House Rules'!$B$4,IF(J347="Yaz",'House Rules'!$B$5,IF(J347="Rag",'House Rules'!$B$3,"Available")))))</f>
        <v>Available</v>
      </c>
      <c r="L347" s="333"/>
      <c r="M347" s="333"/>
      <c r="BF347" s="319">
        <f t="shared" si="132"/>
        <v>0</v>
      </c>
      <c r="BG347" s="340" t="s">
        <v>1392</v>
      </c>
      <c r="BI347" s="319">
        <f t="shared" si="136"/>
        <v>0</v>
      </c>
      <c r="BJ347" s="319">
        <f t="shared" si="144"/>
        <v>0</v>
      </c>
      <c r="BK347" s="319">
        <f t="shared" si="144"/>
        <v>0</v>
      </c>
      <c r="BL347" s="319">
        <f t="shared" si="144"/>
        <v>0</v>
      </c>
      <c r="BM347" s="319">
        <f t="shared" si="144"/>
        <v>0</v>
      </c>
      <c r="BN347" s="319">
        <f t="shared" si="144"/>
        <v>0</v>
      </c>
      <c r="BO347" s="319">
        <f t="shared" si="144"/>
        <v>0</v>
      </c>
      <c r="BP347" s="319">
        <f t="shared" si="144"/>
        <v>0</v>
      </c>
      <c r="BQ347" s="319">
        <f t="shared" si="144"/>
        <v>0</v>
      </c>
      <c r="BR347" s="319">
        <f t="shared" si="144"/>
        <v>0</v>
      </c>
      <c r="BS347" s="319">
        <f t="shared" si="144"/>
        <v>0</v>
      </c>
      <c r="BT347" s="319">
        <f t="shared" si="144"/>
        <v>0</v>
      </c>
      <c r="BU347" s="319">
        <f t="shared" si="144"/>
        <v>0</v>
      </c>
      <c r="BV347" s="319">
        <f t="shared" si="144"/>
        <v>0</v>
      </c>
      <c r="BW347" s="319">
        <f t="shared" si="144"/>
        <v>0</v>
      </c>
      <c r="BX347" s="319">
        <f t="shared" si="144"/>
        <v>0</v>
      </c>
      <c r="BY347" s="319">
        <f t="shared" si="144"/>
        <v>0</v>
      </c>
      <c r="BZ347" s="319">
        <f t="shared" si="144"/>
        <v>0</v>
      </c>
      <c r="CA347" s="319">
        <f t="shared" si="144"/>
        <v>0</v>
      </c>
      <c r="CB347" s="319">
        <f t="shared" si="144"/>
        <v>0</v>
      </c>
      <c r="CC347" s="319">
        <f t="shared" si="144"/>
        <v>0</v>
      </c>
      <c r="CD347" s="319">
        <f t="shared" si="144"/>
        <v>0</v>
      </c>
      <c r="CE347" s="319">
        <f t="shared" si="144"/>
        <v>0</v>
      </c>
      <c r="CF347" s="319">
        <f t="shared" si="144"/>
        <v>0</v>
      </c>
      <c r="CG347" s="319">
        <f t="shared" si="144"/>
        <v>0</v>
      </c>
      <c r="CH347" s="319">
        <f t="shared" si="144"/>
        <v>0</v>
      </c>
      <c r="CI347" s="319">
        <f t="shared" si="144"/>
        <v>0</v>
      </c>
      <c r="CJ347" s="319">
        <f t="shared" si="144"/>
        <v>0</v>
      </c>
      <c r="CK347" s="319">
        <f t="shared" si="144"/>
        <v>0</v>
      </c>
      <c r="CL347" s="319">
        <f t="shared" si="144"/>
        <v>0</v>
      </c>
      <c r="CM347" s="319">
        <f t="shared" si="144"/>
        <v>0</v>
      </c>
      <c r="CN347" s="319">
        <f t="shared" si="144"/>
        <v>0</v>
      </c>
      <c r="CO347" s="319">
        <f t="shared" si="144"/>
        <v>0</v>
      </c>
      <c r="CP347" s="319">
        <f t="shared" si="144"/>
        <v>0</v>
      </c>
      <c r="CQ347" s="319">
        <f t="shared" si="144"/>
        <v>0</v>
      </c>
      <c r="CR347" s="319">
        <f t="shared" si="144"/>
        <v>0</v>
      </c>
      <c r="CS347" s="319">
        <f t="shared" si="144"/>
        <v>0</v>
      </c>
      <c r="CT347" s="319">
        <f t="shared" si="144"/>
        <v>0</v>
      </c>
      <c r="CU347" s="319">
        <f t="shared" si="144"/>
        <v>0</v>
      </c>
      <c r="CV347" s="319">
        <f t="shared" si="144"/>
        <v>0</v>
      </c>
    </row>
    <row r="348" spans="1:100" x14ac:dyDescent="0.25">
      <c r="A348" s="319">
        <f t="shared" si="138"/>
        <v>0</v>
      </c>
      <c r="B348" s="319">
        <f t="shared" si="143"/>
        <v>0</v>
      </c>
      <c r="C348" s="345" t="str">
        <f>IF(Sandbox!AX15="","",Sandbox!AX15)</f>
        <v/>
      </c>
      <c r="D348" s="343" t="str">
        <f>IF(Sandbox!$BH$4="","",Sandbox!$BH$4)</f>
        <v/>
      </c>
      <c r="E348" s="343" t="str">
        <f>IF(Sandbox!AY15="","",Sandbox!AY15)</f>
        <v/>
      </c>
      <c r="F348" s="343" t="str">
        <f>IF(E348&lt;CharacterSheet!$V$34,"Yes","No")</f>
        <v>No</v>
      </c>
      <c r="G348" s="342" t="s">
        <v>347</v>
      </c>
      <c r="H348" s="333" t="str">
        <f>IF(C348="","",VLOOKUP(C348,Boonref2!A:B,2,FALSE))</f>
        <v/>
      </c>
      <c r="I348" s="333"/>
      <c r="J348" s="333" t="str">
        <f>VLOOKUP(C348,BoonRef!A:Z,17,FALSE)</f>
        <v>Yes</v>
      </c>
      <c r="K348" s="333" t="str">
        <f>IF(J348="God",'House Rules'!$B$2,IF(J348="Demi",'House Rules'!$B$1,IF(J348="Comp",'House Rules'!$B$4,IF(J348="Yaz",'House Rules'!$B$5,IF(J348="Rag",'House Rules'!$B$3,"Available")))))</f>
        <v>Available</v>
      </c>
      <c r="L348" s="333"/>
      <c r="M348" s="333"/>
      <c r="BF348" s="319">
        <f t="shared" si="132"/>
        <v>0</v>
      </c>
      <c r="BG348" s="340" t="s">
        <v>1268</v>
      </c>
      <c r="BI348" s="319">
        <f t="shared" si="136"/>
        <v>0</v>
      </c>
      <c r="BJ348" s="319">
        <f t="shared" si="144"/>
        <v>0</v>
      </c>
      <c r="BK348" s="319">
        <f t="shared" si="144"/>
        <v>0</v>
      </c>
      <c r="BL348" s="319">
        <f t="shared" si="144"/>
        <v>0</v>
      </c>
      <c r="BM348" s="319">
        <f t="shared" si="144"/>
        <v>0</v>
      </c>
      <c r="BN348" s="319">
        <f t="shared" si="144"/>
        <v>0</v>
      </c>
      <c r="BO348" s="319">
        <f t="shared" si="144"/>
        <v>0</v>
      </c>
      <c r="BP348" s="319">
        <f t="shared" si="144"/>
        <v>0</v>
      </c>
      <c r="BQ348" s="319">
        <f t="shared" si="144"/>
        <v>0</v>
      </c>
      <c r="BR348" s="319">
        <f t="shared" si="144"/>
        <v>0</v>
      </c>
      <c r="BS348" s="319">
        <f t="shared" si="144"/>
        <v>0</v>
      </c>
      <c r="BT348" s="319">
        <f t="shared" si="144"/>
        <v>0</v>
      </c>
      <c r="BU348" s="319">
        <f t="shared" si="144"/>
        <v>0</v>
      </c>
      <c r="BV348" s="319">
        <f t="shared" si="144"/>
        <v>0</v>
      </c>
      <c r="BW348" s="319">
        <f t="shared" si="144"/>
        <v>0</v>
      </c>
      <c r="BX348" s="319">
        <f t="shared" si="144"/>
        <v>0</v>
      </c>
      <c r="BY348" s="319">
        <f t="shared" si="144"/>
        <v>0</v>
      </c>
      <c r="BZ348" s="319">
        <f t="shared" si="144"/>
        <v>0</v>
      </c>
      <c r="CA348" s="319">
        <f t="shared" si="144"/>
        <v>0</v>
      </c>
      <c r="CB348" s="319">
        <f t="shared" si="144"/>
        <v>0</v>
      </c>
      <c r="CC348" s="319">
        <f t="shared" si="144"/>
        <v>0</v>
      </c>
      <c r="CD348" s="319">
        <f t="shared" si="144"/>
        <v>0</v>
      </c>
      <c r="CE348" s="319">
        <f t="shared" si="144"/>
        <v>0</v>
      </c>
      <c r="CF348" s="319">
        <f t="shared" si="144"/>
        <v>0</v>
      </c>
      <c r="CG348" s="319">
        <f t="shared" si="144"/>
        <v>0</v>
      </c>
      <c r="CH348" s="319">
        <f t="shared" si="144"/>
        <v>0</v>
      </c>
      <c r="CI348" s="319">
        <f t="shared" si="144"/>
        <v>0</v>
      </c>
      <c r="CJ348" s="319">
        <f t="shared" si="144"/>
        <v>0</v>
      </c>
      <c r="CK348" s="319">
        <f t="shared" si="144"/>
        <v>0</v>
      </c>
      <c r="CL348" s="319">
        <f t="shared" si="144"/>
        <v>0</v>
      </c>
      <c r="CM348" s="319">
        <f t="shared" si="144"/>
        <v>0</v>
      </c>
      <c r="CN348" s="319">
        <f t="shared" si="144"/>
        <v>0</v>
      </c>
      <c r="CO348" s="319">
        <f t="shared" si="144"/>
        <v>0</v>
      </c>
      <c r="CP348" s="319">
        <f t="shared" si="144"/>
        <v>0</v>
      </c>
      <c r="CQ348" s="319">
        <f t="shared" si="144"/>
        <v>0</v>
      </c>
      <c r="CR348" s="319">
        <f t="shared" si="144"/>
        <v>0</v>
      </c>
      <c r="CS348" s="319">
        <f t="shared" si="144"/>
        <v>0</v>
      </c>
      <c r="CT348" s="319">
        <f t="shared" si="144"/>
        <v>0</v>
      </c>
      <c r="CU348" s="319">
        <f t="shared" si="144"/>
        <v>0</v>
      </c>
      <c r="CV348" s="319">
        <f t="shared" si="144"/>
        <v>0</v>
      </c>
    </row>
    <row r="349" spans="1:100" x14ac:dyDescent="0.25">
      <c r="A349" s="319">
        <f t="shared" si="138"/>
        <v>0</v>
      </c>
      <c r="B349" s="319">
        <f t="shared" si="143"/>
        <v>0</v>
      </c>
      <c r="C349" s="345" t="str">
        <f>IF(Sandbox!AX16="","",Sandbox!AX16)</f>
        <v/>
      </c>
      <c r="D349" s="343" t="str">
        <f>IF(Sandbox!$BH$4="","",Sandbox!$BH$4)</f>
        <v/>
      </c>
      <c r="E349" s="343" t="str">
        <f>IF(Sandbox!AY16="","",Sandbox!AY16)</f>
        <v/>
      </c>
      <c r="F349" s="343" t="str">
        <f>IF(E349&lt;CharacterSheet!$V$34,"Yes","No")</f>
        <v>No</v>
      </c>
      <c r="G349" s="342" t="s">
        <v>347</v>
      </c>
      <c r="H349" s="333" t="str">
        <f>IF(C349="","",VLOOKUP(C349,Boonref2!A:B,2,FALSE))</f>
        <v/>
      </c>
      <c r="I349" s="333"/>
      <c r="J349" s="333" t="str">
        <f>VLOOKUP(C349,BoonRef!A:Z,17,FALSE)</f>
        <v>Yes</v>
      </c>
      <c r="K349" s="333" t="str">
        <f>IF(J349="God",'House Rules'!$B$2,IF(J349="Demi",'House Rules'!$B$1,IF(J349="Comp",'House Rules'!$B$4,IF(J349="Yaz",'House Rules'!$B$5,IF(J349="Rag",'House Rules'!$B$3,"Available")))))</f>
        <v>Available</v>
      </c>
      <c r="L349" s="333"/>
      <c r="M349" s="333"/>
      <c r="BF349" s="319">
        <f t="shared" ref="BF349:BF380" si="145">B108</f>
        <v>0</v>
      </c>
      <c r="BG349" s="340" t="s">
        <v>1269</v>
      </c>
      <c r="BI349" s="319">
        <f t="shared" si="136"/>
        <v>0</v>
      </c>
      <c r="BJ349" s="319">
        <f t="shared" si="144"/>
        <v>0</v>
      </c>
      <c r="BK349" s="319">
        <f t="shared" si="144"/>
        <v>0</v>
      </c>
      <c r="BL349" s="319">
        <f t="shared" si="144"/>
        <v>0</v>
      </c>
      <c r="BM349" s="319">
        <f t="shared" si="144"/>
        <v>0</v>
      </c>
      <c r="BN349" s="319">
        <f t="shared" si="144"/>
        <v>0</v>
      </c>
      <c r="BO349" s="319">
        <f t="shared" si="144"/>
        <v>0</v>
      </c>
      <c r="BP349" s="319">
        <f t="shared" si="144"/>
        <v>0</v>
      </c>
      <c r="BQ349" s="319">
        <f t="shared" si="144"/>
        <v>0</v>
      </c>
      <c r="BR349" s="319">
        <f t="shared" si="144"/>
        <v>0</v>
      </c>
      <c r="BS349" s="319">
        <f t="shared" si="144"/>
        <v>0</v>
      </c>
      <c r="BT349" s="319">
        <f t="shared" si="144"/>
        <v>0</v>
      </c>
      <c r="BU349" s="319">
        <f t="shared" si="144"/>
        <v>0</v>
      </c>
      <c r="BV349" s="319">
        <f t="shared" si="144"/>
        <v>0</v>
      </c>
      <c r="BW349" s="319">
        <f t="shared" si="144"/>
        <v>0</v>
      </c>
      <c r="BX349" s="319">
        <f t="shared" si="144"/>
        <v>0</v>
      </c>
      <c r="BY349" s="319">
        <f t="shared" si="144"/>
        <v>0</v>
      </c>
      <c r="BZ349" s="319">
        <f t="shared" si="144"/>
        <v>0</v>
      </c>
      <c r="CA349" s="319">
        <f t="shared" si="144"/>
        <v>0</v>
      </c>
      <c r="CB349" s="319">
        <f t="shared" si="144"/>
        <v>0</v>
      </c>
      <c r="CC349" s="319">
        <f t="shared" si="144"/>
        <v>0</v>
      </c>
      <c r="CD349" s="319">
        <f t="shared" si="144"/>
        <v>0</v>
      </c>
      <c r="CE349" s="319">
        <f t="shared" si="144"/>
        <v>0</v>
      </c>
      <c r="CF349" s="319">
        <f t="shared" si="144"/>
        <v>0</v>
      </c>
      <c r="CG349" s="319">
        <f t="shared" si="144"/>
        <v>0</v>
      </c>
      <c r="CH349" s="319">
        <f t="shared" si="144"/>
        <v>0</v>
      </c>
      <c r="CI349" s="319">
        <f t="shared" si="144"/>
        <v>0</v>
      </c>
      <c r="CJ349" s="319">
        <f t="shared" si="144"/>
        <v>0</v>
      </c>
      <c r="CK349" s="319">
        <f t="shared" si="144"/>
        <v>0</v>
      </c>
      <c r="CL349" s="319">
        <f t="shared" si="144"/>
        <v>0</v>
      </c>
      <c r="CM349" s="319">
        <f t="shared" si="144"/>
        <v>0</v>
      </c>
      <c r="CN349" s="319">
        <f t="shared" si="144"/>
        <v>0</v>
      </c>
      <c r="CO349" s="319">
        <f t="shared" si="144"/>
        <v>0</v>
      </c>
      <c r="CP349" s="319">
        <f t="shared" si="144"/>
        <v>0</v>
      </c>
      <c r="CQ349" s="319">
        <f t="shared" si="144"/>
        <v>0</v>
      </c>
      <c r="CR349" s="319">
        <f t="shared" si="144"/>
        <v>0</v>
      </c>
      <c r="CS349" s="319">
        <f t="shared" si="144"/>
        <v>0</v>
      </c>
      <c r="CT349" s="319">
        <f t="shared" si="144"/>
        <v>0</v>
      </c>
      <c r="CU349" s="319">
        <f t="shared" si="144"/>
        <v>0</v>
      </c>
      <c r="CV349" s="319">
        <f t="shared" si="144"/>
        <v>0</v>
      </c>
    </row>
    <row r="350" spans="1:100" ht="15.75" thickBot="1" x14ac:dyDescent="0.3">
      <c r="A350" s="319">
        <f t="shared" si="138"/>
        <v>0</v>
      </c>
      <c r="B350" s="319">
        <f t="shared" si="143"/>
        <v>0</v>
      </c>
      <c r="C350" s="345" t="str">
        <f>IF(Sandbox!AX17="","",Sandbox!AX17)</f>
        <v/>
      </c>
      <c r="D350" s="343" t="str">
        <f>IF(Sandbox!$BH$4="","",Sandbox!$BH$4)</f>
        <v/>
      </c>
      <c r="E350" s="343" t="str">
        <f>IF(Sandbox!AY17="","",Sandbox!AY17)</f>
        <v/>
      </c>
      <c r="F350" s="343" t="str">
        <f>IF(E350&lt;CharacterSheet!$V$34,"Yes","No")</f>
        <v>No</v>
      </c>
      <c r="G350" s="342" t="s">
        <v>347</v>
      </c>
      <c r="H350" s="333" t="str">
        <f>IF(C350="","",VLOOKUP(C350,Boonref2!A:B,2,FALSE))</f>
        <v/>
      </c>
      <c r="I350" s="333"/>
      <c r="J350" s="333" t="str">
        <f>VLOOKUP(C350,BoonRef!A:Z,17,FALSE)</f>
        <v>Yes</v>
      </c>
      <c r="K350" s="333" t="str">
        <f>IF(J350="God",'House Rules'!$B$2,IF(J350="Demi",'House Rules'!$B$1,IF(J350="Comp",'House Rules'!$B$4,IF(J350="Yaz",'House Rules'!$B$5,IF(J350="Rag",'House Rules'!$B$3,"Available")))))</f>
        <v>Available</v>
      </c>
      <c r="L350" s="333"/>
      <c r="M350" s="333"/>
      <c r="BF350" s="319">
        <f t="shared" si="145"/>
        <v>0</v>
      </c>
      <c r="BG350" s="352" t="s">
        <v>1270</v>
      </c>
      <c r="BI350" s="319">
        <f t="shared" si="136"/>
        <v>0</v>
      </c>
      <c r="BJ350" s="319">
        <f t="shared" si="144"/>
        <v>0</v>
      </c>
      <c r="BK350" s="319">
        <f t="shared" si="144"/>
        <v>0</v>
      </c>
      <c r="BL350" s="319">
        <f t="shared" si="144"/>
        <v>0</v>
      </c>
      <c r="BM350" s="319">
        <f t="shared" si="144"/>
        <v>0</v>
      </c>
      <c r="BN350" s="319">
        <f t="shared" si="144"/>
        <v>0</v>
      </c>
      <c r="BO350" s="319">
        <f t="shared" si="144"/>
        <v>0</v>
      </c>
      <c r="BP350" s="319">
        <f t="shared" si="144"/>
        <v>0</v>
      </c>
      <c r="BQ350" s="319">
        <f t="shared" si="144"/>
        <v>0</v>
      </c>
      <c r="BR350" s="319">
        <f t="shared" si="144"/>
        <v>0</v>
      </c>
      <c r="BS350" s="319">
        <f t="shared" si="144"/>
        <v>0</v>
      </c>
      <c r="BT350" s="319">
        <f t="shared" si="144"/>
        <v>0</v>
      </c>
      <c r="BU350" s="319">
        <f t="shared" si="144"/>
        <v>0</v>
      </c>
      <c r="BV350" s="319">
        <f t="shared" si="144"/>
        <v>0</v>
      </c>
      <c r="BW350" s="319">
        <f t="shared" si="144"/>
        <v>0</v>
      </c>
      <c r="BX350" s="319">
        <f t="shared" si="144"/>
        <v>0</v>
      </c>
      <c r="BY350" s="319">
        <f t="shared" si="144"/>
        <v>0</v>
      </c>
      <c r="BZ350" s="319">
        <f t="shared" si="144"/>
        <v>0</v>
      </c>
      <c r="CA350" s="319">
        <f t="shared" si="144"/>
        <v>0</v>
      </c>
      <c r="CB350" s="319">
        <f t="shared" si="144"/>
        <v>0</v>
      </c>
      <c r="CC350" s="319">
        <f t="shared" si="144"/>
        <v>0</v>
      </c>
      <c r="CD350" s="319">
        <f t="shared" si="144"/>
        <v>0</v>
      </c>
      <c r="CE350" s="319">
        <f t="shared" si="144"/>
        <v>0</v>
      </c>
      <c r="CF350" s="319">
        <f t="shared" si="144"/>
        <v>0</v>
      </c>
      <c r="CG350" s="319">
        <f t="shared" si="144"/>
        <v>0</v>
      </c>
      <c r="CH350" s="319">
        <f t="shared" si="144"/>
        <v>0</v>
      </c>
      <c r="CI350" s="319">
        <f t="shared" si="144"/>
        <v>0</v>
      </c>
      <c r="CJ350" s="319">
        <f t="shared" si="144"/>
        <v>0</v>
      </c>
      <c r="CK350" s="319">
        <f t="shared" si="144"/>
        <v>0</v>
      </c>
      <c r="CL350" s="319">
        <f t="shared" si="144"/>
        <v>0</v>
      </c>
      <c r="CM350" s="319">
        <f t="shared" si="144"/>
        <v>0</v>
      </c>
      <c r="CN350" s="319">
        <f t="shared" si="144"/>
        <v>0</v>
      </c>
      <c r="CO350" s="319">
        <f t="shared" si="144"/>
        <v>0</v>
      </c>
      <c r="CP350" s="319">
        <f t="shared" si="144"/>
        <v>0</v>
      </c>
      <c r="CQ350" s="319">
        <f t="shared" si="144"/>
        <v>0</v>
      </c>
      <c r="CR350" s="319">
        <f t="shared" si="144"/>
        <v>0</v>
      </c>
      <c r="CS350" s="319">
        <f t="shared" si="144"/>
        <v>0</v>
      </c>
      <c r="CT350" s="319">
        <f t="shared" si="144"/>
        <v>0</v>
      </c>
      <c r="CU350" s="319">
        <f t="shared" si="144"/>
        <v>0</v>
      </c>
      <c r="CV350" s="319">
        <f t="shared" si="144"/>
        <v>0</v>
      </c>
    </row>
    <row r="351" spans="1:100" x14ac:dyDescent="0.25">
      <c r="A351" s="319">
        <f t="shared" si="138"/>
        <v>0</v>
      </c>
      <c r="B351" s="319">
        <f t="shared" si="143"/>
        <v>0</v>
      </c>
      <c r="C351" s="345" t="str">
        <f>IF(Sandbox!AX18="","",Sandbox!AX18)</f>
        <v/>
      </c>
      <c r="D351" s="343" t="str">
        <f>IF(Sandbox!$BH$4="","",Sandbox!$BH$4)</f>
        <v/>
      </c>
      <c r="E351" s="343" t="str">
        <f>IF(Sandbox!AY18="","",Sandbox!AY18)</f>
        <v/>
      </c>
      <c r="F351" s="343" t="str">
        <f>IF(E351&lt;CharacterSheet!$V$34,"Yes","No")</f>
        <v>No</v>
      </c>
      <c r="G351" s="342" t="s">
        <v>347</v>
      </c>
      <c r="H351" s="333" t="str">
        <f>IF(C351="","",VLOOKUP(C351,Boonref2!A:B,2,FALSE))</f>
        <v/>
      </c>
      <c r="I351" s="333"/>
      <c r="J351" s="333" t="str">
        <f>VLOOKUP(C351,BoonRef!A:Z,17,FALSE)</f>
        <v>Yes</v>
      </c>
      <c r="K351" s="333" t="str">
        <f>IF(J351="God",'House Rules'!$B$2,IF(J351="Demi",'House Rules'!$B$1,IF(J351="Comp",'House Rules'!$B$4,IF(J351="Yaz",'House Rules'!$B$5,IF(J351="Rag",'House Rules'!$B$3,"Available")))))</f>
        <v>Available</v>
      </c>
      <c r="L351" s="333"/>
      <c r="M351" s="333"/>
      <c r="BF351" s="319">
        <f t="shared" si="145"/>
        <v>0</v>
      </c>
      <c r="BG351" s="330" t="s">
        <v>1485</v>
      </c>
      <c r="BI351" s="319">
        <f t="shared" si="136"/>
        <v>0</v>
      </c>
      <c r="BJ351" s="319">
        <f t="shared" si="144"/>
        <v>0</v>
      </c>
      <c r="BK351" s="319">
        <f t="shared" si="144"/>
        <v>0</v>
      </c>
      <c r="BL351" s="319">
        <f t="shared" si="144"/>
        <v>0</v>
      </c>
      <c r="BM351" s="319">
        <f t="shared" si="144"/>
        <v>0</v>
      </c>
      <c r="BN351" s="319">
        <f t="shared" si="144"/>
        <v>0</v>
      </c>
      <c r="BO351" s="319">
        <f t="shared" si="144"/>
        <v>0</v>
      </c>
      <c r="BP351" s="319">
        <f t="shared" si="144"/>
        <v>0</v>
      </c>
      <c r="BQ351" s="319">
        <f t="shared" si="144"/>
        <v>0</v>
      </c>
      <c r="BR351" s="319">
        <f t="shared" si="144"/>
        <v>0</v>
      </c>
      <c r="BS351" s="319">
        <f t="shared" si="144"/>
        <v>0</v>
      </c>
      <c r="BT351" s="319">
        <f t="shared" si="144"/>
        <v>0</v>
      </c>
      <c r="BU351" s="319">
        <f t="shared" si="144"/>
        <v>0</v>
      </c>
      <c r="BV351" s="319">
        <f t="shared" ref="BJ351:CV357" si="146">IF(AND($D351=BV$1,$G351="Yes"),$E351,0)</f>
        <v>0</v>
      </c>
      <c r="BW351" s="319">
        <f t="shared" si="146"/>
        <v>0</v>
      </c>
      <c r="BX351" s="319">
        <f t="shared" si="146"/>
        <v>0</v>
      </c>
      <c r="BY351" s="319">
        <f t="shared" si="146"/>
        <v>0</v>
      </c>
      <c r="BZ351" s="319">
        <f t="shared" si="146"/>
        <v>0</v>
      </c>
      <c r="CA351" s="319">
        <f t="shared" si="146"/>
        <v>0</v>
      </c>
      <c r="CB351" s="319">
        <f t="shared" si="146"/>
        <v>0</v>
      </c>
      <c r="CC351" s="319">
        <f t="shared" si="146"/>
        <v>0</v>
      </c>
      <c r="CD351" s="319">
        <f t="shared" si="146"/>
        <v>0</v>
      </c>
      <c r="CE351" s="319">
        <f t="shared" si="146"/>
        <v>0</v>
      </c>
      <c r="CF351" s="319">
        <f t="shared" si="146"/>
        <v>0</v>
      </c>
      <c r="CG351" s="319">
        <f t="shared" si="146"/>
        <v>0</v>
      </c>
      <c r="CH351" s="319">
        <f t="shared" si="146"/>
        <v>0</v>
      </c>
      <c r="CI351" s="319">
        <f t="shared" si="146"/>
        <v>0</v>
      </c>
      <c r="CJ351" s="319">
        <f t="shared" si="146"/>
        <v>0</v>
      </c>
      <c r="CK351" s="319">
        <f t="shared" si="146"/>
        <v>0</v>
      </c>
      <c r="CL351" s="319">
        <f t="shared" si="146"/>
        <v>0</v>
      </c>
      <c r="CM351" s="319">
        <f t="shared" si="146"/>
        <v>0</v>
      </c>
      <c r="CN351" s="319">
        <f t="shared" si="146"/>
        <v>0</v>
      </c>
      <c r="CO351" s="319">
        <f t="shared" si="146"/>
        <v>0</v>
      </c>
      <c r="CP351" s="319">
        <f t="shared" si="146"/>
        <v>0</v>
      </c>
      <c r="CQ351" s="319">
        <f t="shared" si="146"/>
        <v>0</v>
      </c>
      <c r="CR351" s="319">
        <f t="shared" si="146"/>
        <v>0</v>
      </c>
      <c r="CS351" s="319">
        <f t="shared" si="146"/>
        <v>0</v>
      </c>
      <c r="CT351" s="319">
        <f t="shared" si="146"/>
        <v>0</v>
      </c>
      <c r="CU351" s="319">
        <f t="shared" si="146"/>
        <v>0</v>
      </c>
      <c r="CV351" s="319">
        <f t="shared" si="146"/>
        <v>0</v>
      </c>
    </row>
    <row r="352" spans="1:100" x14ac:dyDescent="0.25">
      <c r="A352" s="319">
        <f t="shared" si="138"/>
        <v>0</v>
      </c>
      <c r="B352" s="319">
        <f t="shared" si="143"/>
        <v>0</v>
      </c>
      <c r="C352" s="345" t="str">
        <f>IF(Sandbox!AX19="","",Sandbox!AX19)</f>
        <v/>
      </c>
      <c r="D352" s="343" t="str">
        <f>IF(Sandbox!$BH$4="","",Sandbox!$BH$4)</f>
        <v/>
      </c>
      <c r="E352" s="343" t="str">
        <f>IF(Sandbox!AY19="","",Sandbox!AY19)</f>
        <v/>
      </c>
      <c r="F352" s="343" t="str">
        <f>IF(E352&lt;CharacterSheet!$V$34,"Yes","No")</f>
        <v>No</v>
      </c>
      <c r="G352" s="342" t="s">
        <v>347</v>
      </c>
      <c r="H352" s="333" t="str">
        <f>IF(C352="","",VLOOKUP(C352,Boonref2!A:B,2,FALSE))</f>
        <v/>
      </c>
      <c r="I352" s="333"/>
      <c r="J352" s="333" t="str">
        <f>VLOOKUP(C352,BoonRef!A:Z,17,FALSE)</f>
        <v>Yes</v>
      </c>
      <c r="K352" s="333" t="str">
        <f>IF(J352="God",'House Rules'!$B$2,IF(J352="Demi",'House Rules'!$B$1,IF(J352="Comp",'House Rules'!$B$4,IF(J352="Yaz",'House Rules'!$B$5,IF(J352="Rag",'House Rules'!$B$3,"Available")))))</f>
        <v>Available</v>
      </c>
      <c r="L352" s="333"/>
      <c r="M352" s="333"/>
      <c r="BF352" s="319">
        <f t="shared" si="145"/>
        <v>0</v>
      </c>
      <c r="BG352" s="340" t="s">
        <v>1486</v>
      </c>
      <c r="BI352" s="319">
        <f t="shared" si="136"/>
        <v>0</v>
      </c>
      <c r="BJ352" s="319">
        <f t="shared" si="146"/>
        <v>0</v>
      </c>
      <c r="BK352" s="319">
        <f t="shared" si="146"/>
        <v>0</v>
      </c>
      <c r="BL352" s="319">
        <f t="shared" si="146"/>
        <v>0</v>
      </c>
      <c r="BM352" s="319">
        <f t="shared" si="146"/>
        <v>0</v>
      </c>
      <c r="BN352" s="319">
        <f t="shared" si="146"/>
        <v>0</v>
      </c>
      <c r="BO352" s="319">
        <f t="shared" si="146"/>
        <v>0</v>
      </c>
      <c r="BP352" s="319">
        <f t="shared" si="146"/>
        <v>0</v>
      </c>
      <c r="BQ352" s="319">
        <f t="shared" si="146"/>
        <v>0</v>
      </c>
      <c r="BR352" s="319">
        <f t="shared" si="146"/>
        <v>0</v>
      </c>
      <c r="BS352" s="319">
        <f t="shared" si="146"/>
        <v>0</v>
      </c>
      <c r="BT352" s="319">
        <f t="shared" si="146"/>
        <v>0</v>
      </c>
      <c r="BU352" s="319">
        <f t="shared" si="146"/>
        <v>0</v>
      </c>
      <c r="BV352" s="319">
        <f t="shared" si="146"/>
        <v>0</v>
      </c>
      <c r="BW352" s="319">
        <f t="shared" si="146"/>
        <v>0</v>
      </c>
      <c r="BX352" s="319">
        <f t="shared" si="146"/>
        <v>0</v>
      </c>
      <c r="BY352" s="319">
        <f t="shared" si="146"/>
        <v>0</v>
      </c>
      <c r="BZ352" s="319">
        <f t="shared" si="146"/>
        <v>0</v>
      </c>
      <c r="CA352" s="319">
        <f t="shared" si="146"/>
        <v>0</v>
      </c>
      <c r="CB352" s="319">
        <f t="shared" si="146"/>
        <v>0</v>
      </c>
      <c r="CC352" s="319">
        <f t="shared" si="146"/>
        <v>0</v>
      </c>
      <c r="CD352" s="319">
        <f t="shared" si="146"/>
        <v>0</v>
      </c>
      <c r="CE352" s="319">
        <f t="shared" si="146"/>
        <v>0</v>
      </c>
      <c r="CF352" s="319">
        <f t="shared" si="146"/>
        <v>0</v>
      </c>
      <c r="CG352" s="319">
        <f t="shared" si="146"/>
        <v>0</v>
      </c>
      <c r="CH352" s="319">
        <f t="shared" si="146"/>
        <v>0</v>
      </c>
      <c r="CI352" s="319">
        <f t="shared" si="146"/>
        <v>0</v>
      </c>
      <c r="CJ352" s="319">
        <f t="shared" si="146"/>
        <v>0</v>
      </c>
      <c r="CK352" s="319">
        <f t="shared" si="146"/>
        <v>0</v>
      </c>
      <c r="CL352" s="319">
        <f t="shared" si="146"/>
        <v>0</v>
      </c>
      <c r="CM352" s="319">
        <f t="shared" si="146"/>
        <v>0</v>
      </c>
      <c r="CN352" s="319">
        <f t="shared" si="146"/>
        <v>0</v>
      </c>
      <c r="CO352" s="319">
        <f t="shared" si="146"/>
        <v>0</v>
      </c>
      <c r="CP352" s="319">
        <f t="shared" si="146"/>
        <v>0</v>
      </c>
      <c r="CQ352" s="319">
        <f t="shared" si="146"/>
        <v>0</v>
      </c>
      <c r="CR352" s="319">
        <f t="shared" si="146"/>
        <v>0</v>
      </c>
      <c r="CS352" s="319">
        <f t="shared" si="146"/>
        <v>0</v>
      </c>
      <c r="CT352" s="319">
        <f t="shared" si="146"/>
        <v>0</v>
      </c>
      <c r="CU352" s="319">
        <f t="shared" si="146"/>
        <v>0</v>
      </c>
      <c r="CV352" s="319">
        <f t="shared" si="146"/>
        <v>0</v>
      </c>
    </row>
    <row r="353" spans="1:100" x14ac:dyDescent="0.25">
      <c r="A353" s="319">
        <f t="shared" si="138"/>
        <v>0</v>
      </c>
      <c r="B353" s="319">
        <f t="shared" si="143"/>
        <v>0</v>
      </c>
      <c r="C353" s="345" t="str">
        <f>IF(Sandbox!AX20="","",Sandbox!AX20)</f>
        <v/>
      </c>
      <c r="D353" s="343" t="str">
        <f>IF(Sandbox!$BH$4="","",Sandbox!$BH$4)</f>
        <v/>
      </c>
      <c r="E353" s="343" t="str">
        <f>IF(Sandbox!AY20="","",Sandbox!AY20)</f>
        <v/>
      </c>
      <c r="F353" s="343" t="str">
        <f>IF(E353&lt;CharacterSheet!$V$34,"Yes","No")</f>
        <v>No</v>
      </c>
      <c r="G353" s="342" t="s">
        <v>347</v>
      </c>
      <c r="H353" s="333" t="str">
        <f>IF(C353="","",VLOOKUP(C353,Boonref2!A:B,2,FALSE))</f>
        <v/>
      </c>
      <c r="I353" s="333"/>
      <c r="J353" s="333" t="str">
        <f>VLOOKUP(C353,BoonRef!A:Z,17,FALSE)</f>
        <v>Yes</v>
      </c>
      <c r="K353" s="333" t="str">
        <f>IF(J353="God",'House Rules'!$B$2,IF(J353="Demi",'House Rules'!$B$1,IF(J353="Comp",'House Rules'!$B$4,IF(J353="Yaz",'House Rules'!$B$5,IF(J353="Rag",'House Rules'!$B$3,"Available")))))</f>
        <v>Available</v>
      </c>
      <c r="L353" s="333"/>
      <c r="M353" s="333"/>
      <c r="BF353" s="319">
        <f t="shared" si="145"/>
        <v>0</v>
      </c>
      <c r="BG353" s="340" t="s">
        <v>1487</v>
      </c>
      <c r="BI353" s="319">
        <f t="shared" si="136"/>
        <v>0</v>
      </c>
      <c r="BJ353" s="319">
        <f t="shared" si="146"/>
        <v>0</v>
      </c>
      <c r="BK353" s="319">
        <f t="shared" si="146"/>
        <v>0</v>
      </c>
      <c r="BL353" s="319">
        <f t="shared" si="146"/>
        <v>0</v>
      </c>
      <c r="BM353" s="319">
        <f t="shared" si="146"/>
        <v>0</v>
      </c>
      <c r="BN353" s="319">
        <f t="shared" si="146"/>
        <v>0</v>
      </c>
      <c r="BO353" s="319">
        <f t="shared" si="146"/>
        <v>0</v>
      </c>
      <c r="BP353" s="319">
        <f t="shared" si="146"/>
        <v>0</v>
      </c>
      <c r="BQ353" s="319">
        <f t="shared" si="146"/>
        <v>0</v>
      </c>
      <c r="BR353" s="319">
        <f t="shared" si="146"/>
        <v>0</v>
      </c>
      <c r="BS353" s="319">
        <f t="shared" si="146"/>
        <v>0</v>
      </c>
      <c r="BT353" s="319">
        <f t="shared" si="146"/>
        <v>0</v>
      </c>
      <c r="BU353" s="319">
        <f t="shared" si="146"/>
        <v>0</v>
      </c>
      <c r="BV353" s="319">
        <f t="shared" si="146"/>
        <v>0</v>
      </c>
      <c r="BW353" s="319">
        <f t="shared" si="146"/>
        <v>0</v>
      </c>
      <c r="BX353" s="319">
        <f t="shared" si="146"/>
        <v>0</v>
      </c>
      <c r="BY353" s="319">
        <f t="shared" si="146"/>
        <v>0</v>
      </c>
      <c r="BZ353" s="319">
        <f t="shared" si="146"/>
        <v>0</v>
      </c>
      <c r="CA353" s="319">
        <f t="shared" si="146"/>
        <v>0</v>
      </c>
      <c r="CB353" s="319">
        <f t="shared" si="146"/>
        <v>0</v>
      </c>
      <c r="CC353" s="319">
        <f t="shared" si="146"/>
        <v>0</v>
      </c>
      <c r="CD353" s="319">
        <f t="shared" si="146"/>
        <v>0</v>
      </c>
      <c r="CE353" s="319">
        <f t="shared" si="146"/>
        <v>0</v>
      </c>
      <c r="CF353" s="319">
        <f t="shared" si="146"/>
        <v>0</v>
      </c>
      <c r="CG353" s="319">
        <f t="shared" si="146"/>
        <v>0</v>
      </c>
      <c r="CH353" s="319">
        <f t="shared" si="146"/>
        <v>0</v>
      </c>
      <c r="CI353" s="319">
        <f t="shared" si="146"/>
        <v>0</v>
      </c>
      <c r="CJ353" s="319">
        <f t="shared" si="146"/>
        <v>0</v>
      </c>
      <c r="CK353" s="319">
        <f t="shared" si="146"/>
        <v>0</v>
      </c>
      <c r="CL353" s="319">
        <f t="shared" si="146"/>
        <v>0</v>
      </c>
      <c r="CM353" s="319">
        <f t="shared" si="146"/>
        <v>0</v>
      </c>
      <c r="CN353" s="319">
        <f t="shared" si="146"/>
        <v>0</v>
      </c>
      <c r="CO353" s="319">
        <f t="shared" si="146"/>
        <v>0</v>
      </c>
      <c r="CP353" s="319">
        <f t="shared" si="146"/>
        <v>0</v>
      </c>
      <c r="CQ353" s="319">
        <f t="shared" si="146"/>
        <v>0</v>
      </c>
      <c r="CR353" s="319">
        <f t="shared" si="146"/>
        <v>0</v>
      </c>
      <c r="CS353" s="319">
        <f t="shared" si="146"/>
        <v>0</v>
      </c>
      <c r="CT353" s="319">
        <f t="shared" si="146"/>
        <v>0</v>
      </c>
      <c r="CU353" s="319">
        <f t="shared" si="146"/>
        <v>0</v>
      </c>
      <c r="CV353" s="319">
        <f t="shared" si="146"/>
        <v>0</v>
      </c>
    </row>
    <row r="354" spans="1:100" x14ac:dyDescent="0.25">
      <c r="A354" s="319">
        <f t="shared" si="138"/>
        <v>0</v>
      </c>
      <c r="B354" s="319">
        <f t="shared" si="143"/>
        <v>0</v>
      </c>
      <c r="C354" s="345" t="str">
        <f>IF(Sandbox!AX21="","",Sandbox!AX21)</f>
        <v/>
      </c>
      <c r="D354" s="343" t="str">
        <f>IF(Sandbox!$BH$4="","",Sandbox!$BH$4)</f>
        <v/>
      </c>
      <c r="E354" s="343" t="str">
        <f>IF(Sandbox!AY21="","",Sandbox!AY21)</f>
        <v/>
      </c>
      <c r="F354" s="343" t="str">
        <f>IF(E354&lt;CharacterSheet!$V$34,"Yes","No")</f>
        <v>No</v>
      </c>
      <c r="G354" s="342" t="s">
        <v>347</v>
      </c>
      <c r="H354" s="333" t="str">
        <f>IF(C354="","",VLOOKUP(C354,Boonref2!A:B,2,FALSE))</f>
        <v/>
      </c>
      <c r="I354" s="333"/>
      <c r="J354" s="333" t="str">
        <f>VLOOKUP(C354,BoonRef!A:Z,17,FALSE)</f>
        <v>Yes</v>
      </c>
      <c r="K354" s="333" t="str">
        <f>IF(J354="God",'House Rules'!$B$2,IF(J354="Demi",'House Rules'!$B$1,IF(J354="Comp",'House Rules'!$B$4,IF(J354="Yaz",'House Rules'!$B$5,IF(J354="Rag",'House Rules'!$B$3,"Available")))))</f>
        <v>Available</v>
      </c>
      <c r="L354" s="333"/>
      <c r="M354" s="333"/>
      <c r="BF354" s="319">
        <f t="shared" si="145"/>
        <v>0</v>
      </c>
      <c r="BG354" s="340" t="s">
        <v>1488</v>
      </c>
      <c r="BI354" s="319">
        <f t="shared" si="136"/>
        <v>0</v>
      </c>
      <c r="BJ354" s="319">
        <f t="shared" si="146"/>
        <v>0</v>
      </c>
      <c r="BK354" s="319">
        <f t="shared" si="146"/>
        <v>0</v>
      </c>
      <c r="BL354" s="319">
        <f t="shared" si="146"/>
        <v>0</v>
      </c>
      <c r="BM354" s="319">
        <f t="shared" si="146"/>
        <v>0</v>
      </c>
      <c r="BN354" s="319">
        <f t="shared" si="146"/>
        <v>0</v>
      </c>
      <c r="BO354" s="319">
        <f t="shared" si="146"/>
        <v>0</v>
      </c>
      <c r="BP354" s="319">
        <f t="shared" si="146"/>
        <v>0</v>
      </c>
      <c r="BQ354" s="319">
        <f t="shared" si="146"/>
        <v>0</v>
      </c>
      <c r="BR354" s="319">
        <f t="shared" si="146"/>
        <v>0</v>
      </c>
      <c r="BS354" s="319">
        <f t="shared" si="146"/>
        <v>0</v>
      </c>
      <c r="BT354" s="319">
        <f t="shared" si="146"/>
        <v>0</v>
      </c>
      <c r="BU354" s="319">
        <f t="shared" si="146"/>
        <v>0</v>
      </c>
      <c r="BV354" s="319">
        <f t="shared" si="146"/>
        <v>0</v>
      </c>
      <c r="BW354" s="319">
        <f t="shared" si="146"/>
        <v>0</v>
      </c>
      <c r="BX354" s="319">
        <f t="shared" si="146"/>
        <v>0</v>
      </c>
      <c r="BY354" s="319">
        <f t="shared" si="146"/>
        <v>0</v>
      </c>
      <c r="BZ354" s="319">
        <f t="shared" si="146"/>
        <v>0</v>
      </c>
      <c r="CA354" s="319">
        <f t="shared" si="146"/>
        <v>0</v>
      </c>
      <c r="CB354" s="319">
        <f t="shared" si="146"/>
        <v>0</v>
      </c>
      <c r="CC354" s="319">
        <f t="shared" si="146"/>
        <v>0</v>
      </c>
      <c r="CD354" s="319">
        <f t="shared" si="146"/>
        <v>0</v>
      </c>
      <c r="CE354" s="319">
        <f t="shared" si="146"/>
        <v>0</v>
      </c>
      <c r="CF354" s="319">
        <f t="shared" si="146"/>
        <v>0</v>
      </c>
      <c r="CG354" s="319">
        <f t="shared" si="146"/>
        <v>0</v>
      </c>
      <c r="CH354" s="319">
        <f t="shared" si="146"/>
        <v>0</v>
      </c>
      <c r="CI354" s="319">
        <f t="shared" si="146"/>
        <v>0</v>
      </c>
      <c r="CJ354" s="319">
        <f t="shared" si="146"/>
        <v>0</v>
      </c>
      <c r="CK354" s="319">
        <f t="shared" si="146"/>
        <v>0</v>
      </c>
      <c r="CL354" s="319">
        <f t="shared" si="146"/>
        <v>0</v>
      </c>
      <c r="CM354" s="319">
        <f t="shared" si="146"/>
        <v>0</v>
      </c>
      <c r="CN354" s="319">
        <f t="shared" si="146"/>
        <v>0</v>
      </c>
      <c r="CO354" s="319">
        <f t="shared" si="146"/>
        <v>0</v>
      </c>
      <c r="CP354" s="319">
        <f t="shared" si="146"/>
        <v>0</v>
      </c>
      <c r="CQ354" s="319">
        <f t="shared" si="146"/>
        <v>0</v>
      </c>
      <c r="CR354" s="319">
        <f t="shared" si="146"/>
        <v>0</v>
      </c>
      <c r="CS354" s="319">
        <f t="shared" si="146"/>
        <v>0</v>
      </c>
      <c r="CT354" s="319">
        <f t="shared" si="146"/>
        <v>0</v>
      </c>
      <c r="CU354" s="319">
        <f t="shared" si="146"/>
        <v>0</v>
      </c>
      <c r="CV354" s="319">
        <f t="shared" si="146"/>
        <v>0</v>
      </c>
    </row>
    <row r="355" spans="1:100" x14ac:dyDescent="0.25">
      <c r="A355" s="319">
        <f t="shared" si="138"/>
        <v>0</v>
      </c>
      <c r="B355" s="319">
        <f t="shared" si="143"/>
        <v>0</v>
      </c>
      <c r="C355" s="345" t="str">
        <f>IF(Sandbox!AX22="","",Sandbox!AX22)</f>
        <v/>
      </c>
      <c r="D355" s="343" t="str">
        <f>IF(Sandbox!$BH$4="","",Sandbox!$BH$4)</f>
        <v/>
      </c>
      <c r="E355" s="343" t="str">
        <f>IF(Sandbox!AY22="","",Sandbox!AY22)</f>
        <v/>
      </c>
      <c r="F355" s="343" t="str">
        <f>IF(E355&lt;CharacterSheet!$V$34,"Yes","No")</f>
        <v>No</v>
      </c>
      <c r="G355" s="342" t="s">
        <v>347</v>
      </c>
      <c r="H355" s="333" t="str">
        <f>IF(C355="","",VLOOKUP(C355,Boonref2!A:B,2,FALSE))</f>
        <v/>
      </c>
      <c r="I355" s="333"/>
      <c r="J355" s="333" t="str">
        <f>VLOOKUP(C355,BoonRef!A:Z,17,FALSE)</f>
        <v>Yes</v>
      </c>
      <c r="K355" s="333" t="str">
        <f>IF(J355="God",'House Rules'!$B$2,IF(J355="Demi",'House Rules'!$B$1,IF(J355="Comp",'House Rules'!$B$4,IF(J355="Yaz",'House Rules'!$B$5,IF(J355="Rag",'House Rules'!$B$3,"Available")))))</f>
        <v>Available</v>
      </c>
      <c r="L355" s="333"/>
      <c r="M355" s="333"/>
      <c r="BF355" s="319">
        <f t="shared" si="145"/>
        <v>0</v>
      </c>
      <c r="BG355" s="340" t="s">
        <v>1489</v>
      </c>
      <c r="BI355" s="319">
        <f t="shared" si="136"/>
        <v>0</v>
      </c>
      <c r="BJ355" s="319">
        <f t="shared" si="146"/>
        <v>0</v>
      </c>
      <c r="BK355" s="319">
        <f t="shared" si="146"/>
        <v>0</v>
      </c>
      <c r="BL355" s="319">
        <f t="shared" si="146"/>
        <v>0</v>
      </c>
      <c r="BM355" s="319">
        <f t="shared" si="146"/>
        <v>0</v>
      </c>
      <c r="BN355" s="319">
        <f t="shared" si="146"/>
        <v>0</v>
      </c>
      <c r="BO355" s="319">
        <f t="shared" si="146"/>
        <v>0</v>
      </c>
      <c r="BP355" s="319">
        <f t="shared" si="146"/>
        <v>0</v>
      </c>
      <c r="BQ355" s="319">
        <f t="shared" si="146"/>
        <v>0</v>
      </c>
      <c r="BR355" s="319">
        <f t="shared" si="146"/>
        <v>0</v>
      </c>
      <c r="BS355" s="319">
        <f t="shared" si="146"/>
        <v>0</v>
      </c>
      <c r="BT355" s="319">
        <f t="shared" si="146"/>
        <v>0</v>
      </c>
      <c r="BU355" s="319">
        <f t="shared" si="146"/>
        <v>0</v>
      </c>
      <c r="BV355" s="319">
        <f t="shared" si="146"/>
        <v>0</v>
      </c>
      <c r="BW355" s="319">
        <f t="shared" si="146"/>
        <v>0</v>
      </c>
      <c r="BX355" s="319">
        <f t="shared" si="146"/>
        <v>0</v>
      </c>
      <c r="BY355" s="319">
        <f t="shared" si="146"/>
        <v>0</v>
      </c>
      <c r="BZ355" s="319">
        <f t="shared" si="146"/>
        <v>0</v>
      </c>
      <c r="CA355" s="319">
        <f t="shared" si="146"/>
        <v>0</v>
      </c>
      <c r="CB355" s="319">
        <f t="shared" si="146"/>
        <v>0</v>
      </c>
      <c r="CC355" s="319">
        <f t="shared" si="146"/>
        <v>0</v>
      </c>
      <c r="CD355" s="319">
        <f t="shared" si="146"/>
        <v>0</v>
      </c>
      <c r="CE355" s="319">
        <f t="shared" si="146"/>
        <v>0</v>
      </c>
      <c r="CF355" s="319">
        <f t="shared" si="146"/>
        <v>0</v>
      </c>
      <c r="CG355" s="319">
        <f t="shared" si="146"/>
        <v>0</v>
      </c>
      <c r="CH355" s="319">
        <f t="shared" si="146"/>
        <v>0</v>
      </c>
      <c r="CI355" s="319">
        <f t="shared" si="146"/>
        <v>0</v>
      </c>
      <c r="CJ355" s="319">
        <f t="shared" si="146"/>
        <v>0</v>
      </c>
      <c r="CK355" s="319">
        <f t="shared" si="146"/>
        <v>0</v>
      </c>
      <c r="CL355" s="319">
        <f t="shared" si="146"/>
        <v>0</v>
      </c>
      <c r="CM355" s="319">
        <f t="shared" si="146"/>
        <v>0</v>
      </c>
      <c r="CN355" s="319">
        <f t="shared" si="146"/>
        <v>0</v>
      </c>
      <c r="CO355" s="319">
        <f t="shared" si="146"/>
        <v>0</v>
      </c>
      <c r="CP355" s="319">
        <f t="shared" si="146"/>
        <v>0</v>
      </c>
      <c r="CQ355" s="319">
        <f t="shared" si="146"/>
        <v>0</v>
      </c>
      <c r="CR355" s="319">
        <f t="shared" si="146"/>
        <v>0</v>
      </c>
      <c r="CS355" s="319">
        <f t="shared" si="146"/>
        <v>0</v>
      </c>
      <c r="CT355" s="319">
        <f t="shared" si="146"/>
        <v>0</v>
      </c>
      <c r="CU355" s="319">
        <f t="shared" si="146"/>
        <v>0</v>
      </c>
      <c r="CV355" s="319">
        <f t="shared" si="146"/>
        <v>0</v>
      </c>
    </row>
    <row r="356" spans="1:100" x14ac:dyDescent="0.25">
      <c r="A356" s="319">
        <f t="shared" si="138"/>
        <v>0</v>
      </c>
      <c r="B356" s="319">
        <f t="shared" si="143"/>
        <v>0</v>
      </c>
      <c r="C356" s="345" t="str">
        <f>IF(Sandbox!AX23="","",Sandbox!AX23)</f>
        <v/>
      </c>
      <c r="D356" s="343" t="str">
        <f>IF(Sandbox!$BH$4="","",Sandbox!$BH$4)</f>
        <v/>
      </c>
      <c r="E356" s="343" t="str">
        <f>IF(Sandbox!AY23="","",Sandbox!AY23)</f>
        <v/>
      </c>
      <c r="F356" s="343" t="str">
        <f>IF(E356&lt;CharacterSheet!$V$34,"Yes","No")</f>
        <v>No</v>
      </c>
      <c r="G356" s="342" t="s">
        <v>347</v>
      </c>
      <c r="H356" s="333" t="str">
        <f>IF(C356="","",VLOOKUP(C356,Boonref2!A:B,2,FALSE))</f>
        <v/>
      </c>
      <c r="I356" s="333"/>
      <c r="J356" s="333" t="str">
        <f>VLOOKUP(C356,BoonRef!A:Z,17,FALSE)</f>
        <v>Yes</v>
      </c>
      <c r="K356" s="333" t="str">
        <f>IF(J356="God",'House Rules'!$B$2,IF(J356="Demi",'House Rules'!$B$1,IF(J356="Comp",'House Rules'!$B$4,IF(J356="Yaz",'House Rules'!$B$5,IF(J356="Rag",'House Rules'!$B$3,"Available")))))</f>
        <v>Available</v>
      </c>
      <c r="L356" s="333"/>
      <c r="M356" s="333"/>
      <c r="BF356" s="319">
        <f t="shared" si="145"/>
        <v>0</v>
      </c>
      <c r="BG356" s="340" t="s">
        <v>1490</v>
      </c>
      <c r="BI356" s="319">
        <f t="shared" si="136"/>
        <v>0</v>
      </c>
      <c r="BJ356" s="319">
        <f t="shared" si="146"/>
        <v>0</v>
      </c>
      <c r="BK356" s="319">
        <f t="shared" si="146"/>
        <v>0</v>
      </c>
      <c r="BL356" s="319">
        <f t="shared" si="146"/>
        <v>0</v>
      </c>
      <c r="BM356" s="319">
        <f t="shared" si="146"/>
        <v>0</v>
      </c>
      <c r="BN356" s="319">
        <f t="shared" si="146"/>
        <v>0</v>
      </c>
      <c r="BO356" s="319">
        <f t="shared" si="146"/>
        <v>0</v>
      </c>
      <c r="BP356" s="319">
        <f t="shared" si="146"/>
        <v>0</v>
      </c>
      <c r="BQ356" s="319">
        <f t="shared" si="146"/>
        <v>0</v>
      </c>
      <c r="BR356" s="319">
        <f t="shared" si="146"/>
        <v>0</v>
      </c>
      <c r="BS356" s="319">
        <f t="shared" si="146"/>
        <v>0</v>
      </c>
      <c r="BT356" s="319">
        <f t="shared" si="146"/>
        <v>0</v>
      </c>
      <c r="BU356" s="319">
        <f t="shared" si="146"/>
        <v>0</v>
      </c>
      <c r="BV356" s="319">
        <f t="shared" si="146"/>
        <v>0</v>
      </c>
      <c r="BW356" s="319">
        <f t="shared" si="146"/>
        <v>0</v>
      </c>
      <c r="BX356" s="319">
        <f t="shared" si="146"/>
        <v>0</v>
      </c>
      <c r="BY356" s="319">
        <f t="shared" si="146"/>
        <v>0</v>
      </c>
      <c r="BZ356" s="319">
        <f t="shared" si="146"/>
        <v>0</v>
      </c>
      <c r="CA356" s="319">
        <f t="shared" si="146"/>
        <v>0</v>
      </c>
      <c r="CB356" s="319">
        <f t="shared" si="146"/>
        <v>0</v>
      </c>
      <c r="CC356" s="319">
        <f t="shared" si="146"/>
        <v>0</v>
      </c>
      <c r="CD356" s="319">
        <f t="shared" si="146"/>
        <v>0</v>
      </c>
      <c r="CE356" s="319">
        <f t="shared" si="146"/>
        <v>0</v>
      </c>
      <c r="CF356" s="319">
        <f t="shared" si="146"/>
        <v>0</v>
      </c>
      <c r="CG356" s="319">
        <f t="shared" si="146"/>
        <v>0</v>
      </c>
      <c r="CH356" s="319">
        <f t="shared" si="146"/>
        <v>0</v>
      </c>
      <c r="CI356" s="319">
        <f t="shared" si="146"/>
        <v>0</v>
      </c>
      <c r="CJ356" s="319">
        <f t="shared" si="146"/>
        <v>0</v>
      </c>
      <c r="CK356" s="319">
        <f t="shared" si="146"/>
        <v>0</v>
      </c>
      <c r="CL356" s="319">
        <f t="shared" si="146"/>
        <v>0</v>
      </c>
      <c r="CM356" s="319">
        <f t="shared" si="146"/>
        <v>0</v>
      </c>
      <c r="CN356" s="319">
        <f t="shared" si="146"/>
        <v>0</v>
      </c>
      <c r="CO356" s="319">
        <f t="shared" si="146"/>
        <v>0</v>
      </c>
      <c r="CP356" s="319">
        <f t="shared" si="146"/>
        <v>0</v>
      </c>
      <c r="CQ356" s="319">
        <f t="shared" si="146"/>
        <v>0</v>
      </c>
      <c r="CR356" s="319">
        <f t="shared" si="146"/>
        <v>0</v>
      </c>
      <c r="CS356" s="319">
        <f t="shared" si="146"/>
        <v>0</v>
      </c>
      <c r="CT356" s="319">
        <f t="shared" si="146"/>
        <v>0</v>
      </c>
      <c r="CU356" s="319">
        <f t="shared" si="146"/>
        <v>0</v>
      </c>
      <c r="CV356" s="319">
        <f t="shared" si="146"/>
        <v>0</v>
      </c>
    </row>
    <row r="357" spans="1:100" x14ac:dyDescent="0.25">
      <c r="A357" s="319">
        <f t="shared" si="138"/>
        <v>0</v>
      </c>
      <c r="B357" s="319">
        <f t="shared" si="143"/>
        <v>0</v>
      </c>
      <c r="C357" s="345" t="str">
        <f>IF(Sandbox!AX24="","",Sandbox!AX24)</f>
        <v/>
      </c>
      <c r="D357" s="343" t="str">
        <f>IF(Sandbox!$BH$4="","",Sandbox!$BH$4)</f>
        <v/>
      </c>
      <c r="E357" s="343" t="str">
        <f>IF(Sandbox!AY24="","",Sandbox!AY24)</f>
        <v/>
      </c>
      <c r="F357" s="343" t="str">
        <f>IF(E357&lt;CharacterSheet!$V$34,"Yes","No")</f>
        <v>No</v>
      </c>
      <c r="G357" s="342" t="s">
        <v>347</v>
      </c>
      <c r="H357" s="333" t="str">
        <f>IF(C357="","",VLOOKUP(C357,Boonref2!A:B,2,FALSE))</f>
        <v/>
      </c>
      <c r="I357" s="333"/>
      <c r="J357" s="333" t="str">
        <f>VLOOKUP(C357,BoonRef!A:Z,17,FALSE)</f>
        <v>Yes</v>
      </c>
      <c r="K357" s="333" t="str">
        <f>IF(J357="God",'House Rules'!$B$2,IF(J357="Demi",'House Rules'!$B$1,IF(J357="Comp",'House Rules'!$B$4,IF(J357="Yaz",'House Rules'!$B$5,IF(J357="Rag",'House Rules'!$B$3,"Available")))))</f>
        <v>Available</v>
      </c>
      <c r="L357" s="333"/>
      <c r="M357" s="333"/>
      <c r="BF357" s="319">
        <f t="shared" si="145"/>
        <v>0</v>
      </c>
      <c r="BG357" s="340" t="s">
        <v>1491</v>
      </c>
      <c r="BI357" s="319">
        <f t="shared" si="136"/>
        <v>0</v>
      </c>
      <c r="BJ357" s="319">
        <f t="shared" si="146"/>
        <v>0</v>
      </c>
      <c r="BK357" s="319">
        <f t="shared" si="146"/>
        <v>0</v>
      </c>
      <c r="BL357" s="319">
        <f t="shared" si="146"/>
        <v>0</v>
      </c>
      <c r="BM357" s="319">
        <f t="shared" si="146"/>
        <v>0</v>
      </c>
      <c r="BN357" s="319">
        <f t="shared" si="146"/>
        <v>0</v>
      </c>
      <c r="BO357" s="319">
        <f t="shared" si="146"/>
        <v>0</v>
      </c>
      <c r="BP357" s="319">
        <f t="shared" si="146"/>
        <v>0</v>
      </c>
      <c r="BQ357" s="319">
        <f t="shared" si="146"/>
        <v>0</v>
      </c>
      <c r="BR357" s="319">
        <f t="shared" si="146"/>
        <v>0</v>
      </c>
      <c r="BS357" s="319">
        <f t="shared" si="146"/>
        <v>0</v>
      </c>
      <c r="BT357" s="319">
        <f t="shared" si="146"/>
        <v>0</v>
      </c>
      <c r="BU357" s="319">
        <f t="shared" si="146"/>
        <v>0</v>
      </c>
      <c r="BV357" s="319">
        <f t="shared" si="146"/>
        <v>0</v>
      </c>
      <c r="BW357" s="319">
        <f t="shared" si="146"/>
        <v>0</v>
      </c>
      <c r="BX357" s="319">
        <f t="shared" si="146"/>
        <v>0</v>
      </c>
      <c r="BY357" s="319">
        <f t="shared" si="146"/>
        <v>0</v>
      </c>
      <c r="BZ357" s="319">
        <f t="shared" si="146"/>
        <v>0</v>
      </c>
      <c r="CA357" s="319">
        <f t="shared" si="146"/>
        <v>0</v>
      </c>
      <c r="CB357" s="319">
        <f t="shared" si="146"/>
        <v>0</v>
      </c>
      <c r="CC357" s="319">
        <f t="shared" si="146"/>
        <v>0</v>
      </c>
      <c r="CD357" s="319">
        <f t="shared" si="146"/>
        <v>0</v>
      </c>
      <c r="CE357" s="319">
        <f t="shared" si="146"/>
        <v>0</v>
      </c>
      <c r="CF357" s="319">
        <f t="shared" si="146"/>
        <v>0</v>
      </c>
      <c r="CG357" s="319">
        <f t="shared" si="146"/>
        <v>0</v>
      </c>
      <c r="CH357" s="319">
        <f t="shared" si="146"/>
        <v>0</v>
      </c>
      <c r="CI357" s="319">
        <f t="shared" si="146"/>
        <v>0</v>
      </c>
      <c r="CJ357" s="319">
        <f t="shared" si="146"/>
        <v>0</v>
      </c>
      <c r="CK357" s="319">
        <f t="shared" si="146"/>
        <v>0</v>
      </c>
      <c r="CL357" s="319">
        <f t="shared" si="146"/>
        <v>0</v>
      </c>
      <c r="CM357" s="319">
        <f t="shared" si="146"/>
        <v>0</v>
      </c>
      <c r="CN357" s="319">
        <f t="shared" si="146"/>
        <v>0</v>
      </c>
      <c r="CO357" s="319">
        <f t="shared" si="146"/>
        <v>0</v>
      </c>
      <c r="CP357" s="319">
        <f t="shared" si="146"/>
        <v>0</v>
      </c>
      <c r="CQ357" s="319">
        <f t="shared" ref="BJ357:CV364" si="147">IF(AND($D357=CQ$1,$G357="Yes"),$E357,0)</f>
        <v>0</v>
      </c>
      <c r="CR357" s="319">
        <f t="shared" si="147"/>
        <v>0</v>
      </c>
      <c r="CS357" s="319">
        <f t="shared" si="147"/>
        <v>0</v>
      </c>
      <c r="CT357" s="319">
        <f t="shared" si="147"/>
        <v>0</v>
      </c>
      <c r="CU357" s="319">
        <f t="shared" si="147"/>
        <v>0</v>
      </c>
      <c r="CV357" s="319">
        <f t="shared" si="147"/>
        <v>0</v>
      </c>
    </row>
    <row r="358" spans="1:100" x14ac:dyDescent="0.25">
      <c r="A358" s="319">
        <f t="shared" si="138"/>
        <v>0</v>
      </c>
      <c r="B358" s="319">
        <f t="shared" si="143"/>
        <v>0</v>
      </c>
      <c r="C358" s="345" t="str">
        <f>IF(Sandbox!AX25="","",Sandbox!AX25)</f>
        <v/>
      </c>
      <c r="D358" s="343" t="str">
        <f>IF(Sandbox!$BH$4="","",Sandbox!$BH$4)</f>
        <v/>
      </c>
      <c r="E358" s="343" t="str">
        <f>IF(Sandbox!AY25="","",Sandbox!AY25)</f>
        <v/>
      </c>
      <c r="F358" s="343" t="str">
        <f>IF(E358&lt;CharacterSheet!$V$34,"Yes","No")</f>
        <v>No</v>
      </c>
      <c r="G358" s="342" t="s">
        <v>347</v>
      </c>
      <c r="H358" s="333" t="str">
        <f>IF(C358="","",VLOOKUP(C358,Boonref2!A:B,2,FALSE))</f>
        <v/>
      </c>
      <c r="I358" s="333"/>
      <c r="J358" s="333" t="str">
        <f>VLOOKUP(C358,BoonRef!A:Z,17,FALSE)</f>
        <v>Yes</v>
      </c>
      <c r="K358" s="333" t="str">
        <f>IF(J358="God",'House Rules'!$B$2,IF(J358="Demi",'House Rules'!$B$1,IF(J358="Comp",'House Rules'!$B$4,IF(J358="Yaz",'House Rules'!$B$5,IF(J358="Rag",'House Rules'!$B$3,"Available")))))</f>
        <v>Available</v>
      </c>
      <c r="L358" s="333"/>
      <c r="M358" s="333"/>
      <c r="BF358" s="319">
        <f t="shared" si="145"/>
        <v>0</v>
      </c>
      <c r="BG358" s="340" t="s">
        <v>1492</v>
      </c>
      <c r="BI358" s="319">
        <f t="shared" si="136"/>
        <v>0</v>
      </c>
      <c r="BJ358" s="319">
        <f t="shared" si="147"/>
        <v>0</v>
      </c>
      <c r="BK358" s="319">
        <f t="shared" si="147"/>
        <v>0</v>
      </c>
      <c r="BL358" s="319">
        <f t="shared" si="147"/>
        <v>0</v>
      </c>
      <c r="BM358" s="319">
        <f t="shared" si="147"/>
        <v>0</v>
      </c>
      <c r="BN358" s="319">
        <f t="shared" si="147"/>
        <v>0</v>
      </c>
      <c r="BO358" s="319">
        <f t="shared" si="147"/>
        <v>0</v>
      </c>
      <c r="BP358" s="319">
        <f t="shared" si="147"/>
        <v>0</v>
      </c>
      <c r="BQ358" s="319">
        <f t="shared" si="147"/>
        <v>0</v>
      </c>
      <c r="BR358" s="319">
        <f t="shared" si="147"/>
        <v>0</v>
      </c>
      <c r="BS358" s="319">
        <f t="shared" si="147"/>
        <v>0</v>
      </c>
      <c r="BT358" s="319">
        <f t="shared" si="147"/>
        <v>0</v>
      </c>
      <c r="BU358" s="319">
        <f t="shared" si="147"/>
        <v>0</v>
      </c>
      <c r="BV358" s="319">
        <f t="shared" si="147"/>
        <v>0</v>
      </c>
      <c r="BW358" s="319">
        <f t="shared" si="147"/>
        <v>0</v>
      </c>
      <c r="BX358" s="319">
        <f t="shared" si="147"/>
        <v>0</v>
      </c>
      <c r="BY358" s="319">
        <f t="shared" si="147"/>
        <v>0</v>
      </c>
      <c r="BZ358" s="319">
        <f t="shared" si="147"/>
        <v>0</v>
      </c>
      <c r="CA358" s="319">
        <f t="shared" si="147"/>
        <v>0</v>
      </c>
      <c r="CB358" s="319">
        <f t="shared" si="147"/>
        <v>0</v>
      </c>
      <c r="CC358" s="319">
        <f t="shared" si="147"/>
        <v>0</v>
      </c>
      <c r="CD358" s="319">
        <f t="shared" si="147"/>
        <v>0</v>
      </c>
      <c r="CE358" s="319">
        <f t="shared" si="147"/>
        <v>0</v>
      </c>
      <c r="CF358" s="319">
        <f t="shared" si="147"/>
        <v>0</v>
      </c>
      <c r="CG358" s="319">
        <f t="shared" si="147"/>
        <v>0</v>
      </c>
      <c r="CH358" s="319">
        <f t="shared" si="147"/>
        <v>0</v>
      </c>
      <c r="CI358" s="319">
        <f t="shared" si="147"/>
        <v>0</v>
      </c>
      <c r="CJ358" s="319">
        <f t="shared" si="147"/>
        <v>0</v>
      </c>
      <c r="CK358" s="319">
        <f t="shared" si="147"/>
        <v>0</v>
      </c>
      <c r="CL358" s="319">
        <f t="shared" si="147"/>
        <v>0</v>
      </c>
      <c r="CM358" s="319">
        <f t="shared" si="147"/>
        <v>0</v>
      </c>
      <c r="CN358" s="319">
        <f t="shared" si="147"/>
        <v>0</v>
      </c>
      <c r="CO358" s="319">
        <f t="shared" si="147"/>
        <v>0</v>
      </c>
      <c r="CP358" s="319">
        <f t="shared" si="147"/>
        <v>0</v>
      </c>
      <c r="CQ358" s="319">
        <f t="shared" si="147"/>
        <v>0</v>
      </c>
      <c r="CR358" s="319">
        <f t="shared" si="147"/>
        <v>0</v>
      </c>
      <c r="CS358" s="319">
        <f t="shared" si="147"/>
        <v>0</v>
      </c>
      <c r="CT358" s="319">
        <f t="shared" si="147"/>
        <v>0</v>
      </c>
      <c r="CU358" s="319">
        <f t="shared" si="147"/>
        <v>0</v>
      </c>
      <c r="CV358" s="319">
        <f t="shared" si="147"/>
        <v>0</v>
      </c>
    </row>
    <row r="359" spans="1:100" x14ac:dyDescent="0.25">
      <c r="A359" s="319">
        <f t="shared" si="138"/>
        <v>0</v>
      </c>
      <c r="B359" s="319">
        <f t="shared" si="143"/>
        <v>0</v>
      </c>
      <c r="C359" s="345" t="str">
        <f>IF(Sandbox!AX26="","",Sandbox!AX26)</f>
        <v/>
      </c>
      <c r="D359" s="343" t="str">
        <f>IF(Sandbox!$BH$4="","",Sandbox!$BH$4)</f>
        <v/>
      </c>
      <c r="E359" s="343" t="str">
        <f>IF(Sandbox!AY26="","",Sandbox!AY26)</f>
        <v/>
      </c>
      <c r="F359" s="343" t="str">
        <f>IF(E359&lt;CharacterSheet!$V$34,"Yes","No")</f>
        <v>No</v>
      </c>
      <c r="G359" s="342" t="s">
        <v>347</v>
      </c>
      <c r="H359" s="333" t="str">
        <f>IF(C359="","",VLOOKUP(C359,Boonref2!A:B,2,FALSE))</f>
        <v/>
      </c>
      <c r="I359" s="333"/>
      <c r="J359" s="333" t="str">
        <f>VLOOKUP(C359,BoonRef!A:Z,17,FALSE)</f>
        <v>Yes</v>
      </c>
      <c r="K359" s="333" t="str">
        <f>IF(J359="God",'House Rules'!$B$2,IF(J359="Demi",'House Rules'!$B$1,IF(J359="Comp",'House Rules'!$B$4,IF(J359="Yaz",'House Rules'!$B$5,IF(J359="Rag",'House Rules'!$B$3,"Available")))))</f>
        <v>Available</v>
      </c>
      <c r="L359" s="333"/>
      <c r="M359" s="333"/>
      <c r="BF359" s="319">
        <f t="shared" si="145"/>
        <v>0</v>
      </c>
      <c r="BG359" s="340" t="s">
        <v>2635</v>
      </c>
      <c r="BI359" s="319">
        <f t="shared" si="136"/>
        <v>0</v>
      </c>
      <c r="BJ359" s="319">
        <f t="shared" si="147"/>
        <v>0</v>
      </c>
      <c r="BK359" s="319">
        <f t="shared" si="147"/>
        <v>0</v>
      </c>
      <c r="BL359" s="319">
        <f t="shared" si="147"/>
        <v>0</v>
      </c>
      <c r="BM359" s="319">
        <f t="shared" si="147"/>
        <v>0</v>
      </c>
      <c r="BN359" s="319">
        <f t="shared" si="147"/>
        <v>0</v>
      </c>
      <c r="BO359" s="319">
        <f t="shared" si="147"/>
        <v>0</v>
      </c>
      <c r="BP359" s="319">
        <f t="shared" si="147"/>
        <v>0</v>
      </c>
      <c r="BQ359" s="319">
        <f t="shared" si="147"/>
        <v>0</v>
      </c>
      <c r="BR359" s="319">
        <f t="shared" si="147"/>
        <v>0</v>
      </c>
      <c r="BS359" s="319">
        <f t="shared" si="147"/>
        <v>0</v>
      </c>
      <c r="BT359" s="319">
        <f t="shared" si="147"/>
        <v>0</v>
      </c>
      <c r="BU359" s="319">
        <f t="shared" si="147"/>
        <v>0</v>
      </c>
      <c r="BV359" s="319">
        <f t="shared" si="147"/>
        <v>0</v>
      </c>
      <c r="BW359" s="319">
        <f t="shared" si="147"/>
        <v>0</v>
      </c>
      <c r="BX359" s="319">
        <f t="shared" si="147"/>
        <v>0</v>
      </c>
      <c r="BY359" s="319">
        <f t="shared" si="147"/>
        <v>0</v>
      </c>
      <c r="BZ359" s="319">
        <f t="shared" si="147"/>
        <v>0</v>
      </c>
      <c r="CA359" s="319">
        <f t="shared" si="147"/>
        <v>0</v>
      </c>
      <c r="CB359" s="319">
        <f t="shared" si="147"/>
        <v>0</v>
      </c>
      <c r="CC359" s="319">
        <f t="shared" si="147"/>
        <v>0</v>
      </c>
      <c r="CD359" s="319">
        <f t="shared" si="147"/>
        <v>0</v>
      </c>
      <c r="CE359" s="319">
        <f t="shared" si="147"/>
        <v>0</v>
      </c>
      <c r="CF359" s="319">
        <f t="shared" si="147"/>
        <v>0</v>
      </c>
      <c r="CG359" s="319">
        <f t="shared" si="147"/>
        <v>0</v>
      </c>
      <c r="CH359" s="319">
        <f t="shared" si="147"/>
        <v>0</v>
      </c>
      <c r="CI359" s="319">
        <f t="shared" si="147"/>
        <v>0</v>
      </c>
      <c r="CJ359" s="319">
        <f t="shared" si="147"/>
        <v>0</v>
      </c>
      <c r="CK359" s="319">
        <f t="shared" si="147"/>
        <v>0</v>
      </c>
      <c r="CL359" s="319">
        <f t="shared" si="147"/>
        <v>0</v>
      </c>
      <c r="CM359" s="319">
        <f t="shared" si="147"/>
        <v>0</v>
      </c>
      <c r="CN359" s="319">
        <f t="shared" si="147"/>
        <v>0</v>
      </c>
      <c r="CO359" s="319">
        <f t="shared" si="147"/>
        <v>0</v>
      </c>
      <c r="CP359" s="319">
        <f t="shared" si="147"/>
        <v>0</v>
      </c>
      <c r="CQ359" s="319">
        <f t="shared" si="147"/>
        <v>0</v>
      </c>
      <c r="CR359" s="319">
        <f t="shared" si="147"/>
        <v>0</v>
      </c>
      <c r="CS359" s="319">
        <f t="shared" si="147"/>
        <v>0</v>
      </c>
      <c r="CT359" s="319">
        <f t="shared" si="147"/>
        <v>0</v>
      </c>
      <c r="CU359" s="319">
        <f t="shared" si="147"/>
        <v>0</v>
      </c>
      <c r="CV359" s="319">
        <f t="shared" si="147"/>
        <v>0</v>
      </c>
    </row>
    <row r="360" spans="1:100" x14ac:dyDescent="0.25">
      <c r="A360" s="319">
        <f t="shared" si="138"/>
        <v>0</v>
      </c>
      <c r="B360" s="319">
        <f t="shared" si="143"/>
        <v>0</v>
      </c>
      <c r="C360" s="345" t="str">
        <f>IF(Sandbox!AX27="","",Sandbox!AX27)</f>
        <v/>
      </c>
      <c r="D360" s="343" t="str">
        <f>IF(Sandbox!$BH$4="","",Sandbox!$BH$4)</f>
        <v/>
      </c>
      <c r="E360" s="343" t="str">
        <f>IF(Sandbox!AY27="","",Sandbox!AY27)</f>
        <v/>
      </c>
      <c r="F360" s="343" t="str">
        <f>IF(E360&lt;CharacterSheet!$V$34,"Yes","No")</f>
        <v>No</v>
      </c>
      <c r="G360" s="342" t="s">
        <v>347</v>
      </c>
      <c r="H360" s="333" t="str">
        <f>IF(C360="","",VLOOKUP(C360,Boonref2!A:B,2,FALSE))</f>
        <v/>
      </c>
      <c r="I360" s="333"/>
      <c r="J360" s="333" t="str">
        <f>VLOOKUP(C360,BoonRef!A:Z,17,FALSE)</f>
        <v>Yes</v>
      </c>
      <c r="K360" s="333" t="str">
        <f>IF(J360="God",'House Rules'!$B$2,IF(J360="Demi",'House Rules'!$B$1,IF(J360="Comp",'House Rules'!$B$4,IF(J360="Yaz",'House Rules'!$B$5,IF(J360="Rag",'House Rules'!$B$3,"Available")))))</f>
        <v>Available</v>
      </c>
      <c r="L360" s="333"/>
      <c r="M360" s="333"/>
      <c r="BF360" s="319">
        <f t="shared" si="145"/>
        <v>0</v>
      </c>
      <c r="BG360" s="340" t="s">
        <v>1493</v>
      </c>
      <c r="BI360" s="319">
        <f t="shared" si="136"/>
        <v>0</v>
      </c>
      <c r="BJ360" s="319">
        <f t="shared" si="147"/>
        <v>0</v>
      </c>
      <c r="BK360" s="319">
        <f t="shared" si="147"/>
        <v>0</v>
      </c>
      <c r="BL360" s="319">
        <f t="shared" si="147"/>
        <v>0</v>
      </c>
      <c r="BM360" s="319">
        <f t="shared" si="147"/>
        <v>0</v>
      </c>
      <c r="BN360" s="319">
        <f t="shared" si="147"/>
        <v>0</v>
      </c>
      <c r="BO360" s="319">
        <f t="shared" si="147"/>
        <v>0</v>
      </c>
      <c r="BP360" s="319">
        <f t="shared" si="147"/>
        <v>0</v>
      </c>
      <c r="BQ360" s="319">
        <f t="shared" si="147"/>
        <v>0</v>
      </c>
      <c r="BR360" s="319">
        <f t="shared" si="147"/>
        <v>0</v>
      </c>
      <c r="BS360" s="319">
        <f t="shared" si="147"/>
        <v>0</v>
      </c>
      <c r="BT360" s="319">
        <f t="shared" si="147"/>
        <v>0</v>
      </c>
      <c r="BU360" s="319">
        <f t="shared" si="147"/>
        <v>0</v>
      </c>
      <c r="BV360" s="319">
        <f t="shared" si="147"/>
        <v>0</v>
      </c>
      <c r="BW360" s="319">
        <f t="shared" si="147"/>
        <v>0</v>
      </c>
      <c r="BX360" s="319">
        <f t="shared" si="147"/>
        <v>0</v>
      </c>
      <c r="BY360" s="319">
        <f t="shared" si="147"/>
        <v>0</v>
      </c>
      <c r="BZ360" s="319">
        <f t="shared" si="147"/>
        <v>0</v>
      </c>
      <c r="CA360" s="319">
        <f t="shared" si="147"/>
        <v>0</v>
      </c>
      <c r="CB360" s="319">
        <f t="shared" si="147"/>
        <v>0</v>
      </c>
      <c r="CC360" s="319">
        <f t="shared" si="147"/>
        <v>0</v>
      </c>
      <c r="CD360" s="319">
        <f t="shared" si="147"/>
        <v>0</v>
      </c>
      <c r="CE360" s="319">
        <f t="shared" si="147"/>
        <v>0</v>
      </c>
      <c r="CF360" s="319">
        <f t="shared" si="147"/>
        <v>0</v>
      </c>
      <c r="CG360" s="319">
        <f t="shared" si="147"/>
        <v>0</v>
      </c>
      <c r="CH360" s="319">
        <f t="shared" si="147"/>
        <v>0</v>
      </c>
      <c r="CI360" s="319">
        <f t="shared" si="147"/>
        <v>0</v>
      </c>
      <c r="CJ360" s="319">
        <f t="shared" si="147"/>
        <v>0</v>
      </c>
      <c r="CK360" s="319">
        <f t="shared" si="147"/>
        <v>0</v>
      </c>
      <c r="CL360" s="319">
        <f t="shared" si="147"/>
        <v>0</v>
      </c>
      <c r="CM360" s="319">
        <f t="shared" si="147"/>
        <v>0</v>
      </c>
      <c r="CN360" s="319">
        <f t="shared" si="147"/>
        <v>0</v>
      </c>
      <c r="CO360" s="319">
        <f t="shared" si="147"/>
        <v>0</v>
      </c>
      <c r="CP360" s="319">
        <f t="shared" si="147"/>
        <v>0</v>
      </c>
      <c r="CQ360" s="319">
        <f t="shared" si="147"/>
        <v>0</v>
      </c>
      <c r="CR360" s="319">
        <f t="shared" si="147"/>
        <v>0</v>
      </c>
      <c r="CS360" s="319">
        <f t="shared" si="147"/>
        <v>0</v>
      </c>
      <c r="CT360" s="319">
        <f t="shared" si="147"/>
        <v>0</v>
      </c>
      <c r="CU360" s="319">
        <f t="shared" si="147"/>
        <v>0</v>
      </c>
      <c r="CV360" s="319">
        <f t="shared" si="147"/>
        <v>0</v>
      </c>
    </row>
    <row r="361" spans="1:100" ht="15.75" thickBot="1" x14ac:dyDescent="0.3">
      <c r="A361" s="319">
        <f t="shared" si="138"/>
        <v>0</v>
      </c>
      <c r="B361" s="319">
        <f t="shared" si="143"/>
        <v>0</v>
      </c>
      <c r="C361" s="355" t="str">
        <f>IF(Sandbox!AX28="","",Sandbox!AX28)</f>
        <v/>
      </c>
      <c r="D361" s="363" t="str">
        <f>IF(Sandbox!$BH$4="","",Sandbox!$BH$4)</f>
        <v/>
      </c>
      <c r="E361" s="363" t="str">
        <f>IF(Sandbox!AY28="","",Sandbox!AY28)</f>
        <v/>
      </c>
      <c r="F361" s="363" t="str">
        <f>IF(E361&lt;CharacterSheet!$V$34,"Yes","No")</f>
        <v>No</v>
      </c>
      <c r="G361" s="354" t="s">
        <v>347</v>
      </c>
      <c r="H361" s="333" t="str">
        <f>IF(C361="","",VLOOKUP(C361,Boonref2!A:B,2,FALSE))</f>
        <v/>
      </c>
      <c r="I361" s="333"/>
      <c r="J361" s="333" t="str">
        <f>VLOOKUP(C361,BoonRef!A:Z,17,FALSE)</f>
        <v>Yes</v>
      </c>
      <c r="K361" s="333" t="str">
        <f>IF(J361="God",'House Rules'!$B$2,IF(J361="Demi",'House Rules'!$B$1,IF(J361="Comp",'House Rules'!$B$4,IF(J361="Yaz",'House Rules'!$B$5,IF(J361="Rag",'House Rules'!$B$3,"Available")))))</f>
        <v>Available</v>
      </c>
      <c r="L361" s="333"/>
      <c r="M361" s="333"/>
      <c r="BF361" s="319">
        <f t="shared" si="145"/>
        <v>0</v>
      </c>
      <c r="BG361" s="340" t="s">
        <v>1494</v>
      </c>
      <c r="BI361" s="319">
        <f t="shared" si="136"/>
        <v>0</v>
      </c>
      <c r="BJ361" s="319">
        <f t="shared" si="147"/>
        <v>0</v>
      </c>
      <c r="BK361" s="319">
        <f t="shared" si="147"/>
        <v>0</v>
      </c>
      <c r="BL361" s="319">
        <f t="shared" si="147"/>
        <v>0</v>
      </c>
      <c r="BM361" s="319">
        <f t="shared" si="147"/>
        <v>0</v>
      </c>
      <c r="BN361" s="319">
        <f t="shared" si="147"/>
        <v>0</v>
      </c>
      <c r="BO361" s="319">
        <f t="shared" si="147"/>
        <v>0</v>
      </c>
      <c r="BP361" s="319">
        <f t="shared" si="147"/>
        <v>0</v>
      </c>
      <c r="BQ361" s="319">
        <f t="shared" si="147"/>
        <v>0</v>
      </c>
      <c r="BR361" s="319">
        <f t="shared" si="147"/>
        <v>0</v>
      </c>
      <c r="BS361" s="319">
        <f t="shared" si="147"/>
        <v>0</v>
      </c>
      <c r="BT361" s="319">
        <f t="shared" si="147"/>
        <v>0</v>
      </c>
      <c r="BU361" s="319">
        <f t="shared" si="147"/>
        <v>0</v>
      </c>
      <c r="BV361" s="319">
        <f t="shared" si="147"/>
        <v>0</v>
      </c>
      <c r="BW361" s="319">
        <f t="shared" si="147"/>
        <v>0</v>
      </c>
      <c r="BX361" s="319">
        <f t="shared" si="147"/>
        <v>0</v>
      </c>
      <c r="BY361" s="319">
        <f t="shared" si="147"/>
        <v>0</v>
      </c>
      <c r="BZ361" s="319">
        <f t="shared" si="147"/>
        <v>0</v>
      </c>
      <c r="CA361" s="319">
        <f t="shared" si="147"/>
        <v>0</v>
      </c>
      <c r="CB361" s="319">
        <f t="shared" si="147"/>
        <v>0</v>
      </c>
      <c r="CC361" s="319">
        <f t="shared" si="147"/>
        <v>0</v>
      </c>
      <c r="CD361" s="319">
        <f t="shared" si="147"/>
        <v>0</v>
      </c>
      <c r="CE361" s="319">
        <f t="shared" si="147"/>
        <v>0</v>
      </c>
      <c r="CF361" s="319">
        <f t="shared" si="147"/>
        <v>0</v>
      </c>
      <c r="CG361" s="319">
        <f t="shared" si="147"/>
        <v>0</v>
      </c>
      <c r="CH361" s="319">
        <f t="shared" si="147"/>
        <v>0</v>
      </c>
      <c r="CI361" s="319">
        <f t="shared" si="147"/>
        <v>0</v>
      </c>
      <c r="CJ361" s="319">
        <f t="shared" si="147"/>
        <v>0</v>
      </c>
      <c r="CK361" s="319">
        <f t="shared" si="147"/>
        <v>0</v>
      </c>
      <c r="CL361" s="319">
        <f t="shared" si="147"/>
        <v>0</v>
      </c>
      <c r="CM361" s="319">
        <f t="shared" si="147"/>
        <v>0</v>
      </c>
      <c r="CN361" s="319">
        <f t="shared" si="147"/>
        <v>0</v>
      </c>
      <c r="CO361" s="319">
        <f t="shared" si="147"/>
        <v>0</v>
      </c>
      <c r="CP361" s="319">
        <f t="shared" si="147"/>
        <v>0</v>
      </c>
      <c r="CQ361" s="319">
        <f t="shared" si="147"/>
        <v>0</v>
      </c>
      <c r="CR361" s="319">
        <f t="shared" si="147"/>
        <v>0</v>
      </c>
      <c r="CS361" s="319">
        <f t="shared" si="147"/>
        <v>0</v>
      </c>
      <c r="CT361" s="319">
        <f t="shared" si="147"/>
        <v>0</v>
      </c>
      <c r="CU361" s="319">
        <f t="shared" si="147"/>
        <v>0</v>
      </c>
      <c r="CV361" s="319">
        <f t="shared" si="147"/>
        <v>0</v>
      </c>
    </row>
    <row r="362" spans="1:100" ht="15.75" thickBot="1" x14ac:dyDescent="0.3">
      <c r="A362" s="319">
        <f t="shared" si="138"/>
        <v>0</v>
      </c>
      <c r="B362" s="319">
        <f t="shared" si="143"/>
        <v>0</v>
      </c>
      <c r="C362" s="336" t="str">
        <f>IF(Sandbox!AX33="","",Sandbox!AX33)</f>
        <v/>
      </c>
      <c r="D362" s="334" t="str">
        <f>IF(Sandbox!$BH$29="","",Sandbox!$BH$29)</f>
        <v/>
      </c>
      <c r="E362" s="334" t="str">
        <f>IF(Sandbox!AY33="","",Sandbox!AY33)</f>
        <v/>
      </c>
      <c r="F362" s="334" t="str">
        <f>IF(E362&lt;CharacterSheet!$V$34,"Yes","No")</f>
        <v>No</v>
      </c>
      <c r="G362" s="332" t="s">
        <v>347</v>
      </c>
      <c r="H362" s="333" t="str">
        <f>IF(C362="","",VLOOKUP(C362,Boonref2!A:B,2,FALSE))</f>
        <v/>
      </c>
      <c r="I362" s="333"/>
      <c r="J362" s="333" t="str">
        <f>VLOOKUP(C362,BoonRef!A:Z,17,FALSE)</f>
        <v>Yes</v>
      </c>
      <c r="K362" s="333" t="str">
        <f>IF(J362="God",'House Rules'!$B$2,IF(J362="Demi",'House Rules'!$B$1,IF(J362="Comp",'House Rules'!$B$4,IF(J362="Yaz",'House Rules'!$B$5,IF(J362="Rag",'House Rules'!$B$3,"Available")))))</f>
        <v>Available</v>
      </c>
      <c r="L362" s="333"/>
      <c r="M362" s="333"/>
      <c r="BF362" s="319">
        <f t="shared" si="145"/>
        <v>0</v>
      </c>
      <c r="BG362" s="352" t="s">
        <v>1495</v>
      </c>
      <c r="BI362" s="319">
        <f t="shared" si="136"/>
        <v>0</v>
      </c>
      <c r="BJ362" s="319">
        <f t="shared" si="147"/>
        <v>0</v>
      </c>
      <c r="BK362" s="319">
        <f t="shared" si="147"/>
        <v>0</v>
      </c>
      <c r="BL362" s="319">
        <f t="shared" si="147"/>
        <v>0</v>
      </c>
      <c r="BM362" s="319">
        <f t="shared" si="147"/>
        <v>0</v>
      </c>
      <c r="BN362" s="319">
        <f t="shared" si="147"/>
        <v>0</v>
      </c>
      <c r="BO362" s="319">
        <f t="shared" si="147"/>
        <v>0</v>
      </c>
      <c r="BP362" s="319">
        <f t="shared" si="147"/>
        <v>0</v>
      </c>
      <c r="BQ362" s="319">
        <f t="shared" si="147"/>
        <v>0</v>
      </c>
      <c r="BR362" s="319">
        <f t="shared" si="147"/>
        <v>0</v>
      </c>
      <c r="BS362" s="319">
        <f t="shared" si="147"/>
        <v>0</v>
      </c>
      <c r="BT362" s="319">
        <f t="shared" si="147"/>
        <v>0</v>
      </c>
      <c r="BU362" s="319">
        <f t="shared" si="147"/>
        <v>0</v>
      </c>
      <c r="BV362" s="319">
        <f t="shared" si="147"/>
        <v>0</v>
      </c>
      <c r="BW362" s="319">
        <f t="shared" si="147"/>
        <v>0</v>
      </c>
      <c r="BX362" s="319">
        <f t="shared" si="147"/>
        <v>0</v>
      </c>
      <c r="BY362" s="319">
        <f t="shared" si="147"/>
        <v>0</v>
      </c>
      <c r="BZ362" s="319">
        <f t="shared" si="147"/>
        <v>0</v>
      </c>
      <c r="CA362" s="319">
        <f t="shared" si="147"/>
        <v>0</v>
      </c>
      <c r="CB362" s="319">
        <f t="shared" si="147"/>
        <v>0</v>
      </c>
      <c r="CC362" s="319">
        <f t="shared" si="147"/>
        <v>0</v>
      </c>
      <c r="CD362" s="319">
        <f t="shared" si="147"/>
        <v>0</v>
      </c>
      <c r="CE362" s="319">
        <f t="shared" si="147"/>
        <v>0</v>
      </c>
      <c r="CF362" s="319">
        <f t="shared" si="147"/>
        <v>0</v>
      </c>
      <c r="CG362" s="319">
        <f t="shared" si="147"/>
        <v>0</v>
      </c>
      <c r="CH362" s="319">
        <f t="shared" si="147"/>
        <v>0</v>
      </c>
      <c r="CI362" s="319">
        <f t="shared" si="147"/>
        <v>0</v>
      </c>
      <c r="CJ362" s="319">
        <f t="shared" si="147"/>
        <v>0</v>
      </c>
      <c r="CK362" s="319">
        <f t="shared" si="147"/>
        <v>0</v>
      </c>
      <c r="CL362" s="319">
        <f t="shared" si="147"/>
        <v>0</v>
      </c>
      <c r="CM362" s="319">
        <f t="shared" si="147"/>
        <v>0</v>
      </c>
      <c r="CN362" s="319">
        <f t="shared" si="147"/>
        <v>0</v>
      </c>
      <c r="CO362" s="319">
        <f t="shared" si="147"/>
        <v>0</v>
      </c>
      <c r="CP362" s="319">
        <f t="shared" si="147"/>
        <v>0</v>
      </c>
      <c r="CQ362" s="319">
        <f t="shared" si="147"/>
        <v>0</v>
      </c>
      <c r="CR362" s="319">
        <f t="shared" si="147"/>
        <v>0</v>
      </c>
      <c r="CS362" s="319">
        <f t="shared" si="147"/>
        <v>0</v>
      </c>
      <c r="CT362" s="319">
        <f t="shared" si="147"/>
        <v>0</v>
      </c>
      <c r="CU362" s="319">
        <f t="shared" si="147"/>
        <v>0</v>
      </c>
      <c r="CV362" s="319">
        <f t="shared" si="147"/>
        <v>0</v>
      </c>
    </row>
    <row r="363" spans="1:100" x14ac:dyDescent="0.25">
      <c r="A363" s="319">
        <f t="shared" si="138"/>
        <v>0</v>
      </c>
      <c r="B363" s="319">
        <f t="shared" si="143"/>
        <v>0</v>
      </c>
      <c r="C363" s="364" t="str">
        <f>IF(Sandbox!AX34="","",Sandbox!AX34)</f>
        <v/>
      </c>
      <c r="D363" s="343" t="str">
        <f>IF(Sandbox!$BH$29="","",Sandbox!$BH$29)</f>
        <v/>
      </c>
      <c r="E363" s="343" t="str">
        <f>IF(Sandbox!AY34="","",Sandbox!AY34)</f>
        <v/>
      </c>
      <c r="F363" s="343" t="str">
        <f>IF(E363&lt;CharacterSheet!$V$34,"Yes","No")</f>
        <v>No</v>
      </c>
      <c r="G363" s="342" t="s">
        <v>347</v>
      </c>
      <c r="H363" s="333" t="str">
        <f>IF(C363="","",VLOOKUP(C363,Boonref2!A:B,2,FALSE))</f>
        <v/>
      </c>
      <c r="I363" s="333"/>
      <c r="J363" s="333" t="str">
        <f>VLOOKUP(C363,BoonRef!A:Z,17,FALSE)</f>
        <v>Yes</v>
      </c>
      <c r="K363" s="333" t="str">
        <f>IF(J363="God",'House Rules'!$B$2,IF(J363="Demi",'House Rules'!$B$1,IF(J363="Comp",'House Rules'!$B$4,IF(J363="Yaz",'House Rules'!$B$5,IF(J363="Rag",'House Rules'!$B$3,"Available")))))</f>
        <v>Available</v>
      </c>
      <c r="L363" s="333"/>
      <c r="M363" s="333"/>
      <c r="BF363" s="319">
        <f t="shared" si="145"/>
        <v>0</v>
      </c>
      <c r="BG363" s="330" t="s">
        <v>1085</v>
      </c>
      <c r="BI363" s="319">
        <f t="shared" si="136"/>
        <v>0</v>
      </c>
      <c r="BJ363" s="319">
        <f t="shared" si="147"/>
        <v>0</v>
      </c>
      <c r="BK363" s="319">
        <f t="shared" si="147"/>
        <v>0</v>
      </c>
      <c r="BL363" s="319">
        <f t="shared" si="147"/>
        <v>0</v>
      </c>
      <c r="BM363" s="319">
        <f t="shared" si="147"/>
        <v>0</v>
      </c>
      <c r="BN363" s="319">
        <f t="shared" si="147"/>
        <v>0</v>
      </c>
      <c r="BO363" s="319">
        <f t="shared" si="147"/>
        <v>0</v>
      </c>
      <c r="BP363" s="319">
        <f t="shared" si="147"/>
        <v>0</v>
      </c>
      <c r="BQ363" s="319">
        <f t="shared" si="147"/>
        <v>0</v>
      </c>
      <c r="BR363" s="319">
        <f t="shared" si="147"/>
        <v>0</v>
      </c>
      <c r="BS363" s="319">
        <f t="shared" si="147"/>
        <v>0</v>
      </c>
      <c r="BT363" s="319">
        <f t="shared" si="147"/>
        <v>0</v>
      </c>
      <c r="BU363" s="319">
        <f t="shared" si="147"/>
        <v>0</v>
      </c>
      <c r="BV363" s="319">
        <f t="shared" si="147"/>
        <v>0</v>
      </c>
      <c r="BW363" s="319">
        <f t="shared" si="147"/>
        <v>0</v>
      </c>
      <c r="BX363" s="319">
        <f t="shared" si="147"/>
        <v>0</v>
      </c>
      <c r="BY363" s="319">
        <f t="shared" si="147"/>
        <v>0</v>
      </c>
      <c r="BZ363" s="319">
        <f t="shared" si="147"/>
        <v>0</v>
      </c>
      <c r="CA363" s="319">
        <f t="shared" si="147"/>
        <v>0</v>
      </c>
      <c r="CB363" s="319">
        <f t="shared" si="147"/>
        <v>0</v>
      </c>
      <c r="CC363" s="319">
        <f t="shared" si="147"/>
        <v>0</v>
      </c>
      <c r="CD363" s="319">
        <f t="shared" si="147"/>
        <v>0</v>
      </c>
      <c r="CE363" s="319">
        <f t="shared" si="147"/>
        <v>0</v>
      </c>
      <c r="CF363" s="319">
        <f t="shared" si="147"/>
        <v>0</v>
      </c>
      <c r="CG363" s="319">
        <f t="shared" si="147"/>
        <v>0</v>
      </c>
      <c r="CH363" s="319">
        <f t="shared" si="147"/>
        <v>0</v>
      </c>
      <c r="CI363" s="319">
        <f t="shared" si="147"/>
        <v>0</v>
      </c>
      <c r="CJ363" s="319">
        <f t="shared" si="147"/>
        <v>0</v>
      </c>
      <c r="CK363" s="319">
        <f t="shared" si="147"/>
        <v>0</v>
      </c>
      <c r="CL363" s="319">
        <f t="shared" si="147"/>
        <v>0</v>
      </c>
      <c r="CM363" s="319">
        <f t="shared" si="147"/>
        <v>0</v>
      </c>
      <c r="CN363" s="319">
        <f t="shared" si="147"/>
        <v>0</v>
      </c>
      <c r="CO363" s="319">
        <f t="shared" si="147"/>
        <v>0</v>
      </c>
      <c r="CP363" s="319">
        <f t="shared" si="147"/>
        <v>0</v>
      </c>
      <c r="CQ363" s="319">
        <f t="shared" si="147"/>
        <v>0</v>
      </c>
      <c r="CR363" s="319">
        <f t="shared" si="147"/>
        <v>0</v>
      </c>
      <c r="CS363" s="319">
        <f t="shared" si="147"/>
        <v>0</v>
      </c>
      <c r="CT363" s="319">
        <f t="shared" si="147"/>
        <v>0</v>
      </c>
      <c r="CU363" s="319">
        <f t="shared" si="147"/>
        <v>0</v>
      </c>
      <c r="CV363" s="319">
        <f t="shared" si="147"/>
        <v>0</v>
      </c>
    </row>
    <row r="364" spans="1:100" x14ac:dyDescent="0.25">
      <c r="A364" s="319">
        <f t="shared" si="138"/>
        <v>0</v>
      </c>
      <c r="B364" s="319">
        <f t="shared" si="143"/>
        <v>0</v>
      </c>
      <c r="C364" s="364" t="str">
        <f>IF(Sandbox!AX35="","",Sandbox!AX35)</f>
        <v/>
      </c>
      <c r="D364" s="343" t="str">
        <f>IF(Sandbox!$BH$29="","",Sandbox!$BH$29)</f>
        <v/>
      </c>
      <c r="E364" s="343" t="str">
        <f>IF(Sandbox!AY35="","",Sandbox!AY35)</f>
        <v/>
      </c>
      <c r="F364" s="343" t="str">
        <f>IF(E364&lt;CharacterSheet!$V$34,"Yes","No")</f>
        <v>No</v>
      </c>
      <c r="G364" s="342" t="s">
        <v>347</v>
      </c>
      <c r="H364" s="333" t="str">
        <f>IF(C364="","",VLOOKUP(C364,Boonref2!A:B,2,FALSE))</f>
        <v/>
      </c>
      <c r="I364" s="333"/>
      <c r="J364" s="333" t="str">
        <f>VLOOKUP(C364,BoonRef!A:Z,17,FALSE)</f>
        <v>Yes</v>
      </c>
      <c r="K364" s="333" t="str">
        <f>IF(J364="God",'House Rules'!$B$2,IF(J364="Demi",'House Rules'!$B$1,IF(J364="Comp",'House Rules'!$B$4,IF(J364="Yaz",'House Rules'!$B$5,IF(J364="Rag",'House Rules'!$B$3,"Available")))))</f>
        <v>Available</v>
      </c>
      <c r="L364" s="333"/>
      <c r="M364" s="333"/>
      <c r="BF364" s="319">
        <f t="shared" si="145"/>
        <v>0</v>
      </c>
      <c r="BG364" s="340" t="s">
        <v>1393</v>
      </c>
      <c r="BI364" s="319">
        <f t="shared" si="136"/>
        <v>0</v>
      </c>
      <c r="BJ364" s="319">
        <f t="shared" si="147"/>
        <v>0</v>
      </c>
      <c r="BK364" s="319">
        <f t="shared" si="147"/>
        <v>0</v>
      </c>
      <c r="BL364" s="319">
        <f t="shared" si="147"/>
        <v>0</v>
      </c>
      <c r="BM364" s="319">
        <f t="shared" si="147"/>
        <v>0</v>
      </c>
      <c r="BN364" s="319">
        <f t="shared" si="147"/>
        <v>0</v>
      </c>
      <c r="BO364" s="319">
        <f t="shared" si="147"/>
        <v>0</v>
      </c>
      <c r="BP364" s="319">
        <f t="shared" si="147"/>
        <v>0</v>
      </c>
      <c r="BQ364" s="319">
        <f t="shared" si="147"/>
        <v>0</v>
      </c>
      <c r="BR364" s="319">
        <f t="shared" si="147"/>
        <v>0</v>
      </c>
      <c r="BS364" s="319">
        <f t="shared" si="147"/>
        <v>0</v>
      </c>
      <c r="BT364" s="319">
        <f t="shared" si="147"/>
        <v>0</v>
      </c>
      <c r="BU364" s="319">
        <f t="shared" si="147"/>
        <v>0</v>
      </c>
      <c r="BV364" s="319">
        <f t="shared" si="147"/>
        <v>0</v>
      </c>
      <c r="BW364" s="319">
        <f t="shared" si="147"/>
        <v>0</v>
      </c>
      <c r="BX364" s="319">
        <f t="shared" si="147"/>
        <v>0</v>
      </c>
      <c r="BY364" s="319">
        <f t="shared" ref="BJ364:CV370" si="148">IF(AND($D364=BY$1,$G364="Yes"),$E364,0)</f>
        <v>0</v>
      </c>
      <c r="BZ364" s="319">
        <f t="shared" si="148"/>
        <v>0</v>
      </c>
      <c r="CA364" s="319">
        <f t="shared" si="148"/>
        <v>0</v>
      </c>
      <c r="CB364" s="319">
        <f t="shared" si="148"/>
        <v>0</v>
      </c>
      <c r="CC364" s="319">
        <f t="shared" si="148"/>
        <v>0</v>
      </c>
      <c r="CD364" s="319">
        <f t="shared" si="148"/>
        <v>0</v>
      </c>
      <c r="CE364" s="319">
        <f t="shared" si="148"/>
        <v>0</v>
      </c>
      <c r="CF364" s="319">
        <f t="shared" si="148"/>
        <v>0</v>
      </c>
      <c r="CG364" s="319">
        <f t="shared" si="148"/>
        <v>0</v>
      </c>
      <c r="CH364" s="319">
        <f t="shared" si="148"/>
        <v>0</v>
      </c>
      <c r="CI364" s="319">
        <f t="shared" si="148"/>
        <v>0</v>
      </c>
      <c r="CJ364" s="319">
        <f t="shared" si="148"/>
        <v>0</v>
      </c>
      <c r="CK364" s="319">
        <f t="shared" si="148"/>
        <v>0</v>
      </c>
      <c r="CL364" s="319">
        <f t="shared" si="148"/>
        <v>0</v>
      </c>
      <c r="CM364" s="319">
        <f t="shared" si="148"/>
        <v>0</v>
      </c>
      <c r="CN364" s="319">
        <f t="shared" si="148"/>
        <v>0</v>
      </c>
      <c r="CO364" s="319">
        <f t="shared" si="148"/>
        <v>0</v>
      </c>
      <c r="CP364" s="319">
        <f t="shared" si="148"/>
        <v>0</v>
      </c>
      <c r="CQ364" s="319">
        <f t="shared" si="148"/>
        <v>0</v>
      </c>
      <c r="CR364" s="319">
        <f t="shared" si="148"/>
        <v>0</v>
      </c>
      <c r="CS364" s="319">
        <f t="shared" si="148"/>
        <v>0</v>
      </c>
      <c r="CT364" s="319">
        <f t="shared" si="148"/>
        <v>0</v>
      </c>
      <c r="CU364" s="319">
        <f t="shared" si="148"/>
        <v>0</v>
      </c>
      <c r="CV364" s="319">
        <f t="shared" si="148"/>
        <v>0</v>
      </c>
    </row>
    <row r="365" spans="1:100" x14ac:dyDescent="0.25">
      <c r="A365" s="319">
        <f t="shared" si="138"/>
        <v>0</v>
      </c>
      <c r="B365" s="319">
        <f t="shared" si="143"/>
        <v>0</v>
      </c>
      <c r="C365" s="364" t="str">
        <f>IF(Sandbox!AX36="","",Sandbox!AX36)</f>
        <v/>
      </c>
      <c r="D365" s="343" t="str">
        <f>IF(Sandbox!$BH$29="","",Sandbox!$BH$29)</f>
        <v/>
      </c>
      <c r="E365" s="343" t="str">
        <f>IF(Sandbox!AY36="","",Sandbox!AY36)</f>
        <v/>
      </c>
      <c r="F365" s="343" t="str">
        <f>IF(E365&lt;CharacterSheet!$V$34,"Yes","No")</f>
        <v>No</v>
      </c>
      <c r="G365" s="342" t="s">
        <v>347</v>
      </c>
      <c r="H365" s="333" t="str">
        <f>IF(C365="","",VLOOKUP(C365,Boonref2!A:B,2,FALSE))</f>
        <v/>
      </c>
      <c r="I365" s="333"/>
      <c r="J365" s="333" t="str">
        <f>VLOOKUP(C365,BoonRef!A:Z,17,FALSE)</f>
        <v>Yes</v>
      </c>
      <c r="K365" s="333" t="str">
        <f>IF(J365="God",'House Rules'!$B$2,IF(J365="Demi",'House Rules'!$B$1,IF(J365="Comp",'House Rules'!$B$4,IF(J365="Yaz",'House Rules'!$B$5,IF(J365="Rag",'House Rules'!$B$3,"Available")))))</f>
        <v>Available</v>
      </c>
      <c r="L365" s="333"/>
      <c r="M365" s="333"/>
      <c r="BF365" s="319">
        <f t="shared" si="145"/>
        <v>0</v>
      </c>
      <c r="BG365" s="340" t="s">
        <v>1086</v>
      </c>
      <c r="BI365" s="319">
        <f t="shared" si="136"/>
        <v>0</v>
      </c>
      <c r="BJ365" s="319">
        <f t="shared" si="148"/>
        <v>0</v>
      </c>
      <c r="BK365" s="319">
        <f t="shared" si="148"/>
        <v>0</v>
      </c>
      <c r="BL365" s="319">
        <f t="shared" si="148"/>
        <v>0</v>
      </c>
      <c r="BM365" s="319">
        <f t="shared" si="148"/>
        <v>0</v>
      </c>
      <c r="BN365" s="319">
        <f t="shared" si="148"/>
        <v>0</v>
      </c>
      <c r="BO365" s="319">
        <f t="shared" si="148"/>
        <v>0</v>
      </c>
      <c r="BP365" s="319">
        <f t="shared" si="148"/>
        <v>0</v>
      </c>
      <c r="BQ365" s="319">
        <f t="shared" si="148"/>
        <v>0</v>
      </c>
      <c r="BR365" s="319">
        <f t="shared" si="148"/>
        <v>0</v>
      </c>
      <c r="BS365" s="319">
        <f t="shared" si="148"/>
        <v>0</v>
      </c>
      <c r="BT365" s="319">
        <f t="shared" si="148"/>
        <v>0</v>
      </c>
      <c r="BU365" s="319">
        <f t="shared" si="148"/>
        <v>0</v>
      </c>
      <c r="BV365" s="319">
        <f t="shared" si="148"/>
        <v>0</v>
      </c>
      <c r="BW365" s="319">
        <f t="shared" si="148"/>
        <v>0</v>
      </c>
      <c r="BX365" s="319">
        <f t="shared" si="148"/>
        <v>0</v>
      </c>
      <c r="BY365" s="319">
        <f t="shared" si="148"/>
        <v>0</v>
      </c>
      <c r="BZ365" s="319">
        <f t="shared" si="148"/>
        <v>0</v>
      </c>
      <c r="CA365" s="319">
        <f t="shared" si="148"/>
        <v>0</v>
      </c>
      <c r="CB365" s="319">
        <f t="shared" si="148"/>
        <v>0</v>
      </c>
      <c r="CC365" s="319">
        <f t="shared" si="148"/>
        <v>0</v>
      </c>
      <c r="CD365" s="319">
        <f t="shared" si="148"/>
        <v>0</v>
      </c>
      <c r="CE365" s="319">
        <f t="shared" si="148"/>
        <v>0</v>
      </c>
      <c r="CF365" s="319">
        <f t="shared" si="148"/>
        <v>0</v>
      </c>
      <c r="CG365" s="319">
        <f t="shared" si="148"/>
        <v>0</v>
      </c>
      <c r="CH365" s="319">
        <f t="shared" si="148"/>
        <v>0</v>
      </c>
      <c r="CI365" s="319">
        <f t="shared" si="148"/>
        <v>0</v>
      </c>
      <c r="CJ365" s="319">
        <f t="shared" si="148"/>
        <v>0</v>
      </c>
      <c r="CK365" s="319">
        <f t="shared" si="148"/>
        <v>0</v>
      </c>
      <c r="CL365" s="319">
        <f t="shared" si="148"/>
        <v>0</v>
      </c>
      <c r="CM365" s="319">
        <f t="shared" si="148"/>
        <v>0</v>
      </c>
      <c r="CN365" s="319">
        <f t="shared" si="148"/>
        <v>0</v>
      </c>
      <c r="CO365" s="319">
        <f t="shared" si="148"/>
        <v>0</v>
      </c>
      <c r="CP365" s="319">
        <f t="shared" si="148"/>
        <v>0</v>
      </c>
      <c r="CQ365" s="319">
        <f t="shared" si="148"/>
        <v>0</v>
      </c>
      <c r="CR365" s="319">
        <f t="shared" si="148"/>
        <v>0</v>
      </c>
      <c r="CS365" s="319">
        <f t="shared" si="148"/>
        <v>0</v>
      </c>
      <c r="CT365" s="319">
        <f t="shared" si="148"/>
        <v>0</v>
      </c>
      <c r="CU365" s="319">
        <f t="shared" si="148"/>
        <v>0</v>
      </c>
      <c r="CV365" s="319">
        <f t="shared" si="148"/>
        <v>0</v>
      </c>
    </row>
    <row r="366" spans="1:100" x14ac:dyDescent="0.25">
      <c r="A366" s="319">
        <f t="shared" si="138"/>
        <v>0</v>
      </c>
      <c r="B366" s="319">
        <f t="shared" si="143"/>
        <v>0</v>
      </c>
      <c r="C366" s="364" t="str">
        <f>IF(Sandbox!AX37="","",Sandbox!AX37)</f>
        <v/>
      </c>
      <c r="D366" s="343" t="str">
        <f>IF(Sandbox!$BH$29="","",Sandbox!$BH$29)</f>
        <v/>
      </c>
      <c r="E366" s="343" t="str">
        <f>IF(Sandbox!AY37="","",Sandbox!AY37)</f>
        <v/>
      </c>
      <c r="F366" s="343" t="str">
        <f>IF(E366&lt;CharacterSheet!$V$34,"Yes","No")</f>
        <v>No</v>
      </c>
      <c r="G366" s="342" t="s">
        <v>347</v>
      </c>
      <c r="H366" s="333" t="str">
        <f>IF(C366="","",VLOOKUP(C366,Boonref2!A:B,2,FALSE))</f>
        <v/>
      </c>
      <c r="I366" s="333"/>
      <c r="J366" s="333" t="str">
        <f>VLOOKUP(C366,BoonRef!A:Z,17,FALSE)</f>
        <v>Yes</v>
      </c>
      <c r="K366" s="333" t="str">
        <f>IF(J366="God",'House Rules'!$B$2,IF(J366="Demi",'House Rules'!$B$1,IF(J366="Comp",'House Rules'!$B$4,IF(J366="Yaz",'House Rules'!$B$5,IF(J366="Rag",'House Rules'!$B$3,"Available")))))</f>
        <v>Available</v>
      </c>
      <c r="L366" s="333"/>
      <c r="M366" s="333"/>
      <c r="BF366" s="319">
        <f t="shared" si="145"/>
        <v>0</v>
      </c>
      <c r="BG366" s="340" t="s">
        <v>1087</v>
      </c>
      <c r="BI366" s="319">
        <f t="shared" si="136"/>
        <v>0</v>
      </c>
      <c r="BJ366" s="319">
        <f t="shared" si="148"/>
        <v>0</v>
      </c>
      <c r="BK366" s="319">
        <f t="shared" si="148"/>
        <v>0</v>
      </c>
      <c r="BL366" s="319">
        <f t="shared" si="148"/>
        <v>0</v>
      </c>
      <c r="BM366" s="319">
        <f t="shared" si="148"/>
        <v>0</v>
      </c>
      <c r="BN366" s="319">
        <f t="shared" si="148"/>
        <v>0</v>
      </c>
      <c r="BO366" s="319">
        <f t="shared" si="148"/>
        <v>0</v>
      </c>
      <c r="BP366" s="319">
        <f t="shared" si="148"/>
        <v>0</v>
      </c>
      <c r="BQ366" s="319">
        <f t="shared" si="148"/>
        <v>0</v>
      </c>
      <c r="BR366" s="319">
        <f t="shared" si="148"/>
        <v>0</v>
      </c>
      <c r="BS366" s="319">
        <f t="shared" si="148"/>
        <v>0</v>
      </c>
      <c r="BT366" s="319">
        <f t="shared" si="148"/>
        <v>0</v>
      </c>
      <c r="BU366" s="319">
        <f t="shared" si="148"/>
        <v>0</v>
      </c>
      <c r="BV366" s="319">
        <f t="shared" si="148"/>
        <v>0</v>
      </c>
      <c r="BW366" s="319">
        <f t="shared" si="148"/>
        <v>0</v>
      </c>
      <c r="BX366" s="319">
        <f t="shared" si="148"/>
        <v>0</v>
      </c>
      <c r="BY366" s="319">
        <f t="shared" si="148"/>
        <v>0</v>
      </c>
      <c r="BZ366" s="319">
        <f t="shared" si="148"/>
        <v>0</v>
      </c>
      <c r="CA366" s="319">
        <f t="shared" si="148"/>
        <v>0</v>
      </c>
      <c r="CB366" s="319">
        <f t="shared" si="148"/>
        <v>0</v>
      </c>
      <c r="CC366" s="319">
        <f t="shared" si="148"/>
        <v>0</v>
      </c>
      <c r="CD366" s="319">
        <f t="shared" si="148"/>
        <v>0</v>
      </c>
      <c r="CE366" s="319">
        <f t="shared" si="148"/>
        <v>0</v>
      </c>
      <c r="CF366" s="319">
        <f t="shared" si="148"/>
        <v>0</v>
      </c>
      <c r="CG366" s="319">
        <f t="shared" si="148"/>
        <v>0</v>
      </c>
      <c r="CH366" s="319">
        <f t="shared" si="148"/>
        <v>0</v>
      </c>
      <c r="CI366" s="319">
        <f t="shared" si="148"/>
        <v>0</v>
      </c>
      <c r="CJ366" s="319">
        <f t="shared" si="148"/>
        <v>0</v>
      </c>
      <c r="CK366" s="319">
        <f t="shared" si="148"/>
        <v>0</v>
      </c>
      <c r="CL366" s="319">
        <f t="shared" si="148"/>
        <v>0</v>
      </c>
      <c r="CM366" s="319">
        <f t="shared" si="148"/>
        <v>0</v>
      </c>
      <c r="CN366" s="319">
        <f t="shared" si="148"/>
        <v>0</v>
      </c>
      <c r="CO366" s="319">
        <f t="shared" si="148"/>
        <v>0</v>
      </c>
      <c r="CP366" s="319">
        <f t="shared" si="148"/>
        <v>0</v>
      </c>
      <c r="CQ366" s="319">
        <f t="shared" si="148"/>
        <v>0</v>
      </c>
      <c r="CR366" s="319">
        <f t="shared" si="148"/>
        <v>0</v>
      </c>
      <c r="CS366" s="319">
        <f t="shared" si="148"/>
        <v>0</v>
      </c>
      <c r="CT366" s="319">
        <f t="shared" si="148"/>
        <v>0</v>
      </c>
      <c r="CU366" s="319">
        <f t="shared" si="148"/>
        <v>0</v>
      </c>
      <c r="CV366" s="319">
        <f t="shared" si="148"/>
        <v>0</v>
      </c>
    </row>
    <row r="367" spans="1:100" x14ac:dyDescent="0.25">
      <c r="A367" s="319">
        <f t="shared" si="138"/>
        <v>0</v>
      </c>
      <c r="B367" s="319">
        <f t="shared" si="143"/>
        <v>0</v>
      </c>
      <c r="C367" s="364" t="str">
        <f>IF(Sandbox!AX38="","",Sandbox!AX38)</f>
        <v/>
      </c>
      <c r="D367" s="343" t="str">
        <f>IF(Sandbox!$BH$29="","",Sandbox!$BH$29)</f>
        <v/>
      </c>
      <c r="E367" s="343" t="str">
        <f>IF(Sandbox!AY38="","",Sandbox!AY38)</f>
        <v/>
      </c>
      <c r="F367" s="343" t="str">
        <f>IF(E367&lt;CharacterSheet!$V$34,"Yes","No")</f>
        <v>No</v>
      </c>
      <c r="G367" s="342" t="s">
        <v>347</v>
      </c>
      <c r="H367" s="333" t="str">
        <f>IF(C367="","",VLOOKUP(C367,Boonref2!A:B,2,FALSE))</f>
        <v/>
      </c>
      <c r="I367" s="333"/>
      <c r="J367" s="333" t="str">
        <f>VLOOKUP(C367,BoonRef!A:Z,17,FALSE)</f>
        <v>Yes</v>
      </c>
      <c r="K367" s="333" t="str">
        <f>IF(J367="God",'House Rules'!$B$2,IF(J367="Demi",'House Rules'!$B$1,IF(J367="Comp",'House Rules'!$B$4,IF(J367="Yaz",'House Rules'!$B$5,IF(J367="Rag",'House Rules'!$B$3,"Available")))))</f>
        <v>Available</v>
      </c>
      <c r="L367" s="333"/>
      <c r="M367" s="333"/>
      <c r="BF367" s="319">
        <f t="shared" si="145"/>
        <v>0</v>
      </c>
      <c r="BG367" s="340" t="s">
        <v>1171</v>
      </c>
      <c r="BI367" s="319">
        <f t="shared" si="136"/>
        <v>0</v>
      </c>
      <c r="BJ367" s="319">
        <f t="shared" si="148"/>
        <v>0</v>
      </c>
      <c r="BK367" s="319">
        <f t="shared" si="148"/>
        <v>0</v>
      </c>
      <c r="BL367" s="319">
        <f t="shared" si="148"/>
        <v>0</v>
      </c>
      <c r="BM367" s="319">
        <f t="shared" si="148"/>
        <v>0</v>
      </c>
      <c r="BN367" s="319">
        <f t="shared" si="148"/>
        <v>0</v>
      </c>
      <c r="BO367" s="319">
        <f t="shared" si="148"/>
        <v>0</v>
      </c>
      <c r="BP367" s="319">
        <f t="shared" si="148"/>
        <v>0</v>
      </c>
      <c r="BQ367" s="319">
        <f t="shared" si="148"/>
        <v>0</v>
      </c>
      <c r="BR367" s="319">
        <f t="shared" si="148"/>
        <v>0</v>
      </c>
      <c r="BS367" s="319">
        <f t="shared" si="148"/>
        <v>0</v>
      </c>
      <c r="BT367" s="319">
        <f t="shared" si="148"/>
        <v>0</v>
      </c>
      <c r="BU367" s="319">
        <f t="shared" si="148"/>
        <v>0</v>
      </c>
      <c r="BV367" s="319">
        <f t="shared" si="148"/>
        <v>0</v>
      </c>
      <c r="BW367" s="319">
        <f t="shared" si="148"/>
        <v>0</v>
      </c>
      <c r="BX367" s="319">
        <f t="shared" si="148"/>
        <v>0</v>
      </c>
      <c r="BY367" s="319">
        <f t="shared" si="148"/>
        <v>0</v>
      </c>
      <c r="BZ367" s="319">
        <f t="shared" si="148"/>
        <v>0</v>
      </c>
      <c r="CA367" s="319">
        <f t="shared" si="148"/>
        <v>0</v>
      </c>
      <c r="CB367" s="319">
        <f t="shared" si="148"/>
        <v>0</v>
      </c>
      <c r="CC367" s="319">
        <f t="shared" si="148"/>
        <v>0</v>
      </c>
      <c r="CD367" s="319">
        <f t="shared" si="148"/>
        <v>0</v>
      </c>
      <c r="CE367" s="319">
        <f t="shared" si="148"/>
        <v>0</v>
      </c>
      <c r="CF367" s="319">
        <f t="shared" si="148"/>
        <v>0</v>
      </c>
      <c r="CG367" s="319">
        <f t="shared" si="148"/>
        <v>0</v>
      </c>
      <c r="CH367" s="319">
        <f t="shared" si="148"/>
        <v>0</v>
      </c>
      <c r="CI367" s="319">
        <f t="shared" si="148"/>
        <v>0</v>
      </c>
      <c r="CJ367" s="319">
        <f t="shared" si="148"/>
        <v>0</v>
      </c>
      <c r="CK367" s="319">
        <f t="shared" si="148"/>
        <v>0</v>
      </c>
      <c r="CL367" s="319">
        <f t="shared" si="148"/>
        <v>0</v>
      </c>
      <c r="CM367" s="319">
        <f t="shared" si="148"/>
        <v>0</v>
      </c>
      <c r="CN367" s="319">
        <f t="shared" si="148"/>
        <v>0</v>
      </c>
      <c r="CO367" s="319">
        <f t="shared" si="148"/>
        <v>0</v>
      </c>
      <c r="CP367" s="319">
        <f t="shared" si="148"/>
        <v>0</v>
      </c>
      <c r="CQ367" s="319">
        <f t="shared" si="148"/>
        <v>0</v>
      </c>
      <c r="CR367" s="319">
        <f t="shared" si="148"/>
        <v>0</v>
      </c>
      <c r="CS367" s="319">
        <f t="shared" si="148"/>
        <v>0</v>
      </c>
      <c r="CT367" s="319">
        <f t="shared" si="148"/>
        <v>0</v>
      </c>
      <c r="CU367" s="319">
        <f t="shared" si="148"/>
        <v>0</v>
      </c>
      <c r="CV367" s="319">
        <f t="shared" si="148"/>
        <v>0</v>
      </c>
    </row>
    <row r="368" spans="1:100" x14ac:dyDescent="0.25">
      <c r="A368" s="319">
        <f t="shared" si="138"/>
        <v>0</v>
      </c>
      <c r="B368" s="319">
        <f t="shared" si="143"/>
        <v>0</v>
      </c>
      <c r="C368" s="364" t="str">
        <f>IF(Sandbox!AX39="","",Sandbox!AX39)</f>
        <v/>
      </c>
      <c r="D368" s="343" t="str">
        <f>IF(Sandbox!$BH$29="","",Sandbox!$BH$29)</f>
        <v/>
      </c>
      <c r="E368" s="343" t="str">
        <f>IF(Sandbox!AY39="","",Sandbox!AY39)</f>
        <v/>
      </c>
      <c r="F368" s="343" t="str">
        <f>IF(E368&lt;CharacterSheet!$V$34,"Yes","No")</f>
        <v>No</v>
      </c>
      <c r="G368" s="342" t="s">
        <v>347</v>
      </c>
      <c r="H368" s="333" t="str">
        <f>IF(C368="","",VLOOKUP(C368,Boonref2!A:B,2,FALSE))</f>
        <v/>
      </c>
      <c r="I368" s="333"/>
      <c r="J368" s="333" t="str">
        <f>VLOOKUP(C368,BoonRef!A:Z,17,FALSE)</f>
        <v>Yes</v>
      </c>
      <c r="K368" s="333" t="str">
        <f>IF(J368="God",'House Rules'!$B$2,IF(J368="Demi",'House Rules'!$B$1,IF(J368="Comp",'House Rules'!$B$4,IF(J368="Yaz",'House Rules'!$B$5,IF(J368="Rag",'House Rules'!$B$3,"Available")))))</f>
        <v>Available</v>
      </c>
      <c r="L368" s="333"/>
      <c r="M368" s="333"/>
      <c r="BF368" s="319">
        <f t="shared" si="145"/>
        <v>0</v>
      </c>
      <c r="BG368" s="340" t="s">
        <v>1172</v>
      </c>
      <c r="BI368" s="319">
        <f t="shared" si="136"/>
        <v>0</v>
      </c>
      <c r="BJ368" s="319">
        <f t="shared" si="148"/>
        <v>0</v>
      </c>
      <c r="BK368" s="319">
        <f t="shared" si="148"/>
        <v>0</v>
      </c>
      <c r="BL368" s="319">
        <f t="shared" si="148"/>
        <v>0</v>
      </c>
      <c r="BM368" s="319">
        <f t="shared" si="148"/>
        <v>0</v>
      </c>
      <c r="BN368" s="319">
        <f t="shared" si="148"/>
        <v>0</v>
      </c>
      <c r="BO368" s="319">
        <f t="shared" si="148"/>
        <v>0</v>
      </c>
      <c r="BP368" s="319">
        <f t="shared" si="148"/>
        <v>0</v>
      </c>
      <c r="BQ368" s="319">
        <f t="shared" si="148"/>
        <v>0</v>
      </c>
      <c r="BR368" s="319">
        <f t="shared" si="148"/>
        <v>0</v>
      </c>
      <c r="BS368" s="319">
        <f t="shared" si="148"/>
        <v>0</v>
      </c>
      <c r="BT368" s="319">
        <f t="shared" si="148"/>
        <v>0</v>
      </c>
      <c r="BU368" s="319">
        <f t="shared" si="148"/>
        <v>0</v>
      </c>
      <c r="BV368" s="319">
        <f t="shared" si="148"/>
        <v>0</v>
      </c>
      <c r="BW368" s="319">
        <f t="shared" si="148"/>
        <v>0</v>
      </c>
      <c r="BX368" s="319">
        <f t="shared" si="148"/>
        <v>0</v>
      </c>
      <c r="BY368" s="319">
        <f t="shared" si="148"/>
        <v>0</v>
      </c>
      <c r="BZ368" s="319">
        <f t="shared" si="148"/>
        <v>0</v>
      </c>
      <c r="CA368" s="319">
        <f t="shared" si="148"/>
        <v>0</v>
      </c>
      <c r="CB368" s="319">
        <f t="shared" si="148"/>
        <v>0</v>
      </c>
      <c r="CC368" s="319">
        <f t="shared" si="148"/>
        <v>0</v>
      </c>
      <c r="CD368" s="319">
        <f t="shared" si="148"/>
        <v>0</v>
      </c>
      <c r="CE368" s="319">
        <f t="shared" si="148"/>
        <v>0</v>
      </c>
      <c r="CF368" s="319">
        <f t="shared" si="148"/>
        <v>0</v>
      </c>
      <c r="CG368" s="319">
        <f t="shared" si="148"/>
        <v>0</v>
      </c>
      <c r="CH368" s="319">
        <f t="shared" si="148"/>
        <v>0</v>
      </c>
      <c r="CI368" s="319">
        <f t="shared" si="148"/>
        <v>0</v>
      </c>
      <c r="CJ368" s="319">
        <f t="shared" si="148"/>
        <v>0</v>
      </c>
      <c r="CK368" s="319">
        <f t="shared" si="148"/>
        <v>0</v>
      </c>
      <c r="CL368" s="319">
        <f t="shared" si="148"/>
        <v>0</v>
      </c>
      <c r="CM368" s="319">
        <f t="shared" si="148"/>
        <v>0</v>
      </c>
      <c r="CN368" s="319">
        <f t="shared" si="148"/>
        <v>0</v>
      </c>
      <c r="CO368" s="319">
        <f t="shared" si="148"/>
        <v>0</v>
      </c>
      <c r="CP368" s="319">
        <f t="shared" si="148"/>
        <v>0</v>
      </c>
      <c r="CQ368" s="319">
        <f t="shared" si="148"/>
        <v>0</v>
      </c>
      <c r="CR368" s="319">
        <f t="shared" si="148"/>
        <v>0</v>
      </c>
      <c r="CS368" s="319">
        <f t="shared" si="148"/>
        <v>0</v>
      </c>
      <c r="CT368" s="319">
        <f t="shared" si="148"/>
        <v>0</v>
      </c>
      <c r="CU368" s="319">
        <f t="shared" si="148"/>
        <v>0</v>
      </c>
      <c r="CV368" s="319">
        <f t="shared" si="148"/>
        <v>0</v>
      </c>
    </row>
    <row r="369" spans="1:100" x14ac:dyDescent="0.25">
      <c r="A369" s="319">
        <f t="shared" si="138"/>
        <v>0</v>
      </c>
      <c r="B369" s="319">
        <f t="shared" si="143"/>
        <v>0</v>
      </c>
      <c r="C369" s="364" t="str">
        <f>IF(Sandbox!AX40="","",Sandbox!AX40)</f>
        <v/>
      </c>
      <c r="D369" s="343" t="str">
        <f>IF(Sandbox!$BH$29="","",Sandbox!$BH$29)</f>
        <v/>
      </c>
      <c r="E369" s="343" t="str">
        <f>IF(Sandbox!AY40="","",Sandbox!AY40)</f>
        <v/>
      </c>
      <c r="F369" s="343" t="str">
        <f>IF(E369&lt;CharacterSheet!$V$34,"Yes","No")</f>
        <v>No</v>
      </c>
      <c r="G369" s="342" t="s">
        <v>347</v>
      </c>
      <c r="H369" s="333" t="str">
        <f>IF(C369="","",VLOOKUP(C369,Boonref2!A:B,2,FALSE))</f>
        <v/>
      </c>
      <c r="I369" s="333"/>
      <c r="J369" s="333" t="str">
        <f>VLOOKUP(C369,BoonRef!A:Z,17,FALSE)</f>
        <v>Yes</v>
      </c>
      <c r="K369" s="333" t="str">
        <f>IF(J369="God",'House Rules'!$B$2,IF(J369="Demi",'House Rules'!$B$1,IF(J369="Comp",'House Rules'!$B$4,IF(J369="Yaz",'House Rules'!$B$5,IF(J369="Rag",'House Rules'!$B$3,"Available")))))</f>
        <v>Available</v>
      </c>
      <c r="L369" s="333"/>
      <c r="M369" s="333"/>
      <c r="BF369" s="319">
        <f t="shared" si="145"/>
        <v>0</v>
      </c>
      <c r="BG369" s="340" t="s">
        <v>1498</v>
      </c>
      <c r="BI369" s="319">
        <f t="shared" si="136"/>
        <v>0</v>
      </c>
      <c r="BJ369" s="319">
        <f t="shared" si="148"/>
        <v>0</v>
      </c>
      <c r="BK369" s="319">
        <f t="shared" si="148"/>
        <v>0</v>
      </c>
      <c r="BL369" s="319">
        <f t="shared" si="148"/>
        <v>0</v>
      </c>
      <c r="BM369" s="319">
        <f t="shared" si="148"/>
        <v>0</v>
      </c>
      <c r="BN369" s="319">
        <f t="shared" si="148"/>
        <v>0</v>
      </c>
      <c r="BO369" s="319">
        <f t="shared" si="148"/>
        <v>0</v>
      </c>
      <c r="BP369" s="319">
        <f t="shared" si="148"/>
        <v>0</v>
      </c>
      <c r="BQ369" s="319">
        <f t="shared" si="148"/>
        <v>0</v>
      </c>
      <c r="BR369" s="319">
        <f t="shared" si="148"/>
        <v>0</v>
      </c>
      <c r="BS369" s="319">
        <f t="shared" si="148"/>
        <v>0</v>
      </c>
      <c r="BT369" s="319">
        <f t="shared" si="148"/>
        <v>0</v>
      </c>
      <c r="BU369" s="319">
        <f t="shared" si="148"/>
        <v>0</v>
      </c>
      <c r="BV369" s="319">
        <f t="shared" si="148"/>
        <v>0</v>
      </c>
      <c r="BW369" s="319">
        <f t="shared" si="148"/>
        <v>0</v>
      </c>
      <c r="BX369" s="319">
        <f t="shared" si="148"/>
        <v>0</v>
      </c>
      <c r="BY369" s="319">
        <f t="shared" si="148"/>
        <v>0</v>
      </c>
      <c r="BZ369" s="319">
        <f t="shared" si="148"/>
        <v>0</v>
      </c>
      <c r="CA369" s="319">
        <f t="shared" si="148"/>
        <v>0</v>
      </c>
      <c r="CB369" s="319">
        <f t="shared" si="148"/>
        <v>0</v>
      </c>
      <c r="CC369" s="319">
        <f t="shared" si="148"/>
        <v>0</v>
      </c>
      <c r="CD369" s="319">
        <f t="shared" si="148"/>
        <v>0</v>
      </c>
      <c r="CE369" s="319">
        <f t="shared" si="148"/>
        <v>0</v>
      </c>
      <c r="CF369" s="319">
        <f t="shared" si="148"/>
        <v>0</v>
      </c>
      <c r="CG369" s="319">
        <f t="shared" si="148"/>
        <v>0</v>
      </c>
      <c r="CH369" s="319">
        <f t="shared" si="148"/>
        <v>0</v>
      </c>
      <c r="CI369" s="319">
        <f t="shared" si="148"/>
        <v>0</v>
      </c>
      <c r="CJ369" s="319">
        <f t="shared" si="148"/>
        <v>0</v>
      </c>
      <c r="CK369" s="319">
        <f t="shared" si="148"/>
        <v>0</v>
      </c>
      <c r="CL369" s="319">
        <f t="shared" si="148"/>
        <v>0</v>
      </c>
      <c r="CM369" s="319">
        <f t="shared" si="148"/>
        <v>0</v>
      </c>
      <c r="CN369" s="319">
        <f t="shared" si="148"/>
        <v>0</v>
      </c>
      <c r="CO369" s="319">
        <f t="shared" si="148"/>
        <v>0</v>
      </c>
      <c r="CP369" s="319">
        <f t="shared" si="148"/>
        <v>0</v>
      </c>
      <c r="CQ369" s="319">
        <f t="shared" si="148"/>
        <v>0</v>
      </c>
      <c r="CR369" s="319">
        <f t="shared" si="148"/>
        <v>0</v>
      </c>
      <c r="CS369" s="319">
        <f t="shared" si="148"/>
        <v>0</v>
      </c>
      <c r="CT369" s="319">
        <f t="shared" si="148"/>
        <v>0</v>
      </c>
      <c r="CU369" s="319">
        <f t="shared" si="148"/>
        <v>0</v>
      </c>
      <c r="CV369" s="319">
        <f t="shared" si="148"/>
        <v>0</v>
      </c>
    </row>
    <row r="370" spans="1:100" x14ac:dyDescent="0.25">
      <c r="A370" s="319">
        <f t="shared" si="138"/>
        <v>0</v>
      </c>
      <c r="B370" s="319">
        <f t="shared" si="143"/>
        <v>0</v>
      </c>
      <c r="C370" s="364" t="str">
        <f>IF(Sandbox!AX41="","",Sandbox!AX41)</f>
        <v/>
      </c>
      <c r="D370" s="343" t="str">
        <f>IF(Sandbox!$BH$29="","",Sandbox!$BH$29)</f>
        <v/>
      </c>
      <c r="E370" s="343" t="str">
        <f>IF(Sandbox!AY41="","",Sandbox!AY41)</f>
        <v/>
      </c>
      <c r="F370" s="343" t="str">
        <f>IF(E370&lt;CharacterSheet!$V$34,"Yes","No")</f>
        <v>No</v>
      </c>
      <c r="G370" s="342" t="s">
        <v>347</v>
      </c>
      <c r="H370" s="333" t="str">
        <f>IF(C370="","",VLOOKUP(C370,Boonref2!A:B,2,FALSE))</f>
        <v/>
      </c>
      <c r="I370" s="333"/>
      <c r="J370" s="333" t="str">
        <f>VLOOKUP(C370,BoonRef!A:Z,17,FALSE)</f>
        <v>Yes</v>
      </c>
      <c r="K370" s="333" t="str">
        <f>IF(J370="God",'House Rules'!$B$2,IF(J370="Demi",'House Rules'!$B$1,IF(J370="Comp",'House Rules'!$B$4,IF(J370="Yaz",'House Rules'!$B$5,IF(J370="Rag",'House Rules'!$B$3,"Available")))))</f>
        <v>Available</v>
      </c>
      <c r="L370" s="333"/>
      <c r="M370" s="333"/>
      <c r="BF370" s="319">
        <f t="shared" si="145"/>
        <v>0</v>
      </c>
      <c r="BG370" s="340" t="s">
        <v>1173</v>
      </c>
      <c r="BI370" s="319">
        <f t="shared" si="136"/>
        <v>0</v>
      </c>
      <c r="BJ370" s="319">
        <f t="shared" si="148"/>
        <v>0</v>
      </c>
      <c r="BK370" s="319">
        <f t="shared" si="148"/>
        <v>0</v>
      </c>
      <c r="BL370" s="319">
        <f t="shared" si="148"/>
        <v>0</v>
      </c>
      <c r="BM370" s="319">
        <f t="shared" si="148"/>
        <v>0</v>
      </c>
      <c r="BN370" s="319">
        <f t="shared" si="148"/>
        <v>0</v>
      </c>
      <c r="BO370" s="319">
        <f t="shared" si="148"/>
        <v>0</v>
      </c>
      <c r="BP370" s="319">
        <f t="shared" si="148"/>
        <v>0</v>
      </c>
      <c r="BQ370" s="319">
        <f t="shared" si="148"/>
        <v>0</v>
      </c>
      <c r="BR370" s="319">
        <f t="shared" si="148"/>
        <v>0</v>
      </c>
      <c r="BS370" s="319">
        <f t="shared" si="148"/>
        <v>0</v>
      </c>
      <c r="BT370" s="319">
        <f t="shared" si="148"/>
        <v>0</v>
      </c>
      <c r="BU370" s="319">
        <f t="shared" si="148"/>
        <v>0</v>
      </c>
      <c r="BV370" s="319">
        <f t="shared" si="148"/>
        <v>0</v>
      </c>
      <c r="BW370" s="319">
        <f t="shared" si="148"/>
        <v>0</v>
      </c>
      <c r="BX370" s="319">
        <f t="shared" si="148"/>
        <v>0</v>
      </c>
      <c r="BY370" s="319">
        <f t="shared" si="148"/>
        <v>0</v>
      </c>
      <c r="BZ370" s="319">
        <f t="shared" si="148"/>
        <v>0</v>
      </c>
      <c r="CA370" s="319">
        <f t="shared" si="148"/>
        <v>0</v>
      </c>
      <c r="CB370" s="319">
        <f t="shared" si="148"/>
        <v>0</v>
      </c>
      <c r="CC370" s="319">
        <f t="shared" si="148"/>
        <v>0</v>
      </c>
      <c r="CD370" s="319">
        <f t="shared" si="148"/>
        <v>0</v>
      </c>
      <c r="CE370" s="319">
        <f t="shared" si="148"/>
        <v>0</v>
      </c>
      <c r="CF370" s="319">
        <f t="shared" si="148"/>
        <v>0</v>
      </c>
      <c r="CG370" s="319">
        <f t="shared" si="148"/>
        <v>0</v>
      </c>
      <c r="CH370" s="319">
        <f t="shared" si="148"/>
        <v>0</v>
      </c>
      <c r="CI370" s="319">
        <f t="shared" si="148"/>
        <v>0</v>
      </c>
      <c r="CJ370" s="319">
        <f t="shared" si="148"/>
        <v>0</v>
      </c>
      <c r="CK370" s="319">
        <f t="shared" si="148"/>
        <v>0</v>
      </c>
      <c r="CL370" s="319">
        <f t="shared" si="148"/>
        <v>0</v>
      </c>
      <c r="CM370" s="319">
        <f t="shared" si="148"/>
        <v>0</v>
      </c>
      <c r="CN370" s="319">
        <f t="shared" si="148"/>
        <v>0</v>
      </c>
      <c r="CO370" s="319">
        <f t="shared" si="148"/>
        <v>0</v>
      </c>
      <c r="CP370" s="319">
        <f t="shared" si="148"/>
        <v>0</v>
      </c>
      <c r="CQ370" s="319">
        <f t="shared" si="148"/>
        <v>0</v>
      </c>
      <c r="CR370" s="319">
        <f t="shared" si="148"/>
        <v>0</v>
      </c>
      <c r="CS370" s="319">
        <f t="shared" si="148"/>
        <v>0</v>
      </c>
      <c r="CT370" s="319">
        <f t="shared" ref="BJ370:CV377" si="149">IF(AND($D370=CT$1,$G370="Yes"),$E370,0)</f>
        <v>0</v>
      </c>
      <c r="CU370" s="319">
        <f t="shared" si="149"/>
        <v>0</v>
      </c>
      <c r="CV370" s="319">
        <f t="shared" si="149"/>
        <v>0</v>
      </c>
    </row>
    <row r="371" spans="1:100" x14ac:dyDescent="0.25">
      <c r="A371" s="319">
        <f t="shared" si="138"/>
        <v>0</v>
      </c>
      <c r="B371" s="319">
        <f t="shared" si="143"/>
        <v>0</v>
      </c>
      <c r="C371" s="364" t="str">
        <f>IF(Sandbox!AX42="","",Sandbox!AX42)</f>
        <v/>
      </c>
      <c r="D371" s="343" t="str">
        <f>IF(Sandbox!$BH$29="","",Sandbox!$BH$29)</f>
        <v/>
      </c>
      <c r="E371" s="343" t="str">
        <f>IF(Sandbox!AY42="","",Sandbox!AY42)</f>
        <v/>
      </c>
      <c r="F371" s="343" t="str">
        <f>IF(E371&lt;CharacterSheet!$V$34,"Yes","No")</f>
        <v>No</v>
      </c>
      <c r="G371" s="342" t="s">
        <v>347</v>
      </c>
      <c r="H371" s="333" t="str">
        <f>IF(C371="","",VLOOKUP(C371,Boonref2!A:B,2,FALSE))</f>
        <v/>
      </c>
      <c r="I371" s="333"/>
      <c r="J371" s="333" t="str">
        <f>VLOOKUP(C371,BoonRef!A:Z,17,FALSE)</f>
        <v>Yes</v>
      </c>
      <c r="K371" s="333" t="str">
        <f>IF(J371="God",'House Rules'!$B$2,IF(J371="Demi",'House Rules'!$B$1,IF(J371="Comp",'House Rules'!$B$4,IF(J371="Yaz",'House Rules'!$B$5,IF(J371="Rag",'House Rules'!$B$3,"Available")))))</f>
        <v>Available</v>
      </c>
      <c r="L371" s="333"/>
      <c r="M371" s="333"/>
      <c r="BF371" s="319">
        <f t="shared" si="145"/>
        <v>0</v>
      </c>
      <c r="BG371" s="340" t="s">
        <v>1394</v>
      </c>
      <c r="BI371" s="319">
        <f t="shared" si="136"/>
        <v>0</v>
      </c>
      <c r="BJ371" s="319">
        <f t="shared" si="149"/>
        <v>0</v>
      </c>
      <c r="BK371" s="319">
        <f t="shared" si="149"/>
        <v>0</v>
      </c>
      <c r="BL371" s="319">
        <f t="shared" si="149"/>
        <v>0</v>
      </c>
      <c r="BM371" s="319">
        <f t="shared" si="149"/>
        <v>0</v>
      </c>
      <c r="BN371" s="319">
        <f t="shared" si="149"/>
        <v>0</v>
      </c>
      <c r="BO371" s="319">
        <f t="shared" si="149"/>
        <v>0</v>
      </c>
      <c r="BP371" s="319">
        <f t="shared" si="149"/>
        <v>0</v>
      </c>
      <c r="BQ371" s="319">
        <f t="shared" si="149"/>
        <v>0</v>
      </c>
      <c r="BR371" s="319">
        <f t="shared" si="149"/>
        <v>0</v>
      </c>
      <c r="BS371" s="319">
        <f t="shared" si="149"/>
        <v>0</v>
      </c>
      <c r="BT371" s="319">
        <f t="shared" si="149"/>
        <v>0</v>
      </c>
      <c r="BU371" s="319">
        <f t="shared" si="149"/>
        <v>0</v>
      </c>
      <c r="BV371" s="319">
        <f t="shared" si="149"/>
        <v>0</v>
      </c>
      <c r="BW371" s="319">
        <f t="shared" si="149"/>
        <v>0</v>
      </c>
      <c r="BX371" s="319">
        <f t="shared" si="149"/>
        <v>0</v>
      </c>
      <c r="BY371" s="319">
        <f t="shared" si="149"/>
        <v>0</v>
      </c>
      <c r="BZ371" s="319">
        <f t="shared" si="149"/>
        <v>0</v>
      </c>
      <c r="CA371" s="319">
        <f t="shared" si="149"/>
        <v>0</v>
      </c>
      <c r="CB371" s="319">
        <f t="shared" si="149"/>
        <v>0</v>
      </c>
      <c r="CC371" s="319">
        <f t="shared" si="149"/>
        <v>0</v>
      </c>
      <c r="CD371" s="319">
        <f t="shared" si="149"/>
        <v>0</v>
      </c>
      <c r="CE371" s="319">
        <f t="shared" si="149"/>
        <v>0</v>
      </c>
      <c r="CF371" s="319">
        <f t="shared" si="149"/>
        <v>0</v>
      </c>
      <c r="CG371" s="319">
        <f t="shared" si="149"/>
        <v>0</v>
      </c>
      <c r="CH371" s="319">
        <f t="shared" si="149"/>
        <v>0</v>
      </c>
      <c r="CI371" s="319">
        <f t="shared" si="149"/>
        <v>0</v>
      </c>
      <c r="CJ371" s="319">
        <f t="shared" si="149"/>
        <v>0</v>
      </c>
      <c r="CK371" s="319">
        <f t="shared" si="149"/>
        <v>0</v>
      </c>
      <c r="CL371" s="319">
        <f t="shared" si="149"/>
        <v>0</v>
      </c>
      <c r="CM371" s="319">
        <f t="shared" si="149"/>
        <v>0</v>
      </c>
      <c r="CN371" s="319">
        <f t="shared" si="149"/>
        <v>0</v>
      </c>
      <c r="CO371" s="319">
        <f t="shared" si="149"/>
        <v>0</v>
      </c>
      <c r="CP371" s="319">
        <f t="shared" si="149"/>
        <v>0</v>
      </c>
      <c r="CQ371" s="319">
        <f t="shared" si="149"/>
        <v>0</v>
      </c>
      <c r="CR371" s="319">
        <f t="shared" si="149"/>
        <v>0</v>
      </c>
      <c r="CS371" s="319">
        <f t="shared" si="149"/>
        <v>0</v>
      </c>
      <c r="CT371" s="319">
        <f t="shared" si="149"/>
        <v>0</v>
      </c>
      <c r="CU371" s="319">
        <f t="shared" si="149"/>
        <v>0</v>
      </c>
      <c r="CV371" s="319">
        <f t="shared" si="149"/>
        <v>0</v>
      </c>
    </row>
    <row r="372" spans="1:100" x14ac:dyDescent="0.25">
      <c r="A372" s="319">
        <f t="shared" si="138"/>
        <v>0</v>
      </c>
      <c r="B372" s="319">
        <f t="shared" si="143"/>
        <v>0</v>
      </c>
      <c r="C372" s="364" t="str">
        <f>IF(Sandbox!AX43="","",Sandbox!AX43)</f>
        <v/>
      </c>
      <c r="D372" s="343" t="str">
        <f>IF(Sandbox!$BH$29="","",Sandbox!$BH$29)</f>
        <v/>
      </c>
      <c r="E372" s="343" t="str">
        <f>IF(Sandbox!AY43="","",Sandbox!AY43)</f>
        <v/>
      </c>
      <c r="F372" s="343" t="str">
        <f>IF(E372&lt;CharacterSheet!$V$34,"Yes","No")</f>
        <v>No</v>
      </c>
      <c r="G372" s="342" t="s">
        <v>347</v>
      </c>
      <c r="H372" s="333" t="str">
        <f>IF(C372="","",VLOOKUP(C372,Boonref2!A:B,2,FALSE))</f>
        <v/>
      </c>
      <c r="I372" s="333"/>
      <c r="J372" s="333" t="str">
        <f>VLOOKUP(C372,BoonRef!A:Z,17,FALSE)</f>
        <v>Yes</v>
      </c>
      <c r="K372" s="333" t="str">
        <f>IF(J372="God",'House Rules'!$B$2,IF(J372="Demi",'House Rules'!$B$1,IF(J372="Comp",'House Rules'!$B$4,IF(J372="Yaz",'House Rules'!$B$5,IF(J372="Rag",'House Rules'!$B$3,"Available")))))</f>
        <v>Available</v>
      </c>
      <c r="L372" s="333"/>
      <c r="M372" s="333"/>
      <c r="BF372" s="319">
        <f t="shared" si="145"/>
        <v>0</v>
      </c>
      <c r="BG372" s="340" t="s">
        <v>1174</v>
      </c>
      <c r="BI372" s="319">
        <f t="shared" si="136"/>
        <v>0</v>
      </c>
      <c r="BJ372" s="319">
        <f t="shared" si="149"/>
        <v>0</v>
      </c>
      <c r="BK372" s="319">
        <f t="shared" si="149"/>
        <v>0</v>
      </c>
      <c r="BL372" s="319">
        <f t="shared" si="149"/>
        <v>0</v>
      </c>
      <c r="BM372" s="319">
        <f t="shared" si="149"/>
        <v>0</v>
      </c>
      <c r="BN372" s="319">
        <f t="shared" si="149"/>
        <v>0</v>
      </c>
      <c r="BO372" s="319">
        <f t="shared" si="149"/>
        <v>0</v>
      </c>
      <c r="BP372" s="319">
        <f t="shared" si="149"/>
        <v>0</v>
      </c>
      <c r="BQ372" s="319">
        <f t="shared" si="149"/>
        <v>0</v>
      </c>
      <c r="BR372" s="319">
        <f t="shared" si="149"/>
        <v>0</v>
      </c>
      <c r="BS372" s="319">
        <f t="shared" si="149"/>
        <v>0</v>
      </c>
      <c r="BT372" s="319">
        <f t="shared" si="149"/>
        <v>0</v>
      </c>
      <c r="BU372" s="319">
        <f t="shared" si="149"/>
        <v>0</v>
      </c>
      <c r="BV372" s="319">
        <f t="shared" si="149"/>
        <v>0</v>
      </c>
      <c r="BW372" s="319">
        <f t="shared" si="149"/>
        <v>0</v>
      </c>
      <c r="BX372" s="319">
        <f t="shared" si="149"/>
        <v>0</v>
      </c>
      <c r="BY372" s="319">
        <f t="shared" si="149"/>
        <v>0</v>
      </c>
      <c r="BZ372" s="319">
        <f t="shared" si="149"/>
        <v>0</v>
      </c>
      <c r="CA372" s="319">
        <f t="shared" si="149"/>
        <v>0</v>
      </c>
      <c r="CB372" s="319">
        <f t="shared" si="149"/>
        <v>0</v>
      </c>
      <c r="CC372" s="319">
        <f t="shared" si="149"/>
        <v>0</v>
      </c>
      <c r="CD372" s="319">
        <f t="shared" si="149"/>
        <v>0</v>
      </c>
      <c r="CE372" s="319">
        <f t="shared" si="149"/>
        <v>0</v>
      </c>
      <c r="CF372" s="319">
        <f t="shared" si="149"/>
        <v>0</v>
      </c>
      <c r="CG372" s="319">
        <f t="shared" si="149"/>
        <v>0</v>
      </c>
      <c r="CH372" s="319">
        <f t="shared" si="149"/>
        <v>0</v>
      </c>
      <c r="CI372" s="319">
        <f t="shared" si="149"/>
        <v>0</v>
      </c>
      <c r="CJ372" s="319">
        <f t="shared" si="149"/>
        <v>0</v>
      </c>
      <c r="CK372" s="319">
        <f t="shared" si="149"/>
        <v>0</v>
      </c>
      <c r="CL372" s="319">
        <f t="shared" si="149"/>
        <v>0</v>
      </c>
      <c r="CM372" s="319">
        <f t="shared" si="149"/>
        <v>0</v>
      </c>
      <c r="CN372" s="319">
        <f t="shared" si="149"/>
        <v>0</v>
      </c>
      <c r="CO372" s="319">
        <f t="shared" si="149"/>
        <v>0</v>
      </c>
      <c r="CP372" s="319">
        <f t="shared" si="149"/>
        <v>0</v>
      </c>
      <c r="CQ372" s="319">
        <f t="shared" si="149"/>
        <v>0</v>
      </c>
      <c r="CR372" s="319">
        <f t="shared" si="149"/>
        <v>0</v>
      </c>
      <c r="CS372" s="319">
        <f t="shared" si="149"/>
        <v>0</v>
      </c>
      <c r="CT372" s="319">
        <f t="shared" si="149"/>
        <v>0</v>
      </c>
      <c r="CU372" s="319">
        <f t="shared" si="149"/>
        <v>0</v>
      </c>
      <c r="CV372" s="319">
        <f t="shared" si="149"/>
        <v>0</v>
      </c>
    </row>
    <row r="373" spans="1:100" x14ac:dyDescent="0.25">
      <c r="A373" s="319">
        <f t="shared" si="138"/>
        <v>0</v>
      </c>
      <c r="B373" s="319">
        <f t="shared" si="143"/>
        <v>0</v>
      </c>
      <c r="C373" s="364" t="str">
        <f>IF(Sandbox!AX44="","",Sandbox!AX44)</f>
        <v/>
      </c>
      <c r="D373" s="343" t="str">
        <f>IF(Sandbox!$BH$29="","",Sandbox!$BH$29)</f>
        <v/>
      </c>
      <c r="E373" s="343" t="str">
        <f>IF(Sandbox!AY44="","",Sandbox!AY44)</f>
        <v/>
      </c>
      <c r="F373" s="343" t="str">
        <f>IF(E373&lt;CharacterSheet!$V$34,"Yes","No")</f>
        <v>No</v>
      </c>
      <c r="G373" s="342" t="s">
        <v>347</v>
      </c>
      <c r="H373" s="333" t="str">
        <f>IF(C373="","",VLOOKUP(C373,Boonref2!A:B,2,FALSE))</f>
        <v/>
      </c>
      <c r="I373" s="333"/>
      <c r="J373" s="333" t="str">
        <f>VLOOKUP(C373,BoonRef!A:Z,17,FALSE)</f>
        <v>Yes</v>
      </c>
      <c r="K373" s="333" t="str">
        <f>IF(J373="God",'House Rules'!$B$2,IF(J373="Demi",'House Rules'!$B$1,IF(J373="Comp",'House Rules'!$B$4,IF(J373="Yaz",'House Rules'!$B$5,IF(J373="Rag",'House Rules'!$B$3,"Available")))))</f>
        <v>Available</v>
      </c>
      <c r="L373" s="333"/>
      <c r="M373" s="333"/>
      <c r="BF373" s="319">
        <f t="shared" si="145"/>
        <v>0</v>
      </c>
      <c r="BG373" s="340" t="s">
        <v>1271</v>
      </c>
      <c r="BI373" s="319">
        <f t="shared" si="136"/>
        <v>0</v>
      </c>
      <c r="BJ373" s="319">
        <f t="shared" si="149"/>
        <v>0</v>
      </c>
      <c r="BK373" s="319">
        <f t="shared" si="149"/>
        <v>0</v>
      </c>
      <c r="BL373" s="319">
        <f t="shared" si="149"/>
        <v>0</v>
      </c>
      <c r="BM373" s="319">
        <f t="shared" si="149"/>
        <v>0</v>
      </c>
      <c r="BN373" s="319">
        <f t="shared" si="149"/>
        <v>0</v>
      </c>
      <c r="BO373" s="319">
        <f t="shared" si="149"/>
        <v>0</v>
      </c>
      <c r="BP373" s="319">
        <f t="shared" si="149"/>
        <v>0</v>
      </c>
      <c r="BQ373" s="319">
        <f t="shared" si="149"/>
        <v>0</v>
      </c>
      <c r="BR373" s="319">
        <f t="shared" si="149"/>
        <v>0</v>
      </c>
      <c r="BS373" s="319">
        <f t="shared" si="149"/>
        <v>0</v>
      </c>
      <c r="BT373" s="319">
        <f t="shared" si="149"/>
        <v>0</v>
      </c>
      <c r="BU373" s="319">
        <f t="shared" si="149"/>
        <v>0</v>
      </c>
      <c r="BV373" s="319">
        <f t="shared" si="149"/>
        <v>0</v>
      </c>
      <c r="BW373" s="319">
        <f t="shared" si="149"/>
        <v>0</v>
      </c>
      <c r="BX373" s="319">
        <f t="shared" si="149"/>
        <v>0</v>
      </c>
      <c r="BY373" s="319">
        <f t="shared" si="149"/>
        <v>0</v>
      </c>
      <c r="BZ373" s="319">
        <f t="shared" si="149"/>
        <v>0</v>
      </c>
      <c r="CA373" s="319">
        <f t="shared" si="149"/>
        <v>0</v>
      </c>
      <c r="CB373" s="319">
        <f t="shared" si="149"/>
        <v>0</v>
      </c>
      <c r="CC373" s="319">
        <f t="shared" si="149"/>
        <v>0</v>
      </c>
      <c r="CD373" s="319">
        <f t="shared" si="149"/>
        <v>0</v>
      </c>
      <c r="CE373" s="319">
        <f t="shared" si="149"/>
        <v>0</v>
      </c>
      <c r="CF373" s="319">
        <f t="shared" si="149"/>
        <v>0</v>
      </c>
      <c r="CG373" s="319">
        <f t="shared" si="149"/>
        <v>0</v>
      </c>
      <c r="CH373" s="319">
        <f t="shared" si="149"/>
        <v>0</v>
      </c>
      <c r="CI373" s="319">
        <f t="shared" si="149"/>
        <v>0</v>
      </c>
      <c r="CJ373" s="319">
        <f t="shared" si="149"/>
        <v>0</v>
      </c>
      <c r="CK373" s="319">
        <f t="shared" si="149"/>
        <v>0</v>
      </c>
      <c r="CL373" s="319">
        <f t="shared" si="149"/>
        <v>0</v>
      </c>
      <c r="CM373" s="319">
        <f t="shared" si="149"/>
        <v>0</v>
      </c>
      <c r="CN373" s="319">
        <f t="shared" si="149"/>
        <v>0</v>
      </c>
      <c r="CO373" s="319">
        <f t="shared" si="149"/>
        <v>0</v>
      </c>
      <c r="CP373" s="319">
        <f t="shared" si="149"/>
        <v>0</v>
      </c>
      <c r="CQ373" s="319">
        <f t="shared" si="149"/>
        <v>0</v>
      </c>
      <c r="CR373" s="319">
        <f t="shared" si="149"/>
        <v>0</v>
      </c>
      <c r="CS373" s="319">
        <f t="shared" si="149"/>
        <v>0</v>
      </c>
      <c r="CT373" s="319">
        <f t="shared" si="149"/>
        <v>0</v>
      </c>
      <c r="CU373" s="319">
        <f t="shared" si="149"/>
        <v>0</v>
      </c>
      <c r="CV373" s="319">
        <f t="shared" si="149"/>
        <v>0</v>
      </c>
    </row>
    <row r="374" spans="1:100" x14ac:dyDescent="0.25">
      <c r="A374" s="319">
        <f t="shared" si="138"/>
        <v>0</v>
      </c>
      <c r="B374" s="319">
        <f t="shared" si="143"/>
        <v>0</v>
      </c>
      <c r="C374" s="364" t="str">
        <f>IF(Sandbox!AX45="","",Sandbox!AX45)</f>
        <v/>
      </c>
      <c r="D374" s="343" t="str">
        <f>IF(Sandbox!$BH$29="","",Sandbox!$BH$29)</f>
        <v/>
      </c>
      <c r="E374" s="343" t="str">
        <f>IF(Sandbox!AY45="","",Sandbox!AY45)</f>
        <v/>
      </c>
      <c r="F374" s="343" t="str">
        <f>IF(E374&lt;CharacterSheet!$V$34,"Yes","No")</f>
        <v>No</v>
      </c>
      <c r="G374" s="342" t="s">
        <v>347</v>
      </c>
      <c r="H374" s="333" t="str">
        <f>IF(C374="","",VLOOKUP(C374,Boonref2!A:B,2,FALSE))</f>
        <v/>
      </c>
      <c r="I374" s="333"/>
      <c r="J374" s="333" t="str">
        <f>VLOOKUP(C374,BoonRef!A:Z,17,FALSE)</f>
        <v>Yes</v>
      </c>
      <c r="K374" s="333" t="str">
        <f>IF(J374="God",'House Rules'!$B$2,IF(J374="Demi",'House Rules'!$B$1,IF(J374="Comp",'House Rules'!$B$4,IF(J374="Yaz",'House Rules'!$B$5,IF(J374="Rag",'House Rules'!$B$3,"Available")))))</f>
        <v>Available</v>
      </c>
      <c r="L374" s="333"/>
      <c r="M374" s="333"/>
      <c r="BF374" s="319">
        <f t="shared" si="145"/>
        <v>0</v>
      </c>
      <c r="BG374" s="340" t="s">
        <v>2636</v>
      </c>
      <c r="BI374" s="319">
        <f t="shared" si="136"/>
        <v>0</v>
      </c>
      <c r="BJ374" s="319">
        <f t="shared" si="149"/>
        <v>0</v>
      </c>
      <c r="BK374" s="319">
        <f t="shared" si="149"/>
        <v>0</v>
      </c>
      <c r="BL374" s="319">
        <f t="shared" si="149"/>
        <v>0</v>
      </c>
      <c r="BM374" s="319">
        <f t="shared" si="149"/>
        <v>0</v>
      </c>
      <c r="BN374" s="319">
        <f t="shared" si="149"/>
        <v>0</v>
      </c>
      <c r="BO374" s="319">
        <f t="shared" si="149"/>
        <v>0</v>
      </c>
      <c r="BP374" s="319">
        <f t="shared" si="149"/>
        <v>0</v>
      </c>
      <c r="BQ374" s="319">
        <f t="shared" si="149"/>
        <v>0</v>
      </c>
      <c r="BR374" s="319">
        <f t="shared" si="149"/>
        <v>0</v>
      </c>
      <c r="BS374" s="319">
        <f t="shared" si="149"/>
        <v>0</v>
      </c>
      <c r="BT374" s="319">
        <f t="shared" si="149"/>
        <v>0</v>
      </c>
      <c r="BU374" s="319">
        <f t="shared" si="149"/>
        <v>0</v>
      </c>
      <c r="BV374" s="319">
        <f t="shared" si="149"/>
        <v>0</v>
      </c>
      <c r="BW374" s="319">
        <f t="shared" si="149"/>
        <v>0</v>
      </c>
      <c r="BX374" s="319">
        <f t="shared" si="149"/>
        <v>0</v>
      </c>
      <c r="BY374" s="319">
        <f t="shared" si="149"/>
        <v>0</v>
      </c>
      <c r="BZ374" s="319">
        <f t="shared" si="149"/>
        <v>0</v>
      </c>
      <c r="CA374" s="319">
        <f t="shared" si="149"/>
        <v>0</v>
      </c>
      <c r="CB374" s="319">
        <f t="shared" si="149"/>
        <v>0</v>
      </c>
      <c r="CC374" s="319">
        <f t="shared" si="149"/>
        <v>0</v>
      </c>
      <c r="CD374" s="319">
        <f t="shared" si="149"/>
        <v>0</v>
      </c>
      <c r="CE374" s="319">
        <f t="shared" si="149"/>
        <v>0</v>
      </c>
      <c r="CF374" s="319">
        <f t="shared" si="149"/>
        <v>0</v>
      </c>
      <c r="CG374" s="319">
        <f t="shared" si="149"/>
        <v>0</v>
      </c>
      <c r="CH374" s="319">
        <f t="shared" si="149"/>
        <v>0</v>
      </c>
      <c r="CI374" s="319">
        <f t="shared" si="149"/>
        <v>0</v>
      </c>
      <c r="CJ374" s="319">
        <f t="shared" si="149"/>
        <v>0</v>
      </c>
      <c r="CK374" s="319">
        <f t="shared" si="149"/>
        <v>0</v>
      </c>
      <c r="CL374" s="319">
        <f t="shared" si="149"/>
        <v>0</v>
      </c>
      <c r="CM374" s="319">
        <f t="shared" si="149"/>
        <v>0</v>
      </c>
      <c r="CN374" s="319">
        <f t="shared" si="149"/>
        <v>0</v>
      </c>
      <c r="CO374" s="319">
        <f t="shared" si="149"/>
        <v>0</v>
      </c>
      <c r="CP374" s="319">
        <f t="shared" si="149"/>
        <v>0</v>
      </c>
      <c r="CQ374" s="319">
        <f t="shared" si="149"/>
        <v>0</v>
      </c>
      <c r="CR374" s="319">
        <f t="shared" si="149"/>
        <v>0</v>
      </c>
      <c r="CS374" s="319">
        <f t="shared" si="149"/>
        <v>0</v>
      </c>
      <c r="CT374" s="319">
        <f t="shared" si="149"/>
        <v>0</v>
      </c>
      <c r="CU374" s="319">
        <f t="shared" si="149"/>
        <v>0</v>
      </c>
      <c r="CV374" s="319">
        <f t="shared" si="149"/>
        <v>0</v>
      </c>
    </row>
    <row r="375" spans="1:100" x14ac:dyDescent="0.25">
      <c r="A375" s="319">
        <f t="shared" si="138"/>
        <v>0</v>
      </c>
      <c r="B375" s="319">
        <f t="shared" si="143"/>
        <v>0</v>
      </c>
      <c r="C375" s="364" t="str">
        <f>IF(Sandbox!AX46="","",Sandbox!AX46)</f>
        <v/>
      </c>
      <c r="D375" s="343" t="str">
        <f>IF(Sandbox!$BH$29="","",Sandbox!$BH$29)</f>
        <v/>
      </c>
      <c r="E375" s="343" t="str">
        <f>IF(Sandbox!AY46="","",Sandbox!AY46)</f>
        <v/>
      </c>
      <c r="F375" s="343" t="str">
        <f>IF(E375&lt;CharacterSheet!$V$34,"Yes","No")</f>
        <v>No</v>
      </c>
      <c r="G375" s="342" t="s">
        <v>347</v>
      </c>
      <c r="H375" s="333" t="str">
        <f>IF(C375="","",VLOOKUP(C375,Boonref2!A:B,2,FALSE))</f>
        <v/>
      </c>
      <c r="I375" s="333"/>
      <c r="J375" s="333" t="str">
        <f>VLOOKUP(C375,BoonRef!A:Z,17,FALSE)</f>
        <v>Yes</v>
      </c>
      <c r="K375" s="333" t="str">
        <f>IF(J375="God",'House Rules'!$B$2,IF(J375="Demi",'House Rules'!$B$1,IF(J375="Comp",'House Rules'!$B$4,IF(J375="Yaz",'House Rules'!$B$5,IF(J375="Rag",'House Rules'!$B$3,"Available")))))</f>
        <v>Available</v>
      </c>
      <c r="L375" s="333"/>
      <c r="M375" s="333"/>
      <c r="BF375" s="319">
        <f t="shared" si="145"/>
        <v>0</v>
      </c>
      <c r="BG375" s="340" t="s">
        <v>1272</v>
      </c>
      <c r="BI375" s="319">
        <f t="shared" si="136"/>
        <v>0</v>
      </c>
      <c r="BJ375" s="319">
        <f t="shared" si="149"/>
        <v>0</v>
      </c>
      <c r="BK375" s="319">
        <f t="shared" si="149"/>
        <v>0</v>
      </c>
      <c r="BL375" s="319">
        <f t="shared" si="149"/>
        <v>0</v>
      </c>
      <c r="BM375" s="319">
        <f t="shared" si="149"/>
        <v>0</v>
      </c>
      <c r="BN375" s="319">
        <f t="shared" si="149"/>
        <v>0</v>
      </c>
      <c r="BO375" s="319">
        <f t="shared" si="149"/>
        <v>0</v>
      </c>
      <c r="BP375" s="319">
        <f t="shared" si="149"/>
        <v>0</v>
      </c>
      <c r="BQ375" s="319">
        <f t="shared" si="149"/>
        <v>0</v>
      </c>
      <c r="BR375" s="319">
        <f t="shared" si="149"/>
        <v>0</v>
      </c>
      <c r="BS375" s="319">
        <f t="shared" si="149"/>
        <v>0</v>
      </c>
      <c r="BT375" s="319">
        <f t="shared" si="149"/>
        <v>0</v>
      </c>
      <c r="BU375" s="319">
        <f t="shared" si="149"/>
        <v>0</v>
      </c>
      <c r="BV375" s="319">
        <f t="shared" si="149"/>
        <v>0</v>
      </c>
      <c r="BW375" s="319">
        <f t="shared" si="149"/>
        <v>0</v>
      </c>
      <c r="BX375" s="319">
        <f t="shared" si="149"/>
        <v>0</v>
      </c>
      <c r="BY375" s="319">
        <f t="shared" si="149"/>
        <v>0</v>
      </c>
      <c r="BZ375" s="319">
        <f t="shared" si="149"/>
        <v>0</v>
      </c>
      <c r="CA375" s="319">
        <f t="shared" si="149"/>
        <v>0</v>
      </c>
      <c r="CB375" s="319">
        <f t="shared" si="149"/>
        <v>0</v>
      </c>
      <c r="CC375" s="319">
        <f t="shared" si="149"/>
        <v>0</v>
      </c>
      <c r="CD375" s="319">
        <f t="shared" si="149"/>
        <v>0</v>
      </c>
      <c r="CE375" s="319">
        <f t="shared" si="149"/>
        <v>0</v>
      </c>
      <c r="CF375" s="319">
        <f t="shared" si="149"/>
        <v>0</v>
      </c>
      <c r="CG375" s="319">
        <f t="shared" si="149"/>
        <v>0</v>
      </c>
      <c r="CH375" s="319">
        <f t="shared" si="149"/>
        <v>0</v>
      </c>
      <c r="CI375" s="319">
        <f t="shared" si="149"/>
        <v>0</v>
      </c>
      <c r="CJ375" s="319">
        <f t="shared" si="149"/>
        <v>0</v>
      </c>
      <c r="CK375" s="319">
        <f t="shared" si="149"/>
        <v>0</v>
      </c>
      <c r="CL375" s="319">
        <f t="shared" si="149"/>
        <v>0</v>
      </c>
      <c r="CM375" s="319">
        <f t="shared" si="149"/>
        <v>0</v>
      </c>
      <c r="CN375" s="319">
        <f t="shared" si="149"/>
        <v>0</v>
      </c>
      <c r="CO375" s="319">
        <f t="shared" si="149"/>
        <v>0</v>
      </c>
      <c r="CP375" s="319">
        <f t="shared" si="149"/>
        <v>0</v>
      </c>
      <c r="CQ375" s="319">
        <f t="shared" si="149"/>
        <v>0</v>
      </c>
      <c r="CR375" s="319">
        <f t="shared" si="149"/>
        <v>0</v>
      </c>
      <c r="CS375" s="319">
        <f t="shared" si="149"/>
        <v>0</v>
      </c>
      <c r="CT375" s="319">
        <f t="shared" si="149"/>
        <v>0</v>
      </c>
      <c r="CU375" s="319">
        <f t="shared" si="149"/>
        <v>0</v>
      </c>
      <c r="CV375" s="319">
        <f t="shared" si="149"/>
        <v>0</v>
      </c>
    </row>
    <row r="376" spans="1:100" x14ac:dyDescent="0.25">
      <c r="A376" s="319">
        <f t="shared" si="138"/>
        <v>0</v>
      </c>
      <c r="B376" s="319">
        <f t="shared" si="143"/>
        <v>0</v>
      </c>
      <c r="C376" s="364" t="str">
        <f>IF(Sandbox!AX47="","",Sandbox!AX47)</f>
        <v/>
      </c>
      <c r="D376" s="343" t="str">
        <f>IF(Sandbox!$BH$29="","",Sandbox!$BH$29)</f>
        <v/>
      </c>
      <c r="E376" s="343" t="str">
        <f>IF(Sandbox!AY47="","",Sandbox!AY47)</f>
        <v/>
      </c>
      <c r="F376" s="343" t="str">
        <f>IF(E376&lt;CharacterSheet!$V$34,"Yes","No")</f>
        <v>No</v>
      </c>
      <c r="G376" s="342" t="s">
        <v>347</v>
      </c>
      <c r="H376" s="333" t="str">
        <f>IF(C376="","",VLOOKUP(C376,Boonref2!A:B,2,FALSE))</f>
        <v/>
      </c>
      <c r="I376" s="333"/>
      <c r="J376" s="333" t="str">
        <f>VLOOKUP(C376,BoonRef!A:Z,17,FALSE)</f>
        <v>Yes</v>
      </c>
      <c r="K376" s="333" t="str">
        <f>IF(J376="God",'House Rules'!$B$2,IF(J376="Demi",'House Rules'!$B$1,IF(J376="Comp",'House Rules'!$B$4,IF(J376="Yaz",'House Rules'!$B$5,IF(J376="Rag",'House Rules'!$B$3,"Available")))))</f>
        <v>Available</v>
      </c>
      <c r="L376" s="333"/>
      <c r="M376" s="333"/>
      <c r="BF376" s="319">
        <f t="shared" si="145"/>
        <v>0</v>
      </c>
      <c r="BG376" s="340" t="s">
        <v>1273</v>
      </c>
      <c r="BI376" s="319">
        <f t="shared" si="136"/>
        <v>0</v>
      </c>
      <c r="BJ376" s="319">
        <f t="shared" si="149"/>
        <v>0</v>
      </c>
      <c r="BK376" s="319">
        <f t="shared" si="149"/>
        <v>0</v>
      </c>
      <c r="BL376" s="319">
        <f t="shared" si="149"/>
        <v>0</v>
      </c>
      <c r="BM376" s="319">
        <f t="shared" si="149"/>
        <v>0</v>
      </c>
      <c r="BN376" s="319">
        <f t="shared" si="149"/>
        <v>0</v>
      </c>
      <c r="BO376" s="319">
        <f t="shared" si="149"/>
        <v>0</v>
      </c>
      <c r="BP376" s="319">
        <f t="shared" si="149"/>
        <v>0</v>
      </c>
      <c r="BQ376" s="319">
        <f t="shared" si="149"/>
        <v>0</v>
      </c>
      <c r="BR376" s="319">
        <f t="shared" si="149"/>
        <v>0</v>
      </c>
      <c r="BS376" s="319">
        <f t="shared" si="149"/>
        <v>0</v>
      </c>
      <c r="BT376" s="319">
        <f t="shared" si="149"/>
        <v>0</v>
      </c>
      <c r="BU376" s="319">
        <f t="shared" si="149"/>
        <v>0</v>
      </c>
      <c r="BV376" s="319">
        <f t="shared" si="149"/>
        <v>0</v>
      </c>
      <c r="BW376" s="319">
        <f t="shared" si="149"/>
        <v>0</v>
      </c>
      <c r="BX376" s="319">
        <f t="shared" si="149"/>
        <v>0</v>
      </c>
      <c r="BY376" s="319">
        <f t="shared" si="149"/>
        <v>0</v>
      </c>
      <c r="BZ376" s="319">
        <f t="shared" si="149"/>
        <v>0</v>
      </c>
      <c r="CA376" s="319">
        <f t="shared" si="149"/>
        <v>0</v>
      </c>
      <c r="CB376" s="319">
        <f t="shared" si="149"/>
        <v>0</v>
      </c>
      <c r="CC376" s="319">
        <f t="shared" si="149"/>
        <v>0</v>
      </c>
      <c r="CD376" s="319">
        <f t="shared" si="149"/>
        <v>0</v>
      </c>
      <c r="CE376" s="319">
        <f t="shared" si="149"/>
        <v>0</v>
      </c>
      <c r="CF376" s="319">
        <f t="shared" si="149"/>
        <v>0</v>
      </c>
      <c r="CG376" s="319">
        <f t="shared" si="149"/>
        <v>0</v>
      </c>
      <c r="CH376" s="319">
        <f t="shared" si="149"/>
        <v>0</v>
      </c>
      <c r="CI376" s="319">
        <f t="shared" si="149"/>
        <v>0</v>
      </c>
      <c r="CJ376" s="319">
        <f t="shared" si="149"/>
        <v>0</v>
      </c>
      <c r="CK376" s="319">
        <f t="shared" si="149"/>
        <v>0</v>
      </c>
      <c r="CL376" s="319">
        <f t="shared" si="149"/>
        <v>0</v>
      </c>
      <c r="CM376" s="319">
        <f t="shared" si="149"/>
        <v>0</v>
      </c>
      <c r="CN376" s="319">
        <f t="shared" si="149"/>
        <v>0</v>
      </c>
      <c r="CO376" s="319">
        <f t="shared" si="149"/>
        <v>0</v>
      </c>
      <c r="CP376" s="319">
        <f t="shared" si="149"/>
        <v>0</v>
      </c>
      <c r="CQ376" s="319">
        <f t="shared" si="149"/>
        <v>0</v>
      </c>
      <c r="CR376" s="319">
        <f t="shared" si="149"/>
        <v>0</v>
      </c>
      <c r="CS376" s="319">
        <f t="shared" si="149"/>
        <v>0</v>
      </c>
      <c r="CT376" s="319">
        <f t="shared" si="149"/>
        <v>0</v>
      </c>
      <c r="CU376" s="319">
        <f t="shared" si="149"/>
        <v>0</v>
      </c>
      <c r="CV376" s="319">
        <f t="shared" si="149"/>
        <v>0</v>
      </c>
    </row>
    <row r="377" spans="1:100" ht="15.75" thickBot="1" x14ac:dyDescent="0.3">
      <c r="A377" s="319">
        <f t="shared" si="138"/>
        <v>0</v>
      </c>
      <c r="B377" s="319">
        <f t="shared" si="143"/>
        <v>0</v>
      </c>
      <c r="C377" s="364" t="str">
        <f>IF(Sandbox!AX48="","",Sandbox!AX48)</f>
        <v/>
      </c>
      <c r="D377" s="343" t="str">
        <f>IF(Sandbox!$BH$29="","",Sandbox!$BH$29)</f>
        <v/>
      </c>
      <c r="E377" s="343" t="str">
        <f>IF(Sandbox!AY48="","",Sandbox!AY48)</f>
        <v/>
      </c>
      <c r="F377" s="343" t="str">
        <f>IF(E377&lt;CharacterSheet!$V$34,"Yes","No")</f>
        <v>No</v>
      </c>
      <c r="G377" s="342" t="s">
        <v>347</v>
      </c>
      <c r="H377" s="333" t="str">
        <f>IF(C377="","",VLOOKUP(C377,Boonref2!A:B,2,FALSE))</f>
        <v/>
      </c>
      <c r="I377" s="333"/>
      <c r="J377" s="333" t="str">
        <f>VLOOKUP(C377,BoonRef!A:Z,17,FALSE)</f>
        <v>Yes</v>
      </c>
      <c r="K377" s="333" t="str">
        <f>IF(J377="God",'House Rules'!$B$2,IF(J377="Demi",'House Rules'!$B$1,IF(J377="Comp",'House Rules'!$B$4,IF(J377="Yaz",'House Rules'!$B$5,IF(J377="Rag",'House Rules'!$B$3,"Available")))))</f>
        <v>Available</v>
      </c>
      <c r="L377" s="333"/>
      <c r="M377" s="333"/>
      <c r="BF377" s="319">
        <f t="shared" si="145"/>
        <v>0</v>
      </c>
      <c r="BG377" s="352" t="s">
        <v>1274</v>
      </c>
      <c r="BI377" s="319">
        <f t="shared" si="136"/>
        <v>0</v>
      </c>
      <c r="BJ377" s="319">
        <f t="shared" si="149"/>
        <v>0</v>
      </c>
      <c r="BK377" s="319">
        <f t="shared" si="149"/>
        <v>0</v>
      </c>
      <c r="BL377" s="319">
        <f t="shared" si="149"/>
        <v>0</v>
      </c>
      <c r="BM377" s="319">
        <f t="shared" si="149"/>
        <v>0</v>
      </c>
      <c r="BN377" s="319">
        <f t="shared" si="149"/>
        <v>0</v>
      </c>
      <c r="BO377" s="319">
        <f t="shared" si="149"/>
        <v>0</v>
      </c>
      <c r="BP377" s="319">
        <f t="shared" si="149"/>
        <v>0</v>
      </c>
      <c r="BQ377" s="319">
        <f t="shared" si="149"/>
        <v>0</v>
      </c>
      <c r="BR377" s="319">
        <f t="shared" si="149"/>
        <v>0</v>
      </c>
      <c r="BS377" s="319">
        <f t="shared" si="149"/>
        <v>0</v>
      </c>
      <c r="BT377" s="319">
        <f t="shared" si="149"/>
        <v>0</v>
      </c>
      <c r="BU377" s="319">
        <f t="shared" si="149"/>
        <v>0</v>
      </c>
      <c r="BV377" s="319">
        <f t="shared" si="149"/>
        <v>0</v>
      </c>
      <c r="BW377" s="319">
        <f t="shared" si="149"/>
        <v>0</v>
      </c>
      <c r="BX377" s="319">
        <f t="shared" si="149"/>
        <v>0</v>
      </c>
      <c r="BY377" s="319">
        <f t="shared" si="149"/>
        <v>0</v>
      </c>
      <c r="BZ377" s="319">
        <f t="shared" si="149"/>
        <v>0</v>
      </c>
      <c r="CA377" s="319">
        <f t="shared" si="149"/>
        <v>0</v>
      </c>
      <c r="CB377" s="319">
        <f t="shared" ref="BJ377:CV383" si="150">IF(AND($D377=CB$1,$G377="Yes"),$E377,0)</f>
        <v>0</v>
      </c>
      <c r="CC377" s="319">
        <f t="shared" si="150"/>
        <v>0</v>
      </c>
      <c r="CD377" s="319">
        <f t="shared" si="150"/>
        <v>0</v>
      </c>
      <c r="CE377" s="319">
        <f t="shared" si="150"/>
        <v>0</v>
      </c>
      <c r="CF377" s="319">
        <f t="shared" si="150"/>
        <v>0</v>
      </c>
      <c r="CG377" s="319">
        <f t="shared" si="150"/>
        <v>0</v>
      </c>
      <c r="CH377" s="319">
        <f t="shared" si="150"/>
        <v>0</v>
      </c>
      <c r="CI377" s="319">
        <f t="shared" si="150"/>
        <v>0</v>
      </c>
      <c r="CJ377" s="319">
        <f t="shared" si="150"/>
        <v>0</v>
      </c>
      <c r="CK377" s="319">
        <f t="shared" si="150"/>
        <v>0</v>
      </c>
      <c r="CL377" s="319">
        <f t="shared" si="150"/>
        <v>0</v>
      </c>
      <c r="CM377" s="319">
        <f t="shared" si="150"/>
        <v>0</v>
      </c>
      <c r="CN377" s="319">
        <f t="shared" si="150"/>
        <v>0</v>
      </c>
      <c r="CO377" s="319">
        <f t="shared" si="150"/>
        <v>0</v>
      </c>
      <c r="CP377" s="319">
        <f t="shared" si="150"/>
        <v>0</v>
      </c>
      <c r="CQ377" s="319">
        <f t="shared" si="150"/>
        <v>0</v>
      </c>
      <c r="CR377" s="319">
        <f t="shared" si="150"/>
        <v>0</v>
      </c>
      <c r="CS377" s="319">
        <f t="shared" si="150"/>
        <v>0</v>
      </c>
      <c r="CT377" s="319">
        <f t="shared" si="150"/>
        <v>0</v>
      </c>
      <c r="CU377" s="319">
        <f t="shared" si="150"/>
        <v>0</v>
      </c>
      <c r="CV377" s="319">
        <f t="shared" si="150"/>
        <v>0</v>
      </c>
    </row>
    <row r="378" spans="1:100" x14ac:dyDescent="0.25">
      <c r="A378" s="319">
        <f t="shared" si="138"/>
        <v>0</v>
      </c>
      <c r="B378" s="319">
        <f t="shared" si="143"/>
        <v>0</v>
      </c>
      <c r="C378" s="364" t="str">
        <f>IF(Sandbox!AX49="","",Sandbox!AX49)</f>
        <v/>
      </c>
      <c r="D378" s="343" t="str">
        <f>IF(Sandbox!$BH$29="","",Sandbox!$BH$29)</f>
        <v/>
      </c>
      <c r="E378" s="343" t="str">
        <f>IF(Sandbox!AY49="","",Sandbox!AY49)</f>
        <v/>
      </c>
      <c r="F378" s="343" t="str">
        <f>IF(E378&lt;CharacterSheet!$V$34,"Yes","No")</f>
        <v>No</v>
      </c>
      <c r="G378" s="342" t="s">
        <v>347</v>
      </c>
      <c r="H378" s="333" t="str">
        <f>IF(C378="","",VLOOKUP(C378,Boonref2!A:B,2,FALSE))</f>
        <v/>
      </c>
      <c r="I378" s="333"/>
      <c r="J378" s="333" t="str">
        <f>VLOOKUP(C378,BoonRef!A:Z,17,FALSE)</f>
        <v>Yes</v>
      </c>
      <c r="K378" s="333" t="str">
        <f>IF(J378="God",'House Rules'!$B$2,IF(J378="Demi",'House Rules'!$B$1,IF(J378="Comp",'House Rules'!$B$4,IF(J378="Yaz",'House Rules'!$B$5,IF(J378="Rag",'House Rules'!$B$3,"Available")))))</f>
        <v>Available</v>
      </c>
      <c r="L378" s="333"/>
      <c r="M378" s="333"/>
      <c r="BF378" s="319">
        <f t="shared" si="145"/>
        <v>0</v>
      </c>
      <c r="BG378" s="330" t="s">
        <v>1088</v>
      </c>
      <c r="BI378" s="319">
        <f t="shared" si="136"/>
        <v>0</v>
      </c>
      <c r="BJ378" s="319">
        <f t="shared" si="150"/>
        <v>0</v>
      </c>
      <c r="BK378" s="319">
        <f t="shared" si="150"/>
        <v>0</v>
      </c>
      <c r="BL378" s="319">
        <f t="shared" si="150"/>
        <v>0</v>
      </c>
      <c r="BM378" s="319">
        <f t="shared" si="150"/>
        <v>0</v>
      </c>
      <c r="BN378" s="319">
        <f t="shared" si="150"/>
        <v>0</v>
      </c>
      <c r="BO378" s="319">
        <f t="shared" si="150"/>
        <v>0</v>
      </c>
      <c r="BP378" s="319">
        <f t="shared" si="150"/>
        <v>0</v>
      </c>
      <c r="BQ378" s="319">
        <f t="shared" si="150"/>
        <v>0</v>
      </c>
      <c r="BR378" s="319">
        <f t="shared" si="150"/>
        <v>0</v>
      </c>
      <c r="BS378" s="319">
        <f t="shared" si="150"/>
        <v>0</v>
      </c>
      <c r="BT378" s="319">
        <f t="shared" si="150"/>
        <v>0</v>
      </c>
      <c r="BU378" s="319">
        <f t="shared" si="150"/>
        <v>0</v>
      </c>
      <c r="BV378" s="319">
        <f t="shared" si="150"/>
        <v>0</v>
      </c>
      <c r="BW378" s="319">
        <f t="shared" si="150"/>
        <v>0</v>
      </c>
      <c r="BX378" s="319">
        <f t="shared" si="150"/>
        <v>0</v>
      </c>
      <c r="BY378" s="319">
        <f t="shared" si="150"/>
        <v>0</v>
      </c>
      <c r="BZ378" s="319">
        <f t="shared" si="150"/>
        <v>0</v>
      </c>
      <c r="CA378" s="319">
        <f t="shared" si="150"/>
        <v>0</v>
      </c>
      <c r="CB378" s="319">
        <f t="shared" si="150"/>
        <v>0</v>
      </c>
      <c r="CC378" s="319">
        <f t="shared" si="150"/>
        <v>0</v>
      </c>
      <c r="CD378" s="319">
        <f t="shared" si="150"/>
        <v>0</v>
      </c>
      <c r="CE378" s="319">
        <f t="shared" si="150"/>
        <v>0</v>
      </c>
      <c r="CF378" s="319">
        <f t="shared" si="150"/>
        <v>0</v>
      </c>
      <c r="CG378" s="319">
        <f t="shared" si="150"/>
        <v>0</v>
      </c>
      <c r="CH378" s="319">
        <f t="shared" si="150"/>
        <v>0</v>
      </c>
      <c r="CI378" s="319">
        <f t="shared" si="150"/>
        <v>0</v>
      </c>
      <c r="CJ378" s="319">
        <f t="shared" si="150"/>
        <v>0</v>
      </c>
      <c r="CK378" s="319">
        <f t="shared" si="150"/>
        <v>0</v>
      </c>
      <c r="CL378" s="319">
        <f t="shared" si="150"/>
        <v>0</v>
      </c>
      <c r="CM378" s="319">
        <f t="shared" si="150"/>
        <v>0</v>
      </c>
      <c r="CN378" s="319">
        <f t="shared" si="150"/>
        <v>0</v>
      </c>
      <c r="CO378" s="319">
        <f t="shared" si="150"/>
        <v>0</v>
      </c>
      <c r="CP378" s="319">
        <f t="shared" si="150"/>
        <v>0</v>
      </c>
      <c r="CQ378" s="319">
        <f t="shared" si="150"/>
        <v>0</v>
      </c>
      <c r="CR378" s="319">
        <f t="shared" si="150"/>
        <v>0</v>
      </c>
      <c r="CS378" s="319">
        <f t="shared" si="150"/>
        <v>0</v>
      </c>
      <c r="CT378" s="319">
        <f t="shared" si="150"/>
        <v>0</v>
      </c>
      <c r="CU378" s="319">
        <f t="shared" si="150"/>
        <v>0</v>
      </c>
      <c r="CV378" s="319">
        <f t="shared" si="150"/>
        <v>0</v>
      </c>
    </row>
    <row r="379" spans="1:100" x14ac:dyDescent="0.25">
      <c r="A379" s="319">
        <f t="shared" si="138"/>
        <v>0</v>
      </c>
      <c r="B379" s="319">
        <f t="shared" si="143"/>
        <v>0</v>
      </c>
      <c r="C379" s="364" t="str">
        <f>IF(Sandbox!AX50="","",Sandbox!AX50)</f>
        <v/>
      </c>
      <c r="D379" s="343" t="str">
        <f>IF(Sandbox!$BH$29="","",Sandbox!$BH$29)</f>
        <v/>
      </c>
      <c r="E379" s="343" t="str">
        <f>IF(Sandbox!AY50="","",Sandbox!AY50)</f>
        <v/>
      </c>
      <c r="F379" s="343" t="str">
        <f>IF(E379&lt;CharacterSheet!$V$34,"Yes","No")</f>
        <v>No</v>
      </c>
      <c r="G379" s="342" t="s">
        <v>347</v>
      </c>
      <c r="H379" s="333" t="str">
        <f>IF(C379="","",VLOOKUP(C379,Boonref2!A:B,2,FALSE))</f>
        <v/>
      </c>
      <c r="I379" s="333"/>
      <c r="J379" s="333" t="str">
        <f>VLOOKUP(C379,BoonRef!A:Z,17,FALSE)</f>
        <v>Yes</v>
      </c>
      <c r="K379" s="333" t="str">
        <f>IF(J379="God",'House Rules'!$B$2,IF(J379="Demi",'House Rules'!$B$1,IF(J379="Comp",'House Rules'!$B$4,IF(J379="Yaz",'House Rules'!$B$5,IF(J379="Rag",'House Rules'!$B$3,"Available")))))</f>
        <v>Available</v>
      </c>
      <c r="L379" s="333"/>
      <c r="M379" s="333"/>
      <c r="BF379" s="319">
        <f t="shared" si="145"/>
        <v>0</v>
      </c>
      <c r="BG379" s="340" t="s">
        <v>1089</v>
      </c>
      <c r="BI379" s="319">
        <f t="shared" si="136"/>
        <v>0</v>
      </c>
      <c r="BJ379" s="319">
        <f t="shared" si="150"/>
        <v>0</v>
      </c>
      <c r="BK379" s="319">
        <f t="shared" si="150"/>
        <v>0</v>
      </c>
      <c r="BL379" s="319">
        <f t="shared" si="150"/>
        <v>0</v>
      </c>
      <c r="BM379" s="319">
        <f t="shared" si="150"/>
        <v>0</v>
      </c>
      <c r="BN379" s="319">
        <f t="shared" si="150"/>
        <v>0</v>
      </c>
      <c r="BO379" s="319">
        <f t="shared" si="150"/>
        <v>0</v>
      </c>
      <c r="BP379" s="319">
        <f t="shared" si="150"/>
        <v>0</v>
      </c>
      <c r="BQ379" s="319">
        <f t="shared" si="150"/>
        <v>0</v>
      </c>
      <c r="BR379" s="319">
        <f t="shared" si="150"/>
        <v>0</v>
      </c>
      <c r="BS379" s="319">
        <f t="shared" si="150"/>
        <v>0</v>
      </c>
      <c r="BT379" s="319">
        <f t="shared" si="150"/>
        <v>0</v>
      </c>
      <c r="BU379" s="319">
        <f t="shared" si="150"/>
        <v>0</v>
      </c>
      <c r="BV379" s="319">
        <f t="shared" si="150"/>
        <v>0</v>
      </c>
      <c r="BW379" s="319">
        <f t="shared" si="150"/>
        <v>0</v>
      </c>
      <c r="BX379" s="319">
        <f t="shared" si="150"/>
        <v>0</v>
      </c>
      <c r="BY379" s="319">
        <f t="shared" si="150"/>
        <v>0</v>
      </c>
      <c r="BZ379" s="319">
        <f t="shared" si="150"/>
        <v>0</v>
      </c>
      <c r="CA379" s="319">
        <f t="shared" si="150"/>
        <v>0</v>
      </c>
      <c r="CB379" s="319">
        <f t="shared" si="150"/>
        <v>0</v>
      </c>
      <c r="CC379" s="319">
        <f t="shared" si="150"/>
        <v>0</v>
      </c>
      <c r="CD379" s="319">
        <f t="shared" si="150"/>
        <v>0</v>
      </c>
      <c r="CE379" s="319">
        <f t="shared" si="150"/>
        <v>0</v>
      </c>
      <c r="CF379" s="319">
        <f t="shared" si="150"/>
        <v>0</v>
      </c>
      <c r="CG379" s="319">
        <f t="shared" si="150"/>
        <v>0</v>
      </c>
      <c r="CH379" s="319">
        <f t="shared" si="150"/>
        <v>0</v>
      </c>
      <c r="CI379" s="319">
        <f t="shared" si="150"/>
        <v>0</v>
      </c>
      <c r="CJ379" s="319">
        <f t="shared" si="150"/>
        <v>0</v>
      </c>
      <c r="CK379" s="319">
        <f t="shared" si="150"/>
        <v>0</v>
      </c>
      <c r="CL379" s="319">
        <f t="shared" si="150"/>
        <v>0</v>
      </c>
      <c r="CM379" s="319">
        <f t="shared" si="150"/>
        <v>0</v>
      </c>
      <c r="CN379" s="319">
        <f t="shared" si="150"/>
        <v>0</v>
      </c>
      <c r="CO379" s="319">
        <f t="shared" si="150"/>
        <v>0</v>
      </c>
      <c r="CP379" s="319">
        <f t="shared" si="150"/>
        <v>0</v>
      </c>
      <c r="CQ379" s="319">
        <f t="shared" si="150"/>
        <v>0</v>
      </c>
      <c r="CR379" s="319">
        <f t="shared" si="150"/>
        <v>0</v>
      </c>
      <c r="CS379" s="319">
        <f t="shared" si="150"/>
        <v>0</v>
      </c>
      <c r="CT379" s="319">
        <f t="shared" si="150"/>
        <v>0</v>
      </c>
      <c r="CU379" s="319">
        <f t="shared" si="150"/>
        <v>0</v>
      </c>
      <c r="CV379" s="319">
        <f t="shared" si="150"/>
        <v>0</v>
      </c>
    </row>
    <row r="380" spans="1:100" x14ac:dyDescent="0.25">
      <c r="A380" s="319">
        <f t="shared" si="138"/>
        <v>0</v>
      </c>
      <c r="B380" s="319">
        <f t="shared" si="143"/>
        <v>0</v>
      </c>
      <c r="C380" s="364" t="str">
        <f>IF(Sandbox!AX51="","",Sandbox!AX51)</f>
        <v/>
      </c>
      <c r="D380" s="343" t="str">
        <f>IF(Sandbox!$BH$29="","",Sandbox!$BH$29)</f>
        <v/>
      </c>
      <c r="E380" s="343" t="str">
        <f>IF(Sandbox!AY51="","",Sandbox!AY51)</f>
        <v/>
      </c>
      <c r="F380" s="343" t="str">
        <f>IF(E380&lt;CharacterSheet!$V$34,"Yes","No")</f>
        <v>No</v>
      </c>
      <c r="G380" s="342" t="s">
        <v>347</v>
      </c>
      <c r="H380" s="333" t="str">
        <f>IF(C380="","",VLOOKUP(C380,Boonref2!A:B,2,FALSE))</f>
        <v/>
      </c>
      <c r="I380" s="333"/>
      <c r="J380" s="333" t="str">
        <f>VLOOKUP(C380,BoonRef!A:Z,17,FALSE)</f>
        <v>Yes</v>
      </c>
      <c r="K380" s="333" t="str">
        <f>IF(J380="God",'House Rules'!$B$2,IF(J380="Demi",'House Rules'!$B$1,IF(J380="Comp",'House Rules'!$B$4,IF(J380="Yaz",'House Rules'!$B$5,IF(J380="Rag",'House Rules'!$B$3,"Available")))))</f>
        <v>Available</v>
      </c>
      <c r="L380" s="333"/>
      <c r="M380" s="333"/>
      <c r="BF380" s="319">
        <f t="shared" si="145"/>
        <v>0</v>
      </c>
      <c r="BG380" s="340" t="s">
        <v>1395</v>
      </c>
      <c r="BI380" s="319">
        <f t="shared" si="136"/>
        <v>0</v>
      </c>
      <c r="BJ380" s="319">
        <f t="shared" si="150"/>
        <v>0</v>
      </c>
      <c r="BK380" s="319">
        <f t="shared" si="150"/>
        <v>0</v>
      </c>
      <c r="BL380" s="319">
        <f t="shared" si="150"/>
        <v>0</v>
      </c>
      <c r="BM380" s="319">
        <f t="shared" si="150"/>
        <v>0</v>
      </c>
      <c r="BN380" s="319">
        <f t="shared" si="150"/>
        <v>0</v>
      </c>
      <c r="BO380" s="319">
        <f t="shared" si="150"/>
        <v>0</v>
      </c>
      <c r="BP380" s="319">
        <f t="shared" si="150"/>
        <v>0</v>
      </c>
      <c r="BQ380" s="319">
        <f t="shared" si="150"/>
        <v>0</v>
      </c>
      <c r="BR380" s="319">
        <f t="shared" si="150"/>
        <v>0</v>
      </c>
      <c r="BS380" s="319">
        <f t="shared" si="150"/>
        <v>0</v>
      </c>
      <c r="BT380" s="319">
        <f t="shared" si="150"/>
        <v>0</v>
      </c>
      <c r="BU380" s="319">
        <f t="shared" si="150"/>
        <v>0</v>
      </c>
      <c r="BV380" s="319">
        <f t="shared" si="150"/>
        <v>0</v>
      </c>
      <c r="BW380" s="319">
        <f t="shared" si="150"/>
        <v>0</v>
      </c>
      <c r="BX380" s="319">
        <f t="shared" si="150"/>
        <v>0</v>
      </c>
      <c r="BY380" s="319">
        <f t="shared" si="150"/>
        <v>0</v>
      </c>
      <c r="BZ380" s="319">
        <f t="shared" si="150"/>
        <v>0</v>
      </c>
      <c r="CA380" s="319">
        <f t="shared" si="150"/>
        <v>0</v>
      </c>
      <c r="CB380" s="319">
        <f t="shared" si="150"/>
        <v>0</v>
      </c>
      <c r="CC380" s="319">
        <f t="shared" si="150"/>
        <v>0</v>
      </c>
      <c r="CD380" s="319">
        <f t="shared" si="150"/>
        <v>0</v>
      </c>
      <c r="CE380" s="319">
        <f t="shared" si="150"/>
        <v>0</v>
      </c>
      <c r="CF380" s="319">
        <f t="shared" si="150"/>
        <v>0</v>
      </c>
      <c r="CG380" s="319">
        <f t="shared" si="150"/>
        <v>0</v>
      </c>
      <c r="CH380" s="319">
        <f t="shared" si="150"/>
        <v>0</v>
      </c>
      <c r="CI380" s="319">
        <f t="shared" si="150"/>
        <v>0</v>
      </c>
      <c r="CJ380" s="319">
        <f t="shared" si="150"/>
        <v>0</v>
      </c>
      <c r="CK380" s="319">
        <f t="shared" si="150"/>
        <v>0</v>
      </c>
      <c r="CL380" s="319">
        <f t="shared" si="150"/>
        <v>0</v>
      </c>
      <c r="CM380" s="319">
        <f t="shared" si="150"/>
        <v>0</v>
      </c>
      <c r="CN380" s="319">
        <f t="shared" si="150"/>
        <v>0</v>
      </c>
      <c r="CO380" s="319">
        <f t="shared" si="150"/>
        <v>0</v>
      </c>
      <c r="CP380" s="319">
        <f t="shared" si="150"/>
        <v>0</v>
      </c>
      <c r="CQ380" s="319">
        <f t="shared" si="150"/>
        <v>0</v>
      </c>
      <c r="CR380" s="319">
        <f t="shared" si="150"/>
        <v>0</v>
      </c>
      <c r="CS380" s="319">
        <f t="shared" si="150"/>
        <v>0</v>
      </c>
      <c r="CT380" s="319">
        <f t="shared" si="150"/>
        <v>0</v>
      </c>
      <c r="CU380" s="319">
        <f t="shared" si="150"/>
        <v>0</v>
      </c>
      <c r="CV380" s="319">
        <f t="shared" si="150"/>
        <v>0</v>
      </c>
    </row>
    <row r="381" spans="1:100" x14ac:dyDescent="0.25">
      <c r="A381" s="319">
        <f t="shared" si="138"/>
        <v>0</v>
      </c>
      <c r="B381" s="319">
        <f t="shared" si="143"/>
        <v>0</v>
      </c>
      <c r="C381" s="364" t="str">
        <f>IF(Sandbox!AX52="","",Sandbox!AX52)</f>
        <v/>
      </c>
      <c r="D381" s="343" t="str">
        <f>IF(Sandbox!$BH$29="","",Sandbox!$BH$29)</f>
        <v/>
      </c>
      <c r="E381" s="343" t="str">
        <f>IF(Sandbox!AY52="","",Sandbox!AY52)</f>
        <v/>
      </c>
      <c r="F381" s="343" t="str">
        <f>IF(E381&lt;CharacterSheet!$V$34,"Yes","No")</f>
        <v>No</v>
      </c>
      <c r="G381" s="342" t="s">
        <v>347</v>
      </c>
      <c r="H381" s="333" t="str">
        <f>IF(C381="","",VLOOKUP(C381,Boonref2!A:B,2,FALSE))</f>
        <v/>
      </c>
      <c r="I381" s="333"/>
      <c r="J381" s="333" t="str">
        <f>VLOOKUP(C381,BoonRef!A:Z,17,FALSE)</f>
        <v>Yes</v>
      </c>
      <c r="K381" s="333" t="str">
        <f>IF(J381="God",'House Rules'!$B$2,IF(J381="Demi",'House Rules'!$B$1,IF(J381="Comp",'House Rules'!$B$4,IF(J381="Yaz",'House Rules'!$B$5,IF(J381="Rag",'House Rules'!$B$3,"Available")))))</f>
        <v>Available</v>
      </c>
      <c r="L381" s="333"/>
      <c r="M381" s="333"/>
      <c r="BF381" s="319">
        <f t="shared" ref="BF381:BF412" si="151">B140</f>
        <v>0</v>
      </c>
      <c r="BG381" s="340" t="s">
        <v>1090</v>
      </c>
      <c r="BI381" s="319">
        <f t="shared" si="136"/>
        <v>0</v>
      </c>
      <c r="BJ381" s="319">
        <f t="shared" si="150"/>
        <v>0</v>
      </c>
      <c r="BK381" s="319">
        <f t="shared" si="150"/>
        <v>0</v>
      </c>
      <c r="BL381" s="319">
        <f t="shared" si="150"/>
        <v>0</v>
      </c>
      <c r="BM381" s="319">
        <f t="shared" si="150"/>
        <v>0</v>
      </c>
      <c r="BN381" s="319">
        <f t="shared" si="150"/>
        <v>0</v>
      </c>
      <c r="BO381" s="319">
        <f t="shared" si="150"/>
        <v>0</v>
      </c>
      <c r="BP381" s="319">
        <f t="shared" si="150"/>
        <v>0</v>
      </c>
      <c r="BQ381" s="319">
        <f t="shared" si="150"/>
        <v>0</v>
      </c>
      <c r="BR381" s="319">
        <f t="shared" si="150"/>
        <v>0</v>
      </c>
      <c r="BS381" s="319">
        <f t="shared" si="150"/>
        <v>0</v>
      </c>
      <c r="BT381" s="319">
        <f t="shared" si="150"/>
        <v>0</v>
      </c>
      <c r="BU381" s="319">
        <f t="shared" si="150"/>
        <v>0</v>
      </c>
      <c r="BV381" s="319">
        <f t="shared" si="150"/>
        <v>0</v>
      </c>
      <c r="BW381" s="319">
        <f t="shared" si="150"/>
        <v>0</v>
      </c>
      <c r="BX381" s="319">
        <f t="shared" si="150"/>
        <v>0</v>
      </c>
      <c r="BY381" s="319">
        <f t="shared" si="150"/>
        <v>0</v>
      </c>
      <c r="BZ381" s="319">
        <f t="shared" si="150"/>
        <v>0</v>
      </c>
      <c r="CA381" s="319">
        <f t="shared" si="150"/>
        <v>0</v>
      </c>
      <c r="CB381" s="319">
        <f t="shared" si="150"/>
        <v>0</v>
      </c>
      <c r="CC381" s="319">
        <f t="shared" si="150"/>
        <v>0</v>
      </c>
      <c r="CD381" s="319">
        <f t="shared" si="150"/>
        <v>0</v>
      </c>
      <c r="CE381" s="319">
        <f t="shared" si="150"/>
        <v>0</v>
      </c>
      <c r="CF381" s="319">
        <f t="shared" si="150"/>
        <v>0</v>
      </c>
      <c r="CG381" s="319">
        <f t="shared" si="150"/>
        <v>0</v>
      </c>
      <c r="CH381" s="319">
        <f t="shared" si="150"/>
        <v>0</v>
      </c>
      <c r="CI381" s="319">
        <f t="shared" si="150"/>
        <v>0</v>
      </c>
      <c r="CJ381" s="319">
        <f t="shared" si="150"/>
        <v>0</v>
      </c>
      <c r="CK381" s="319">
        <f t="shared" si="150"/>
        <v>0</v>
      </c>
      <c r="CL381" s="319">
        <f t="shared" si="150"/>
        <v>0</v>
      </c>
      <c r="CM381" s="319">
        <f t="shared" si="150"/>
        <v>0</v>
      </c>
      <c r="CN381" s="319">
        <f t="shared" si="150"/>
        <v>0</v>
      </c>
      <c r="CO381" s="319">
        <f t="shared" si="150"/>
        <v>0</v>
      </c>
      <c r="CP381" s="319">
        <f t="shared" si="150"/>
        <v>0</v>
      </c>
      <c r="CQ381" s="319">
        <f t="shared" si="150"/>
        <v>0</v>
      </c>
      <c r="CR381" s="319">
        <f t="shared" si="150"/>
        <v>0</v>
      </c>
      <c r="CS381" s="319">
        <f t="shared" si="150"/>
        <v>0</v>
      </c>
      <c r="CT381" s="319">
        <f t="shared" si="150"/>
        <v>0</v>
      </c>
      <c r="CU381" s="319">
        <f t="shared" si="150"/>
        <v>0</v>
      </c>
      <c r="CV381" s="319">
        <f t="shared" si="150"/>
        <v>0</v>
      </c>
    </row>
    <row r="382" spans="1:100" ht="15.75" thickBot="1" x14ac:dyDescent="0.3">
      <c r="A382" s="319">
        <f t="shared" si="138"/>
        <v>0</v>
      </c>
      <c r="B382" s="319">
        <f t="shared" si="143"/>
        <v>0</v>
      </c>
      <c r="C382" s="365" t="str">
        <f>IF(Sandbox!AX53="","",Sandbox!AX53)</f>
        <v/>
      </c>
      <c r="D382" s="363" t="str">
        <f>IF(Sandbox!$BH$29="","",Sandbox!$BH$29)</f>
        <v/>
      </c>
      <c r="E382" s="363" t="str">
        <f>IF(Sandbox!AY53="","",Sandbox!AY53)</f>
        <v/>
      </c>
      <c r="F382" s="363" t="str">
        <f>IF(E382&lt;CharacterSheet!$V$34,"Yes","No")</f>
        <v>No</v>
      </c>
      <c r="G382" s="354" t="s">
        <v>347</v>
      </c>
      <c r="H382" s="333" t="str">
        <f>IF(C382="","",VLOOKUP(C382,Boonref2!A:B,2,FALSE))</f>
        <v/>
      </c>
      <c r="I382" s="333"/>
      <c r="J382" s="333" t="str">
        <f>VLOOKUP(C382,BoonRef!A:Z,17,FALSE)</f>
        <v>Yes</v>
      </c>
      <c r="K382" s="333" t="str">
        <f>IF(J382="God",'House Rules'!$B$2,IF(J382="Demi",'House Rules'!$B$1,IF(J382="Comp",'House Rules'!$B$4,IF(J382="Yaz",'House Rules'!$B$5,IF(J382="Rag",'House Rules'!$B$3,"Available")))))</f>
        <v>Available</v>
      </c>
      <c r="L382" s="333"/>
      <c r="M382" s="333"/>
      <c r="BF382" s="319">
        <f t="shared" si="151"/>
        <v>0</v>
      </c>
      <c r="BG382" s="340" t="s">
        <v>1396</v>
      </c>
      <c r="BI382" s="319">
        <f t="shared" si="136"/>
        <v>0</v>
      </c>
      <c r="BJ382" s="319">
        <f t="shared" si="150"/>
        <v>0</v>
      </c>
      <c r="BK382" s="319">
        <f t="shared" si="150"/>
        <v>0</v>
      </c>
      <c r="BL382" s="319">
        <f t="shared" si="150"/>
        <v>0</v>
      </c>
      <c r="BM382" s="319">
        <f t="shared" si="150"/>
        <v>0</v>
      </c>
      <c r="BN382" s="319">
        <f t="shared" si="150"/>
        <v>0</v>
      </c>
      <c r="BO382" s="319">
        <f t="shared" si="150"/>
        <v>0</v>
      </c>
      <c r="BP382" s="319">
        <f t="shared" si="150"/>
        <v>0</v>
      </c>
      <c r="BQ382" s="319">
        <f t="shared" si="150"/>
        <v>0</v>
      </c>
      <c r="BR382" s="319">
        <f t="shared" si="150"/>
        <v>0</v>
      </c>
      <c r="BS382" s="319">
        <f t="shared" si="150"/>
        <v>0</v>
      </c>
      <c r="BT382" s="319">
        <f t="shared" si="150"/>
        <v>0</v>
      </c>
      <c r="BU382" s="319">
        <f t="shared" si="150"/>
        <v>0</v>
      </c>
      <c r="BV382" s="319">
        <f t="shared" si="150"/>
        <v>0</v>
      </c>
      <c r="BW382" s="319">
        <f t="shared" si="150"/>
        <v>0</v>
      </c>
      <c r="BX382" s="319">
        <f t="shared" si="150"/>
        <v>0</v>
      </c>
      <c r="BY382" s="319">
        <f t="shared" si="150"/>
        <v>0</v>
      </c>
      <c r="BZ382" s="319">
        <f t="shared" si="150"/>
        <v>0</v>
      </c>
      <c r="CA382" s="319">
        <f t="shared" si="150"/>
        <v>0</v>
      </c>
      <c r="CB382" s="319">
        <f t="shared" si="150"/>
        <v>0</v>
      </c>
      <c r="CC382" s="319">
        <f t="shared" si="150"/>
        <v>0</v>
      </c>
      <c r="CD382" s="319">
        <f t="shared" si="150"/>
        <v>0</v>
      </c>
      <c r="CE382" s="319">
        <f t="shared" si="150"/>
        <v>0</v>
      </c>
      <c r="CF382" s="319">
        <f t="shared" si="150"/>
        <v>0</v>
      </c>
      <c r="CG382" s="319">
        <f t="shared" si="150"/>
        <v>0</v>
      </c>
      <c r="CH382" s="319">
        <f t="shared" si="150"/>
        <v>0</v>
      </c>
      <c r="CI382" s="319">
        <f t="shared" si="150"/>
        <v>0</v>
      </c>
      <c r="CJ382" s="319">
        <f t="shared" si="150"/>
        <v>0</v>
      </c>
      <c r="CK382" s="319">
        <f t="shared" si="150"/>
        <v>0</v>
      </c>
      <c r="CL382" s="319">
        <f t="shared" si="150"/>
        <v>0</v>
      </c>
      <c r="CM382" s="319">
        <f t="shared" si="150"/>
        <v>0</v>
      </c>
      <c r="CN382" s="319">
        <f t="shared" si="150"/>
        <v>0</v>
      </c>
      <c r="CO382" s="319">
        <f t="shared" si="150"/>
        <v>0</v>
      </c>
      <c r="CP382" s="319">
        <f t="shared" si="150"/>
        <v>0</v>
      </c>
      <c r="CQ382" s="319">
        <f t="shared" si="150"/>
        <v>0</v>
      </c>
      <c r="CR382" s="319">
        <f t="shared" si="150"/>
        <v>0</v>
      </c>
      <c r="CS382" s="319">
        <f t="shared" si="150"/>
        <v>0</v>
      </c>
      <c r="CT382" s="319">
        <f t="shared" si="150"/>
        <v>0</v>
      </c>
      <c r="CU382" s="319">
        <f t="shared" si="150"/>
        <v>0</v>
      </c>
      <c r="CV382" s="319">
        <f t="shared" si="150"/>
        <v>0</v>
      </c>
    </row>
    <row r="383" spans="1:100" x14ac:dyDescent="0.25">
      <c r="A383" s="319">
        <f t="shared" si="138"/>
        <v>0</v>
      </c>
      <c r="B383" s="319">
        <f t="shared" si="143"/>
        <v>0</v>
      </c>
      <c r="C383" s="336" t="str">
        <f>IF(Sandbox!AX58="","",Sandbox!AX58)</f>
        <v/>
      </c>
      <c r="D383" s="334" t="str">
        <f>IF(Sandbox!$BH$54="","",Sandbox!$BH$54)</f>
        <v/>
      </c>
      <c r="E383" s="334" t="str">
        <f>IF(Sandbox!AY58="","",Sandbox!AY58)</f>
        <v/>
      </c>
      <c r="F383" s="334" t="str">
        <f>IF(E383&lt;CharacterSheet!$V$34,"Yes","No")</f>
        <v>No</v>
      </c>
      <c r="G383" s="332" t="s">
        <v>347</v>
      </c>
      <c r="H383" s="333" t="str">
        <f>IF(C383="","",VLOOKUP(C383,Boonref2!A:B,2,FALSE))</f>
        <v/>
      </c>
      <c r="I383" s="333"/>
      <c r="J383" s="333" t="str">
        <f>VLOOKUP(C383,BoonRef!A:Z,17,FALSE)</f>
        <v>Yes</v>
      </c>
      <c r="K383" s="333" t="str">
        <f>IF(J383="God",'House Rules'!$B$2,IF(J383="Demi",'House Rules'!$B$1,IF(J383="Comp",'House Rules'!$B$4,IF(J383="Yaz",'House Rules'!$B$5,IF(J383="Rag",'House Rules'!$B$3,"Available")))))</f>
        <v>Available</v>
      </c>
      <c r="L383" s="333"/>
      <c r="M383" s="333"/>
      <c r="BF383" s="319">
        <f t="shared" si="151"/>
        <v>0</v>
      </c>
      <c r="BG383" s="340" t="s">
        <v>1175</v>
      </c>
      <c r="BI383" s="319">
        <f t="shared" si="136"/>
        <v>0</v>
      </c>
      <c r="BJ383" s="319">
        <f t="shared" si="150"/>
        <v>0</v>
      </c>
      <c r="BK383" s="319">
        <f t="shared" si="150"/>
        <v>0</v>
      </c>
      <c r="BL383" s="319">
        <f t="shared" si="150"/>
        <v>0</v>
      </c>
      <c r="BM383" s="319">
        <f t="shared" si="150"/>
        <v>0</v>
      </c>
      <c r="BN383" s="319">
        <f t="shared" si="150"/>
        <v>0</v>
      </c>
      <c r="BO383" s="319">
        <f t="shared" si="150"/>
        <v>0</v>
      </c>
      <c r="BP383" s="319">
        <f t="shared" si="150"/>
        <v>0</v>
      </c>
      <c r="BQ383" s="319">
        <f t="shared" si="150"/>
        <v>0</v>
      </c>
      <c r="BR383" s="319">
        <f t="shared" si="150"/>
        <v>0</v>
      </c>
      <c r="BS383" s="319">
        <f t="shared" si="150"/>
        <v>0</v>
      </c>
      <c r="BT383" s="319">
        <f t="shared" si="150"/>
        <v>0</v>
      </c>
      <c r="BU383" s="319">
        <f t="shared" si="150"/>
        <v>0</v>
      </c>
      <c r="BV383" s="319">
        <f t="shared" si="150"/>
        <v>0</v>
      </c>
      <c r="BW383" s="319">
        <f t="shared" si="150"/>
        <v>0</v>
      </c>
      <c r="BX383" s="319">
        <f t="shared" si="150"/>
        <v>0</v>
      </c>
      <c r="BY383" s="319">
        <f t="shared" si="150"/>
        <v>0</v>
      </c>
      <c r="BZ383" s="319">
        <f t="shared" si="150"/>
        <v>0</v>
      </c>
      <c r="CA383" s="319">
        <f t="shared" si="150"/>
        <v>0</v>
      </c>
      <c r="CB383" s="319">
        <f t="shared" si="150"/>
        <v>0</v>
      </c>
      <c r="CC383" s="319">
        <f t="shared" si="150"/>
        <v>0</v>
      </c>
      <c r="CD383" s="319">
        <f t="shared" si="150"/>
        <v>0</v>
      </c>
      <c r="CE383" s="319">
        <f t="shared" si="150"/>
        <v>0</v>
      </c>
      <c r="CF383" s="319">
        <f t="shared" si="150"/>
        <v>0</v>
      </c>
      <c r="CG383" s="319">
        <f t="shared" si="150"/>
        <v>0</v>
      </c>
      <c r="CH383" s="319">
        <f t="shared" si="150"/>
        <v>0</v>
      </c>
      <c r="CI383" s="319">
        <f t="shared" si="150"/>
        <v>0</v>
      </c>
      <c r="CJ383" s="319">
        <f t="shared" si="150"/>
        <v>0</v>
      </c>
      <c r="CK383" s="319">
        <f t="shared" si="150"/>
        <v>0</v>
      </c>
      <c r="CL383" s="319">
        <f t="shared" si="150"/>
        <v>0</v>
      </c>
      <c r="CM383" s="319">
        <f t="shared" si="150"/>
        <v>0</v>
      </c>
      <c r="CN383" s="319">
        <f t="shared" si="150"/>
        <v>0</v>
      </c>
      <c r="CO383" s="319">
        <f t="shared" si="150"/>
        <v>0</v>
      </c>
      <c r="CP383" s="319">
        <f t="shared" si="150"/>
        <v>0</v>
      </c>
      <c r="CQ383" s="319">
        <f t="shared" si="150"/>
        <v>0</v>
      </c>
      <c r="CR383" s="319">
        <f t="shared" si="150"/>
        <v>0</v>
      </c>
      <c r="CS383" s="319">
        <f t="shared" si="150"/>
        <v>0</v>
      </c>
      <c r="CT383" s="319">
        <f t="shared" si="150"/>
        <v>0</v>
      </c>
      <c r="CU383" s="319">
        <f t="shared" si="150"/>
        <v>0</v>
      </c>
      <c r="CV383" s="319">
        <f t="shared" si="150"/>
        <v>0</v>
      </c>
    </row>
    <row r="384" spans="1:100" x14ac:dyDescent="0.25">
      <c r="A384" s="319">
        <f t="shared" si="138"/>
        <v>0</v>
      </c>
      <c r="B384" s="319">
        <f t="shared" si="143"/>
        <v>0</v>
      </c>
      <c r="C384" s="345" t="str">
        <f>IF(Sandbox!AX59="","",Sandbox!AX59)</f>
        <v/>
      </c>
      <c r="D384" s="343" t="str">
        <f>IF(Sandbox!$BH$54="","",Sandbox!$BH$54)</f>
        <v/>
      </c>
      <c r="E384" s="343" t="str">
        <f>IF(Sandbox!AY59="","",Sandbox!AY59)</f>
        <v/>
      </c>
      <c r="F384" s="343" t="str">
        <f>IF(E384&lt;CharacterSheet!$V$34,"Yes","No")</f>
        <v>No</v>
      </c>
      <c r="G384" s="342" t="s">
        <v>347</v>
      </c>
      <c r="H384" s="333" t="str">
        <f>IF(C384="","",VLOOKUP(C384,Boonref2!A:B,2,FALSE))</f>
        <v/>
      </c>
      <c r="I384" s="333"/>
      <c r="J384" s="333" t="str">
        <f>VLOOKUP(C384,BoonRef!A:Z,17,FALSE)</f>
        <v>Yes</v>
      </c>
      <c r="K384" s="333" t="str">
        <f>IF(J384="God",'House Rules'!$B$2,IF(J384="Demi",'House Rules'!$B$1,IF(J384="Comp",'House Rules'!$B$4,IF(J384="Yaz",'House Rules'!$B$5,IF(J384="Rag",'House Rules'!$B$3,"Available")))))</f>
        <v>Available</v>
      </c>
      <c r="L384" s="333"/>
      <c r="M384" s="333"/>
      <c r="BF384" s="319">
        <f t="shared" si="151"/>
        <v>0</v>
      </c>
      <c r="BG384" s="340" t="s">
        <v>1499</v>
      </c>
      <c r="BI384" s="319">
        <f t="shared" si="136"/>
        <v>0</v>
      </c>
      <c r="BJ384" s="319">
        <f t="shared" ref="BJ384:CV390" si="152">IF(AND($D384=BJ$1,$G384="Yes"),$E384,0)</f>
        <v>0</v>
      </c>
      <c r="BK384" s="319">
        <f t="shared" si="152"/>
        <v>0</v>
      </c>
      <c r="BL384" s="319">
        <f t="shared" si="152"/>
        <v>0</v>
      </c>
      <c r="BM384" s="319">
        <f t="shared" si="152"/>
        <v>0</v>
      </c>
      <c r="BN384" s="319">
        <f t="shared" si="152"/>
        <v>0</v>
      </c>
      <c r="BO384" s="319">
        <f t="shared" si="152"/>
        <v>0</v>
      </c>
      <c r="BP384" s="319">
        <f t="shared" si="152"/>
        <v>0</v>
      </c>
      <c r="BQ384" s="319">
        <f t="shared" si="152"/>
        <v>0</v>
      </c>
      <c r="BR384" s="319">
        <f t="shared" si="152"/>
        <v>0</v>
      </c>
      <c r="BS384" s="319">
        <f t="shared" si="152"/>
        <v>0</v>
      </c>
      <c r="BT384" s="319">
        <f t="shared" si="152"/>
        <v>0</v>
      </c>
      <c r="BU384" s="319">
        <f t="shared" si="152"/>
        <v>0</v>
      </c>
      <c r="BV384" s="319">
        <f t="shared" si="152"/>
        <v>0</v>
      </c>
      <c r="BW384" s="319">
        <f t="shared" si="152"/>
        <v>0</v>
      </c>
      <c r="BX384" s="319">
        <f t="shared" si="152"/>
        <v>0</v>
      </c>
      <c r="BY384" s="319">
        <f t="shared" si="152"/>
        <v>0</v>
      </c>
      <c r="BZ384" s="319">
        <f t="shared" si="152"/>
        <v>0</v>
      </c>
      <c r="CA384" s="319">
        <f t="shared" si="152"/>
        <v>0</v>
      </c>
      <c r="CB384" s="319">
        <f t="shared" si="152"/>
        <v>0</v>
      </c>
      <c r="CC384" s="319">
        <f t="shared" si="152"/>
        <v>0</v>
      </c>
      <c r="CD384" s="319">
        <f t="shared" si="152"/>
        <v>0</v>
      </c>
      <c r="CE384" s="319">
        <f t="shared" si="152"/>
        <v>0</v>
      </c>
      <c r="CF384" s="319">
        <f t="shared" si="152"/>
        <v>0</v>
      </c>
      <c r="CG384" s="319">
        <f t="shared" si="152"/>
        <v>0</v>
      </c>
      <c r="CH384" s="319">
        <f t="shared" si="152"/>
        <v>0</v>
      </c>
      <c r="CI384" s="319">
        <f t="shared" si="152"/>
        <v>0</v>
      </c>
      <c r="CJ384" s="319">
        <f t="shared" si="152"/>
        <v>0</v>
      </c>
      <c r="CK384" s="319">
        <f t="shared" si="152"/>
        <v>0</v>
      </c>
      <c r="CL384" s="319">
        <f t="shared" si="152"/>
        <v>0</v>
      </c>
      <c r="CM384" s="319">
        <f t="shared" si="152"/>
        <v>0</v>
      </c>
      <c r="CN384" s="319">
        <f t="shared" si="152"/>
        <v>0</v>
      </c>
      <c r="CO384" s="319">
        <f t="shared" si="152"/>
        <v>0</v>
      </c>
      <c r="CP384" s="319">
        <f t="shared" si="152"/>
        <v>0</v>
      </c>
      <c r="CQ384" s="319">
        <f t="shared" si="152"/>
        <v>0</v>
      </c>
      <c r="CR384" s="319">
        <f t="shared" si="152"/>
        <v>0</v>
      </c>
      <c r="CS384" s="319">
        <f t="shared" si="152"/>
        <v>0</v>
      </c>
      <c r="CT384" s="319">
        <f t="shared" si="152"/>
        <v>0</v>
      </c>
      <c r="CU384" s="319">
        <f t="shared" si="152"/>
        <v>0</v>
      </c>
      <c r="CV384" s="319">
        <f t="shared" si="152"/>
        <v>0</v>
      </c>
    </row>
    <row r="385" spans="1:100" x14ac:dyDescent="0.25">
      <c r="A385" s="319">
        <f t="shared" si="138"/>
        <v>0</v>
      </c>
      <c r="B385" s="319">
        <f t="shared" si="143"/>
        <v>0</v>
      </c>
      <c r="C385" s="345" t="str">
        <f>IF(Sandbox!AX60="","",Sandbox!AX60)</f>
        <v/>
      </c>
      <c r="D385" s="343" t="str">
        <f>IF(Sandbox!$BH$54="","",Sandbox!$BH$54)</f>
        <v/>
      </c>
      <c r="E385" s="343" t="str">
        <f>IF(Sandbox!AY60="","",Sandbox!AY60)</f>
        <v/>
      </c>
      <c r="F385" s="343" t="str">
        <f>IF(E385&lt;CharacterSheet!$V$34,"Yes","No")</f>
        <v>No</v>
      </c>
      <c r="G385" s="342" t="s">
        <v>347</v>
      </c>
      <c r="H385" s="333" t="str">
        <f>IF(C385="","",VLOOKUP(C385,Boonref2!A:B,2,FALSE))</f>
        <v/>
      </c>
      <c r="I385" s="333"/>
      <c r="J385" s="333" t="str">
        <f>VLOOKUP(C385,BoonRef!A:Z,17,FALSE)</f>
        <v>Yes</v>
      </c>
      <c r="K385" s="333" t="str">
        <f>IF(J385="God",'House Rules'!$B$2,IF(J385="Demi",'House Rules'!$B$1,IF(J385="Comp",'House Rules'!$B$4,IF(J385="Yaz",'House Rules'!$B$5,IF(J385="Rag",'House Rules'!$B$3,"Available")))))</f>
        <v>Available</v>
      </c>
      <c r="L385" s="333"/>
      <c r="M385" s="333"/>
      <c r="BF385" s="319">
        <f t="shared" si="151"/>
        <v>0</v>
      </c>
      <c r="BG385" s="340" t="s">
        <v>1176</v>
      </c>
      <c r="BI385" s="319">
        <f t="shared" si="136"/>
        <v>0</v>
      </c>
      <c r="BJ385" s="319">
        <f t="shared" si="152"/>
        <v>0</v>
      </c>
      <c r="BK385" s="319">
        <f t="shared" si="152"/>
        <v>0</v>
      </c>
      <c r="BL385" s="319">
        <f t="shared" si="152"/>
        <v>0</v>
      </c>
      <c r="BM385" s="319">
        <f t="shared" si="152"/>
        <v>0</v>
      </c>
      <c r="BN385" s="319">
        <f t="shared" si="152"/>
        <v>0</v>
      </c>
      <c r="BO385" s="319">
        <f t="shared" si="152"/>
        <v>0</v>
      </c>
      <c r="BP385" s="319">
        <f t="shared" si="152"/>
        <v>0</v>
      </c>
      <c r="BQ385" s="319">
        <f t="shared" si="152"/>
        <v>0</v>
      </c>
      <c r="BR385" s="319">
        <f t="shared" si="152"/>
        <v>0</v>
      </c>
      <c r="BS385" s="319">
        <f t="shared" si="152"/>
        <v>0</v>
      </c>
      <c r="BT385" s="319">
        <f t="shared" si="152"/>
        <v>0</v>
      </c>
      <c r="BU385" s="319">
        <f t="shared" si="152"/>
        <v>0</v>
      </c>
      <c r="BV385" s="319">
        <f t="shared" si="152"/>
        <v>0</v>
      </c>
      <c r="BW385" s="319">
        <f t="shared" si="152"/>
        <v>0</v>
      </c>
      <c r="BX385" s="319">
        <f t="shared" si="152"/>
        <v>0</v>
      </c>
      <c r="BY385" s="319">
        <f t="shared" si="152"/>
        <v>0</v>
      </c>
      <c r="BZ385" s="319">
        <f t="shared" si="152"/>
        <v>0</v>
      </c>
      <c r="CA385" s="319">
        <f t="shared" si="152"/>
        <v>0</v>
      </c>
      <c r="CB385" s="319">
        <f t="shared" si="152"/>
        <v>0</v>
      </c>
      <c r="CC385" s="319">
        <f t="shared" si="152"/>
        <v>0</v>
      </c>
      <c r="CD385" s="319">
        <f t="shared" si="152"/>
        <v>0</v>
      </c>
      <c r="CE385" s="319">
        <f t="shared" si="152"/>
        <v>0</v>
      </c>
      <c r="CF385" s="319">
        <f t="shared" si="152"/>
        <v>0</v>
      </c>
      <c r="CG385" s="319">
        <f t="shared" si="152"/>
        <v>0</v>
      </c>
      <c r="CH385" s="319">
        <f t="shared" si="152"/>
        <v>0</v>
      </c>
      <c r="CI385" s="319">
        <f t="shared" si="152"/>
        <v>0</v>
      </c>
      <c r="CJ385" s="319">
        <f t="shared" si="152"/>
        <v>0</v>
      </c>
      <c r="CK385" s="319">
        <f t="shared" si="152"/>
        <v>0</v>
      </c>
      <c r="CL385" s="319">
        <f t="shared" si="152"/>
        <v>0</v>
      </c>
      <c r="CM385" s="319">
        <f t="shared" si="152"/>
        <v>0</v>
      </c>
      <c r="CN385" s="319">
        <f t="shared" si="152"/>
        <v>0</v>
      </c>
      <c r="CO385" s="319">
        <f t="shared" si="152"/>
        <v>0</v>
      </c>
      <c r="CP385" s="319">
        <f t="shared" si="152"/>
        <v>0</v>
      </c>
      <c r="CQ385" s="319">
        <f t="shared" si="152"/>
        <v>0</v>
      </c>
      <c r="CR385" s="319">
        <f t="shared" si="152"/>
        <v>0</v>
      </c>
      <c r="CS385" s="319">
        <f t="shared" si="152"/>
        <v>0</v>
      </c>
      <c r="CT385" s="319">
        <f t="shared" si="152"/>
        <v>0</v>
      </c>
      <c r="CU385" s="319">
        <f t="shared" si="152"/>
        <v>0</v>
      </c>
      <c r="CV385" s="319">
        <f t="shared" si="152"/>
        <v>0</v>
      </c>
    </row>
    <row r="386" spans="1:100" x14ac:dyDescent="0.25">
      <c r="A386" s="319">
        <f t="shared" si="138"/>
        <v>0</v>
      </c>
      <c r="B386" s="319">
        <f t="shared" si="143"/>
        <v>0</v>
      </c>
      <c r="C386" s="345" t="str">
        <f>IF(Sandbox!AX61="","",Sandbox!AX61)</f>
        <v/>
      </c>
      <c r="D386" s="343" t="str">
        <f>IF(Sandbox!$BH$54="","",Sandbox!$BH$54)</f>
        <v/>
      </c>
      <c r="E386" s="343" t="str">
        <f>IF(Sandbox!AY61="","",Sandbox!AY61)</f>
        <v/>
      </c>
      <c r="F386" s="343" t="str">
        <f>IF(E386&lt;CharacterSheet!$V$34,"Yes","No")</f>
        <v>No</v>
      </c>
      <c r="G386" s="342" t="s">
        <v>347</v>
      </c>
      <c r="H386" s="333" t="str">
        <f>IF(C386="","",VLOOKUP(C386,Boonref2!A:B,2,FALSE))</f>
        <v/>
      </c>
      <c r="I386" s="333"/>
      <c r="J386" s="333" t="str">
        <f>VLOOKUP(C386,BoonRef!A:Z,17,FALSE)</f>
        <v>Yes</v>
      </c>
      <c r="K386" s="333" t="str">
        <f>IF(J386="God",'House Rules'!$B$2,IF(J386="Demi",'House Rules'!$B$1,IF(J386="Comp",'House Rules'!$B$4,IF(J386="Yaz",'House Rules'!$B$5,IF(J386="Rag",'House Rules'!$B$3,"Available")))))</f>
        <v>Available</v>
      </c>
      <c r="L386" s="333"/>
      <c r="M386" s="333"/>
      <c r="BF386" s="319">
        <f t="shared" si="151"/>
        <v>0</v>
      </c>
      <c r="BG386" s="340" t="s">
        <v>1177</v>
      </c>
      <c r="BI386" s="319">
        <f t="shared" si="136"/>
        <v>0</v>
      </c>
      <c r="BJ386" s="319">
        <f t="shared" si="152"/>
        <v>0</v>
      </c>
      <c r="BK386" s="319">
        <f t="shared" si="152"/>
        <v>0</v>
      </c>
      <c r="BL386" s="319">
        <f t="shared" si="152"/>
        <v>0</v>
      </c>
      <c r="BM386" s="319">
        <f t="shared" si="152"/>
        <v>0</v>
      </c>
      <c r="BN386" s="319">
        <f t="shared" si="152"/>
        <v>0</v>
      </c>
      <c r="BO386" s="319">
        <f t="shared" si="152"/>
        <v>0</v>
      </c>
      <c r="BP386" s="319">
        <f t="shared" si="152"/>
        <v>0</v>
      </c>
      <c r="BQ386" s="319">
        <f t="shared" si="152"/>
        <v>0</v>
      </c>
      <c r="BR386" s="319">
        <f t="shared" si="152"/>
        <v>0</v>
      </c>
      <c r="BS386" s="319">
        <f t="shared" si="152"/>
        <v>0</v>
      </c>
      <c r="BT386" s="319">
        <f t="shared" si="152"/>
        <v>0</v>
      </c>
      <c r="BU386" s="319">
        <f t="shared" si="152"/>
        <v>0</v>
      </c>
      <c r="BV386" s="319">
        <f t="shared" si="152"/>
        <v>0</v>
      </c>
      <c r="BW386" s="319">
        <f t="shared" si="152"/>
        <v>0</v>
      </c>
      <c r="BX386" s="319">
        <f t="shared" si="152"/>
        <v>0</v>
      </c>
      <c r="BY386" s="319">
        <f t="shared" si="152"/>
        <v>0</v>
      </c>
      <c r="BZ386" s="319">
        <f t="shared" si="152"/>
        <v>0</v>
      </c>
      <c r="CA386" s="319">
        <f t="shared" si="152"/>
        <v>0</v>
      </c>
      <c r="CB386" s="319">
        <f t="shared" si="152"/>
        <v>0</v>
      </c>
      <c r="CC386" s="319">
        <f t="shared" si="152"/>
        <v>0</v>
      </c>
      <c r="CD386" s="319">
        <f t="shared" si="152"/>
        <v>0</v>
      </c>
      <c r="CE386" s="319">
        <f t="shared" si="152"/>
        <v>0</v>
      </c>
      <c r="CF386" s="319">
        <f t="shared" si="152"/>
        <v>0</v>
      </c>
      <c r="CG386" s="319">
        <f t="shared" si="152"/>
        <v>0</v>
      </c>
      <c r="CH386" s="319">
        <f t="shared" si="152"/>
        <v>0</v>
      </c>
      <c r="CI386" s="319">
        <f t="shared" si="152"/>
        <v>0</v>
      </c>
      <c r="CJ386" s="319">
        <f t="shared" si="152"/>
        <v>0</v>
      </c>
      <c r="CK386" s="319">
        <f t="shared" si="152"/>
        <v>0</v>
      </c>
      <c r="CL386" s="319">
        <f t="shared" si="152"/>
        <v>0</v>
      </c>
      <c r="CM386" s="319">
        <f t="shared" si="152"/>
        <v>0</v>
      </c>
      <c r="CN386" s="319">
        <f t="shared" si="152"/>
        <v>0</v>
      </c>
      <c r="CO386" s="319">
        <f t="shared" si="152"/>
        <v>0</v>
      </c>
      <c r="CP386" s="319">
        <f t="shared" si="152"/>
        <v>0</v>
      </c>
      <c r="CQ386" s="319">
        <f t="shared" si="152"/>
        <v>0</v>
      </c>
      <c r="CR386" s="319">
        <f t="shared" si="152"/>
        <v>0</v>
      </c>
      <c r="CS386" s="319">
        <f t="shared" si="152"/>
        <v>0</v>
      </c>
      <c r="CT386" s="319">
        <f t="shared" si="152"/>
        <v>0</v>
      </c>
      <c r="CU386" s="319">
        <f t="shared" si="152"/>
        <v>0</v>
      </c>
      <c r="CV386" s="319">
        <f t="shared" si="152"/>
        <v>0</v>
      </c>
    </row>
    <row r="387" spans="1:100" x14ac:dyDescent="0.25">
      <c r="A387" s="319">
        <f t="shared" ref="A387:A450" si="153">IF(AND(H387="Yes",G387="Yes"),A386+1,A386)</f>
        <v>0</v>
      </c>
      <c r="B387" s="319">
        <f t="shared" si="143"/>
        <v>0</v>
      </c>
      <c r="C387" s="345" t="str">
        <f>IF(Sandbox!AX62="","",Sandbox!AX62)</f>
        <v/>
      </c>
      <c r="D387" s="343" t="str">
        <f>IF(Sandbox!$BH$54="","",Sandbox!$BH$54)</f>
        <v/>
      </c>
      <c r="E387" s="343" t="str">
        <f>IF(Sandbox!AY62="","",Sandbox!AY62)</f>
        <v/>
      </c>
      <c r="F387" s="343" t="str">
        <f>IF(E387&lt;CharacterSheet!$V$34,"Yes","No")</f>
        <v>No</v>
      </c>
      <c r="G387" s="342" t="s">
        <v>347</v>
      </c>
      <c r="H387" s="333" t="str">
        <f>IF(C387="","",VLOOKUP(C387,Boonref2!A:B,2,FALSE))</f>
        <v/>
      </c>
      <c r="I387" s="333"/>
      <c r="J387" s="333" t="str">
        <f>VLOOKUP(C387,BoonRef!A:Z,17,FALSE)</f>
        <v>Yes</v>
      </c>
      <c r="K387" s="333" t="str">
        <f>IF(J387="God",'House Rules'!$B$2,IF(J387="Demi",'House Rules'!$B$1,IF(J387="Comp",'House Rules'!$B$4,IF(J387="Yaz",'House Rules'!$B$5,IF(J387="Rag",'House Rules'!$B$3,"Available")))))</f>
        <v>Available</v>
      </c>
      <c r="L387" s="333"/>
      <c r="M387" s="333"/>
      <c r="BF387" s="319">
        <f t="shared" si="151"/>
        <v>0</v>
      </c>
      <c r="BG387" s="340" t="s">
        <v>1178</v>
      </c>
      <c r="BI387" s="319">
        <f t="shared" ref="BI387:BX450" si="154">IF(AND($D387=BI$1,$G387="Yes"),$E387,0)</f>
        <v>0</v>
      </c>
      <c r="BJ387" s="319">
        <f t="shared" si="154"/>
        <v>0</v>
      </c>
      <c r="BK387" s="319">
        <f t="shared" si="154"/>
        <v>0</v>
      </c>
      <c r="BL387" s="319">
        <f t="shared" si="154"/>
        <v>0</v>
      </c>
      <c r="BM387" s="319">
        <f t="shared" si="154"/>
        <v>0</v>
      </c>
      <c r="BN387" s="319">
        <f t="shared" si="154"/>
        <v>0</v>
      </c>
      <c r="BO387" s="319">
        <f t="shared" si="154"/>
        <v>0</v>
      </c>
      <c r="BP387" s="319">
        <f t="shared" si="154"/>
        <v>0</v>
      </c>
      <c r="BQ387" s="319">
        <f t="shared" si="154"/>
        <v>0</v>
      </c>
      <c r="BR387" s="319">
        <f t="shared" si="154"/>
        <v>0</v>
      </c>
      <c r="BS387" s="319">
        <f t="shared" si="154"/>
        <v>0</v>
      </c>
      <c r="BT387" s="319">
        <f t="shared" si="154"/>
        <v>0</v>
      </c>
      <c r="BU387" s="319">
        <f t="shared" si="154"/>
        <v>0</v>
      </c>
      <c r="BV387" s="319">
        <f t="shared" si="154"/>
        <v>0</v>
      </c>
      <c r="BW387" s="319">
        <f t="shared" si="154"/>
        <v>0</v>
      </c>
      <c r="BX387" s="319">
        <f t="shared" si="154"/>
        <v>0</v>
      </c>
      <c r="BY387" s="319">
        <f t="shared" si="152"/>
        <v>0</v>
      </c>
      <c r="BZ387" s="319">
        <f t="shared" si="152"/>
        <v>0</v>
      </c>
      <c r="CA387" s="319">
        <f t="shared" si="152"/>
        <v>0</v>
      </c>
      <c r="CB387" s="319">
        <f t="shared" si="152"/>
        <v>0</v>
      </c>
      <c r="CC387" s="319">
        <f t="shared" si="152"/>
        <v>0</v>
      </c>
      <c r="CD387" s="319">
        <f t="shared" si="152"/>
        <v>0</v>
      </c>
      <c r="CE387" s="319">
        <f t="shared" si="152"/>
        <v>0</v>
      </c>
      <c r="CF387" s="319">
        <f t="shared" si="152"/>
        <v>0</v>
      </c>
      <c r="CG387" s="319">
        <f t="shared" si="152"/>
        <v>0</v>
      </c>
      <c r="CH387" s="319">
        <f t="shared" si="152"/>
        <v>0</v>
      </c>
      <c r="CI387" s="319">
        <f t="shared" si="152"/>
        <v>0</v>
      </c>
      <c r="CJ387" s="319">
        <f t="shared" si="152"/>
        <v>0</v>
      </c>
      <c r="CK387" s="319">
        <f t="shared" si="152"/>
        <v>0</v>
      </c>
      <c r="CL387" s="319">
        <f t="shared" si="152"/>
        <v>0</v>
      </c>
      <c r="CM387" s="319">
        <f t="shared" si="152"/>
        <v>0</v>
      </c>
      <c r="CN387" s="319">
        <f t="shared" si="152"/>
        <v>0</v>
      </c>
      <c r="CO387" s="319">
        <f t="shared" si="152"/>
        <v>0</v>
      </c>
      <c r="CP387" s="319">
        <f t="shared" si="152"/>
        <v>0</v>
      </c>
      <c r="CQ387" s="319">
        <f t="shared" si="152"/>
        <v>0</v>
      </c>
      <c r="CR387" s="319">
        <f t="shared" si="152"/>
        <v>0</v>
      </c>
      <c r="CS387" s="319">
        <f t="shared" si="152"/>
        <v>0</v>
      </c>
      <c r="CT387" s="319">
        <f t="shared" si="152"/>
        <v>0</v>
      </c>
      <c r="CU387" s="319">
        <f t="shared" si="152"/>
        <v>0</v>
      </c>
      <c r="CV387" s="319">
        <f t="shared" si="152"/>
        <v>0</v>
      </c>
    </row>
    <row r="388" spans="1:100" x14ac:dyDescent="0.25">
      <c r="A388" s="319">
        <f t="shared" si="153"/>
        <v>0</v>
      </c>
      <c r="B388" s="319">
        <f t="shared" si="143"/>
        <v>0</v>
      </c>
      <c r="C388" s="345" t="str">
        <f>IF(Sandbox!AX63="","",Sandbox!AX63)</f>
        <v/>
      </c>
      <c r="D388" s="343" t="str">
        <f>IF(Sandbox!$BH$54="","",Sandbox!$BH$54)</f>
        <v/>
      </c>
      <c r="E388" s="343" t="str">
        <f>IF(Sandbox!AY63="","",Sandbox!AY63)</f>
        <v/>
      </c>
      <c r="F388" s="343" t="str">
        <f>IF(E388&lt;CharacterSheet!$V$34,"Yes","No")</f>
        <v>No</v>
      </c>
      <c r="G388" s="342" t="s">
        <v>347</v>
      </c>
      <c r="H388" s="333" t="str">
        <f>IF(C388="","",VLOOKUP(C388,Boonref2!A:B,2,FALSE))</f>
        <v/>
      </c>
      <c r="I388" s="333"/>
      <c r="J388" s="333" t="str">
        <f>VLOOKUP(C388,BoonRef!A:Z,17,FALSE)</f>
        <v>Yes</v>
      </c>
      <c r="K388" s="333" t="str">
        <f>IF(J388="God",'House Rules'!$B$2,IF(J388="Demi",'House Rules'!$B$1,IF(J388="Comp",'House Rules'!$B$4,IF(J388="Yaz",'House Rules'!$B$5,IF(J388="Rag",'House Rules'!$B$3,"Available")))))</f>
        <v>Available</v>
      </c>
      <c r="L388" s="333"/>
      <c r="M388" s="333"/>
      <c r="BF388" s="319">
        <f t="shared" si="151"/>
        <v>0</v>
      </c>
      <c r="BG388" s="340" t="s">
        <v>1275</v>
      </c>
      <c r="BI388" s="319">
        <f t="shared" si="154"/>
        <v>0</v>
      </c>
      <c r="BJ388" s="319">
        <f t="shared" si="152"/>
        <v>0</v>
      </c>
      <c r="BK388" s="319">
        <f t="shared" si="152"/>
        <v>0</v>
      </c>
      <c r="BL388" s="319">
        <f t="shared" si="152"/>
        <v>0</v>
      </c>
      <c r="BM388" s="319">
        <f t="shared" si="152"/>
        <v>0</v>
      </c>
      <c r="BN388" s="319">
        <f t="shared" si="152"/>
        <v>0</v>
      </c>
      <c r="BO388" s="319">
        <f t="shared" si="152"/>
        <v>0</v>
      </c>
      <c r="BP388" s="319">
        <f t="shared" si="152"/>
        <v>0</v>
      </c>
      <c r="BQ388" s="319">
        <f t="shared" si="152"/>
        <v>0</v>
      </c>
      <c r="BR388" s="319">
        <f t="shared" si="152"/>
        <v>0</v>
      </c>
      <c r="BS388" s="319">
        <f t="shared" si="152"/>
        <v>0</v>
      </c>
      <c r="BT388" s="319">
        <f t="shared" si="152"/>
        <v>0</v>
      </c>
      <c r="BU388" s="319">
        <f t="shared" si="152"/>
        <v>0</v>
      </c>
      <c r="BV388" s="319">
        <f t="shared" si="152"/>
        <v>0</v>
      </c>
      <c r="BW388" s="319">
        <f t="shared" si="152"/>
        <v>0</v>
      </c>
      <c r="BX388" s="319">
        <f t="shared" si="152"/>
        <v>0</v>
      </c>
      <c r="BY388" s="319">
        <f t="shared" si="152"/>
        <v>0</v>
      </c>
      <c r="BZ388" s="319">
        <f t="shared" si="152"/>
        <v>0</v>
      </c>
      <c r="CA388" s="319">
        <f t="shared" si="152"/>
        <v>0</v>
      </c>
      <c r="CB388" s="319">
        <f t="shared" si="152"/>
        <v>0</v>
      </c>
      <c r="CC388" s="319">
        <f t="shared" si="152"/>
        <v>0</v>
      </c>
      <c r="CD388" s="319">
        <f t="shared" si="152"/>
        <v>0</v>
      </c>
      <c r="CE388" s="319">
        <f t="shared" si="152"/>
        <v>0</v>
      </c>
      <c r="CF388" s="319">
        <f t="shared" si="152"/>
        <v>0</v>
      </c>
      <c r="CG388" s="319">
        <f t="shared" si="152"/>
        <v>0</v>
      </c>
      <c r="CH388" s="319">
        <f t="shared" si="152"/>
        <v>0</v>
      </c>
      <c r="CI388" s="319">
        <f t="shared" si="152"/>
        <v>0</v>
      </c>
      <c r="CJ388" s="319">
        <f t="shared" si="152"/>
        <v>0</v>
      </c>
      <c r="CK388" s="319">
        <f t="shared" si="152"/>
        <v>0</v>
      </c>
      <c r="CL388" s="319">
        <f t="shared" si="152"/>
        <v>0</v>
      </c>
      <c r="CM388" s="319">
        <f t="shared" si="152"/>
        <v>0</v>
      </c>
      <c r="CN388" s="319">
        <f t="shared" si="152"/>
        <v>0</v>
      </c>
      <c r="CO388" s="319">
        <f t="shared" si="152"/>
        <v>0</v>
      </c>
      <c r="CP388" s="319">
        <f t="shared" si="152"/>
        <v>0</v>
      </c>
      <c r="CQ388" s="319">
        <f t="shared" si="152"/>
        <v>0</v>
      </c>
      <c r="CR388" s="319">
        <f t="shared" si="152"/>
        <v>0</v>
      </c>
      <c r="CS388" s="319">
        <f t="shared" si="152"/>
        <v>0</v>
      </c>
      <c r="CT388" s="319">
        <f t="shared" si="152"/>
        <v>0</v>
      </c>
      <c r="CU388" s="319">
        <f t="shared" si="152"/>
        <v>0</v>
      </c>
      <c r="CV388" s="319">
        <f t="shared" si="152"/>
        <v>0</v>
      </c>
    </row>
    <row r="389" spans="1:100" x14ac:dyDescent="0.25">
      <c r="A389" s="319">
        <f t="shared" si="153"/>
        <v>0</v>
      </c>
      <c r="B389" s="319">
        <f t="shared" si="143"/>
        <v>0</v>
      </c>
      <c r="C389" s="345" t="str">
        <f>IF(Sandbox!AX64="","",Sandbox!AX64)</f>
        <v/>
      </c>
      <c r="D389" s="343" t="str">
        <f>IF(Sandbox!$BH$54="","",Sandbox!$BH$54)</f>
        <v/>
      </c>
      <c r="E389" s="343" t="str">
        <f>IF(Sandbox!AY64="","",Sandbox!AY64)</f>
        <v/>
      </c>
      <c r="F389" s="343" t="str">
        <f>IF(E389&lt;CharacterSheet!$V$34,"Yes","No")</f>
        <v>No</v>
      </c>
      <c r="G389" s="342" t="s">
        <v>347</v>
      </c>
      <c r="H389" s="333" t="str">
        <f>IF(C389="","",VLOOKUP(C389,Boonref2!A:B,2,FALSE))</f>
        <v/>
      </c>
      <c r="I389" s="333"/>
      <c r="J389" s="333" t="str">
        <f>VLOOKUP(C389,BoonRef!A:Z,17,FALSE)</f>
        <v>Yes</v>
      </c>
      <c r="K389" s="333" t="str">
        <f>IF(J389="God",'House Rules'!$B$2,IF(J389="Demi",'House Rules'!$B$1,IF(J389="Comp",'House Rules'!$B$4,IF(J389="Yaz",'House Rules'!$B$5,IF(J389="Rag",'House Rules'!$B$3,"Available")))))</f>
        <v>Available</v>
      </c>
      <c r="L389" s="333"/>
      <c r="M389" s="333"/>
      <c r="BF389" s="319">
        <f t="shared" si="151"/>
        <v>0</v>
      </c>
      <c r="BG389" s="340" t="s">
        <v>2637</v>
      </c>
      <c r="BI389" s="319">
        <f t="shared" si="154"/>
        <v>0</v>
      </c>
      <c r="BJ389" s="319">
        <f t="shared" si="152"/>
        <v>0</v>
      </c>
      <c r="BK389" s="319">
        <f t="shared" si="152"/>
        <v>0</v>
      </c>
      <c r="BL389" s="319">
        <f t="shared" si="152"/>
        <v>0</v>
      </c>
      <c r="BM389" s="319">
        <f t="shared" si="152"/>
        <v>0</v>
      </c>
      <c r="BN389" s="319">
        <f t="shared" si="152"/>
        <v>0</v>
      </c>
      <c r="BO389" s="319">
        <f t="shared" si="152"/>
        <v>0</v>
      </c>
      <c r="BP389" s="319">
        <f t="shared" si="152"/>
        <v>0</v>
      </c>
      <c r="BQ389" s="319">
        <f t="shared" si="152"/>
        <v>0</v>
      </c>
      <c r="BR389" s="319">
        <f t="shared" si="152"/>
        <v>0</v>
      </c>
      <c r="BS389" s="319">
        <f t="shared" si="152"/>
        <v>0</v>
      </c>
      <c r="BT389" s="319">
        <f t="shared" si="152"/>
        <v>0</v>
      </c>
      <c r="BU389" s="319">
        <f t="shared" si="152"/>
        <v>0</v>
      </c>
      <c r="BV389" s="319">
        <f t="shared" si="152"/>
        <v>0</v>
      </c>
      <c r="BW389" s="319">
        <f t="shared" si="152"/>
        <v>0</v>
      </c>
      <c r="BX389" s="319">
        <f t="shared" si="152"/>
        <v>0</v>
      </c>
      <c r="BY389" s="319">
        <f t="shared" si="152"/>
        <v>0</v>
      </c>
      <c r="BZ389" s="319">
        <f t="shared" si="152"/>
        <v>0</v>
      </c>
      <c r="CA389" s="319">
        <f t="shared" si="152"/>
        <v>0</v>
      </c>
      <c r="CB389" s="319">
        <f t="shared" si="152"/>
        <v>0</v>
      </c>
      <c r="CC389" s="319">
        <f t="shared" si="152"/>
        <v>0</v>
      </c>
      <c r="CD389" s="319">
        <f t="shared" si="152"/>
        <v>0</v>
      </c>
      <c r="CE389" s="319">
        <f t="shared" si="152"/>
        <v>0</v>
      </c>
      <c r="CF389" s="319">
        <f t="shared" si="152"/>
        <v>0</v>
      </c>
      <c r="CG389" s="319">
        <f t="shared" si="152"/>
        <v>0</v>
      </c>
      <c r="CH389" s="319">
        <f t="shared" si="152"/>
        <v>0</v>
      </c>
      <c r="CI389" s="319">
        <f t="shared" si="152"/>
        <v>0</v>
      </c>
      <c r="CJ389" s="319">
        <f t="shared" si="152"/>
        <v>0</v>
      </c>
      <c r="CK389" s="319">
        <f t="shared" si="152"/>
        <v>0</v>
      </c>
      <c r="CL389" s="319">
        <f t="shared" si="152"/>
        <v>0</v>
      </c>
      <c r="CM389" s="319">
        <f t="shared" si="152"/>
        <v>0</v>
      </c>
      <c r="CN389" s="319">
        <f t="shared" si="152"/>
        <v>0</v>
      </c>
      <c r="CO389" s="319">
        <f t="shared" si="152"/>
        <v>0</v>
      </c>
      <c r="CP389" s="319">
        <f t="shared" si="152"/>
        <v>0</v>
      </c>
      <c r="CQ389" s="319">
        <f t="shared" si="152"/>
        <v>0</v>
      </c>
      <c r="CR389" s="319">
        <f t="shared" si="152"/>
        <v>0</v>
      </c>
      <c r="CS389" s="319">
        <f t="shared" si="152"/>
        <v>0</v>
      </c>
      <c r="CT389" s="319">
        <f t="shared" si="152"/>
        <v>0</v>
      </c>
      <c r="CU389" s="319">
        <f t="shared" si="152"/>
        <v>0</v>
      </c>
      <c r="CV389" s="319">
        <f t="shared" si="152"/>
        <v>0</v>
      </c>
    </row>
    <row r="390" spans="1:100" x14ac:dyDescent="0.25">
      <c r="A390" s="319">
        <f t="shared" si="153"/>
        <v>0</v>
      </c>
      <c r="B390" s="319">
        <f t="shared" si="143"/>
        <v>0</v>
      </c>
      <c r="C390" s="345" t="str">
        <f>IF(Sandbox!AX65="","",Sandbox!AX65)</f>
        <v/>
      </c>
      <c r="D390" s="343" t="str">
        <f>IF(Sandbox!$BH$54="","",Sandbox!$BH$54)</f>
        <v/>
      </c>
      <c r="E390" s="343" t="str">
        <f>IF(Sandbox!AY65="","",Sandbox!AY65)</f>
        <v/>
      </c>
      <c r="F390" s="343" t="str">
        <f>IF(E390&lt;CharacterSheet!$V$34,"Yes","No")</f>
        <v>No</v>
      </c>
      <c r="G390" s="342" t="s">
        <v>347</v>
      </c>
      <c r="H390" s="333" t="str">
        <f>IF(C390="","",VLOOKUP(C390,Boonref2!A:B,2,FALSE))</f>
        <v/>
      </c>
      <c r="I390" s="333"/>
      <c r="J390" s="333" t="str">
        <f>VLOOKUP(C390,BoonRef!A:Z,17,FALSE)</f>
        <v>Yes</v>
      </c>
      <c r="K390" s="333" t="str">
        <f>IF(J390="God",'House Rules'!$B$2,IF(J390="Demi",'House Rules'!$B$1,IF(J390="Comp",'House Rules'!$B$4,IF(J390="Yaz",'House Rules'!$B$5,IF(J390="Rag",'House Rules'!$B$3,"Available")))))</f>
        <v>Available</v>
      </c>
      <c r="L390" s="333"/>
      <c r="M390" s="333"/>
      <c r="BF390" s="319">
        <f t="shared" si="151"/>
        <v>0</v>
      </c>
      <c r="BG390" s="340" t="s">
        <v>1276</v>
      </c>
      <c r="BI390" s="319">
        <f t="shared" si="154"/>
        <v>0</v>
      </c>
      <c r="BJ390" s="319">
        <f t="shared" si="152"/>
        <v>0</v>
      </c>
      <c r="BK390" s="319">
        <f t="shared" si="152"/>
        <v>0</v>
      </c>
      <c r="BL390" s="319">
        <f t="shared" si="152"/>
        <v>0</v>
      </c>
      <c r="BM390" s="319">
        <f t="shared" si="152"/>
        <v>0</v>
      </c>
      <c r="BN390" s="319">
        <f t="shared" si="152"/>
        <v>0</v>
      </c>
      <c r="BO390" s="319">
        <f t="shared" si="152"/>
        <v>0</v>
      </c>
      <c r="BP390" s="319">
        <f t="shared" si="152"/>
        <v>0</v>
      </c>
      <c r="BQ390" s="319">
        <f t="shared" si="152"/>
        <v>0</v>
      </c>
      <c r="BR390" s="319">
        <f t="shared" si="152"/>
        <v>0</v>
      </c>
      <c r="BS390" s="319">
        <f t="shared" si="152"/>
        <v>0</v>
      </c>
      <c r="BT390" s="319">
        <f t="shared" si="152"/>
        <v>0</v>
      </c>
      <c r="BU390" s="319">
        <f t="shared" si="152"/>
        <v>0</v>
      </c>
      <c r="BV390" s="319">
        <f t="shared" si="152"/>
        <v>0</v>
      </c>
      <c r="BW390" s="319">
        <f t="shared" si="152"/>
        <v>0</v>
      </c>
      <c r="BX390" s="319">
        <f t="shared" si="152"/>
        <v>0</v>
      </c>
      <c r="BY390" s="319">
        <f t="shared" si="152"/>
        <v>0</v>
      </c>
      <c r="BZ390" s="319">
        <f t="shared" si="152"/>
        <v>0</v>
      </c>
      <c r="CA390" s="319">
        <f t="shared" si="152"/>
        <v>0</v>
      </c>
      <c r="CB390" s="319">
        <f t="shared" si="152"/>
        <v>0</v>
      </c>
      <c r="CC390" s="319">
        <f t="shared" si="152"/>
        <v>0</v>
      </c>
      <c r="CD390" s="319">
        <f t="shared" si="152"/>
        <v>0</v>
      </c>
      <c r="CE390" s="319">
        <f t="shared" si="152"/>
        <v>0</v>
      </c>
      <c r="CF390" s="319">
        <f t="shared" si="152"/>
        <v>0</v>
      </c>
      <c r="CG390" s="319">
        <f t="shared" si="152"/>
        <v>0</v>
      </c>
      <c r="CH390" s="319">
        <f t="shared" si="152"/>
        <v>0</v>
      </c>
      <c r="CI390" s="319">
        <f t="shared" si="152"/>
        <v>0</v>
      </c>
      <c r="CJ390" s="319">
        <f t="shared" si="152"/>
        <v>0</v>
      </c>
      <c r="CK390" s="319">
        <f t="shared" si="152"/>
        <v>0</v>
      </c>
      <c r="CL390" s="319">
        <f t="shared" si="152"/>
        <v>0</v>
      </c>
      <c r="CM390" s="319">
        <f t="shared" si="152"/>
        <v>0</v>
      </c>
      <c r="CN390" s="319">
        <f t="shared" si="152"/>
        <v>0</v>
      </c>
      <c r="CO390" s="319">
        <f t="shared" si="152"/>
        <v>0</v>
      </c>
      <c r="CP390" s="319">
        <f t="shared" si="152"/>
        <v>0</v>
      </c>
      <c r="CQ390" s="319">
        <f t="shared" si="152"/>
        <v>0</v>
      </c>
      <c r="CR390" s="319">
        <f t="shared" si="152"/>
        <v>0</v>
      </c>
      <c r="CS390" s="319">
        <f t="shared" si="152"/>
        <v>0</v>
      </c>
      <c r="CT390" s="319">
        <f t="shared" ref="BJ390:CV397" si="155">IF(AND($D390=CT$1,$G390="Yes"),$E390,0)</f>
        <v>0</v>
      </c>
      <c r="CU390" s="319">
        <f t="shared" si="155"/>
        <v>0</v>
      </c>
      <c r="CV390" s="319">
        <f t="shared" si="155"/>
        <v>0</v>
      </c>
    </row>
    <row r="391" spans="1:100" x14ac:dyDescent="0.25">
      <c r="A391" s="319">
        <f t="shared" si="153"/>
        <v>0</v>
      </c>
      <c r="B391" s="319">
        <f t="shared" si="143"/>
        <v>0</v>
      </c>
      <c r="C391" s="345" t="str">
        <f>IF(Sandbox!AX66="","",Sandbox!AX66)</f>
        <v/>
      </c>
      <c r="D391" s="343" t="str">
        <f>IF(Sandbox!$BH$54="","",Sandbox!$BH$54)</f>
        <v/>
      </c>
      <c r="E391" s="343" t="str">
        <f>IF(Sandbox!AY66="","",Sandbox!AY66)</f>
        <v/>
      </c>
      <c r="F391" s="343" t="str">
        <f>IF(E391&lt;CharacterSheet!$V$34,"Yes","No")</f>
        <v>No</v>
      </c>
      <c r="G391" s="342" t="s">
        <v>347</v>
      </c>
      <c r="H391" s="333" t="str">
        <f>IF(C391="","",VLOOKUP(C391,Boonref2!A:B,2,FALSE))</f>
        <v/>
      </c>
      <c r="I391" s="333"/>
      <c r="J391" s="333" t="str">
        <f>VLOOKUP(C391,BoonRef!A:Z,17,FALSE)</f>
        <v>Yes</v>
      </c>
      <c r="K391" s="333" t="str">
        <f>IF(J391="God",'House Rules'!$B$2,IF(J391="Demi",'House Rules'!$B$1,IF(J391="Comp",'House Rules'!$B$4,IF(J391="Yaz",'House Rules'!$B$5,IF(J391="Rag",'House Rules'!$B$3,"Available")))))</f>
        <v>Available</v>
      </c>
      <c r="L391" s="333"/>
      <c r="M391" s="333"/>
      <c r="BF391" s="319">
        <f t="shared" si="151"/>
        <v>0</v>
      </c>
      <c r="BG391" s="340" t="s">
        <v>1277</v>
      </c>
      <c r="BI391" s="319">
        <f t="shared" si="154"/>
        <v>0</v>
      </c>
      <c r="BJ391" s="319">
        <f t="shared" si="155"/>
        <v>0</v>
      </c>
      <c r="BK391" s="319">
        <f t="shared" si="155"/>
        <v>0</v>
      </c>
      <c r="BL391" s="319">
        <f t="shared" si="155"/>
        <v>0</v>
      </c>
      <c r="BM391" s="319">
        <f t="shared" si="155"/>
        <v>0</v>
      </c>
      <c r="BN391" s="319">
        <f t="shared" si="155"/>
        <v>0</v>
      </c>
      <c r="BO391" s="319">
        <f t="shared" si="155"/>
        <v>0</v>
      </c>
      <c r="BP391" s="319">
        <f t="shared" si="155"/>
        <v>0</v>
      </c>
      <c r="BQ391" s="319">
        <f t="shared" si="155"/>
        <v>0</v>
      </c>
      <c r="BR391" s="319">
        <f t="shared" si="155"/>
        <v>0</v>
      </c>
      <c r="BS391" s="319">
        <f t="shared" si="155"/>
        <v>0</v>
      </c>
      <c r="BT391" s="319">
        <f t="shared" si="155"/>
        <v>0</v>
      </c>
      <c r="BU391" s="319">
        <f t="shared" si="155"/>
        <v>0</v>
      </c>
      <c r="BV391" s="319">
        <f t="shared" si="155"/>
        <v>0</v>
      </c>
      <c r="BW391" s="319">
        <f t="shared" si="155"/>
        <v>0</v>
      </c>
      <c r="BX391" s="319">
        <f t="shared" si="155"/>
        <v>0</v>
      </c>
      <c r="BY391" s="319">
        <f t="shared" si="155"/>
        <v>0</v>
      </c>
      <c r="BZ391" s="319">
        <f t="shared" si="155"/>
        <v>0</v>
      </c>
      <c r="CA391" s="319">
        <f t="shared" si="155"/>
        <v>0</v>
      </c>
      <c r="CB391" s="319">
        <f t="shared" si="155"/>
        <v>0</v>
      </c>
      <c r="CC391" s="319">
        <f t="shared" si="155"/>
        <v>0</v>
      </c>
      <c r="CD391" s="319">
        <f t="shared" si="155"/>
        <v>0</v>
      </c>
      <c r="CE391" s="319">
        <f t="shared" si="155"/>
        <v>0</v>
      </c>
      <c r="CF391" s="319">
        <f t="shared" si="155"/>
        <v>0</v>
      </c>
      <c r="CG391" s="319">
        <f t="shared" si="155"/>
        <v>0</v>
      </c>
      <c r="CH391" s="319">
        <f t="shared" si="155"/>
        <v>0</v>
      </c>
      <c r="CI391" s="319">
        <f t="shared" si="155"/>
        <v>0</v>
      </c>
      <c r="CJ391" s="319">
        <f t="shared" si="155"/>
        <v>0</v>
      </c>
      <c r="CK391" s="319">
        <f t="shared" si="155"/>
        <v>0</v>
      </c>
      <c r="CL391" s="319">
        <f t="shared" si="155"/>
        <v>0</v>
      </c>
      <c r="CM391" s="319">
        <f t="shared" si="155"/>
        <v>0</v>
      </c>
      <c r="CN391" s="319">
        <f t="shared" si="155"/>
        <v>0</v>
      </c>
      <c r="CO391" s="319">
        <f t="shared" si="155"/>
        <v>0</v>
      </c>
      <c r="CP391" s="319">
        <f t="shared" si="155"/>
        <v>0</v>
      </c>
      <c r="CQ391" s="319">
        <f t="shared" si="155"/>
        <v>0</v>
      </c>
      <c r="CR391" s="319">
        <f t="shared" si="155"/>
        <v>0</v>
      </c>
      <c r="CS391" s="319">
        <f t="shared" si="155"/>
        <v>0</v>
      </c>
      <c r="CT391" s="319">
        <f t="shared" si="155"/>
        <v>0</v>
      </c>
      <c r="CU391" s="319">
        <f t="shared" si="155"/>
        <v>0</v>
      </c>
      <c r="CV391" s="319">
        <f t="shared" si="155"/>
        <v>0</v>
      </c>
    </row>
    <row r="392" spans="1:100" ht="15.75" thickBot="1" x14ac:dyDescent="0.3">
      <c r="A392" s="319">
        <f t="shared" si="153"/>
        <v>0</v>
      </c>
      <c r="B392" s="319">
        <f t="shared" si="143"/>
        <v>0</v>
      </c>
      <c r="C392" s="345" t="str">
        <f>IF(Sandbox!AX67="","",Sandbox!AX67)</f>
        <v/>
      </c>
      <c r="D392" s="343" t="str">
        <f>IF(Sandbox!$BH$54="","",Sandbox!$BH$54)</f>
        <v/>
      </c>
      <c r="E392" s="343" t="str">
        <f>IF(Sandbox!AY67="","",Sandbox!AY67)</f>
        <v/>
      </c>
      <c r="F392" s="343" t="str">
        <f>IF(E392&lt;CharacterSheet!$V$34,"Yes","No")</f>
        <v>No</v>
      </c>
      <c r="G392" s="342" t="s">
        <v>347</v>
      </c>
      <c r="H392" s="333" t="str">
        <f>IF(C392="","",VLOOKUP(C392,Boonref2!A:B,2,FALSE))</f>
        <v/>
      </c>
      <c r="I392" s="333"/>
      <c r="J392" s="333" t="str">
        <f>VLOOKUP(C392,BoonRef!A:Z,17,FALSE)</f>
        <v>Yes</v>
      </c>
      <c r="K392" s="333" t="str">
        <f>IF(J392="God",'House Rules'!$B$2,IF(J392="Demi",'House Rules'!$B$1,IF(J392="Comp",'House Rules'!$B$4,IF(J392="Yaz",'House Rules'!$B$5,IF(J392="Rag",'House Rules'!$B$3,"Available")))))</f>
        <v>Available</v>
      </c>
      <c r="L392" s="333"/>
      <c r="M392" s="333"/>
      <c r="BF392" s="319">
        <f t="shared" si="151"/>
        <v>0</v>
      </c>
      <c r="BG392" s="352" t="s">
        <v>1278</v>
      </c>
      <c r="BI392" s="319">
        <f t="shared" si="154"/>
        <v>0</v>
      </c>
      <c r="BJ392" s="319">
        <f t="shared" si="155"/>
        <v>0</v>
      </c>
      <c r="BK392" s="319">
        <f t="shared" si="155"/>
        <v>0</v>
      </c>
      <c r="BL392" s="319">
        <f t="shared" si="155"/>
        <v>0</v>
      </c>
      <c r="BM392" s="319">
        <f t="shared" si="155"/>
        <v>0</v>
      </c>
      <c r="BN392" s="319">
        <f t="shared" si="155"/>
        <v>0</v>
      </c>
      <c r="BO392" s="319">
        <f t="shared" si="155"/>
        <v>0</v>
      </c>
      <c r="BP392" s="319">
        <f t="shared" si="155"/>
        <v>0</v>
      </c>
      <c r="BQ392" s="319">
        <f t="shared" si="155"/>
        <v>0</v>
      </c>
      <c r="BR392" s="319">
        <f t="shared" si="155"/>
        <v>0</v>
      </c>
      <c r="BS392" s="319">
        <f t="shared" si="155"/>
        <v>0</v>
      </c>
      <c r="BT392" s="319">
        <f t="shared" si="155"/>
        <v>0</v>
      </c>
      <c r="BU392" s="319">
        <f t="shared" si="155"/>
        <v>0</v>
      </c>
      <c r="BV392" s="319">
        <f t="shared" si="155"/>
        <v>0</v>
      </c>
      <c r="BW392" s="319">
        <f t="shared" si="155"/>
        <v>0</v>
      </c>
      <c r="BX392" s="319">
        <f t="shared" si="155"/>
        <v>0</v>
      </c>
      <c r="BY392" s="319">
        <f t="shared" si="155"/>
        <v>0</v>
      </c>
      <c r="BZ392" s="319">
        <f t="shared" si="155"/>
        <v>0</v>
      </c>
      <c r="CA392" s="319">
        <f t="shared" si="155"/>
        <v>0</v>
      </c>
      <c r="CB392" s="319">
        <f t="shared" si="155"/>
        <v>0</v>
      </c>
      <c r="CC392" s="319">
        <f t="shared" si="155"/>
        <v>0</v>
      </c>
      <c r="CD392" s="319">
        <f t="shared" si="155"/>
        <v>0</v>
      </c>
      <c r="CE392" s="319">
        <f t="shared" si="155"/>
        <v>0</v>
      </c>
      <c r="CF392" s="319">
        <f t="shared" si="155"/>
        <v>0</v>
      </c>
      <c r="CG392" s="319">
        <f t="shared" si="155"/>
        <v>0</v>
      </c>
      <c r="CH392" s="319">
        <f t="shared" si="155"/>
        <v>0</v>
      </c>
      <c r="CI392" s="319">
        <f t="shared" si="155"/>
        <v>0</v>
      </c>
      <c r="CJ392" s="319">
        <f t="shared" si="155"/>
        <v>0</v>
      </c>
      <c r="CK392" s="319">
        <f t="shared" si="155"/>
        <v>0</v>
      </c>
      <c r="CL392" s="319">
        <f t="shared" si="155"/>
        <v>0</v>
      </c>
      <c r="CM392" s="319">
        <f t="shared" si="155"/>
        <v>0</v>
      </c>
      <c r="CN392" s="319">
        <f t="shared" si="155"/>
        <v>0</v>
      </c>
      <c r="CO392" s="319">
        <f t="shared" si="155"/>
        <v>0</v>
      </c>
      <c r="CP392" s="319">
        <f t="shared" si="155"/>
        <v>0</v>
      </c>
      <c r="CQ392" s="319">
        <f t="shared" si="155"/>
        <v>0</v>
      </c>
      <c r="CR392" s="319">
        <f t="shared" si="155"/>
        <v>0</v>
      </c>
      <c r="CS392" s="319">
        <f t="shared" si="155"/>
        <v>0</v>
      </c>
      <c r="CT392" s="319">
        <f t="shared" si="155"/>
        <v>0</v>
      </c>
      <c r="CU392" s="319">
        <f t="shared" si="155"/>
        <v>0</v>
      </c>
      <c r="CV392" s="319">
        <f t="shared" si="155"/>
        <v>0</v>
      </c>
    </row>
    <row r="393" spans="1:100" x14ac:dyDescent="0.25">
      <c r="A393" s="319">
        <f t="shared" si="153"/>
        <v>0</v>
      </c>
      <c r="B393" s="319">
        <f t="shared" si="143"/>
        <v>0</v>
      </c>
      <c r="C393" s="345" t="str">
        <f>IF(Sandbox!AX68="","",Sandbox!AX68)</f>
        <v/>
      </c>
      <c r="D393" s="343" t="str">
        <f>IF(Sandbox!$BH$54="","",Sandbox!$BH$54)</f>
        <v/>
      </c>
      <c r="E393" s="343" t="str">
        <f>IF(Sandbox!AY68="","",Sandbox!AY68)</f>
        <v/>
      </c>
      <c r="F393" s="343" t="str">
        <f>IF(E393&lt;CharacterSheet!$V$34,"Yes","No")</f>
        <v>No</v>
      </c>
      <c r="G393" s="342" t="s">
        <v>347</v>
      </c>
      <c r="H393" s="333" t="str">
        <f>IF(C393="","",VLOOKUP(C393,Boonref2!A:B,2,FALSE))</f>
        <v/>
      </c>
      <c r="I393" s="333"/>
      <c r="J393" s="333" t="str">
        <f>VLOOKUP(C393,BoonRef!A:Z,17,FALSE)</f>
        <v>Yes</v>
      </c>
      <c r="K393" s="333" t="str">
        <f>IF(J393="God",'House Rules'!$B$2,IF(J393="Demi",'House Rules'!$B$1,IF(J393="Comp",'House Rules'!$B$4,IF(J393="Yaz",'House Rules'!$B$5,IF(J393="Rag",'House Rules'!$B$3,"Available")))))</f>
        <v>Available</v>
      </c>
      <c r="L393" s="333"/>
      <c r="M393" s="333"/>
      <c r="BF393" s="319">
        <f t="shared" si="151"/>
        <v>0</v>
      </c>
      <c r="BG393" s="330" t="s">
        <v>1496</v>
      </c>
      <c r="BI393" s="319">
        <f t="shared" si="154"/>
        <v>0</v>
      </c>
      <c r="BJ393" s="319">
        <f t="shared" si="155"/>
        <v>0</v>
      </c>
      <c r="BK393" s="319">
        <f t="shared" si="155"/>
        <v>0</v>
      </c>
      <c r="BL393" s="319">
        <f t="shared" si="155"/>
        <v>0</v>
      </c>
      <c r="BM393" s="319">
        <f t="shared" si="155"/>
        <v>0</v>
      </c>
      <c r="BN393" s="319">
        <f t="shared" si="155"/>
        <v>0</v>
      </c>
      <c r="BO393" s="319">
        <f t="shared" si="155"/>
        <v>0</v>
      </c>
      <c r="BP393" s="319">
        <f t="shared" si="155"/>
        <v>0</v>
      </c>
      <c r="BQ393" s="319">
        <f t="shared" si="155"/>
        <v>0</v>
      </c>
      <c r="BR393" s="319">
        <f t="shared" si="155"/>
        <v>0</v>
      </c>
      <c r="BS393" s="319">
        <f t="shared" si="155"/>
        <v>0</v>
      </c>
      <c r="BT393" s="319">
        <f t="shared" si="155"/>
        <v>0</v>
      </c>
      <c r="BU393" s="319">
        <f t="shared" si="155"/>
        <v>0</v>
      </c>
      <c r="BV393" s="319">
        <f t="shared" si="155"/>
        <v>0</v>
      </c>
      <c r="BW393" s="319">
        <f t="shared" si="155"/>
        <v>0</v>
      </c>
      <c r="BX393" s="319">
        <f t="shared" si="155"/>
        <v>0</v>
      </c>
      <c r="BY393" s="319">
        <f t="shared" si="155"/>
        <v>0</v>
      </c>
      <c r="BZ393" s="319">
        <f t="shared" si="155"/>
        <v>0</v>
      </c>
      <c r="CA393" s="319">
        <f t="shared" si="155"/>
        <v>0</v>
      </c>
      <c r="CB393" s="319">
        <f t="shared" si="155"/>
        <v>0</v>
      </c>
      <c r="CC393" s="319">
        <f t="shared" si="155"/>
        <v>0</v>
      </c>
      <c r="CD393" s="319">
        <f t="shared" si="155"/>
        <v>0</v>
      </c>
      <c r="CE393" s="319">
        <f t="shared" si="155"/>
        <v>0</v>
      </c>
      <c r="CF393" s="319">
        <f t="shared" si="155"/>
        <v>0</v>
      </c>
      <c r="CG393" s="319">
        <f t="shared" si="155"/>
        <v>0</v>
      </c>
      <c r="CH393" s="319">
        <f t="shared" si="155"/>
        <v>0</v>
      </c>
      <c r="CI393" s="319">
        <f t="shared" si="155"/>
        <v>0</v>
      </c>
      <c r="CJ393" s="319">
        <f t="shared" si="155"/>
        <v>0</v>
      </c>
      <c r="CK393" s="319">
        <f t="shared" si="155"/>
        <v>0</v>
      </c>
      <c r="CL393" s="319">
        <f t="shared" si="155"/>
        <v>0</v>
      </c>
      <c r="CM393" s="319">
        <f t="shared" si="155"/>
        <v>0</v>
      </c>
      <c r="CN393" s="319">
        <f t="shared" si="155"/>
        <v>0</v>
      </c>
      <c r="CO393" s="319">
        <f t="shared" si="155"/>
        <v>0</v>
      </c>
      <c r="CP393" s="319">
        <f t="shared" si="155"/>
        <v>0</v>
      </c>
      <c r="CQ393" s="319">
        <f t="shared" si="155"/>
        <v>0</v>
      </c>
      <c r="CR393" s="319">
        <f t="shared" si="155"/>
        <v>0</v>
      </c>
      <c r="CS393" s="319">
        <f t="shared" si="155"/>
        <v>0</v>
      </c>
      <c r="CT393" s="319">
        <f t="shared" si="155"/>
        <v>0</v>
      </c>
      <c r="CU393" s="319">
        <f t="shared" si="155"/>
        <v>0</v>
      </c>
      <c r="CV393" s="319">
        <f t="shared" si="155"/>
        <v>0</v>
      </c>
    </row>
    <row r="394" spans="1:100" x14ac:dyDescent="0.25">
      <c r="A394" s="319">
        <f t="shared" si="153"/>
        <v>0</v>
      </c>
      <c r="B394" s="319">
        <f t="shared" si="143"/>
        <v>0</v>
      </c>
      <c r="C394" s="345" t="str">
        <f>IF(Sandbox!AX69="","",Sandbox!AX69)</f>
        <v/>
      </c>
      <c r="D394" s="343" t="str">
        <f>IF(Sandbox!$BH$54="","",Sandbox!$BH$54)</f>
        <v/>
      </c>
      <c r="E394" s="343" t="str">
        <f>IF(Sandbox!AY69="","",Sandbox!AY69)</f>
        <v/>
      </c>
      <c r="F394" s="343" t="str">
        <f>IF(E394&lt;CharacterSheet!$V$34,"Yes","No")</f>
        <v>No</v>
      </c>
      <c r="G394" s="342" t="s">
        <v>347</v>
      </c>
      <c r="H394" s="333" t="str">
        <f>IF(C394="","",VLOOKUP(C394,Boonref2!A:B,2,FALSE))</f>
        <v/>
      </c>
      <c r="I394" s="333"/>
      <c r="J394" s="333" t="str">
        <f>VLOOKUP(C394,BoonRef!A:Z,17,FALSE)</f>
        <v>Yes</v>
      </c>
      <c r="K394" s="333" t="str">
        <f>IF(J394="God",'House Rules'!$B$2,IF(J394="Demi",'House Rules'!$B$1,IF(J394="Comp",'House Rules'!$B$4,IF(J394="Yaz",'House Rules'!$B$5,IF(J394="Rag",'House Rules'!$B$3,"Available")))))</f>
        <v>Available</v>
      </c>
      <c r="L394" s="333"/>
      <c r="M394" s="333"/>
      <c r="BF394" s="319">
        <f t="shared" si="151"/>
        <v>0</v>
      </c>
      <c r="BG394" s="340" t="s">
        <v>1497</v>
      </c>
      <c r="BI394" s="319">
        <f t="shared" si="154"/>
        <v>0</v>
      </c>
      <c r="BJ394" s="319">
        <f t="shared" si="155"/>
        <v>0</v>
      </c>
      <c r="BK394" s="319">
        <f t="shared" si="155"/>
        <v>0</v>
      </c>
      <c r="BL394" s="319">
        <f t="shared" si="155"/>
        <v>0</v>
      </c>
      <c r="BM394" s="319">
        <f t="shared" si="155"/>
        <v>0</v>
      </c>
      <c r="BN394" s="319">
        <f t="shared" si="155"/>
        <v>0</v>
      </c>
      <c r="BO394" s="319">
        <f t="shared" si="155"/>
        <v>0</v>
      </c>
      <c r="BP394" s="319">
        <f t="shared" si="155"/>
        <v>0</v>
      </c>
      <c r="BQ394" s="319">
        <f t="shared" si="155"/>
        <v>0</v>
      </c>
      <c r="BR394" s="319">
        <f t="shared" si="155"/>
        <v>0</v>
      </c>
      <c r="BS394" s="319">
        <f t="shared" si="155"/>
        <v>0</v>
      </c>
      <c r="BT394" s="319">
        <f t="shared" si="155"/>
        <v>0</v>
      </c>
      <c r="BU394" s="319">
        <f t="shared" si="155"/>
        <v>0</v>
      </c>
      <c r="BV394" s="319">
        <f t="shared" si="155"/>
        <v>0</v>
      </c>
      <c r="BW394" s="319">
        <f t="shared" si="155"/>
        <v>0</v>
      </c>
      <c r="BX394" s="319">
        <f t="shared" si="155"/>
        <v>0</v>
      </c>
      <c r="BY394" s="319">
        <f t="shared" si="155"/>
        <v>0</v>
      </c>
      <c r="BZ394" s="319">
        <f t="shared" si="155"/>
        <v>0</v>
      </c>
      <c r="CA394" s="319">
        <f t="shared" si="155"/>
        <v>0</v>
      </c>
      <c r="CB394" s="319">
        <f t="shared" si="155"/>
        <v>0</v>
      </c>
      <c r="CC394" s="319">
        <f t="shared" si="155"/>
        <v>0</v>
      </c>
      <c r="CD394" s="319">
        <f t="shared" si="155"/>
        <v>0</v>
      </c>
      <c r="CE394" s="319">
        <f t="shared" si="155"/>
        <v>0</v>
      </c>
      <c r="CF394" s="319">
        <f t="shared" si="155"/>
        <v>0</v>
      </c>
      <c r="CG394" s="319">
        <f t="shared" si="155"/>
        <v>0</v>
      </c>
      <c r="CH394" s="319">
        <f t="shared" si="155"/>
        <v>0</v>
      </c>
      <c r="CI394" s="319">
        <f t="shared" si="155"/>
        <v>0</v>
      </c>
      <c r="CJ394" s="319">
        <f t="shared" si="155"/>
        <v>0</v>
      </c>
      <c r="CK394" s="319">
        <f t="shared" si="155"/>
        <v>0</v>
      </c>
      <c r="CL394" s="319">
        <f t="shared" si="155"/>
        <v>0</v>
      </c>
      <c r="CM394" s="319">
        <f t="shared" si="155"/>
        <v>0</v>
      </c>
      <c r="CN394" s="319">
        <f t="shared" si="155"/>
        <v>0</v>
      </c>
      <c r="CO394" s="319">
        <f t="shared" si="155"/>
        <v>0</v>
      </c>
      <c r="CP394" s="319">
        <f t="shared" si="155"/>
        <v>0</v>
      </c>
      <c r="CQ394" s="319">
        <f t="shared" si="155"/>
        <v>0</v>
      </c>
      <c r="CR394" s="319">
        <f t="shared" si="155"/>
        <v>0</v>
      </c>
      <c r="CS394" s="319">
        <f t="shared" si="155"/>
        <v>0</v>
      </c>
      <c r="CT394" s="319">
        <f t="shared" si="155"/>
        <v>0</v>
      </c>
      <c r="CU394" s="319">
        <f t="shared" si="155"/>
        <v>0</v>
      </c>
      <c r="CV394" s="319">
        <f t="shared" si="155"/>
        <v>0</v>
      </c>
    </row>
    <row r="395" spans="1:100" x14ac:dyDescent="0.25">
      <c r="A395" s="319">
        <f t="shared" si="153"/>
        <v>0</v>
      </c>
      <c r="B395" s="319">
        <f t="shared" si="143"/>
        <v>0</v>
      </c>
      <c r="C395" s="345" t="str">
        <f>IF(Sandbox!AX70="","",Sandbox!AX70)</f>
        <v/>
      </c>
      <c r="D395" s="343" t="str">
        <f>IF(Sandbox!$BH$54="","",Sandbox!$BH$54)</f>
        <v/>
      </c>
      <c r="E395" s="343" t="str">
        <f>IF(Sandbox!AY70="","",Sandbox!AY70)</f>
        <v/>
      </c>
      <c r="F395" s="343" t="str">
        <f>IF(E395&lt;CharacterSheet!$V$34,"Yes","No")</f>
        <v>No</v>
      </c>
      <c r="G395" s="342" t="s">
        <v>347</v>
      </c>
      <c r="H395" s="333" t="str">
        <f>IF(C395="","",VLOOKUP(C395,Boonref2!A:B,2,FALSE))</f>
        <v/>
      </c>
      <c r="I395" s="333"/>
      <c r="J395" s="333" t="str">
        <f>VLOOKUP(C395,BoonRef!A:Z,17,FALSE)</f>
        <v>Yes</v>
      </c>
      <c r="K395" s="333" t="str">
        <f>IF(J395="God",'House Rules'!$B$2,IF(J395="Demi",'House Rules'!$B$1,IF(J395="Comp",'House Rules'!$B$4,IF(J395="Yaz",'House Rules'!$B$5,IF(J395="Rag",'House Rules'!$B$3,"Available")))))</f>
        <v>Available</v>
      </c>
      <c r="L395" s="333"/>
      <c r="M395" s="333"/>
      <c r="BF395" s="319">
        <f t="shared" si="151"/>
        <v>0</v>
      </c>
      <c r="BG395" s="340" t="s">
        <v>1501</v>
      </c>
      <c r="BI395" s="319">
        <f t="shared" si="154"/>
        <v>0</v>
      </c>
      <c r="BJ395" s="319">
        <f t="shared" si="155"/>
        <v>0</v>
      </c>
      <c r="BK395" s="319">
        <f t="shared" si="155"/>
        <v>0</v>
      </c>
      <c r="BL395" s="319">
        <f t="shared" si="155"/>
        <v>0</v>
      </c>
      <c r="BM395" s="319">
        <f t="shared" si="155"/>
        <v>0</v>
      </c>
      <c r="BN395" s="319">
        <f t="shared" si="155"/>
        <v>0</v>
      </c>
      <c r="BO395" s="319">
        <f t="shared" si="155"/>
        <v>0</v>
      </c>
      <c r="BP395" s="319">
        <f t="shared" si="155"/>
        <v>0</v>
      </c>
      <c r="BQ395" s="319">
        <f t="shared" si="155"/>
        <v>0</v>
      </c>
      <c r="BR395" s="319">
        <f t="shared" si="155"/>
        <v>0</v>
      </c>
      <c r="BS395" s="319">
        <f t="shared" si="155"/>
        <v>0</v>
      </c>
      <c r="BT395" s="319">
        <f t="shared" si="155"/>
        <v>0</v>
      </c>
      <c r="BU395" s="319">
        <f t="shared" si="155"/>
        <v>0</v>
      </c>
      <c r="BV395" s="319">
        <f t="shared" si="155"/>
        <v>0</v>
      </c>
      <c r="BW395" s="319">
        <f t="shared" si="155"/>
        <v>0</v>
      </c>
      <c r="BX395" s="319">
        <f t="shared" si="155"/>
        <v>0</v>
      </c>
      <c r="BY395" s="319">
        <f t="shared" si="155"/>
        <v>0</v>
      </c>
      <c r="BZ395" s="319">
        <f t="shared" si="155"/>
        <v>0</v>
      </c>
      <c r="CA395" s="319">
        <f t="shared" si="155"/>
        <v>0</v>
      </c>
      <c r="CB395" s="319">
        <f t="shared" si="155"/>
        <v>0</v>
      </c>
      <c r="CC395" s="319">
        <f t="shared" si="155"/>
        <v>0</v>
      </c>
      <c r="CD395" s="319">
        <f t="shared" si="155"/>
        <v>0</v>
      </c>
      <c r="CE395" s="319">
        <f t="shared" si="155"/>
        <v>0</v>
      </c>
      <c r="CF395" s="319">
        <f t="shared" si="155"/>
        <v>0</v>
      </c>
      <c r="CG395" s="319">
        <f t="shared" si="155"/>
        <v>0</v>
      </c>
      <c r="CH395" s="319">
        <f t="shared" si="155"/>
        <v>0</v>
      </c>
      <c r="CI395" s="319">
        <f t="shared" si="155"/>
        <v>0</v>
      </c>
      <c r="CJ395" s="319">
        <f t="shared" si="155"/>
        <v>0</v>
      </c>
      <c r="CK395" s="319">
        <f t="shared" si="155"/>
        <v>0</v>
      </c>
      <c r="CL395" s="319">
        <f t="shared" si="155"/>
        <v>0</v>
      </c>
      <c r="CM395" s="319">
        <f t="shared" si="155"/>
        <v>0</v>
      </c>
      <c r="CN395" s="319">
        <f t="shared" si="155"/>
        <v>0</v>
      </c>
      <c r="CO395" s="319">
        <f t="shared" si="155"/>
        <v>0</v>
      </c>
      <c r="CP395" s="319">
        <f t="shared" si="155"/>
        <v>0</v>
      </c>
      <c r="CQ395" s="319">
        <f t="shared" si="155"/>
        <v>0</v>
      </c>
      <c r="CR395" s="319">
        <f t="shared" si="155"/>
        <v>0</v>
      </c>
      <c r="CS395" s="319">
        <f t="shared" si="155"/>
        <v>0</v>
      </c>
      <c r="CT395" s="319">
        <f t="shared" si="155"/>
        <v>0</v>
      </c>
      <c r="CU395" s="319">
        <f t="shared" si="155"/>
        <v>0</v>
      </c>
      <c r="CV395" s="319">
        <f t="shared" si="155"/>
        <v>0</v>
      </c>
    </row>
    <row r="396" spans="1:100" x14ac:dyDescent="0.25">
      <c r="A396" s="319">
        <f t="shared" si="153"/>
        <v>0</v>
      </c>
      <c r="B396" s="319">
        <f t="shared" si="143"/>
        <v>0</v>
      </c>
      <c r="C396" s="345" t="str">
        <f>IF(Sandbox!AX71="","",Sandbox!AX71)</f>
        <v/>
      </c>
      <c r="D396" s="343" t="str">
        <f>IF(Sandbox!$BH$54="","",Sandbox!$BH$54)</f>
        <v/>
      </c>
      <c r="E396" s="343" t="str">
        <f>IF(Sandbox!AY71="","",Sandbox!AY71)</f>
        <v/>
      </c>
      <c r="F396" s="343" t="str">
        <f>IF(E396&lt;CharacterSheet!$V$34,"Yes","No")</f>
        <v>No</v>
      </c>
      <c r="G396" s="342" t="s">
        <v>347</v>
      </c>
      <c r="H396" s="333" t="str">
        <f>IF(C396="","",VLOOKUP(C396,Boonref2!A:B,2,FALSE))</f>
        <v/>
      </c>
      <c r="I396" s="333"/>
      <c r="J396" s="333" t="str">
        <f>VLOOKUP(C396,BoonRef!A:Z,17,FALSE)</f>
        <v>Yes</v>
      </c>
      <c r="K396" s="333" t="str">
        <f>IF(J396="God",'House Rules'!$B$2,IF(J396="Demi",'House Rules'!$B$1,IF(J396="Comp",'House Rules'!$B$4,IF(J396="Yaz",'House Rules'!$B$5,IF(J396="Rag",'House Rules'!$B$3,"Available")))))</f>
        <v>Available</v>
      </c>
      <c r="L396" s="333"/>
      <c r="M396" s="333"/>
      <c r="BF396" s="319">
        <f t="shared" si="151"/>
        <v>0</v>
      </c>
      <c r="BG396" s="340" t="s">
        <v>1502</v>
      </c>
      <c r="BI396" s="319">
        <f t="shared" si="154"/>
        <v>0</v>
      </c>
      <c r="BJ396" s="319">
        <f t="shared" si="155"/>
        <v>0</v>
      </c>
      <c r="BK396" s="319">
        <f t="shared" si="155"/>
        <v>0</v>
      </c>
      <c r="BL396" s="319">
        <f t="shared" si="155"/>
        <v>0</v>
      </c>
      <c r="BM396" s="319">
        <f t="shared" si="155"/>
        <v>0</v>
      </c>
      <c r="BN396" s="319">
        <f t="shared" si="155"/>
        <v>0</v>
      </c>
      <c r="BO396" s="319">
        <f t="shared" si="155"/>
        <v>0</v>
      </c>
      <c r="BP396" s="319">
        <f t="shared" si="155"/>
        <v>0</v>
      </c>
      <c r="BQ396" s="319">
        <f t="shared" si="155"/>
        <v>0</v>
      </c>
      <c r="BR396" s="319">
        <f t="shared" si="155"/>
        <v>0</v>
      </c>
      <c r="BS396" s="319">
        <f t="shared" si="155"/>
        <v>0</v>
      </c>
      <c r="BT396" s="319">
        <f t="shared" si="155"/>
        <v>0</v>
      </c>
      <c r="BU396" s="319">
        <f t="shared" si="155"/>
        <v>0</v>
      </c>
      <c r="BV396" s="319">
        <f t="shared" si="155"/>
        <v>0</v>
      </c>
      <c r="BW396" s="319">
        <f t="shared" si="155"/>
        <v>0</v>
      </c>
      <c r="BX396" s="319">
        <f t="shared" si="155"/>
        <v>0</v>
      </c>
      <c r="BY396" s="319">
        <f t="shared" si="155"/>
        <v>0</v>
      </c>
      <c r="BZ396" s="319">
        <f t="shared" si="155"/>
        <v>0</v>
      </c>
      <c r="CA396" s="319">
        <f t="shared" si="155"/>
        <v>0</v>
      </c>
      <c r="CB396" s="319">
        <f t="shared" si="155"/>
        <v>0</v>
      </c>
      <c r="CC396" s="319">
        <f t="shared" si="155"/>
        <v>0</v>
      </c>
      <c r="CD396" s="319">
        <f t="shared" si="155"/>
        <v>0</v>
      </c>
      <c r="CE396" s="319">
        <f t="shared" si="155"/>
        <v>0</v>
      </c>
      <c r="CF396" s="319">
        <f t="shared" si="155"/>
        <v>0</v>
      </c>
      <c r="CG396" s="319">
        <f t="shared" si="155"/>
        <v>0</v>
      </c>
      <c r="CH396" s="319">
        <f t="shared" si="155"/>
        <v>0</v>
      </c>
      <c r="CI396" s="319">
        <f t="shared" si="155"/>
        <v>0</v>
      </c>
      <c r="CJ396" s="319">
        <f t="shared" si="155"/>
        <v>0</v>
      </c>
      <c r="CK396" s="319">
        <f t="shared" si="155"/>
        <v>0</v>
      </c>
      <c r="CL396" s="319">
        <f t="shared" si="155"/>
        <v>0</v>
      </c>
      <c r="CM396" s="319">
        <f t="shared" si="155"/>
        <v>0</v>
      </c>
      <c r="CN396" s="319">
        <f t="shared" si="155"/>
        <v>0</v>
      </c>
      <c r="CO396" s="319">
        <f t="shared" si="155"/>
        <v>0</v>
      </c>
      <c r="CP396" s="319">
        <f t="shared" si="155"/>
        <v>0</v>
      </c>
      <c r="CQ396" s="319">
        <f t="shared" si="155"/>
        <v>0</v>
      </c>
      <c r="CR396" s="319">
        <f t="shared" si="155"/>
        <v>0</v>
      </c>
      <c r="CS396" s="319">
        <f t="shared" si="155"/>
        <v>0</v>
      </c>
      <c r="CT396" s="319">
        <f t="shared" si="155"/>
        <v>0</v>
      </c>
      <c r="CU396" s="319">
        <f t="shared" si="155"/>
        <v>0</v>
      </c>
      <c r="CV396" s="319">
        <f t="shared" si="155"/>
        <v>0</v>
      </c>
    </row>
    <row r="397" spans="1:100" x14ac:dyDescent="0.25">
      <c r="A397" s="319">
        <f t="shared" si="153"/>
        <v>0</v>
      </c>
      <c r="B397" s="319">
        <f t="shared" ref="B397:B460" si="156">IF(G397="Yes",B396+1,B396)</f>
        <v>0</v>
      </c>
      <c r="C397" s="345" t="str">
        <f>IF(Sandbox!AX72="","",Sandbox!AX72)</f>
        <v/>
      </c>
      <c r="D397" s="343" t="str">
        <f>IF(Sandbox!$BH$54="","",Sandbox!$BH$54)</f>
        <v/>
      </c>
      <c r="E397" s="343" t="str">
        <f>IF(Sandbox!AY72="","",Sandbox!AY72)</f>
        <v/>
      </c>
      <c r="F397" s="343" t="str">
        <f>IF(E397&lt;CharacterSheet!$V$34,"Yes","No")</f>
        <v>No</v>
      </c>
      <c r="G397" s="342" t="s">
        <v>347</v>
      </c>
      <c r="H397" s="333" t="str">
        <f>IF(C397="","",VLOOKUP(C397,Boonref2!A:B,2,FALSE))</f>
        <v/>
      </c>
      <c r="I397" s="333"/>
      <c r="J397" s="333" t="str">
        <f>VLOOKUP(C397,BoonRef!A:Z,17,FALSE)</f>
        <v>Yes</v>
      </c>
      <c r="K397" s="333" t="str">
        <f>IF(J397="God",'House Rules'!$B$2,IF(J397="Demi",'House Rules'!$B$1,IF(J397="Comp",'House Rules'!$B$4,IF(J397="Yaz",'House Rules'!$B$5,IF(J397="Rag",'House Rules'!$B$3,"Available")))))</f>
        <v>Available</v>
      </c>
      <c r="L397" s="333"/>
      <c r="M397" s="333"/>
      <c r="BF397" s="319">
        <f t="shared" si="151"/>
        <v>0</v>
      </c>
      <c r="BG397" s="340" t="s">
        <v>1503</v>
      </c>
      <c r="BI397" s="319">
        <f t="shared" si="154"/>
        <v>0</v>
      </c>
      <c r="BJ397" s="319">
        <f t="shared" si="155"/>
        <v>0</v>
      </c>
      <c r="BK397" s="319">
        <f t="shared" si="155"/>
        <v>0</v>
      </c>
      <c r="BL397" s="319">
        <f t="shared" si="155"/>
        <v>0</v>
      </c>
      <c r="BM397" s="319">
        <f t="shared" si="155"/>
        <v>0</v>
      </c>
      <c r="BN397" s="319">
        <f t="shared" si="155"/>
        <v>0</v>
      </c>
      <c r="BO397" s="319">
        <f t="shared" si="155"/>
        <v>0</v>
      </c>
      <c r="BP397" s="319">
        <f t="shared" si="155"/>
        <v>0</v>
      </c>
      <c r="BQ397" s="319">
        <f t="shared" si="155"/>
        <v>0</v>
      </c>
      <c r="BR397" s="319">
        <f t="shared" si="155"/>
        <v>0</v>
      </c>
      <c r="BS397" s="319">
        <f t="shared" si="155"/>
        <v>0</v>
      </c>
      <c r="BT397" s="319">
        <f t="shared" si="155"/>
        <v>0</v>
      </c>
      <c r="BU397" s="319">
        <f t="shared" si="155"/>
        <v>0</v>
      </c>
      <c r="BV397" s="319">
        <f t="shared" si="155"/>
        <v>0</v>
      </c>
      <c r="BW397" s="319">
        <f t="shared" si="155"/>
        <v>0</v>
      </c>
      <c r="BX397" s="319">
        <f t="shared" si="155"/>
        <v>0</v>
      </c>
      <c r="BY397" s="319">
        <f t="shared" si="155"/>
        <v>0</v>
      </c>
      <c r="BZ397" s="319">
        <f t="shared" si="155"/>
        <v>0</v>
      </c>
      <c r="CA397" s="319">
        <f t="shared" si="155"/>
        <v>0</v>
      </c>
      <c r="CB397" s="319">
        <f t="shared" ref="BJ397:CV403" si="157">IF(AND($D397=CB$1,$G397="Yes"),$E397,0)</f>
        <v>0</v>
      </c>
      <c r="CC397" s="319">
        <f t="shared" si="157"/>
        <v>0</v>
      </c>
      <c r="CD397" s="319">
        <f t="shared" si="157"/>
        <v>0</v>
      </c>
      <c r="CE397" s="319">
        <f t="shared" si="157"/>
        <v>0</v>
      </c>
      <c r="CF397" s="319">
        <f t="shared" si="157"/>
        <v>0</v>
      </c>
      <c r="CG397" s="319">
        <f t="shared" si="157"/>
        <v>0</v>
      </c>
      <c r="CH397" s="319">
        <f t="shared" si="157"/>
        <v>0</v>
      </c>
      <c r="CI397" s="319">
        <f t="shared" si="157"/>
        <v>0</v>
      </c>
      <c r="CJ397" s="319">
        <f t="shared" si="157"/>
        <v>0</v>
      </c>
      <c r="CK397" s="319">
        <f t="shared" si="157"/>
        <v>0</v>
      </c>
      <c r="CL397" s="319">
        <f t="shared" si="157"/>
        <v>0</v>
      </c>
      <c r="CM397" s="319">
        <f t="shared" si="157"/>
        <v>0</v>
      </c>
      <c r="CN397" s="319">
        <f t="shared" si="157"/>
        <v>0</v>
      </c>
      <c r="CO397" s="319">
        <f t="shared" si="157"/>
        <v>0</v>
      </c>
      <c r="CP397" s="319">
        <f t="shared" si="157"/>
        <v>0</v>
      </c>
      <c r="CQ397" s="319">
        <f t="shared" si="157"/>
        <v>0</v>
      </c>
      <c r="CR397" s="319">
        <f t="shared" si="157"/>
        <v>0</v>
      </c>
      <c r="CS397" s="319">
        <f t="shared" si="157"/>
        <v>0</v>
      </c>
      <c r="CT397" s="319">
        <f t="shared" si="157"/>
        <v>0</v>
      </c>
      <c r="CU397" s="319">
        <f t="shared" si="157"/>
        <v>0</v>
      </c>
      <c r="CV397" s="319">
        <f t="shared" si="157"/>
        <v>0</v>
      </c>
    </row>
    <row r="398" spans="1:100" x14ac:dyDescent="0.25">
      <c r="A398" s="319">
        <f t="shared" si="153"/>
        <v>0</v>
      </c>
      <c r="B398" s="319">
        <f t="shared" si="156"/>
        <v>0</v>
      </c>
      <c r="C398" s="345" t="str">
        <f>IF(Sandbox!AX73="","",Sandbox!AX73)</f>
        <v/>
      </c>
      <c r="D398" s="343" t="str">
        <f>IF(Sandbox!$BH$54="","",Sandbox!$BH$54)</f>
        <v/>
      </c>
      <c r="E398" s="343" t="str">
        <f>IF(Sandbox!AY73="","",Sandbox!AY73)</f>
        <v/>
      </c>
      <c r="F398" s="343" t="str">
        <f>IF(E398&lt;CharacterSheet!$V$34,"Yes","No")</f>
        <v>No</v>
      </c>
      <c r="G398" s="342" t="s">
        <v>347</v>
      </c>
      <c r="H398" s="333" t="str">
        <f>IF(C398="","",VLOOKUP(C398,Boonref2!A:B,2,FALSE))</f>
        <v/>
      </c>
      <c r="I398" s="333"/>
      <c r="J398" s="333" t="str">
        <f>VLOOKUP(C398,BoonRef!A:Z,17,FALSE)</f>
        <v>Yes</v>
      </c>
      <c r="K398" s="333" t="str">
        <f>IF(J398="God",'House Rules'!$B$2,IF(J398="Demi",'House Rules'!$B$1,IF(J398="Comp",'House Rules'!$B$4,IF(J398="Yaz",'House Rules'!$B$5,IF(J398="Rag",'House Rules'!$B$3,"Available")))))</f>
        <v>Available</v>
      </c>
      <c r="L398" s="333"/>
      <c r="M398" s="333"/>
      <c r="BF398" s="319">
        <f t="shared" si="151"/>
        <v>0</v>
      </c>
      <c r="BG398" s="340" t="s">
        <v>1504</v>
      </c>
      <c r="BI398" s="319">
        <f t="shared" si="154"/>
        <v>0</v>
      </c>
      <c r="BJ398" s="319">
        <f t="shared" si="157"/>
        <v>0</v>
      </c>
      <c r="BK398" s="319">
        <f t="shared" si="157"/>
        <v>0</v>
      </c>
      <c r="BL398" s="319">
        <f t="shared" si="157"/>
        <v>0</v>
      </c>
      <c r="BM398" s="319">
        <f t="shared" si="157"/>
        <v>0</v>
      </c>
      <c r="BN398" s="319">
        <f t="shared" si="157"/>
        <v>0</v>
      </c>
      <c r="BO398" s="319">
        <f t="shared" si="157"/>
        <v>0</v>
      </c>
      <c r="BP398" s="319">
        <f t="shared" si="157"/>
        <v>0</v>
      </c>
      <c r="BQ398" s="319">
        <f t="shared" si="157"/>
        <v>0</v>
      </c>
      <c r="BR398" s="319">
        <f t="shared" si="157"/>
        <v>0</v>
      </c>
      <c r="BS398" s="319">
        <f t="shared" si="157"/>
        <v>0</v>
      </c>
      <c r="BT398" s="319">
        <f t="shared" si="157"/>
        <v>0</v>
      </c>
      <c r="BU398" s="319">
        <f t="shared" si="157"/>
        <v>0</v>
      </c>
      <c r="BV398" s="319">
        <f t="shared" si="157"/>
        <v>0</v>
      </c>
      <c r="BW398" s="319">
        <f t="shared" si="157"/>
        <v>0</v>
      </c>
      <c r="BX398" s="319">
        <f t="shared" si="157"/>
        <v>0</v>
      </c>
      <c r="BY398" s="319">
        <f t="shared" si="157"/>
        <v>0</v>
      </c>
      <c r="BZ398" s="319">
        <f t="shared" si="157"/>
        <v>0</v>
      </c>
      <c r="CA398" s="319">
        <f t="shared" si="157"/>
        <v>0</v>
      </c>
      <c r="CB398" s="319">
        <f t="shared" si="157"/>
        <v>0</v>
      </c>
      <c r="CC398" s="319">
        <f t="shared" si="157"/>
        <v>0</v>
      </c>
      <c r="CD398" s="319">
        <f t="shared" si="157"/>
        <v>0</v>
      </c>
      <c r="CE398" s="319">
        <f t="shared" si="157"/>
        <v>0</v>
      </c>
      <c r="CF398" s="319">
        <f t="shared" si="157"/>
        <v>0</v>
      </c>
      <c r="CG398" s="319">
        <f t="shared" si="157"/>
        <v>0</v>
      </c>
      <c r="CH398" s="319">
        <f t="shared" si="157"/>
        <v>0</v>
      </c>
      <c r="CI398" s="319">
        <f t="shared" si="157"/>
        <v>0</v>
      </c>
      <c r="CJ398" s="319">
        <f t="shared" si="157"/>
        <v>0</v>
      </c>
      <c r="CK398" s="319">
        <f t="shared" si="157"/>
        <v>0</v>
      </c>
      <c r="CL398" s="319">
        <f t="shared" si="157"/>
        <v>0</v>
      </c>
      <c r="CM398" s="319">
        <f t="shared" si="157"/>
        <v>0</v>
      </c>
      <c r="CN398" s="319">
        <f t="shared" si="157"/>
        <v>0</v>
      </c>
      <c r="CO398" s="319">
        <f t="shared" si="157"/>
        <v>0</v>
      </c>
      <c r="CP398" s="319">
        <f t="shared" si="157"/>
        <v>0</v>
      </c>
      <c r="CQ398" s="319">
        <f t="shared" si="157"/>
        <v>0</v>
      </c>
      <c r="CR398" s="319">
        <f t="shared" si="157"/>
        <v>0</v>
      </c>
      <c r="CS398" s="319">
        <f t="shared" si="157"/>
        <v>0</v>
      </c>
      <c r="CT398" s="319">
        <f t="shared" si="157"/>
        <v>0</v>
      </c>
      <c r="CU398" s="319">
        <f t="shared" si="157"/>
        <v>0</v>
      </c>
      <c r="CV398" s="319">
        <f t="shared" si="157"/>
        <v>0</v>
      </c>
    </row>
    <row r="399" spans="1:100" x14ac:dyDescent="0.25">
      <c r="A399" s="319">
        <f t="shared" si="153"/>
        <v>0</v>
      </c>
      <c r="B399" s="319">
        <f t="shared" si="156"/>
        <v>0</v>
      </c>
      <c r="C399" s="345" t="str">
        <f>IF(Sandbox!AX74="","",Sandbox!AX74)</f>
        <v/>
      </c>
      <c r="D399" s="343" t="str">
        <f>IF(Sandbox!$BH$54="","",Sandbox!$BH$54)</f>
        <v/>
      </c>
      <c r="E399" s="343" t="str">
        <f>IF(Sandbox!AY74="","",Sandbox!AY74)</f>
        <v/>
      </c>
      <c r="F399" s="343" t="str">
        <f>IF(E399&lt;CharacterSheet!$V$34,"Yes","No")</f>
        <v>No</v>
      </c>
      <c r="G399" s="342" t="s">
        <v>347</v>
      </c>
      <c r="H399" s="333" t="str">
        <f>IF(C399="","",VLOOKUP(C399,Boonref2!A:B,2,FALSE))</f>
        <v/>
      </c>
      <c r="I399" s="333"/>
      <c r="J399" s="333" t="str">
        <f>VLOOKUP(C399,BoonRef!A:Z,17,FALSE)</f>
        <v>Yes</v>
      </c>
      <c r="K399" s="333" t="str">
        <f>IF(J399="God",'House Rules'!$B$2,IF(J399="Demi",'House Rules'!$B$1,IF(J399="Comp",'House Rules'!$B$4,IF(J399="Yaz",'House Rules'!$B$5,IF(J399="Rag",'House Rules'!$B$3,"Available")))))</f>
        <v>Available</v>
      </c>
      <c r="L399" s="333"/>
      <c r="M399" s="333"/>
      <c r="BF399" s="319">
        <f t="shared" si="151"/>
        <v>0</v>
      </c>
      <c r="BG399" s="340" t="s">
        <v>1505</v>
      </c>
      <c r="BI399" s="319">
        <f t="shared" si="154"/>
        <v>0</v>
      </c>
      <c r="BJ399" s="319">
        <f t="shared" si="157"/>
        <v>0</v>
      </c>
      <c r="BK399" s="319">
        <f t="shared" si="157"/>
        <v>0</v>
      </c>
      <c r="BL399" s="319">
        <f t="shared" si="157"/>
        <v>0</v>
      </c>
      <c r="BM399" s="319">
        <f t="shared" si="157"/>
        <v>0</v>
      </c>
      <c r="BN399" s="319">
        <f t="shared" si="157"/>
        <v>0</v>
      </c>
      <c r="BO399" s="319">
        <f t="shared" si="157"/>
        <v>0</v>
      </c>
      <c r="BP399" s="319">
        <f t="shared" si="157"/>
        <v>0</v>
      </c>
      <c r="BQ399" s="319">
        <f t="shared" si="157"/>
        <v>0</v>
      </c>
      <c r="BR399" s="319">
        <f t="shared" si="157"/>
        <v>0</v>
      </c>
      <c r="BS399" s="319">
        <f t="shared" si="157"/>
        <v>0</v>
      </c>
      <c r="BT399" s="319">
        <f t="shared" si="157"/>
        <v>0</v>
      </c>
      <c r="BU399" s="319">
        <f t="shared" si="157"/>
        <v>0</v>
      </c>
      <c r="BV399" s="319">
        <f t="shared" si="157"/>
        <v>0</v>
      </c>
      <c r="BW399" s="319">
        <f t="shared" si="157"/>
        <v>0</v>
      </c>
      <c r="BX399" s="319">
        <f t="shared" si="157"/>
        <v>0</v>
      </c>
      <c r="BY399" s="319">
        <f t="shared" si="157"/>
        <v>0</v>
      </c>
      <c r="BZ399" s="319">
        <f t="shared" si="157"/>
        <v>0</v>
      </c>
      <c r="CA399" s="319">
        <f t="shared" si="157"/>
        <v>0</v>
      </c>
      <c r="CB399" s="319">
        <f t="shared" si="157"/>
        <v>0</v>
      </c>
      <c r="CC399" s="319">
        <f t="shared" si="157"/>
        <v>0</v>
      </c>
      <c r="CD399" s="319">
        <f t="shared" si="157"/>
        <v>0</v>
      </c>
      <c r="CE399" s="319">
        <f t="shared" si="157"/>
        <v>0</v>
      </c>
      <c r="CF399" s="319">
        <f t="shared" si="157"/>
        <v>0</v>
      </c>
      <c r="CG399" s="319">
        <f t="shared" si="157"/>
        <v>0</v>
      </c>
      <c r="CH399" s="319">
        <f t="shared" si="157"/>
        <v>0</v>
      </c>
      <c r="CI399" s="319">
        <f t="shared" si="157"/>
        <v>0</v>
      </c>
      <c r="CJ399" s="319">
        <f t="shared" si="157"/>
        <v>0</v>
      </c>
      <c r="CK399" s="319">
        <f t="shared" si="157"/>
        <v>0</v>
      </c>
      <c r="CL399" s="319">
        <f t="shared" si="157"/>
        <v>0</v>
      </c>
      <c r="CM399" s="319">
        <f t="shared" si="157"/>
        <v>0</v>
      </c>
      <c r="CN399" s="319">
        <f t="shared" si="157"/>
        <v>0</v>
      </c>
      <c r="CO399" s="319">
        <f t="shared" si="157"/>
        <v>0</v>
      </c>
      <c r="CP399" s="319">
        <f t="shared" si="157"/>
        <v>0</v>
      </c>
      <c r="CQ399" s="319">
        <f t="shared" si="157"/>
        <v>0</v>
      </c>
      <c r="CR399" s="319">
        <f t="shared" si="157"/>
        <v>0</v>
      </c>
      <c r="CS399" s="319">
        <f t="shared" si="157"/>
        <v>0</v>
      </c>
      <c r="CT399" s="319">
        <f t="shared" si="157"/>
        <v>0</v>
      </c>
      <c r="CU399" s="319">
        <f t="shared" si="157"/>
        <v>0</v>
      </c>
      <c r="CV399" s="319">
        <f t="shared" si="157"/>
        <v>0</v>
      </c>
    </row>
    <row r="400" spans="1:100" x14ac:dyDescent="0.25">
      <c r="A400" s="319">
        <f t="shared" si="153"/>
        <v>0</v>
      </c>
      <c r="B400" s="319">
        <f t="shared" si="156"/>
        <v>0</v>
      </c>
      <c r="C400" s="345" t="str">
        <f>IF(Sandbox!AX75="","",Sandbox!AX75)</f>
        <v/>
      </c>
      <c r="D400" s="343" t="str">
        <f>IF(Sandbox!$BH$54="","",Sandbox!$BH$54)</f>
        <v/>
      </c>
      <c r="E400" s="343" t="str">
        <f>IF(Sandbox!AY75="","",Sandbox!AY75)</f>
        <v/>
      </c>
      <c r="F400" s="343" t="str">
        <f>IF(E400&lt;CharacterSheet!$V$34,"Yes","No")</f>
        <v>No</v>
      </c>
      <c r="G400" s="342" t="s">
        <v>347</v>
      </c>
      <c r="H400" s="333" t="str">
        <f>IF(C400="","",VLOOKUP(C400,Boonref2!A:B,2,FALSE))</f>
        <v/>
      </c>
      <c r="I400" s="333"/>
      <c r="J400" s="333" t="str">
        <f>VLOOKUP(C400,BoonRef!A:Z,17,FALSE)</f>
        <v>Yes</v>
      </c>
      <c r="K400" s="333" t="str">
        <f>IF(J400="God",'House Rules'!$B$2,IF(J400="Demi",'House Rules'!$B$1,IF(J400="Comp",'House Rules'!$B$4,IF(J400="Yaz",'House Rules'!$B$5,IF(J400="Rag",'House Rules'!$B$3,"Available")))))</f>
        <v>Available</v>
      </c>
      <c r="L400" s="333"/>
      <c r="M400" s="333"/>
      <c r="BF400" s="319">
        <f t="shared" si="151"/>
        <v>0</v>
      </c>
      <c r="BG400" s="340" t="s">
        <v>1506</v>
      </c>
      <c r="BI400" s="319">
        <f t="shared" si="154"/>
        <v>0</v>
      </c>
      <c r="BJ400" s="319">
        <f t="shared" si="157"/>
        <v>0</v>
      </c>
      <c r="BK400" s="319">
        <f t="shared" si="157"/>
        <v>0</v>
      </c>
      <c r="BL400" s="319">
        <f t="shared" si="157"/>
        <v>0</v>
      </c>
      <c r="BM400" s="319">
        <f t="shared" si="157"/>
        <v>0</v>
      </c>
      <c r="BN400" s="319">
        <f t="shared" si="157"/>
        <v>0</v>
      </c>
      <c r="BO400" s="319">
        <f t="shared" si="157"/>
        <v>0</v>
      </c>
      <c r="BP400" s="319">
        <f t="shared" si="157"/>
        <v>0</v>
      </c>
      <c r="BQ400" s="319">
        <f t="shared" si="157"/>
        <v>0</v>
      </c>
      <c r="BR400" s="319">
        <f t="shared" si="157"/>
        <v>0</v>
      </c>
      <c r="BS400" s="319">
        <f t="shared" si="157"/>
        <v>0</v>
      </c>
      <c r="BT400" s="319">
        <f t="shared" si="157"/>
        <v>0</v>
      </c>
      <c r="BU400" s="319">
        <f t="shared" si="157"/>
        <v>0</v>
      </c>
      <c r="BV400" s="319">
        <f t="shared" si="157"/>
        <v>0</v>
      </c>
      <c r="BW400" s="319">
        <f t="shared" si="157"/>
        <v>0</v>
      </c>
      <c r="BX400" s="319">
        <f t="shared" si="157"/>
        <v>0</v>
      </c>
      <c r="BY400" s="319">
        <f t="shared" si="157"/>
        <v>0</v>
      </c>
      <c r="BZ400" s="319">
        <f t="shared" si="157"/>
        <v>0</v>
      </c>
      <c r="CA400" s="319">
        <f t="shared" si="157"/>
        <v>0</v>
      </c>
      <c r="CB400" s="319">
        <f t="shared" si="157"/>
        <v>0</v>
      </c>
      <c r="CC400" s="319">
        <f t="shared" si="157"/>
        <v>0</v>
      </c>
      <c r="CD400" s="319">
        <f t="shared" si="157"/>
        <v>0</v>
      </c>
      <c r="CE400" s="319">
        <f t="shared" si="157"/>
        <v>0</v>
      </c>
      <c r="CF400" s="319">
        <f t="shared" si="157"/>
        <v>0</v>
      </c>
      <c r="CG400" s="319">
        <f t="shared" si="157"/>
        <v>0</v>
      </c>
      <c r="CH400" s="319">
        <f t="shared" si="157"/>
        <v>0</v>
      </c>
      <c r="CI400" s="319">
        <f t="shared" si="157"/>
        <v>0</v>
      </c>
      <c r="CJ400" s="319">
        <f t="shared" si="157"/>
        <v>0</v>
      </c>
      <c r="CK400" s="319">
        <f t="shared" si="157"/>
        <v>0</v>
      </c>
      <c r="CL400" s="319">
        <f t="shared" si="157"/>
        <v>0</v>
      </c>
      <c r="CM400" s="319">
        <f t="shared" si="157"/>
        <v>0</v>
      </c>
      <c r="CN400" s="319">
        <f t="shared" si="157"/>
        <v>0</v>
      </c>
      <c r="CO400" s="319">
        <f t="shared" si="157"/>
        <v>0</v>
      </c>
      <c r="CP400" s="319">
        <f t="shared" si="157"/>
        <v>0</v>
      </c>
      <c r="CQ400" s="319">
        <f t="shared" si="157"/>
        <v>0</v>
      </c>
      <c r="CR400" s="319">
        <f t="shared" si="157"/>
        <v>0</v>
      </c>
      <c r="CS400" s="319">
        <f t="shared" si="157"/>
        <v>0</v>
      </c>
      <c r="CT400" s="319">
        <f t="shared" si="157"/>
        <v>0</v>
      </c>
      <c r="CU400" s="319">
        <f t="shared" si="157"/>
        <v>0</v>
      </c>
      <c r="CV400" s="319">
        <f t="shared" si="157"/>
        <v>0</v>
      </c>
    </row>
    <row r="401" spans="1:100" x14ac:dyDescent="0.25">
      <c r="A401" s="319">
        <f t="shared" si="153"/>
        <v>0</v>
      </c>
      <c r="B401" s="319">
        <f t="shared" si="156"/>
        <v>0</v>
      </c>
      <c r="C401" s="345" t="str">
        <f>IF(Sandbox!AX76="","",Sandbox!AX76)</f>
        <v/>
      </c>
      <c r="D401" s="343" t="str">
        <f>IF(Sandbox!$BH$54="","",Sandbox!$BH$54)</f>
        <v/>
      </c>
      <c r="E401" s="343" t="str">
        <f>IF(Sandbox!AY76="","",Sandbox!AY76)</f>
        <v/>
      </c>
      <c r="F401" s="343" t="str">
        <f>IF(E401&lt;CharacterSheet!$V$34,"Yes","No")</f>
        <v>No</v>
      </c>
      <c r="G401" s="342" t="s">
        <v>347</v>
      </c>
      <c r="H401" s="333" t="str">
        <f>IF(C401="","",VLOOKUP(C401,Boonref2!A:B,2,FALSE))</f>
        <v/>
      </c>
      <c r="I401" s="333"/>
      <c r="J401" s="333" t="str">
        <f>VLOOKUP(C401,BoonRef!A:Z,17,FALSE)</f>
        <v>Yes</v>
      </c>
      <c r="K401" s="333" t="str">
        <f>IF(J401="God",'House Rules'!$B$2,IF(J401="Demi",'House Rules'!$B$1,IF(J401="Comp",'House Rules'!$B$4,IF(J401="Yaz",'House Rules'!$B$5,IF(J401="Rag",'House Rules'!$B$3,"Available")))))</f>
        <v>Available</v>
      </c>
      <c r="L401" s="333"/>
      <c r="M401" s="333"/>
      <c r="BF401" s="319">
        <f t="shared" si="151"/>
        <v>0</v>
      </c>
      <c r="BG401" s="340" t="s">
        <v>1507</v>
      </c>
      <c r="BI401" s="319">
        <f t="shared" si="154"/>
        <v>0</v>
      </c>
      <c r="BJ401" s="319">
        <f t="shared" si="157"/>
        <v>0</v>
      </c>
      <c r="BK401" s="319">
        <f t="shared" si="157"/>
        <v>0</v>
      </c>
      <c r="BL401" s="319">
        <f t="shared" si="157"/>
        <v>0</v>
      </c>
      <c r="BM401" s="319">
        <f t="shared" si="157"/>
        <v>0</v>
      </c>
      <c r="BN401" s="319">
        <f t="shared" si="157"/>
        <v>0</v>
      </c>
      <c r="BO401" s="319">
        <f t="shared" si="157"/>
        <v>0</v>
      </c>
      <c r="BP401" s="319">
        <f t="shared" si="157"/>
        <v>0</v>
      </c>
      <c r="BQ401" s="319">
        <f t="shared" si="157"/>
        <v>0</v>
      </c>
      <c r="BR401" s="319">
        <f t="shared" si="157"/>
        <v>0</v>
      </c>
      <c r="BS401" s="319">
        <f t="shared" si="157"/>
        <v>0</v>
      </c>
      <c r="BT401" s="319">
        <f t="shared" si="157"/>
        <v>0</v>
      </c>
      <c r="BU401" s="319">
        <f t="shared" si="157"/>
        <v>0</v>
      </c>
      <c r="BV401" s="319">
        <f t="shared" si="157"/>
        <v>0</v>
      </c>
      <c r="BW401" s="319">
        <f t="shared" si="157"/>
        <v>0</v>
      </c>
      <c r="BX401" s="319">
        <f t="shared" si="157"/>
        <v>0</v>
      </c>
      <c r="BY401" s="319">
        <f t="shared" si="157"/>
        <v>0</v>
      </c>
      <c r="BZ401" s="319">
        <f t="shared" si="157"/>
        <v>0</v>
      </c>
      <c r="CA401" s="319">
        <f t="shared" si="157"/>
        <v>0</v>
      </c>
      <c r="CB401" s="319">
        <f t="shared" si="157"/>
        <v>0</v>
      </c>
      <c r="CC401" s="319">
        <f t="shared" si="157"/>
        <v>0</v>
      </c>
      <c r="CD401" s="319">
        <f t="shared" si="157"/>
        <v>0</v>
      </c>
      <c r="CE401" s="319">
        <f t="shared" si="157"/>
        <v>0</v>
      </c>
      <c r="CF401" s="319">
        <f t="shared" si="157"/>
        <v>0</v>
      </c>
      <c r="CG401" s="319">
        <f t="shared" si="157"/>
        <v>0</v>
      </c>
      <c r="CH401" s="319">
        <f t="shared" si="157"/>
        <v>0</v>
      </c>
      <c r="CI401" s="319">
        <f t="shared" si="157"/>
        <v>0</v>
      </c>
      <c r="CJ401" s="319">
        <f t="shared" si="157"/>
        <v>0</v>
      </c>
      <c r="CK401" s="319">
        <f t="shared" si="157"/>
        <v>0</v>
      </c>
      <c r="CL401" s="319">
        <f t="shared" si="157"/>
        <v>0</v>
      </c>
      <c r="CM401" s="319">
        <f t="shared" si="157"/>
        <v>0</v>
      </c>
      <c r="CN401" s="319">
        <f t="shared" si="157"/>
        <v>0</v>
      </c>
      <c r="CO401" s="319">
        <f t="shared" si="157"/>
        <v>0</v>
      </c>
      <c r="CP401" s="319">
        <f t="shared" si="157"/>
        <v>0</v>
      </c>
      <c r="CQ401" s="319">
        <f t="shared" si="157"/>
        <v>0</v>
      </c>
      <c r="CR401" s="319">
        <f t="shared" si="157"/>
        <v>0</v>
      </c>
      <c r="CS401" s="319">
        <f t="shared" si="157"/>
        <v>0</v>
      </c>
      <c r="CT401" s="319">
        <f t="shared" si="157"/>
        <v>0</v>
      </c>
      <c r="CU401" s="319">
        <f t="shared" si="157"/>
        <v>0</v>
      </c>
      <c r="CV401" s="319">
        <f t="shared" si="157"/>
        <v>0</v>
      </c>
    </row>
    <row r="402" spans="1:100" x14ac:dyDescent="0.25">
      <c r="A402" s="319">
        <f t="shared" si="153"/>
        <v>0</v>
      </c>
      <c r="B402" s="319">
        <f t="shared" si="156"/>
        <v>0</v>
      </c>
      <c r="C402" s="345" t="str">
        <f>IF(Sandbox!AX77="","",Sandbox!AX77)</f>
        <v/>
      </c>
      <c r="D402" s="343" t="str">
        <f>IF(Sandbox!$BH$54="","",Sandbox!$BH$54)</f>
        <v/>
      </c>
      <c r="E402" s="343" t="str">
        <f>IF(Sandbox!AY77="","",Sandbox!AY77)</f>
        <v/>
      </c>
      <c r="F402" s="343" t="str">
        <f>IF(E402&lt;CharacterSheet!$V$34,"Yes","No")</f>
        <v>No</v>
      </c>
      <c r="G402" s="342" t="s">
        <v>347</v>
      </c>
      <c r="H402" s="333" t="str">
        <f>IF(C402="","",VLOOKUP(C402,Boonref2!A:B,2,FALSE))</f>
        <v/>
      </c>
      <c r="I402" s="333"/>
      <c r="J402" s="333" t="str">
        <f>VLOOKUP(C402,BoonRef!A:Z,17,FALSE)</f>
        <v>Yes</v>
      </c>
      <c r="K402" s="333" t="str">
        <f>IF(J402="God",'House Rules'!$B$2,IF(J402="Demi",'House Rules'!$B$1,IF(J402="Comp",'House Rules'!$B$4,IF(J402="Yaz",'House Rules'!$B$5,IF(J402="Rag",'House Rules'!$B$3,"Available")))))</f>
        <v>Available</v>
      </c>
      <c r="L402" s="333"/>
      <c r="M402" s="333"/>
      <c r="BF402" s="319">
        <f t="shared" si="151"/>
        <v>0</v>
      </c>
      <c r="BG402" s="340" t="s">
        <v>1508</v>
      </c>
      <c r="BI402" s="319">
        <f t="shared" si="154"/>
        <v>0</v>
      </c>
      <c r="BJ402" s="319">
        <f t="shared" si="157"/>
        <v>0</v>
      </c>
      <c r="BK402" s="319">
        <f t="shared" si="157"/>
        <v>0</v>
      </c>
      <c r="BL402" s="319">
        <f t="shared" si="157"/>
        <v>0</v>
      </c>
      <c r="BM402" s="319">
        <f t="shared" si="157"/>
        <v>0</v>
      </c>
      <c r="BN402" s="319">
        <f t="shared" si="157"/>
        <v>0</v>
      </c>
      <c r="BO402" s="319">
        <f t="shared" si="157"/>
        <v>0</v>
      </c>
      <c r="BP402" s="319">
        <f t="shared" si="157"/>
        <v>0</v>
      </c>
      <c r="BQ402" s="319">
        <f t="shared" si="157"/>
        <v>0</v>
      </c>
      <c r="BR402" s="319">
        <f t="shared" si="157"/>
        <v>0</v>
      </c>
      <c r="BS402" s="319">
        <f t="shared" si="157"/>
        <v>0</v>
      </c>
      <c r="BT402" s="319">
        <f t="shared" si="157"/>
        <v>0</v>
      </c>
      <c r="BU402" s="319">
        <f t="shared" si="157"/>
        <v>0</v>
      </c>
      <c r="BV402" s="319">
        <f t="shared" si="157"/>
        <v>0</v>
      </c>
      <c r="BW402" s="319">
        <f t="shared" si="157"/>
        <v>0</v>
      </c>
      <c r="BX402" s="319">
        <f t="shared" si="157"/>
        <v>0</v>
      </c>
      <c r="BY402" s="319">
        <f t="shared" si="157"/>
        <v>0</v>
      </c>
      <c r="BZ402" s="319">
        <f t="shared" si="157"/>
        <v>0</v>
      </c>
      <c r="CA402" s="319">
        <f t="shared" si="157"/>
        <v>0</v>
      </c>
      <c r="CB402" s="319">
        <f t="shared" si="157"/>
        <v>0</v>
      </c>
      <c r="CC402" s="319">
        <f t="shared" si="157"/>
        <v>0</v>
      </c>
      <c r="CD402" s="319">
        <f t="shared" si="157"/>
        <v>0</v>
      </c>
      <c r="CE402" s="319">
        <f t="shared" si="157"/>
        <v>0</v>
      </c>
      <c r="CF402" s="319">
        <f t="shared" si="157"/>
        <v>0</v>
      </c>
      <c r="CG402" s="319">
        <f t="shared" si="157"/>
        <v>0</v>
      </c>
      <c r="CH402" s="319">
        <f t="shared" si="157"/>
        <v>0</v>
      </c>
      <c r="CI402" s="319">
        <f t="shared" si="157"/>
        <v>0</v>
      </c>
      <c r="CJ402" s="319">
        <f t="shared" si="157"/>
        <v>0</v>
      </c>
      <c r="CK402" s="319">
        <f t="shared" si="157"/>
        <v>0</v>
      </c>
      <c r="CL402" s="319">
        <f t="shared" si="157"/>
        <v>0</v>
      </c>
      <c r="CM402" s="319">
        <f t="shared" si="157"/>
        <v>0</v>
      </c>
      <c r="CN402" s="319">
        <f t="shared" si="157"/>
        <v>0</v>
      </c>
      <c r="CO402" s="319">
        <f t="shared" si="157"/>
        <v>0</v>
      </c>
      <c r="CP402" s="319">
        <f t="shared" si="157"/>
        <v>0</v>
      </c>
      <c r="CQ402" s="319">
        <f t="shared" si="157"/>
        <v>0</v>
      </c>
      <c r="CR402" s="319">
        <f t="shared" si="157"/>
        <v>0</v>
      </c>
      <c r="CS402" s="319">
        <f t="shared" si="157"/>
        <v>0</v>
      </c>
      <c r="CT402" s="319">
        <f t="shared" si="157"/>
        <v>0</v>
      </c>
      <c r="CU402" s="319">
        <f t="shared" si="157"/>
        <v>0</v>
      </c>
      <c r="CV402" s="319">
        <f t="shared" si="157"/>
        <v>0</v>
      </c>
    </row>
    <row r="403" spans="1:100" ht="15.75" thickBot="1" x14ac:dyDescent="0.3">
      <c r="A403" s="319">
        <f t="shared" si="153"/>
        <v>0</v>
      </c>
      <c r="B403" s="319">
        <f t="shared" si="156"/>
        <v>0</v>
      </c>
      <c r="C403" s="355" t="str">
        <f>IF(Sandbox!AX78="","",Sandbox!AX78)</f>
        <v/>
      </c>
      <c r="D403" s="363" t="str">
        <f>IF(Sandbox!$BH$54="","",Sandbox!$BH$54)</f>
        <v/>
      </c>
      <c r="E403" s="363" t="str">
        <f>IF(Sandbox!AY78="","",Sandbox!AY78)</f>
        <v/>
      </c>
      <c r="F403" s="363" t="str">
        <f>IF(E403&lt;CharacterSheet!$V$34,"Yes","No")</f>
        <v>No</v>
      </c>
      <c r="G403" s="354" t="s">
        <v>347</v>
      </c>
      <c r="H403" s="333" t="str">
        <f>IF(C403="","",VLOOKUP(C403,Boonref2!A:B,2,FALSE))</f>
        <v/>
      </c>
      <c r="I403" s="333"/>
      <c r="J403" s="333" t="str">
        <f>VLOOKUP(C403,BoonRef!A:Z,17,FALSE)</f>
        <v>Yes</v>
      </c>
      <c r="K403" s="333" t="str">
        <f>IF(J403="God",'House Rules'!$B$2,IF(J403="Demi",'House Rules'!$B$1,IF(J403="Comp",'House Rules'!$B$4,IF(J403="Yaz",'House Rules'!$B$5,IF(J403="Rag",'House Rules'!$B$3,"Available")))))</f>
        <v>Available</v>
      </c>
      <c r="L403" s="333"/>
      <c r="M403" s="333"/>
      <c r="BF403" s="319">
        <f t="shared" si="151"/>
        <v>0</v>
      </c>
      <c r="BG403" s="352" t="s">
        <v>1509</v>
      </c>
      <c r="BI403" s="319">
        <f t="shared" si="154"/>
        <v>0</v>
      </c>
      <c r="BJ403" s="319">
        <f t="shared" si="157"/>
        <v>0</v>
      </c>
      <c r="BK403" s="319">
        <f t="shared" si="157"/>
        <v>0</v>
      </c>
      <c r="BL403" s="319">
        <f t="shared" si="157"/>
        <v>0</v>
      </c>
      <c r="BM403" s="319">
        <f t="shared" si="157"/>
        <v>0</v>
      </c>
      <c r="BN403" s="319">
        <f t="shared" si="157"/>
        <v>0</v>
      </c>
      <c r="BO403" s="319">
        <f t="shared" si="157"/>
        <v>0</v>
      </c>
      <c r="BP403" s="319">
        <f t="shared" si="157"/>
        <v>0</v>
      </c>
      <c r="BQ403" s="319">
        <f t="shared" si="157"/>
        <v>0</v>
      </c>
      <c r="BR403" s="319">
        <f t="shared" si="157"/>
        <v>0</v>
      </c>
      <c r="BS403" s="319">
        <f t="shared" si="157"/>
        <v>0</v>
      </c>
      <c r="BT403" s="319">
        <f t="shared" si="157"/>
        <v>0</v>
      </c>
      <c r="BU403" s="319">
        <f t="shared" si="157"/>
        <v>0</v>
      </c>
      <c r="BV403" s="319">
        <f t="shared" si="157"/>
        <v>0</v>
      </c>
      <c r="BW403" s="319">
        <f t="shared" si="157"/>
        <v>0</v>
      </c>
      <c r="BX403" s="319">
        <f t="shared" si="157"/>
        <v>0</v>
      </c>
      <c r="BY403" s="319">
        <f t="shared" si="157"/>
        <v>0</v>
      </c>
      <c r="BZ403" s="319">
        <f t="shared" si="157"/>
        <v>0</v>
      </c>
      <c r="CA403" s="319">
        <f t="shared" si="157"/>
        <v>0</v>
      </c>
      <c r="CB403" s="319">
        <f t="shared" si="157"/>
        <v>0</v>
      </c>
      <c r="CC403" s="319">
        <f t="shared" si="157"/>
        <v>0</v>
      </c>
      <c r="CD403" s="319">
        <f t="shared" si="157"/>
        <v>0</v>
      </c>
      <c r="CE403" s="319">
        <f t="shared" si="157"/>
        <v>0</v>
      </c>
      <c r="CF403" s="319">
        <f t="shared" si="157"/>
        <v>0</v>
      </c>
      <c r="CG403" s="319">
        <f t="shared" si="157"/>
        <v>0</v>
      </c>
      <c r="CH403" s="319">
        <f t="shared" si="157"/>
        <v>0</v>
      </c>
      <c r="CI403" s="319">
        <f t="shared" si="157"/>
        <v>0</v>
      </c>
      <c r="CJ403" s="319">
        <f t="shared" si="157"/>
        <v>0</v>
      </c>
      <c r="CK403" s="319">
        <f t="shared" si="157"/>
        <v>0</v>
      </c>
      <c r="CL403" s="319">
        <f t="shared" si="157"/>
        <v>0</v>
      </c>
      <c r="CM403" s="319">
        <f t="shared" si="157"/>
        <v>0</v>
      </c>
      <c r="CN403" s="319">
        <f t="shared" si="157"/>
        <v>0</v>
      </c>
      <c r="CO403" s="319">
        <f t="shared" si="157"/>
        <v>0</v>
      </c>
      <c r="CP403" s="319">
        <f t="shared" si="157"/>
        <v>0</v>
      </c>
      <c r="CQ403" s="319">
        <f t="shared" si="157"/>
        <v>0</v>
      </c>
      <c r="CR403" s="319">
        <f t="shared" si="157"/>
        <v>0</v>
      </c>
      <c r="CS403" s="319">
        <f t="shared" si="157"/>
        <v>0</v>
      </c>
      <c r="CT403" s="319">
        <f t="shared" si="157"/>
        <v>0</v>
      </c>
      <c r="CU403" s="319">
        <f t="shared" si="157"/>
        <v>0</v>
      </c>
      <c r="CV403" s="319">
        <f t="shared" si="157"/>
        <v>0</v>
      </c>
    </row>
    <row r="404" spans="1:100" x14ac:dyDescent="0.25">
      <c r="A404" s="319">
        <f t="shared" si="153"/>
        <v>0</v>
      </c>
      <c r="B404" s="319">
        <f t="shared" si="156"/>
        <v>0</v>
      </c>
      <c r="C404" s="336" t="str">
        <f>IF(Sandbox!AX83="","",Sandbox!AX83)</f>
        <v/>
      </c>
      <c r="D404" s="334" t="str">
        <f>IF(Sandbox!$BH$79="","",Sandbox!$BH$79)</f>
        <v/>
      </c>
      <c r="E404" s="334" t="str">
        <f>IF(Sandbox!AY83="","",Sandbox!AY83)</f>
        <v/>
      </c>
      <c r="F404" s="334" t="str">
        <f>IF(E404&lt;CharacterSheet!$V$34,"Yes","No")</f>
        <v>No</v>
      </c>
      <c r="G404" s="332" t="s">
        <v>347</v>
      </c>
      <c r="H404" s="333" t="str">
        <f>IF(C404="","",VLOOKUP(C404,Boonref2!A:B,2,FALSE))</f>
        <v/>
      </c>
      <c r="I404" s="333"/>
      <c r="J404" s="333" t="str">
        <f>VLOOKUP(C404,BoonRef!A:Z,17,FALSE)</f>
        <v>Yes</v>
      </c>
      <c r="K404" s="333" t="str">
        <f>IF(J404="God",'House Rules'!$B$2,IF(J404="Demi",'House Rules'!$B$1,IF(J404="Comp",'House Rules'!$B$4,IF(J404="Yaz",'House Rules'!$B$5,IF(J404="Rag",'House Rules'!$B$3,"Available")))))</f>
        <v>Available</v>
      </c>
      <c r="L404" s="333"/>
      <c r="M404" s="333"/>
      <c r="BF404" s="319">
        <f t="shared" si="151"/>
        <v>0</v>
      </c>
      <c r="BG404" s="330" t="s">
        <v>1091</v>
      </c>
      <c r="BI404" s="319">
        <f t="shared" si="154"/>
        <v>0</v>
      </c>
      <c r="BJ404" s="319">
        <f t="shared" ref="BJ404:CV410" si="158">IF(AND($D404=BJ$1,$G404="Yes"),$E404,0)</f>
        <v>0</v>
      </c>
      <c r="BK404" s="319">
        <f t="shared" si="158"/>
        <v>0</v>
      </c>
      <c r="BL404" s="319">
        <f t="shared" si="158"/>
        <v>0</v>
      </c>
      <c r="BM404" s="319">
        <f t="shared" si="158"/>
        <v>0</v>
      </c>
      <c r="BN404" s="319">
        <f t="shared" si="158"/>
        <v>0</v>
      </c>
      <c r="BO404" s="319">
        <f t="shared" si="158"/>
        <v>0</v>
      </c>
      <c r="BP404" s="319">
        <f t="shared" si="158"/>
        <v>0</v>
      </c>
      <c r="BQ404" s="319">
        <f t="shared" si="158"/>
        <v>0</v>
      </c>
      <c r="BR404" s="319">
        <f t="shared" si="158"/>
        <v>0</v>
      </c>
      <c r="BS404" s="319">
        <f t="shared" si="158"/>
        <v>0</v>
      </c>
      <c r="BT404" s="319">
        <f t="shared" si="158"/>
        <v>0</v>
      </c>
      <c r="BU404" s="319">
        <f t="shared" si="158"/>
        <v>0</v>
      </c>
      <c r="BV404" s="319">
        <f t="shared" si="158"/>
        <v>0</v>
      </c>
      <c r="BW404" s="319">
        <f t="shared" si="158"/>
        <v>0</v>
      </c>
      <c r="BX404" s="319">
        <f t="shared" si="158"/>
        <v>0</v>
      </c>
      <c r="BY404" s="319">
        <f t="shared" si="158"/>
        <v>0</v>
      </c>
      <c r="BZ404" s="319">
        <f t="shared" si="158"/>
        <v>0</v>
      </c>
      <c r="CA404" s="319">
        <f t="shared" si="158"/>
        <v>0</v>
      </c>
      <c r="CB404" s="319">
        <f t="shared" si="158"/>
        <v>0</v>
      </c>
      <c r="CC404" s="319">
        <f t="shared" si="158"/>
        <v>0</v>
      </c>
      <c r="CD404" s="319">
        <f t="shared" si="158"/>
        <v>0</v>
      </c>
      <c r="CE404" s="319">
        <f t="shared" si="158"/>
        <v>0</v>
      </c>
      <c r="CF404" s="319">
        <f t="shared" si="158"/>
        <v>0</v>
      </c>
      <c r="CG404" s="319">
        <f t="shared" si="158"/>
        <v>0</v>
      </c>
      <c r="CH404" s="319">
        <f t="shared" si="158"/>
        <v>0</v>
      </c>
      <c r="CI404" s="319">
        <f t="shared" si="158"/>
        <v>0</v>
      </c>
      <c r="CJ404" s="319">
        <f t="shared" si="158"/>
        <v>0</v>
      </c>
      <c r="CK404" s="319">
        <f t="shared" si="158"/>
        <v>0</v>
      </c>
      <c r="CL404" s="319">
        <f t="shared" si="158"/>
        <v>0</v>
      </c>
      <c r="CM404" s="319">
        <f t="shared" si="158"/>
        <v>0</v>
      </c>
      <c r="CN404" s="319">
        <f t="shared" si="158"/>
        <v>0</v>
      </c>
      <c r="CO404" s="319">
        <f t="shared" si="158"/>
        <v>0</v>
      </c>
      <c r="CP404" s="319">
        <f t="shared" si="158"/>
        <v>0</v>
      </c>
      <c r="CQ404" s="319">
        <f t="shared" si="158"/>
        <v>0</v>
      </c>
      <c r="CR404" s="319">
        <f t="shared" si="158"/>
        <v>0</v>
      </c>
      <c r="CS404" s="319">
        <f t="shared" si="158"/>
        <v>0</v>
      </c>
      <c r="CT404" s="319">
        <f t="shared" si="158"/>
        <v>0</v>
      </c>
      <c r="CU404" s="319">
        <f t="shared" si="158"/>
        <v>0</v>
      </c>
      <c r="CV404" s="319">
        <f t="shared" si="158"/>
        <v>0</v>
      </c>
    </row>
    <row r="405" spans="1:100" x14ac:dyDescent="0.25">
      <c r="A405" s="319">
        <f t="shared" si="153"/>
        <v>0</v>
      </c>
      <c r="B405" s="319">
        <f t="shared" si="156"/>
        <v>0</v>
      </c>
      <c r="C405" s="345" t="str">
        <f>IF(Sandbox!AX84="","",Sandbox!AX84)</f>
        <v/>
      </c>
      <c r="D405" s="343" t="str">
        <f>IF(Sandbox!$BH$79="","",Sandbox!$BH$79)</f>
        <v/>
      </c>
      <c r="E405" s="343" t="str">
        <f>IF(Sandbox!AY84="","",Sandbox!AY84)</f>
        <v/>
      </c>
      <c r="F405" s="343" t="str">
        <f>IF(E405&lt;CharacterSheet!$V$34,"Yes","No")</f>
        <v>No</v>
      </c>
      <c r="G405" s="342" t="s">
        <v>347</v>
      </c>
      <c r="H405" s="333" t="str">
        <f>IF(C405="","",VLOOKUP(C405,Boonref2!A:B,2,FALSE))</f>
        <v/>
      </c>
      <c r="I405" s="333"/>
      <c r="J405" s="333" t="str">
        <f>VLOOKUP(C405,BoonRef!A:Z,17,FALSE)</f>
        <v>Yes</v>
      </c>
      <c r="K405" s="333" t="str">
        <f>IF(J405="God",'House Rules'!$B$2,IF(J405="Demi",'House Rules'!$B$1,IF(J405="Comp",'House Rules'!$B$4,IF(J405="Yaz",'House Rules'!$B$5,IF(J405="Rag",'House Rules'!$B$3,"Available")))))</f>
        <v>Available</v>
      </c>
      <c r="L405" s="333"/>
      <c r="M405" s="333"/>
      <c r="BF405" s="319">
        <f t="shared" si="151"/>
        <v>0</v>
      </c>
      <c r="BG405" s="340" t="s">
        <v>1092</v>
      </c>
      <c r="BI405" s="319">
        <f t="shared" si="154"/>
        <v>0</v>
      </c>
      <c r="BJ405" s="319">
        <f t="shared" si="158"/>
        <v>0</v>
      </c>
      <c r="BK405" s="319">
        <f t="shared" si="158"/>
        <v>0</v>
      </c>
      <c r="BL405" s="319">
        <f t="shared" si="158"/>
        <v>0</v>
      </c>
      <c r="BM405" s="319">
        <f t="shared" si="158"/>
        <v>0</v>
      </c>
      <c r="BN405" s="319">
        <f t="shared" si="158"/>
        <v>0</v>
      </c>
      <c r="BO405" s="319">
        <f t="shared" si="158"/>
        <v>0</v>
      </c>
      <c r="BP405" s="319">
        <f t="shared" si="158"/>
        <v>0</v>
      </c>
      <c r="BQ405" s="319">
        <f t="shared" si="158"/>
        <v>0</v>
      </c>
      <c r="BR405" s="319">
        <f t="shared" si="158"/>
        <v>0</v>
      </c>
      <c r="BS405" s="319">
        <f t="shared" si="158"/>
        <v>0</v>
      </c>
      <c r="BT405" s="319">
        <f t="shared" si="158"/>
        <v>0</v>
      </c>
      <c r="BU405" s="319">
        <f t="shared" si="158"/>
        <v>0</v>
      </c>
      <c r="BV405" s="319">
        <f t="shared" si="158"/>
        <v>0</v>
      </c>
      <c r="BW405" s="319">
        <f t="shared" si="158"/>
        <v>0</v>
      </c>
      <c r="BX405" s="319">
        <f t="shared" si="158"/>
        <v>0</v>
      </c>
      <c r="BY405" s="319">
        <f t="shared" si="158"/>
        <v>0</v>
      </c>
      <c r="BZ405" s="319">
        <f t="shared" si="158"/>
        <v>0</v>
      </c>
      <c r="CA405" s="319">
        <f t="shared" si="158"/>
        <v>0</v>
      </c>
      <c r="CB405" s="319">
        <f t="shared" si="158"/>
        <v>0</v>
      </c>
      <c r="CC405" s="319">
        <f t="shared" si="158"/>
        <v>0</v>
      </c>
      <c r="CD405" s="319">
        <f t="shared" si="158"/>
        <v>0</v>
      </c>
      <c r="CE405" s="319">
        <f t="shared" si="158"/>
        <v>0</v>
      </c>
      <c r="CF405" s="319">
        <f t="shared" si="158"/>
        <v>0</v>
      </c>
      <c r="CG405" s="319">
        <f t="shared" si="158"/>
        <v>0</v>
      </c>
      <c r="CH405" s="319">
        <f t="shared" si="158"/>
        <v>0</v>
      </c>
      <c r="CI405" s="319">
        <f t="shared" si="158"/>
        <v>0</v>
      </c>
      <c r="CJ405" s="319">
        <f t="shared" si="158"/>
        <v>0</v>
      </c>
      <c r="CK405" s="319">
        <f t="shared" si="158"/>
        <v>0</v>
      </c>
      <c r="CL405" s="319">
        <f t="shared" si="158"/>
        <v>0</v>
      </c>
      <c r="CM405" s="319">
        <f t="shared" si="158"/>
        <v>0</v>
      </c>
      <c r="CN405" s="319">
        <f t="shared" si="158"/>
        <v>0</v>
      </c>
      <c r="CO405" s="319">
        <f t="shared" si="158"/>
        <v>0</v>
      </c>
      <c r="CP405" s="319">
        <f t="shared" si="158"/>
        <v>0</v>
      </c>
      <c r="CQ405" s="319">
        <f t="shared" si="158"/>
        <v>0</v>
      </c>
      <c r="CR405" s="319">
        <f t="shared" si="158"/>
        <v>0</v>
      </c>
      <c r="CS405" s="319">
        <f t="shared" si="158"/>
        <v>0</v>
      </c>
      <c r="CT405" s="319">
        <f t="shared" si="158"/>
        <v>0</v>
      </c>
      <c r="CU405" s="319">
        <f t="shared" si="158"/>
        <v>0</v>
      </c>
      <c r="CV405" s="319">
        <f t="shared" si="158"/>
        <v>0</v>
      </c>
    </row>
    <row r="406" spans="1:100" x14ac:dyDescent="0.25">
      <c r="A406" s="319">
        <f t="shared" si="153"/>
        <v>0</v>
      </c>
      <c r="B406" s="319">
        <f t="shared" si="156"/>
        <v>0</v>
      </c>
      <c r="C406" s="345" t="str">
        <f>IF(Sandbox!AX85="","",Sandbox!AX85)</f>
        <v/>
      </c>
      <c r="D406" s="343" t="str">
        <f>IF(Sandbox!$BH$79="","",Sandbox!$BH$79)</f>
        <v/>
      </c>
      <c r="E406" s="343" t="str">
        <f>IF(Sandbox!AY85="","",Sandbox!AY85)</f>
        <v/>
      </c>
      <c r="F406" s="343" t="str">
        <f>IF(E406&lt;CharacterSheet!$V$34,"Yes","No")</f>
        <v>No</v>
      </c>
      <c r="G406" s="342" t="s">
        <v>347</v>
      </c>
      <c r="H406" s="333" t="str">
        <f>IF(C406="","",VLOOKUP(C406,Boonref2!A:B,2,FALSE))</f>
        <v/>
      </c>
      <c r="I406" s="333"/>
      <c r="J406" s="333" t="str">
        <f>VLOOKUP(C406,BoonRef!A:Z,17,FALSE)</f>
        <v>Yes</v>
      </c>
      <c r="K406" s="333" t="str">
        <f>IF(J406="God",'House Rules'!$B$2,IF(J406="Demi",'House Rules'!$B$1,IF(J406="Comp",'House Rules'!$B$4,IF(J406="Yaz",'House Rules'!$B$5,IF(J406="Rag",'House Rules'!$B$3,"Available")))))</f>
        <v>Available</v>
      </c>
      <c r="L406" s="333"/>
      <c r="M406" s="333"/>
      <c r="BF406" s="319">
        <f t="shared" si="151"/>
        <v>0</v>
      </c>
      <c r="BG406" s="340" t="s">
        <v>1397</v>
      </c>
      <c r="BI406" s="319">
        <f t="shared" si="154"/>
        <v>0</v>
      </c>
      <c r="BJ406" s="319">
        <f t="shared" si="158"/>
        <v>0</v>
      </c>
      <c r="BK406" s="319">
        <f t="shared" si="158"/>
        <v>0</v>
      </c>
      <c r="BL406" s="319">
        <f t="shared" si="158"/>
        <v>0</v>
      </c>
      <c r="BM406" s="319">
        <f t="shared" si="158"/>
        <v>0</v>
      </c>
      <c r="BN406" s="319">
        <f t="shared" si="158"/>
        <v>0</v>
      </c>
      <c r="BO406" s="319">
        <f t="shared" si="158"/>
        <v>0</v>
      </c>
      <c r="BP406" s="319">
        <f t="shared" si="158"/>
        <v>0</v>
      </c>
      <c r="BQ406" s="319">
        <f t="shared" si="158"/>
        <v>0</v>
      </c>
      <c r="BR406" s="319">
        <f t="shared" si="158"/>
        <v>0</v>
      </c>
      <c r="BS406" s="319">
        <f t="shared" si="158"/>
        <v>0</v>
      </c>
      <c r="BT406" s="319">
        <f t="shared" si="158"/>
        <v>0</v>
      </c>
      <c r="BU406" s="319">
        <f t="shared" si="158"/>
        <v>0</v>
      </c>
      <c r="BV406" s="319">
        <f t="shared" si="158"/>
        <v>0</v>
      </c>
      <c r="BW406" s="319">
        <f t="shared" si="158"/>
        <v>0</v>
      </c>
      <c r="BX406" s="319">
        <f t="shared" si="158"/>
        <v>0</v>
      </c>
      <c r="BY406" s="319">
        <f t="shared" si="158"/>
        <v>0</v>
      </c>
      <c r="BZ406" s="319">
        <f t="shared" si="158"/>
        <v>0</v>
      </c>
      <c r="CA406" s="319">
        <f t="shared" si="158"/>
        <v>0</v>
      </c>
      <c r="CB406" s="319">
        <f t="shared" si="158"/>
        <v>0</v>
      </c>
      <c r="CC406" s="319">
        <f t="shared" si="158"/>
        <v>0</v>
      </c>
      <c r="CD406" s="319">
        <f t="shared" si="158"/>
        <v>0</v>
      </c>
      <c r="CE406" s="319">
        <f t="shared" si="158"/>
        <v>0</v>
      </c>
      <c r="CF406" s="319">
        <f t="shared" si="158"/>
        <v>0</v>
      </c>
      <c r="CG406" s="319">
        <f t="shared" si="158"/>
        <v>0</v>
      </c>
      <c r="CH406" s="319">
        <f t="shared" si="158"/>
        <v>0</v>
      </c>
      <c r="CI406" s="319">
        <f t="shared" si="158"/>
        <v>0</v>
      </c>
      <c r="CJ406" s="319">
        <f t="shared" si="158"/>
        <v>0</v>
      </c>
      <c r="CK406" s="319">
        <f t="shared" si="158"/>
        <v>0</v>
      </c>
      <c r="CL406" s="319">
        <f t="shared" si="158"/>
        <v>0</v>
      </c>
      <c r="CM406" s="319">
        <f t="shared" si="158"/>
        <v>0</v>
      </c>
      <c r="CN406" s="319">
        <f t="shared" si="158"/>
        <v>0</v>
      </c>
      <c r="CO406" s="319">
        <f t="shared" si="158"/>
        <v>0</v>
      </c>
      <c r="CP406" s="319">
        <f t="shared" si="158"/>
        <v>0</v>
      </c>
      <c r="CQ406" s="319">
        <f t="shared" si="158"/>
        <v>0</v>
      </c>
      <c r="CR406" s="319">
        <f t="shared" si="158"/>
        <v>0</v>
      </c>
      <c r="CS406" s="319">
        <f t="shared" si="158"/>
        <v>0</v>
      </c>
      <c r="CT406" s="319">
        <f t="shared" si="158"/>
        <v>0</v>
      </c>
      <c r="CU406" s="319">
        <f t="shared" si="158"/>
        <v>0</v>
      </c>
      <c r="CV406" s="319">
        <f t="shared" si="158"/>
        <v>0</v>
      </c>
    </row>
    <row r="407" spans="1:100" x14ac:dyDescent="0.25">
      <c r="A407" s="319">
        <f t="shared" si="153"/>
        <v>0</v>
      </c>
      <c r="B407" s="319">
        <f t="shared" si="156"/>
        <v>0</v>
      </c>
      <c r="C407" s="345" t="str">
        <f>IF(Sandbox!AX86="","",Sandbox!AX86)</f>
        <v/>
      </c>
      <c r="D407" s="343" t="str">
        <f>IF(Sandbox!$BH$79="","",Sandbox!$BH$79)</f>
        <v/>
      </c>
      <c r="E407" s="343" t="str">
        <f>IF(Sandbox!AY86="","",Sandbox!AY86)</f>
        <v/>
      </c>
      <c r="F407" s="343" t="str">
        <f>IF(E407&lt;CharacterSheet!$V$34,"Yes","No")</f>
        <v>No</v>
      </c>
      <c r="G407" s="342" t="s">
        <v>347</v>
      </c>
      <c r="H407" s="333" t="str">
        <f>IF(C407="","",VLOOKUP(C407,Boonref2!A:B,2,FALSE))</f>
        <v/>
      </c>
      <c r="I407" s="333"/>
      <c r="J407" s="333" t="str">
        <f>VLOOKUP(C407,BoonRef!A:Z,17,FALSE)</f>
        <v>Yes</v>
      </c>
      <c r="K407" s="333" t="str">
        <f>IF(J407="God",'House Rules'!$B$2,IF(J407="Demi",'House Rules'!$B$1,IF(J407="Comp",'House Rules'!$B$4,IF(J407="Yaz",'House Rules'!$B$5,IF(J407="Rag",'House Rules'!$B$3,"Available")))))</f>
        <v>Available</v>
      </c>
      <c r="L407" s="333"/>
      <c r="M407" s="333"/>
      <c r="BF407" s="319">
        <f t="shared" si="151"/>
        <v>0</v>
      </c>
      <c r="BG407" s="340" t="s">
        <v>1093</v>
      </c>
      <c r="BI407" s="319">
        <f t="shared" si="154"/>
        <v>0</v>
      </c>
      <c r="BJ407" s="319">
        <f t="shared" si="158"/>
        <v>0</v>
      </c>
      <c r="BK407" s="319">
        <f t="shared" si="158"/>
        <v>0</v>
      </c>
      <c r="BL407" s="319">
        <f t="shared" si="158"/>
        <v>0</v>
      </c>
      <c r="BM407" s="319">
        <f t="shared" si="158"/>
        <v>0</v>
      </c>
      <c r="BN407" s="319">
        <f t="shared" si="158"/>
        <v>0</v>
      </c>
      <c r="BO407" s="319">
        <f t="shared" si="158"/>
        <v>0</v>
      </c>
      <c r="BP407" s="319">
        <f t="shared" si="158"/>
        <v>0</v>
      </c>
      <c r="BQ407" s="319">
        <f t="shared" si="158"/>
        <v>0</v>
      </c>
      <c r="BR407" s="319">
        <f t="shared" si="158"/>
        <v>0</v>
      </c>
      <c r="BS407" s="319">
        <f t="shared" si="158"/>
        <v>0</v>
      </c>
      <c r="BT407" s="319">
        <f t="shared" si="158"/>
        <v>0</v>
      </c>
      <c r="BU407" s="319">
        <f t="shared" si="158"/>
        <v>0</v>
      </c>
      <c r="BV407" s="319">
        <f t="shared" si="158"/>
        <v>0</v>
      </c>
      <c r="BW407" s="319">
        <f t="shared" si="158"/>
        <v>0</v>
      </c>
      <c r="BX407" s="319">
        <f t="shared" si="158"/>
        <v>0</v>
      </c>
      <c r="BY407" s="319">
        <f t="shared" si="158"/>
        <v>0</v>
      </c>
      <c r="BZ407" s="319">
        <f t="shared" si="158"/>
        <v>0</v>
      </c>
      <c r="CA407" s="319">
        <f t="shared" si="158"/>
        <v>0</v>
      </c>
      <c r="CB407" s="319">
        <f t="shared" si="158"/>
        <v>0</v>
      </c>
      <c r="CC407" s="319">
        <f t="shared" si="158"/>
        <v>0</v>
      </c>
      <c r="CD407" s="319">
        <f t="shared" si="158"/>
        <v>0</v>
      </c>
      <c r="CE407" s="319">
        <f t="shared" si="158"/>
        <v>0</v>
      </c>
      <c r="CF407" s="319">
        <f t="shared" si="158"/>
        <v>0</v>
      </c>
      <c r="CG407" s="319">
        <f t="shared" si="158"/>
        <v>0</v>
      </c>
      <c r="CH407" s="319">
        <f t="shared" si="158"/>
        <v>0</v>
      </c>
      <c r="CI407" s="319">
        <f t="shared" si="158"/>
        <v>0</v>
      </c>
      <c r="CJ407" s="319">
        <f t="shared" si="158"/>
        <v>0</v>
      </c>
      <c r="CK407" s="319">
        <f t="shared" si="158"/>
        <v>0</v>
      </c>
      <c r="CL407" s="319">
        <f t="shared" si="158"/>
        <v>0</v>
      </c>
      <c r="CM407" s="319">
        <f t="shared" si="158"/>
        <v>0</v>
      </c>
      <c r="CN407" s="319">
        <f t="shared" si="158"/>
        <v>0</v>
      </c>
      <c r="CO407" s="319">
        <f t="shared" si="158"/>
        <v>0</v>
      </c>
      <c r="CP407" s="319">
        <f t="shared" si="158"/>
        <v>0</v>
      </c>
      <c r="CQ407" s="319">
        <f t="shared" si="158"/>
        <v>0</v>
      </c>
      <c r="CR407" s="319">
        <f t="shared" si="158"/>
        <v>0</v>
      </c>
      <c r="CS407" s="319">
        <f t="shared" si="158"/>
        <v>0</v>
      </c>
      <c r="CT407" s="319">
        <f t="shared" si="158"/>
        <v>0</v>
      </c>
      <c r="CU407" s="319">
        <f t="shared" si="158"/>
        <v>0</v>
      </c>
      <c r="CV407" s="319">
        <f t="shared" si="158"/>
        <v>0</v>
      </c>
    </row>
    <row r="408" spans="1:100" x14ac:dyDescent="0.25">
      <c r="A408" s="319">
        <f t="shared" si="153"/>
        <v>0</v>
      </c>
      <c r="B408" s="319">
        <f t="shared" si="156"/>
        <v>0</v>
      </c>
      <c r="C408" s="345" t="str">
        <f>IF(Sandbox!AX87="","",Sandbox!AX87)</f>
        <v/>
      </c>
      <c r="D408" s="343" t="str">
        <f>IF(Sandbox!$BH$79="","",Sandbox!$BH$79)</f>
        <v/>
      </c>
      <c r="E408" s="343" t="str">
        <f>IF(Sandbox!AY87="","",Sandbox!AY87)</f>
        <v/>
      </c>
      <c r="F408" s="343" t="str">
        <f>IF(E408&lt;CharacterSheet!$V$34,"Yes","No")</f>
        <v>No</v>
      </c>
      <c r="G408" s="342" t="s">
        <v>347</v>
      </c>
      <c r="H408" s="333" t="str">
        <f>IF(C408="","",VLOOKUP(C408,Boonref2!A:B,2,FALSE))</f>
        <v/>
      </c>
      <c r="I408" s="333"/>
      <c r="J408" s="333" t="str">
        <f>VLOOKUP(C408,BoonRef!A:Z,17,FALSE)</f>
        <v>Yes</v>
      </c>
      <c r="K408" s="333" t="str">
        <f>IF(J408="God",'House Rules'!$B$2,IF(J408="Demi",'House Rules'!$B$1,IF(J408="Comp",'House Rules'!$B$4,IF(J408="Yaz",'House Rules'!$B$5,IF(J408="Rag",'House Rules'!$B$3,"Available")))))</f>
        <v>Available</v>
      </c>
      <c r="L408" s="333"/>
      <c r="M408" s="333"/>
      <c r="BF408" s="319">
        <f t="shared" si="151"/>
        <v>0</v>
      </c>
      <c r="BG408" s="340" t="s">
        <v>1179</v>
      </c>
      <c r="BI408" s="319">
        <f t="shared" si="154"/>
        <v>0</v>
      </c>
      <c r="BJ408" s="319">
        <f t="shared" si="158"/>
        <v>0</v>
      </c>
      <c r="BK408" s="319">
        <f t="shared" si="158"/>
        <v>0</v>
      </c>
      <c r="BL408" s="319">
        <f t="shared" si="158"/>
        <v>0</v>
      </c>
      <c r="BM408" s="319">
        <f t="shared" si="158"/>
        <v>0</v>
      </c>
      <c r="BN408" s="319">
        <f t="shared" si="158"/>
        <v>0</v>
      </c>
      <c r="BO408" s="319">
        <f t="shared" si="158"/>
        <v>0</v>
      </c>
      <c r="BP408" s="319">
        <f t="shared" si="158"/>
        <v>0</v>
      </c>
      <c r="BQ408" s="319">
        <f t="shared" si="158"/>
        <v>0</v>
      </c>
      <c r="BR408" s="319">
        <f t="shared" si="158"/>
        <v>0</v>
      </c>
      <c r="BS408" s="319">
        <f t="shared" si="158"/>
        <v>0</v>
      </c>
      <c r="BT408" s="319">
        <f t="shared" si="158"/>
        <v>0</v>
      </c>
      <c r="BU408" s="319">
        <f t="shared" si="158"/>
        <v>0</v>
      </c>
      <c r="BV408" s="319">
        <f t="shared" si="158"/>
        <v>0</v>
      </c>
      <c r="BW408" s="319">
        <f t="shared" si="158"/>
        <v>0</v>
      </c>
      <c r="BX408" s="319">
        <f t="shared" si="158"/>
        <v>0</v>
      </c>
      <c r="BY408" s="319">
        <f t="shared" si="158"/>
        <v>0</v>
      </c>
      <c r="BZ408" s="319">
        <f t="shared" si="158"/>
        <v>0</v>
      </c>
      <c r="CA408" s="319">
        <f t="shared" si="158"/>
        <v>0</v>
      </c>
      <c r="CB408" s="319">
        <f t="shared" si="158"/>
        <v>0</v>
      </c>
      <c r="CC408" s="319">
        <f t="shared" si="158"/>
        <v>0</v>
      </c>
      <c r="CD408" s="319">
        <f t="shared" si="158"/>
        <v>0</v>
      </c>
      <c r="CE408" s="319">
        <f t="shared" si="158"/>
        <v>0</v>
      </c>
      <c r="CF408" s="319">
        <f t="shared" si="158"/>
        <v>0</v>
      </c>
      <c r="CG408" s="319">
        <f t="shared" si="158"/>
        <v>0</v>
      </c>
      <c r="CH408" s="319">
        <f t="shared" si="158"/>
        <v>0</v>
      </c>
      <c r="CI408" s="319">
        <f t="shared" si="158"/>
        <v>0</v>
      </c>
      <c r="CJ408" s="319">
        <f t="shared" si="158"/>
        <v>0</v>
      </c>
      <c r="CK408" s="319">
        <f t="shared" si="158"/>
        <v>0</v>
      </c>
      <c r="CL408" s="319">
        <f t="shared" si="158"/>
        <v>0</v>
      </c>
      <c r="CM408" s="319">
        <f t="shared" si="158"/>
        <v>0</v>
      </c>
      <c r="CN408" s="319">
        <f t="shared" si="158"/>
        <v>0</v>
      </c>
      <c r="CO408" s="319">
        <f t="shared" si="158"/>
        <v>0</v>
      </c>
      <c r="CP408" s="319">
        <f t="shared" si="158"/>
        <v>0</v>
      </c>
      <c r="CQ408" s="319">
        <f t="shared" si="158"/>
        <v>0</v>
      </c>
      <c r="CR408" s="319">
        <f t="shared" si="158"/>
        <v>0</v>
      </c>
      <c r="CS408" s="319">
        <f t="shared" si="158"/>
        <v>0</v>
      </c>
      <c r="CT408" s="319">
        <f t="shared" si="158"/>
        <v>0</v>
      </c>
      <c r="CU408" s="319">
        <f t="shared" si="158"/>
        <v>0</v>
      </c>
      <c r="CV408" s="319">
        <f t="shared" si="158"/>
        <v>0</v>
      </c>
    </row>
    <row r="409" spans="1:100" x14ac:dyDescent="0.25">
      <c r="A409" s="319">
        <f t="shared" si="153"/>
        <v>0</v>
      </c>
      <c r="B409" s="319">
        <f t="shared" si="156"/>
        <v>0</v>
      </c>
      <c r="C409" s="345" t="str">
        <f>IF(Sandbox!AX88="","",Sandbox!AX88)</f>
        <v/>
      </c>
      <c r="D409" s="343" t="str">
        <f>IF(Sandbox!$BH$79="","",Sandbox!$BH$79)</f>
        <v/>
      </c>
      <c r="E409" s="343" t="str">
        <f>IF(Sandbox!AY88="","",Sandbox!AY88)</f>
        <v/>
      </c>
      <c r="F409" s="343" t="str">
        <f>IF(E409&lt;CharacterSheet!$V$34,"Yes","No")</f>
        <v>No</v>
      </c>
      <c r="G409" s="342" t="s">
        <v>347</v>
      </c>
      <c r="H409" s="333" t="str">
        <f>IF(C409="","",VLOOKUP(C409,Boonref2!A:B,2,FALSE))</f>
        <v/>
      </c>
      <c r="I409" s="333"/>
      <c r="J409" s="333" t="str">
        <f>VLOOKUP(C409,BoonRef!A:Z,17,FALSE)</f>
        <v>Yes</v>
      </c>
      <c r="K409" s="333" t="str">
        <f>IF(J409="God",'House Rules'!$B$2,IF(J409="Demi",'House Rules'!$B$1,IF(J409="Comp",'House Rules'!$B$4,IF(J409="Yaz",'House Rules'!$B$5,IF(J409="Rag",'House Rules'!$B$3,"Available")))))</f>
        <v>Available</v>
      </c>
      <c r="L409" s="333"/>
      <c r="M409" s="333"/>
      <c r="BF409" s="319">
        <f t="shared" si="151"/>
        <v>0</v>
      </c>
      <c r="BG409" s="340" t="s">
        <v>1180</v>
      </c>
      <c r="BI409" s="319">
        <f t="shared" si="154"/>
        <v>0</v>
      </c>
      <c r="BJ409" s="319">
        <f t="shared" si="158"/>
        <v>0</v>
      </c>
      <c r="BK409" s="319">
        <f t="shared" si="158"/>
        <v>0</v>
      </c>
      <c r="BL409" s="319">
        <f t="shared" si="158"/>
        <v>0</v>
      </c>
      <c r="BM409" s="319">
        <f t="shared" si="158"/>
        <v>0</v>
      </c>
      <c r="BN409" s="319">
        <f t="shared" si="158"/>
        <v>0</v>
      </c>
      <c r="BO409" s="319">
        <f t="shared" si="158"/>
        <v>0</v>
      </c>
      <c r="BP409" s="319">
        <f t="shared" si="158"/>
        <v>0</v>
      </c>
      <c r="BQ409" s="319">
        <f t="shared" si="158"/>
        <v>0</v>
      </c>
      <c r="BR409" s="319">
        <f t="shared" si="158"/>
        <v>0</v>
      </c>
      <c r="BS409" s="319">
        <f t="shared" si="158"/>
        <v>0</v>
      </c>
      <c r="BT409" s="319">
        <f t="shared" si="158"/>
        <v>0</v>
      </c>
      <c r="BU409" s="319">
        <f t="shared" si="158"/>
        <v>0</v>
      </c>
      <c r="BV409" s="319">
        <f t="shared" si="158"/>
        <v>0</v>
      </c>
      <c r="BW409" s="319">
        <f t="shared" si="158"/>
        <v>0</v>
      </c>
      <c r="BX409" s="319">
        <f t="shared" si="158"/>
        <v>0</v>
      </c>
      <c r="BY409" s="319">
        <f t="shared" si="158"/>
        <v>0</v>
      </c>
      <c r="BZ409" s="319">
        <f t="shared" si="158"/>
        <v>0</v>
      </c>
      <c r="CA409" s="319">
        <f t="shared" si="158"/>
        <v>0</v>
      </c>
      <c r="CB409" s="319">
        <f t="shared" si="158"/>
        <v>0</v>
      </c>
      <c r="CC409" s="319">
        <f t="shared" si="158"/>
        <v>0</v>
      </c>
      <c r="CD409" s="319">
        <f t="shared" si="158"/>
        <v>0</v>
      </c>
      <c r="CE409" s="319">
        <f t="shared" si="158"/>
        <v>0</v>
      </c>
      <c r="CF409" s="319">
        <f t="shared" si="158"/>
        <v>0</v>
      </c>
      <c r="CG409" s="319">
        <f t="shared" si="158"/>
        <v>0</v>
      </c>
      <c r="CH409" s="319">
        <f t="shared" si="158"/>
        <v>0</v>
      </c>
      <c r="CI409" s="319">
        <f t="shared" si="158"/>
        <v>0</v>
      </c>
      <c r="CJ409" s="319">
        <f t="shared" si="158"/>
        <v>0</v>
      </c>
      <c r="CK409" s="319">
        <f t="shared" si="158"/>
        <v>0</v>
      </c>
      <c r="CL409" s="319">
        <f t="shared" si="158"/>
        <v>0</v>
      </c>
      <c r="CM409" s="319">
        <f t="shared" si="158"/>
        <v>0</v>
      </c>
      <c r="CN409" s="319">
        <f t="shared" si="158"/>
        <v>0</v>
      </c>
      <c r="CO409" s="319">
        <f t="shared" si="158"/>
        <v>0</v>
      </c>
      <c r="CP409" s="319">
        <f t="shared" si="158"/>
        <v>0</v>
      </c>
      <c r="CQ409" s="319">
        <f t="shared" si="158"/>
        <v>0</v>
      </c>
      <c r="CR409" s="319">
        <f t="shared" si="158"/>
        <v>0</v>
      </c>
      <c r="CS409" s="319">
        <f t="shared" si="158"/>
        <v>0</v>
      </c>
      <c r="CT409" s="319">
        <f t="shared" si="158"/>
        <v>0</v>
      </c>
      <c r="CU409" s="319">
        <f t="shared" si="158"/>
        <v>0</v>
      </c>
      <c r="CV409" s="319">
        <f t="shared" si="158"/>
        <v>0</v>
      </c>
    </row>
    <row r="410" spans="1:100" x14ac:dyDescent="0.25">
      <c r="A410" s="319">
        <f t="shared" si="153"/>
        <v>0</v>
      </c>
      <c r="B410" s="319">
        <f t="shared" si="156"/>
        <v>0</v>
      </c>
      <c r="C410" s="345" t="str">
        <f>IF(Sandbox!AX89="","",Sandbox!AX89)</f>
        <v/>
      </c>
      <c r="D410" s="343" t="str">
        <f>IF(Sandbox!$BH$79="","",Sandbox!$BH$79)</f>
        <v/>
      </c>
      <c r="E410" s="343" t="str">
        <f>IF(Sandbox!AY89="","",Sandbox!AY89)</f>
        <v/>
      </c>
      <c r="F410" s="343" t="str">
        <f>IF(E410&lt;CharacterSheet!$V$34,"Yes","No")</f>
        <v>No</v>
      </c>
      <c r="G410" s="342" t="s">
        <v>347</v>
      </c>
      <c r="H410" s="333" t="str">
        <f>IF(C410="","",VLOOKUP(C410,Boonref2!A:B,2,FALSE))</f>
        <v/>
      </c>
      <c r="I410" s="333"/>
      <c r="J410" s="333" t="str">
        <f>VLOOKUP(C410,BoonRef!A:Z,17,FALSE)</f>
        <v>Yes</v>
      </c>
      <c r="K410" s="333" t="str">
        <f>IF(J410="God",'House Rules'!$B$2,IF(J410="Demi",'House Rules'!$B$1,IF(J410="Comp",'House Rules'!$B$4,IF(J410="Yaz",'House Rules'!$B$5,IF(J410="Rag",'House Rules'!$B$3,"Available")))))</f>
        <v>Available</v>
      </c>
      <c r="L410" s="333"/>
      <c r="M410" s="333"/>
      <c r="BF410" s="319">
        <f t="shared" si="151"/>
        <v>0</v>
      </c>
      <c r="BG410" s="340" t="s">
        <v>1181</v>
      </c>
      <c r="BI410" s="319">
        <f t="shared" si="154"/>
        <v>0</v>
      </c>
      <c r="BJ410" s="319">
        <f t="shared" si="158"/>
        <v>0</v>
      </c>
      <c r="BK410" s="319">
        <f t="shared" si="158"/>
        <v>0</v>
      </c>
      <c r="BL410" s="319">
        <f t="shared" si="158"/>
        <v>0</v>
      </c>
      <c r="BM410" s="319">
        <f t="shared" si="158"/>
        <v>0</v>
      </c>
      <c r="BN410" s="319">
        <f t="shared" si="158"/>
        <v>0</v>
      </c>
      <c r="BO410" s="319">
        <f t="shared" si="158"/>
        <v>0</v>
      </c>
      <c r="BP410" s="319">
        <f t="shared" si="158"/>
        <v>0</v>
      </c>
      <c r="BQ410" s="319">
        <f t="shared" si="158"/>
        <v>0</v>
      </c>
      <c r="BR410" s="319">
        <f t="shared" si="158"/>
        <v>0</v>
      </c>
      <c r="BS410" s="319">
        <f t="shared" si="158"/>
        <v>0</v>
      </c>
      <c r="BT410" s="319">
        <f t="shared" si="158"/>
        <v>0</v>
      </c>
      <c r="BU410" s="319">
        <f t="shared" si="158"/>
        <v>0</v>
      </c>
      <c r="BV410" s="319">
        <f t="shared" si="158"/>
        <v>0</v>
      </c>
      <c r="BW410" s="319">
        <f t="shared" si="158"/>
        <v>0</v>
      </c>
      <c r="BX410" s="319">
        <f t="shared" si="158"/>
        <v>0</v>
      </c>
      <c r="BY410" s="319">
        <f t="shared" si="158"/>
        <v>0</v>
      </c>
      <c r="BZ410" s="319">
        <f t="shared" si="158"/>
        <v>0</v>
      </c>
      <c r="CA410" s="319">
        <f t="shared" si="158"/>
        <v>0</v>
      </c>
      <c r="CB410" s="319">
        <f t="shared" si="158"/>
        <v>0</v>
      </c>
      <c r="CC410" s="319">
        <f t="shared" si="158"/>
        <v>0</v>
      </c>
      <c r="CD410" s="319">
        <f t="shared" si="158"/>
        <v>0</v>
      </c>
      <c r="CE410" s="319">
        <f t="shared" ref="BJ410:CV417" si="159">IF(AND($D410=CE$1,$G410="Yes"),$E410,0)</f>
        <v>0</v>
      </c>
      <c r="CF410" s="319">
        <f t="shared" si="159"/>
        <v>0</v>
      </c>
      <c r="CG410" s="319">
        <f t="shared" si="159"/>
        <v>0</v>
      </c>
      <c r="CH410" s="319">
        <f t="shared" si="159"/>
        <v>0</v>
      </c>
      <c r="CI410" s="319">
        <f t="shared" si="159"/>
        <v>0</v>
      </c>
      <c r="CJ410" s="319">
        <f t="shared" si="159"/>
        <v>0</v>
      </c>
      <c r="CK410" s="319">
        <f t="shared" si="159"/>
        <v>0</v>
      </c>
      <c r="CL410" s="319">
        <f t="shared" si="159"/>
        <v>0</v>
      </c>
      <c r="CM410" s="319">
        <f t="shared" si="159"/>
        <v>0</v>
      </c>
      <c r="CN410" s="319">
        <f t="shared" si="159"/>
        <v>0</v>
      </c>
      <c r="CO410" s="319">
        <f t="shared" si="159"/>
        <v>0</v>
      </c>
      <c r="CP410" s="319">
        <f t="shared" si="159"/>
        <v>0</v>
      </c>
      <c r="CQ410" s="319">
        <f t="shared" si="159"/>
        <v>0</v>
      </c>
      <c r="CR410" s="319">
        <f t="shared" si="159"/>
        <v>0</v>
      </c>
      <c r="CS410" s="319">
        <f t="shared" si="159"/>
        <v>0</v>
      </c>
      <c r="CT410" s="319">
        <f t="shared" si="159"/>
        <v>0</v>
      </c>
      <c r="CU410" s="319">
        <f t="shared" si="159"/>
        <v>0</v>
      </c>
      <c r="CV410" s="319">
        <f t="shared" si="159"/>
        <v>0</v>
      </c>
    </row>
    <row r="411" spans="1:100" x14ac:dyDescent="0.25">
      <c r="A411" s="319">
        <f t="shared" si="153"/>
        <v>0</v>
      </c>
      <c r="B411" s="319">
        <f t="shared" si="156"/>
        <v>0</v>
      </c>
      <c r="C411" s="345" t="str">
        <f>IF(Sandbox!AX90="","",Sandbox!AX90)</f>
        <v/>
      </c>
      <c r="D411" s="343" t="str">
        <f>IF(Sandbox!$BH$79="","",Sandbox!$BH$79)</f>
        <v/>
      </c>
      <c r="E411" s="343" t="str">
        <f>IF(Sandbox!AY90="","",Sandbox!AY90)</f>
        <v/>
      </c>
      <c r="F411" s="343" t="str">
        <f>IF(E411&lt;CharacterSheet!$V$34,"Yes","No")</f>
        <v>No</v>
      </c>
      <c r="G411" s="342" t="s">
        <v>347</v>
      </c>
      <c r="H411" s="333" t="str">
        <f>IF(C411="","",VLOOKUP(C411,Boonref2!A:B,2,FALSE))</f>
        <v/>
      </c>
      <c r="I411" s="333"/>
      <c r="J411" s="333" t="str">
        <f>VLOOKUP(C411,BoonRef!A:Z,17,FALSE)</f>
        <v>Yes</v>
      </c>
      <c r="K411" s="333" t="str">
        <f>IF(J411="God",'House Rules'!$B$2,IF(J411="Demi",'House Rules'!$B$1,IF(J411="Comp",'House Rules'!$B$4,IF(J411="Yaz",'House Rules'!$B$5,IF(J411="Rag",'House Rules'!$B$3,"Available")))))</f>
        <v>Available</v>
      </c>
      <c r="L411" s="333"/>
      <c r="M411" s="333"/>
      <c r="BF411" s="319">
        <f t="shared" si="151"/>
        <v>0</v>
      </c>
      <c r="BG411" s="340" t="s">
        <v>1182</v>
      </c>
      <c r="BI411" s="319">
        <f t="shared" si="154"/>
        <v>0</v>
      </c>
      <c r="BJ411" s="319">
        <f t="shared" si="159"/>
        <v>0</v>
      </c>
      <c r="BK411" s="319">
        <f t="shared" si="159"/>
        <v>0</v>
      </c>
      <c r="BL411" s="319">
        <f t="shared" si="159"/>
        <v>0</v>
      </c>
      <c r="BM411" s="319">
        <f t="shared" si="159"/>
        <v>0</v>
      </c>
      <c r="BN411" s="319">
        <f t="shared" si="159"/>
        <v>0</v>
      </c>
      <c r="BO411" s="319">
        <f t="shared" si="159"/>
        <v>0</v>
      </c>
      <c r="BP411" s="319">
        <f t="shared" si="159"/>
        <v>0</v>
      </c>
      <c r="BQ411" s="319">
        <f t="shared" si="159"/>
        <v>0</v>
      </c>
      <c r="BR411" s="319">
        <f t="shared" si="159"/>
        <v>0</v>
      </c>
      <c r="BS411" s="319">
        <f t="shared" si="159"/>
        <v>0</v>
      </c>
      <c r="BT411" s="319">
        <f t="shared" si="159"/>
        <v>0</v>
      </c>
      <c r="BU411" s="319">
        <f t="shared" si="159"/>
        <v>0</v>
      </c>
      <c r="BV411" s="319">
        <f t="shared" si="159"/>
        <v>0</v>
      </c>
      <c r="BW411" s="319">
        <f t="shared" si="159"/>
        <v>0</v>
      </c>
      <c r="BX411" s="319">
        <f t="shared" si="159"/>
        <v>0</v>
      </c>
      <c r="BY411" s="319">
        <f t="shared" si="159"/>
        <v>0</v>
      </c>
      <c r="BZ411" s="319">
        <f t="shared" si="159"/>
        <v>0</v>
      </c>
      <c r="CA411" s="319">
        <f t="shared" si="159"/>
        <v>0</v>
      </c>
      <c r="CB411" s="319">
        <f t="shared" si="159"/>
        <v>0</v>
      </c>
      <c r="CC411" s="319">
        <f t="shared" si="159"/>
        <v>0</v>
      </c>
      <c r="CD411" s="319">
        <f t="shared" si="159"/>
        <v>0</v>
      </c>
      <c r="CE411" s="319">
        <f t="shared" si="159"/>
        <v>0</v>
      </c>
      <c r="CF411" s="319">
        <f t="shared" si="159"/>
        <v>0</v>
      </c>
      <c r="CG411" s="319">
        <f t="shared" si="159"/>
        <v>0</v>
      </c>
      <c r="CH411" s="319">
        <f t="shared" si="159"/>
        <v>0</v>
      </c>
      <c r="CI411" s="319">
        <f t="shared" si="159"/>
        <v>0</v>
      </c>
      <c r="CJ411" s="319">
        <f t="shared" si="159"/>
        <v>0</v>
      </c>
      <c r="CK411" s="319">
        <f t="shared" si="159"/>
        <v>0</v>
      </c>
      <c r="CL411" s="319">
        <f t="shared" si="159"/>
        <v>0</v>
      </c>
      <c r="CM411" s="319">
        <f t="shared" si="159"/>
        <v>0</v>
      </c>
      <c r="CN411" s="319">
        <f t="shared" si="159"/>
        <v>0</v>
      </c>
      <c r="CO411" s="319">
        <f t="shared" si="159"/>
        <v>0</v>
      </c>
      <c r="CP411" s="319">
        <f t="shared" si="159"/>
        <v>0</v>
      </c>
      <c r="CQ411" s="319">
        <f t="shared" si="159"/>
        <v>0</v>
      </c>
      <c r="CR411" s="319">
        <f t="shared" si="159"/>
        <v>0</v>
      </c>
      <c r="CS411" s="319">
        <f t="shared" si="159"/>
        <v>0</v>
      </c>
      <c r="CT411" s="319">
        <f t="shared" si="159"/>
        <v>0</v>
      </c>
      <c r="CU411" s="319">
        <f t="shared" si="159"/>
        <v>0</v>
      </c>
      <c r="CV411" s="319">
        <f t="shared" si="159"/>
        <v>0</v>
      </c>
    </row>
    <row r="412" spans="1:100" x14ac:dyDescent="0.25">
      <c r="A412" s="319">
        <f t="shared" si="153"/>
        <v>0</v>
      </c>
      <c r="B412" s="319">
        <f t="shared" si="156"/>
        <v>0</v>
      </c>
      <c r="C412" s="345" t="str">
        <f>IF(Sandbox!AX91="","",Sandbox!AX91)</f>
        <v/>
      </c>
      <c r="D412" s="343" t="str">
        <f>IF(Sandbox!$BH$79="","",Sandbox!$BH$79)</f>
        <v/>
      </c>
      <c r="E412" s="343" t="str">
        <f>IF(Sandbox!AY91="","",Sandbox!AY91)</f>
        <v/>
      </c>
      <c r="F412" s="343" t="str">
        <f>IF(E412&lt;CharacterSheet!$V$34,"Yes","No")</f>
        <v>No</v>
      </c>
      <c r="G412" s="342" t="s">
        <v>347</v>
      </c>
      <c r="H412" s="333" t="str">
        <f>IF(C412="","",VLOOKUP(C412,Boonref2!A:B,2,FALSE))</f>
        <v/>
      </c>
      <c r="I412" s="333"/>
      <c r="J412" s="333" t="str">
        <f>VLOOKUP(C412,BoonRef!A:Z,17,FALSE)</f>
        <v>Yes</v>
      </c>
      <c r="K412" s="333" t="str">
        <f>IF(J412="God",'House Rules'!$B$2,IF(J412="Demi",'House Rules'!$B$1,IF(J412="Comp",'House Rules'!$B$4,IF(J412="Yaz",'House Rules'!$B$5,IF(J412="Rag",'House Rules'!$B$3,"Available")))))</f>
        <v>Available</v>
      </c>
      <c r="L412" s="333"/>
      <c r="M412" s="333"/>
      <c r="BF412" s="319">
        <f t="shared" si="151"/>
        <v>0</v>
      </c>
      <c r="BG412" s="340" t="s">
        <v>1398</v>
      </c>
      <c r="BI412" s="319">
        <f t="shared" si="154"/>
        <v>0</v>
      </c>
      <c r="BJ412" s="319">
        <f t="shared" si="159"/>
        <v>0</v>
      </c>
      <c r="BK412" s="319">
        <f t="shared" si="159"/>
        <v>0</v>
      </c>
      <c r="BL412" s="319">
        <f t="shared" si="159"/>
        <v>0</v>
      </c>
      <c r="BM412" s="319">
        <f t="shared" si="159"/>
        <v>0</v>
      </c>
      <c r="BN412" s="319">
        <f t="shared" si="159"/>
        <v>0</v>
      </c>
      <c r="BO412" s="319">
        <f t="shared" si="159"/>
        <v>0</v>
      </c>
      <c r="BP412" s="319">
        <f t="shared" si="159"/>
        <v>0</v>
      </c>
      <c r="BQ412" s="319">
        <f t="shared" si="159"/>
        <v>0</v>
      </c>
      <c r="BR412" s="319">
        <f t="shared" si="159"/>
        <v>0</v>
      </c>
      <c r="BS412" s="319">
        <f t="shared" si="159"/>
        <v>0</v>
      </c>
      <c r="BT412" s="319">
        <f t="shared" si="159"/>
        <v>0</v>
      </c>
      <c r="BU412" s="319">
        <f t="shared" si="159"/>
        <v>0</v>
      </c>
      <c r="BV412" s="319">
        <f t="shared" si="159"/>
        <v>0</v>
      </c>
      <c r="BW412" s="319">
        <f t="shared" si="159"/>
        <v>0</v>
      </c>
      <c r="BX412" s="319">
        <f t="shared" si="159"/>
        <v>0</v>
      </c>
      <c r="BY412" s="319">
        <f t="shared" si="159"/>
        <v>0</v>
      </c>
      <c r="BZ412" s="319">
        <f t="shared" si="159"/>
        <v>0</v>
      </c>
      <c r="CA412" s="319">
        <f t="shared" si="159"/>
        <v>0</v>
      </c>
      <c r="CB412" s="319">
        <f t="shared" si="159"/>
        <v>0</v>
      </c>
      <c r="CC412" s="319">
        <f t="shared" si="159"/>
        <v>0</v>
      </c>
      <c r="CD412" s="319">
        <f t="shared" si="159"/>
        <v>0</v>
      </c>
      <c r="CE412" s="319">
        <f t="shared" si="159"/>
        <v>0</v>
      </c>
      <c r="CF412" s="319">
        <f t="shared" si="159"/>
        <v>0</v>
      </c>
      <c r="CG412" s="319">
        <f t="shared" si="159"/>
        <v>0</v>
      </c>
      <c r="CH412" s="319">
        <f t="shared" si="159"/>
        <v>0</v>
      </c>
      <c r="CI412" s="319">
        <f t="shared" si="159"/>
        <v>0</v>
      </c>
      <c r="CJ412" s="319">
        <f t="shared" si="159"/>
        <v>0</v>
      </c>
      <c r="CK412" s="319">
        <f t="shared" si="159"/>
        <v>0</v>
      </c>
      <c r="CL412" s="319">
        <f t="shared" si="159"/>
        <v>0</v>
      </c>
      <c r="CM412" s="319">
        <f t="shared" si="159"/>
        <v>0</v>
      </c>
      <c r="CN412" s="319">
        <f t="shared" si="159"/>
        <v>0</v>
      </c>
      <c r="CO412" s="319">
        <f t="shared" si="159"/>
        <v>0</v>
      </c>
      <c r="CP412" s="319">
        <f t="shared" si="159"/>
        <v>0</v>
      </c>
      <c r="CQ412" s="319">
        <f t="shared" si="159"/>
        <v>0</v>
      </c>
      <c r="CR412" s="319">
        <f t="shared" si="159"/>
        <v>0</v>
      </c>
      <c r="CS412" s="319">
        <f t="shared" si="159"/>
        <v>0</v>
      </c>
      <c r="CT412" s="319">
        <f t="shared" si="159"/>
        <v>0</v>
      </c>
      <c r="CU412" s="319">
        <f t="shared" si="159"/>
        <v>0</v>
      </c>
      <c r="CV412" s="319">
        <f t="shared" si="159"/>
        <v>0</v>
      </c>
    </row>
    <row r="413" spans="1:100" x14ac:dyDescent="0.25">
      <c r="A413" s="319">
        <f t="shared" si="153"/>
        <v>0</v>
      </c>
      <c r="B413" s="319">
        <f t="shared" si="156"/>
        <v>0</v>
      </c>
      <c r="C413" s="345" t="str">
        <f>IF(Sandbox!AX92="","",Sandbox!AX92)</f>
        <v/>
      </c>
      <c r="D413" s="343" t="str">
        <f>IF(Sandbox!$BH$79="","",Sandbox!$BH$79)</f>
        <v/>
      </c>
      <c r="E413" s="343" t="str">
        <f>IF(Sandbox!AY92="","",Sandbox!AY92)</f>
        <v/>
      </c>
      <c r="F413" s="343" t="str">
        <f>IF(E413&lt;CharacterSheet!$V$34,"Yes","No")</f>
        <v>No</v>
      </c>
      <c r="G413" s="342" t="s">
        <v>347</v>
      </c>
      <c r="H413" s="333" t="str">
        <f>IF(C413="","",VLOOKUP(C413,Boonref2!A:B,2,FALSE))</f>
        <v/>
      </c>
      <c r="I413" s="333"/>
      <c r="J413" s="333" t="str">
        <f>VLOOKUP(C413,BoonRef!A:Z,17,FALSE)</f>
        <v>Yes</v>
      </c>
      <c r="K413" s="333" t="str">
        <f>IF(J413="God",'House Rules'!$B$2,IF(J413="Demi",'House Rules'!$B$1,IF(J413="Comp",'House Rules'!$B$4,IF(J413="Yaz",'House Rules'!$B$5,IF(J413="Rag",'House Rules'!$B$3,"Available")))))</f>
        <v>Available</v>
      </c>
      <c r="L413" s="333"/>
      <c r="M413" s="333"/>
      <c r="BF413" s="319">
        <f t="shared" ref="BF413:BF476" si="160">B172</f>
        <v>0</v>
      </c>
      <c r="BG413" s="340" t="s">
        <v>1279</v>
      </c>
      <c r="BI413" s="319">
        <f t="shared" si="154"/>
        <v>0</v>
      </c>
      <c r="BJ413" s="319">
        <f t="shared" si="159"/>
        <v>0</v>
      </c>
      <c r="BK413" s="319">
        <f t="shared" si="159"/>
        <v>0</v>
      </c>
      <c r="BL413" s="319">
        <f t="shared" si="159"/>
        <v>0</v>
      </c>
      <c r="BM413" s="319">
        <f t="shared" si="159"/>
        <v>0</v>
      </c>
      <c r="BN413" s="319">
        <f t="shared" si="159"/>
        <v>0</v>
      </c>
      <c r="BO413" s="319">
        <f t="shared" si="159"/>
        <v>0</v>
      </c>
      <c r="BP413" s="319">
        <f t="shared" si="159"/>
        <v>0</v>
      </c>
      <c r="BQ413" s="319">
        <f t="shared" si="159"/>
        <v>0</v>
      </c>
      <c r="BR413" s="319">
        <f t="shared" si="159"/>
        <v>0</v>
      </c>
      <c r="BS413" s="319">
        <f t="shared" si="159"/>
        <v>0</v>
      </c>
      <c r="BT413" s="319">
        <f t="shared" si="159"/>
        <v>0</v>
      </c>
      <c r="BU413" s="319">
        <f t="shared" si="159"/>
        <v>0</v>
      </c>
      <c r="BV413" s="319">
        <f t="shared" si="159"/>
        <v>0</v>
      </c>
      <c r="BW413" s="319">
        <f t="shared" si="159"/>
        <v>0</v>
      </c>
      <c r="BX413" s="319">
        <f t="shared" si="159"/>
        <v>0</v>
      </c>
      <c r="BY413" s="319">
        <f t="shared" si="159"/>
        <v>0</v>
      </c>
      <c r="BZ413" s="319">
        <f t="shared" si="159"/>
        <v>0</v>
      </c>
      <c r="CA413" s="319">
        <f t="shared" si="159"/>
        <v>0</v>
      </c>
      <c r="CB413" s="319">
        <f t="shared" si="159"/>
        <v>0</v>
      </c>
      <c r="CC413" s="319">
        <f t="shared" si="159"/>
        <v>0</v>
      </c>
      <c r="CD413" s="319">
        <f t="shared" si="159"/>
        <v>0</v>
      </c>
      <c r="CE413" s="319">
        <f t="shared" si="159"/>
        <v>0</v>
      </c>
      <c r="CF413" s="319">
        <f t="shared" si="159"/>
        <v>0</v>
      </c>
      <c r="CG413" s="319">
        <f t="shared" si="159"/>
        <v>0</v>
      </c>
      <c r="CH413" s="319">
        <f t="shared" si="159"/>
        <v>0</v>
      </c>
      <c r="CI413" s="319">
        <f t="shared" si="159"/>
        <v>0</v>
      </c>
      <c r="CJ413" s="319">
        <f t="shared" si="159"/>
        <v>0</v>
      </c>
      <c r="CK413" s="319">
        <f t="shared" si="159"/>
        <v>0</v>
      </c>
      <c r="CL413" s="319">
        <f t="shared" si="159"/>
        <v>0</v>
      </c>
      <c r="CM413" s="319">
        <f t="shared" si="159"/>
        <v>0</v>
      </c>
      <c r="CN413" s="319">
        <f t="shared" si="159"/>
        <v>0</v>
      </c>
      <c r="CO413" s="319">
        <f t="shared" si="159"/>
        <v>0</v>
      </c>
      <c r="CP413" s="319">
        <f t="shared" si="159"/>
        <v>0</v>
      </c>
      <c r="CQ413" s="319">
        <f t="shared" si="159"/>
        <v>0</v>
      </c>
      <c r="CR413" s="319">
        <f t="shared" si="159"/>
        <v>0</v>
      </c>
      <c r="CS413" s="319">
        <f t="shared" si="159"/>
        <v>0</v>
      </c>
      <c r="CT413" s="319">
        <f t="shared" si="159"/>
        <v>0</v>
      </c>
      <c r="CU413" s="319">
        <f t="shared" si="159"/>
        <v>0</v>
      </c>
      <c r="CV413" s="319">
        <f t="shared" si="159"/>
        <v>0</v>
      </c>
    </row>
    <row r="414" spans="1:100" x14ac:dyDescent="0.25">
      <c r="A414" s="319">
        <f t="shared" si="153"/>
        <v>0</v>
      </c>
      <c r="B414" s="319">
        <f t="shared" si="156"/>
        <v>0</v>
      </c>
      <c r="C414" s="345" t="str">
        <f>IF(Sandbox!AX93="","",Sandbox!AX93)</f>
        <v/>
      </c>
      <c r="D414" s="343" t="str">
        <f>IF(Sandbox!$BH$79="","",Sandbox!$BH$79)</f>
        <v/>
      </c>
      <c r="E414" s="343" t="str">
        <f>IF(Sandbox!AY93="","",Sandbox!AY93)</f>
        <v/>
      </c>
      <c r="F414" s="343" t="str">
        <f>IF(E414&lt;CharacterSheet!$V$34,"Yes","No")</f>
        <v>No</v>
      </c>
      <c r="G414" s="342" t="s">
        <v>347</v>
      </c>
      <c r="H414" s="333" t="str">
        <f>IF(C414="","",VLOOKUP(C414,Boonref2!A:B,2,FALSE))</f>
        <v/>
      </c>
      <c r="I414" s="333"/>
      <c r="J414" s="333" t="str">
        <f>VLOOKUP(C414,BoonRef!A:Z,17,FALSE)</f>
        <v>Yes</v>
      </c>
      <c r="K414" s="333" t="str">
        <f>IF(J414="God",'House Rules'!$B$2,IF(J414="Demi",'House Rules'!$B$1,IF(J414="Comp",'House Rules'!$B$4,IF(J414="Yaz",'House Rules'!$B$5,IF(J414="Rag",'House Rules'!$B$3,"Available")))))</f>
        <v>Available</v>
      </c>
      <c r="L414" s="333"/>
      <c r="M414" s="333"/>
      <c r="BF414" s="319">
        <f t="shared" si="160"/>
        <v>0</v>
      </c>
      <c r="BG414" s="340" t="s">
        <v>2638</v>
      </c>
      <c r="BI414" s="319">
        <f t="shared" si="154"/>
        <v>0</v>
      </c>
      <c r="BJ414" s="319">
        <f t="shared" si="159"/>
        <v>0</v>
      </c>
      <c r="BK414" s="319">
        <f t="shared" si="159"/>
        <v>0</v>
      </c>
      <c r="BL414" s="319">
        <f t="shared" si="159"/>
        <v>0</v>
      </c>
      <c r="BM414" s="319">
        <f t="shared" si="159"/>
        <v>0</v>
      </c>
      <c r="BN414" s="319">
        <f t="shared" si="159"/>
        <v>0</v>
      </c>
      <c r="BO414" s="319">
        <f t="shared" si="159"/>
        <v>0</v>
      </c>
      <c r="BP414" s="319">
        <f t="shared" si="159"/>
        <v>0</v>
      </c>
      <c r="BQ414" s="319">
        <f t="shared" si="159"/>
        <v>0</v>
      </c>
      <c r="BR414" s="319">
        <f t="shared" si="159"/>
        <v>0</v>
      </c>
      <c r="BS414" s="319">
        <f t="shared" si="159"/>
        <v>0</v>
      </c>
      <c r="BT414" s="319">
        <f t="shared" si="159"/>
        <v>0</v>
      </c>
      <c r="BU414" s="319">
        <f t="shared" si="159"/>
        <v>0</v>
      </c>
      <c r="BV414" s="319">
        <f t="shared" si="159"/>
        <v>0</v>
      </c>
      <c r="BW414" s="319">
        <f t="shared" si="159"/>
        <v>0</v>
      </c>
      <c r="BX414" s="319">
        <f t="shared" si="159"/>
        <v>0</v>
      </c>
      <c r="BY414" s="319">
        <f t="shared" si="159"/>
        <v>0</v>
      </c>
      <c r="BZ414" s="319">
        <f t="shared" si="159"/>
        <v>0</v>
      </c>
      <c r="CA414" s="319">
        <f t="shared" si="159"/>
        <v>0</v>
      </c>
      <c r="CB414" s="319">
        <f t="shared" si="159"/>
        <v>0</v>
      </c>
      <c r="CC414" s="319">
        <f t="shared" si="159"/>
        <v>0</v>
      </c>
      <c r="CD414" s="319">
        <f t="shared" si="159"/>
        <v>0</v>
      </c>
      <c r="CE414" s="319">
        <f t="shared" si="159"/>
        <v>0</v>
      </c>
      <c r="CF414" s="319">
        <f t="shared" si="159"/>
        <v>0</v>
      </c>
      <c r="CG414" s="319">
        <f t="shared" si="159"/>
        <v>0</v>
      </c>
      <c r="CH414" s="319">
        <f t="shared" si="159"/>
        <v>0</v>
      </c>
      <c r="CI414" s="319">
        <f t="shared" si="159"/>
        <v>0</v>
      </c>
      <c r="CJ414" s="319">
        <f t="shared" si="159"/>
        <v>0</v>
      </c>
      <c r="CK414" s="319">
        <f t="shared" si="159"/>
        <v>0</v>
      </c>
      <c r="CL414" s="319">
        <f t="shared" si="159"/>
        <v>0</v>
      </c>
      <c r="CM414" s="319">
        <f t="shared" si="159"/>
        <v>0</v>
      </c>
      <c r="CN414" s="319">
        <f t="shared" si="159"/>
        <v>0</v>
      </c>
      <c r="CO414" s="319">
        <f t="shared" si="159"/>
        <v>0</v>
      </c>
      <c r="CP414" s="319">
        <f t="shared" si="159"/>
        <v>0</v>
      </c>
      <c r="CQ414" s="319">
        <f t="shared" si="159"/>
        <v>0</v>
      </c>
      <c r="CR414" s="319">
        <f t="shared" si="159"/>
        <v>0</v>
      </c>
      <c r="CS414" s="319">
        <f t="shared" si="159"/>
        <v>0</v>
      </c>
      <c r="CT414" s="319">
        <f t="shared" si="159"/>
        <v>0</v>
      </c>
      <c r="CU414" s="319">
        <f t="shared" si="159"/>
        <v>0</v>
      </c>
      <c r="CV414" s="319">
        <f t="shared" si="159"/>
        <v>0</v>
      </c>
    </row>
    <row r="415" spans="1:100" x14ac:dyDescent="0.25">
      <c r="A415" s="319">
        <f t="shared" si="153"/>
        <v>0</v>
      </c>
      <c r="B415" s="319">
        <f t="shared" si="156"/>
        <v>0</v>
      </c>
      <c r="C415" s="345" t="str">
        <f>IF(Sandbox!AX94="","",Sandbox!AX94)</f>
        <v/>
      </c>
      <c r="D415" s="343" t="str">
        <f>IF(Sandbox!$BH$79="","",Sandbox!$BH$79)</f>
        <v/>
      </c>
      <c r="E415" s="343" t="str">
        <f>IF(Sandbox!AY94="","",Sandbox!AY94)</f>
        <v/>
      </c>
      <c r="F415" s="343" t="str">
        <f>IF(E415&lt;CharacterSheet!$V$34,"Yes","No")</f>
        <v>No</v>
      </c>
      <c r="G415" s="342" t="s">
        <v>347</v>
      </c>
      <c r="H415" s="333" t="str">
        <f>IF(C415="","",VLOOKUP(C415,Boonref2!A:B,2,FALSE))</f>
        <v/>
      </c>
      <c r="I415" s="333"/>
      <c r="J415" s="333" t="str">
        <f>VLOOKUP(C415,BoonRef!A:Z,17,FALSE)</f>
        <v>Yes</v>
      </c>
      <c r="K415" s="333" t="str">
        <f>IF(J415="God",'House Rules'!$B$2,IF(J415="Demi",'House Rules'!$B$1,IF(J415="Comp",'House Rules'!$B$4,IF(J415="Yaz",'House Rules'!$B$5,IF(J415="Rag",'House Rules'!$B$3,"Available")))))</f>
        <v>Available</v>
      </c>
      <c r="L415" s="333"/>
      <c r="M415" s="333"/>
      <c r="BF415" s="319">
        <f t="shared" si="160"/>
        <v>0</v>
      </c>
      <c r="BG415" s="340" t="s">
        <v>1280</v>
      </c>
      <c r="BI415" s="319">
        <f t="shared" si="154"/>
        <v>0</v>
      </c>
      <c r="BJ415" s="319">
        <f t="shared" si="159"/>
        <v>0</v>
      </c>
      <c r="BK415" s="319">
        <f t="shared" si="159"/>
        <v>0</v>
      </c>
      <c r="BL415" s="319">
        <f t="shared" si="159"/>
        <v>0</v>
      </c>
      <c r="BM415" s="319">
        <f t="shared" si="159"/>
        <v>0</v>
      </c>
      <c r="BN415" s="319">
        <f t="shared" si="159"/>
        <v>0</v>
      </c>
      <c r="BO415" s="319">
        <f t="shared" si="159"/>
        <v>0</v>
      </c>
      <c r="BP415" s="319">
        <f t="shared" si="159"/>
        <v>0</v>
      </c>
      <c r="BQ415" s="319">
        <f t="shared" si="159"/>
        <v>0</v>
      </c>
      <c r="BR415" s="319">
        <f t="shared" si="159"/>
        <v>0</v>
      </c>
      <c r="BS415" s="319">
        <f t="shared" si="159"/>
        <v>0</v>
      </c>
      <c r="BT415" s="319">
        <f t="shared" si="159"/>
        <v>0</v>
      </c>
      <c r="BU415" s="319">
        <f t="shared" si="159"/>
        <v>0</v>
      </c>
      <c r="BV415" s="319">
        <f t="shared" si="159"/>
        <v>0</v>
      </c>
      <c r="BW415" s="319">
        <f t="shared" si="159"/>
        <v>0</v>
      </c>
      <c r="BX415" s="319">
        <f t="shared" si="159"/>
        <v>0</v>
      </c>
      <c r="BY415" s="319">
        <f t="shared" si="159"/>
        <v>0</v>
      </c>
      <c r="BZ415" s="319">
        <f t="shared" si="159"/>
        <v>0</v>
      </c>
      <c r="CA415" s="319">
        <f t="shared" si="159"/>
        <v>0</v>
      </c>
      <c r="CB415" s="319">
        <f t="shared" si="159"/>
        <v>0</v>
      </c>
      <c r="CC415" s="319">
        <f t="shared" si="159"/>
        <v>0</v>
      </c>
      <c r="CD415" s="319">
        <f t="shared" si="159"/>
        <v>0</v>
      </c>
      <c r="CE415" s="319">
        <f t="shared" si="159"/>
        <v>0</v>
      </c>
      <c r="CF415" s="319">
        <f t="shared" si="159"/>
        <v>0</v>
      </c>
      <c r="CG415" s="319">
        <f t="shared" si="159"/>
        <v>0</v>
      </c>
      <c r="CH415" s="319">
        <f t="shared" si="159"/>
        <v>0</v>
      </c>
      <c r="CI415" s="319">
        <f t="shared" si="159"/>
        <v>0</v>
      </c>
      <c r="CJ415" s="319">
        <f t="shared" si="159"/>
        <v>0</v>
      </c>
      <c r="CK415" s="319">
        <f t="shared" si="159"/>
        <v>0</v>
      </c>
      <c r="CL415" s="319">
        <f t="shared" si="159"/>
        <v>0</v>
      </c>
      <c r="CM415" s="319">
        <f t="shared" si="159"/>
        <v>0</v>
      </c>
      <c r="CN415" s="319">
        <f t="shared" si="159"/>
        <v>0</v>
      </c>
      <c r="CO415" s="319">
        <f t="shared" si="159"/>
        <v>0</v>
      </c>
      <c r="CP415" s="319">
        <f t="shared" si="159"/>
        <v>0</v>
      </c>
      <c r="CQ415" s="319">
        <f t="shared" si="159"/>
        <v>0</v>
      </c>
      <c r="CR415" s="319">
        <f t="shared" si="159"/>
        <v>0</v>
      </c>
      <c r="CS415" s="319">
        <f t="shared" si="159"/>
        <v>0</v>
      </c>
      <c r="CT415" s="319">
        <f t="shared" si="159"/>
        <v>0</v>
      </c>
      <c r="CU415" s="319">
        <f t="shared" si="159"/>
        <v>0</v>
      </c>
      <c r="CV415" s="319">
        <f t="shared" si="159"/>
        <v>0</v>
      </c>
    </row>
    <row r="416" spans="1:100" x14ac:dyDescent="0.25">
      <c r="A416" s="319">
        <f t="shared" si="153"/>
        <v>0</v>
      </c>
      <c r="B416" s="319">
        <f t="shared" si="156"/>
        <v>0</v>
      </c>
      <c r="C416" s="345" t="str">
        <f>IF(Sandbox!AX95="","",Sandbox!AX95)</f>
        <v/>
      </c>
      <c r="D416" s="343" t="str">
        <f>IF(Sandbox!$BH$79="","",Sandbox!$BH$79)</f>
        <v/>
      </c>
      <c r="E416" s="343" t="str">
        <f>IF(Sandbox!AY95="","",Sandbox!AY95)</f>
        <v/>
      </c>
      <c r="F416" s="343" t="str">
        <f>IF(E416&lt;CharacterSheet!$V$34,"Yes","No")</f>
        <v>No</v>
      </c>
      <c r="G416" s="342" t="s">
        <v>347</v>
      </c>
      <c r="H416" s="333" t="str">
        <f>IF(C416="","",VLOOKUP(C416,Boonref2!A:B,2,FALSE))</f>
        <v/>
      </c>
      <c r="I416" s="333"/>
      <c r="J416" s="333" t="str">
        <f>VLOOKUP(C416,BoonRef!A:Z,17,FALSE)</f>
        <v>Yes</v>
      </c>
      <c r="K416" s="333" t="str">
        <f>IF(J416="God",'House Rules'!$B$2,IF(J416="Demi",'House Rules'!$B$1,IF(J416="Comp",'House Rules'!$B$4,IF(J416="Yaz",'House Rules'!$B$5,IF(J416="Rag",'House Rules'!$B$3,"Available")))))</f>
        <v>Available</v>
      </c>
      <c r="L416" s="333"/>
      <c r="M416" s="333"/>
      <c r="BF416" s="319">
        <f t="shared" si="160"/>
        <v>0</v>
      </c>
      <c r="BG416" s="340" t="s">
        <v>1281</v>
      </c>
      <c r="BI416" s="319">
        <f t="shared" si="154"/>
        <v>0</v>
      </c>
      <c r="BJ416" s="319">
        <f t="shared" si="159"/>
        <v>0</v>
      </c>
      <c r="BK416" s="319">
        <f t="shared" si="159"/>
        <v>0</v>
      </c>
      <c r="BL416" s="319">
        <f t="shared" si="159"/>
        <v>0</v>
      </c>
      <c r="BM416" s="319">
        <f t="shared" si="159"/>
        <v>0</v>
      </c>
      <c r="BN416" s="319">
        <f t="shared" si="159"/>
        <v>0</v>
      </c>
      <c r="BO416" s="319">
        <f t="shared" si="159"/>
        <v>0</v>
      </c>
      <c r="BP416" s="319">
        <f t="shared" si="159"/>
        <v>0</v>
      </c>
      <c r="BQ416" s="319">
        <f t="shared" si="159"/>
        <v>0</v>
      </c>
      <c r="BR416" s="319">
        <f t="shared" si="159"/>
        <v>0</v>
      </c>
      <c r="BS416" s="319">
        <f t="shared" si="159"/>
        <v>0</v>
      </c>
      <c r="BT416" s="319">
        <f t="shared" si="159"/>
        <v>0</v>
      </c>
      <c r="BU416" s="319">
        <f t="shared" si="159"/>
        <v>0</v>
      </c>
      <c r="BV416" s="319">
        <f t="shared" si="159"/>
        <v>0</v>
      </c>
      <c r="BW416" s="319">
        <f t="shared" si="159"/>
        <v>0</v>
      </c>
      <c r="BX416" s="319">
        <f t="shared" si="159"/>
        <v>0</v>
      </c>
      <c r="BY416" s="319">
        <f t="shared" si="159"/>
        <v>0</v>
      </c>
      <c r="BZ416" s="319">
        <f t="shared" si="159"/>
        <v>0</v>
      </c>
      <c r="CA416" s="319">
        <f t="shared" si="159"/>
        <v>0</v>
      </c>
      <c r="CB416" s="319">
        <f t="shared" si="159"/>
        <v>0</v>
      </c>
      <c r="CC416" s="319">
        <f t="shared" si="159"/>
        <v>0</v>
      </c>
      <c r="CD416" s="319">
        <f t="shared" si="159"/>
        <v>0</v>
      </c>
      <c r="CE416" s="319">
        <f t="shared" si="159"/>
        <v>0</v>
      </c>
      <c r="CF416" s="319">
        <f t="shared" si="159"/>
        <v>0</v>
      </c>
      <c r="CG416" s="319">
        <f t="shared" si="159"/>
        <v>0</v>
      </c>
      <c r="CH416" s="319">
        <f t="shared" si="159"/>
        <v>0</v>
      </c>
      <c r="CI416" s="319">
        <f t="shared" si="159"/>
        <v>0</v>
      </c>
      <c r="CJ416" s="319">
        <f t="shared" si="159"/>
        <v>0</v>
      </c>
      <c r="CK416" s="319">
        <f t="shared" si="159"/>
        <v>0</v>
      </c>
      <c r="CL416" s="319">
        <f t="shared" si="159"/>
        <v>0</v>
      </c>
      <c r="CM416" s="319">
        <f t="shared" si="159"/>
        <v>0</v>
      </c>
      <c r="CN416" s="319">
        <f t="shared" si="159"/>
        <v>0</v>
      </c>
      <c r="CO416" s="319">
        <f t="shared" si="159"/>
        <v>0</v>
      </c>
      <c r="CP416" s="319">
        <f t="shared" si="159"/>
        <v>0</v>
      </c>
      <c r="CQ416" s="319">
        <f t="shared" si="159"/>
        <v>0</v>
      </c>
      <c r="CR416" s="319">
        <f t="shared" si="159"/>
        <v>0</v>
      </c>
      <c r="CS416" s="319">
        <f t="shared" si="159"/>
        <v>0</v>
      </c>
      <c r="CT416" s="319">
        <f t="shared" si="159"/>
        <v>0</v>
      </c>
      <c r="CU416" s="319">
        <f t="shared" si="159"/>
        <v>0</v>
      </c>
      <c r="CV416" s="319">
        <f t="shared" si="159"/>
        <v>0</v>
      </c>
    </row>
    <row r="417" spans="1:100" ht="15.75" thickBot="1" x14ac:dyDescent="0.3">
      <c r="A417" s="319">
        <f t="shared" si="153"/>
        <v>0</v>
      </c>
      <c r="B417" s="319">
        <f t="shared" si="156"/>
        <v>0</v>
      </c>
      <c r="C417" s="345" t="str">
        <f>IF(Sandbox!AX96="","",Sandbox!AX96)</f>
        <v/>
      </c>
      <c r="D417" s="343" t="str">
        <f>IF(Sandbox!$BH$79="","",Sandbox!$BH$79)</f>
        <v/>
      </c>
      <c r="E417" s="343" t="str">
        <f>IF(Sandbox!AY96="","",Sandbox!AY96)</f>
        <v/>
      </c>
      <c r="F417" s="343" t="str">
        <f>IF(E417&lt;CharacterSheet!$V$34,"Yes","No")</f>
        <v>No</v>
      </c>
      <c r="G417" s="342" t="s">
        <v>347</v>
      </c>
      <c r="H417" s="333" t="str">
        <f>IF(C417="","",VLOOKUP(C417,Boonref2!A:B,2,FALSE))</f>
        <v/>
      </c>
      <c r="I417" s="333"/>
      <c r="J417" s="333" t="str">
        <f>VLOOKUP(C417,BoonRef!A:Z,17,FALSE)</f>
        <v>Yes</v>
      </c>
      <c r="K417" s="333" t="str">
        <f>IF(J417="God",'House Rules'!$B$2,IF(J417="Demi",'House Rules'!$B$1,IF(J417="Comp",'House Rules'!$B$4,IF(J417="Yaz",'House Rules'!$B$5,IF(J417="Rag",'House Rules'!$B$3,"Available")))))</f>
        <v>Available</v>
      </c>
      <c r="L417" s="333"/>
      <c r="M417" s="333"/>
      <c r="BF417" s="319">
        <f t="shared" si="160"/>
        <v>0</v>
      </c>
      <c r="BG417" s="352" t="s">
        <v>1632</v>
      </c>
      <c r="BI417" s="319">
        <f t="shared" si="154"/>
        <v>0</v>
      </c>
      <c r="BJ417" s="319">
        <f t="shared" si="159"/>
        <v>0</v>
      </c>
      <c r="BK417" s="319">
        <f t="shared" si="159"/>
        <v>0</v>
      </c>
      <c r="BL417" s="319">
        <f t="shared" si="159"/>
        <v>0</v>
      </c>
      <c r="BM417" s="319">
        <f t="shared" ref="BJ417:CV423" si="161">IF(AND($D417=BM$1,$G417="Yes"),$E417,0)</f>
        <v>0</v>
      </c>
      <c r="BN417" s="319">
        <f t="shared" si="161"/>
        <v>0</v>
      </c>
      <c r="BO417" s="319">
        <f t="shared" si="161"/>
        <v>0</v>
      </c>
      <c r="BP417" s="319">
        <f t="shared" si="161"/>
        <v>0</v>
      </c>
      <c r="BQ417" s="319">
        <f t="shared" si="161"/>
        <v>0</v>
      </c>
      <c r="BR417" s="319">
        <f t="shared" si="161"/>
        <v>0</v>
      </c>
      <c r="BS417" s="319">
        <f t="shared" si="161"/>
        <v>0</v>
      </c>
      <c r="BT417" s="319">
        <f t="shared" si="161"/>
        <v>0</v>
      </c>
      <c r="BU417" s="319">
        <f t="shared" si="161"/>
        <v>0</v>
      </c>
      <c r="BV417" s="319">
        <f t="shared" si="161"/>
        <v>0</v>
      </c>
      <c r="BW417" s="319">
        <f t="shared" si="161"/>
        <v>0</v>
      </c>
      <c r="BX417" s="319">
        <f t="shared" si="161"/>
        <v>0</v>
      </c>
      <c r="BY417" s="319">
        <f t="shared" si="161"/>
        <v>0</v>
      </c>
      <c r="BZ417" s="319">
        <f t="shared" si="161"/>
        <v>0</v>
      </c>
      <c r="CA417" s="319">
        <f t="shared" si="161"/>
        <v>0</v>
      </c>
      <c r="CB417" s="319">
        <f t="shared" si="161"/>
        <v>0</v>
      </c>
      <c r="CC417" s="319">
        <f t="shared" si="161"/>
        <v>0</v>
      </c>
      <c r="CD417" s="319">
        <f t="shared" si="161"/>
        <v>0</v>
      </c>
      <c r="CE417" s="319">
        <f t="shared" si="161"/>
        <v>0</v>
      </c>
      <c r="CF417" s="319">
        <f t="shared" si="161"/>
        <v>0</v>
      </c>
      <c r="CG417" s="319">
        <f t="shared" si="161"/>
        <v>0</v>
      </c>
      <c r="CH417" s="319">
        <f t="shared" si="161"/>
        <v>0</v>
      </c>
      <c r="CI417" s="319">
        <f t="shared" si="161"/>
        <v>0</v>
      </c>
      <c r="CJ417" s="319">
        <f t="shared" si="161"/>
        <v>0</v>
      </c>
      <c r="CK417" s="319">
        <f t="shared" si="161"/>
        <v>0</v>
      </c>
      <c r="CL417" s="319">
        <f t="shared" si="161"/>
        <v>0</v>
      </c>
      <c r="CM417" s="319">
        <f t="shared" si="161"/>
        <v>0</v>
      </c>
      <c r="CN417" s="319">
        <f t="shared" si="161"/>
        <v>0</v>
      </c>
      <c r="CO417" s="319">
        <f t="shared" si="161"/>
        <v>0</v>
      </c>
      <c r="CP417" s="319">
        <f t="shared" si="161"/>
        <v>0</v>
      </c>
      <c r="CQ417" s="319">
        <f t="shared" si="161"/>
        <v>0</v>
      </c>
      <c r="CR417" s="319">
        <f t="shared" si="161"/>
        <v>0</v>
      </c>
      <c r="CS417" s="319">
        <f t="shared" si="161"/>
        <v>0</v>
      </c>
      <c r="CT417" s="319">
        <f t="shared" si="161"/>
        <v>0</v>
      </c>
      <c r="CU417" s="319">
        <f t="shared" si="161"/>
        <v>0</v>
      </c>
      <c r="CV417" s="319">
        <f t="shared" si="161"/>
        <v>0</v>
      </c>
    </row>
    <row r="418" spans="1:100" x14ac:dyDescent="0.25">
      <c r="A418" s="319">
        <f t="shared" si="153"/>
        <v>0</v>
      </c>
      <c r="B418" s="319">
        <f t="shared" si="156"/>
        <v>0</v>
      </c>
      <c r="C418" s="345" t="str">
        <f>IF(Sandbox!AX97="","",Sandbox!AX97)</f>
        <v/>
      </c>
      <c r="D418" s="343" t="str">
        <f>IF(Sandbox!$BH$79="","",Sandbox!$BH$79)</f>
        <v/>
      </c>
      <c r="E418" s="343" t="str">
        <f>IF(Sandbox!AY97="","",Sandbox!AY97)</f>
        <v/>
      </c>
      <c r="F418" s="343" t="str">
        <f>IF(E418&lt;CharacterSheet!$V$34,"Yes","No")</f>
        <v>No</v>
      </c>
      <c r="G418" s="342" t="s">
        <v>347</v>
      </c>
      <c r="H418" s="333" t="str">
        <f>IF(C418="","",VLOOKUP(C418,Boonref2!A:B,2,FALSE))</f>
        <v/>
      </c>
      <c r="I418" s="333"/>
      <c r="J418" s="333" t="str">
        <f>VLOOKUP(C418,BoonRef!A:Z,17,FALSE)</f>
        <v>Yes</v>
      </c>
      <c r="K418" s="333" t="str">
        <f>IF(J418="God",'House Rules'!$B$2,IF(J418="Demi",'House Rules'!$B$1,IF(J418="Comp",'House Rules'!$B$4,IF(J418="Yaz",'House Rules'!$B$5,IF(J418="Rag",'House Rules'!$B$3,"Available")))))</f>
        <v>Available</v>
      </c>
      <c r="L418" s="333"/>
      <c r="M418" s="333"/>
      <c r="BF418" s="319">
        <f t="shared" si="160"/>
        <v>0</v>
      </c>
      <c r="BG418" s="330" t="s">
        <v>1094</v>
      </c>
      <c r="BI418" s="319">
        <f t="shared" si="154"/>
        <v>0</v>
      </c>
      <c r="BJ418" s="319">
        <f t="shared" si="161"/>
        <v>0</v>
      </c>
      <c r="BK418" s="319">
        <f t="shared" si="161"/>
        <v>0</v>
      </c>
      <c r="BL418" s="319">
        <f t="shared" si="161"/>
        <v>0</v>
      </c>
      <c r="BM418" s="319">
        <f t="shared" si="161"/>
        <v>0</v>
      </c>
      <c r="BN418" s="319">
        <f t="shared" si="161"/>
        <v>0</v>
      </c>
      <c r="BO418" s="319">
        <f t="shared" si="161"/>
        <v>0</v>
      </c>
      <c r="BP418" s="319">
        <f t="shared" si="161"/>
        <v>0</v>
      </c>
      <c r="BQ418" s="319">
        <f t="shared" si="161"/>
        <v>0</v>
      </c>
      <c r="BR418" s="319">
        <f t="shared" si="161"/>
        <v>0</v>
      </c>
      <c r="BS418" s="319">
        <f t="shared" si="161"/>
        <v>0</v>
      </c>
      <c r="BT418" s="319">
        <f t="shared" si="161"/>
        <v>0</v>
      </c>
      <c r="BU418" s="319">
        <f t="shared" si="161"/>
        <v>0</v>
      </c>
      <c r="BV418" s="319">
        <f t="shared" si="161"/>
        <v>0</v>
      </c>
      <c r="BW418" s="319">
        <f t="shared" si="161"/>
        <v>0</v>
      </c>
      <c r="BX418" s="319">
        <f t="shared" si="161"/>
        <v>0</v>
      </c>
      <c r="BY418" s="319">
        <f t="shared" si="161"/>
        <v>0</v>
      </c>
      <c r="BZ418" s="319">
        <f t="shared" si="161"/>
        <v>0</v>
      </c>
      <c r="CA418" s="319">
        <f t="shared" si="161"/>
        <v>0</v>
      </c>
      <c r="CB418" s="319">
        <f t="shared" si="161"/>
        <v>0</v>
      </c>
      <c r="CC418" s="319">
        <f t="shared" si="161"/>
        <v>0</v>
      </c>
      <c r="CD418" s="319">
        <f t="shared" si="161"/>
        <v>0</v>
      </c>
      <c r="CE418" s="319">
        <f t="shared" si="161"/>
        <v>0</v>
      </c>
      <c r="CF418" s="319">
        <f t="shared" si="161"/>
        <v>0</v>
      </c>
      <c r="CG418" s="319">
        <f t="shared" si="161"/>
        <v>0</v>
      </c>
      <c r="CH418" s="319">
        <f t="shared" si="161"/>
        <v>0</v>
      </c>
      <c r="CI418" s="319">
        <f t="shared" si="161"/>
        <v>0</v>
      </c>
      <c r="CJ418" s="319">
        <f t="shared" si="161"/>
        <v>0</v>
      </c>
      <c r="CK418" s="319">
        <f t="shared" si="161"/>
        <v>0</v>
      </c>
      <c r="CL418" s="319">
        <f t="shared" si="161"/>
        <v>0</v>
      </c>
      <c r="CM418" s="319">
        <f t="shared" si="161"/>
        <v>0</v>
      </c>
      <c r="CN418" s="319">
        <f t="shared" si="161"/>
        <v>0</v>
      </c>
      <c r="CO418" s="319">
        <f t="shared" si="161"/>
        <v>0</v>
      </c>
      <c r="CP418" s="319">
        <f t="shared" si="161"/>
        <v>0</v>
      </c>
      <c r="CQ418" s="319">
        <f t="shared" si="161"/>
        <v>0</v>
      </c>
      <c r="CR418" s="319">
        <f t="shared" si="161"/>
        <v>0</v>
      </c>
      <c r="CS418" s="319">
        <f t="shared" si="161"/>
        <v>0</v>
      </c>
      <c r="CT418" s="319">
        <f t="shared" si="161"/>
        <v>0</v>
      </c>
      <c r="CU418" s="319">
        <f t="shared" si="161"/>
        <v>0</v>
      </c>
      <c r="CV418" s="319">
        <f t="shared" si="161"/>
        <v>0</v>
      </c>
    </row>
    <row r="419" spans="1:100" x14ac:dyDescent="0.25">
      <c r="A419" s="319">
        <f t="shared" si="153"/>
        <v>0</v>
      </c>
      <c r="B419" s="319">
        <f t="shared" si="156"/>
        <v>0</v>
      </c>
      <c r="C419" s="345" t="str">
        <f>IF(Sandbox!AX98="","",Sandbox!AX98)</f>
        <v/>
      </c>
      <c r="D419" s="343" t="str">
        <f>IF(Sandbox!$BH$79="","",Sandbox!$BH$79)</f>
        <v/>
      </c>
      <c r="E419" s="343" t="str">
        <f>IF(Sandbox!AY98="","",Sandbox!AY98)</f>
        <v/>
      </c>
      <c r="F419" s="343" t="str">
        <f>IF(E419&lt;CharacterSheet!$V$34,"Yes","No")</f>
        <v>No</v>
      </c>
      <c r="G419" s="342" t="s">
        <v>347</v>
      </c>
      <c r="H419" s="333" t="str">
        <f>IF(C419="","",VLOOKUP(C419,Boonref2!A:B,2,FALSE))</f>
        <v/>
      </c>
      <c r="I419" s="333"/>
      <c r="J419" s="333" t="str">
        <f>VLOOKUP(C419,BoonRef!A:Z,17,FALSE)</f>
        <v>Yes</v>
      </c>
      <c r="K419" s="333" t="str">
        <f>IF(J419="God",'House Rules'!$B$2,IF(J419="Demi",'House Rules'!$B$1,IF(J419="Comp",'House Rules'!$B$4,IF(J419="Yaz",'House Rules'!$B$5,IF(J419="Rag",'House Rules'!$B$3,"Available")))))</f>
        <v>Available</v>
      </c>
      <c r="L419" s="333"/>
      <c r="M419" s="333"/>
      <c r="BF419" s="319">
        <f t="shared" si="160"/>
        <v>0</v>
      </c>
      <c r="BG419" s="340" t="s">
        <v>3536</v>
      </c>
      <c r="BI419" s="319">
        <f t="shared" si="154"/>
        <v>0</v>
      </c>
      <c r="BJ419" s="319">
        <f t="shared" si="161"/>
        <v>0</v>
      </c>
      <c r="BK419" s="319">
        <f t="shared" si="161"/>
        <v>0</v>
      </c>
      <c r="BL419" s="319">
        <f t="shared" si="161"/>
        <v>0</v>
      </c>
      <c r="BM419" s="319">
        <f t="shared" si="161"/>
        <v>0</v>
      </c>
      <c r="BN419" s="319">
        <f t="shared" si="161"/>
        <v>0</v>
      </c>
      <c r="BO419" s="319">
        <f t="shared" si="161"/>
        <v>0</v>
      </c>
      <c r="BP419" s="319">
        <f t="shared" si="161"/>
        <v>0</v>
      </c>
      <c r="BQ419" s="319">
        <f t="shared" si="161"/>
        <v>0</v>
      </c>
      <c r="BR419" s="319">
        <f t="shared" si="161"/>
        <v>0</v>
      </c>
      <c r="BS419" s="319">
        <f t="shared" si="161"/>
        <v>0</v>
      </c>
      <c r="BT419" s="319">
        <f t="shared" si="161"/>
        <v>0</v>
      </c>
      <c r="BU419" s="319">
        <f t="shared" si="161"/>
        <v>0</v>
      </c>
      <c r="BV419" s="319">
        <f t="shared" si="161"/>
        <v>0</v>
      </c>
      <c r="BW419" s="319">
        <f t="shared" si="161"/>
        <v>0</v>
      </c>
      <c r="BX419" s="319">
        <f t="shared" si="161"/>
        <v>0</v>
      </c>
      <c r="BY419" s="319">
        <f t="shared" si="161"/>
        <v>0</v>
      </c>
      <c r="BZ419" s="319">
        <f t="shared" si="161"/>
        <v>0</v>
      </c>
      <c r="CA419" s="319">
        <f t="shared" si="161"/>
        <v>0</v>
      </c>
      <c r="CB419" s="319">
        <f t="shared" si="161"/>
        <v>0</v>
      </c>
      <c r="CC419" s="319">
        <f t="shared" si="161"/>
        <v>0</v>
      </c>
      <c r="CD419" s="319">
        <f t="shared" si="161"/>
        <v>0</v>
      </c>
      <c r="CE419" s="319">
        <f t="shared" si="161"/>
        <v>0</v>
      </c>
      <c r="CF419" s="319">
        <f t="shared" si="161"/>
        <v>0</v>
      </c>
      <c r="CG419" s="319">
        <f t="shared" si="161"/>
        <v>0</v>
      </c>
      <c r="CH419" s="319">
        <f t="shared" si="161"/>
        <v>0</v>
      </c>
      <c r="CI419" s="319">
        <f t="shared" si="161"/>
        <v>0</v>
      </c>
      <c r="CJ419" s="319">
        <f t="shared" si="161"/>
        <v>0</v>
      </c>
      <c r="CK419" s="319">
        <f t="shared" si="161"/>
        <v>0</v>
      </c>
      <c r="CL419" s="319">
        <f t="shared" si="161"/>
        <v>0</v>
      </c>
      <c r="CM419" s="319">
        <f t="shared" si="161"/>
        <v>0</v>
      </c>
      <c r="CN419" s="319">
        <f t="shared" si="161"/>
        <v>0</v>
      </c>
      <c r="CO419" s="319">
        <f t="shared" si="161"/>
        <v>0</v>
      </c>
      <c r="CP419" s="319">
        <f t="shared" si="161"/>
        <v>0</v>
      </c>
      <c r="CQ419" s="319">
        <f t="shared" si="161"/>
        <v>0</v>
      </c>
      <c r="CR419" s="319">
        <f t="shared" si="161"/>
        <v>0</v>
      </c>
      <c r="CS419" s="319">
        <f t="shared" si="161"/>
        <v>0</v>
      </c>
      <c r="CT419" s="319">
        <f t="shared" si="161"/>
        <v>0</v>
      </c>
      <c r="CU419" s="319">
        <f t="shared" si="161"/>
        <v>0</v>
      </c>
      <c r="CV419" s="319">
        <f t="shared" si="161"/>
        <v>0</v>
      </c>
    </row>
    <row r="420" spans="1:100" x14ac:dyDescent="0.25">
      <c r="A420" s="319">
        <f t="shared" si="153"/>
        <v>0</v>
      </c>
      <c r="B420" s="319">
        <f t="shared" si="156"/>
        <v>0</v>
      </c>
      <c r="C420" s="345" t="str">
        <f>IF(Sandbox!AX99="","",Sandbox!AX99)</f>
        <v/>
      </c>
      <c r="D420" s="343" t="str">
        <f>IF(Sandbox!$BH$79="","",Sandbox!$BH$79)</f>
        <v/>
      </c>
      <c r="E420" s="343" t="str">
        <f>IF(Sandbox!AY99="","",Sandbox!AY99)</f>
        <v/>
      </c>
      <c r="F420" s="343" t="str">
        <f>IF(E420&lt;CharacterSheet!$V$34,"Yes","No")</f>
        <v>No</v>
      </c>
      <c r="G420" s="342" t="s">
        <v>347</v>
      </c>
      <c r="H420" s="333" t="str">
        <f>IF(C420="","",VLOOKUP(C420,Boonref2!A:B,2,FALSE))</f>
        <v/>
      </c>
      <c r="I420" s="333"/>
      <c r="J420" s="333" t="str">
        <f>VLOOKUP(C420,BoonRef!A:Z,17,FALSE)</f>
        <v>Yes</v>
      </c>
      <c r="K420" s="333" t="str">
        <f>IF(J420="God",'House Rules'!$B$2,IF(J420="Demi",'House Rules'!$B$1,IF(J420="Comp",'House Rules'!$B$4,IF(J420="Yaz",'House Rules'!$B$5,IF(J420="Rag",'House Rules'!$B$3,"Available")))))</f>
        <v>Available</v>
      </c>
      <c r="L420" s="333"/>
      <c r="M420" s="333"/>
      <c r="BF420" s="319">
        <f t="shared" si="160"/>
        <v>0</v>
      </c>
      <c r="BG420" s="340" t="s">
        <v>1399</v>
      </c>
      <c r="BI420" s="319">
        <f t="shared" si="154"/>
        <v>0</v>
      </c>
      <c r="BJ420" s="319">
        <f t="shared" si="161"/>
        <v>0</v>
      </c>
      <c r="BK420" s="319">
        <f t="shared" si="161"/>
        <v>0</v>
      </c>
      <c r="BL420" s="319">
        <f t="shared" si="161"/>
        <v>0</v>
      </c>
      <c r="BM420" s="319">
        <f t="shared" si="161"/>
        <v>0</v>
      </c>
      <c r="BN420" s="319">
        <f t="shared" si="161"/>
        <v>0</v>
      </c>
      <c r="BO420" s="319">
        <f t="shared" si="161"/>
        <v>0</v>
      </c>
      <c r="BP420" s="319">
        <f t="shared" si="161"/>
        <v>0</v>
      </c>
      <c r="BQ420" s="319">
        <f t="shared" si="161"/>
        <v>0</v>
      </c>
      <c r="BR420" s="319">
        <f t="shared" si="161"/>
        <v>0</v>
      </c>
      <c r="BS420" s="319">
        <f t="shared" si="161"/>
        <v>0</v>
      </c>
      <c r="BT420" s="319">
        <f t="shared" si="161"/>
        <v>0</v>
      </c>
      <c r="BU420" s="319">
        <f t="shared" si="161"/>
        <v>0</v>
      </c>
      <c r="BV420" s="319">
        <f t="shared" si="161"/>
        <v>0</v>
      </c>
      <c r="BW420" s="319">
        <f t="shared" si="161"/>
        <v>0</v>
      </c>
      <c r="BX420" s="319">
        <f t="shared" si="161"/>
        <v>0</v>
      </c>
      <c r="BY420" s="319">
        <f t="shared" si="161"/>
        <v>0</v>
      </c>
      <c r="BZ420" s="319">
        <f t="shared" si="161"/>
        <v>0</v>
      </c>
      <c r="CA420" s="319">
        <f t="shared" si="161"/>
        <v>0</v>
      </c>
      <c r="CB420" s="319">
        <f t="shared" si="161"/>
        <v>0</v>
      </c>
      <c r="CC420" s="319">
        <f t="shared" si="161"/>
        <v>0</v>
      </c>
      <c r="CD420" s="319">
        <f t="shared" si="161"/>
        <v>0</v>
      </c>
      <c r="CE420" s="319">
        <f t="shared" si="161"/>
        <v>0</v>
      </c>
      <c r="CF420" s="319">
        <f t="shared" si="161"/>
        <v>0</v>
      </c>
      <c r="CG420" s="319">
        <f t="shared" si="161"/>
        <v>0</v>
      </c>
      <c r="CH420" s="319">
        <f t="shared" si="161"/>
        <v>0</v>
      </c>
      <c r="CI420" s="319">
        <f t="shared" si="161"/>
        <v>0</v>
      </c>
      <c r="CJ420" s="319">
        <f t="shared" si="161"/>
        <v>0</v>
      </c>
      <c r="CK420" s="319">
        <f t="shared" si="161"/>
        <v>0</v>
      </c>
      <c r="CL420" s="319">
        <f t="shared" si="161"/>
        <v>0</v>
      </c>
      <c r="CM420" s="319">
        <f t="shared" si="161"/>
        <v>0</v>
      </c>
      <c r="CN420" s="319">
        <f t="shared" si="161"/>
        <v>0</v>
      </c>
      <c r="CO420" s="319">
        <f t="shared" si="161"/>
        <v>0</v>
      </c>
      <c r="CP420" s="319">
        <f t="shared" si="161"/>
        <v>0</v>
      </c>
      <c r="CQ420" s="319">
        <f t="shared" si="161"/>
        <v>0</v>
      </c>
      <c r="CR420" s="319">
        <f t="shared" si="161"/>
        <v>0</v>
      </c>
      <c r="CS420" s="319">
        <f t="shared" si="161"/>
        <v>0</v>
      </c>
      <c r="CT420" s="319">
        <f t="shared" si="161"/>
        <v>0</v>
      </c>
      <c r="CU420" s="319">
        <f t="shared" si="161"/>
        <v>0</v>
      </c>
      <c r="CV420" s="319">
        <f t="shared" si="161"/>
        <v>0</v>
      </c>
    </row>
    <row r="421" spans="1:100" x14ac:dyDescent="0.25">
      <c r="A421" s="319">
        <f t="shared" si="153"/>
        <v>0</v>
      </c>
      <c r="B421" s="319">
        <f t="shared" si="156"/>
        <v>0</v>
      </c>
      <c r="C421" s="345" t="str">
        <f>IF(Sandbox!AX100="","",Sandbox!AX100)</f>
        <v/>
      </c>
      <c r="D421" s="343" t="str">
        <f>IF(Sandbox!$BH$79="","",Sandbox!$BH$79)</f>
        <v/>
      </c>
      <c r="E421" s="343" t="str">
        <f>IF(Sandbox!AY100="","",Sandbox!AY100)</f>
        <v/>
      </c>
      <c r="F421" s="343" t="str">
        <f>IF(E421&lt;CharacterSheet!$V$34,"Yes","No")</f>
        <v>No</v>
      </c>
      <c r="G421" s="342" t="s">
        <v>347</v>
      </c>
      <c r="H421" s="333" t="str">
        <f>IF(C421="","",VLOOKUP(C421,Boonref2!A:B,2,FALSE))</f>
        <v/>
      </c>
      <c r="I421" s="333"/>
      <c r="J421" s="333" t="str">
        <f>VLOOKUP(C421,BoonRef!A:Z,17,FALSE)</f>
        <v>Yes</v>
      </c>
      <c r="K421" s="333" t="str">
        <f>IF(J421="God",'House Rules'!$B$2,IF(J421="Demi",'House Rules'!$B$1,IF(J421="Comp",'House Rules'!$B$4,IF(J421="Yaz",'House Rules'!$B$5,IF(J421="Rag",'House Rules'!$B$3,"Available")))))</f>
        <v>Available</v>
      </c>
      <c r="L421" s="333"/>
      <c r="M421" s="333"/>
      <c r="BF421" s="319">
        <f t="shared" si="160"/>
        <v>0</v>
      </c>
      <c r="BG421" s="340" t="s">
        <v>1095</v>
      </c>
      <c r="BI421" s="319">
        <f t="shared" si="154"/>
        <v>0</v>
      </c>
      <c r="BJ421" s="319">
        <f t="shared" si="161"/>
        <v>0</v>
      </c>
      <c r="BK421" s="319">
        <f t="shared" si="161"/>
        <v>0</v>
      </c>
      <c r="BL421" s="319">
        <f t="shared" si="161"/>
        <v>0</v>
      </c>
      <c r="BM421" s="319">
        <f t="shared" si="161"/>
        <v>0</v>
      </c>
      <c r="BN421" s="319">
        <f t="shared" si="161"/>
        <v>0</v>
      </c>
      <c r="BO421" s="319">
        <f t="shared" si="161"/>
        <v>0</v>
      </c>
      <c r="BP421" s="319">
        <f t="shared" si="161"/>
        <v>0</v>
      </c>
      <c r="BQ421" s="319">
        <f t="shared" si="161"/>
        <v>0</v>
      </c>
      <c r="BR421" s="319">
        <f t="shared" si="161"/>
        <v>0</v>
      </c>
      <c r="BS421" s="319">
        <f t="shared" si="161"/>
        <v>0</v>
      </c>
      <c r="BT421" s="319">
        <f t="shared" si="161"/>
        <v>0</v>
      </c>
      <c r="BU421" s="319">
        <f t="shared" si="161"/>
        <v>0</v>
      </c>
      <c r="BV421" s="319">
        <f t="shared" si="161"/>
        <v>0</v>
      </c>
      <c r="BW421" s="319">
        <f t="shared" si="161"/>
        <v>0</v>
      </c>
      <c r="BX421" s="319">
        <f t="shared" si="161"/>
        <v>0</v>
      </c>
      <c r="BY421" s="319">
        <f t="shared" si="161"/>
        <v>0</v>
      </c>
      <c r="BZ421" s="319">
        <f t="shared" si="161"/>
        <v>0</v>
      </c>
      <c r="CA421" s="319">
        <f t="shared" si="161"/>
        <v>0</v>
      </c>
      <c r="CB421" s="319">
        <f t="shared" si="161"/>
        <v>0</v>
      </c>
      <c r="CC421" s="319">
        <f t="shared" si="161"/>
        <v>0</v>
      </c>
      <c r="CD421" s="319">
        <f t="shared" si="161"/>
        <v>0</v>
      </c>
      <c r="CE421" s="319">
        <f t="shared" si="161"/>
        <v>0</v>
      </c>
      <c r="CF421" s="319">
        <f t="shared" si="161"/>
        <v>0</v>
      </c>
      <c r="CG421" s="319">
        <f t="shared" si="161"/>
        <v>0</v>
      </c>
      <c r="CH421" s="319">
        <f t="shared" si="161"/>
        <v>0</v>
      </c>
      <c r="CI421" s="319">
        <f t="shared" si="161"/>
        <v>0</v>
      </c>
      <c r="CJ421" s="319">
        <f t="shared" si="161"/>
        <v>0</v>
      </c>
      <c r="CK421" s="319">
        <f t="shared" si="161"/>
        <v>0</v>
      </c>
      <c r="CL421" s="319">
        <f t="shared" si="161"/>
        <v>0</v>
      </c>
      <c r="CM421" s="319">
        <f t="shared" si="161"/>
        <v>0</v>
      </c>
      <c r="CN421" s="319">
        <f t="shared" si="161"/>
        <v>0</v>
      </c>
      <c r="CO421" s="319">
        <f t="shared" si="161"/>
        <v>0</v>
      </c>
      <c r="CP421" s="319">
        <f t="shared" si="161"/>
        <v>0</v>
      </c>
      <c r="CQ421" s="319">
        <f t="shared" si="161"/>
        <v>0</v>
      </c>
      <c r="CR421" s="319">
        <f t="shared" si="161"/>
        <v>0</v>
      </c>
      <c r="CS421" s="319">
        <f t="shared" si="161"/>
        <v>0</v>
      </c>
      <c r="CT421" s="319">
        <f t="shared" si="161"/>
        <v>0</v>
      </c>
      <c r="CU421" s="319">
        <f t="shared" si="161"/>
        <v>0</v>
      </c>
      <c r="CV421" s="319">
        <f t="shared" si="161"/>
        <v>0</v>
      </c>
    </row>
    <row r="422" spans="1:100" x14ac:dyDescent="0.25">
      <c r="A422" s="319">
        <f t="shared" si="153"/>
        <v>0</v>
      </c>
      <c r="B422" s="319">
        <f t="shared" si="156"/>
        <v>0</v>
      </c>
      <c r="C422" s="345" t="str">
        <f>IF(Sandbox!AX101="","",Sandbox!AX101)</f>
        <v/>
      </c>
      <c r="D422" s="343" t="str">
        <f>IF(Sandbox!$BH$79="","",Sandbox!$BH$79)</f>
        <v/>
      </c>
      <c r="E422" s="343" t="str">
        <f>IF(Sandbox!AY101="","",Sandbox!AY101)</f>
        <v/>
      </c>
      <c r="F422" s="343" t="str">
        <f>IF(E422&lt;CharacterSheet!$V$34,"Yes","No")</f>
        <v>No</v>
      </c>
      <c r="G422" s="342" t="s">
        <v>347</v>
      </c>
      <c r="H422" s="333" t="str">
        <f>IF(C422="","",VLOOKUP(C422,Boonref2!A:B,2,FALSE))</f>
        <v/>
      </c>
      <c r="I422" s="333"/>
      <c r="J422" s="333" t="str">
        <f>VLOOKUP(C422,BoonRef!A:Z,17,FALSE)</f>
        <v>Yes</v>
      </c>
      <c r="K422" s="333" t="str">
        <f>IF(J422="God",'House Rules'!$B$2,IF(J422="Demi",'House Rules'!$B$1,IF(J422="Comp",'House Rules'!$B$4,IF(J422="Yaz",'House Rules'!$B$5,IF(J422="Rag",'House Rules'!$B$3,"Available")))))</f>
        <v>Available</v>
      </c>
      <c r="L422" s="333"/>
      <c r="M422" s="333"/>
      <c r="BF422" s="319">
        <f t="shared" si="160"/>
        <v>0</v>
      </c>
      <c r="BG422" s="340" t="s">
        <v>1096</v>
      </c>
      <c r="BI422" s="319">
        <f t="shared" si="154"/>
        <v>0</v>
      </c>
      <c r="BJ422" s="319">
        <f t="shared" si="161"/>
        <v>0</v>
      </c>
      <c r="BK422" s="319">
        <f t="shared" si="161"/>
        <v>0</v>
      </c>
      <c r="BL422" s="319">
        <f t="shared" si="161"/>
        <v>0</v>
      </c>
      <c r="BM422" s="319">
        <f t="shared" si="161"/>
        <v>0</v>
      </c>
      <c r="BN422" s="319">
        <f t="shared" si="161"/>
        <v>0</v>
      </c>
      <c r="BO422" s="319">
        <f t="shared" si="161"/>
        <v>0</v>
      </c>
      <c r="BP422" s="319">
        <f t="shared" si="161"/>
        <v>0</v>
      </c>
      <c r="BQ422" s="319">
        <f t="shared" si="161"/>
        <v>0</v>
      </c>
      <c r="BR422" s="319">
        <f t="shared" si="161"/>
        <v>0</v>
      </c>
      <c r="BS422" s="319">
        <f t="shared" si="161"/>
        <v>0</v>
      </c>
      <c r="BT422" s="319">
        <f t="shared" si="161"/>
        <v>0</v>
      </c>
      <c r="BU422" s="319">
        <f t="shared" si="161"/>
        <v>0</v>
      </c>
      <c r="BV422" s="319">
        <f t="shared" si="161"/>
        <v>0</v>
      </c>
      <c r="BW422" s="319">
        <f t="shared" si="161"/>
        <v>0</v>
      </c>
      <c r="BX422" s="319">
        <f t="shared" si="161"/>
        <v>0</v>
      </c>
      <c r="BY422" s="319">
        <f t="shared" si="161"/>
        <v>0</v>
      </c>
      <c r="BZ422" s="319">
        <f t="shared" si="161"/>
        <v>0</v>
      </c>
      <c r="CA422" s="319">
        <f t="shared" si="161"/>
        <v>0</v>
      </c>
      <c r="CB422" s="319">
        <f t="shared" si="161"/>
        <v>0</v>
      </c>
      <c r="CC422" s="319">
        <f t="shared" si="161"/>
        <v>0</v>
      </c>
      <c r="CD422" s="319">
        <f t="shared" si="161"/>
        <v>0</v>
      </c>
      <c r="CE422" s="319">
        <f t="shared" si="161"/>
        <v>0</v>
      </c>
      <c r="CF422" s="319">
        <f t="shared" si="161"/>
        <v>0</v>
      </c>
      <c r="CG422" s="319">
        <f t="shared" si="161"/>
        <v>0</v>
      </c>
      <c r="CH422" s="319">
        <f t="shared" si="161"/>
        <v>0</v>
      </c>
      <c r="CI422" s="319">
        <f t="shared" si="161"/>
        <v>0</v>
      </c>
      <c r="CJ422" s="319">
        <f t="shared" si="161"/>
        <v>0</v>
      </c>
      <c r="CK422" s="319">
        <f t="shared" si="161"/>
        <v>0</v>
      </c>
      <c r="CL422" s="319">
        <f t="shared" si="161"/>
        <v>0</v>
      </c>
      <c r="CM422" s="319">
        <f t="shared" si="161"/>
        <v>0</v>
      </c>
      <c r="CN422" s="319">
        <f t="shared" si="161"/>
        <v>0</v>
      </c>
      <c r="CO422" s="319">
        <f t="shared" si="161"/>
        <v>0</v>
      </c>
      <c r="CP422" s="319">
        <f t="shared" si="161"/>
        <v>0</v>
      </c>
      <c r="CQ422" s="319">
        <f t="shared" si="161"/>
        <v>0</v>
      </c>
      <c r="CR422" s="319">
        <f t="shared" si="161"/>
        <v>0</v>
      </c>
      <c r="CS422" s="319">
        <f t="shared" si="161"/>
        <v>0</v>
      </c>
      <c r="CT422" s="319">
        <f t="shared" si="161"/>
        <v>0</v>
      </c>
      <c r="CU422" s="319">
        <f t="shared" si="161"/>
        <v>0</v>
      </c>
      <c r="CV422" s="319">
        <f t="shared" si="161"/>
        <v>0</v>
      </c>
    </row>
    <row r="423" spans="1:100" x14ac:dyDescent="0.25">
      <c r="A423" s="319">
        <f t="shared" si="153"/>
        <v>0</v>
      </c>
      <c r="B423" s="319">
        <f t="shared" si="156"/>
        <v>0</v>
      </c>
      <c r="C423" s="345" t="str">
        <f>IF(Sandbox!AX102="","",Sandbox!AX102)</f>
        <v/>
      </c>
      <c r="D423" s="343" t="str">
        <f>IF(Sandbox!$BH$79="","",Sandbox!$BH$79)</f>
        <v/>
      </c>
      <c r="E423" s="343" t="str">
        <f>IF(Sandbox!AY102="","",Sandbox!AY102)</f>
        <v/>
      </c>
      <c r="F423" s="343" t="str">
        <f>IF(E423&lt;CharacterSheet!$V$34,"Yes","No")</f>
        <v>No</v>
      </c>
      <c r="G423" s="342" t="s">
        <v>347</v>
      </c>
      <c r="H423" s="333" t="str">
        <f>IF(C423="","",VLOOKUP(C423,Boonref2!A:B,2,FALSE))</f>
        <v/>
      </c>
      <c r="I423" s="333"/>
      <c r="J423" s="333" t="str">
        <f>VLOOKUP(C423,BoonRef!A:Z,17,FALSE)</f>
        <v>Yes</v>
      </c>
      <c r="K423" s="333" t="str">
        <f>IF(J423="God",'House Rules'!$B$2,IF(J423="Demi",'House Rules'!$B$1,IF(J423="Comp",'House Rules'!$B$4,IF(J423="Yaz",'House Rules'!$B$5,IF(J423="Rag",'House Rules'!$B$3,"Available")))))</f>
        <v>Available</v>
      </c>
      <c r="L423" s="333"/>
      <c r="M423" s="333"/>
      <c r="BF423" s="319">
        <f t="shared" si="160"/>
        <v>0</v>
      </c>
      <c r="BG423" s="340" t="s">
        <v>1183</v>
      </c>
      <c r="BI423" s="319">
        <f t="shared" si="154"/>
        <v>0</v>
      </c>
      <c r="BJ423" s="319">
        <f t="shared" si="161"/>
        <v>0</v>
      </c>
      <c r="BK423" s="319">
        <f t="shared" si="161"/>
        <v>0</v>
      </c>
      <c r="BL423" s="319">
        <f t="shared" si="161"/>
        <v>0</v>
      </c>
      <c r="BM423" s="319">
        <f t="shared" si="161"/>
        <v>0</v>
      </c>
      <c r="BN423" s="319">
        <f t="shared" si="161"/>
        <v>0</v>
      </c>
      <c r="BO423" s="319">
        <f t="shared" si="161"/>
        <v>0</v>
      </c>
      <c r="BP423" s="319">
        <f t="shared" si="161"/>
        <v>0</v>
      </c>
      <c r="BQ423" s="319">
        <f t="shared" si="161"/>
        <v>0</v>
      </c>
      <c r="BR423" s="319">
        <f t="shared" si="161"/>
        <v>0</v>
      </c>
      <c r="BS423" s="319">
        <f t="shared" si="161"/>
        <v>0</v>
      </c>
      <c r="BT423" s="319">
        <f t="shared" si="161"/>
        <v>0</v>
      </c>
      <c r="BU423" s="319">
        <f t="shared" si="161"/>
        <v>0</v>
      </c>
      <c r="BV423" s="319">
        <f t="shared" si="161"/>
        <v>0</v>
      </c>
      <c r="BW423" s="319">
        <f t="shared" si="161"/>
        <v>0</v>
      </c>
      <c r="BX423" s="319">
        <f t="shared" si="161"/>
        <v>0</v>
      </c>
      <c r="BY423" s="319">
        <f t="shared" si="161"/>
        <v>0</v>
      </c>
      <c r="BZ423" s="319">
        <f t="shared" si="161"/>
        <v>0</v>
      </c>
      <c r="CA423" s="319">
        <f t="shared" si="161"/>
        <v>0</v>
      </c>
      <c r="CB423" s="319">
        <f t="shared" si="161"/>
        <v>0</v>
      </c>
      <c r="CC423" s="319">
        <f t="shared" si="161"/>
        <v>0</v>
      </c>
      <c r="CD423" s="319">
        <f t="shared" si="161"/>
        <v>0</v>
      </c>
      <c r="CE423" s="319">
        <f t="shared" si="161"/>
        <v>0</v>
      </c>
      <c r="CF423" s="319">
        <f t="shared" si="161"/>
        <v>0</v>
      </c>
      <c r="CG423" s="319">
        <f t="shared" si="161"/>
        <v>0</v>
      </c>
      <c r="CH423" s="319">
        <f t="shared" ref="BJ423:CV430" si="162">IF(AND($D423=CH$1,$G423="Yes"),$E423,0)</f>
        <v>0</v>
      </c>
      <c r="CI423" s="319">
        <f t="shared" si="162"/>
        <v>0</v>
      </c>
      <c r="CJ423" s="319">
        <f t="shared" si="162"/>
        <v>0</v>
      </c>
      <c r="CK423" s="319">
        <f t="shared" si="162"/>
        <v>0</v>
      </c>
      <c r="CL423" s="319">
        <f t="shared" si="162"/>
        <v>0</v>
      </c>
      <c r="CM423" s="319">
        <f t="shared" si="162"/>
        <v>0</v>
      </c>
      <c r="CN423" s="319">
        <f t="shared" si="162"/>
        <v>0</v>
      </c>
      <c r="CO423" s="319">
        <f t="shared" si="162"/>
        <v>0</v>
      </c>
      <c r="CP423" s="319">
        <f t="shared" si="162"/>
        <v>0</v>
      </c>
      <c r="CQ423" s="319">
        <f t="shared" si="162"/>
        <v>0</v>
      </c>
      <c r="CR423" s="319">
        <f t="shared" si="162"/>
        <v>0</v>
      </c>
      <c r="CS423" s="319">
        <f t="shared" si="162"/>
        <v>0</v>
      </c>
      <c r="CT423" s="319">
        <f t="shared" si="162"/>
        <v>0</v>
      </c>
      <c r="CU423" s="319">
        <f t="shared" si="162"/>
        <v>0</v>
      </c>
      <c r="CV423" s="319">
        <f t="shared" si="162"/>
        <v>0</v>
      </c>
    </row>
    <row r="424" spans="1:100" ht="15.75" thickBot="1" x14ac:dyDescent="0.3">
      <c r="A424" s="319">
        <f t="shared" si="153"/>
        <v>0</v>
      </c>
      <c r="B424" s="319">
        <f t="shared" si="156"/>
        <v>0</v>
      </c>
      <c r="C424" s="355" t="str">
        <f>IF(Sandbox!AX103="","",Sandbox!AX103)</f>
        <v/>
      </c>
      <c r="D424" s="363" t="str">
        <f>IF(Sandbox!$BH$79="","",Sandbox!$BH$79)</f>
        <v/>
      </c>
      <c r="E424" s="363" t="str">
        <f>IF(Sandbox!AY103="","",Sandbox!AY103)</f>
        <v/>
      </c>
      <c r="F424" s="363" t="str">
        <f>IF(E424&lt;CharacterSheet!$V$34,"Yes","No")</f>
        <v>No</v>
      </c>
      <c r="G424" s="354" t="s">
        <v>347</v>
      </c>
      <c r="H424" s="333" t="str">
        <f>IF(C424="","",VLOOKUP(C424,Boonref2!A:B,2,FALSE))</f>
        <v/>
      </c>
      <c r="I424" s="333"/>
      <c r="J424" s="333" t="str">
        <f>VLOOKUP(C424,BoonRef!A:Z,17,FALSE)</f>
        <v>Yes</v>
      </c>
      <c r="K424" s="333" t="str">
        <f>IF(J424="God",'House Rules'!$B$2,IF(J424="Demi",'House Rules'!$B$1,IF(J424="Comp",'House Rules'!$B$4,IF(J424="Yaz",'House Rules'!$B$5,IF(J424="Rag",'House Rules'!$B$3,"Available")))))</f>
        <v>Available</v>
      </c>
      <c r="L424" s="333"/>
      <c r="M424" s="333"/>
      <c r="BF424" s="319">
        <f t="shared" si="160"/>
        <v>0</v>
      </c>
      <c r="BG424" s="340" t="s">
        <v>1184</v>
      </c>
      <c r="BI424" s="319">
        <f t="shared" si="154"/>
        <v>0</v>
      </c>
      <c r="BJ424" s="319">
        <f t="shared" si="162"/>
        <v>0</v>
      </c>
      <c r="BK424" s="319">
        <f t="shared" si="162"/>
        <v>0</v>
      </c>
      <c r="BL424" s="319">
        <f t="shared" si="162"/>
        <v>0</v>
      </c>
      <c r="BM424" s="319">
        <f t="shared" si="162"/>
        <v>0</v>
      </c>
      <c r="BN424" s="319">
        <f t="shared" si="162"/>
        <v>0</v>
      </c>
      <c r="BO424" s="319">
        <f t="shared" si="162"/>
        <v>0</v>
      </c>
      <c r="BP424" s="319">
        <f t="shared" si="162"/>
        <v>0</v>
      </c>
      <c r="BQ424" s="319">
        <f t="shared" si="162"/>
        <v>0</v>
      </c>
      <c r="BR424" s="319">
        <f t="shared" si="162"/>
        <v>0</v>
      </c>
      <c r="BS424" s="319">
        <f t="shared" si="162"/>
        <v>0</v>
      </c>
      <c r="BT424" s="319">
        <f t="shared" si="162"/>
        <v>0</v>
      </c>
      <c r="BU424" s="319">
        <f t="shared" si="162"/>
        <v>0</v>
      </c>
      <c r="BV424" s="319">
        <f t="shared" si="162"/>
        <v>0</v>
      </c>
      <c r="BW424" s="319">
        <f t="shared" si="162"/>
        <v>0</v>
      </c>
      <c r="BX424" s="319">
        <f t="shared" si="162"/>
        <v>0</v>
      </c>
      <c r="BY424" s="319">
        <f t="shared" si="162"/>
        <v>0</v>
      </c>
      <c r="BZ424" s="319">
        <f t="shared" si="162"/>
        <v>0</v>
      </c>
      <c r="CA424" s="319">
        <f t="shared" si="162"/>
        <v>0</v>
      </c>
      <c r="CB424" s="319">
        <f t="shared" si="162"/>
        <v>0</v>
      </c>
      <c r="CC424" s="319">
        <f t="shared" si="162"/>
        <v>0</v>
      </c>
      <c r="CD424" s="319">
        <f t="shared" si="162"/>
        <v>0</v>
      </c>
      <c r="CE424" s="319">
        <f t="shared" si="162"/>
        <v>0</v>
      </c>
      <c r="CF424" s="319">
        <f t="shared" si="162"/>
        <v>0</v>
      </c>
      <c r="CG424" s="319">
        <f t="shared" si="162"/>
        <v>0</v>
      </c>
      <c r="CH424" s="319">
        <f t="shared" si="162"/>
        <v>0</v>
      </c>
      <c r="CI424" s="319">
        <f t="shared" si="162"/>
        <v>0</v>
      </c>
      <c r="CJ424" s="319">
        <f t="shared" si="162"/>
        <v>0</v>
      </c>
      <c r="CK424" s="319">
        <f t="shared" si="162"/>
        <v>0</v>
      </c>
      <c r="CL424" s="319">
        <f t="shared" si="162"/>
        <v>0</v>
      </c>
      <c r="CM424" s="319">
        <f t="shared" si="162"/>
        <v>0</v>
      </c>
      <c r="CN424" s="319">
        <f t="shared" si="162"/>
        <v>0</v>
      </c>
      <c r="CO424" s="319">
        <f t="shared" si="162"/>
        <v>0</v>
      </c>
      <c r="CP424" s="319">
        <f t="shared" si="162"/>
        <v>0</v>
      </c>
      <c r="CQ424" s="319">
        <f t="shared" si="162"/>
        <v>0</v>
      </c>
      <c r="CR424" s="319">
        <f t="shared" si="162"/>
        <v>0</v>
      </c>
      <c r="CS424" s="319">
        <f t="shared" si="162"/>
        <v>0</v>
      </c>
      <c r="CT424" s="319">
        <f t="shared" si="162"/>
        <v>0</v>
      </c>
      <c r="CU424" s="319">
        <f t="shared" si="162"/>
        <v>0</v>
      </c>
      <c r="CV424" s="319">
        <f t="shared" si="162"/>
        <v>0</v>
      </c>
    </row>
    <row r="425" spans="1:100" x14ac:dyDescent="0.25">
      <c r="A425" s="319">
        <f t="shared" si="153"/>
        <v>0</v>
      </c>
      <c r="B425" s="319">
        <f t="shared" si="156"/>
        <v>0</v>
      </c>
      <c r="C425" s="336" t="str">
        <f>IF(Sandbox!AX108="","",Sandbox!AX108)</f>
        <v/>
      </c>
      <c r="D425" s="334" t="str">
        <f>IF(Sandbox!$BH$104="","",Sandbox!$BH$104)</f>
        <v/>
      </c>
      <c r="E425" s="334" t="str">
        <f>IF(Sandbox!AY108="","",Sandbox!AY108)</f>
        <v/>
      </c>
      <c r="F425" s="334" t="str">
        <f>IF(E425&lt;CharacterSheet!$V$34,"Yes","No")</f>
        <v>No</v>
      </c>
      <c r="G425" s="332" t="s">
        <v>347</v>
      </c>
      <c r="H425" s="333" t="str">
        <f>IF(C425="","",VLOOKUP(C425,Boonref2!A:B,2,FALSE))</f>
        <v/>
      </c>
      <c r="I425" s="333"/>
      <c r="J425" s="333" t="str">
        <f>VLOOKUP(C425,BoonRef!A:Z,17,FALSE)</f>
        <v>Yes</v>
      </c>
      <c r="K425" s="333" t="str">
        <f>IF(J425="God",'House Rules'!$B$2,IF(J425="Demi",'House Rules'!$B$1,IF(J425="Comp",'House Rules'!$B$4,IF(J425="Yaz",'House Rules'!$B$5,IF(J425="Rag",'House Rules'!$B$3,"Available")))))</f>
        <v>Available</v>
      </c>
      <c r="L425" s="333"/>
      <c r="M425" s="333"/>
      <c r="BF425" s="319">
        <f t="shared" si="160"/>
        <v>0</v>
      </c>
      <c r="BG425" s="340" t="s">
        <v>1400</v>
      </c>
      <c r="BI425" s="319">
        <f t="shared" si="154"/>
        <v>0</v>
      </c>
      <c r="BJ425" s="319">
        <f t="shared" si="162"/>
        <v>0</v>
      </c>
      <c r="BK425" s="319">
        <f t="shared" si="162"/>
        <v>0</v>
      </c>
      <c r="BL425" s="319">
        <f t="shared" si="162"/>
        <v>0</v>
      </c>
      <c r="BM425" s="319">
        <f t="shared" si="162"/>
        <v>0</v>
      </c>
      <c r="BN425" s="319">
        <f t="shared" si="162"/>
        <v>0</v>
      </c>
      <c r="BO425" s="319">
        <f t="shared" si="162"/>
        <v>0</v>
      </c>
      <c r="BP425" s="319">
        <f t="shared" si="162"/>
        <v>0</v>
      </c>
      <c r="BQ425" s="319">
        <f t="shared" si="162"/>
        <v>0</v>
      </c>
      <c r="BR425" s="319">
        <f t="shared" si="162"/>
        <v>0</v>
      </c>
      <c r="BS425" s="319">
        <f t="shared" si="162"/>
        <v>0</v>
      </c>
      <c r="BT425" s="319">
        <f t="shared" si="162"/>
        <v>0</v>
      </c>
      <c r="BU425" s="319">
        <f t="shared" si="162"/>
        <v>0</v>
      </c>
      <c r="BV425" s="319">
        <f t="shared" si="162"/>
        <v>0</v>
      </c>
      <c r="BW425" s="319">
        <f t="shared" si="162"/>
        <v>0</v>
      </c>
      <c r="BX425" s="319">
        <f t="shared" si="162"/>
        <v>0</v>
      </c>
      <c r="BY425" s="319">
        <f t="shared" si="162"/>
        <v>0</v>
      </c>
      <c r="BZ425" s="319">
        <f t="shared" si="162"/>
        <v>0</v>
      </c>
      <c r="CA425" s="319">
        <f t="shared" si="162"/>
        <v>0</v>
      </c>
      <c r="CB425" s="319">
        <f t="shared" si="162"/>
        <v>0</v>
      </c>
      <c r="CC425" s="319">
        <f t="shared" si="162"/>
        <v>0</v>
      </c>
      <c r="CD425" s="319">
        <f t="shared" si="162"/>
        <v>0</v>
      </c>
      <c r="CE425" s="319">
        <f t="shared" si="162"/>
        <v>0</v>
      </c>
      <c r="CF425" s="319">
        <f t="shared" si="162"/>
        <v>0</v>
      </c>
      <c r="CG425" s="319">
        <f t="shared" si="162"/>
        <v>0</v>
      </c>
      <c r="CH425" s="319">
        <f t="shared" si="162"/>
        <v>0</v>
      </c>
      <c r="CI425" s="319">
        <f t="shared" si="162"/>
        <v>0</v>
      </c>
      <c r="CJ425" s="319">
        <f t="shared" si="162"/>
        <v>0</v>
      </c>
      <c r="CK425" s="319">
        <f t="shared" si="162"/>
        <v>0</v>
      </c>
      <c r="CL425" s="319">
        <f t="shared" si="162"/>
        <v>0</v>
      </c>
      <c r="CM425" s="319">
        <f t="shared" si="162"/>
        <v>0</v>
      </c>
      <c r="CN425" s="319">
        <f t="shared" si="162"/>
        <v>0</v>
      </c>
      <c r="CO425" s="319">
        <f t="shared" si="162"/>
        <v>0</v>
      </c>
      <c r="CP425" s="319">
        <f t="shared" si="162"/>
        <v>0</v>
      </c>
      <c r="CQ425" s="319">
        <f t="shared" si="162"/>
        <v>0</v>
      </c>
      <c r="CR425" s="319">
        <f t="shared" si="162"/>
        <v>0</v>
      </c>
      <c r="CS425" s="319">
        <f t="shared" si="162"/>
        <v>0</v>
      </c>
      <c r="CT425" s="319">
        <f t="shared" si="162"/>
        <v>0</v>
      </c>
      <c r="CU425" s="319">
        <f t="shared" si="162"/>
        <v>0</v>
      </c>
      <c r="CV425" s="319">
        <f t="shared" si="162"/>
        <v>0</v>
      </c>
    </row>
    <row r="426" spans="1:100" x14ac:dyDescent="0.25">
      <c r="A426" s="319">
        <f t="shared" si="153"/>
        <v>0</v>
      </c>
      <c r="B426" s="319">
        <f t="shared" si="156"/>
        <v>0</v>
      </c>
      <c r="C426" s="345" t="str">
        <f>IF(Sandbox!AX109="","",Sandbox!AX109)</f>
        <v/>
      </c>
      <c r="D426" s="343" t="str">
        <f>IF(Sandbox!$BH$104="","",Sandbox!$BH$104)</f>
        <v/>
      </c>
      <c r="E426" s="343" t="str">
        <f>IF(Sandbox!AY109="","",Sandbox!AY109)</f>
        <v/>
      </c>
      <c r="F426" s="343" t="str">
        <f>IF(E426&lt;CharacterSheet!$V$34,"Yes","No")</f>
        <v>No</v>
      </c>
      <c r="G426" s="342" t="s">
        <v>347</v>
      </c>
      <c r="H426" s="333" t="str">
        <f>IF(C426="","",VLOOKUP(C426,Boonref2!A:B,2,FALSE))</f>
        <v/>
      </c>
      <c r="I426" s="333"/>
      <c r="J426" s="333" t="str">
        <f>VLOOKUP(C426,BoonRef!A:Z,17,FALSE)</f>
        <v>Yes</v>
      </c>
      <c r="K426" s="333" t="str">
        <f>IF(J426="God",'House Rules'!$B$2,IF(J426="Demi",'House Rules'!$B$1,IF(J426="Comp",'House Rules'!$B$4,IF(J426="Yaz",'House Rules'!$B$5,IF(J426="Rag",'House Rules'!$B$3,"Available")))))</f>
        <v>Available</v>
      </c>
      <c r="L426" s="333"/>
      <c r="M426" s="333"/>
      <c r="BF426" s="319">
        <f t="shared" si="160"/>
        <v>0</v>
      </c>
      <c r="BG426" s="340" t="s">
        <v>1185</v>
      </c>
      <c r="BI426" s="319">
        <f t="shared" si="154"/>
        <v>0</v>
      </c>
      <c r="BJ426" s="319">
        <f t="shared" si="162"/>
        <v>0</v>
      </c>
      <c r="BK426" s="319">
        <f t="shared" si="162"/>
        <v>0</v>
      </c>
      <c r="BL426" s="319">
        <f t="shared" si="162"/>
        <v>0</v>
      </c>
      <c r="BM426" s="319">
        <f t="shared" si="162"/>
        <v>0</v>
      </c>
      <c r="BN426" s="319">
        <f t="shared" si="162"/>
        <v>0</v>
      </c>
      <c r="BO426" s="319">
        <f t="shared" si="162"/>
        <v>0</v>
      </c>
      <c r="BP426" s="319">
        <f t="shared" si="162"/>
        <v>0</v>
      </c>
      <c r="BQ426" s="319">
        <f t="shared" si="162"/>
        <v>0</v>
      </c>
      <c r="BR426" s="319">
        <f t="shared" si="162"/>
        <v>0</v>
      </c>
      <c r="BS426" s="319">
        <f t="shared" si="162"/>
        <v>0</v>
      </c>
      <c r="BT426" s="319">
        <f t="shared" si="162"/>
        <v>0</v>
      </c>
      <c r="BU426" s="319">
        <f t="shared" si="162"/>
        <v>0</v>
      </c>
      <c r="BV426" s="319">
        <f t="shared" si="162"/>
        <v>0</v>
      </c>
      <c r="BW426" s="319">
        <f t="shared" si="162"/>
        <v>0</v>
      </c>
      <c r="BX426" s="319">
        <f t="shared" si="162"/>
        <v>0</v>
      </c>
      <c r="BY426" s="319">
        <f t="shared" si="162"/>
        <v>0</v>
      </c>
      <c r="BZ426" s="319">
        <f t="shared" si="162"/>
        <v>0</v>
      </c>
      <c r="CA426" s="319">
        <f t="shared" si="162"/>
        <v>0</v>
      </c>
      <c r="CB426" s="319">
        <f t="shared" si="162"/>
        <v>0</v>
      </c>
      <c r="CC426" s="319">
        <f t="shared" si="162"/>
        <v>0</v>
      </c>
      <c r="CD426" s="319">
        <f t="shared" si="162"/>
        <v>0</v>
      </c>
      <c r="CE426" s="319">
        <f t="shared" si="162"/>
        <v>0</v>
      </c>
      <c r="CF426" s="319">
        <f t="shared" si="162"/>
        <v>0</v>
      </c>
      <c r="CG426" s="319">
        <f t="shared" si="162"/>
        <v>0</v>
      </c>
      <c r="CH426" s="319">
        <f t="shared" si="162"/>
        <v>0</v>
      </c>
      <c r="CI426" s="319">
        <f t="shared" si="162"/>
        <v>0</v>
      </c>
      <c r="CJ426" s="319">
        <f t="shared" si="162"/>
        <v>0</v>
      </c>
      <c r="CK426" s="319">
        <f t="shared" si="162"/>
        <v>0</v>
      </c>
      <c r="CL426" s="319">
        <f t="shared" si="162"/>
        <v>0</v>
      </c>
      <c r="CM426" s="319">
        <f t="shared" si="162"/>
        <v>0</v>
      </c>
      <c r="CN426" s="319">
        <f t="shared" si="162"/>
        <v>0</v>
      </c>
      <c r="CO426" s="319">
        <f t="shared" si="162"/>
        <v>0</v>
      </c>
      <c r="CP426" s="319">
        <f t="shared" si="162"/>
        <v>0</v>
      </c>
      <c r="CQ426" s="319">
        <f t="shared" si="162"/>
        <v>0</v>
      </c>
      <c r="CR426" s="319">
        <f t="shared" si="162"/>
        <v>0</v>
      </c>
      <c r="CS426" s="319">
        <f t="shared" si="162"/>
        <v>0</v>
      </c>
      <c r="CT426" s="319">
        <f t="shared" si="162"/>
        <v>0</v>
      </c>
      <c r="CU426" s="319">
        <f t="shared" si="162"/>
        <v>0</v>
      </c>
      <c r="CV426" s="319">
        <f t="shared" si="162"/>
        <v>0</v>
      </c>
    </row>
    <row r="427" spans="1:100" x14ac:dyDescent="0.25">
      <c r="A427" s="319">
        <f t="shared" si="153"/>
        <v>0</v>
      </c>
      <c r="B427" s="319">
        <f t="shared" si="156"/>
        <v>0</v>
      </c>
      <c r="C427" s="345" t="str">
        <f>IF(Sandbox!AX110="","",Sandbox!AX110)</f>
        <v/>
      </c>
      <c r="D427" s="343" t="str">
        <f>IF(Sandbox!$BH$104="","",Sandbox!$BH$104)</f>
        <v/>
      </c>
      <c r="E427" s="343" t="str">
        <f>IF(Sandbox!AY110="","",Sandbox!AY110)</f>
        <v/>
      </c>
      <c r="F427" s="343" t="str">
        <f>IF(E427&lt;CharacterSheet!$V$34,"Yes","No")</f>
        <v>No</v>
      </c>
      <c r="G427" s="342" t="s">
        <v>347</v>
      </c>
      <c r="H427" s="333" t="str">
        <f>IF(C427="","",VLOOKUP(C427,Boonref2!A:B,2,FALSE))</f>
        <v/>
      </c>
      <c r="I427" s="333"/>
      <c r="J427" s="333" t="str">
        <f>VLOOKUP(C427,BoonRef!A:Z,17,FALSE)</f>
        <v>Yes</v>
      </c>
      <c r="K427" s="333" t="str">
        <f>IF(J427="God",'House Rules'!$B$2,IF(J427="Demi",'House Rules'!$B$1,IF(J427="Comp",'House Rules'!$B$4,IF(J427="Yaz",'House Rules'!$B$5,IF(J427="Rag",'House Rules'!$B$3,"Available")))))</f>
        <v>Available</v>
      </c>
      <c r="L427" s="333"/>
      <c r="M427" s="333"/>
      <c r="BF427" s="319">
        <f t="shared" si="160"/>
        <v>0</v>
      </c>
      <c r="BG427" s="340" t="s">
        <v>1186</v>
      </c>
      <c r="BI427" s="319">
        <f t="shared" si="154"/>
        <v>0</v>
      </c>
      <c r="BJ427" s="319">
        <f t="shared" si="162"/>
        <v>0</v>
      </c>
      <c r="BK427" s="319">
        <f t="shared" si="162"/>
        <v>0</v>
      </c>
      <c r="BL427" s="319">
        <f t="shared" si="162"/>
        <v>0</v>
      </c>
      <c r="BM427" s="319">
        <f t="shared" si="162"/>
        <v>0</v>
      </c>
      <c r="BN427" s="319">
        <f t="shared" si="162"/>
        <v>0</v>
      </c>
      <c r="BO427" s="319">
        <f t="shared" si="162"/>
        <v>0</v>
      </c>
      <c r="BP427" s="319">
        <f t="shared" si="162"/>
        <v>0</v>
      </c>
      <c r="BQ427" s="319">
        <f t="shared" si="162"/>
        <v>0</v>
      </c>
      <c r="BR427" s="319">
        <f t="shared" si="162"/>
        <v>0</v>
      </c>
      <c r="BS427" s="319">
        <f t="shared" si="162"/>
        <v>0</v>
      </c>
      <c r="BT427" s="319">
        <f t="shared" si="162"/>
        <v>0</v>
      </c>
      <c r="BU427" s="319">
        <f t="shared" si="162"/>
        <v>0</v>
      </c>
      <c r="BV427" s="319">
        <f t="shared" si="162"/>
        <v>0</v>
      </c>
      <c r="BW427" s="319">
        <f t="shared" si="162"/>
        <v>0</v>
      </c>
      <c r="BX427" s="319">
        <f t="shared" si="162"/>
        <v>0</v>
      </c>
      <c r="BY427" s="319">
        <f t="shared" si="162"/>
        <v>0</v>
      </c>
      <c r="BZ427" s="319">
        <f t="shared" si="162"/>
        <v>0</v>
      </c>
      <c r="CA427" s="319">
        <f t="shared" si="162"/>
        <v>0</v>
      </c>
      <c r="CB427" s="319">
        <f t="shared" si="162"/>
        <v>0</v>
      </c>
      <c r="CC427" s="319">
        <f t="shared" si="162"/>
        <v>0</v>
      </c>
      <c r="CD427" s="319">
        <f t="shared" si="162"/>
        <v>0</v>
      </c>
      <c r="CE427" s="319">
        <f t="shared" si="162"/>
        <v>0</v>
      </c>
      <c r="CF427" s="319">
        <f t="shared" si="162"/>
        <v>0</v>
      </c>
      <c r="CG427" s="319">
        <f t="shared" si="162"/>
        <v>0</v>
      </c>
      <c r="CH427" s="319">
        <f t="shared" si="162"/>
        <v>0</v>
      </c>
      <c r="CI427" s="319">
        <f t="shared" si="162"/>
        <v>0</v>
      </c>
      <c r="CJ427" s="319">
        <f t="shared" si="162"/>
        <v>0</v>
      </c>
      <c r="CK427" s="319">
        <f t="shared" si="162"/>
        <v>0</v>
      </c>
      <c r="CL427" s="319">
        <f t="shared" si="162"/>
        <v>0</v>
      </c>
      <c r="CM427" s="319">
        <f t="shared" si="162"/>
        <v>0</v>
      </c>
      <c r="CN427" s="319">
        <f t="shared" si="162"/>
        <v>0</v>
      </c>
      <c r="CO427" s="319">
        <f t="shared" si="162"/>
        <v>0</v>
      </c>
      <c r="CP427" s="319">
        <f t="shared" si="162"/>
        <v>0</v>
      </c>
      <c r="CQ427" s="319">
        <f t="shared" si="162"/>
        <v>0</v>
      </c>
      <c r="CR427" s="319">
        <f t="shared" si="162"/>
        <v>0</v>
      </c>
      <c r="CS427" s="319">
        <f t="shared" si="162"/>
        <v>0</v>
      </c>
      <c r="CT427" s="319">
        <f t="shared" si="162"/>
        <v>0</v>
      </c>
      <c r="CU427" s="319">
        <f t="shared" si="162"/>
        <v>0</v>
      </c>
      <c r="CV427" s="319">
        <f t="shared" si="162"/>
        <v>0</v>
      </c>
    </row>
    <row r="428" spans="1:100" x14ac:dyDescent="0.25">
      <c r="A428" s="319">
        <f t="shared" si="153"/>
        <v>0</v>
      </c>
      <c r="B428" s="319">
        <f t="shared" si="156"/>
        <v>0</v>
      </c>
      <c r="C428" s="345" t="str">
        <f>IF(Sandbox!AX111="","",Sandbox!AX111)</f>
        <v/>
      </c>
      <c r="D428" s="343" t="str">
        <f>IF(Sandbox!$BH$104="","",Sandbox!$BH$104)</f>
        <v/>
      </c>
      <c r="E428" s="343" t="str">
        <f>IF(Sandbox!AY111="","",Sandbox!AY111)</f>
        <v/>
      </c>
      <c r="F428" s="343" t="str">
        <f>IF(E428&lt;CharacterSheet!$V$34,"Yes","No")</f>
        <v>No</v>
      </c>
      <c r="G428" s="342" t="s">
        <v>347</v>
      </c>
      <c r="H428" s="333" t="str">
        <f>IF(C428="","",VLOOKUP(C428,Boonref2!A:B,2,FALSE))</f>
        <v/>
      </c>
      <c r="I428" s="333"/>
      <c r="J428" s="333" t="str">
        <f>VLOOKUP(C428,BoonRef!A:Z,17,FALSE)</f>
        <v>Yes</v>
      </c>
      <c r="K428" s="333" t="str">
        <f>IF(J428="God",'House Rules'!$B$2,IF(J428="Demi",'House Rules'!$B$1,IF(J428="Comp",'House Rules'!$B$4,IF(J428="Yaz",'House Rules'!$B$5,IF(J428="Rag",'House Rules'!$B$3,"Available")))))</f>
        <v>Available</v>
      </c>
      <c r="L428" s="333"/>
      <c r="M428" s="333"/>
      <c r="BF428" s="319">
        <f t="shared" si="160"/>
        <v>0</v>
      </c>
      <c r="BG428" s="340" t="s">
        <v>1282</v>
      </c>
      <c r="BI428" s="319">
        <f t="shared" si="154"/>
        <v>0</v>
      </c>
      <c r="BJ428" s="319">
        <f t="shared" si="162"/>
        <v>0</v>
      </c>
      <c r="BK428" s="319">
        <f t="shared" si="162"/>
        <v>0</v>
      </c>
      <c r="BL428" s="319">
        <f t="shared" si="162"/>
        <v>0</v>
      </c>
      <c r="BM428" s="319">
        <f t="shared" si="162"/>
        <v>0</v>
      </c>
      <c r="BN428" s="319">
        <f t="shared" si="162"/>
        <v>0</v>
      </c>
      <c r="BO428" s="319">
        <f t="shared" si="162"/>
        <v>0</v>
      </c>
      <c r="BP428" s="319">
        <f t="shared" si="162"/>
        <v>0</v>
      </c>
      <c r="BQ428" s="319">
        <f t="shared" si="162"/>
        <v>0</v>
      </c>
      <c r="BR428" s="319">
        <f t="shared" si="162"/>
        <v>0</v>
      </c>
      <c r="BS428" s="319">
        <f t="shared" si="162"/>
        <v>0</v>
      </c>
      <c r="BT428" s="319">
        <f t="shared" si="162"/>
        <v>0</v>
      </c>
      <c r="BU428" s="319">
        <f t="shared" si="162"/>
        <v>0</v>
      </c>
      <c r="BV428" s="319">
        <f t="shared" si="162"/>
        <v>0</v>
      </c>
      <c r="BW428" s="319">
        <f t="shared" si="162"/>
        <v>0</v>
      </c>
      <c r="BX428" s="319">
        <f t="shared" si="162"/>
        <v>0</v>
      </c>
      <c r="BY428" s="319">
        <f t="shared" si="162"/>
        <v>0</v>
      </c>
      <c r="BZ428" s="319">
        <f t="shared" si="162"/>
        <v>0</v>
      </c>
      <c r="CA428" s="319">
        <f t="shared" si="162"/>
        <v>0</v>
      </c>
      <c r="CB428" s="319">
        <f t="shared" si="162"/>
        <v>0</v>
      </c>
      <c r="CC428" s="319">
        <f t="shared" si="162"/>
        <v>0</v>
      </c>
      <c r="CD428" s="319">
        <f t="shared" si="162"/>
        <v>0</v>
      </c>
      <c r="CE428" s="319">
        <f t="shared" si="162"/>
        <v>0</v>
      </c>
      <c r="CF428" s="319">
        <f t="shared" si="162"/>
        <v>0</v>
      </c>
      <c r="CG428" s="319">
        <f t="shared" si="162"/>
        <v>0</v>
      </c>
      <c r="CH428" s="319">
        <f t="shared" si="162"/>
        <v>0</v>
      </c>
      <c r="CI428" s="319">
        <f t="shared" si="162"/>
        <v>0</v>
      </c>
      <c r="CJ428" s="319">
        <f t="shared" si="162"/>
        <v>0</v>
      </c>
      <c r="CK428" s="319">
        <f t="shared" si="162"/>
        <v>0</v>
      </c>
      <c r="CL428" s="319">
        <f t="shared" si="162"/>
        <v>0</v>
      </c>
      <c r="CM428" s="319">
        <f t="shared" si="162"/>
        <v>0</v>
      </c>
      <c r="CN428" s="319">
        <f t="shared" si="162"/>
        <v>0</v>
      </c>
      <c r="CO428" s="319">
        <f t="shared" si="162"/>
        <v>0</v>
      </c>
      <c r="CP428" s="319">
        <f t="shared" si="162"/>
        <v>0</v>
      </c>
      <c r="CQ428" s="319">
        <f t="shared" si="162"/>
        <v>0</v>
      </c>
      <c r="CR428" s="319">
        <f t="shared" si="162"/>
        <v>0</v>
      </c>
      <c r="CS428" s="319">
        <f t="shared" si="162"/>
        <v>0</v>
      </c>
      <c r="CT428" s="319">
        <f t="shared" si="162"/>
        <v>0</v>
      </c>
      <c r="CU428" s="319">
        <f t="shared" si="162"/>
        <v>0</v>
      </c>
      <c r="CV428" s="319">
        <f t="shared" si="162"/>
        <v>0</v>
      </c>
    </row>
    <row r="429" spans="1:100" x14ac:dyDescent="0.25">
      <c r="A429" s="319">
        <f t="shared" si="153"/>
        <v>0</v>
      </c>
      <c r="B429" s="319">
        <f t="shared" si="156"/>
        <v>0</v>
      </c>
      <c r="C429" s="345" t="str">
        <f>IF(Sandbox!AX112="","",Sandbox!AX112)</f>
        <v/>
      </c>
      <c r="D429" s="343" t="str">
        <f>IF(Sandbox!$BH$104="","",Sandbox!$BH$104)</f>
        <v/>
      </c>
      <c r="E429" s="343" t="str">
        <f>IF(Sandbox!AY112="","",Sandbox!AY112)</f>
        <v/>
      </c>
      <c r="F429" s="343" t="str">
        <f>IF(E429&lt;CharacterSheet!$V$34,"Yes","No")</f>
        <v>No</v>
      </c>
      <c r="G429" s="342" t="s">
        <v>347</v>
      </c>
      <c r="H429" s="333" t="str">
        <f>IF(C429="","",VLOOKUP(C429,Boonref2!A:B,2,FALSE))</f>
        <v/>
      </c>
      <c r="I429" s="333"/>
      <c r="J429" s="333" t="str">
        <f>VLOOKUP(C429,BoonRef!A:Z,17,FALSE)</f>
        <v>Yes</v>
      </c>
      <c r="K429" s="333" t="str">
        <f>IF(J429="God",'House Rules'!$B$2,IF(J429="Demi",'House Rules'!$B$1,IF(J429="Comp",'House Rules'!$B$4,IF(J429="Yaz",'House Rules'!$B$5,IF(J429="Rag",'House Rules'!$B$3,"Available")))))</f>
        <v>Available</v>
      </c>
      <c r="L429" s="333"/>
      <c r="M429" s="333"/>
      <c r="BF429" s="319">
        <f t="shared" si="160"/>
        <v>0</v>
      </c>
      <c r="BG429" s="340" t="s">
        <v>2639</v>
      </c>
      <c r="BI429" s="319">
        <f t="shared" si="154"/>
        <v>0</v>
      </c>
      <c r="BJ429" s="319">
        <f t="shared" si="162"/>
        <v>0</v>
      </c>
      <c r="BK429" s="319">
        <f t="shared" si="162"/>
        <v>0</v>
      </c>
      <c r="BL429" s="319">
        <f t="shared" si="162"/>
        <v>0</v>
      </c>
      <c r="BM429" s="319">
        <f t="shared" si="162"/>
        <v>0</v>
      </c>
      <c r="BN429" s="319">
        <f t="shared" si="162"/>
        <v>0</v>
      </c>
      <c r="BO429" s="319">
        <f t="shared" si="162"/>
        <v>0</v>
      </c>
      <c r="BP429" s="319">
        <f t="shared" si="162"/>
        <v>0</v>
      </c>
      <c r="BQ429" s="319">
        <f t="shared" si="162"/>
        <v>0</v>
      </c>
      <c r="BR429" s="319">
        <f t="shared" si="162"/>
        <v>0</v>
      </c>
      <c r="BS429" s="319">
        <f t="shared" si="162"/>
        <v>0</v>
      </c>
      <c r="BT429" s="319">
        <f t="shared" si="162"/>
        <v>0</v>
      </c>
      <c r="BU429" s="319">
        <f t="shared" si="162"/>
        <v>0</v>
      </c>
      <c r="BV429" s="319">
        <f t="shared" si="162"/>
        <v>0</v>
      </c>
      <c r="BW429" s="319">
        <f t="shared" si="162"/>
        <v>0</v>
      </c>
      <c r="BX429" s="319">
        <f t="shared" si="162"/>
        <v>0</v>
      </c>
      <c r="BY429" s="319">
        <f t="shared" si="162"/>
        <v>0</v>
      </c>
      <c r="BZ429" s="319">
        <f t="shared" si="162"/>
        <v>0</v>
      </c>
      <c r="CA429" s="319">
        <f t="shared" si="162"/>
        <v>0</v>
      </c>
      <c r="CB429" s="319">
        <f t="shared" si="162"/>
        <v>0</v>
      </c>
      <c r="CC429" s="319">
        <f t="shared" si="162"/>
        <v>0</v>
      </c>
      <c r="CD429" s="319">
        <f t="shared" si="162"/>
        <v>0</v>
      </c>
      <c r="CE429" s="319">
        <f t="shared" si="162"/>
        <v>0</v>
      </c>
      <c r="CF429" s="319">
        <f t="shared" si="162"/>
        <v>0</v>
      </c>
      <c r="CG429" s="319">
        <f t="shared" si="162"/>
        <v>0</v>
      </c>
      <c r="CH429" s="319">
        <f t="shared" si="162"/>
        <v>0</v>
      </c>
      <c r="CI429" s="319">
        <f t="shared" si="162"/>
        <v>0</v>
      </c>
      <c r="CJ429" s="319">
        <f t="shared" si="162"/>
        <v>0</v>
      </c>
      <c r="CK429" s="319">
        <f t="shared" si="162"/>
        <v>0</v>
      </c>
      <c r="CL429" s="319">
        <f t="shared" si="162"/>
        <v>0</v>
      </c>
      <c r="CM429" s="319">
        <f t="shared" si="162"/>
        <v>0</v>
      </c>
      <c r="CN429" s="319">
        <f t="shared" si="162"/>
        <v>0</v>
      </c>
      <c r="CO429" s="319">
        <f t="shared" si="162"/>
        <v>0</v>
      </c>
      <c r="CP429" s="319">
        <f t="shared" si="162"/>
        <v>0</v>
      </c>
      <c r="CQ429" s="319">
        <f t="shared" si="162"/>
        <v>0</v>
      </c>
      <c r="CR429" s="319">
        <f t="shared" si="162"/>
        <v>0</v>
      </c>
      <c r="CS429" s="319">
        <f t="shared" si="162"/>
        <v>0</v>
      </c>
      <c r="CT429" s="319">
        <f t="shared" si="162"/>
        <v>0</v>
      </c>
      <c r="CU429" s="319">
        <f t="shared" si="162"/>
        <v>0</v>
      </c>
      <c r="CV429" s="319">
        <f t="shared" si="162"/>
        <v>0</v>
      </c>
    </row>
    <row r="430" spans="1:100" x14ac:dyDescent="0.25">
      <c r="A430" s="319">
        <f t="shared" si="153"/>
        <v>0</v>
      </c>
      <c r="B430" s="319">
        <f t="shared" si="156"/>
        <v>0</v>
      </c>
      <c r="C430" s="345" t="str">
        <f>IF(Sandbox!AX113="","",Sandbox!AX113)</f>
        <v/>
      </c>
      <c r="D430" s="343" t="str">
        <f>IF(Sandbox!$BH$104="","",Sandbox!$BH$104)</f>
        <v/>
      </c>
      <c r="E430" s="343" t="str">
        <f>IF(Sandbox!AY113="","",Sandbox!AY113)</f>
        <v/>
      </c>
      <c r="F430" s="343" t="str">
        <f>IF(E430&lt;CharacterSheet!$V$34,"Yes","No")</f>
        <v>No</v>
      </c>
      <c r="G430" s="342" t="s">
        <v>347</v>
      </c>
      <c r="H430" s="333" t="str">
        <f>IF(C430="","",VLOOKUP(C430,Boonref2!A:B,2,FALSE))</f>
        <v/>
      </c>
      <c r="I430" s="333"/>
      <c r="J430" s="333" t="str">
        <f>VLOOKUP(C430,BoonRef!A:Z,17,FALSE)</f>
        <v>Yes</v>
      </c>
      <c r="K430" s="333" t="str">
        <f>IF(J430="God",'House Rules'!$B$2,IF(J430="Demi",'House Rules'!$B$1,IF(J430="Comp",'House Rules'!$B$4,IF(J430="Yaz",'House Rules'!$B$5,IF(J430="Rag",'House Rules'!$B$3,"Available")))))</f>
        <v>Available</v>
      </c>
      <c r="L430" s="333"/>
      <c r="M430" s="333"/>
      <c r="BF430" s="319">
        <f t="shared" si="160"/>
        <v>0</v>
      </c>
      <c r="BG430" s="340" t="s">
        <v>1283</v>
      </c>
      <c r="BI430" s="319">
        <f t="shared" si="154"/>
        <v>0</v>
      </c>
      <c r="BJ430" s="319">
        <f t="shared" si="162"/>
        <v>0</v>
      </c>
      <c r="BK430" s="319">
        <f t="shared" si="162"/>
        <v>0</v>
      </c>
      <c r="BL430" s="319">
        <f t="shared" si="162"/>
        <v>0</v>
      </c>
      <c r="BM430" s="319">
        <f t="shared" si="162"/>
        <v>0</v>
      </c>
      <c r="BN430" s="319">
        <f t="shared" si="162"/>
        <v>0</v>
      </c>
      <c r="BO430" s="319">
        <f t="shared" si="162"/>
        <v>0</v>
      </c>
      <c r="BP430" s="319">
        <f t="shared" ref="BJ430:CV436" si="163">IF(AND($D430=BP$1,$G430="Yes"),$E430,0)</f>
        <v>0</v>
      </c>
      <c r="BQ430" s="319">
        <f t="shared" si="163"/>
        <v>0</v>
      </c>
      <c r="BR430" s="319">
        <f t="shared" si="163"/>
        <v>0</v>
      </c>
      <c r="BS430" s="319">
        <f t="shared" si="163"/>
        <v>0</v>
      </c>
      <c r="BT430" s="319">
        <f t="shared" si="163"/>
        <v>0</v>
      </c>
      <c r="BU430" s="319">
        <f t="shared" si="163"/>
        <v>0</v>
      </c>
      <c r="BV430" s="319">
        <f t="shared" si="163"/>
        <v>0</v>
      </c>
      <c r="BW430" s="319">
        <f t="shared" si="163"/>
        <v>0</v>
      </c>
      <c r="BX430" s="319">
        <f t="shared" si="163"/>
        <v>0</v>
      </c>
      <c r="BY430" s="319">
        <f t="shared" si="163"/>
        <v>0</v>
      </c>
      <c r="BZ430" s="319">
        <f t="shared" si="163"/>
        <v>0</v>
      </c>
      <c r="CA430" s="319">
        <f t="shared" si="163"/>
        <v>0</v>
      </c>
      <c r="CB430" s="319">
        <f t="shared" si="163"/>
        <v>0</v>
      </c>
      <c r="CC430" s="319">
        <f t="shared" si="163"/>
        <v>0</v>
      </c>
      <c r="CD430" s="319">
        <f t="shared" si="163"/>
        <v>0</v>
      </c>
      <c r="CE430" s="319">
        <f t="shared" si="163"/>
        <v>0</v>
      </c>
      <c r="CF430" s="319">
        <f t="shared" si="163"/>
        <v>0</v>
      </c>
      <c r="CG430" s="319">
        <f t="shared" si="163"/>
        <v>0</v>
      </c>
      <c r="CH430" s="319">
        <f t="shared" si="163"/>
        <v>0</v>
      </c>
      <c r="CI430" s="319">
        <f t="shared" si="163"/>
        <v>0</v>
      </c>
      <c r="CJ430" s="319">
        <f t="shared" si="163"/>
        <v>0</v>
      </c>
      <c r="CK430" s="319">
        <f t="shared" si="163"/>
        <v>0</v>
      </c>
      <c r="CL430" s="319">
        <f t="shared" si="163"/>
        <v>0</v>
      </c>
      <c r="CM430" s="319">
        <f t="shared" si="163"/>
        <v>0</v>
      </c>
      <c r="CN430" s="319">
        <f t="shared" si="163"/>
        <v>0</v>
      </c>
      <c r="CO430" s="319">
        <f t="shared" si="163"/>
        <v>0</v>
      </c>
      <c r="CP430" s="319">
        <f t="shared" si="163"/>
        <v>0</v>
      </c>
      <c r="CQ430" s="319">
        <f t="shared" si="163"/>
        <v>0</v>
      </c>
      <c r="CR430" s="319">
        <f t="shared" si="163"/>
        <v>0</v>
      </c>
      <c r="CS430" s="319">
        <f t="shared" si="163"/>
        <v>0</v>
      </c>
      <c r="CT430" s="319">
        <f t="shared" si="163"/>
        <v>0</v>
      </c>
      <c r="CU430" s="319">
        <f t="shared" si="163"/>
        <v>0</v>
      </c>
      <c r="CV430" s="319">
        <f t="shared" si="163"/>
        <v>0</v>
      </c>
    </row>
    <row r="431" spans="1:100" ht="15.75" thickBot="1" x14ac:dyDescent="0.3">
      <c r="A431" s="319">
        <f t="shared" si="153"/>
        <v>0</v>
      </c>
      <c r="B431" s="319">
        <f t="shared" si="156"/>
        <v>0</v>
      </c>
      <c r="C431" s="345" t="str">
        <f>IF(Sandbox!AX114="","",Sandbox!AX114)</f>
        <v/>
      </c>
      <c r="D431" s="343" t="str">
        <f>IF(Sandbox!$BH$104="","",Sandbox!$BH$104)</f>
        <v/>
      </c>
      <c r="E431" s="343" t="str">
        <f>IF(Sandbox!AY114="","",Sandbox!AY114)</f>
        <v/>
      </c>
      <c r="F431" s="343" t="str">
        <f>IF(E431&lt;CharacterSheet!$V$34,"Yes","No")</f>
        <v>No</v>
      </c>
      <c r="G431" s="342" t="s">
        <v>347</v>
      </c>
      <c r="H431" s="333" t="str">
        <f>IF(C431="","",VLOOKUP(C431,Boonref2!A:B,2,FALSE))</f>
        <v/>
      </c>
      <c r="I431" s="333"/>
      <c r="J431" s="333" t="str">
        <f>VLOOKUP(C431,BoonRef!A:Z,17,FALSE)</f>
        <v>Yes</v>
      </c>
      <c r="K431" s="333" t="str">
        <f>IF(J431="God",'House Rules'!$B$2,IF(J431="Demi",'House Rules'!$B$1,IF(J431="Comp",'House Rules'!$B$4,IF(J431="Yaz",'House Rules'!$B$5,IF(J431="Rag",'House Rules'!$B$3,"Available")))))</f>
        <v>Available</v>
      </c>
      <c r="L431" s="333"/>
      <c r="M431" s="333"/>
      <c r="BF431" s="319">
        <f t="shared" si="160"/>
        <v>0</v>
      </c>
      <c r="BG431" s="352" t="s">
        <v>1284</v>
      </c>
      <c r="BI431" s="319">
        <f t="shared" si="154"/>
        <v>0</v>
      </c>
      <c r="BJ431" s="319">
        <f t="shared" si="163"/>
        <v>0</v>
      </c>
      <c r="BK431" s="319">
        <f t="shared" si="163"/>
        <v>0</v>
      </c>
      <c r="BL431" s="319">
        <f t="shared" si="163"/>
        <v>0</v>
      </c>
      <c r="BM431" s="319">
        <f t="shared" si="163"/>
        <v>0</v>
      </c>
      <c r="BN431" s="319">
        <f t="shared" si="163"/>
        <v>0</v>
      </c>
      <c r="BO431" s="319">
        <f t="shared" si="163"/>
        <v>0</v>
      </c>
      <c r="BP431" s="319">
        <f t="shared" si="163"/>
        <v>0</v>
      </c>
      <c r="BQ431" s="319">
        <f t="shared" si="163"/>
        <v>0</v>
      </c>
      <c r="BR431" s="319">
        <f t="shared" si="163"/>
        <v>0</v>
      </c>
      <c r="BS431" s="319">
        <f t="shared" si="163"/>
        <v>0</v>
      </c>
      <c r="BT431" s="319">
        <f t="shared" si="163"/>
        <v>0</v>
      </c>
      <c r="BU431" s="319">
        <f t="shared" si="163"/>
        <v>0</v>
      </c>
      <c r="BV431" s="319">
        <f t="shared" si="163"/>
        <v>0</v>
      </c>
      <c r="BW431" s="319">
        <f t="shared" si="163"/>
        <v>0</v>
      </c>
      <c r="BX431" s="319">
        <f t="shared" si="163"/>
        <v>0</v>
      </c>
      <c r="BY431" s="319">
        <f t="shared" si="163"/>
        <v>0</v>
      </c>
      <c r="BZ431" s="319">
        <f t="shared" si="163"/>
        <v>0</v>
      </c>
      <c r="CA431" s="319">
        <f t="shared" si="163"/>
        <v>0</v>
      </c>
      <c r="CB431" s="319">
        <f t="shared" si="163"/>
        <v>0</v>
      </c>
      <c r="CC431" s="319">
        <f t="shared" si="163"/>
        <v>0</v>
      </c>
      <c r="CD431" s="319">
        <f t="shared" si="163"/>
        <v>0</v>
      </c>
      <c r="CE431" s="319">
        <f t="shared" si="163"/>
        <v>0</v>
      </c>
      <c r="CF431" s="319">
        <f t="shared" si="163"/>
        <v>0</v>
      </c>
      <c r="CG431" s="319">
        <f t="shared" si="163"/>
        <v>0</v>
      </c>
      <c r="CH431" s="319">
        <f t="shared" si="163"/>
        <v>0</v>
      </c>
      <c r="CI431" s="319">
        <f t="shared" si="163"/>
        <v>0</v>
      </c>
      <c r="CJ431" s="319">
        <f t="shared" si="163"/>
        <v>0</v>
      </c>
      <c r="CK431" s="319">
        <f t="shared" si="163"/>
        <v>0</v>
      </c>
      <c r="CL431" s="319">
        <f t="shared" si="163"/>
        <v>0</v>
      </c>
      <c r="CM431" s="319">
        <f t="shared" si="163"/>
        <v>0</v>
      </c>
      <c r="CN431" s="319">
        <f t="shared" si="163"/>
        <v>0</v>
      </c>
      <c r="CO431" s="319">
        <f t="shared" si="163"/>
        <v>0</v>
      </c>
      <c r="CP431" s="319">
        <f t="shared" si="163"/>
        <v>0</v>
      </c>
      <c r="CQ431" s="319">
        <f t="shared" si="163"/>
        <v>0</v>
      </c>
      <c r="CR431" s="319">
        <f t="shared" si="163"/>
        <v>0</v>
      </c>
      <c r="CS431" s="319">
        <f t="shared" si="163"/>
        <v>0</v>
      </c>
      <c r="CT431" s="319">
        <f t="shared" si="163"/>
        <v>0</v>
      </c>
      <c r="CU431" s="319">
        <f t="shared" si="163"/>
        <v>0</v>
      </c>
      <c r="CV431" s="319">
        <f t="shared" si="163"/>
        <v>0</v>
      </c>
    </row>
    <row r="432" spans="1:100" x14ac:dyDescent="0.25">
      <c r="A432" s="319">
        <f t="shared" si="153"/>
        <v>0</v>
      </c>
      <c r="B432" s="319">
        <f t="shared" si="156"/>
        <v>0</v>
      </c>
      <c r="C432" s="345" t="str">
        <f>IF(Sandbox!AX115="","",Sandbox!AX115)</f>
        <v/>
      </c>
      <c r="D432" s="343" t="str">
        <f>IF(Sandbox!$BH$104="","",Sandbox!$BH$104)</f>
        <v/>
      </c>
      <c r="E432" s="343" t="str">
        <f>IF(Sandbox!AY115="","",Sandbox!AY115)</f>
        <v/>
      </c>
      <c r="F432" s="343" t="str">
        <f>IF(E432&lt;CharacterSheet!$V$34,"Yes","No")</f>
        <v>No</v>
      </c>
      <c r="G432" s="342" t="s">
        <v>347</v>
      </c>
      <c r="H432" s="333" t="str">
        <f>IF(C432="","",VLOOKUP(C432,Boonref2!A:B,2,FALSE))</f>
        <v/>
      </c>
      <c r="I432" s="333"/>
      <c r="J432" s="333" t="str">
        <f>VLOOKUP(C432,BoonRef!A:Z,17,FALSE)</f>
        <v>Yes</v>
      </c>
      <c r="K432" s="333" t="str">
        <f>IF(J432="God",'House Rules'!$B$2,IF(J432="Demi",'House Rules'!$B$1,IF(J432="Comp",'House Rules'!$B$4,IF(J432="Yaz",'House Rules'!$B$5,IF(J432="Rag",'House Rules'!$B$3,"Available")))))</f>
        <v>Available</v>
      </c>
      <c r="L432" s="333"/>
      <c r="M432" s="333"/>
      <c r="BF432" s="319">
        <f t="shared" si="160"/>
        <v>0</v>
      </c>
      <c r="BG432" s="330" t="s">
        <v>1285</v>
      </c>
      <c r="BI432" s="319">
        <f t="shared" si="154"/>
        <v>0</v>
      </c>
      <c r="BJ432" s="319">
        <f t="shared" si="163"/>
        <v>0</v>
      </c>
      <c r="BK432" s="319">
        <f t="shared" si="163"/>
        <v>0</v>
      </c>
      <c r="BL432" s="319">
        <f t="shared" si="163"/>
        <v>0</v>
      </c>
      <c r="BM432" s="319">
        <f t="shared" si="163"/>
        <v>0</v>
      </c>
      <c r="BN432" s="319">
        <f t="shared" si="163"/>
        <v>0</v>
      </c>
      <c r="BO432" s="319">
        <f t="shared" si="163"/>
        <v>0</v>
      </c>
      <c r="BP432" s="319">
        <f t="shared" si="163"/>
        <v>0</v>
      </c>
      <c r="BQ432" s="319">
        <f t="shared" si="163"/>
        <v>0</v>
      </c>
      <c r="BR432" s="319">
        <f t="shared" si="163"/>
        <v>0</v>
      </c>
      <c r="BS432" s="319">
        <f t="shared" si="163"/>
        <v>0</v>
      </c>
      <c r="BT432" s="319">
        <f t="shared" si="163"/>
        <v>0</v>
      </c>
      <c r="BU432" s="319">
        <f t="shared" si="163"/>
        <v>0</v>
      </c>
      <c r="BV432" s="319">
        <f t="shared" si="163"/>
        <v>0</v>
      </c>
      <c r="BW432" s="319">
        <f t="shared" si="163"/>
        <v>0</v>
      </c>
      <c r="BX432" s="319">
        <f t="shared" si="163"/>
        <v>0</v>
      </c>
      <c r="BY432" s="319">
        <f t="shared" si="163"/>
        <v>0</v>
      </c>
      <c r="BZ432" s="319">
        <f t="shared" si="163"/>
        <v>0</v>
      </c>
      <c r="CA432" s="319">
        <f t="shared" si="163"/>
        <v>0</v>
      </c>
      <c r="CB432" s="319">
        <f t="shared" si="163"/>
        <v>0</v>
      </c>
      <c r="CC432" s="319">
        <f t="shared" si="163"/>
        <v>0</v>
      </c>
      <c r="CD432" s="319">
        <f t="shared" si="163"/>
        <v>0</v>
      </c>
      <c r="CE432" s="319">
        <f t="shared" si="163"/>
        <v>0</v>
      </c>
      <c r="CF432" s="319">
        <f t="shared" si="163"/>
        <v>0</v>
      </c>
      <c r="CG432" s="319">
        <f t="shared" si="163"/>
        <v>0</v>
      </c>
      <c r="CH432" s="319">
        <f t="shared" si="163"/>
        <v>0</v>
      </c>
      <c r="CI432" s="319">
        <f t="shared" si="163"/>
        <v>0</v>
      </c>
      <c r="CJ432" s="319">
        <f t="shared" si="163"/>
        <v>0</v>
      </c>
      <c r="CK432" s="319">
        <f t="shared" si="163"/>
        <v>0</v>
      </c>
      <c r="CL432" s="319">
        <f t="shared" si="163"/>
        <v>0</v>
      </c>
      <c r="CM432" s="319">
        <f t="shared" si="163"/>
        <v>0</v>
      </c>
      <c r="CN432" s="319">
        <f t="shared" si="163"/>
        <v>0</v>
      </c>
      <c r="CO432" s="319">
        <f t="shared" si="163"/>
        <v>0</v>
      </c>
      <c r="CP432" s="319">
        <f t="shared" si="163"/>
        <v>0</v>
      </c>
      <c r="CQ432" s="319">
        <f t="shared" si="163"/>
        <v>0</v>
      </c>
      <c r="CR432" s="319">
        <f t="shared" si="163"/>
        <v>0</v>
      </c>
      <c r="CS432" s="319">
        <f t="shared" si="163"/>
        <v>0</v>
      </c>
      <c r="CT432" s="319">
        <f t="shared" si="163"/>
        <v>0</v>
      </c>
      <c r="CU432" s="319">
        <f t="shared" si="163"/>
        <v>0</v>
      </c>
      <c r="CV432" s="319">
        <f t="shared" si="163"/>
        <v>0</v>
      </c>
    </row>
    <row r="433" spans="1:100" x14ac:dyDescent="0.25">
      <c r="A433" s="319">
        <f t="shared" si="153"/>
        <v>0</v>
      </c>
      <c r="B433" s="319">
        <f t="shared" si="156"/>
        <v>0</v>
      </c>
      <c r="C433" s="345" t="str">
        <f>IF(Sandbox!AX116="","",Sandbox!AX116)</f>
        <v/>
      </c>
      <c r="D433" s="343" t="str">
        <f>IF(Sandbox!$BH$104="","",Sandbox!$BH$104)</f>
        <v/>
      </c>
      <c r="E433" s="343" t="str">
        <f>IF(Sandbox!AY116="","",Sandbox!AY116)</f>
        <v/>
      </c>
      <c r="F433" s="343" t="str">
        <f>IF(E433&lt;CharacterSheet!$V$34,"Yes","No")</f>
        <v>No</v>
      </c>
      <c r="G433" s="342" t="s">
        <v>347</v>
      </c>
      <c r="H433" s="333" t="str">
        <f>IF(C433="","",VLOOKUP(C433,Boonref2!A:B,2,FALSE))</f>
        <v/>
      </c>
      <c r="I433" s="333"/>
      <c r="J433" s="333" t="str">
        <f>VLOOKUP(C433,BoonRef!A:Z,17,FALSE)</f>
        <v>Yes</v>
      </c>
      <c r="K433" s="333" t="str">
        <f>IF(J433="God",'House Rules'!$B$2,IF(J433="Demi",'House Rules'!$B$1,IF(J433="Comp",'House Rules'!$B$4,IF(J433="Yaz",'House Rules'!$B$5,IF(J433="Rag",'House Rules'!$B$3,"Available")))))</f>
        <v>Available</v>
      </c>
      <c r="L433" s="333"/>
      <c r="M433" s="333"/>
      <c r="BF433" s="319">
        <f t="shared" si="160"/>
        <v>0</v>
      </c>
      <c r="BG433" s="340" t="s">
        <v>1097</v>
      </c>
      <c r="BI433" s="319">
        <f t="shared" si="154"/>
        <v>0</v>
      </c>
      <c r="BJ433" s="319">
        <f t="shared" si="163"/>
        <v>0</v>
      </c>
      <c r="BK433" s="319">
        <f t="shared" si="163"/>
        <v>0</v>
      </c>
      <c r="BL433" s="319">
        <f t="shared" si="163"/>
        <v>0</v>
      </c>
      <c r="BM433" s="319">
        <f t="shared" si="163"/>
        <v>0</v>
      </c>
      <c r="BN433" s="319">
        <f t="shared" si="163"/>
        <v>0</v>
      </c>
      <c r="BO433" s="319">
        <f t="shared" si="163"/>
        <v>0</v>
      </c>
      <c r="BP433" s="319">
        <f t="shared" si="163"/>
        <v>0</v>
      </c>
      <c r="BQ433" s="319">
        <f t="shared" si="163"/>
        <v>0</v>
      </c>
      <c r="BR433" s="319">
        <f t="shared" si="163"/>
        <v>0</v>
      </c>
      <c r="BS433" s="319">
        <f t="shared" si="163"/>
        <v>0</v>
      </c>
      <c r="BT433" s="319">
        <f t="shared" si="163"/>
        <v>0</v>
      </c>
      <c r="BU433" s="319">
        <f t="shared" si="163"/>
        <v>0</v>
      </c>
      <c r="BV433" s="319">
        <f t="shared" si="163"/>
        <v>0</v>
      </c>
      <c r="BW433" s="319">
        <f t="shared" si="163"/>
        <v>0</v>
      </c>
      <c r="BX433" s="319">
        <f t="shared" si="163"/>
        <v>0</v>
      </c>
      <c r="BY433" s="319">
        <f t="shared" si="163"/>
        <v>0</v>
      </c>
      <c r="BZ433" s="319">
        <f t="shared" si="163"/>
        <v>0</v>
      </c>
      <c r="CA433" s="319">
        <f t="shared" si="163"/>
        <v>0</v>
      </c>
      <c r="CB433" s="319">
        <f t="shared" si="163"/>
        <v>0</v>
      </c>
      <c r="CC433" s="319">
        <f t="shared" si="163"/>
        <v>0</v>
      </c>
      <c r="CD433" s="319">
        <f t="shared" si="163"/>
        <v>0</v>
      </c>
      <c r="CE433" s="319">
        <f t="shared" si="163"/>
        <v>0</v>
      </c>
      <c r="CF433" s="319">
        <f t="shared" si="163"/>
        <v>0</v>
      </c>
      <c r="CG433" s="319">
        <f t="shared" si="163"/>
        <v>0</v>
      </c>
      <c r="CH433" s="319">
        <f t="shared" si="163"/>
        <v>0</v>
      </c>
      <c r="CI433" s="319">
        <f t="shared" si="163"/>
        <v>0</v>
      </c>
      <c r="CJ433" s="319">
        <f t="shared" si="163"/>
        <v>0</v>
      </c>
      <c r="CK433" s="319">
        <f t="shared" si="163"/>
        <v>0</v>
      </c>
      <c r="CL433" s="319">
        <f t="shared" si="163"/>
        <v>0</v>
      </c>
      <c r="CM433" s="319">
        <f t="shared" si="163"/>
        <v>0</v>
      </c>
      <c r="CN433" s="319">
        <f t="shared" si="163"/>
        <v>0</v>
      </c>
      <c r="CO433" s="319">
        <f t="shared" si="163"/>
        <v>0</v>
      </c>
      <c r="CP433" s="319">
        <f t="shared" si="163"/>
        <v>0</v>
      </c>
      <c r="CQ433" s="319">
        <f t="shared" si="163"/>
        <v>0</v>
      </c>
      <c r="CR433" s="319">
        <f t="shared" si="163"/>
        <v>0</v>
      </c>
      <c r="CS433" s="319">
        <f t="shared" si="163"/>
        <v>0</v>
      </c>
      <c r="CT433" s="319">
        <f t="shared" si="163"/>
        <v>0</v>
      </c>
      <c r="CU433" s="319">
        <f t="shared" si="163"/>
        <v>0</v>
      </c>
      <c r="CV433" s="319">
        <f t="shared" si="163"/>
        <v>0</v>
      </c>
    </row>
    <row r="434" spans="1:100" x14ac:dyDescent="0.25">
      <c r="A434" s="319">
        <f t="shared" si="153"/>
        <v>0</v>
      </c>
      <c r="B434" s="319">
        <f t="shared" si="156"/>
        <v>0</v>
      </c>
      <c r="C434" s="345" t="str">
        <f>IF(Sandbox!AX117="","",Sandbox!AX117)</f>
        <v/>
      </c>
      <c r="D434" s="343" t="str">
        <f>IF(Sandbox!$BH$104="","",Sandbox!$BH$104)</f>
        <v/>
      </c>
      <c r="E434" s="343" t="str">
        <f>IF(Sandbox!AY117="","",Sandbox!AY117)</f>
        <v/>
      </c>
      <c r="F434" s="343" t="str">
        <f>IF(E434&lt;CharacterSheet!$V$34,"Yes","No")</f>
        <v>No</v>
      </c>
      <c r="G434" s="342" t="s">
        <v>347</v>
      </c>
      <c r="H434" s="333" t="str">
        <f>IF(C434="","",VLOOKUP(C434,Boonref2!A:B,2,FALSE))</f>
        <v/>
      </c>
      <c r="I434" s="333"/>
      <c r="J434" s="333" t="str">
        <f>VLOOKUP(C434,BoonRef!A:Z,17,FALSE)</f>
        <v>Yes</v>
      </c>
      <c r="K434" s="333" t="str">
        <f>IF(J434="God",'House Rules'!$B$2,IF(J434="Demi",'House Rules'!$B$1,IF(J434="Comp",'House Rules'!$B$4,IF(J434="Yaz",'House Rules'!$B$5,IF(J434="Rag",'House Rules'!$B$3,"Available")))))</f>
        <v>Available</v>
      </c>
      <c r="L434" s="333"/>
      <c r="M434" s="333"/>
      <c r="BF434" s="319">
        <f t="shared" si="160"/>
        <v>0</v>
      </c>
      <c r="BG434" s="340" t="s">
        <v>3599</v>
      </c>
      <c r="BI434" s="319">
        <f t="shared" si="154"/>
        <v>0</v>
      </c>
      <c r="BJ434" s="319">
        <f t="shared" si="163"/>
        <v>0</v>
      </c>
      <c r="BK434" s="319">
        <f t="shared" si="163"/>
        <v>0</v>
      </c>
      <c r="BL434" s="319">
        <f t="shared" si="163"/>
        <v>0</v>
      </c>
      <c r="BM434" s="319">
        <f t="shared" si="163"/>
        <v>0</v>
      </c>
      <c r="BN434" s="319">
        <f t="shared" si="163"/>
        <v>0</v>
      </c>
      <c r="BO434" s="319">
        <f t="shared" si="163"/>
        <v>0</v>
      </c>
      <c r="BP434" s="319">
        <f t="shared" si="163"/>
        <v>0</v>
      </c>
      <c r="BQ434" s="319">
        <f t="shared" si="163"/>
        <v>0</v>
      </c>
      <c r="BR434" s="319">
        <f t="shared" si="163"/>
        <v>0</v>
      </c>
      <c r="BS434" s="319">
        <f t="shared" si="163"/>
        <v>0</v>
      </c>
      <c r="BT434" s="319">
        <f t="shared" si="163"/>
        <v>0</v>
      </c>
      <c r="BU434" s="319">
        <f t="shared" si="163"/>
        <v>0</v>
      </c>
      <c r="BV434" s="319">
        <f t="shared" si="163"/>
        <v>0</v>
      </c>
      <c r="BW434" s="319">
        <f t="shared" si="163"/>
        <v>0</v>
      </c>
      <c r="BX434" s="319">
        <f t="shared" si="163"/>
        <v>0</v>
      </c>
      <c r="BY434" s="319">
        <f t="shared" si="163"/>
        <v>0</v>
      </c>
      <c r="BZ434" s="319">
        <f t="shared" si="163"/>
        <v>0</v>
      </c>
      <c r="CA434" s="319">
        <f t="shared" si="163"/>
        <v>0</v>
      </c>
      <c r="CB434" s="319">
        <f t="shared" si="163"/>
        <v>0</v>
      </c>
      <c r="CC434" s="319">
        <f t="shared" si="163"/>
        <v>0</v>
      </c>
      <c r="CD434" s="319">
        <f t="shared" si="163"/>
        <v>0</v>
      </c>
      <c r="CE434" s="319">
        <f t="shared" si="163"/>
        <v>0</v>
      </c>
      <c r="CF434" s="319">
        <f t="shared" si="163"/>
        <v>0</v>
      </c>
      <c r="CG434" s="319">
        <f t="shared" si="163"/>
        <v>0</v>
      </c>
      <c r="CH434" s="319">
        <f t="shared" si="163"/>
        <v>0</v>
      </c>
      <c r="CI434" s="319">
        <f t="shared" si="163"/>
        <v>0</v>
      </c>
      <c r="CJ434" s="319">
        <f t="shared" si="163"/>
        <v>0</v>
      </c>
      <c r="CK434" s="319">
        <f t="shared" si="163"/>
        <v>0</v>
      </c>
      <c r="CL434" s="319">
        <f t="shared" si="163"/>
        <v>0</v>
      </c>
      <c r="CM434" s="319">
        <f t="shared" si="163"/>
        <v>0</v>
      </c>
      <c r="CN434" s="319">
        <f t="shared" si="163"/>
        <v>0</v>
      </c>
      <c r="CO434" s="319">
        <f t="shared" si="163"/>
        <v>0</v>
      </c>
      <c r="CP434" s="319">
        <f t="shared" si="163"/>
        <v>0</v>
      </c>
      <c r="CQ434" s="319">
        <f t="shared" si="163"/>
        <v>0</v>
      </c>
      <c r="CR434" s="319">
        <f t="shared" si="163"/>
        <v>0</v>
      </c>
      <c r="CS434" s="319">
        <f t="shared" si="163"/>
        <v>0</v>
      </c>
      <c r="CT434" s="319">
        <f t="shared" si="163"/>
        <v>0</v>
      </c>
      <c r="CU434" s="319">
        <f t="shared" si="163"/>
        <v>0</v>
      </c>
      <c r="CV434" s="319">
        <f t="shared" si="163"/>
        <v>0</v>
      </c>
    </row>
    <row r="435" spans="1:100" x14ac:dyDescent="0.25">
      <c r="A435" s="319">
        <f t="shared" si="153"/>
        <v>0</v>
      </c>
      <c r="B435" s="319">
        <f t="shared" si="156"/>
        <v>0</v>
      </c>
      <c r="C435" s="345" t="str">
        <f>IF(Sandbox!AX118="","",Sandbox!AX118)</f>
        <v/>
      </c>
      <c r="D435" s="343" t="str">
        <f>IF(Sandbox!$BH$104="","",Sandbox!$BH$104)</f>
        <v/>
      </c>
      <c r="E435" s="343" t="str">
        <f>IF(Sandbox!AY118="","",Sandbox!AY118)</f>
        <v/>
      </c>
      <c r="F435" s="343" t="str">
        <f>IF(E435&lt;CharacterSheet!$V$34,"Yes","No")</f>
        <v>No</v>
      </c>
      <c r="G435" s="342" t="s">
        <v>347</v>
      </c>
      <c r="H435" s="333" t="str">
        <f>IF(C435="","",VLOOKUP(C435,Boonref2!A:B,2,FALSE))</f>
        <v/>
      </c>
      <c r="I435" s="333"/>
      <c r="J435" s="333" t="str">
        <f>VLOOKUP(C435,BoonRef!A:Z,17,FALSE)</f>
        <v>Yes</v>
      </c>
      <c r="K435" s="333" t="str">
        <f>IF(J435="God",'House Rules'!$B$2,IF(J435="Demi",'House Rules'!$B$1,IF(J435="Comp",'House Rules'!$B$4,IF(J435="Yaz",'House Rules'!$B$5,IF(J435="Rag",'House Rules'!$B$3,"Available")))))</f>
        <v>Available</v>
      </c>
      <c r="L435" s="333"/>
      <c r="M435" s="333"/>
      <c r="BF435" s="319">
        <f t="shared" si="160"/>
        <v>0</v>
      </c>
      <c r="BG435" s="340" t="s">
        <v>1099</v>
      </c>
      <c r="BI435" s="319">
        <f t="shared" si="154"/>
        <v>0</v>
      </c>
      <c r="BJ435" s="319">
        <f t="shared" si="163"/>
        <v>0</v>
      </c>
      <c r="BK435" s="319">
        <f t="shared" si="163"/>
        <v>0</v>
      </c>
      <c r="BL435" s="319">
        <f t="shared" si="163"/>
        <v>0</v>
      </c>
      <c r="BM435" s="319">
        <f t="shared" si="163"/>
        <v>0</v>
      </c>
      <c r="BN435" s="319">
        <f t="shared" si="163"/>
        <v>0</v>
      </c>
      <c r="BO435" s="319">
        <f t="shared" si="163"/>
        <v>0</v>
      </c>
      <c r="BP435" s="319">
        <f t="shared" si="163"/>
        <v>0</v>
      </c>
      <c r="BQ435" s="319">
        <f t="shared" si="163"/>
        <v>0</v>
      </c>
      <c r="BR435" s="319">
        <f t="shared" si="163"/>
        <v>0</v>
      </c>
      <c r="BS435" s="319">
        <f t="shared" si="163"/>
        <v>0</v>
      </c>
      <c r="BT435" s="319">
        <f t="shared" si="163"/>
        <v>0</v>
      </c>
      <c r="BU435" s="319">
        <f t="shared" si="163"/>
        <v>0</v>
      </c>
      <c r="BV435" s="319">
        <f t="shared" si="163"/>
        <v>0</v>
      </c>
      <c r="BW435" s="319">
        <f t="shared" si="163"/>
        <v>0</v>
      </c>
      <c r="BX435" s="319">
        <f t="shared" si="163"/>
        <v>0</v>
      </c>
      <c r="BY435" s="319">
        <f t="shared" si="163"/>
        <v>0</v>
      </c>
      <c r="BZ435" s="319">
        <f t="shared" si="163"/>
        <v>0</v>
      </c>
      <c r="CA435" s="319">
        <f t="shared" si="163"/>
        <v>0</v>
      </c>
      <c r="CB435" s="319">
        <f t="shared" si="163"/>
        <v>0</v>
      </c>
      <c r="CC435" s="319">
        <f t="shared" si="163"/>
        <v>0</v>
      </c>
      <c r="CD435" s="319">
        <f t="shared" si="163"/>
        <v>0</v>
      </c>
      <c r="CE435" s="319">
        <f t="shared" si="163"/>
        <v>0</v>
      </c>
      <c r="CF435" s="319">
        <f t="shared" si="163"/>
        <v>0</v>
      </c>
      <c r="CG435" s="319">
        <f t="shared" si="163"/>
        <v>0</v>
      </c>
      <c r="CH435" s="319">
        <f t="shared" si="163"/>
        <v>0</v>
      </c>
      <c r="CI435" s="319">
        <f t="shared" si="163"/>
        <v>0</v>
      </c>
      <c r="CJ435" s="319">
        <f t="shared" si="163"/>
        <v>0</v>
      </c>
      <c r="CK435" s="319">
        <f t="shared" si="163"/>
        <v>0</v>
      </c>
      <c r="CL435" s="319">
        <f t="shared" si="163"/>
        <v>0</v>
      </c>
      <c r="CM435" s="319">
        <f t="shared" si="163"/>
        <v>0</v>
      </c>
      <c r="CN435" s="319">
        <f t="shared" si="163"/>
        <v>0</v>
      </c>
      <c r="CO435" s="319">
        <f t="shared" si="163"/>
        <v>0</v>
      </c>
      <c r="CP435" s="319">
        <f t="shared" si="163"/>
        <v>0</v>
      </c>
      <c r="CQ435" s="319">
        <f t="shared" si="163"/>
        <v>0</v>
      </c>
      <c r="CR435" s="319">
        <f t="shared" si="163"/>
        <v>0</v>
      </c>
      <c r="CS435" s="319">
        <f t="shared" si="163"/>
        <v>0</v>
      </c>
      <c r="CT435" s="319">
        <f t="shared" si="163"/>
        <v>0</v>
      </c>
      <c r="CU435" s="319">
        <f t="shared" si="163"/>
        <v>0</v>
      </c>
      <c r="CV435" s="319">
        <f t="shared" si="163"/>
        <v>0</v>
      </c>
    </row>
    <row r="436" spans="1:100" x14ac:dyDescent="0.25">
      <c r="A436" s="319">
        <f t="shared" si="153"/>
        <v>0</v>
      </c>
      <c r="B436" s="319">
        <f t="shared" si="156"/>
        <v>0</v>
      </c>
      <c r="C436" s="345" t="str">
        <f>IF(Sandbox!AX119="","",Sandbox!AX119)</f>
        <v/>
      </c>
      <c r="D436" s="343" t="str">
        <f>IF(Sandbox!$BH$104="","",Sandbox!$BH$104)</f>
        <v/>
      </c>
      <c r="E436" s="343" t="str">
        <f>IF(Sandbox!AY119="","",Sandbox!AY119)</f>
        <v/>
      </c>
      <c r="F436" s="343" t="str">
        <f>IF(E436&lt;CharacterSheet!$V$34,"Yes","No")</f>
        <v>No</v>
      </c>
      <c r="G436" s="342" t="s">
        <v>347</v>
      </c>
      <c r="H436" s="333" t="str">
        <f>IF(C436="","",VLOOKUP(C436,Boonref2!A:B,2,FALSE))</f>
        <v/>
      </c>
      <c r="I436" s="333"/>
      <c r="J436" s="333" t="str">
        <f>VLOOKUP(C436,BoonRef!A:Z,17,FALSE)</f>
        <v>Yes</v>
      </c>
      <c r="K436" s="333" t="str">
        <f>IF(J436="God",'House Rules'!$B$2,IF(J436="Demi",'House Rules'!$B$1,IF(J436="Comp",'House Rules'!$B$4,IF(J436="Yaz",'House Rules'!$B$5,IF(J436="Rag",'House Rules'!$B$3,"Available")))))</f>
        <v>Available</v>
      </c>
      <c r="L436" s="333"/>
      <c r="M436" s="333"/>
      <c r="BF436" s="319">
        <f t="shared" si="160"/>
        <v>0</v>
      </c>
      <c r="BG436" s="340" t="s">
        <v>1187</v>
      </c>
      <c r="BI436" s="319">
        <f t="shared" si="154"/>
        <v>0</v>
      </c>
      <c r="BJ436" s="319">
        <f t="shared" si="163"/>
        <v>0</v>
      </c>
      <c r="BK436" s="319">
        <f t="shared" si="163"/>
        <v>0</v>
      </c>
      <c r="BL436" s="319">
        <f t="shared" si="163"/>
        <v>0</v>
      </c>
      <c r="BM436" s="319">
        <f t="shared" si="163"/>
        <v>0</v>
      </c>
      <c r="BN436" s="319">
        <f t="shared" si="163"/>
        <v>0</v>
      </c>
      <c r="BO436" s="319">
        <f t="shared" si="163"/>
        <v>0</v>
      </c>
      <c r="BP436" s="319">
        <f t="shared" si="163"/>
        <v>0</v>
      </c>
      <c r="BQ436" s="319">
        <f t="shared" si="163"/>
        <v>0</v>
      </c>
      <c r="BR436" s="319">
        <f t="shared" si="163"/>
        <v>0</v>
      </c>
      <c r="BS436" s="319">
        <f t="shared" si="163"/>
        <v>0</v>
      </c>
      <c r="BT436" s="319">
        <f t="shared" si="163"/>
        <v>0</v>
      </c>
      <c r="BU436" s="319">
        <f t="shared" si="163"/>
        <v>0</v>
      </c>
      <c r="BV436" s="319">
        <f t="shared" si="163"/>
        <v>0</v>
      </c>
      <c r="BW436" s="319">
        <f t="shared" si="163"/>
        <v>0</v>
      </c>
      <c r="BX436" s="319">
        <f t="shared" si="163"/>
        <v>0</v>
      </c>
      <c r="BY436" s="319">
        <f t="shared" si="163"/>
        <v>0</v>
      </c>
      <c r="BZ436" s="319">
        <f t="shared" si="163"/>
        <v>0</v>
      </c>
      <c r="CA436" s="319">
        <f t="shared" si="163"/>
        <v>0</v>
      </c>
      <c r="CB436" s="319">
        <f t="shared" si="163"/>
        <v>0</v>
      </c>
      <c r="CC436" s="319">
        <f t="shared" si="163"/>
        <v>0</v>
      </c>
      <c r="CD436" s="319">
        <f t="shared" si="163"/>
        <v>0</v>
      </c>
      <c r="CE436" s="319">
        <f t="shared" si="163"/>
        <v>0</v>
      </c>
      <c r="CF436" s="319">
        <f t="shared" si="163"/>
        <v>0</v>
      </c>
      <c r="CG436" s="319">
        <f t="shared" si="163"/>
        <v>0</v>
      </c>
      <c r="CH436" s="319">
        <f t="shared" si="163"/>
        <v>0</v>
      </c>
      <c r="CI436" s="319">
        <f t="shared" si="163"/>
        <v>0</v>
      </c>
      <c r="CJ436" s="319">
        <f t="shared" si="163"/>
        <v>0</v>
      </c>
      <c r="CK436" s="319">
        <f t="shared" ref="BJ436:CV443" si="164">IF(AND($D436=CK$1,$G436="Yes"),$E436,0)</f>
        <v>0</v>
      </c>
      <c r="CL436" s="319">
        <f t="shared" si="164"/>
        <v>0</v>
      </c>
      <c r="CM436" s="319">
        <f t="shared" si="164"/>
        <v>0</v>
      </c>
      <c r="CN436" s="319">
        <f t="shared" si="164"/>
        <v>0</v>
      </c>
      <c r="CO436" s="319">
        <f t="shared" si="164"/>
        <v>0</v>
      </c>
      <c r="CP436" s="319">
        <f t="shared" si="164"/>
        <v>0</v>
      </c>
      <c r="CQ436" s="319">
        <f t="shared" si="164"/>
        <v>0</v>
      </c>
      <c r="CR436" s="319">
        <f t="shared" si="164"/>
        <v>0</v>
      </c>
      <c r="CS436" s="319">
        <f t="shared" si="164"/>
        <v>0</v>
      </c>
      <c r="CT436" s="319">
        <f t="shared" si="164"/>
        <v>0</v>
      </c>
      <c r="CU436" s="319">
        <f t="shared" si="164"/>
        <v>0</v>
      </c>
      <c r="CV436" s="319">
        <f t="shared" si="164"/>
        <v>0</v>
      </c>
    </row>
    <row r="437" spans="1:100" x14ac:dyDescent="0.25">
      <c r="A437" s="319">
        <f t="shared" si="153"/>
        <v>0</v>
      </c>
      <c r="B437" s="319">
        <f t="shared" si="156"/>
        <v>0</v>
      </c>
      <c r="C437" s="345" t="str">
        <f>IF(Sandbox!AX120="","",Sandbox!AX120)</f>
        <v/>
      </c>
      <c r="D437" s="343" t="str">
        <f>IF(Sandbox!$BH$104="","",Sandbox!$BH$104)</f>
        <v/>
      </c>
      <c r="E437" s="343" t="str">
        <f>IF(Sandbox!AY120="","",Sandbox!AY120)</f>
        <v/>
      </c>
      <c r="F437" s="343" t="str">
        <f>IF(E437&lt;CharacterSheet!$V$34,"Yes","No")</f>
        <v>No</v>
      </c>
      <c r="G437" s="342" t="s">
        <v>347</v>
      </c>
      <c r="H437" s="333" t="str">
        <f>IF(C437="","",VLOOKUP(C437,Boonref2!A:B,2,FALSE))</f>
        <v/>
      </c>
      <c r="I437" s="333"/>
      <c r="J437" s="333" t="str">
        <f>VLOOKUP(C437,BoonRef!A:Z,17,FALSE)</f>
        <v>Yes</v>
      </c>
      <c r="K437" s="333" t="str">
        <f>IF(J437="God",'House Rules'!$B$2,IF(J437="Demi",'House Rules'!$B$1,IF(J437="Comp",'House Rules'!$B$4,IF(J437="Yaz",'House Rules'!$B$5,IF(J437="Rag",'House Rules'!$B$3,"Available")))))</f>
        <v>Available</v>
      </c>
      <c r="L437" s="333"/>
      <c r="M437" s="333"/>
      <c r="BF437" s="319">
        <f t="shared" si="160"/>
        <v>0</v>
      </c>
      <c r="BG437" s="340" t="s">
        <v>1401</v>
      </c>
      <c r="BI437" s="319">
        <f t="shared" si="154"/>
        <v>0</v>
      </c>
      <c r="BJ437" s="319">
        <f t="shared" si="164"/>
        <v>0</v>
      </c>
      <c r="BK437" s="319">
        <f t="shared" si="164"/>
        <v>0</v>
      </c>
      <c r="BL437" s="319">
        <f t="shared" si="164"/>
        <v>0</v>
      </c>
      <c r="BM437" s="319">
        <f t="shared" si="164"/>
        <v>0</v>
      </c>
      <c r="BN437" s="319">
        <f t="shared" si="164"/>
        <v>0</v>
      </c>
      <c r="BO437" s="319">
        <f t="shared" si="164"/>
        <v>0</v>
      </c>
      <c r="BP437" s="319">
        <f t="shared" si="164"/>
        <v>0</v>
      </c>
      <c r="BQ437" s="319">
        <f t="shared" si="164"/>
        <v>0</v>
      </c>
      <c r="BR437" s="319">
        <f t="shared" si="164"/>
        <v>0</v>
      </c>
      <c r="BS437" s="319">
        <f t="shared" si="164"/>
        <v>0</v>
      </c>
      <c r="BT437" s="319">
        <f t="shared" si="164"/>
        <v>0</v>
      </c>
      <c r="BU437" s="319">
        <f t="shared" si="164"/>
        <v>0</v>
      </c>
      <c r="BV437" s="319">
        <f t="shared" si="164"/>
        <v>0</v>
      </c>
      <c r="BW437" s="319">
        <f t="shared" si="164"/>
        <v>0</v>
      </c>
      <c r="BX437" s="319">
        <f t="shared" si="164"/>
        <v>0</v>
      </c>
      <c r="BY437" s="319">
        <f t="shared" si="164"/>
        <v>0</v>
      </c>
      <c r="BZ437" s="319">
        <f t="shared" si="164"/>
        <v>0</v>
      </c>
      <c r="CA437" s="319">
        <f t="shared" si="164"/>
        <v>0</v>
      </c>
      <c r="CB437" s="319">
        <f t="shared" si="164"/>
        <v>0</v>
      </c>
      <c r="CC437" s="319">
        <f t="shared" si="164"/>
        <v>0</v>
      </c>
      <c r="CD437" s="319">
        <f t="shared" si="164"/>
        <v>0</v>
      </c>
      <c r="CE437" s="319">
        <f t="shared" si="164"/>
        <v>0</v>
      </c>
      <c r="CF437" s="319">
        <f t="shared" si="164"/>
        <v>0</v>
      </c>
      <c r="CG437" s="319">
        <f t="shared" si="164"/>
        <v>0</v>
      </c>
      <c r="CH437" s="319">
        <f t="shared" si="164"/>
        <v>0</v>
      </c>
      <c r="CI437" s="319">
        <f t="shared" si="164"/>
        <v>0</v>
      </c>
      <c r="CJ437" s="319">
        <f t="shared" si="164"/>
        <v>0</v>
      </c>
      <c r="CK437" s="319">
        <f t="shared" si="164"/>
        <v>0</v>
      </c>
      <c r="CL437" s="319">
        <f t="shared" si="164"/>
        <v>0</v>
      </c>
      <c r="CM437" s="319">
        <f t="shared" si="164"/>
        <v>0</v>
      </c>
      <c r="CN437" s="319">
        <f t="shared" si="164"/>
        <v>0</v>
      </c>
      <c r="CO437" s="319">
        <f t="shared" si="164"/>
        <v>0</v>
      </c>
      <c r="CP437" s="319">
        <f t="shared" si="164"/>
        <v>0</v>
      </c>
      <c r="CQ437" s="319">
        <f t="shared" si="164"/>
        <v>0</v>
      </c>
      <c r="CR437" s="319">
        <f t="shared" si="164"/>
        <v>0</v>
      </c>
      <c r="CS437" s="319">
        <f t="shared" si="164"/>
        <v>0</v>
      </c>
      <c r="CT437" s="319">
        <f t="shared" si="164"/>
        <v>0</v>
      </c>
      <c r="CU437" s="319">
        <f t="shared" si="164"/>
        <v>0</v>
      </c>
      <c r="CV437" s="319">
        <f t="shared" si="164"/>
        <v>0</v>
      </c>
    </row>
    <row r="438" spans="1:100" x14ac:dyDescent="0.25">
      <c r="A438" s="319">
        <f t="shared" si="153"/>
        <v>0</v>
      </c>
      <c r="B438" s="319">
        <f t="shared" si="156"/>
        <v>0</v>
      </c>
      <c r="C438" s="345" t="str">
        <f>IF(Sandbox!AX121="","",Sandbox!AX121)</f>
        <v/>
      </c>
      <c r="D438" s="343" t="str">
        <f>IF(Sandbox!$BH$104="","",Sandbox!$BH$104)</f>
        <v/>
      </c>
      <c r="E438" s="343" t="str">
        <f>IF(Sandbox!AY121="","",Sandbox!AY121)</f>
        <v/>
      </c>
      <c r="F438" s="343" t="str">
        <f>IF(E438&lt;CharacterSheet!$V$34,"Yes","No")</f>
        <v>No</v>
      </c>
      <c r="G438" s="342" t="s">
        <v>347</v>
      </c>
      <c r="H438" s="333" t="str">
        <f>IF(C438="","",VLOOKUP(C438,Boonref2!A:B,2,FALSE))</f>
        <v/>
      </c>
      <c r="I438" s="333"/>
      <c r="J438" s="333" t="str">
        <f>VLOOKUP(C438,BoonRef!A:Z,17,FALSE)</f>
        <v>Yes</v>
      </c>
      <c r="K438" s="333" t="str">
        <f>IF(J438="God",'House Rules'!$B$2,IF(J438="Demi",'House Rules'!$B$1,IF(J438="Comp",'House Rules'!$B$4,IF(J438="Yaz",'House Rules'!$B$5,IF(J438="Rag",'House Rules'!$B$3,"Available")))))</f>
        <v>Available</v>
      </c>
      <c r="L438" s="333"/>
      <c r="M438" s="333"/>
      <c r="BF438" s="319">
        <f t="shared" si="160"/>
        <v>0</v>
      </c>
      <c r="BG438" s="340" t="s">
        <v>1441</v>
      </c>
      <c r="BI438" s="319">
        <f t="shared" si="154"/>
        <v>0</v>
      </c>
      <c r="BJ438" s="319">
        <f t="shared" si="164"/>
        <v>0</v>
      </c>
      <c r="BK438" s="319">
        <f t="shared" si="164"/>
        <v>0</v>
      </c>
      <c r="BL438" s="319">
        <f t="shared" si="164"/>
        <v>0</v>
      </c>
      <c r="BM438" s="319">
        <f t="shared" si="164"/>
        <v>0</v>
      </c>
      <c r="BN438" s="319">
        <f t="shared" si="164"/>
        <v>0</v>
      </c>
      <c r="BO438" s="319">
        <f t="shared" si="164"/>
        <v>0</v>
      </c>
      <c r="BP438" s="319">
        <f t="shared" si="164"/>
        <v>0</v>
      </c>
      <c r="BQ438" s="319">
        <f t="shared" si="164"/>
        <v>0</v>
      </c>
      <c r="BR438" s="319">
        <f t="shared" si="164"/>
        <v>0</v>
      </c>
      <c r="BS438" s="319">
        <f t="shared" si="164"/>
        <v>0</v>
      </c>
      <c r="BT438" s="319">
        <f t="shared" si="164"/>
        <v>0</v>
      </c>
      <c r="BU438" s="319">
        <f t="shared" si="164"/>
        <v>0</v>
      </c>
      <c r="BV438" s="319">
        <f t="shared" si="164"/>
        <v>0</v>
      </c>
      <c r="BW438" s="319">
        <f t="shared" si="164"/>
        <v>0</v>
      </c>
      <c r="BX438" s="319">
        <f t="shared" si="164"/>
        <v>0</v>
      </c>
      <c r="BY438" s="319">
        <f t="shared" si="164"/>
        <v>0</v>
      </c>
      <c r="BZ438" s="319">
        <f t="shared" si="164"/>
        <v>0</v>
      </c>
      <c r="CA438" s="319">
        <f t="shared" si="164"/>
        <v>0</v>
      </c>
      <c r="CB438" s="319">
        <f t="shared" si="164"/>
        <v>0</v>
      </c>
      <c r="CC438" s="319">
        <f t="shared" si="164"/>
        <v>0</v>
      </c>
      <c r="CD438" s="319">
        <f t="shared" si="164"/>
        <v>0</v>
      </c>
      <c r="CE438" s="319">
        <f t="shared" si="164"/>
        <v>0</v>
      </c>
      <c r="CF438" s="319">
        <f t="shared" si="164"/>
        <v>0</v>
      </c>
      <c r="CG438" s="319">
        <f t="shared" si="164"/>
        <v>0</v>
      </c>
      <c r="CH438" s="319">
        <f t="shared" si="164"/>
        <v>0</v>
      </c>
      <c r="CI438" s="319">
        <f t="shared" si="164"/>
        <v>0</v>
      </c>
      <c r="CJ438" s="319">
        <f t="shared" si="164"/>
        <v>0</v>
      </c>
      <c r="CK438" s="319">
        <f t="shared" si="164"/>
        <v>0</v>
      </c>
      <c r="CL438" s="319">
        <f t="shared" si="164"/>
        <v>0</v>
      </c>
      <c r="CM438" s="319">
        <f t="shared" si="164"/>
        <v>0</v>
      </c>
      <c r="CN438" s="319">
        <f t="shared" si="164"/>
        <v>0</v>
      </c>
      <c r="CO438" s="319">
        <f t="shared" si="164"/>
        <v>0</v>
      </c>
      <c r="CP438" s="319">
        <f t="shared" si="164"/>
        <v>0</v>
      </c>
      <c r="CQ438" s="319">
        <f t="shared" si="164"/>
        <v>0</v>
      </c>
      <c r="CR438" s="319">
        <f t="shared" si="164"/>
        <v>0</v>
      </c>
      <c r="CS438" s="319">
        <f t="shared" si="164"/>
        <v>0</v>
      </c>
      <c r="CT438" s="319">
        <f t="shared" si="164"/>
        <v>0</v>
      </c>
      <c r="CU438" s="319">
        <f t="shared" si="164"/>
        <v>0</v>
      </c>
      <c r="CV438" s="319">
        <f t="shared" si="164"/>
        <v>0</v>
      </c>
    </row>
    <row r="439" spans="1:100" x14ac:dyDescent="0.25">
      <c r="A439" s="319">
        <f t="shared" si="153"/>
        <v>0</v>
      </c>
      <c r="B439" s="319">
        <f t="shared" si="156"/>
        <v>0</v>
      </c>
      <c r="C439" s="345" t="str">
        <f>IF(Sandbox!AX122="","",Sandbox!AX122)</f>
        <v/>
      </c>
      <c r="D439" s="343" t="str">
        <f>IF(Sandbox!$BH$104="","",Sandbox!$BH$104)</f>
        <v/>
      </c>
      <c r="E439" s="343" t="str">
        <f>IF(Sandbox!AY122="","",Sandbox!AY122)</f>
        <v/>
      </c>
      <c r="F439" s="343" t="str">
        <f>IF(E439&lt;CharacterSheet!$V$34,"Yes","No")</f>
        <v>No</v>
      </c>
      <c r="G439" s="342" t="s">
        <v>347</v>
      </c>
      <c r="H439" s="333" t="str">
        <f>IF(C439="","",VLOOKUP(C439,Boonref2!A:B,2,FALSE))</f>
        <v/>
      </c>
      <c r="I439" s="333"/>
      <c r="J439" s="333" t="str">
        <f>VLOOKUP(C439,BoonRef!A:Z,17,FALSE)</f>
        <v>Yes</v>
      </c>
      <c r="K439" s="333" t="str">
        <f>IF(J439="God",'House Rules'!$B$2,IF(J439="Demi",'House Rules'!$B$1,IF(J439="Comp",'House Rules'!$B$4,IF(J439="Yaz",'House Rules'!$B$5,IF(J439="Rag",'House Rules'!$B$3,"Available")))))</f>
        <v>Available</v>
      </c>
      <c r="L439" s="333"/>
      <c r="M439" s="333"/>
      <c r="BF439" s="319">
        <f t="shared" si="160"/>
        <v>0</v>
      </c>
      <c r="BG439" s="340" t="s">
        <v>1188</v>
      </c>
      <c r="BI439" s="319">
        <f t="shared" si="154"/>
        <v>0</v>
      </c>
      <c r="BJ439" s="319">
        <f t="shared" si="164"/>
        <v>0</v>
      </c>
      <c r="BK439" s="319">
        <f t="shared" si="164"/>
        <v>0</v>
      </c>
      <c r="BL439" s="319">
        <f t="shared" si="164"/>
        <v>0</v>
      </c>
      <c r="BM439" s="319">
        <f t="shared" si="164"/>
        <v>0</v>
      </c>
      <c r="BN439" s="319">
        <f t="shared" si="164"/>
        <v>0</v>
      </c>
      <c r="BO439" s="319">
        <f t="shared" si="164"/>
        <v>0</v>
      </c>
      <c r="BP439" s="319">
        <f t="shared" si="164"/>
        <v>0</v>
      </c>
      <c r="BQ439" s="319">
        <f t="shared" si="164"/>
        <v>0</v>
      </c>
      <c r="BR439" s="319">
        <f t="shared" si="164"/>
        <v>0</v>
      </c>
      <c r="BS439" s="319">
        <f t="shared" si="164"/>
        <v>0</v>
      </c>
      <c r="BT439" s="319">
        <f t="shared" si="164"/>
        <v>0</v>
      </c>
      <c r="BU439" s="319">
        <f t="shared" si="164"/>
        <v>0</v>
      </c>
      <c r="BV439" s="319">
        <f t="shared" si="164"/>
        <v>0</v>
      </c>
      <c r="BW439" s="319">
        <f t="shared" si="164"/>
        <v>0</v>
      </c>
      <c r="BX439" s="319">
        <f t="shared" si="164"/>
        <v>0</v>
      </c>
      <c r="BY439" s="319">
        <f t="shared" si="164"/>
        <v>0</v>
      </c>
      <c r="BZ439" s="319">
        <f t="shared" si="164"/>
        <v>0</v>
      </c>
      <c r="CA439" s="319">
        <f t="shared" si="164"/>
        <v>0</v>
      </c>
      <c r="CB439" s="319">
        <f t="shared" si="164"/>
        <v>0</v>
      </c>
      <c r="CC439" s="319">
        <f t="shared" si="164"/>
        <v>0</v>
      </c>
      <c r="CD439" s="319">
        <f t="shared" si="164"/>
        <v>0</v>
      </c>
      <c r="CE439" s="319">
        <f t="shared" si="164"/>
        <v>0</v>
      </c>
      <c r="CF439" s="319">
        <f t="shared" si="164"/>
        <v>0</v>
      </c>
      <c r="CG439" s="319">
        <f t="shared" si="164"/>
        <v>0</v>
      </c>
      <c r="CH439" s="319">
        <f t="shared" si="164"/>
        <v>0</v>
      </c>
      <c r="CI439" s="319">
        <f t="shared" si="164"/>
        <v>0</v>
      </c>
      <c r="CJ439" s="319">
        <f t="shared" si="164"/>
        <v>0</v>
      </c>
      <c r="CK439" s="319">
        <f t="shared" si="164"/>
        <v>0</v>
      </c>
      <c r="CL439" s="319">
        <f t="shared" si="164"/>
        <v>0</v>
      </c>
      <c r="CM439" s="319">
        <f t="shared" si="164"/>
        <v>0</v>
      </c>
      <c r="CN439" s="319">
        <f t="shared" si="164"/>
        <v>0</v>
      </c>
      <c r="CO439" s="319">
        <f t="shared" si="164"/>
        <v>0</v>
      </c>
      <c r="CP439" s="319">
        <f t="shared" si="164"/>
        <v>0</v>
      </c>
      <c r="CQ439" s="319">
        <f t="shared" si="164"/>
        <v>0</v>
      </c>
      <c r="CR439" s="319">
        <f t="shared" si="164"/>
        <v>0</v>
      </c>
      <c r="CS439" s="319">
        <f t="shared" si="164"/>
        <v>0</v>
      </c>
      <c r="CT439" s="319">
        <f t="shared" si="164"/>
        <v>0</v>
      </c>
      <c r="CU439" s="319">
        <f t="shared" si="164"/>
        <v>0</v>
      </c>
      <c r="CV439" s="319">
        <f t="shared" si="164"/>
        <v>0</v>
      </c>
    </row>
    <row r="440" spans="1:100" x14ac:dyDescent="0.25">
      <c r="A440" s="319">
        <f t="shared" si="153"/>
        <v>0</v>
      </c>
      <c r="B440" s="319">
        <f t="shared" si="156"/>
        <v>0</v>
      </c>
      <c r="C440" s="345" t="str">
        <f>IF(Sandbox!AX123="","",Sandbox!AX123)</f>
        <v/>
      </c>
      <c r="D440" s="343" t="str">
        <f>IF(Sandbox!$BH$104="","",Sandbox!$BH$104)</f>
        <v/>
      </c>
      <c r="E440" s="343" t="str">
        <f>IF(Sandbox!AY123="","",Sandbox!AY123)</f>
        <v/>
      </c>
      <c r="F440" s="343" t="str">
        <f>IF(E440&lt;CharacterSheet!$V$34,"Yes","No")</f>
        <v>No</v>
      </c>
      <c r="G440" s="342" t="s">
        <v>347</v>
      </c>
      <c r="H440" s="333" t="str">
        <f>IF(C440="","",VLOOKUP(C440,Boonref2!A:B,2,FALSE))</f>
        <v/>
      </c>
      <c r="I440" s="333"/>
      <c r="J440" s="333" t="str">
        <f>VLOOKUP(C440,BoonRef!A:Z,17,FALSE)</f>
        <v>Yes</v>
      </c>
      <c r="K440" s="333" t="str">
        <f>IF(J440="God",'House Rules'!$B$2,IF(J440="Demi",'House Rules'!$B$1,IF(J440="Comp",'House Rules'!$B$4,IF(J440="Yaz",'House Rules'!$B$5,IF(J440="Rag",'House Rules'!$B$3,"Available")))))</f>
        <v>Available</v>
      </c>
      <c r="L440" s="333"/>
      <c r="M440" s="333"/>
      <c r="BF440" s="319">
        <f t="shared" si="160"/>
        <v>0</v>
      </c>
      <c r="BG440" s="340" t="s">
        <v>1402</v>
      </c>
      <c r="BI440" s="319">
        <f t="shared" si="154"/>
        <v>0</v>
      </c>
      <c r="BJ440" s="319">
        <f t="shared" si="164"/>
        <v>0</v>
      </c>
      <c r="BK440" s="319">
        <f t="shared" si="164"/>
        <v>0</v>
      </c>
      <c r="BL440" s="319">
        <f t="shared" si="164"/>
        <v>0</v>
      </c>
      <c r="BM440" s="319">
        <f t="shared" si="164"/>
        <v>0</v>
      </c>
      <c r="BN440" s="319">
        <f t="shared" si="164"/>
        <v>0</v>
      </c>
      <c r="BO440" s="319">
        <f t="shared" si="164"/>
        <v>0</v>
      </c>
      <c r="BP440" s="319">
        <f t="shared" si="164"/>
        <v>0</v>
      </c>
      <c r="BQ440" s="319">
        <f t="shared" si="164"/>
        <v>0</v>
      </c>
      <c r="BR440" s="319">
        <f t="shared" si="164"/>
        <v>0</v>
      </c>
      <c r="BS440" s="319">
        <f t="shared" si="164"/>
        <v>0</v>
      </c>
      <c r="BT440" s="319">
        <f t="shared" si="164"/>
        <v>0</v>
      </c>
      <c r="BU440" s="319">
        <f t="shared" si="164"/>
        <v>0</v>
      </c>
      <c r="BV440" s="319">
        <f t="shared" si="164"/>
        <v>0</v>
      </c>
      <c r="BW440" s="319">
        <f t="shared" si="164"/>
        <v>0</v>
      </c>
      <c r="BX440" s="319">
        <f t="shared" si="164"/>
        <v>0</v>
      </c>
      <c r="BY440" s="319">
        <f t="shared" si="164"/>
        <v>0</v>
      </c>
      <c r="BZ440" s="319">
        <f t="shared" si="164"/>
        <v>0</v>
      </c>
      <c r="CA440" s="319">
        <f t="shared" si="164"/>
        <v>0</v>
      </c>
      <c r="CB440" s="319">
        <f t="shared" si="164"/>
        <v>0</v>
      </c>
      <c r="CC440" s="319">
        <f t="shared" si="164"/>
        <v>0</v>
      </c>
      <c r="CD440" s="319">
        <f t="shared" si="164"/>
        <v>0</v>
      </c>
      <c r="CE440" s="319">
        <f t="shared" si="164"/>
        <v>0</v>
      </c>
      <c r="CF440" s="319">
        <f t="shared" si="164"/>
        <v>0</v>
      </c>
      <c r="CG440" s="319">
        <f t="shared" si="164"/>
        <v>0</v>
      </c>
      <c r="CH440" s="319">
        <f t="shared" si="164"/>
        <v>0</v>
      </c>
      <c r="CI440" s="319">
        <f t="shared" si="164"/>
        <v>0</v>
      </c>
      <c r="CJ440" s="319">
        <f t="shared" si="164"/>
        <v>0</v>
      </c>
      <c r="CK440" s="319">
        <f t="shared" si="164"/>
        <v>0</v>
      </c>
      <c r="CL440" s="319">
        <f t="shared" si="164"/>
        <v>0</v>
      </c>
      <c r="CM440" s="319">
        <f t="shared" si="164"/>
        <v>0</v>
      </c>
      <c r="CN440" s="319">
        <f t="shared" si="164"/>
        <v>0</v>
      </c>
      <c r="CO440" s="319">
        <f t="shared" si="164"/>
        <v>0</v>
      </c>
      <c r="CP440" s="319">
        <f t="shared" si="164"/>
        <v>0</v>
      </c>
      <c r="CQ440" s="319">
        <f t="shared" si="164"/>
        <v>0</v>
      </c>
      <c r="CR440" s="319">
        <f t="shared" si="164"/>
        <v>0</v>
      </c>
      <c r="CS440" s="319">
        <f t="shared" si="164"/>
        <v>0</v>
      </c>
      <c r="CT440" s="319">
        <f t="shared" si="164"/>
        <v>0</v>
      </c>
      <c r="CU440" s="319">
        <f t="shared" si="164"/>
        <v>0</v>
      </c>
      <c r="CV440" s="319">
        <f t="shared" si="164"/>
        <v>0</v>
      </c>
    </row>
    <row r="441" spans="1:100" x14ac:dyDescent="0.25">
      <c r="A441" s="319">
        <f t="shared" si="153"/>
        <v>0</v>
      </c>
      <c r="B441" s="319">
        <f t="shared" si="156"/>
        <v>0</v>
      </c>
      <c r="C441" s="345" t="str">
        <f>IF(Sandbox!AX124="","",Sandbox!AX124)</f>
        <v/>
      </c>
      <c r="D441" s="343" t="str">
        <f>IF(Sandbox!$BH$104="","",Sandbox!$BH$104)</f>
        <v/>
      </c>
      <c r="E441" s="343" t="str">
        <f>IF(Sandbox!AY124="","",Sandbox!AY124)</f>
        <v/>
      </c>
      <c r="F441" s="343" t="str">
        <f>IF(E441&lt;CharacterSheet!$V$34,"Yes","No")</f>
        <v>No</v>
      </c>
      <c r="G441" s="342" t="s">
        <v>347</v>
      </c>
      <c r="H441" s="333" t="str">
        <f>IF(C441="","",VLOOKUP(C441,Boonref2!A:B,2,FALSE))</f>
        <v/>
      </c>
      <c r="I441" s="333"/>
      <c r="J441" s="333" t="str">
        <f>VLOOKUP(C441,BoonRef!A:Z,17,FALSE)</f>
        <v>Yes</v>
      </c>
      <c r="K441" s="333" t="str">
        <f>IF(J441="God",'House Rules'!$B$2,IF(J441="Demi",'House Rules'!$B$1,IF(J441="Comp",'House Rules'!$B$4,IF(J441="Yaz",'House Rules'!$B$5,IF(J441="Rag",'House Rules'!$B$3,"Available")))))</f>
        <v>Available</v>
      </c>
      <c r="L441" s="333"/>
      <c r="M441" s="333"/>
      <c r="BF441" s="319">
        <f t="shared" si="160"/>
        <v>0</v>
      </c>
      <c r="BG441" s="340" t="s">
        <v>1189</v>
      </c>
      <c r="BI441" s="319">
        <f t="shared" si="154"/>
        <v>0</v>
      </c>
      <c r="BJ441" s="319">
        <f t="shared" si="164"/>
        <v>0</v>
      </c>
      <c r="BK441" s="319">
        <f t="shared" si="164"/>
        <v>0</v>
      </c>
      <c r="BL441" s="319">
        <f t="shared" si="164"/>
        <v>0</v>
      </c>
      <c r="BM441" s="319">
        <f t="shared" si="164"/>
        <v>0</v>
      </c>
      <c r="BN441" s="319">
        <f t="shared" si="164"/>
        <v>0</v>
      </c>
      <c r="BO441" s="319">
        <f t="shared" si="164"/>
        <v>0</v>
      </c>
      <c r="BP441" s="319">
        <f t="shared" si="164"/>
        <v>0</v>
      </c>
      <c r="BQ441" s="319">
        <f t="shared" si="164"/>
        <v>0</v>
      </c>
      <c r="BR441" s="319">
        <f t="shared" si="164"/>
        <v>0</v>
      </c>
      <c r="BS441" s="319">
        <f t="shared" si="164"/>
        <v>0</v>
      </c>
      <c r="BT441" s="319">
        <f t="shared" si="164"/>
        <v>0</v>
      </c>
      <c r="BU441" s="319">
        <f t="shared" si="164"/>
        <v>0</v>
      </c>
      <c r="BV441" s="319">
        <f t="shared" si="164"/>
        <v>0</v>
      </c>
      <c r="BW441" s="319">
        <f t="shared" si="164"/>
        <v>0</v>
      </c>
      <c r="BX441" s="319">
        <f t="shared" si="164"/>
        <v>0</v>
      </c>
      <c r="BY441" s="319">
        <f t="shared" si="164"/>
        <v>0</v>
      </c>
      <c r="BZ441" s="319">
        <f t="shared" si="164"/>
        <v>0</v>
      </c>
      <c r="CA441" s="319">
        <f t="shared" si="164"/>
        <v>0</v>
      </c>
      <c r="CB441" s="319">
        <f t="shared" si="164"/>
        <v>0</v>
      </c>
      <c r="CC441" s="319">
        <f t="shared" si="164"/>
        <v>0</v>
      </c>
      <c r="CD441" s="319">
        <f t="shared" si="164"/>
        <v>0</v>
      </c>
      <c r="CE441" s="319">
        <f t="shared" si="164"/>
        <v>0</v>
      </c>
      <c r="CF441" s="319">
        <f t="shared" si="164"/>
        <v>0</v>
      </c>
      <c r="CG441" s="319">
        <f t="shared" si="164"/>
        <v>0</v>
      </c>
      <c r="CH441" s="319">
        <f t="shared" si="164"/>
        <v>0</v>
      </c>
      <c r="CI441" s="319">
        <f t="shared" si="164"/>
        <v>0</v>
      </c>
      <c r="CJ441" s="319">
        <f t="shared" si="164"/>
        <v>0</v>
      </c>
      <c r="CK441" s="319">
        <f t="shared" si="164"/>
        <v>0</v>
      </c>
      <c r="CL441" s="319">
        <f t="shared" si="164"/>
        <v>0</v>
      </c>
      <c r="CM441" s="319">
        <f t="shared" si="164"/>
        <v>0</v>
      </c>
      <c r="CN441" s="319">
        <f t="shared" si="164"/>
        <v>0</v>
      </c>
      <c r="CO441" s="319">
        <f t="shared" si="164"/>
        <v>0</v>
      </c>
      <c r="CP441" s="319">
        <f t="shared" si="164"/>
        <v>0</v>
      </c>
      <c r="CQ441" s="319">
        <f t="shared" si="164"/>
        <v>0</v>
      </c>
      <c r="CR441" s="319">
        <f t="shared" si="164"/>
        <v>0</v>
      </c>
      <c r="CS441" s="319">
        <f t="shared" si="164"/>
        <v>0</v>
      </c>
      <c r="CT441" s="319">
        <f t="shared" si="164"/>
        <v>0</v>
      </c>
      <c r="CU441" s="319">
        <f t="shared" si="164"/>
        <v>0</v>
      </c>
      <c r="CV441" s="319">
        <f t="shared" si="164"/>
        <v>0</v>
      </c>
    </row>
    <row r="442" spans="1:100" x14ac:dyDescent="0.25">
      <c r="A442" s="319">
        <f t="shared" si="153"/>
        <v>0</v>
      </c>
      <c r="B442" s="319">
        <f t="shared" si="156"/>
        <v>0</v>
      </c>
      <c r="C442" s="345" t="str">
        <f>IF(Sandbox!AX125="","",Sandbox!AX125)</f>
        <v/>
      </c>
      <c r="D442" s="343" t="str">
        <f>IF(Sandbox!$BH$104="","",Sandbox!$BH$104)</f>
        <v/>
      </c>
      <c r="E442" s="343" t="str">
        <f>IF(Sandbox!AY125="","",Sandbox!AY125)</f>
        <v/>
      </c>
      <c r="F442" s="343" t="str">
        <f>IF(E442&lt;CharacterSheet!$V$34,"Yes","No")</f>
        <v>No</v>
      </c>
      <c r="G442" s="342" t="s">
        <v>347</v>
      </c>
      <c r="H442" s="333" t="str">
        <f>IF(C442="","",VLOOKUP(C442,Boonref2!A:B,2,FALSE))</f>
        <v/>
      </c>
      <c r="I442" s="333"/>
      <c r="J442" s="333" t="str">
        <f>VLOOKUP(C442,BoonRef!A:Z,17,FALSE)</f>
        <v>Yes</v>
      </c>
      <c r="K442" s="333" t="str">
        <f>IF(J442="God",'House Rules'!$B$2,IF(J442="Demi",'House Rules'!$B$1,IF(J442="Comp",'House Rules'!$B$4,IF(J442="Yaz",'House Rules'!$B$5,IF(J442="Rag",'House Rules'!$B$3,"Available")))))</f>
        <v>Available</v>
      </c>
      <c r="L442" s="333"/>
      <c r="M442" s="333"/>
      <c r="BF442" s="319">
        <f t="shared" si="160"/>
        <v>0</v>
      </c>
      <c r="BG442" s="340" t="s">
        <v>1190</v>
      </c>
      <c r="BI442" s="319">
        <f t="shared" si="154"/>
        <v>0</v>
      </c>
      <c r="BJ442" s="319">
        <f t="shared" si="164"/>
        <v>0</v>
      </c>
      <c r="BK442" s="319">
        <f t="shared" si="164"/>
        <v>0</v>
      </c>
      <c r="BL442" s="319">
        <f t="shared" si="164"/>
        <v>0</v>
      </c>
      <c r="BM442" s="319">
        <f t="shared" si="164"/>
        <v>0</v>
      </c>
      <c r="BN442" s="319">
        <f t="shared" si="164"/>
        <v>0</v>
      </c>
      <c r="BO442" s="319">
        <f t="shared" si="164"/>
        <v>0</v>
      </c>
      <c r="BP442" s="319">
        <f t="shared" si="164"/>
        <v>0</v>
      </c>
      <c r="BQ442" s="319">
        <f t="shared" si="164"/>
        <v>0</v>
      </c>
      <c r="BR442" s="319">
        <f t="shared" si="164"/>
        <v>0</v>
      </c>
      <c r="BS442" s="319">
        <f t="shared" si="164"/>
        <v>0</v>
      </c>
      <c r="BT442" s="319">
        <f t="shared" si="164"/>
        <v>0</v>
      </c>
      <c r="BU442" s="319">
        <f t="shared" si="164"/>
        <v>0</v>
      </c>
      <c r="BV442" s="319">
        <f t="shared" si="164"/>
        <v>0</v>
      </c>
      <c r="BW442" s="319">
        <f t="shared" si="164"/>
        <v>0</v>
      </c>
      <c r="BX442" s="319">
        <f t="shared" si="164"/>
        <v>0</v>
      </c>
      <c r="BY442" s="319">
        <f t="shared" si="164"/>
        <v>0</v>
      </c>
      <c r="BZ442" s="319">
        <f t="shared" si="164"/>
        <v>0</v>
      </c>
      <c r="CA442" s="319">
        <f t="shared" si="164"/>
        <v>0</v>
      </c>
      <c r="CB442" s="319">
        <f t="shared" si="164"/>
        <v>0</v>
      </c>
      <c r="CC442" s="319">
        <f t="shared" si="164"/>
        <v>0</v>
      </c>
      <c r="CD442" s="319">
        <f t="shared" si="164"/>
        <v>0</v>
      </c>
      <c r="CE442" s="319">
        <f t="shared" si="164"/>
        <v>0</v>
      </c>
      <c r="CF442" s="319">
        <f t="shared" si="164"/>
        <v>0</v>
      </c>
      <c r="CG442" s="319">
        <f t="shared" si="164"/>
        <v>0</v>
      </c>
      <c r="CH442" s="319">
        <f t="shared" si="164"/>
        <v>0</v>
      </c>
      <c r="CI442" s="319">
        <f t="shared" si="164"/>
        <v>0</v>
      </c>
      <c r="CJ442" s="319">
        <f t="shared" si="164"/>
        <v>0</v>
      </c>
      <c r="CK442" s="319">
        <f t="shared" si="164"/>
        <v>0</v>
      </c>
      <c r="CL442" s="319">
        <f t="shared" si="164"/>
        <v>0</v>
      </c>
      <c r="CM442" s="319">
        <f t="shared" si="164"/>
        <v>0</v>
      </c>
      <c r="CN442" s="319">
        <f t="shared" si="164"/>
        <v>0</v>
      </c>
      <c r="CO442" s="319">
        <f t="shared" si="164"/>
        <v>0</v>
      </c>
      <c r="CP442" s="319">
        <f t="shared" si="164"/>
        <v>0</v>
      </c>
      <c r="CQ442" s="319">
        <f t="shared" si="164"/>
        <v>0</v>
      </c>
      <c r="CR442" s="319">
        <f t="shared" si="164"/>
        <v>0</v>
      </c>
      <c r="CS442" s="319">
        <f t="shared" si="164"/>
        <v>0</v>
      </c>
      <c r="CT442" s="319">
        <f t="shared" si="164"/>
        <v>0</v>
      </c>
      <c r="CU442" s="319">
        <f t="shared" si="164"/>
        <v>0</v>
      </c>
      <c r="CV442" s="319">
        <f t="shared" si="164"/>
        <v>0</v>
      </c>
    </row>
    <row r="443" spans="1:100" x14ac:dyDescent="0.25">
      <c r="A443" s="319">
        <f t="shared" si="153"/>
        <v>0</v>
      </c>
      <c r="B443" s="319">
        <f t="shared" si="156"/>
        <v>0</v>
      </c>
      <c r="C443" s="345" t="str">
        <f>IF(Sandbox!AX126="","",Sandbox!AX126)</f>
        <v/>
      </c>
      <c r="D443" s="343" t="str">
        <f>IF(Sandbox!$BH$104="","",Sandbox!$BH$104)</f>
        <v/>
      </c>
      <c r="E443" s="343" t="str">
        <f>IF(Sandbox!AY126="","",Sandbox!AY126)</f>
        <v/>
      </c>
      <c r="F443" s="343" t="str">
        <f>IF(E443&lt;CharacterSheet!$V$34,"Yes","No")</f>
        <v>No</v>
      </c>
      <c r="G443" s="342" t="s">
        <v>347</v>
      </c>
      <c r="H443" s="333" t="str">
        <f>IF(C443="","",VLOOKUP(C443,Boonref2!A:B,2,FALSE))</f>
        <v/>
      </c>
      <c r="I443" s="333"/>
      <c r="J443" s="333" t="str">
        <f>VLOOKUP(C443,BoonRef!A:Z,17,FALSE)</f>
        <v>Yes</v>
      </c>
      <c r="K443" s="333" t="str">
        <f>IF(J443="God",'House Rules'!$B$2,IF(J443="Demi",'House Rules'!$B$1,IF(J443="Comp",'House Rules'!$B$4,IF(J443="Yaz",'House Rules'!$B$5,IF(J443="Rag",'House Rules'!$B$3,"Available")))))</f>
        <v>Available</v>
      </c>
      <c r="L443" s="333"/>
      <c r="M443" s="333"/>
      <c r="BF443" s="319">
        <f t="shared" si="160"/>
        <v>0</v>
      </c>
      <c r="BG443" s="340" t="s">
        <v>1286</v>
      </c>
      <c r="BI443" s="319">
        <f t="shared" si="154"/>
        <v>0</v>
      </c>
      <c r="BJ443" s="319">
        <f t="shared" si="164"/>
        <v>0</v>
      </c>
      <c r="BK443" s="319">
        <f t="shared" si="164"/>
        <v>0</v>
      </c>
      <c r="BL443" s="319">
        <f t="shared" si="164"/>
        <v>0</v>
      </c>
      <c r="BM443" s="319">
        <f t="shared" si="164"/>
        <v>0</v>
      </c>
      <c r="BN443" s="319">
        <f t="shared" si="164"/>
        <v>0</v>
      </c>
      <c r="BO443" s="319">
        <f t="shared" si="164"/>
        <v>0</v>
      </c>
      <c r="BP443" s="319">
        <f t="shared" si="164"/>
        <v>0</v>
      </c>
      <c r="BQ443" s="319">
        <f t="shared" si="164"/>
        <v>0</v>
      </c>
      <c r="BR443" s="319">
        <f t="shared" si="164"/>
        <v>0</v>
      </c>
      <c r="BS443" s="319">
        <f t="shared" ref="BJ443:CV449" si="165">IF(AND($D443=BS$1,$G443="Yes"),$E443,0)</f>
        <v>0</v>
      </c>
      <c r="BT443" s="319">
        <f t="shared" si="165"/>
        <v>0</v>
      </c>
      <c r="BU443" s="319">
        <f t="shared" si="165"/>
        <v>0</v>
      </c>
      <c r="BV443" s="319">
        <f t="shared" si="165"/>
        <v>0</v>
      </c>
      <c r="BW443" s="319">
        <f t="shared" si="165"/>
        <v>0</v>
      </c>
      <c r="BX443" s="319">
        <f t="shared" si="165"/>
        <v>0</v>
      </c>
      <c r="BY443" s="319">
        <f t="shared" si="165"/>
        <v>0</v>
      </c>
      <c r="BZ443" s="319">
        <f t="shared" si="165"/>
        <v>0</v>
      </c>
      <c r="CA443" s="319">
        <f t="shared" si="165"/>
        <v>0</v>
      </c>
      <c r="CB443" s="319">
        <f t="shared" si="165"/>
        <v>0</v>
      </c>
      <c r="CC443" s="319">
        <f t="shared" si="165"/>
        <v>0</v>
      </c>
      <c r="CD443" s="319">
        <f t="shared" si="165"/>
        <v>0</v>
      </c>
      <c r="CE443" s="319">
        <f t="shared" si="165"/>
        <v>0</v>
      </c>
      <c r="CF443" s="319">
        <f t="shared" si="165"/>
        <v>0</v>
      </c>
      <c r="CG443" s="319">
        <f t="shared" si="165"/>
        <v>0</v>
      </c>
      <c r="CH443" s="319">
        <f t="shared" si="165"/>
        <v>0</v>
      </c>
      <c r="CI443" s="319">
        <f t="shared" si="165"/>
        <v>0</v>
      </c>
      <c r="CJ443" s="319">
        <f t="shared" si="165"/>
        <v>0</v>
      </c>
      <c r="CK443" s="319">
        <f t="shared" si="165"/>
        <v>0</v>
      </c>
      <c r="CL443" s="319">
        <f t="shared" si="165"/>
        <v>0</v>
      </c>
      <c r="CM443" s="319">
        <f t="shared" si="165"/>
        <v>0</v>
      </c>
      <c r="CN443" s="319">
        <f t="shared" si="165"/>
        <v>0</v>
      </c>
      <c r="CO443" s="319">
        <f t="shared" si="165"/>
        <v>0</v>
      </c>
      <c r="CP443" s="319">
        <f t="shared" si="165"/>
        <v>0</v>
      </c>
      <c r="CQ443" s="319">
        <f t="shared" si="165"/>
        <v>0</v>
      </c>
      <c r="CR443" s="319">
        <f t="shared" si="165"/>
        <v>0</v>
      </c>
      <c r="CS443" s="319">
        <f t="shared" si="165"/>
        <v>0</v>
      </c>
      <c r="CT443" s="319">
        <f t="shared" si="165"/>
        <v>0</v>
      </c>
      <c r="CU443" s="319">
        <f t="shared" si="165"/>
        <v>0</v>
      </c>
      <c r="CV443" s="319">
        <f t="shared" si="165"/>
        <v>0</v>
      </c>
    </row>
    <row r="444" spans="1:100" x14ac:dyDescent="0.25">
      <c r="A444" s="319">
        <f t="shared" si="153"/>
        <v>0</v>
      </c>
      <c r="B444" s="319">
        <f t="shared" si="156"/>
        <v>0</v>
      </c>
      <c r="C444" s="345" t="str">
        <f>IF(Sandbox!AX127="","",Sandbox!AX127)</f>
        <v/>
      </c>
      <c r="D444" s="343" t="str">
        <f>IF(Sandbox!$BH$104="","",Sandbox!$BH$104)</f>
        <v/>
      </c>
      <c r="E444" s="343" t="str">
        <f>IF(Sandbox!AY127="","",Sandbox!AY127)</f>
        <v/>
      </c>
      <c r="F444" s="343" t="str">
        <f>IF(E444&lt;CharacterSheet!$V$34,"Yes","No")</f>
        <v>No</v>
      </c>
      <c r="G444" s="342" t="s">
        <v>347</v>
      </c>
      <c r="H444" s="333" t="str">
        <f>IF(C444="","",VLOOKUP(C444,Boonref2!A:B,2,FALSE))</f>
        <v/>
      </c>
      <c r="I444" s="333"/>
      <c r="J444" s="333" t="str">
        <f>VLOOKUP(C444,BoonRef!A:Z,17,FALSE)</f>
        <v>Yes</v>
      </c>
      <c r="K444" s="333" t="str">
        <f>IF(J444="God",'House Rules'!$B$2,IF(J444="Demi",'House Rules'!$B$1,IF(J444="Comp",'House Rules'!$B$4,IF(J444="Yaz",'House Rules'!$B$5,IF(J444="Rag",'House Rules'!$B$3,"Available")))))</f>
        <v>Available</v>
      </c>
      <c r="L444" s="333"/>
      <c r="M444" s="333"/>
      <c r="BF444" s="319">
        <f t="shared" si="160"/>
        <v>0</v>
      </c>
      <c r="BG444" s="340" t="s">
        <v>2640</v>
      </c>
      <c r="BI444" s="319">
        <f t="shared" si="154"/>
        <v>0</v>
      </c>
      <c r="BJ444" s="319">
        <f t="shared" si="165"/>
        <v>0</v>
      </c>
      <c r="BK444" s="319">
        <f t="shared" si="165"/>
        <v>0</v>
      </c>
      <c r="BL444" s="319">
        <f t="shared" si="165"/>
        <v>0</v>
      </c>
      <c r="BM444" s="319">
        <f t="shared" si="165"/>
        <v>0</v>
      </c>
      <c r="BN444" s="319">
        <f t="shared" si="165"/>
        <v>0</v>
      </c>
      <c r="BO444" s="319">
        <f t="shared" si="165"/>
        <v>0</v>
      </c>
      <c r="BP444" s="319">
        <f t="shared" si="165"/>
        <v>0</v>
      </c>
      <c r="BQ444" s="319">
        <f t="shared" si="165"/>
        <v>0</v>
      </c>
      <c r="BR444" s="319">
        <f t="shared" si="165"/>
        <v>0</v>
      </c>
      <c r="BS444" s="319">
        <f t="shared" si="165"/>
        <v>0</v>
      </c>
      <c r="BT444" s="319">
        <f t="shared" si="165"/>
        <v>0</v>
      </c>
      <c r="BU444" s="319">
        <f t="shared" si="165"/>
        <v>0</v>
      </c>
      <c r="BV444" s="319">
        <f t="shared" si="165"/>
        <v>0</v>
      </c>
      <c r="BW444" s="319">
        <f t="shared" si="165"/>
        <v>0</v>
      </c>
      <c r="BX444" s="319">
        <f t="shared" si="165"/>
        <v>0</v>
      </c>
      <c r="BY444" s="319">
        <f t="shared" si="165"/>
        <v>0</v>
      </c>
      <c r="BZ444" s="319">
        <f t="shared" si="165"/>
        <v>0</v>
      </c>
      <c r="CA444" s="319">
        <f t="shared" si="165"/>
        <v>0</v>
      </c>
      <c r="CB444" s="319">
        <f t="shared" si="165"/>
        <v>0</v>
      </c>
      <c r="CC444" s="319">
        <f t="shared" si="165"/>
        <v>0</v>
      </c>
      <c r="CD444" s="319">
        <f t="shared" si="165"/>
        <v>0</v>
      </c>
      <c r="CE444" s="319">
        <f t="shared" si="165"/>
        <v>0</v>
      </c>
      <c r="CF444" s="319">
        <f t="shared" si="165"/>
        <v>0</v>
      </c>
      <c r="CG444" s="319">
        <f t="shared" si="165"/>
        <v>0</v>
      </c>
      <c r="CH444" s="319">
        <f t="shared" si="165"/>
        <v>0</v>
      </c>
      <c r="CI444" s="319">
        <f t="shared" si="165"/>
        <v>0</v>
      </c>
      <c r="CJ444" s="319">
        <f t="shared" si="165"/>
        <v>0</v>
      </c>
      <c r="CK444" s="319">
        <f t="shared" si="165"/>
        <v>0</v>
      </c>
      <c r="CL444" s="319">
        <f t="shared" si="165"/>
        <v>0</v>
      </c>
      <c r="CM444" s="319">
        <f t="shared" si="165"/>
        <v>0</v>
      </c>
      <c r="CN444" s="319">
        <f t="shared" si="165"/>
        <v>0</v>
      </c>
      <c r="CO444" s="319">
        <f t="shared" si="165"/>
        <v>0</v>
      </c>
      <c r="CP444" s="319">
        <f t="shared" si="165"/>
        <v>0</v>
      </c>
      <c r="CQ444" s="319">
        <f t="shared" si="165"/>
        <v>0</v>
      </c>
      <c r="CR444" s="319">
        <f t="shared" si="165"/>
        <v>0</v>
      </c>
      <c r="CS444" s="319">
        <f t="shared" si="165"/>
        <v>0</v>
      </c>
      <c r="CT444" s="319">
        <f t="shared" si="165"/>
        <v>0</v>
      </c>
      <c r="CU444" s="319">
        <f t="shared" si="165"/>
        <v>0</v>
      </c>
      <c r="CV444" s="319">
        <f t="shared" si="165"/>
        <v>0</v>
      </c>
    </row>
    <row r="445" spans="1:100" ht="15.75" thickBot="1" x14ac:dyDescent="0.3">
      <c r="A445" s="319">
        <f t="shared" si="153"/>
        <v>0</v>
      </c>
      <c r="B445" s="319">
        <f t="shared" si="156"/>
        <v>0</v>
      </c>
      <c r="C445" s="355" t="str">
        <f>IF(Sandbox!AX128="","",Sandbox!AX128)</f>
        <v/>
      </c>
      <c r="D445" s="363" t="str">
        <f>IF(Sandbox!$BH$104="","",Sandbox!$BH$104)</f>
        <v/>
      </c>
      <c r="E445" s="363" t="str">
        <f>IF(Sandbox!AY128="","",Sandbox!AY128)</f>
        <v/>
      </c>
      <c r="F445" s="363" t="str">
        <f>IF(E445&lt;CharacterSheet!$V$34,"Yes","No")</f>
        <v>No</v>
      </c>
      <c r="G445" s="354" t="s">
        <v>347</v>
      </c>
      <c r="H445" s="333" t="str">
        <f>IF(C445="","",VLOOKUP(C445,Boonref2!A:B,2,FALSE))</f>
        <v/>
      </c>
      <c r="I445" s="333"/>
      <c r="J445" s="333" t="str">
        <f>VLOOKUP(C445,BoonRef!A:Z,17,FALSE)</f>
        <v>Yes</v>
      </c>
      <c r="K445" s="333" t="str">
        <f>IF(J445="God",'House Rules'!$B$2,IF(J445="Demi",'House Rules'!$B$1,IF(J445="Comp",'House Rules'!$B$4,IF(J445="Yaz",'House Rules'!$B$5,IF(J445="Rag",'House Rules'!$B$3,"Available")))))</f>
        <v>Available</v>
      </c>
      <c r="L445" s="333"/>
      <c r="M445" s="333"/>
      <c r="BF445" s="319">
        <f t="shared" si="160"/>
        <v>0</v>
      </c>
      <c r="BG445" s="340" t="s">
        <v>1287</v>
      </c>
      <c r="BI445" s="319">
        <f t="shared" si="154"/>
        <v>0</v>
      </c>
      <c r="BJ445" s="319">
        <f t="shared" si="165"/>
        <v>0</v>
      </c>
      <c r="BK445" s="319">
        <f t="shared" si="165"/>
        <v>0</v>
      </c>
      <c r="BL445" s="319">
        <f t="shared" si="165"/>
        <v>0</v>
      </c>
      <c r="BM445" s="319">
        <f t="shared" si="165"/>
        <v>0</v>
      </c>
      <c r="BN445" s="319">
        <f t="shared" si="165"/>
        <v>0</v>
      </c>
      <c r="BO445" s="319">
        <f t="shared" si="165"/>
        <v>0</v>
      </c>
      <c r="BP445" s="319">
        <f t="shared" si="165"/>
        <v>0</v>
      </c>
      <c r="BQ445" s="319">
        <f t="shared" si="165"/>
        <v>0</v>
      </c>
      <c r="BR445" s="319">
        <f t="shared" si="165"/>
        <v>0</v>
      </c>
      <c r="BS445" s="319">
        <f t="shared" si="165"/>
        <v>0</v>
      </c>
      <c r="BT445" s="319">
        <f t="shared" si="165"/>
        <v>0</v>
      </c>
      <c r="BU445" s="319">
        <f t="shared" si="165"/>
        <v>0</v>
      </c>
      <c r="BV445" s="319">
        <f t="shared" si="165"/>
        <v>0</v>
      </c>
      <c r="BW445" s="319">
        <f t="shared" si="165"/>
        <v>0</v>
      </c>
      <c r="BX445" s="319">
        <f t="shared" si="165"/>
        <v>0</v>
      </c>
      <c r="BY445" s="319">
        <f t="shared" si="165"/>
        <v>0</v>
      </c>
      <c r="BZ445" s="319">
        <f t="shared" si="165"/>
        <v>0</v>
      </c>
      <c r="CA445" s="319">
        <f t="shared" si="165"/>
        <v>0</v>
      </c>
      <c r="CB445" s="319">
        <f t="shared" si="165"/>
        <v>0</v>
      </c>
      <c r="CC445" s="319">
        <f t="shared" si="165"/>
        <v>0</v>
      </c>
      <c r="CD445" s="319">
        <f t="shared" si="165"/>
        <v>0</v>
      </c>
      <c r="CE445" s="319">
        <f t="shared" si="165"/>
        <v>0</v>
      </c>
      <c r="CF445" s="319">
        <f t="shared" si="165"/>
        <v>0</v>
      </c>
      <c r="CG445" s="319">
        <f t="shared" si="165"/>
        <v>0</v>
      </c>
      <c r="CH445" s="319">
        <f t="shared" si="165"/>
        <v>0</v>
      </c>
      <c r="CI445" s="319">
        <f t="shared" si="165"/>
        <v>0</v>
      </c>
      <c r="CJ445" s="319">
        <f t="shared" si="165"/>
        <v>0</v>
      </c>
      <c r="CK445" s="319">
        <f t="shared" si="165"/>
        <v>0</v>
      </c>
      <c r="CL445" s="319">
        <f t="shared" si="165"/>
        <v>0</v>
      </c>
      <c r="CM445" s="319">
        <f t="shared" si="165"/>
        <v>0</v>
      </c>
      <c r="CN445" s="319">
        <f t="shared" si="165"/>
        <v>0</v>
      </c>
      <c r="CO445" s="319">
        <f t="shared" si="165"/>
        <v>0</v>
      </c>
      <c r="CP445" s="319">
        <f t="shared" si="165"/>
        <v>0</v>
      </c>
      <c r="CQ445" s="319">
        <f t="shared" si="165"/>
        <v>0</v>
      </c>
      <c r="CR445" s="319">
        <f t="shared" si="165"/>
        <v>0</v>
      </c>
      <c r="CS445" s="319">
        <f t="shared" si="165"/>
        <v>0</v>
      </c>
      <c r="CT445" s="319">
        <f t="shared" si="165"/>
        <v>0</v>
      </c>
      <c r="CU445" s="319">
        <f t="shared" si="165"/>
        <v>0</v>
      </c>
      <c r="CV445" s="319">
        <f t="shared" si="165"/>
        <v>0</v>
      </c>
    </row>
    <row r="446" spans="1:100" ht="15.75" thickBot="1" x14ac:dyDescent="0.3">
      <c r="A446" s="319">
        <f t="shared" si="153"/>
        <v>0</v>
      </c>
      <c r="B446" s="319">
        <f t="shared" si="156"/>
        <v>0</v>
      </c>
      <c r="C446" s="336" t="str">
        <f>IF(Sandbox!BL6="","",Sandbox!BL6)</f>
        <v/>
      </c>
      <c r="D446" s="334" t="str">
        <f>IF(Sandbox!BM6="Select","",Sandbox!BM6)</f>
        <v/>
      </c>
      <c r="E446" s="334" t="str">
        <f>IF(Sandbox!BN6="","",Sandbox!BN6)</f>
        <v/>
      </c>
      <c r="F446" s="334" t="str">
        <f>IF(E446&lt;CharacterSheet!$V$34,"Yes","No")</f>
        <v>No</v>
      </c>
      <c r="G446" s="332" t="s">
        <v>347</v>
      </c>
      <c r="H446" s="333" t="str">
        <f>IF(C446="","",VLOOKUP(C446,Boonref2!A:B,2,FALSE))</f>
        <v/>
      </c>
      <c r="I446" s="333"/>
      <c r="J446" s="333" t="str">
        <f>VLOOKUP(C446,BoonRef!A:Z,17,FALSE)</f>
        <v>Yes</v>
      </c>
      <c r="K446" s="333" t="str">
        <f>IF(J446="God",'House Rules'!$B$2,IF(J446="Demi",'House Rules'!$B$1,IF(J446="Comp",'House Rules'!$B$4,IF(J446="Yaz",'House Rules'!$B$5,IF(J446="Rag",'House Rules'!$B$3,"Available")))))</f>
        <v>Available</v>
      </c>
      <c r="L446" s="333"/>
      <c r="M446" s="333"/>
      <c r="BF446" s="319">
        <f t="shared" si="160"/>
        <v>0</v>
      </c>
      <c r="BG446" s="352" t="s">
        <v>1288</v>
      </c>
      <c r="BI446" s="319">
        <f t="shared" si="154"/>
        <v>0</v>
      </c>
      <c r="BJ446" s="319">
        <f t="shared" si="165"/>
        <v>0</v>
      </c>
      <c r="BK446" s="319">
        <f t="shared" si="165"/>
        <v>0</v>
      </c>
      <c r="BL446" s="319">
        <f t="shared" si="165"/>
        <v>0</v>
      </c>
      <c r="BM446" s="319">
        <f t="shared" si="165"/>
        <v>0</v>
      </c>
      <c r="BN446" s="319">
        <f t="shared" si="165"/>
        <v>0</v>
      </c>
      <c r="BO446" s="319">
        <f t="shared" si="165"/>
        <v>0</v>
      </c>
      <c r="BP446" s="319">
        <f t="shared" si="165"/>
        <v>0</v>
      </c>
      <c r="BQ446" s="319">
        <f t="shared" si="165"/>
        <v>0</v>
      </c>
      <c r="BR446" s="319">
        <f t="shared" si="165"/>
        <v>0</v>
      </c>
      <c r="BS446" s="319">
        <f t="shared" si="165"/>
        <v>0</v>
      </c>
      <c r="BT446" s="319">
        <f t="shared" si="165"/>
        <v>0</v>
      </c>
      <c r="BU446" s="319">
        <f t="shared" si="165"/>
        <v>0</v>
      </c>
      <c r="BV446" s="319">
        <f t="shared" si="165"/>
        <v>0</v>
      </c>
      <c r="BW446" s="319">
        <f t="shared" si="165"/>
        <v>0</v>
      </c>
      <c r="BX446" s="319">
        <f t="shared" si="165"/>
        <v>0</v>
      </c>
      <c r="BY446" s="319">
        <f t="shared" si="165"/>
        <v>0</v>
      </c>
      <c r="BZ446" s="319">
        <f t="shared" si="165"/>
        <v>0</v>
      </c>
      <c r="CA446" s="319">
        <f t="shared" si="165"/>
        <v>0</v>
      </c>
      <c r="CB446" s="319">
        <f t="shared" si="165"/>
        <v>0</v>
      </c>
      <c r="CC446" s="319">
        <f t="shared" si="165"/>
        <v>0</v>
      </c>
      <c r="CD446" s="319">
        <f t="shared" si="165"/>
        <v>0</v>
      </c>
      <c r="CE446" s="319">
        <f t="shared" si="165"/>
        <v>0</v>
      </c>
      <c r="CF446" s="319">
        <f t="shared" si="165"/>
        <v>0</v>
      </c>
      <c r="CG446" s="319">
        <f t="shared" si="165"/>
        <v>0</v>
      </c>
      <c r="CH446" s="319">
        <f t="shared" si="165"/>
        <v>0</v>
      </c>
      <c r="CI446" s="319">
        <f t="shared" si="165"/>
        <v>0</v>
      </c>
      <c r="CJ446" s="319">
        <f t="shared" si="165"/>
        <v>0</v>
      </c>
      <c r="CK446" s="319">
        <f t="shared" si="165"/>
        <v>0</v>
      </c>
      <c r="CL446" s="319">
        <f t="shared" si="165"/>
        <v>0</v>
      </c>
      <c r="CM446" s="319">
        <f t="shared" si="165"/>
        <v>0</v>
      </c>
      <c r="CN446" s="319">
        <f t="shared" si="165"/>
        <v>0</v>
      </c>
      <c r="CO446" s="319">
        <f t="shared" si="165"/>
        <v>0</v>
      </c>
      <c r="CP446" s="319">
        <f t="shared" si="165"/>
        <v>0</v>
      </c>
      <c r="CQ446" s="319">
        <f t="shared" si="165"/>
        <v>0</v>
      </c>
      <c r="CR446" s="319">
        <f t="shared" si="165"/>
        <v>0</v>
      </c>
      <c r="CS446" s="319">
        <f t="shared" si="165"/>
        <v>0</v>
      </c>
      <c r="CT446" s="319">
        <f t="shared" si="165"/>
        <v>0</v>
      </c>
      <c r="CU446" s="319">
        <f t="shared" si="165"/>
        <v>0</v>
      </c>
      <c r="CV446" s="319">
        <f t="shared" si="165"/>
        <v>0</v>
      </c>
    </row>
    <row r="447" spans="1:100" x14ac:dyDescent="0.25">
      <c r="A447" s="319">
        <f t="shared" si="153"/>
        <v>0</v>
      </c>
      <c r="B447" s="319">
        <f t="shared" si="156"/>
        <v>0</v>
      </c>
      <c r="C447" s="364" t="str">
        <f>IF(Sandbox!BL7="","",Sandbox!BL7)</f>
        <v/>
      </c>
      <c r="D447" s="343" t="str">
        <f>IF(Sandbox!BM7="Select","",Sandbox!BM7)</f>
        <v/>
      </c>
      <c r="E447" s="343" t="str">
        <f>IF(Sandbox!BN7="","",Sandbox!BN7)</f>
        <v/>
      </c>
      <c r="F447" s="343" t="str">
        <f>IF(E447&lt;CharacterSheet!$V$34,"Yes","No")</f>
        <v>No</v>
      </c>
      <c r="G447" s="342" t="s">
        <v>347</v>
      </c>
      <c r="H447" s="333" t="str">
        <f>IF(C447="","",VLOOKUP(C447,Boonref2!A:B,2,FALSE))</f>
        <v/>
      </c>
      <c r="I447" s="333"/>
      <c r="J447" s="333" t="str">
        <f>VLOOKUP(C447,BoonRef!A:Z,17,FALSE)</f>
        <v>Yes</v>
      </c>
      <c r="K447" s="333" t="str">
        <f>IF(J447="God",'House Rules'!$B$2,IF(J447="Demi",'House Rules'!$B$1,IF(J447="Comp",'House Rules'!$B$4,IF(J447="Yaz",'House Rules'!$B$5,IF(J447="Rag",'House Rules'!$B$3,"Available")))))</f>
        <v>Available</v>
      </c>
      <c r="L447" s="333"/>
      <c r="M447" s="333"/>
      <c r="BF447" s="319">
        <f t="shared" si="160"/>
        <v>0</v>
      </c>
      <c r="BG447" s="330" t="s">
        <v>1289</v>
      </c>
      <c r="BI447" s="319">
        <f t="shared" si="154"/>
        <v>0</v>
      </c>
      <c r="BJ447" s="319">
        <f t="shared" si="165"/>
        <v>0</v>
      </c>
      <c r="BK447" s="319">
        <f t="shared" si="165"/>
        <v>0</v>
      </c>
      <c r="BL447" s="319">
        <f t="shared" si="165"/>
        <v>0</v>
      </c>
      <c r="BM447" s="319">
        <f t="shared" si="165"/>
        <v>0</v>
      </c>
      <c r="BN447" s="319">
        <f t="shared" si="165"/>
        <v>0</v>
      </c>
      <c r="BO447" s="319">
        <f t="shared" si="165"/>
        <v>0</v>
      </c>
      <c r="BP447" s="319">
        <f t="shared" si="165"/>
        <v>0</v>
      </c>
      <c r="BQ447" s="319">
        <f t="shared" si="165"/>
        <v>0</v>
      </c>
      <c r="BR447" s="319">
        <f t="shared" si="165"/>
        <v>0</v>
      </c>
      <c r="BS447" s="319">
        <f t="shared" si="165"/>
        <v>0</v>
      </c>
      <c r="BT447" s="319">
        <f t="shared" si="165"/>
        <v>0</v>
      </c>
      <c r="BU447" s="319">
        <f t="shared" si="165"/>
        <v>0</v>
      </c>
      <c r="BV447" s="319">
        <f t="shared" si="165"/>
        <v>0</v>
      </c>
      <c r="BW447" s="319">
        <f t="shared" si="165"/>
        <v>0</v>
      </c>
      <c r="BX447" s="319">
        <f t="shared" si="165"/>
        <v>0</v>
      </c>
      <c r="BY447" s="319">
        <f t="shared" si="165"/>
        <v>0</v>
      </c>
      <c r="BZ447" s="319">
        <f t="shared" si="165"/>
        <v>0</v>
      </c>
      <c r="CA447" s="319">
        <f t="shared" si="165"/>
        <v>0</v>
      </c>
      <c r="CB447" s="319">
        <f t="shared" si="165"/>
        <v>0</v>
      </c>
      <c r="CC447" s="319">
        <f t="shared" si="165"/>
        <v>0</v>
      </c>
      <c r="CD447" s="319">
        <f t="shared" si="165"/>
        <v>0</v>
      </c>
      <c r="CE447" s="319">
        <f t="shared" si="165"/>
        <v>0</v>
      </c>
      <c r="CF447" s="319">
        <f t="shared" si="165"/>
        <v>0</v>
      </c>
      <c r="CG447" s="319">
        <f t="shared" si="165"/>
        <v>0</v>
      </c>
      <c r="CH447" s="319">
        <f t="shared" si="165"/>
        <v>0</v>
      </c>
      <c r="CI447" s="319">
        <f t="shared" si="165"/>
        <v>0</v>
      </c>
      <c r="CJ447" s="319">
        <f t="shared" si="165"/>
        <v>0</v>
      </c>
      <c r="CK447" s="319">
        <f t="shared" si="165"/>
        <v>0</v>
      </c>
      <c r="CL447" s="319">
        <f t="shared" si="165"/>
        <v>0</v>
      </c>
      <c r="CM447" s="319">
        <f t="shared" si="165"/>
        <v>0</v>
      </c>
      <c r="CN447" s="319">
        <f t="shared" si="165"/>
        <v>0</v>
      </c>
      <c r="CO447" s="319">
        <f t="shared" si="165"/>
        <v>0</v>
      </c>
      <c r="CP447" s="319">
        <f t="shared" si="165"/>
        <v>0</v>
      </c>
      <c r="CQ447" s="319">
        <f t="shared" si="165"/>
        <v>0</v>
      </c>
      <c r="CR447" s="319">
        <f t="shared" si="165"/>
        <v>0</v>
      </c>
      <c r="CS447" s="319">
        <f t="shared" si="165"/>
        <v>0</v>
      </c>
      <c r="CT447" s="319">
        <f t="shared" si="165"/>
        <v>0</v>
      </c>
      <c r="CU447" s="319">
        <f t="shared" si="165"/>
        <v>0</v>
      </c>
      <c r="CV447" s="319">
        <f t="shared" si="165"/>
        <v>0</v>
      </c>
    </row>
    <row r="448" spans="1:100" x14ac:dyDescent="0.25">
      <c r="A448" s="319">
        <f t="shared" si="153"/>
        <v>0</v>
      </c>
      <c r="B448" s="319">
        <f t="shared" si="156"/>
        <v>0</v>
      </c>
      <c r="C448" s="364" t="str">
        <f>IF(Sandbox!BL8="","",Sandbox!BL8)</f>
        <v/>
      </c>
      <c r="D448" s="343" t="str">
        <f>IF(Sandbox!BM8="Select","",Sandbox!BM8)</f>
        <v/>
      </c>
      <c r="E448" s="343" t="str">
        <f>IF(Sandbox!BN8="","",Sandbox!BN8)</f>
        <v/>
      </c>
      <c r="F448" s="343" t="str">
        <f>IF(E448&lt;CharacterSheet!$V$34,"Yes","No")</f>
        <v>No</v>
      </c>
      <c r="G448" s="342" t="s">
        <v>347</v>
      </c>
      <c r="H448" s="333" t="str">
        <f>IF(C448="","",VLOOKUP(C448,Boonref2!A:B,2,FALSE))</f>
        <v/>
      </c>
      <c r="I448" s="333"/>
      <c r="J448" s="333" t="str">
        <f>VLOOKUP(C448,BoonRef!A:Z,17,FALSE)</f>
        <v>Yes</v>
      </c>
      <c r="K448" s="333" t="str">
        <f>IF(J448="God",'House Rules'!$B$2,IF(J448="Demi",'House Rules'!$B$1,IF(J448="Comp",'House Rules'!$B$4,IF(J448="Yaz",'House Rules'!$B$5,IF(J448="Rag",'House Rules'!$B$3,"Available")))))</f>
        <v>Available</v>
      </c>
      <c r="L448" s="333"/>
      <c r="M448" s="333"/>
      <c r="BF448" s="319">
        <f t="shared" si="160"/>
        <v>0</v>
      </c>
      <c r="BG448" s="340" t="s">
        <v>1100</v>
      </c>
      <c r="BI448" s="319">
        <f t="shared" si="154"/>
        <v>0</v>
      </c>
      <c r="BJ448" s="319">
        <f t="shared" si="165"/>
        <v>0</v>
      </c>
      <c r="BK448" s="319">
        <f t="shared" si="165"/>
        <v>0</v>
      </c>
      <c r="BL448" s="319">
        <f t="shared" si="165"/>
        <v>0</v>
      </c>
      <c r="BM448" s="319">
        <f t="shared" si="165"/>
        <v>0</v>
      </c>
      <c r="BN448" s="319">
        <f t="shared" si="165"/>
        <v>0</v>
      </c>
      <c r="BO448" s="319">
        <f t="shared" si="165"/>
        <v>0</v>
      </c>
      <c r="BP448" s="319">
        <f t="shared" si="165"/>
        <v>0</v>
      </c>
      <c r="BQ448" s="319">
        <f t="shared" si="165"/>
        <v>0</v>
      </c>
      <c r="BR448" s="319">
        <f t="shared" si="165"/>
        <v>0</v>
      </c>
      <c r="BS448" s="319">
        <f t="shared" si="165"/>
        <v>0</v>
      </c>
      <c r="BT448" s="319">
        <f t="shared" si="165"/>
        <v>0</v>
      </c>
      <c r="BU448" s="319">
        <f t="shared" si="165"/>
        <v>0</v>
      </c>
      <c r="BV448" s="319">
        <f t="shared" si="165"/>
        <v>0</v>
      </c>
      <c r="BW448" s="319">
        <f t="shared" si="165"/>
        <v>0</v>
      </c>
      <c r="BX448" s="319">
        <f t="shared" si="165"/>
        <v>0</v>
      </c>
      <c r="BY448" s="319">
        <f t="shared" si="165"/>
        <v>0</v>
      </c>
      <c r="BZ448" s="319">
        <f t="shared" si="165"/>
        <v>0</v>
      </c>
      <c r="CA448" s="319">
        <f t="shared" si="165"/>
        <v>0</v>
      </c>
      <c r="CB448" s="319">
        <f t="shared" si="165"/>
        <v>0</v>
      </c>
      <c r="CC448" s="319">
        <f t="shared" si="165"/>
        <v>0</v>
      </c>
      <c r="CD448" s="319">
        <f t="shared" si="165"/>
        <v>0</v>
      </c>
      <c r="CE448" s="319">
        <f t="shared" si="165"/>
        <v>0</v>
      </c>
      <c r="CF448" s="319">
        <f t="shared" si="165"/>
        <v>0</v>
      </c>
      <c r="CG448" s="319">
        <f t="shared" si="165"/>
        <v>0</v>
      </c>
      <c r="CH448" s="319">
        <f t="shared" si="165"/>
        <v>0</v>
      </c>
      <c r="CI448" s="319">
        <f t="shared" si="165"/>
        <v>0</v>
      </c>
      <c r="CJ448" s="319">
        <f t="shared" si="165"/>
        <v>0</v>
      </c>
      <c r="CK448" s="319">
        <f t="shared" si="165"/>
        <v>0</v>
      </c>
      <c r="CL448" s="319">
        <f t="shared" si="165"/>
        <v>0</v>
      </c>
      <c r="CM448" s="319">
        <f t="shared" si="165"/>
        <v>0</v>
      </c>
      <c r="CN448" s="319">
        <f t="shared" si="165"/>
        <v>0</v>
      </c>
      <c r="CO448" s="319">
        <f t="shared" si="165"/>
        <v>0</v>
      </c>
      <c r="CP448" s="319">
        <f t="shared" si="165"/>
        <v>0</v>
      </c>
      <c r="CQ448" s="319">
        <f t="shared" si="165"/>
        <v>0</v>
      </c>
      <c r="CR448" s="319">
        <f t="shared" si="165"/>
        <v>0</v>
      </c>
      <c r="CS448" s="319">
        <f t="shared" si="165"/>
        <v>0</v>
      </c>
      <c r="CT448" s="319">
        <f t="shared" si="165"/>
        <v>0</v>
      </c>
      <c r="CU448" s="319">
        <f t="shared" si="165"/>
        <v>0</v>
      </c>
      <c r="CV448" s="319">
        <f t="shared" si="165"/>
        <v>0</v>
      </c>
    </row>
    <row r="449" spans="1:100" x14ac:dyDescent="0.25">
      <c r="A449" s="319">
        <f t="shared" si="153"/>
        <v>0</v>
      </c>
      <c r="B449" s="319">
        <f t="shared" si="156"/>
        <v>0</v>
      </c>
      <c r="C449" s="364" t="str">
        <f>IF(Sandbox!BL9="","",Sandbox!BL9)</f>
        <v/>
      </c>
      <c r="D449" s="343" t="str">
        <f>IF(Sandbox!BM9="Select","",Sandbox!BM9)</f>
        <v/>
      </c>
      <c r="E449" s="343" t="str">
        <f>IF(Sandbox!BN9="","",Sandbox!BN9)</f>
        <v/>
      </c>
      <c r="F449" s="343" t="str">
        <f>IF(E449&lt;CharacterSheet!$V$34,"Yes","No")</f>
        <v>No</v>
      </c>
      <c r="G449" s="342" t="s">
        <v>347</v>
      </c>
      <c r="H449" s="333" t="str">
        <f>IF(C449="","",VLOOKUP(C449,Boonref2!A:B,2,FALSE))</f>
        <v/>
      </c>
      <c r="I449" s="333"/>
      <c r="J449" s="333" t="str">
        <f>VLOOKUP(C449,BoonRef!A:Z,17,FALSE)</f>
        <v>Yes</v>
      </c>
      <c r="K449" s="333" t="str">
        <f>IF(J449="God",'House Rules'!$B$2,IF(J449="Demi",'House Rules'!$B$1,IF(J449="Comp",'House Rules'!$B$4,IF(J449="Yaz",'House Rules'!$B$5,IF(J449="Rag",'House Rules'!$B$3,"Available")))))</f>
        <v>Available</v>
      </c>
      <c r="L449" s="333"/>
      <c r="M449" s="333"/>
      <c r="BF449" s="319">
        <f t="shared" si="160"/>
        <v>0</v>
      </c>
      <c r="BG449" s="340" t="s">
        <v>1403</v>
      </c>
      <c r="BI449" s="319">
        <f t="shared" si="154"/>
        <v>0</v>
      </c>
      <c r="BJ449" s="319">
        <f t="shared" si="165"/>
        <v>0</v>
      </c>
      <c r="BK449" s="319">
        <f t="shared" si="165"/>
        <v>0</v>
      </c>
      <c r="BL449" s="319">
        <f t="shared" si="165"/>
        <v>0</v>
      </c>
      <c r="BM449" s="319">
        <f t="shared" si="165"/>
        <v>0</v>
      </c>
      <c r="BN449" s="319">
        <f t="shared" si="165"/>
        <v>0</v>
      </c>
      <c r="BO449" s="319">
        <f t="shared" si="165"/>
        <v>0</v>
      </c>
      <c r="BP449" s="319">
        <f t="shared" si="165"/>
        <v>0</v>
      </c>
      <c r="BQ449" s="319">
        <f t="shared" si="165"/>
        <v>0</v>
      </c>
      <c r="BR449" s="319">
        <f t="shared" si="165"/>
        <v>0</v>
      </c>
      <c r="BS449" s="319">
        <f t="shared" si="165"/>
        <v>0</v>
      </c>
      <c r="BT449" s="319">
        <f t="shared" si="165"/>
        <v>0</v>
      </c>
      <c r="BU449" s="319">
        <f t="shared" si="165"/>
        <v>0</v>
      </c>
      <c r="BV449" s="319">
        <f t="shared" si="165"/>
        <v>0</v>
      </c>
      <c r="BW449" s="319">
        <f t="shared" si="165"/>
        <v>0</v>
      </c>
      <c r="BX449" s="319">
        <f t="shared" si="165"/>
        <v>0</v>
      </c>
      <c r="BY449" s="319">
        <f t="shared" si="165"/>
        <v>0</v>
      </c>
      <c r="BZ449" s="319">
        <f t="shared" si="165"/>
        <v>0</v>
      </c>
      <c r="CA449" s="319">
        <f t="shared" si="165"/>
        <v>0</v>
      </c>
      <c r="CB449" s="319">
        <f t="shared" si="165"/>
        <v>0</v>
      </c>
      <c r="CC449" s="319">
        <f t="shared" si="165"/>
        <v>0</v>
      </c>
      <c r="CD449" s="319">
        <f t="shared" si="165"/>
        <v>0</v>
      </c>
      <c r="CE449" s="319">
        <f t="shared" si="165"/>
        <v>0</v>
      </c>
      <c r="CF449" s="319">
        <f t="shared" si="165"/>
        <v>0</v>
      </c>
      <c r="CG449" s="319">
        <f t="shared" si="165"/>
        <v>0</v>
      </c>
      <c r="CH449" s="319">
        <f t="shared" si="165"/>
        <v>0</v>
      </c>
      <c r="CI449" s="319">
        <f t="shared" si="165"/>
        <v>0</v>
      </c>
      <c r="CJ449" s="319">
        <f t="shared" si="165"/>
        <v>0</v>
      </c>
      <c r="CK449" s="319">
        <f t="shared" si="165"/>
        <v>0</v>
      </c>
      <c r="CL449" s="319">
        <f t="shared" si="165"/>
        <v>0</v>
      </c>
      <c r="CM449" s="319">
        <f t="shared" si="165"/>
        <v>0</v>
      </c>
      <c r="CN449" s="319">
        <f t="shared" ref="BJ449:CV456" si="166">IF(AND($D449=CN$1,$G449="Yes"),$E449,0)</f>
        <v>0</v>
      </c>
      <c r="CO449" s="319">
        <f t="shared" si="166"/>
        <v>0</v>
      </c>
      <c r="CP449" s="319">
        <f t="shared" si="166"/>
        <v>0</v>
      </c>
      <c r="CQ449" s="319">
        <f t="shared" si="166"/>
        <v>0</v>
      </c>
      <c r="CR449" s="319">
        <f t="shared" si="166"/>
        <v>0</v>
      </c>
      <c r="CS449" s="319">
        <f t="shared" si="166"/>
        <v>0</v>
      </c>
      <c r="CT449" s="319">
        <f t="shared" si="166"/>
        <v>0</v>
      </c>
      <c r="CU449" s="319">
        <f t="shared" si="166"/>
        <v>0</v>
      </c>
      <c r="CV449" s="319">
        <f t="shared" si="166"/>
        <v>0</v>
      </c>
    </row>
    <row r="450" spans="1:100" x14ac:dyDescent="0.25">
      <c r="A450" s="319">
        <f t="shared" si="153"/>
        <v>0</v>
      </c>
      <c r="B450" s="319">
        <f t="shared" si="156"/>
        <v>0</v>
      </c>
      <c r="C450" s="364" t="str">
        <f>IF(Sandbox!BL10="","",Sandbox!BL10)</f>
        <v/>
      </c>
      <c r="D450" s="343" t="str">
        <f>IF(Sandbox!BM10="Select","",Sandbox!BM10)</f>
        <v/>
      </c>
      <c r="E450" s="343" t="str">
        <f>IF(Sandbox!BN10="","",Sandbox!BN10)</f>
        <v/>
      </c>
      <c r="F450" s="343" t="str">
        <f>IF(E450&lt;CharacterSheet!$V$34,"Yes","No")</f>
        <v>No</v>
      </c>
      <c r="G450" s="342" t="s">
        <v>347</v>
      </c>
      <c r="H450" s="333" t="str">
        <f>IF(C450="","",VLOOKUP(C450,Boonref2!A:B,2,FALSE))</f>
        <v/>
      </c>
      <c r="I450" s="333"/>
      <c r="J450" s="333" t="str">
        <f>VLOOKUP(C450,BoonRef!A:Z,17,FALSE)</f>
        <v>Yes</v>
      </c>
      <c r="K450" s="333" t="str">
        <f>IF(J450="God",'House Rules'!$B$2,IF(J450="Demi",'House Rules'!$B$1,IF(J450="Comp",'House Rules'!$B$4,IF(J450="Yaz",'House Rules'!$B$5,IF(J450="Rag",'House Rules'!$B$3,"Available")))))</f>
        <v>Available</v>
      </c>
      <c r="L450" s="333"/>
      <c r="M450" s="333"/>
      <c r="BF450" s="319">
        <f t="shared" si="160"/>
        <v>0</v>
      </c>
      <c r="BG450" s="340" t="s">
        <v>1101</v>
      </c>
      <c r="BI450" s="319">
        <f t="shared" si="154"/>
        <v>0</v>
      </c>
      <c r="BJ450" s="319">
        <f t="shared" si="166"/>
        <v>0</v>
      </c>
      <c r="BK450" s="319">
        <f t="shared" si="166"/>
        <v>0</v>
      </c>
      <c r="BL450" s="319">
        <f t="shared" si="166"/>
        <v>0</v>
      </c>
      <c r="BM450" s="319">
        <f t="shared" si="166"/>
        <v>0</v>
      </c>
      <c r="BN450" s="319">
        <f t="shared" si="166"/>
        <v>0</v>
      </c>
      <c r="BO450" s="319">
        <f t="shared" si="166"/>
        <v>0</v>
      </c>
      <c r="BP450" s="319">
        <f t="shared" si="166"/>
        <v>0</v>
      </c>
      <c r="BQ450" s="319">
        <f t="shared" si="166"/>
        <v>0</v>
      </c>
      <c r="BR450" s="319">
        <f t="shared" si="166"/>
        <v>0</v>
      </c>
      <c r="BS450" s="319">
        <f t="shared" si="166"/>
        <v>0</v>
      </c>
      <c r="BT450" s="319">
        <f t="shared" si="166"/>
        <v>0</v>
      </c>
      <c r="BU450" s="319">
        <f t="shared" si="166"/>
        <v>0</v>
      </c>
      <c r="BV450" s="319">
        <f t="shared" si="166"/>
        <v>0</v>
      </c>
      <c r="BW450" s="319">
        <f t="shared" si="166"/>
        <v>0</v>
      </c>
      <c r="BX450" s="319">
        <f t="shared" si="166"/>
        <v>0</v>
      </c>
      <c r="BY450" s="319">
        <f t="shared" si="166"/>
        <v>0</v>
      </c>
      <c r="BZ450" s="319">
        <f t="shared" si="166"/>
        <v>0</v>
      </c>
      <c r="CA450" s="319">
        <f t="shared" si="166"/>
        <v>0</v>
      </c>
      <c r="CB450" s="319">
        <f t="shared" si="166"/>
        <v>0</v>
      </c>
      <c r="CC450" s="319">
        <f t="shared" si="166"/>
        <v>0</v>
      </c>
      <c r="CD450" s="319">
        <f t="shared" si="166"/>
        <v>0</v>
      </c>
      <c r="CE450" s="319">
        <f t="shared" si="166"/>
        <v>0</v>
      </c>
      <c r="CF450" s="319">
        <f t="shared" si="166"/>
        <v>0</v>
      </c>
      <c r="CG450" s="319">
        <f t="shared" si="166"/>
        <v>0</v>
      </c>
      <c r="CH450" s="319">
        <f t="shared" si="166"/>
        <v>0</v>
      </c>
      <c r="CI450" s="319">
        <f t="shared" si="166"/>
        <v>0</v>
      </c>
      <c r="CJ450" s="319">
        <f t="shared" si="166"/>
        <v>0</v>
      </c>
      <c r="CK450" s="319">
        <f t="shared" si="166"/>
        <v>0</v>
      </c>
      <c r="CL450" s="319">
        <f t="shared" si="166"/>
        <v>0</v>
      </c>
      <c r="CM450" s="319">
        <f t="shared" si="166"/>
        <v>0</v>
      </c>
      <c r="CN450" s="319">
        <f t="shared" si="166"/>
        <v>0</v>
      </c>
      <c r="CO450" s="319">
        <f t="shared" si="166"/>
        <v>0</v>
      </c>
      <c r="CP450" s="319">
        <f t="shared" si="166"/>
        <v>0</v>
      </c>
      <c r="CQ450" s="319">
        <f t="shared" si="166"/>
        <v>0</v>
      </c>
      <c r="CR450" s="319">
        <f t="shared" si="166"/>
        <v>0</v>
      </c>
      <c r="CS450" s="319">
        <f t="shared" si="166"/>
        <v>0</v>
      </c>
      <c r="CT450" s="319">
        <f t="shared" si="166"/>
        <v>0</v>
      </c>
      <c r="CU450" s="319">
        <f t="shared" si="166"/>
        <v>0</v>
      </c>
      <c r="CV450" s="319">
        <f t="shared" si="166"/>
        <v>0</v>
      </c>
    </row>
    <row r="451" spans="1:100" x14ac:dyDescent="0.25">
      <c r="A451" s="319">
        <f t="shared" ref="A451:A495" si="167">IF(AND(H451="Yes",G451="Yes"),A450+1,A450)</f>
        <v>0</v>
      </c>
      <c r="B451" s="319">
        <f t="shared" si="156"/>
        <v>0</v>
      </c>
      <c r="C451" s="364" t="str">
        <f>IF(Sandbox!BL11="","",Sandbox!BL11)</f>
        <v/>
      </c>
      <c r="D451" s="343" t="str">
        <f>IF(Sandbox!BM11="Select","",Sandbox!BM11)</f>
        <v/>
      </c>
      <c r="E451" s="343" t="str">
        <f>IF(Sandbox!BN11="","",Sandbox!BN11)</f>
        <v/>
      </c>
      <c r="F451" s="343" t="str">
        <f>IF(E451&lt;CharacterSheet!$V$34,"Yes","No")</f>
        <v>No</v>
      </c>
      <c r="G451" s="342" t="s">
        <v>347</v>
      </c>
      <c r="H451" s="333" t="str">
        <f>IF(C451="","",VLOOKUP(C451,Boonref2!A:B,2,FALSE))</f>
        <v/>
      </c>
      <c r="I451" s="333"/>
      <c r="J451" s="333" t="str">
        <f>VLOOKUP(C451,BoonRef!A:Z,17,FALSE)</f>
        <v>Yes</v>
      </c>
      <c r="K451" s="333" t="str">
        <f>IF(J451="God",'House Rules'!$B$2,IF(J451="Demi",'House Rules'!$B$1,IF(J451="Comp",'House Rules'!$B$4,IF(J451="Yaz",'House Rules'!$B$5,IF(J451="Rag",'House Rules'!$B$3,"Available")))))</f>
        <v>Available</v>
      </c>
      <c r="L451" s="333"/>
      <c r="M451" s="333"/>
      <c r="BF451" s="319">
        <f t="shared" si="160"/>
        <v>0</v>
      </c>
      <c r="BG451" s="340" t="s">
        <v>1102</v>
      </c>
      <c r="BI451" s="319">
        <f t="shared" ref="BI451:BX495" si="168">IF(AND($D451=BI$1,$G451="Yes"),$E451,0)</f>
        <v>0</v>
      </c>
      <c r="BJ451" s="319">
        <f t="shared" si="168"/>
        <v>0</v>
      </c>
      <c r="BK451" s="319">
        <f t="shared" si="168"/>
        <v>0</v>
      </c>
      <c r="BL451" s="319">
        <f t="shared" si="168"/>
        <v>0</v>
      </c>
      <c r="BM451" s="319">
        <f t="shared" si="168"/>
        <v>0</v>
      </c>
      <c r="BN451" s="319">
        <f t="shared" si="168"/>
        <v>0</v>
      </c>
      <c r="BO451" s="319">
        <f t="shared" si="168"/>
        <v>0</v>
      </c>
      <c r="BP451" s="319">
        <f t="shared" si="168"/>
        <v>0</v>
      </c>
      <c r="BQ451" s="319">
        <f t="shared" si="168"/>
        <v>0</v>
      </c>
      <c r="BR451" s="319">
        <f t="shared" si="168"/>
        <v>0</v>
      </c>
      <c r="BS451" s="319">
        <f t="shared" si="168"/>
        <v>0</v>
      </c>
      <c r="BT451" s="319">
        <f t="shared" si="168"/>
        <v>0</v>
      </c>
      <c r="BU451" s="319">
        <f t="shared" si="168"/>
        <v>0</v>
      </c>
      <c r="BV451" s="319">
        <f t="shared" si="168"/>
        <v>0</v>
      </c>
      <c r="BW451" s="319">
        <f t="shared" si="168"/>
        <v>0</v>
      </c>
      <c r="BX451" s="319">
        <f t="shared" si="168"/>
        <v>0</v>
      </c>
      <c r="BY451" s="319">
        <f t="shared" si="166"/>
        <v>0</v>
      </c>
      <c r="BZ451" s="319">
        <f t="shared" si="166"/>
        <v>0</v>
      </c>
      <c r="CA451" s="319">
        <f t="shared" si="166"/>
        <v>0</v>
      </c>
      <c r="CB451" s="319">
        <f t="shared" si="166"/>
        <v>0</v>
      </c>
      <c r="CC451" s="319">
        <f t="shared" si="166"/>
        <v>0</v>
      </c>
      <c r="CD451" s="319">
        <f t="shared" si="166"/>
        <v>0</v>
      </c>
      <c r="CE451" s="319">
        <f t="shared" si="166"/>
        <v>0</v>
      </c>
      <c r="CF451" s="319">
        <f t="shared" si="166"/>
        <v>0</v>
      </c>
      <c r="CG451" s="319">
        <f t="shared" si="166"/>
        <v>0</v>
      </c>
      <c r="CH451" s="319">
        <f t="shared" si="166"/>
        <v>0</v>
      </c>
      <c r="CI451" s="319">
        <f t="shared" si="166"/>
        <v>0</v>
      </c>
      <c r="CJ451" s="319">
        <f t="shared" si="166"/>
        <v>0</v>
      </c>
      <c r="CK451" s="319">
        <f t="shared" si="166"/>
        <v>0</v>
      </c>
      <c r="CL451" s="319">
        <f t="shared" si="166"/>
        <v>0</v>
      </c>
      <c r="CM451" s="319">
        <f t="shared" si="166"/>
        <v>0</v>
      </c>
      <c r="CN451" s="319">
        <f t="shared" si="166"/>
        <v>0</v>
      </c>
      <c r="CO451" s="319">
        <f t="shared" si="166"/>
        <v>0</v>
      </c>
      <c r="CP451" s="319">
        <f t="shared" si="166"/>
        <v>0</v>
      </c>
      <c r="CQ451" s="319">
        <f t="shared" si="166"/>
        <v>0</v>
      </c>
      <c r="CR451" s="319">
        <f t="shared" si="166"/>
        <v>0</v>
      </c>
      <c r="CS451" s="319">
        <f t="shared" si="166"/>
        <v>0</v>
      </c>
      <c r="CT451" s="319">
        <f t="shared" si="166"/>
        <v>0</v>
      </c>
      <c r="CU451" s="319">
        <f t="shared" si="166"/>
        <v>0</v>
      </c>
      <c r="CV451" s="319">
        <f t="shared" si="166"/>
        <v>0</v>
      </c>
    </row>
    <row r="452" spans="1:100" x14ac:dyDescent="0.25">
      <c r="A452" s="319">
        <f t="shared" si="167"/>
        <v>0</v>
      </c>
      <c r="B452" s="319">
        <f t="shared" si="156"/>
        <v>0</v>
      </c>
      <c r="C452" s="364" t="str">
        <f>IF(Sandbox!BL12="","",Sandbox!BL12)</f>
        <v/>
      </c>
      <c r="D452" s="343" t="str">
        <f>IF(Sandbox!BM12="Select","",Sandbox!BM12)</f>
        <v/>
      </c>
      <c r="E452" s="343" t="str">
        <f>IF(Sandbox!BN12="","",Sandbox!BN12)</f>
        <v/>
      </c>
      <c r="F452" s="343" t="str">
        <f>IF(E452&lt;CharacterSheet!$V$34,"Yes","No")</f>
        <v>No</v>
      </c>
      <c r="G452" s="342" t="s">
        <v>347</v>
      </c>
      <c r="H452" s="333" t="str">
        <f>IF(C452="","",VLOOKUP(C452,Boonref2!A:B,2,FALSE))</f>
        <v/>
      </c>
      <c r="I452" s="333"/>
      <c r="J452" s="333" t="str">
        <f>VLOOKUP(C452,BoonRef!A:Z,17,FALSE)</f>
        <v>Yes</v>
      </c>
      <c r="K452" s="333" t="str">
        <f>IF(J452="God",'House Rules'!$B$2,IF(J452="Demi",'House Rules'!$B$1,IF(J452="Comp",'House Rules'!$B$4,IF(J452="Yaz",'House Rules'!$B$5,IF(J452="Rag",'House Rules'!$B$3,"Available")))))</f>
        <v>Available</v>
      </c>
      <c r="L452" s="333"/>
      <c r="M452" s="333"/>
      <c r="BF452" s="319">
        <f t="shared" si="160"/>
        <v>0</v>
      </c>
      <c r="BG452" s="340" t="s">
        <v>1404</v>
      </c>
      <c r="BI452" s="319">
        <f t="shared" si="168"/>
        <v>0</v>
      </c>
      <c r="BJ452" s="319">
        <f t="shared" si="166"/>
        <v>0</v>
      </c>
      <c r="BK452" s="319">
        <f t="shared" si="166"/>
        <v>0</v>
      </c>
      <c r="BL452" s="319">
        <f t="shared" si="166"/>
        <v>0</v>
      </c>
      <c r="BM452" s="319">
        <f t="shared" si="166"/>
        <v>0</v>
      </c>
      <c r="BN452" s="319">
        <f t="shared" si="166"/>
        <v>0</v>
      </c>
      <c r="BO452" s="319">
        <f t="shared" si="166"/>
        <v>0</v>
      </c>
      <c r="BP452" s="319">
        <f t="shared" si="166"/>
        <v>0</v>
      </c>
      <c r="BQ452" s="319">
        <f t="shared" si="166"/>
        <v>0</v>
      </c>
      <c r="BR452" s="319">
        <f t="shared" si="166"/>
        <v>0</v>
      </c>
      <c r="BS452" s="319">
        <f t="shared" si="166"/>
        <v>0</v>
      </c>
      <c r="BT452" s="319">
        <f t="shared" si="166"/>
        <v>0</v>
      </c>
      <c r="BU452" s="319">
        <f t="shared" si="166"/>
        <v>0</v>
      </c>
      <c r="BV452" s="319">
        <f t="shared" si="166"/>
        <v>0</v>
      </c>
      <c r="BW452" s="319">
        <f t="shared" si="166"/>
        <v>0</v>
      </c>
      <c r="BX452" s="319">
        <f t="shared" si="166"/>
        <v>0</v>
      </c>
      <c r="BY452" s="319">
        <f t="shared" si="166"/>
        <v>0</v>
      </c>
      <c r="BZ452" s="319">
        <f t="shared" si="166"/>
        <v>0</v>
      </c>
      <c r="CA452" s="319">
        <f t="shared" si="166"/>
        <v>0</v>
      </c>
      <c r="CB452" s="319">
        <f t="shared" si="166"/>
        <v>0</v>
      </c>
      <c r="CC452" s="319">
        <f t="shared" si="166"/>
        <v>0</v>
      </c>
      <c r="CD452" s="319">
        <f t="shared" si="166"/>
        <v>0</v>
      </c>
      <c r="CE452" s="319">
        <f t="shared" si="166"/>
        <v>0</v>
      </c>
      <c r="CF452" s="319">
        <f t="shared" si="166"/>
        <v>0</v>
      </c>
      <c r="CG452" s="319">
        <f t="shared" si="166"/>
        <v>0</v>
      </c>
      <c r="CH452" s="319">
        <f t="shared" si="166"/>
        <v>0</v>
      </c>
      <c r="CI452" s="319">
        <f t="shared" si="166"/>
        <v>0</v>
      </c>
      <c r="CJ452" s="319">
        <f t="shared" si="166"/>
        <v>0</v>
      </c>
      <c r="CK452" s="319">
        <f t="shared" si="166"/>
        <v>0</v>
      </c>
      <c r="CL452" s="319">
        <f t="shared" si="166"/>
        <v>0</v>
      </c>
      <c r="CM452" s="319">
        <f t="shared" si="166"/>
        <v>0</v>
      </c>
      <c r="CN452" s="319">
        <f t="shared" si="166"/>
        <v>0</v>
      </c>
      <c r="CO452" s="319">
        <f t="shared" si="166"/>
        <v>0</v>
      </c>
      <c r="CP452" s="319">
        <f t="shared" si="166"/>
        <v>0</v>
      </c>
      <c r="CQ452" s="319">
        <f t="shared" si="166"/>
        <v>0</v>
      </c>
      <c r="CR452" s="319">
        <f t="shared" si="166"/>
        <v>0</v>
      </c>
      <c r="CS452" s="319">
        <f t="shared" si="166"/>
        <v>0</v>
      </c>
      <c r="CT452" s="319">
        <f t="shared" si="166"/>
        <v>0</v>
      </c>
      <c r="CU452" s="319">
        <f t="shared" si="166"/>
        <v>0</v>
      </c>
      <c r="CV452" s="319">
        <f t="shared" si="166"/>
        <v>0</v>
      </c>
    </row>
    <row r="453" spans="1:100" x14ac:dyDescent="0.25">
      <c r="A453" s="319">
        <f t="shared" si="167"/>
        <v>0</v>
      </c>
      <c r="B453" s="319">
        <f t="shared" si="156"/>
        <v>0</v>
      </c>
      <c r="C453" s="364" t="str">
        <f>IF(Sandbox!BL13="","",Sandbox!BL13)</f>
        <v/>
      </c>
      <c r="D453" s="343" t="str">
        <f>IF(Sandbox!BM13="Select","",Sandbox!BM13)</f>
        <v/>
      </c>
      <c r="E453" s="343" t="str">
        <f>IF(Sandbox!BN13="","",Sandbox!BN13)</f>
        <v/>
      </c>
      <c r="F453" s="343" t="str">
        <f>IF(E453&lt;CharacterSheet!$V$34,"Yes","No")</f>
        <v>No</v>
      </c>
      <c r="G453" s="342" t="s">
        <v>347</v>
      </c>
      <c r="H453" s="333" t="str">
        <f>IF(C453="","",VLOOKUP(C453,Boonref2!A:B,2,FALSE))</f>
        <v/>
      </c>
      <c r="I453" s="333"/>
      <c r="J453" s="333" t="str">
        <f>VLOOKUP(C453,BoonRef!A:Z,17,FALSE)</f>
        <v>Yes</v>
      </c>
      <c r="K453" s="333" t="str">
        <f>IF(J453="God",'House Rules'!$B$2,IF(J453="Demi",'House Rules'!$B$1,IF(J453="Comp",'House Rules'!$B$4,IF(J453="Yaz",'House Rules'!$B$5,IF(J453="Rag",'House Rules'!$B$3,"Available")))))</f>
        <v>Available</v>
      </c>
      <c r="L453" s="333"/>
      <c r="M453" s="333"/>
      <c r="BF453" s="319">
        <f t="shared" si="160"/>
        <v>0</v>
      </c>
      <c r="BG453" s="340" t="s">
        <v>1191</v>
      </c>
      <c r="BI453" s="319">
        <f t="shared" si="168"/>
        <v>0</v>
      </c>
      <c r="BJ453" s="319">
        <f t="shared" si="166"/>
        <v>0</v>
      </c>
      <c r="BK453" s="319">
        <f t="shared" si="166"/>
        <v>0</v>
      </c>
      <c r="BL453" s="319">
        <f t="shared" si="166"/>
        <v>0</v>
      </c>
      <c r="BM453" s="319">
        <f t="shared" si="166"/>
        <v>0</v>
      </c>
      <c r="BN453" s="319">
        <f t="shared" si="166"/>
        <v>0</v>
      </c>
      <c r="BO453" s="319">
        <f t="shared" si="166"/>
        <v>0</v>
      </c>
      <c r="BP453" s="319">
        <f t="shared" si="166"/>
        <v>0</v>
      </c>
      <c r="BQ453" s="319">
        <f t="shared" si="166"/>
        <v>0</v>
      </c>
      <c r="BR453" s="319">
        <f t="shared" si="166"/>
        <v>0</v>
      </c>
      <c r="BS453" s="319">
        <f t="shared" si="166"/>
        <v>0</v>
      </c>
      <c r="BT453" s="319">
        <f t="shared" si="166"/>
        <v>0</v>
      </c>
      <c r="BU453" s="319">
        <f t="shared" si="166"/>
        <v>0</v>
      </c>
      <c r="BV453" s="319">
        <f t="shared" si="166"/>
        <v>0</v>
      </c>
      <c r="BW453" s="319">
        <f t="shared" si="166"/>
        <v>0</v>
      </c>
      <c r="BX453" s="319">
        <f t="shared" si="166"/>
        <v>0</v>
      </c>
      <c r="BY453" s="319">
        <f t="shared" si="166"/>
        <v>0</v>
      </c>
      <c r="BZ453" s="319">
        <f t="shared" si="166"/>
        <v>0</v>
      </c>
      <c r="CA453" s="319">
        <f t="shared" si="166"/>
        <v>0</v>
      </c>
      <c r="CB453" s="319">
        <f t="shared" si="166"/>
        <v>0</v>
      </c>
      <c r="CC453" s="319">
        <f t="shared" si="166"/>
        <v>0</v>
      </c>
      <c r="CD453" s="319">
        <f t="shared" si="166"/>
        <v>0</v>
      </c>
      <c r="CE453" s="319">
        <f t="shared" si="166"/>
        <v>0</v>
      </c>
      <c r="CF453" s="319">
        <f t="shared" si="166"/>
        <v>0</v>
      </c>
      <c r="CG453" s="319">
        <f t="shared" si="166"/>
        <v>0</v>
      </c>
      <c r="CH453" s="319">
        <f t="shared" si="166"/>
        <v>0</v>
      </c>
      <c r="CI453" s="319">
        <f t="shared" si="166"/>
        <v>0</v>
      </c>
      <c r="CJ453" s="319">
        <f t="shared" si="166"/>
        <v>0</v>
      </c>
      <c r="CK453" s="319">
        <f t="shared" si="166"/>
        <v>0</v>
      </c>
      <c r="CL453" s="319">
        <f t="shared" si="166"/>
        <v>0</v>
      </c>
      <c r="CM453" s="319">
        <f t="shared" si="166"/>
        <v>0</v>
      </c>
      <c r="CN453" s="319">
        <f t="shared" si="166"/>
        <v>0</v>
      </c>
      <c r="CO453" s="319">
        <f t="shared" si="166"/>
        <v>0</v>
      </c>
      <c r="CP453" s="319">
        <f t="shared" si="166"/>
        <v>0</v>
      </c>
      <c r="CQ453" s="319">
        <f t="shared" si="166"/>
        <v>0</v>
      </c>
      <c r="CR453" s="319">
        <f t="shared" si="166"/>
        <v>0</v>
      </c>
      <c r="CS453" s="319">
        <f t="shared" si="166"/>
        <v>0</v>
      </c>
      <c r="CT453" s="319">
        <f t="shared" si="166"/>
        <v>0</v>
      </c>
      <c r="CU453" s="319">
        <f t="shared" si="166"/>
        <v>0</v>
      </c>
      <c r="CV453" s="319">
        <f t="shared" si="166"/>
        <v>0</v>
      </c>
    </row>
    <row r="454" spans="1:100" x14ac:dyDescent="0.25">
      <c r="A454" s="319">
        <f t="shared" si="167"/>
        <v>0</v>
      </c>
      <c r="B454" s="319">
        <f t="shared" si="156"/>
        <v>0</v>
      </c>
      <c r="C454" s="364" t="str">
        <f>IF(Sandbox!BL14="","",Sandbox!BL14)</f>
        <v/>
      </c>
      <c r="D454" s="343" t="str">
        <f>IF(Sandbox!BM14="Select","",Sandbox!BM14)</f>
        <v/>
      </c>
      <c r="E454" s="343" t="str">
        <f>IF(Sandbox!BN14="","",Sandbox!BN14)</f>
        <v/>
      </c>
      <c r="F454" s="343" t="str">
        <f>IF(E454&lt;CharacterSheet!$V$34,"Yes","No")</f>
        <v>No</v>
      </c>
      <c r="G454" s="342" t="s">
        <v>347</v>
      </c>
      <c r="H454" s="333" t="str">
        <f>IF(C454="","",VLOOKUP(C454,Boonref2!A:B,2,FALSE))</f>
        <v/>
      </c>
      <c r="I454" s="333"/>
      <c r="J454" s="333" t="str">
        <f>VLOOKUP(C454,BoonRef!A:Z,17,FALSE)</f>
        <v>Yes</v>
      </c>
      <c r="K454" s="333" t="str">
        <f>IF(J454="God",'House Rules'!$B$2,IF(J454="Demi",'House Rules'!$B$1,IF(J454="Comp",'House Rules'!$B$4,IF(J454="Yaz",'House Rules'!$B$5,IF(J454="Rag",'House Rules'!$B$3,"Available")))))</f>
        <v>Available</v>
      </c>
      <c r="L454" s="333"/>
      <c r="M454" s="333"/>
      <c r="BF454" s="319">
        <f t="shared" si="160"/>
        <v>0</v>
      </c>
      <c r="BG454" s="340" t="s">
        <v>1192</v>
      </c>
      <c r="BI454" s="319">
        <f t="shared" si="168"/>
        <v>0</v>
      </c>
      <c r="BJ454" s="319">
        <f t="shared" si="166"/>
        <v>0</v>
      </c>
      <c r="BK454" s="319">
        <f t="shared" si="166"/>
        <v>0</v>
      </c>
      <c r="BL454" s="319">
        <f t="shared" si="166"/>
        <v>0</v>
      </c>
      <c r="BM454" s="319">
        <f t="shared" si="166"/>
        <v>0</v>
      </c>
      <c r="BN454" s="319">
        <f t="shared" si="166"/>
        <v>0</v>
      </c>
      <c r="BO454" s="319">
        <f t="shared" si="166"/>
        <v>0</v>
      </c>
      <c r="BP454" s="319">
        <f t="shared" si="166"/>
        <v>0</v>
      </c>
      <c r="BQ454" s="319">
        <f t="shared" si="166"/>
        <v>0</v>
      </c>
      <c r="BR454" s="319">
        <f t="shared" si="166"/>
        <v>0</v>
      </c>
      <c r="BS454" s="319">
        <f t="shared" si="166"/>
        <v>0</v>
      </c>
      <c r="BT454" s="319">
        <f t="shared" si="166"/>
        <v>0</v>
      </c>
      <c r="BU454" s="319">
        <f t="shared" si="166"/>
        <v>0</v>
      </c>
      <c r="BV454" s="319">
        <f t="shared" si="166"/>
        <v>0</v>
      </c>
      <c r="BW454" s="319">
        <f t="shared" si="166"/>
        <v>0</v>
      </c>
      <c r="BX454" s="319">
        <f t="shared" si="166"/>
        <v>0</v>
      </c>
      <c r="BY454" s="319">
        <f t="shared" si="166"/>
        <v>0</v>
      </c>
      <c r="BZ454" s="319">
        <f t="shared" si="166"/>
        <v>0</v>
      </c>
      <c r="CA454" s="319">
        <f t="shared" si="166"/>
        <v>0</v>
      </c>
      <c r="CB454" s="319">
        <f t="shared" si="166"/>
        <v>0</v>
      </c>
      <c r="CC454" s="319">
        <f t="shared" si="166"/>
        <v>0</v>
      </c>
      <c r="CD454" s="319">
        <f t="shared" si="166"/>
        <v>0</v>
      </c>
      <c r="CE454" s="319">
        <f t="shared" si="166"/>
        <v>0</v>
      </c>
      <c r="CF454" s="319">
        <f t="shared" si="166"/>
        <v>0</v>
      </c>
      <c r="CG454" s="319">
        <f t="shared" si="166"/>
        <v>0</v>
      </c>
      <c r="CH454" s="319">
        <f t="shared" si="166"/>
        <v>0</v>
      </c>
      <c r="CI454" s="319">
        <f t="shared" si="166"/>
        <v>0</v>
      </c>
      <c r="CJ454" s="319">
        <f t="shared" si="166"/>
        <v>0</v>
      </c>
      <c r="CK454" s="319">
        <f t="shared" si="166"/>
        <v>0</v>
      </c>
      <c r="CL454" s="319">
        <f t="shared" si="166"/>
        <v>0</v>
      </c>
      <c r="CM454" s="319">
        <f t="shared" si="166"/>
        <v>0</v>
      </c>
      <c r="CN454" s="319">
        <f t="shared" si="166"/>
        <v>0</v>
      </c>
      <c r="CO454" s="319">
        <f t="shared" si="166"/>
        <v>0</v>
      </c>
      <c r="CP454" s="319">
        <f t="shared" si="166"/>
        <v>0</v>
      </c>
      <c r="CQ454" s="319">
        <f t="shared" si="166"/>
        <v>0</v>
      </c>
      <c r="CR454" s="319">
        <f t="shared" si="166"/>
        <v>0</v>
      </c>
      <c r="CS454" s="319">
        <f t="shared" si="166"/>
        <v>0</v>
      </c>
      <c r="CT454" s="319">
        <f t="shared" si="166"/>
        <v>0</v>
      </c>
      <c r="CU454" s="319">
        <f t="shared" si="166"/>
        <v>0</v>
      </c>
      <c r="CV454" s="319">
        <f t="shared" si="166"/>
        <v>0</v>
      </c>
    </row>
    <row r="455" spans="1:100" x14ac:dyDescent="0.25">
      <c r="A455" s="319">
        <f t="shared" si="167"/>
        <v>0</v>
      </c>
      <c r="B455" s="319">
        <f t="shared" si="156"/>
        <v>0</v>
      </c>
      <c r="C455" s="364" t="str">
        <f>IF(Sandbox!BL15="","",Sandbox!BL15)</f>
        <v/>
      </c>
      <c r="D455" s="343" t="str">
        <f>IF(Sandbox!BM15="Select","",Sandbox!BM15)</f>
        <v/>
      </c>
      <c r="E455" s="343" t="str">
        <f>IF(Sandbox!BN15="","",Sandbox!BN15)</f>
        <v/>
      </c>
      <c r="F455" s="343" t="str">
        <f>IF(E455&lt;CharacterSheet!$V$34,"Yes","No")</f>
        <v>No</v>
      </c>
      <c r="G455" s="342" t="s">
        <v>347</v>
      </c>
      <c r="H455" s="333" t="str">
        <f>IF(C455="","",VLOOKUP(C455,Boonref2!A:B,2,FALSE))</f>
        <v/>
      </c>
      <c r="I455" s="333"/>
      <c r="J455" s="333" t="str">
        <f>VLOOKUP(C455,BoonRef!A:Z,17,FALSE)</f>
        <v>Yes</v>
      </c>
      <c r="K455" s="333" t="str">
        <f>IF(J455="God",'House Rules'!$B$2,IF(J455="Demi",'House Rules'!$B$1,IF(J455="Comp",'House Rules'!$B$4,IF(J455="Yaz",'House Rules'!$B$5,IF(J455="Rag",'House Rules'!$B$3,"Available")))))</f>
        <v>Available</v>
      </c>
      <c r="L455" s="333"/>
      <c r="M455" s="333"/>
      <c r="BF455" s="319">
        <f t="shared" si="160"/>
        <v>0</v>
      </c>
      <c r="BG455" s="340" t="s">
        <v>1193</v>
      </c>
      <c r="BI455" s="319">
        <f t="shared" si="168"/>
        <v>0</v>
      </c>
      <c r="BJ455" s="319">
        <f t="shared" si="166"/>
        <v>0</v>
      </c>
      <c r="BK455" s="319">
        <f t="shared" si="166"/>
        <v>0</v>
      </c>
      <c r="BL455" s="319">
        <f t="shared" si="166"/>
        <v>0</v>
      </c>
      <c r="BM455" s="319">
        <f t="shared" si="166"/>
        <v>0</v>
      </c>
      <c r="BN455" s="319">
        <f t="shared" si="166"/>
        <v>0</v>
      </c>
      <c r="BO455" s="319">
        <f t="shared" si="166"/>
        <v>0</v>
      </c>
      <c r="BP455" s="319">
        <f t="shared" si="166"/>
        <v>0</v>
      </c>
      <c r="BQ455" s="319">
        <f t="shared" si="166"/>
        <v>0</v>
      </c>
      <c r="BR455" s="319">
        <f t="shared" si="166"/>
        <v>0</v>
      </c>
      <c r="BS455" s="319">
        <f t="shared" si="166"/>
        <v>0</v>
      </c>
      <c r="BT455" s="319">
        <f t="shared" si="166"/>
        <v>0</v>
      </c>
      <c r="BU455" s="319">
        <f t="shared" si="166"/>
        <v>0</v>
      </c>
      <c r="BV455" s="319">
        <f t="shared" si="166"/>
        <v>0</v>
      </c>
      <c r="BW455" s="319">
        <f t="shared" si="166"/>
        <v>0</v>
      </c>
      <c r="BX455" s="319">
        <f t="shared" si="166"/>
        <v>0</v>
      </c>
      <c r="BY455" s="319">
        <f t="shared" si="166"/>
        <v>0</v>
      </c>
      <c r="BZ455" s="319">
        <f t="shared" si="166"/>
        <v>0</v>
      </c>
      <c r="CA455" s="319">
        <f t="shared" si="166"/>
        <v>0</v>
      </c>
      <c r="CB455" s="319">
        <f t="shared" si="166"/>
        <v>0</v>
      </c>
      <c r="CC455" s="319">
        <f t="shared" si="166"/>
        <v>0</v>
      </c>
      <c r="CD455" s="319">
        <f t="shared" si="166"/>
        <v>0</v>
      </c>
      <c r="CE455" s="319">
        <f t="shared" si="166"/>
        <v>0</v>
      </c>
      <c r="CF455" s="319">
        <f t="shared" si="166"/>
        <v>0</v>
      </c>
      <c r="CG455" s="319">
        <f t="shared" si="166"/>
        <v>0</v>
      </c>
      <c r="CH455" s="319">
        <f t="shared" si="166"/>
        <v>0</v>
      </c>
      <c r="CI455" s="319">
        <f t="shared" si="166"/>
        <v>0</v>
      </c>
      <c r="CJ455" s="319">
        <f t="shared" si="166"/>
        <v>0</v>
      </c>
      <c r="CK455" s="319">
        <f t="shared" si="166"/>
        <v>0</v>
      </c>
      <c r="CL455" s="319">
        <f t="shared" si="166"/>
        <v>0</v>
      </c>
      <c r="CM455" s="319">
        <f t="shared" si="166"/>
        <v>0</v>
      </c>
      <c r="CN455" s="319">
        <f t="shared" si="166"/>
        <v>0</v>
      </c>
      <c r="CO455" s="319">
        <f t="shared" si="166"/>
        <v>0</v>
      </c>
      <c r="CP455" s="319">
        <f t="shared" si="166"/>
        <v>0</v>
      </c>
      <c r="CQ455" s="319">
        <f t="shared" si="166"/>
        <v>0</v>
      </c>
      <c r="CR455" s="319">
        <f t="shared" si="166"/>
        <v>0</v>
      </c>
      <c r="CS455" s="319">
        <f t="shared" si="166"/>
        <v>0</v>
      </c>
      <c r="CT455" s="319">
        <f t="shared" si="166"/>
        <v>0</v>
      </c>
      <c r="CU455" s="319">
        <f t="shared" si="166"/>
        <v>0</v>
      </c>
      <c r="CV455" s="319">
        <f t="shared" si="166"/>
        <v>0</v>
      </c>
    </row>
    <row r="456" spans="1:100" x14ac:dyDescent="0.25">
      <c r="A456" s="319">
        <f t="shared" si="167"/>
        <v>0</v>
      </c>
      <c r="B456" s="319">
        <f t="shared" si="156"/>
        <v>0</v>
      </c>
      <c r="C456" s="364" t="str">
        <f>IF(Sandbox!BL16="","",Sandbox!BL16)</f>
        <v/>
      </c>
      <c r="D456" s="343" t="str">
        <f>IF(Sandbox!BM16="Select","",Sandbox!BM16)</f>
        <v/>
      </c>
      <c r="E456" s="343" t="str">
        <f>IF(Sandbox!BN16="","",Sandbox!BN16)</f>
        <v/>
      </c>
      <c r="F456" s="343" t="str">
        <f>IF(E456&lt;CharacterSheet!$V$34,"Yes","No")</f>
        <v>No</v>
      </c>
      <c r="G456" s="342" t="s">
        <v>347</v>
      </c>
      <c r="H456" s="333" t="str">
        <f>IF(C456="","",VLOOKUP(C456,Boonref2!A:B,2,FALSE))</f>
        <v/>
      </c>
      <c r="I456" s="333"/>
      <c r="J456" s="333" t="str">
        <f>VLOOKUP(C456,BoonRef!A:Z,17,FALSE)</f>
        <v>Yes</v>
      </c>
      <c r="K456" s="333" t="str">
        <f>IF(J456="God",'House Rules'!$B$2,IF(J456="Demi",'House Rules'!$B$1,IF(J456="Comp",'House Rules'!$B$4,IF(J456="Yaz",'House Rules'!$B$5,IF(J456="Rag",'House Rules'!$B$3,"Available")))))</f>
        <v>Available</v>
      </c>
      <c r="L456" s="333"/>
      <c r="M456" s="333"/>
      <c r="BF456" s="319">
        <f t="shared" si="160"/>
        <v>0</v>
      </c>
      <c r="BG456" s="340" t="s">
        <v>1194</v>
      </c>
      <c r="BI456" s="319">
        <f t="shared" si="168"/>
        <v>0</v>
      </c>
      <c r="BJ456" s="319">
        <f t="shared" si="166"/>
        <v>0</v>
      </c>
      <c r="BK456" s="319">
        <f t="shared" si="166"/>
        <v>0</v>
      </c>
      <c r="BL456" s="319">
        <f t="shared" si="166"/>
        <v>0</v>
      </c>
      <c r="BM456" s="319">
        <f t="shared" si="166"/>
        <v>0</v>
      </c>
      <c r="BN456" s="319">
        <f t="shared" si="166"/>
        <v>0</v>
      </c>
      <c r="BO456" s="319">
        <f t="shared" si="166"/>
        <v>0</v>
      </c>
      <c r="BP456" s="319">
        <f t="shared" si="166"/>
        <v>0</v>
      </c>
      <c r="BQ456" s="319">
        <f t="shared" si="166"/>
        <v>0</v>
      </c>
      <c r="BR456" s="319">
        <f t="shared" si="166"/>
        <v>0</v>
      </c>
      <c r="BS456" s="319">
        <f t="shared" si="166"/>
        <v>0</v>
      </c>
      <c r="BT456" s="319">
        <f t="shared" si="166"/>
        <v>0</v>
      </c>
      <c r="BU456" s="319">
        <f t="shared" si="166"/>
        <v>0</v>
      </c>
      <c r="BV456" s="319">
        <f t="shared" si="166"/>
        <v>0</v>
      </c>
      <c r="BW456" s="319">
        <f t="shared" si="166"/>
        <v>0</v>
      </c>
      <c r="BX456" s="319">
        <f t="shared" si="166"/>
        <v>0</v>
      </c>
      <c r="BY456" s="319">
        <f t="shared" si="166"/>
        <v>0</v>
      </c>
      <c r="BZ456" s="319">
        <f t="shared" si="166"/>
        <v>0</v>
      </c>
      <c r="CA456" s="319">
        <f t="shared" si="166"/>
        <v>0</v>
      </c>
      <c r="CB456" s="319">
        <f t="shared" si="166"/>
        <v>0</v>
      </c>
      <c r="CC456" s="319">
        <f t="shared" si="166"/>
        <v>0</v>
      </c>
      <c r="CD456" s="319">
        <f t="shared" si="166"/>
        <v>0</v>
      </c>
      <c r="CE456" s="319">
        <f t="shared" si="166"/>
        <v>0</v>
      </c>
      <c r="CF456" s="319">
        <f t="shared" si="166"/>
        <v>0</v>
      </c>
      <c r="CG456" s="319">
        <f t="shared" si="166"/>
        <v>0</v>
      </c>
      <c r="CH456" s="319">
        <f t="shared" si="166"/>
        <v>0</v>
      </c>
      <c r="CI456" s="319">
        <f t="shared" si="166"/>
        <v>0</v>
      </c>
      <c r="CJ456" s="319">
        <f t="shared" si="166"/>
        <v>0</v>
      </c>
      <c r="CK456" s="319">
        <f t="shared" ref="BJ456:CV463" si="169">IF(AND($D456=CK$1,$G456="Yes"),$E456,0)</f>
        <v>0</v>
      </c>
      <c r="CL456" s="319">
        <f t="shared" si="169"/>
        <v>0</v>
      </c>
      <c r="CM456" s="319">
        <f t="shared" si="169"/>
        <v>0</v>
      </c>
      <c r="CN456" s="319">
        <f t="shared" si="169"/>
        <v>0</v>
      </c>
      <c r="CO456" s="319">
        <f t="shared" si="169"/>
        <v>0</v>
      </c>
      <c r="CP456" s="319">
        <f t="shared" si="169"/>
        <v>0</v>
      </c>
      <c r="CQ456" s="319">
        <f t="shared" si="169"/>
        <v>0</v>
      </c>
      <c r="CR456" s="319">
        <f t="shared" si="169"/>
        <v>0</v>
      </c>
      <c r="CS456" s="319">
        <f t="shared" si="169"/>
        <v>0</v>
      </c>
      <c r="CT456" s="319">
        <f t="shared" si="169"/>
        <v>0</v>
      </c>
      <c r="CU456" s="319">
        <f t="shared" si="169"/>
        <v>0</v>
      </c>
      <c r="CV456" s="319">
        <f t="shared" si="169"/>
        <v>0</v>
      </c>
    </row>
    <row r="457" spans="1:100" x14ac:dyDescent="0.25">
      <c r="A457" s="319">
        <f t="shared" si="167"/>
        <v>0</v>
      </c>
      <c r="B457" s="319">
        <f t="shared" si="156"/>
        <v>0</v>
      </c>
      <c r="C457" s="364" t="str">
        <f>IF(Sandbox!BL17="","",Sandbox!BL17)</f>
        <v/>
      </c>
      <c r="D457" s="343" t="str">
        <f>IF(Sandbox!BM17="Select","",Sandbox!BM17)</f>
        <v/>
      </c>
      <c r="E457" s="343" t="str">
        <f>IF(Sandbox!BN17="","",Sandbox!BN17)</f>
        <v/>
      </c>
      <c r="F457" s="343" t="str">
        <f>IF(E457&lt;CharacterSheet!$V$34,"Yes","No")</f>
        <v>No</v>
      </c>
      <c r="G457" s="342" t="s">
        <v>347</v>
      </c>
      <c r="H457" s="333" t="str">
        <f>IF(C457="","",VLOOKUP(C457,Boonref2!A:B,2,FALSE))</f>
        <v/>
      </c>
      <c r="I457" s="333"/>
      <c r="J457" s="333" t="str">
        <f>VLOOKUP(C457,BoonRef!A:Z,17,FALSE)</f>
        <v>Yes</v>
      </c>
      <c r="K457" s="333" t="str">
        <f>IF(J457="God",'House Rules'!$B$2,IF(J457="Demi",'House Rules'!$B$1,IF(J457="Comp",'House Rules'!$B$4,IF(J457="Yaz",'House Rules'!$B$5,IF(J457="Rag",'House Rules'!$B$3,"Available")))))</f>
        <v>Available</v>
      </c>
      <c r="L457" s="333"/>
      <c r="M457" s="333"/>
      <c r="BF457" s="319">
        <f t="shared" si="160"/>
        <v>0</v>
      </c>
      <c r="BG457" s="340" t="s">
        <v>1290</v>
      </c>
      <c r="BI457" s="319">
        <f t="shared" si="168"/>
        <v>0</v>
      </c>
      <c r="BJ457" s="319">
        <f t="shared" si="169"/>
        <v>0</v>
      </c>
      <c r="BK457" s="319">
        <f t="shared" si="169"/>
        <v>0</v>
      </c>
      <c r="BL457" s="319">
        <f t="shared" si="169"/>
        <v>0</v>
      </c>
      <c r="BM457" s="319">
        <f t="shared" si="169"/>
        <v>0</v>
      </c>
      <c r="BN457" s="319">
        <f t="shared" si="169"/>
        <v>0</v>
      </c>
      <c r="BO457" s="319">
        <f t="shared" si="169"/>
        <v>0</v>
      </c>
      <c r="BP457" s="319">
        <f t="shared" si="169"/>
        <v>0</v>
      </c>
      <c r="BQ457" s="319">
        <f t="shared" si="169"/>
        <v>0</v>
      </c>
      <c r="BR457" s="319">
        <f t="shared" si="169"/>
        <v>0</v>
      </c>
      <c r="BS457" s="319">
        <f t="shared" si="169"/>
        <v>0</v>
      </c>
      <c r="BT457" s="319">
        <f t="shared" si="169"/>
        <v>0</v>
      </c>
      <c r="BU457" s="319">
        <f t="shared" si="169"/>
        <v>0</v>
      </c>
      <c r="BV457" s="319">
        <f t="shared" si="169"/>
        <v>0</v>
      </c>
      <c r="BW457" s="319">
        <f t="shared" si="169"/>
        <v>0</v>
      </c>
      <c r="BX457" s="319">
        <f t="shared" si="169"/>
        <v>0</v>
      </c>
      <c r="BY457" s="319">
        <f t="shared" si="169"/>
        <v>0</v>
      </c>
      <c r="BZ457" s="319">
        <f t="shared" si="169"/>
        <v>0</v>
      </c>
      <c r="CA457" s="319">
        <f t="shared" si="169"/>
        <v>0</v>
      </c>
      <c r="CB457" s="319">
        <f t="shared" si="169"/>
        <v>0</v>
      </c>
      <c r="CC457" s="319">
        <f t="shared" si="169"/>
        <v>0</v>
      </c>
      <c r="CD457" s="319">
        <f t="shared" si="169"/>
        <v>0</v>
      </c>
      <c r="CE457" s="319">
        <f t="shared" si="169"/>
        <v>0</v>
      </c>
      <c r="CF457" s="319">
        <f t="shared" si="169"/>
        <v>0</v>
      </c>
      <c r="CG457" s="319">
        <f t="shared" si="169"/>
        <v>0</v>
      </c>
      <c r="CH457" s="319">
        <f t="shared" si="169"/>
        <v>0</v>
      </c>
      <c r="CI457" s="319">
        <f t="shared" si="169"/>
        <v>0</v>
      </c>
      <c r="CJ457" s="319">
        <f t="shared" si="169"/>
        <v>0</v>
      </c>
      <c r="CK457" s="319">
        <f t="shared" si="169"/>
        <v>0</v>
      </c>
      <c r="CL457" s="319">
        <f t="shared" si="169"/>
        <v>0</v>
      </c>
      <c r="CM457" s="319">
        <f t="shared" si="169"/>
        <v>0</v>
      </c>
      <c r="CN457" s="319">
        <f t="shared" si="169"/>
        <v>0</v>
      </c>
      <c r="CO457" s="319">
        <f t="shared" si="169"/>
        <v>0</v>
      </c>
      <c r="CP457" s="319">
        <f t="shared" si="169"/>
        <v>0</v>
      </c>
      <c r="CQ457" s="319">
        <f t="shared" si="169"/>
        <v>0</v>
      </c>
      <c r="CR457" s="319">
        <f t="shared" si="169"/>
        <v>0</v>
      </c>
      <c r="CS457" s="319">
        <f t="shared" si="169"/>
        <v>0</v>
      </c>
      <c r="CT457" s="319">
        <f t="shared" si="169"/>
        <v>0</v>
      </c>
      <c r="CU457" s="319">
        <f t="shared" si="169"/>
        <v>0</v>
      </c>
      <c r="CV457" s="319">
        <f t="shared" si="169"/>
        <v>0</v>
      </c>
    </row>
    <row r="458" spans="1:100" x14ac:dyDescent="0.25">
      <c r="A458" s="319">
        <f t="shared" si="167"/>
        <v>0</v>
      </c>
      <c r="B458" s="319">
        <f t="shared" si="156"/>
        <v>0</v>
      </c>
      <c r="C458" s="364" t="str">
        <f>IF(Sandbox!BL18="","",Sandbox!BL18)</f>
        <v/>
      </c>
      <c r="D458" s="343" t="str">
        <f>IF(Sandbox!BM18="Select","",Sandbox!BM18)</f>
        <v/>
      </c>
      <c r="E458" s="343" t="str">
        <f>IF(Sandbox!BN18="","",Sandbox!BN18)</f>
        <v/>
      </c>
      <c r="F458" s="343" t="str">
        <f>IF(E458&lt;CharacterSheet!$V$34,"Yes","No")</f>
        <v>No</v>
      </c>
      <c r="G458" s="342" t="s">
        <v>347</v>
      </c>
      <c r="H458" s="333" t="str">
        <f>IF(C458="","",VLOOKUP(C458,Boonref2!A:B,2,FALSE))</f>
        <v/>
      </c>
      <c r="I458" s="333"/>
      <c r="J458" s="333" t="str">
        <f>VLOOKUP(C458,BoonRef!A:Z,17,FALSE)</f>
        <v>Yes</v>
      </c>
      <c r="K458" s="333" t="str">
        <f>IF(J458="God",'House Rules'!$B$2,IF(J458="Demi",'House Rules'!$B$1,IF(J458="Comp",'House Rules'!$B$4,IF(J458="Yaz",'House Rules'!$B$5,IF(J458="Rag",'House Rules'!$B$3,"Available")))))</f>
        <v>Available</v>
      </c>
      <c r="L458" s="333"/>
      <c r="M458" s="333"/>
      <c r="BF458" s="319">
        <f t="shared" si="160"/>
        <v>0</v>
      </c>
      <c r="BG458" s="340" t="s">
        <v>2641</v>
      </c>
      <c r="BI458" s="319">
        <f t="shared" si="168"/>
        <v>0</v>
      </c>
      <c r="BJ458" s="319">
        <f t="shared" si="169"/>
        <v>0</v>
      </c>
      <c r="BK458" s="319">
        <f t="shared" si="169"/>
        <v>0</v>
      </c>
      <c r="BL458" s="319">
        <f t="shared" si="169"/>
        <v>0</v>
      </c>
      <c r="BM458" s="319">
        <f t="shared" si="169"/>
        <v>0</v>
      </c>
      <c r="BN458" s="319">
        <f t="shared" si="169"/>
        <v>0</v>
      </c>
      <c r="BO458" s="319">
        <f t="shared" si="169"/>
        <v>0</v>
      </c>
      <c r="BP458" s="319">
        <f t="shared" si="169"/>
        <v>0</v>
      </c>
      <c r="BQ458" s="319">
        <f t="shared" si="169"/>
        <v>0</v>
      </c>
      <c r="BR458" s="319">
        <f t="shared" si="169"/>
        <v>0</v>
      </c>
      <c r="BS458" s="319">
        <f t="shared" si="169"/>
        <v>0</v>
      </c>
      <c r="BT458" s="319">
        <f t="shared" si="169"/>
        <v>0</v>
      </c>
      <c r="BU458" s="319">
        <f t="shared" si="169"/>
        <v>0</v>
      </c>
      <c r="BV458" s="319">
        <f t="shared" si="169"/>
        <v>0</v>
      </c>
      <c r="BW458" s="319">
        <f t="shared" si="169"/>
        <v>0</v>
      </c>
      <c r="BX458" s="319">
        <f t="shared" si="169"/>
        <v>0</v>
      </c>
      <c r="BY458" s="319">
        <f t="shared" si="169"/>
        <v>0</v>
      </c>
      <c r="BZ458" s="319">
        <f t="shared" si="169"/>
        <v>0</v>
      </c>
      <c r="CA458" s="319">
        <f t="shared" si="169"/>
        <v>0</v>
      </c>
      <c r="CB458" s="319">
        <f t="shared" si="169"/>
        <v>0</v>
      </c>
      <c r="CC458" s="319">
        <f t="shared" si="169"/>
        <v>0</v>
      </c>
      <c r="CD458" s="319">
        <f t="shared" si="169"/>
        <v>0</v>
      </c>
      <c r="CE458" s="319">
        <f t="shared" si="169"/>
        <v>0</v>
      </c>
      <c r="CF458" s="319">
        <f t="shared" si="169"/>
        <v>0</v>
      </c>
      <c r="CG458" s="319">
        <f t="shared" si="169"/>
        <v>0</v>
      </c>
      <c r="CH458" s="319">
        <f t="shared" si="169"/>
        <v>0</v>
      </c>
      <c r="CI458" s="319">
        <f t="shared" si="169"/>
        <v>0</v>
      </c>
      <c r="CJ458" s="319">
        <f t="shared" si="169"/>
        <v>0</v>
      </c>
      <c r="CK458" s="319">
        <f t="shared" si="169"/>
        <v>0</v>
      </c>
      <c r="CL458" s="319">
        <f t="shared" si="169"/>
        <v>0</v>
      </c>
      <c r="CM458" s="319">
        <f t="shared" si="169"/>
        <v>0</v>
      </c>
      <c r="CN458" s="319">
        <f t="shared" si="169"/>
        <v>0</v>
      </c>
      <c r="CO458" s="319">
        <f t="shared" si="169"/>
        <v>0</v>
      </c>
      <c r="CP458" s="319">
        <f t="shared" si="169"/>
        <v>0</v>
      </c>
      <c r="CQ458" s="319">
        <f t="shared" si="169"/>
        <v>0</v>
      </c>
      <c r="CR458" s="319">
        <f t="shared" si="169"/>
        <v>0</v>
      </c>
      <c r="CS458" s="319">
        <f t="shared" si="169"/>
        <v>0</v>
      </c>
      <c r="CT458" s="319">
        <f t="shared" si="169"/>
        <v>0</v>
      </c>
      <c r="CU458" s="319">
        <f t="shared" si="169"/>
        <v>0</v>
      </c>
      <c r="CV458" s="319">
        <f t="shared" si="169"/>
        <v>0</v>
      </c>
    </row>
    <row r="459" spans="1:100" x14ac:dyDescent="0.25">
      <c r="A459" s="319">
        <f t="shared" si="167"/>
        <v>0</v>
      </c>
      <c r="B459" s="319">
        <f t="shared" si="156"/>
        <v>0</v>
      </c>
      <c r="C459" s="364" t="str">
        <f>IF(Sandbox!BL19="","",Sandbox!BL19)</f>
        <v/>
      </c>
      <c r="D459" s="343" t="str">
        <f>IF(Sandbox!BM19="Select","",Sandbox!BM19)</f>
        <v/>
      </c>
      <c r="E459" s="343" t="str">
        <f>IF(Sandbox!BN19="","",Sandbox!BN19)</f>
        <v/>
      </c>
      <c r="F459" s="343" t="str">
        <f>IF(E459&lt;CharacterSheet!$V$34,"Yes","No")</f>
        <v>No</v>
      </c>
      <c r="G459" s="342" t="s">
        <v>347</v>
      </c>
      <c r="H459" s="333" t="str">
        <f>IF(C459="","",VLOOKUP(C459,Boonref2!A:B,2,FALSE))</f>
        <v/>
      </c>
      <c r="I459" s="333"/>
      <c r="J459" s="333" t="str">
        <f>VLOOKUP(C459,BoonRef!A:Z,17,FALSE)</f>
        <v>Yes</v>
      </c>
      <c r="K459" s="333" t="str">
        <f>IF(J459="God",'House Rules'!$B$2,IF(J459="Demi",'House Rules'!$B$1,IF(J459="Comp",'House Rules'!$B$4,IF(J459="Yaz",'House Rules'!$B$5,IF(J459="Rag",'House Rules'!$B$3,"Available")))))</f>
        <v>Available</v>
      </c>
      <c r="L459" s="333"/>
      <c r="M459" s="333"/>
      <c r="BF459" s="319">
        <f t="shared" si="160"/>
        <v>0</v>
      </c>
      <c r="BG459" s="340" t="s">
        <v>1291</v>
      </c>
      <c r="BI459" s="319">
        <f t="shared" si="168"/>
        <v>0</v>
      </c>
      <c r="BJ459" s="319">
        <f t="shared" si="169"/>
        <v>0</v>
      </c>
      <c r="BK459" s="319">
        <f t="shared" si="169"/>
        <v>0</v>
      </c>
      <c r="BL459" s="319">
        <f t="shared" si="169"/>
        <v>0</v>
      </c>
      <c r="BM459" s="319">
        <f t="shared" si="169"/>
        <v>0</v>
      </c>
      <c r="BN459" s="319">
        <f t="shared" si="169"/>
        <v>0</v>
      </c>
      <c r="BO459" s="319">
        <f t="shared" si="169"/>
        <v>0</v>
      </c>
      <c r="BP459" s="319">
        <f t="shared" si="169"/>
        <v>0</v>
      </c>
      <c r="BQ459" s="319">
        <f t="shared" si="169"/>
        <v>0</v>
      </c>
      <c r="BR459" s="319">
        <f t="shared" si="169"/>
        <v>0</v>
      </c>
      <c r="BS459" s="319">
        <f t="shared" si="169"/>
        <v>0</v>
      </c>
      <c r="BT459" s="319">
        <f t="shared" si="169"/>
        <v>0</v>
      </c>
      <c r="BU459" s="319">
        <f t="shared" si="169"/>
        <v>0</v>
      </c>
      <c r="BV459" s="319">
        <f t="shared" si="169"/>
        <v>0</v>
      </c>
      <c r="BW459" s="319">
        <f t="shared" si="169"/>
        <v>0</v>
      </c>
      <c r="BX459" s="319">
        <f t="shared" si="169"/>
        <v>0</v>
      </c>
      <c r="BY459" s="319">
        <f t="shared" si="169"/>
        <v>0</v>
      </c>
      <c r="BZ459" s="319">
        <f t="shared" si="169"/>
        <v>0</v>
      </c>
      <c r="CA459" s="319">
        <f t="shared" si="169"/>
        <v>0</v>
      </c>
      <c r="CB459" s="319">
        <f t="shared" si="169"/>
        <v>0</v>
      </c>
      <c r="CC459" s="319">
        <f t="shared" si="169"/>
        <v>0</v>
      </c>
      <c r="CD459" s="319">
        <f t="shared" si="169"/>
        <v>0</v>
      </c>
      <c r="CE459" s="319">
        <f t="shared" si="169"/>
        <v>0</v>
      </c>
      <c r="CF459" s="319">
        <f t="shared" si="169"/>
        <v>0</v>
      </c>
      <c r="CG459" s="319">
        <f t="shared" si="169"/>
        <v>0</v>
      </c>
      <c r="CH459" s="319">
        <f t="shared" si="169"/>
        <v>0</v>
      </c>
      <c r="CI459" s="319">
        <f t="shared" si="169"/>
        <v>0</v>
      </c>
      <c r="CJ459" s="319">
        <f t="shared" si="169"/>
        <v>0</v>
      </c>
      <c r="CK459" s="319">
        <f t="shared" si="169"/>
        <v>0</v>
      </c>
      <c r="CL459" s="319">
        <f t="shared" si="169"/>
        <v>0</v>
      </c>
      <c r="CM459" s="319">
        <f t="shared" si="169"/>
        <v>0</v>
      </c>
      <c r="CN459" s="319">
        <f t="shared" si="169"/>
        <v>0</v>
      </c>
      <c r="CO459" s="319">
        <f t="shared" si="169"/>
        <v>0</v>
      </c>
      <c r="CP459" s="319">
        <f t="shared" si="169"/>
        <v>0</v>
      </c>
      <c r="CQ459" s="319">
        <f t="shared" si="169"/>
        <v>0</v>
      </c>
      <c r="CR459" s="319">
        <f t="shared" si="169"/>
        <v>0</v>
      </c>
      <c r="CS459" s="319">
        <f t="shared" si="169"/>
        <v>0</v>
      </c>
      <c r="CT459" s="319">
        <f t="shared" si="169"/>
        <v>0</v>
      </c>
      <c r="CU459" s="319">
        <f t="shared" si="169"/>
        <v>0</v>
      </c>
      <c r="CV459" s="319">
        <f t="shared" si="169"/>
        <v>0</v>
      </c>
    </row>
    <row r="460" spans="1:100" ht="15.75" thickBot="1" x14ac:dyDescent="0.3">
      <c r="A460" s="319">
        <f t="shared" si="167"/>
        <v>0</v>
      </c>
      <c r="B460" s="319">
        <f t="shared" si="156"/>
        <v>0</v>
      </c>
      <c r="C460" s="364" t="str">
        <f>IF(Sandbox!BL20="","",Sandbox!BL20)</f>
        <v/>
      </c>
      <c r="D460" s="343" t="str">
        <f>IF(Sandbox!BM20="Select","",Sandbox!BM20)</f>
        <v/>
      </c>
      <c r="E460" s="343" t="str">
        <f>IF(Sandbox!BN20="","",Sandbox!BN20)</f>
        <v/>
      </c>
      <c r="F460" s="343" t="str">
        <f>IF(E460&lt;CharacterSheet!$V$34,"Yes","No")</f>
        <v>No</v>
      </c>
      <c r="G460" s="342" t="s">
        <v>347</v>
      </c>
      <c r="H460" s="333" t="str">
        <f>IF(C460="","",VLOOKUP(C460,Boonref2!A:B,2,FALSE))</f>
        <v/>
      </c>
      <c r="I460" s="333"/>
      <c r="J460" s="333" t="str">
        <f>VLOOKUP(C460,BoonRef!A:Z,17,FALSE)</f>
        <v>Yes</v>
      </c>
      <c r="K460" s="333" t="str">
        <f>IF(J460="God",'House Rules'!$B$2,IF(J460="Demi",'House Rules'!$B$1,IF(J460="Comp",'House Rules'!$B$4,IF(J460="Yaz",'House Rules'!$B$5,IF(J460="Rag",'House Rules'!$B$3,"Available")))))</f>
        <v>Available</v>
      </c>
      <c r="L460" s="333"/>
      <c r="M460" s="333"/>
      <c r="BF460" s="319">
        <f t="shared" si="160"/>
        <v>0</v>
      </c>
      <c r="BG460" s="352" t="s">
        <v>1292</v>
      </c>
      <c r="BI460" s="319">
        <f t="shared" si="168"/>
        <v>0</v>
      </c>
      <c r="BJ460" s="319">
        <f t="shared" si="169"/>
        <v>0</v>
      </c>
      <c r="BK460" s="319">
        <f t="shared" si="169"/>
        <v>0</v>
      </c>
      <c r="BL460" s="319">
        <f t="shared" si="169"/>
        <v>0</v>
      </c>
      <c r="BM460" s="319">
        <f t="shared" si="169"/>
        <v>0</v>
      </c>
      <c r="BN460" s="319">
        <f t="shared" si="169"/>
        <v>0</v>
      </c>
      <c r="BO460" s="319">
        <f t="shared" si="169"/>
        <v>0</v>
      </c>
      <c r="BP460" s="319">
        <f t="shared" si="169"/>
        <v>0</v>
      </c>
      <c r="BQ460" s="319">
        <f t="shared" si="169"/>
        <v>0</v>
      </c>
      <c r="BR460" s="319">
        <f t="shared" si="169"/>
        <v>0</v>
      </c>
      <c r="BS460" s="319">
        <f t="shared" si="169"/>
        <v>0</v>
      </c>
      <c r="BT460" s="319">
        <f t="shared" si="169"/>
        <v>0</v>
      </c>
      <c r="BU460" s="319">
        <f t="shared" si="169"/>
        <v>0</v>
      </c>
      <c r="BV460" s="319">
        <f t="shared" si="169"/>
        <v>0</v>
      </c>
      <c r="BW460" s="319">
        <f t="shared" si="169"/>
        <v>0</v>
      </c>
      <c r="BX460" s="319">
        <f t="shared" si="169"/>
        <v>0</v>
      </c>
      <c r="BY460" s="319">
        <f t="shared" si="169"/>
        <v>0</v>
      </c>
      <c r="BZ460" s="319">
        <f t="shared" si="169"/>
        <v>0</v>
      </c>
      <c r="CA460" s="319">
        <f t="shared" si="169"/>
        <v>0</v>
      </c>
      <c r="CB460" s="319">
        <f t="shared" si="169"/>
        <v>0</v>
      </c>
      <c r="CC460" s="319">
        <f t="shared" si="169"/>
        <v>0</v>
      </c>
      <c r="CD460" s="319">
        <f t="shared" si="169"/>
        <v>0</v>
      </c>
      <c r="CE460" s="319">
        <f t="shared" si="169"/>
        <v>0</v>
      </c>
      <c r="CF460" s="319">
        <f t="shared" si="169"/>
        <v>0</v>
      </c>
      <c r="CG460" s="319">
        <f t="shared" si="169"/>
        <v>0</v>
      </c>
      <c r="CH460" s="319">
        <f t="shared" si="169"/>
        <v>0</v>
      </c>
      <c r="CI460" s="319">
        <f t="shared" si="169"/>
        <v>0</v>
      </c>
      <c r="CJ460" s="319">
        <f t="shared" si="169"/>
        <v>0</v>
      </c>
      <c r="CK460" s="319">
        <f t="shared" si="169"/>
        <v>0</v>
      </c>
      <c r="CL460" s="319">
        <f t="shared" si="169"/>
        <v>0</v>
      </c>
      <c r="CM460" s="319">
        <f t="shared" si="169"/>
        <v>0</v>
      </c>
      <c r="CN460" s="319">
        <f t="shared" si="169"/>
        <v>0</v>
      </c>
      <c r="CO460" s="319">
        <f t="shared" si="169"/>
        <v>0</v>
      </c>
      <c r="CP460" s="319">
        <f t="shared" si="169"/>
        <v>0</v>
      </c>
      <c r="CQ460" s="319">
        <f t="shared" si="169"/>
        <v>0</v>
      </c>
      <c r="CR460" s="319">
        <f t="shared" si="169"/>
        <v>0</v>
      </c>
      <c r="CS460" s="319">
        <f t="shared" si="169"/>
        <v>0</v>
      </c>
      <c r="CT460" s="319">
        <f t="shared" si="169"/>
        <v>0</v>
      </c>
      <c r="CU460" s="319">
        <f t="shared" si="169"/>
        <v>0</v>
      </c>
      <c r="CV460" s="319">
        <f t="shared" si="169"/>
        <v>0</v>
      </c>
    </row>
    <row r="461" spans="1:100" x14ac:dyDescent="0.25">
      <c r="A461" s="319">
        <f t="shared" si="167"/>
        <v>0</v>
      </c>
      <c r="B461" s="319">
        <f t="shared" ref="B461:B495" si="170">IF(G461="Yes",B460+1,B460)</f>
        <v>0</v>
      </c>
      <c r="C461" s="364" t="str">
        <f>IF(Sandbox!BL21="","",Sandbox!BL21)</f>
        <v/>
      </c>
      <c r="D461" s="343" t="str">
        <f>IF(Sandbox!BM21="Select","",Sandbox!BM21)</f>
        <v/>
      </c>
      <c r="E461" s="343" t="str">
        <f>IF(Sandbox!BN21="","",Sandbox!BN21)</f>
        <v/>
      </c>
      <c r="F461" s="343" t="str">
        <f>IF(E461&lt;CharacterSheet!$V$34,"Yes","No")</f>
        <v>No</v>
      </c>
      <c r="G461" s="342" t="s">
        <v>347</v>
      </c>
      <c r="H461" s="333" t="str">
        <f>IF(C461="","",VLOOKUP(C461,Boonref2!A:B,2,FALSE))</f>
        <v/>
      </c>
      <c r="I461" s="333"/>
      <c r="J461" s="333" t="str">
        <f>VLOOKUP(C461,BoonRef!A:Z,17,FALSE)</f>
        <v>Yes</v>
      </c>
      <c r="K461" s="333" t="str">
        <f>IF(J461="God",'House Rules'!$B$2,IF(J461="Demi",'House Rules'!$B$1,IF(J461="Comp",'House Rules'!$B$4,IF(J461="Yaz",'House Rules'!$B$5,IF(J461="Rag",'House Rules'!$B$3,"Available")))))</f>
        <v>Available</v>
      </c>
      <c r="L461" s="333"/>
      <c r="M461" s="333"/>
      <c r="BF461" s="319">
        <f t="shared" si="160"/>
        <v>0</v>
      </c>
      <c r="BG461" s="330" t="s">
        <v>1293</v>
      </c>
      <c r="BI461" s="319">
        <f t="shared" si="168"/>
        <v>0</v>
      </c>
      <c r="BJ461" s="319">
        <f t="shared" si="169"/>
        <v>0</v>
      </c>
      <c r="BK461" s="319">
        <f t="shared" si="169"/>
        <v>0</v>
      </c>
      <c r="BL461" s="319">
        <f t="shared" si="169"/>
        <v>0</v>
      </c>
      <c r="BM461" s="319">
        <f t="shared" si="169"/>
        <v>0</v>
      </c>
      <c r="BN461" s="319">
        <f t="shared" si="169"/>
        <v>0</v>
      </c>
      <c r="BO461" s="319">
        <f t="shared" si="169"/>
        <v>0</v>
      </c>
      <c r="BP461" s="319">
        <f t="shared" si="169"/>
        <v>0</v>
      </c>
      <c r="BQ461" s="319">
        <f t="shared" si="169"/>
        <v>0</v>
      </c>
      <c r="BR461" s="319">
        <f t="shared" si="169"/>
        <v>0</v>
      </c>
      <c r="BS461" s="319">
        <f t="shared" si="169"/>
        <v>0</v>
      </c>
      <c r="BT461" s="319">
        <f t="shared" si="169"/>
        <v>0</v>
      </c>
      <c r="BU461" s="319">
        <f t="shared" si="169"/>
        <v>0</v>
      </c>
      <c r="BV461" s="319">
        <f t="shared" si="169"/>
        <v>0</v>
      </c>
      <c r="BW461" s="319">
        <f t="shared" si="169"/>
        <v>0</v>
      </c>
      <c r="BX461" s="319">
        <f t="shared" si="169"/>
        <v>0</v>
      </c>
      <c r="BY461" s="319">
        <f t="shared" si="169"/>
        <v>0</v>
      </c>
      <c r="BZ461" s="319">
        <f t="shared" si="169"/>
        <v>0</v>
      </c>
      <c r="CA461" s="319">
        <f t="shared" si="169"/>
        <v>0</v>
      </c>
      <c r="CB461" s="319">
        <f t="shared" si="169"/>
        <v>0</v>
      </c>
      <c r="CC461" s="319">
        <f t="shared" si="169"/>
        <v>0</v>
      </c>
      <c r="CD461" s="319">
        <f t="shared" si="169"/>
        <v>0</v>
      </c>
      <c r="CE461" s="319">
        <f t="shared" si="169"/>
        <v>0</v>
      </c>
      <c r="CF461" s="319">
        <f t="shared" si="169"/>
        <v>0</v>
      </c>
      <c r="CG461" s="319">
        <f t="shared" si="169"/>
        <v>0</v>
      </c>
      <c r="CH461" s="319">
        <f t="shared" si="169"/>
        <v>0</v>
      </c>
      <c r="CI461" s="319">
        <f t="shared" si="169"/>
        <v>0</v>
      </c>
      <c r="CJ461" s="319">
        <f t="shared" si="169"/>
        <v>0</v>
      </c>
      <c r="CK461" s="319">
        <f t="shared" si="169"/>
        <v>0</v>
      </c>
      <c r="CL461" s="319">
        <f t="shared" si="169"/>
        <v>0</v>
      </c>
      <c r="CM461" s="319">
        <f t="shared" si="169"/>
        <v>0</v>
      </c>
      <c r="CN461" s="319">
        <f t="shared" si="169"/>
        <v>0</v>
      </c>
      <c r="CO461" s="319">
        <f t="shared" si="169"/>
        <v>0</v>
      </c>
      <c r="CP461" s="319">
        <f t="shared" si="169"/>
        <v>0</v>
      </c>
      <c r="CQ461" s="319">
        <f t="shared" si="169"/>
        <v>0</v>
      </c>
      <c r="CR461" s="319">
        <f t="shared" si="169"/>
        <v>0</v>
      </c>
      <c r="CS461" s="319">
        <f t="shared" si="169"/>
        <v>0</v>
      </c>
      <c r="CT461" s="319">
        <f t="shared" si="169"/>
        <v>0</v>
      </c>
      <c r="CU461" s="319">
        <f t="shared" si="169"/>
        <v>0</v>
      </c>
      <c r="CV461" s="319">
        <f t="shared" si="169"/>
        <v>0</v>
      </c>
    </row>
    <row r="462" spans="1:100" x14ac:dyDescent="0.25">
      <c r="A462" s="319">
        <f t="shared" si="167"/>
        <v>0</v>
      </c>
      <c r="B462" s="319">
        <f t="shared" si="170"/>
        <v>0</v>
      </c>
      <c r="C462" s="364" t="str">
        <f>IF(Sandbox!BL22="","",Sandbox!BL22)</f>
        <v/>
      </c>
      <c r="D462" s="343" t="str">
        <f>IF(Sandbox!BM22="Select","",Sandbox!BM22)</f>
        <v/>
      </c>
      <c r="E462" s="343" t="str">
        <f>IF(Sandbox!BN22="","",Sandbox!BN22)</f>
        <v/>
      </c>
      <c r="F462" s="343" t="str">
        <f>IF(E462&lt;CharacterSheet!$V$34,"Yes","No")</f>
        <v>No</v>
      </c>
      <c r="G462" s="342" t="s">
        <v>347</v>
      </c>
      <c r="H462" s="333" t="str">
        <f>IF(C462="","",VLOOKUP(C462,Boonref2!A:B,2,FALSE))</f>
        <v/>
      </c>
      <c r="I462" s="333"/>
      <c r="J462" s="333" t="str">
        <f>VLOOKUP(C462,BoonRef!A:Z,17,FALSE)</f>
        <v>Yes</v>
      </c>
      <c r="K462" s="333" t="str">
        <f>IF(J462="God",'House Rules'!$B$2,IF(J462="Demi",'House Rules'!$B$1,IF(J462="Comp",'House Rules'!$B$4,IF(J462="Yaz",'House Rules'!$B$5,IF(J462="Rag",'House Rules'!$B$3,"Available")))))</f>
        <v>Available</v>
      </c>
      <c r="L462" s="333"/>
      <c r="M462" s="333"/>
      <c r="BF462" s="319">
        <f t="shared" si="160"/>
        <v>0</v>
      </c>
      <c r="BG462" s="340" t="s">
        <v>3535</v>
      </c>
      <c r="BI462" s="319">
        <f t="shared" si="168"/>
        <v>0</v>
      </c>
      <c r="BJ462" s="319">
        <f t="shared" si="169"/>
        <v>0</v>
      </c>
      <c r="BK462" s="319">
        <f t="shared" si="169"/>
        <v>0</v>
      </c>
      <c r="BL462" s="319">
        <f t="shared" si="169"/>
        <v>0</v>
      </c>
      <c r="BM462" s="319">
        <f t="shared" si="169"/>
        <v>0</v>
      </c>
      <c r="BN462" s="319">
        <f t="shared" si="169"/>
        <v>0</v>
      </c>
      <c r="BO462" s="319">
        <f t="shared" si="169"/>
        <v>0</v>
      </c>
      <c r="BP462" s="319">
        <f t="shared" si="169"/>
        <v>0</v>
      </c>
      <c r="BQ462" s="319">
        <f t="shared" si="169"/>
        <v>0</v>
      </c>
      <c r="BR462" s="319">
        <f t="shared" si="169"/>
        <v>0</v>
      </c>
      <c r="BS462" s="319">
        <f t="shared" si="169"/>
        <v>0</v>
      </c>
      <c r="BT462" s="319">
        <f t="shared" si="169"/>
        <v>0</v>
      </c>
      <c r="BU462" s="319">
        <f t="shared" si="169"/>
        <v>0</v>
      </c>
      <c r="BV462" s="319">
        <f t="shared" si="169"/>
        <v>0</v>
      </c>
      <c r="BW462" s="319">
        <f t="shared" si="169"/>
        <v>0</v>
      </c>
      <c r="BX462" s="319">
        <f t="shared" si="169"/>
        <v>0</v>
      </c>
      <c r="BY462" s="319">
        <f t="shared" si="169"/>
        <v>0</v>
      </c>
      <c r="BZ462" s="319">
        <f t="shared" si="169"/>
        <v>0</v>
      </c>
      <c r="CA462" s="319">
        <f t="shared" si="169"/>
        <v>0</v>
      </c>
      <c r="CB462" s="319">
        <f t="shared" si="169"/>
        <v>0</v>
      </c>
      <c r="CC462" s="319">
        <f t="shared" si="169"/>
        <v>0</v>
      </c>
      <c r="CD462" s="319">
        <f t="shared" si="169"/>
        <v>0</v>
      </c>
      <c r="CE462" s="319">
        <f t="shared" si="169"/>
        <v>0</v>
      </c>
      <c r="CF462" s="319">
        <f t="shared" si="169"/>
        <v>0</v>
      </c>
      <c r="CG462" s="319">
        <f t="shared" si="169"/>
        <v>0</v>
      </c>
      <c r="CH462" s="319">
        <f t="shared" si="169"/>
        <v>0</v>
      </c>
      <c r="CI462" s="319">
        <f t="shared" si="169"/>
        <v>0</v>
      </c>
      <c r="CJ462" s="319">
        <f t="shared" si="169"/>
        <v>0</v>
      </c>
      <c r="CK462" s="319">
        <f t="shared" si="169"/>
        <v>0</v>
      </c>
      <c r="CL462" s="319">
        <f t="shared" si="169"/>
        <v>0</v>
      </c>
      <c r="CM462" s="319">
        <f t="shared" si="169"/>
        <v>0</v>
      </c>
      <c r="CN462" s="319">
        <f t="shared" si="169"/>
        <v>0</v>
      </c>
      <c r="CO462" s="319">
        <f t="shared" si="169"/>
        <v>0</v>
      </c>
      <c r="CP462" s="319">
        <f t="shared" si="169"/>
        <v>0</v>
      </c>
      <c r="CQ462" s="319">
        <f t="shared" si="169"/>
        <v>0</v>
      </c>
      <c r="CR462" s="319">
        <f t="shared" si="169"/>
        <v>0</v>
      </c>
      <c r="CS462" s="319">
        <f t="shared" si="169"/>
        <v>0</v>
      </c>
      <c r="CT462" s="319">
        <f t="shared" si="169"/>
        <v>0</v>
      </c>
      <c r="CU462" s="319">
        <f t="shared" si="169"/>
        <v>0</v>
      </c>
      <c r="CV462" s="319">
        <f t="shared" si="169"/>
        <v>0</v>
      </c>
    </row>
    <row r="463" spans="1:100" x14ac:dyDescent="0.25">
      <c r="A463" s="319">
        <f t="shared" si="167"/>
        <v>0</v>
      </c>
      <c r="B463" s="319">
        <f t="shared" si="170"/>
        <v>0</v>
      </c>
      <c r="C463" s="364" t="str">
        <f>IF(Sandbox!BL23="","",Sandbox!BL23)</f>
        <v/>
      </c>
      <c r="D463" s="343" t="str">
        <f>IF(Sandbox!BM23="Select","",Sandbox!BM23)</f>
        <v/>
      </c>
      <c r="E463" s="343" t="str">
        <f>IF(Sandbox!BN23="","",Sandbox!BN23)</f>
        <v/>
      </c>
      <c r="F463" s="343" t="str">
        <f>IF(E463&lt;CharacterSheet!$V$34,"Yes","No")</f>
        <v>No</v>
      </c>
      <c r="G463" s="342" t="s">
        <v>347</v>
      </c>
      <c r="H463" s="333" t="str">
        <f>IF(C463="","",VLOOKUP(C463,Boonref2!A:B,2,FALSE))</f>
        <v/>
      </c>
      <c r="I463" s="333"/>
      <c r="J463" s="333" t="str">
        <f>VLOOKUP(C463,BoonRef!A:Z,17,FALSE)</f>
        <v>Yes</v>
      </c>
      <c r="K463" s="333" t="str">
        <f>IF(J463="God",'House Rules'!$B$2,IF(J463="Demi",'House Rules'!$B$1,IF(J463="Comp",'House Rules'!$B$4,IF(J463="Yaz",'House Rules'!$B$5,IF(J463="Rag",'House Rules'!$B$3,"Available")))))</f>
        <v>Available</v>
      </c>
      <c r="L463" s="333"/>
      <c r="M463" s="333"/>
      <c r="BF463" s="319">
        <f t="shared" si="160"/>
        <v>0</v>
      </c>
      <c r="BG463" s="340" t="s">
        <v>1474</v>
      </c>
      <c r="BI463" s="319">
        <f t="shared" si="168"/>
        <v>0</v>
      </c>
      <c r="BJ463" s="319">
        <f t="shared" si="169"/>
        <v>0</v>
      </c>
      <c r="BK463" s="319">
        <f t="shared" si="169"/>
        <v>0</v>
      </c>
      <c r="BL463" s="319">
        <f t="shared" si="169"/>
        <v>0</v>
      </c>
      <c r="BM463" s="319">
        <f t="shared" si="169"/>
        <v>0</v>
      </c>
      <c r="BN463" s="319">
        <f t="shared" si="169"/>
        <v>0</v>
      </c>
      <c r="BO463" s="319">
        <f t="shared" si="169"/>
        <v>0</v>
      </c>
      <c r="BP463" s="319">
        <f t="shared" si="169"/>
        <v>0</v>
      </c>
      <c r="BQ463" s="319">
        <f t="shared" si="169"/>
        <v>0</v>
      </c>
      <c r="BR463" s="319">
        <f t="shared" si="169"/>
        <v>0</v>
      </c>
      <c r="BS463" s="319">
        <f t="shared" ref="BJ463:CV469" si="171">IF(AND($D463=BS$1,$G463="Yes"),$E463,0)</f>
        <v>0</v>
      </c>
      <c r="BT463" s="319">
        <f t="shared" si="171"/>
        <v>0</v>
      </c>
      <c r="BU463" s="319">
        <f t="shared" si="171"/>
        <v>0</v>
      </c>
      <c r="BV463" s="319">
        <f t="shared" si="171"/>
        <v>0</v>
      </c>
      <c r="BW463" s="319">
        <f t="shared" si="171"/>
        <v>0</v>
      </c>
      <c r="BX463" s="319">
        <f t="shared" si="171"/>
        <v>0</v>
      </c>
      <c r="BY463" s="319">
        <f t="shared" si="171"/>
        <v>0</v>
      </c>
      <c r="BZ463" s="319">
        <f t="shared" si="171"/>
        <v>0</v>
      </c>
      <c r="CA463" s="319">
        <f t="shared" si="171"/>
        <v>0</v>
      </c>
      <c r="CB463" s="319">
        <f t="shared" si="171"/>
        <v>0</v>
      </c>
      <c r="CC463" s="319">
        <f t="shared" si="171"/>
        <v>0</v>
      </c>
      <c r="CD463" s="319">
        <f t="shared" si="171"/>
        <v>0</v>
      </c>
      <c r="CE463" s="319">
        <f t="shared" si="171"/>
        <v>0</v>
      </c>
      <c r="CF463" s="319">
        <f t="shared" si="171"/>
        <v>0</v>
      </c>
      <c r="CG463" s="319">
        <f t="shared" si="171"/>
        <v>0</v>
      </c>
      <c r="CH463" s="319">
        <f t="shared" si="171"/>
        <v>0</v>
      </c>
      <c r="CI463" s="319">
        <f t="shared" si="171"/>
        <v>0</v>
      </c>
      <c r="CJ463" s="319">
        <f t="shared" si="171"/>
        <v>0</v>
      </c>
      <c r="CK463" s="319">
        <f t="shared" si="171"/>
        <v>0</v>
      </c>
      <c r="CL463" s="319">
        <f t="shared" si="171"/>
        <v>0</v>
      </c>
      <c r="CM463" s="319">
        <f t="shared" si="171"/>
        <v>0</v>
      </c>
      <c r="CN463" s="319">
        <f t="shared" si="171"/>
        <v>0</v>
      </c>
      <c r="CO463" s="319">
        <f t="shared" si="171"/>
        <v>0</v>
      </c>
      <c r="CP463" s="319">
        <f t="shared" si="171"/>
        <v>0</v>
      </c>
      <c r="CQ463" s="319">
        <f t="shared" si="171"/>
        <v>0</v>
      </c>
      <c r="CR463" s="319">
        <f t="shared" si="171"/>
        <v>0</v>
      </c>
      <c r="CS463" s="319">
        <f t="shared" si="171"/>
        <v>0</v>
      </c>
      <c r="CT463" s="319">
        <f t="shared" si="171"/>
        <v>0</v>
      </c>
      <c r="CU463" s="319">
        <f t="shared" si="171"/>
        <v>0</v>
      </c>
      <c r="CV463" s="319">
        <f t="shared" si="171"/>
        <v>0</v>
      </c>
    </row>
    <row r="464" spans="1:100" x14ac:dyDescent="0.25">
      <c r="A464" s="319">
        <f t="shared" si="167"/>
        <v>0</v>
      </c>
      <c r="B464" s="319">
        <f t="shared" si="170"/>
        <v>0</v>
      </c>
      <c r="C464" s="364" t="str">
        <f>IF(Sandbox!BL24="","",Sandbox!BL24)</f>
        <v/>
      </c>
      <c r="D464" s="343" t="str">
        <f>IF(Sandbox!BM24="Select","",Sandbox!BM24)</f>
        <v/>
      </c>
      <c r="E464" s="343" t="str">
        <f>IF(Sandbox!BN24="","",Sandbox!BN24)</f>
        <v/>
      </c>
      <c r="F464" s="343" t="str">
        <f>IF(E464&lt;CharacterSheet!$V$34,"Yes","No")</f>
        <v>No</v>
      </c>
      <c r="G464" s="342" t="s">
        <v>347</v>
      </c>
      <c r="H464" s="333" t="str">
        <f>IF(C464="","",VLOOKUP(C464,Boonref2!A:B,2,FALSE))</f>
        <v/>
      </c>
      <c r="I464" s="333"/>
      <c r="J464" s="333" t="str">
        <f>VLOOKUP(C464,BoonRef!A:Z,17,FALSE)</f>
        <v>Yes</v>
      </c>
      <c r="K464" s="333" t="str">
        <f>IF(J464="God",'House Rules'!$B$2,IF(J464="Demi",'House Rules'!$B$1,IF(J464="Comp",'House Rules'!$B$4,IF(J464="Yaz",'House Rules'!$B$5,IF(J464="Rag",'House Rules'!$B$3,"Available")))))</f>
        <v>Available</v>
      </c>
      <c r="L464" s="333"/>
      <c r="M464" s="333"/>
      <c r="BF464" s="319">
        <f t="shared" si="160"/>
        <v>0</v>
      </c>
      <c r="BG464" s="340" t="s">
        <v>1475</v>
      </c>
      <c r="BI464" s="319">
        <f t="shared" si="168"/>
        <v>0</v>
      </c>
      <c r="BJ464" s="319">
        <f t="shared" si="171"/>
        <v>0</v>
      </c>
      <c r="BK464" s="319">
        <f t="shared" si="171"/>
        <v>0</v>
      </c>
      <c r="BL464" s="319">
        <f t="shared" si="171"/>
        <v>0</v>
      </c>
      <c r="BM464" s="319">
        <f t="shared" si="171"/>
        <v>0</v>
      </c>
      <c r="BN464" s="319">
        <f t="shared" si="171"/>
        <v>0</v>
      </c>
      <c r="BO464" s="319">
        <f t="shared" si="171"/>
        <v>0</v>
      </c>
      <c r="BP464" s="319">
        <f t="shared" si="171"/>
        <v>0</v>
      </c>
      <c r="BQ464" s="319">
        <f t="shared" si="171"/>
        <v>0</v>
      </c>
      <c r="BR464" s="319">
        <f t="shared" si="171"/>
        <v>0</v>
      </c>
      <c r="BS464" s="319">
        <f t="shared" si="171"/>
        <v>0</v>
      </c>
      <c r="BT464" s="319">
        <f t="shared" si="171"/>
        <v>0</v>
      </c>
      <c r="BU464" s="319">
        <f t="shared" si="171"/>
        <v>0</v>
      </c>
      <c r="BV464" s="319">
        <f t="shared" si="171"/>
        <v>0</v>
      </c>
      <c r="BW464" s="319">
        <f t="shared" si="171"/>
        <v>0</v>
      </c>
      <c r="BX464" s="319">
        <f t="shared" si="171"/>
        <v>0</v>
      </c>
      <c r="BY464" s="319">
        <f t="shared" si="171"/>
        <v>0</v>
      </c>
      <c r="BZ464" s="319">
        <f t="shared" si="171"/>
        <v>0</v>
      </c>
      <c r="CA464" s="319">
        <f t="shared" si="171"/>
        <v>0</v>
      </c>
      <c r="CB464" s="319">
        <f t="shared" si="171"/>
        <v>0</v>
      </c>
      <c r="CC464" s="319">
        <f t="shared" si="171"/>
        <v>0</v>
      </c>
      <c r="CD464" s="319">
        <f t="shared" si="171"/>
        <v>0</v>
      </c>
      <c r="CE464" s="319">
        <f t="shared" si="171"/>
        <v>0</v>
      </c>
      <c r="CF464" s="319">
        <f t="shared" si="171"/>
        <v>0</v>
      </c>
      <c r="CG464" s="319">
        <f t="shared" si="171"/>
        <v>0</v>
      </c>
      <c r="CH464" s="319">
        <f t="shared" si="171"/>
        <v>0</v>
      </c>
      <c r="CI464" s="319">
        <f t="shared" si="171"/>
        <v>0</v>
      </c>
      <c r="CJ464" s="319">
        <f t="shared" si="171"/>
        <v>0</v>
      </c>
      <c r="CK464" s="319">
        <f t="shared" si="171"/>
        <v>0</v>
      </c>
      <c r="CL464" s="319">
        <f t="shared" si="171"/>
        <v>0</v>
      </c>
      <c r="CM464" s="319">
        <f t="shared" si="171"/>
        <v>0</v>
      </c>
      <c r="CN464" s="319">
        <f t="shared" si="171"/>
        <v>0</v>
      </c>
      <c r="CO464" s="319">
        <f t="shared" si="171"/>
        <v>0</v>
      </c>
      <c r="CP464" s="319">
        <f t="shared" si="171"/>
        <v>0</v>
      </c>
      <c r="CQ464" s="319">
        <f t="shared" si="171"/>
        <v>0</v>
      </c>
      <c r="CR464" s="319">
        <f t="shared" si="171"/>
        <v>0</v>
      </c>
      <c r="CS464" s="319">
        <f t="shared" si="171"/>
        <v>0</v>
      </c>
      <c r="CT464" s="319">
        <f t="shared" si="171"/>
        <v>0</v>
      </c>
      <c r="CU464" s="319">
        <f t="shared" si="171"/>
        <v>0</v>
      </c>
      <c r="CV464" s="319">
        <f t="shared" si="171"/>
        <v>0</v>
      </c>
    </row>
    <row r="465" spans="1:100" x14ac:dyDescent="0.25">
      <c r="A465" s="319">
        <f t="shared" si="167"/>
        <v>0</v>
      </c>
      <c r="B465" s="319">
        <f t="shared" si="170"/>
        <v>0</v>
      </c>
      <c r="C465" s="364" t="str">
        <f>IF(Sandbox!BL25="","",Sandbox!BL25)</f>
        <v/>
      </c>
      <c r="D465" s="343" t="str">
        <f>IF(Sandbox!BM25="Select","",Sandbox!BM25)</f>
        <v/>
      </c>
      <c r="E465" s="343" t="str">
        <f>IF(Sandbox!BN25="","",Sandbox!BN25)</f>
        <v/>
      </c>
      <c r="F465" s="343" t="str">
        <f>IF(E465&lt;CharacterSheet!$V$34,"Yes","No")</f>
        <v>No</v>
      </c>
      <c r="G465" s="342" t="s">
        <v>347</v>
      </c>
      <c r="H465" s="333" t="str">
        <f>IF(C465="","",VLOOKUP(C465,Boonref2!A:B,2,FALSE))</f>
        <v/>
      </c>
      <c r="I465" s="333"/>
      <c r="J465" s="333" t="str">
        <f>VLOOKUP(C465,BoonRef!A:Z,17,FALSE)</f>
        <v>Yes</v>
      </c>
      <c r="K465" s="333" t="str">
        <f>IF(J465="God",'House Rules'!$B$2,IF(J465="Demi",'House Rules'!$B$1,IF(J465="Comp",'House Rules'!$B$4,IF(J465="Yaz",'House Rules'!$B$5,IF(J465="Rag",'House Rules'!$B$3,"Available")))))</f>
        <v>Available</v>
      </c>
      <c r="L465" s="333"/>
      <c r="M465" s="333"/>
      <c r="BF465" s="319">
        <f t="shared" si="160"/>
        <v>0</v>
      </c>
      <c r="BG465" s="340" t="s">
        <v>1476</v>
      </c>
      <c r="BI465" s="319">
        <f t="shared" si="168"/>
        <v>0</v>
      </c>
      <c r="BJ465" s="319">
        <f t="shared" si="171"/>
        <v>0</v>
      </c>
      <c r="BK465" s="319">
        <f t="shared" si="171"/>
        <v>0</v>
      </c>
      <c r="BL465" s="319">
        <f t="shared" si="171"/>
        <v>0</v>
      </c>
      <c r="BM465" s="319">
        <f t="shared" si="171"/>
        <v>0</v>
      </c>
      <c r="BN465" s="319">
        <f t="shared" si="171"/>
        <v>0</v>
      </c>
      <c r="BO465" s="319">
        <f t="shared" si="171"/>
        <v>0</v>
      </c>
      <c r="BP465" s="319">
        <f t="shared" si="171"/>
        <v>0</v>
      </c>
      <c r="BQ465" s="319">
        <f t="shared" si="171"/>
        <v>0</v>
      </c>
      <c r="BR465" s="319">
        <f t="shared" si="171"/>
        <v>0</v>
      </c>
      <c r="BS465" s="319">
        <f t="shared" si="171"/>
        <v>0</v>
      </c>
      <c r="BT465" s="319">
        <f t="shared" si="171"/>
        <v>0</v>
      </c>
      <c r="BU465" s="319">
        <f t="shared" si="171"/>
        <v>0</v>
      </c>
      <c r="BV465" s="319">
        <f t="shared" si="171"/>
        <v>0</v>
      </c>
      <c r="BW465" s="319">
        <f t="shared" si="171"/>
        <v>0</v>
      </c>
      <c r="BX465" s="319">
        <f t="shared" si="171"/>
        <v>0</v>
      </c>
      <c r="BY465" s="319">
        <f t="shared" si="171"/>
        <v>0</v>
      </c>
      <c r="BZ465" s="319">
        <f t="shared" si="171"/>
        <v>0</v>
      </c>
      <c r="CA465" s="319">
        <f t="shared" si="171"/>
        <v>0</v>
      </c>
      <c r="CB465" s="319">
        <f t="shared" si="171"/>
        <v>0</v>
      </c>
      <c r="CC465" s="319">
        <f t="shared" si="171"/>
        <v>0</v>
      </c>
      <c r="CD465" s="319">
        <f t="shared" si="171"/>
        <v>0</v>
      </c>
      <c r="CE465" s="319">
        <f t="shared" si="171"/>
        <v>0</v>
      </c>
      <c r="CF465" s="319">
        <f t="shared" si="171"/>
        <v>0</v>
      </c>
      <c r="CG465" s="319">
        <f t="shared" si="171"/>
        <v>0</v>
      </c>
      <c r="CH465" s="319">
        <f t="shared" si="171"/>
        <v>0</v>
      </c>
      <c r="CI465" s="319">
        <f t="shared" si="171"/>
        <v>0</v>
      </c>
      <c r="CJ465" s="319">
        <f t="shared" si="171"/>
        <v>0</v>
      </c>
      <c r="CK465" s="319">
        <f t="shared" si="171"/>
        <v>0</v>
      </c>
      <c r="CL465" s="319">
        <f t="shared" si="171"/>
        <v>0</v>
      </c>
      <c r="CM465" s="319">
        <f t="shared" si="171"/>
        <v>0</v>
      </c>
      <c r="CN465" s="319">
        <f t="shared" si="171"/>
        <v>0</v>
      </c>
      <c r="CO465" s="319">
        <f t="shared" si="171"/>
        <v>0</v>
      </c>
      <c r="CP465" s="319">
        <f t="shared" si="171"/>
        <v>0</v>
      </c>
      <c r="CQ465" s="319">
        <f t="shared" si="171"/>
        <v>0</v>
      </c>
      <c r="CR465" s="319">
        <f t="shared" si="171"/>
        <v>0</v>
      </c>
      <c r="CS465" s="319">
        <f t="shared" si="171"/>
        <v>0</v>
      </c>
      <c r="CT465" s="319">
        <f t="shared" si="171"/>
        <v>0</v>
      </c>
      <c r="CU465" s="319">
        <f t="shared" si="171"/>
        <v>0</v>
      </c>
      <c r="CV465" s="319">
        <f t="shared" si="171"/>
        <v>0</v>
      </c>
    </row>
    <row r="466" spans="1:100" x14ac:dyDescent="0.25">
      <c r="A466" s="319">
        <f t="shared" si="167"/>
        <v>0</v>
      </c>
      <c r="B466" s="319">
        <f t="shared" si="170"/>
        <v>0</v>
      </c>
      <c r="C466" s="364" t="str">
        <f>IF(Sandbox!BL26="","",Sandbox!BL26)</f>
        <v/>
      </c>
      <c r="D466" s="343" t="str">
        <f>IF(Sandbox!BM26="Select","",Sandbox!BM26)</f>
        <v/>
      </c>
      <c r="E466" s="343" t="str">
        <f>IF(Sandbox!BN26="","",Sandbox!BN26)</f>
        <v/>
      </c>
      <c r="F466" s="343" t="str">
        <f>IF(E466&lt;CharacterSheet!$V$34,"Yes","No")</f>
        <v>No</v>
      </c>
      <c r="G466" s="342" t="s">
        <v>347</v>
      </c>
      <c r="H466" s="333" t="str">
        <f>IF(C466="","",VLOOKUP(C466,Boonref2!A:B,2,FALSE))</f>
        <v/>
      </c>
      <c r="I466" s="333"/>
      <c r="J466" s="333" t="str">
        <f>VLOOKUP(C466,BoonRef!A:Z,17,FALSE)</f>
        <v>Yes</v>
      </c>
      <c r="K466" s="333" t="str">
        <f>IF(J466="God",'House Rules'!$B$2,IF(J466="Demi",'House Rules'!$B$1,IF(J466="Comp",'House Rules'!$B$4,IF(J466="Yaz",'House Rules'!$B$5,IF(J466="Rag",'House Rules'!$B$3,"Available")))))</f>
        <v>Available</v>
      </c>
      <c r="L466" s="333"/>
      <c r="M466" s="333"/>
      <c r="BF466" s="319">
        <f t="shared" si="160"/>
        <v>0</v>
      </c>
      <c r="BG466" s="340" t="s">
        <v>1477</v>
      </c>
      <c r="BI466" s="319">
        <f t="shared" si="168"/>
        <v>0</v>
      </c>
      <c r="BJ466" s="319">
        <f t="shared" si="171"/>
        <v>0</v>
      </c>
      <c r="BK466" s="319">
        <f t="shared" si="171"/>
        <v>0</v>
      </c>
      <c r="BL466" s="319">
        <f t="shared" si="171"/>
        <v>0</v>
      </c>
      <c r="BM466" s="319">
        <f t="shared" si="171"/>
        <v>0</v>
      </c>
      <c r="BN466" s="319">
        <f t="shared" si="171"/>
        <v>0</v>
      </c>
      <c r="BO466" s="319">
        <f t="shared" si="171"/>
        <v>0</v>
      </c>
      <c r="BP466" s="319">
        <f t="shared" si="171"/>
        <v>0</v>
      </c>
      <c r="BQ466" s="319">
        <f t="shared" si="171"/>
        <v>0</v>
      </c>
      <c r="BR466" s="319">
        <f t="shared" si="171"/>
        <v>0</v>
      </c>
      <c r="BS466" s="319">
        <f t="shared" si="171"/>
        <v>0</v>
      </c>
      <c r="BT466" s="319">
        <f t="shared" si="171"/>
        <v>0</v>
      </c>
      <c r="BU466" s="319">
        <f t="shared" si="171"/>
        <v>0</v>
      </c>
      <c r="BV466" s="319">
        <f t="shared" si="171"/>
        <v>0</v>
      </c>
      <c r="BW466" s="319">
        <f t="shared" si="171"/>
        <v>0</v>
      </c>
      <c r="BX466" s="319">
        <f t="shared" si="171"/>
        <v>0</v>
      </c>
      <c r="BY466" s="319">
        <f t="shared" si="171"/>
        <v>0</v>
      </c>
      <c r="BZ466" s="319">
        <f t="shared" si="171"/>
        <v>0</v>
      </c>
      <c r="CA466" s="319">
        <f t="shared" si="171"/>
        <v>0</v>
      </c>
      <c r="CB466" s="319">
        <f t="shared" si="171"/>
        <v>0</v>
      </c>
      <c r="CC466" s="319">
        <f t="shared" si="171"/>
        <v>0</v>
      </c>
      <c r="CD466" s="319">
        <f t="shared" si="171"/>
        <v>0</v>
      </c>
      <c r="CE466" s="319">
        <f t="shared" si="171"/>
        <v>0</v>
      </c>
      <c r="CF466" s="319">
        <f t="shared" si="171"/>
        <v>0</v>
      </c>
      <c r="CG466" s="319">
        <f t="shared" si="171"/>
        <v>0</v>
      </c>
      <c r="CH466" s="319">
        <f t="shared" si="171"/>
        <v>0</v>
      </c>
      <c r="CI466" s="319">
        <f t="shared" si="171"/>
        <v>0</v>
      </c>
      <c r="CJ466" s="319">
        <f t="shared" si="171"/>
        <v>0</v>
      </c>
      <c r="CK466" s="319">
        <f t="shared" si="171"/>
        <v>0</v>
      </c>
      <c r="CL466" s="319">
        <f t="shared" si="171"/>
        <v>0</v>
      </c>
      <c r="CM466" s="319">
        <f t="shared" si="171"/>
        <v>0</v>
      </c>
      <c r="CN466" s="319">
        <f t="shared" si="171"/>
        <v>0</v>
      </c>
      <c r="CO466" s="319">
        <f t="shared" si="171"/>
        <v>0</v>
      </c>
      <c r="CP466" s="319">
        <f t="shared" si="171"/>
        <v>0</v>
      </c>
      <c r="CQ466" s="319">
        <f t="shared" si="171"/>
        <v>0</v>
      </c>
      <c r="CR466" s="319">
        <f t="shared" si="171"/>
        <v>0</v>
      </c>
      <c r="CS466" s="319">
        <f t="shared" si="171"/>
        <v>0</v>
      </c>
      <c r="CT466" s="319">
        <f t="shared" si="171"/>
        <v>0</v>
      </c>
      <c r="CU466" s="319">
        <f t="shared" si="171"/>
        <v>0</v>
      </c>
      <c r="CV466" s="319">
        <f t="shared" si="171"/>
        <v>0</v>
      </c>
    </row>
    <row r="467" spans="1:100" x14ac:dyDescent="0.25">
      <c r="A467" s="319">
        <f t="shared" si="167"/>
        <v>0</v>
      </c>
      <c r="B467" s="319">
        <f t="shared" si="170"/>
        <v>0</v>
      </c>
      <c r="C467" s="364" t="str">
        <f>IF(Sandbox!BL27="","",Sandbox!BL27)</f>
        <v/>
      </c>
      <c r="D467" s="343" t="str">
        <f>IF(Sandbox!BM27="Select","",Sandbox!BM27)</f>
        <v/>
      </c>
      <c r="E467" s="343" t="str">
        <f>IF(Sandbox!BN27="","",Sandbox!BN27)</f>
        <v/>
      </c>
      <c r="F467" s="343" t="str">
        <f>IF(E467&lt;CharacterSheet!$V$34,"Yes","No")</f>
        <v>No</v>
      </c>
      <c r="G467" s="342" t="s">
        <v>347</v>
      </c>
      <c r="H467" s="333" t="str">
        <f>IF(C467="","",VLOOKUP(C467,Boonref2!A:B,2,FALSE))</f>
        <v/>
      </c>
      <c r="I467" s="333"/>
      <c r="J467" s="333" t="str">
        <f>VLOOKUP(C467,BoonRef!A:Z,17,FALSE)</f>
        <v>Yes</v>
      </c>
      <c r="K467" s="333" t="str">
        <f>IF(J467="God",'House Rules'!$B$2,IF(J467="Demi",'House Rules'!$B$1,IF(J467="Comp",'House Rules'!$B$4,IF(J467="Yaz",'House Rules'!$B$5,IF(J467="Rag",'House Rules'!$B$3,"Available")))))</f>
        <v>Available</v>
      </c>
      <c r="L467" s="333"/>
      <c r="M467" s="333"/>
      <c r="BF467" s="319">
        <f t="shared" si="160"/>
        <v>0</v>
      </c>
      <c r="BG467" s="340" t="s">
        <v>1478</v>
      </c>
      <c r="BI467" s="319">
        <f t="shared" si="168"/>
        <v>0</v>
      </c>
      <c r="BJ467" s="319">
        <f t="shared" si="171"/>
        <v>0</v>
      </c>
      <c r="BK467" s="319">
        <f t="shared" si="171"/>
        <v>0</v>
      </c>
      <c r="BL467" s="319">
        <f t="shared" si="171"/>
        <v>0</v>
      </c>
      <c r="BM467" s="319">
        <f t="shared" si="171"/>
        <v>0</v>
      </c>
      <c r="BN467" s="319">
        <f t="shared" si="171"/>
        <v>0</v>
      </c>
      <c r="BO467" s="319">
        <f t="shared" si="171"/>
        <v>0</v>
      </c>
      <c r="BP467" s="319">
        <f t="shared" si="171"/>
        <v>0</v>
      </c>
      <c r="BQ467" s="319">
        <f t="shared" si="171"/>
        <v>0</v>
      </c>
      <c r="BR467" s="319">
        <f t="shared" si="171"/>
        <v>0</v>
      </c>
      <c r="BS467" s="319">
        <f t="shared" si="171"/>
        <v>0</v>
      </c>
      <c r="BT467" s="319">
        <f t="shared" si="171"/>
        <v>0</v>
      </c>
      <c r="BU467" s="319">
        <f t="shared" si="171"/>
        <v>0</v>
      </c>
      <c r="BV467" s="319">
        <f t="shared" si="171"/>
        <v>0</v>
      </c>
      <c r="BW467" s="319">
        <f t="shared" si="171"/>
        <v>0</v>
      </c>
      <c r="BX467" s="319">
        <f t="shared" si="171"/>
        <v>0</v>
      </c>
      <c r="BY467" s="319">
        <f t="shared" si="171"/>
        <v>0</v>
      </c>
      <c r="BZ467" s="319">
        <f t="shared" si="171"/>
        <v>0</v>
      </c>
      <c r="CA467" s="319">
        <f t="shared" si="171"/>
        <v>0</v>
      </c>
      <c r="CB467" s="319">
        <f t="shared" si="171"/>
        <v>0</v>
      </c>
      <c r="CC467" s="319">
        <f t="shared" si="171"/>
        <v>0</v>
      </c>
      <c r="CD467" s="319">
        <f t="shared" si="171"/>
        <v>0</v>
      </c>
      <c r="CE467" s="319">
        <f t="shared" si="171"/>
        <v>0</v>
      </c>
      <c r="CF467" s="319">
        <f t="shared" si="171"/>
        <v>0</v>
      </c>
      <c r="CG467" s="319">
        <f t="shared" si="171"/>
        <v>0</v>
      </c>
      <c r="CH467" s="319">
        <f t="shared" si="171"/>
        <v>0</v>
      </c>
      <c r="CI467" s="319">
        <f t="shared" si="171"/>
        <v>0</v>
      </c>
      <c r="CJ467" s="319">
        <f t="shared" si="171"/>
        <v>0</v>
      </c>
      <c r="CK467" s="319">
        <f t="shared" si="171"/>
        <v>0</v>
      </c>
      <c r="CL467" s="319">
        <f t="shared" si="171"/>
        <v>0</v>
      </c>
      <c r="CM467" s="319">
        <f t="shared" si="171"/>
        <v>0</v>
      </c>
      <c r="CN467" s="319">
        <f t="shared" si="171"/>
        <v>0</v>
      </c>
      <c r="CO467" s="319">
        <f t="shared" si="171"/>
        <v>0</v>
      </c>
      <c r="CP467" s="319">
        <f t="shared" si="171"/>
        <v>0</v>
      </c>
      <c r="CQ467" s="319">
        <f t="shared" si="171"/>
        <v>0</v>
      </c>
      <c r="CR467" s="319">
        <f t="shared" si="171"/>
        <v>0</v>
      </c>
      <c r="CS467" s="319">
        <f t="shared" si="171"/>
        <v>0</v>
      </c>
      <c r="CT467" s="319">
        <f t="shared" si="171"/>
        <v>0</v>
      </c>
      <c r="CU467" s="319">
        <f t="shared" si="171"/>
        <v>0</v>
      </c>
      <c r="CV467" s="319">
        <f t="shared" si="171"/>
        <v>0</v>
      </c>
    </row>
    <row r="468" spans="1:100" x14ac:dyDescent="0.25">
      <c r="A468" s="319">
        <f t="shared" si="167"/>
        <v>0</v>
      </c>
      <c r="B468" s="319">
        <f t="shared" si="170"/>
        <v>0</v>
      </c>
      <c r="C468" s="364" t="str">
        <f>IF(Sandbox!BL28="","",Sandbox!BL28)</f>
        <v/>
      </c>
      <c r="D468" s="343" t="str">
        <f>IF(Sandbox!BM28="Select","",Sandbox!BM28)</f>
        <v/>
      </c>
      <c r="E468" s="343" t="str">
        <f>IF(Sandbox!BN28="","",Sandbox!BN28)</f>
        <v/>
      </c>
      <c r="F468" s="343" t="str">
        <f>IF(E468&lt;CharacterSheet!$V$34,"Yes","No")</f>
        <v>No</v>
      </c>
      <c r="G468" s="342" t="s">
        <v>347</v>
      </c>
      <c r="H468" s="333" t="str">
        <f>IF(C468="","",VLOOKUP(C468,Boonref2!A:B,2,FALSE))</f>
        <v/>
      </c>
      <c r="I468" s="333"/>
      <c r="J468" s="333" t="str">
        <f>VLOOKUP(C468,BoonRef!A:Z,17,FALSE)</f>
        <v>Yes</v>
      </c>
      <c r="K468" s="333" t="str">
        <f>IF(J468="God",'House Rules'!$B$2,IF(J468="Demi",'House Rules'!$B$1,IF(J468="Comp",'House Rules'!$B$4,IF(J468="Yaz",'House Rules'!$B$5,IF(J468="Rag",'House Rules'!$B$3,"Available")))))</f>
        <v>Available</v>
      </c>
      <c r="L468" s="333"/>
      <c r="M468" s="333"/>
      <c r="BF468" s="319">
        <f t="shared" si="160"/>
        <v>0</v>
      </c>
      <c r="BG468" s="340" t="s">
        <v>1479</v>
      </c>
      <c r="BI468" s="319">
        <f t="shared" si="168"/>
        <v>0</v>
      </c>
      <c r="BJ468" s="319">
        <f t="shared" si="171"/>
        <v>0</v>
      </c>
      <c r="BK468" s="319">
        <f t="shared" si="171"/>
        <v>0</v>
      </c>
      <c r="BL468" s="319">
        <f t="shared" si="171"/>
        <v>0</v>
      </c>
      <c r="BM468" s="319">
        <f t="shared" si="171"/>
        <v>0</v>
      </c>
      <c r="BN468" s="319">
        <f t="shared" si="171"/>
        <v>0</v>
      </c>
      <c r="BO468" s="319">
        <f t="shared" si="171"/>
        <v>0</v>
      </c>
      <c r="BP468" s="319">
        <f t="shared" si="171"/>
        <v>0</v>
      </c>
      <c r="BQ468" s="319">
        <f t="shared" si="171"/>
        <v>0</v>
      </c>
      <c r="BR468" s="319">
        <f t="shared" si="171"/>
        <v>0</v>
      </c>
      <c r="BS468" s="319">
        <f t="shared" si="171"/>
        <v>0</v>
      </c>
      <c r="BT468" s="319">
        <f t="shared" si="171"/>
        <v>0</v>
      </c>
      <c r="BU468" s="319">
        <f t="shared" si="171"/>
        <v>0</v>
      </c>
      <c r="BV468" s="319">
        <f t="shared" si="171"/>
        <v>0</v>
      </c>
      <c r="BW468" s="319">
        <f t="shared" si="171"/>
        <v>0</v>
      </c>
      <c r="BX468" s="319">
        <f t="shared" si="171"/>
        <v>0</v>
      </c>
      <c r="BY468" s="319">
        <f t="shared" si="171"/>
        <v>0</v>
      </c>
      <c r="BZ468" s="319">
        <f t="shared" si="171"/>
        <v>0</v>
      </c>
      <c r="CA468" s="319">
        <f t="shared" si="171"/>
        <v>0</v>
      </c>
      <c r="CB468" s="319">
        <f t="shared" si="171"/>
        <v>0</v>
      </c>
      <c r="CC468" s="319">
        <f t="shared" si="171"/>
        <v>0</v>
      </c>
      <c r="CD468" s="319">
        <f t="shared" si="171"/>
        <v>0</v>
      </c>
      <c r="CE468" s="319">
        <f t="shared" si="171"/>
        <v>0</v>
      </c>
      <c r="CF468" s="319">
        <f t="shared" si="171"/>
        <v>0</v>
      </c>
      <c r="CG468" s="319">
        <f t="shared" si="171"/>
        <v>0</v>
      </c>
      <c r="CH468" s="319">
        <f t="shared" si="171"/>
        <v>0</v>
      </c>
      <c r="CI468" s="319">
        <f t="shared" si="171"/>
        <v>0</v>
      </c>
      <c r="CJ468" s="319">
        <f t="shared" si="171"/>
        <v>0</v>
      </c>
      <c r="CK468" s="319">
        <f t="shared" si="171"/>
        <v>0</v>
      </c>
      <c r="CL468" s="319">
        <f t="shared" si="171"/>
        <v>0</v>
      </c>
      <c r="CM468" s="319">
        <f t="shared" si="171"/>
        <v>0</v>
      </c>
      <c r="CN468" s="319">
        <f t="shared" si="171"/>
        <v>0</v>
      </c>
      <c r="CO468" s="319">
        <f t="shared" si="171"/>
        <v>0</v>
      </c>
      <c r="CP468" s="319">
        <f t="shared" si="171"/>
        <v>0</v>
      </c>
      <c r="CQ468" s="319">
        <f t="shared" si="171"/>
        <v>0</v>
      </c>
      <c r="CR468" s="319">
        <f t="shared" si="171"/>
        <v>0</v>
      </c>
      <c r="CS468" s="319">
        <f t="shared" si="171"/>
        <v>0</v>
      </c>
      <c r="CT468" s="319">
        <f t="shared" si="171"/>
        <v>0</v>
      </c>
      <c r="CU468" s="319">
        <f t="shared" si="171"/>
        <v>0</v>
      </c>
      <c r="CV468" s="319">
        <f t="shared" si="171"/>
        <v>0</v>
      </c>
    </row>
    <row r="469" spans="1:100" x14ac:dyDescent="0.25">
      <c r="A469" s="319">
        <f t="shared" si="167"/>
        <v>0</v>
      </c>
      <c r="B469" s="319">
        <f t="shared" si="170"/>
        <v>0</v>
      </c>
      <c r="C469" s="364" t="str">
        <f>IF(Sandbox!BL29="","",Sandbox!BL29)</f>
        <v/>
      </c>
      <c r="D469" s="343" t="str">
        <f>IF(Sandbox!BM29="Select","",Sandbox!BM29)</f>
        <v/>
      </c>
      <c r="E469" s="343" t="str">
        <f>IF(Sandbox!BN29="","",Sandbox!BN29)</f>
        <v/>
      </c>
      <c r="F469" s="343" t="str">
        <f>IF(E469&lt;CharacterSheet!$V$34,"Yes","No")</f>
        <v>No</v>
      </c>
      <c r="G469" s="342" t="s">
        <v>347</v>
      </c>
      <c r="H469" s="333" t="str">
        <f>IF(C469="","",VLOOKUP(C469,Boonref2!A:B,2,FALSE))</f>
        <v/>
      </c>
      <c r="I469" s="333"/>
      <c r="J469" s="333" t="str">
        <f>VLOOKUP(C469,BoonRef!A:Z,17,FALSE)</f>
        <v>Yes</v>
      </c>
      <c r="K469" s="333" t="str">
        <f>IF(J469="God",'House Rules'!$B$2,IF(J469="Demi",'House Rules'!$B$1,IF(J469="Comp",'House Rules'!$B$4,IF(J469="Yaz",'House Rules'!$B$5,IF(J469="Rag",'House Rules'!$B$3,"Available")))))</f>
        <v>Available</v>
      </c>
      <c r="L469" s="333"/>
      <c r="M469" s="333"/>
      <c r="BF469" s="319">
        <f t="shared" si="160"/>
        <v>0</v>
      </c>
      <c r="BG469" s="340" t="s">
        <v>1480</v>
      </c>
      <c r="BI469" s="319">
        <f t="shared" si="168"/>
        <v>0</v>
      </c>
      <c r="BJ469" s="319">
        <f t="shared" si="171"/>
        <v>0</v>
      </c>
      <c r="BK469" s="319">
        <f t="shared" si="171"/>
        <v>0</v>
      </c>
      <c r="BL469" s="319">
        <f t="shared" si="171"/>
        <v>0</v>
      </c>
      <c r="BM469" s="319">
        <f t="shared" si="171"/>
        <v>0</v>
      </c>
      <c r="BN469" s="319">
        <f t="shared" si="171"/>
        <v>0</v>
      </c>
      <c r="BO469" s="319">
        <f t="shared" si="171"/>
        <v>0</v>
      </c>
      <c r="BP469" s="319">
        <f t="shared" si="171"/>
        <v>0</v>
      </c>
      <c r="BQ469" s="319">
        <f t="shared" si="171"/>
        <v>0</v>
      </c>
      <c r="BR469" s="319">
        <f t="shared" si="171"/>
        <v>0</v>
      </c>
      <c r="BS469" s="319">
        <f t="shared" si="171"/>
        <v>0</v>
      </c>
      <c r="BT469" s="319">
        <f t="shared" si="171"/>
        <v>0</v>
      </c>
      <c r="BU469" s="319">
        <f t="shared" si="171"/>
        <v>0</v>
      </c>
      <c r="BV469" s="319">
        <f t="shared" si="171"/>
        <v>0</v>
      </c>
      <c r="BW469" s="319">
        <f t="shared" si="171"/>
        <v>0</v>
      </c>
      <c r="BX469" s="319">
        <f t="shared" si="171"/>
        <v>0</v>
      </c>
      <c r="BY469" s="319">
        <f t="shared" si="171"/>
        <v>0</v>
      </c>
      <c r="BZ469" s="319">
        <f t="shared" si="171"/>
        <v>0</v>
      </c>
      <c r="CA469" s="319">
        <f t="shared" si="171"/>
        <v>0</v>
      </c>
      <c r="CB469" s="319">
        <f t="shared" si="171"/>
        <v>0</v>
      </c>
      <c r="CC469" s="319">
        <f t="shared" si="171"/>
        <v>0</v>
      </c>
      <c r="CD469" s="319">
        <f t="shared" si="171"/>
        <v>0</v>
      </c>
      <c r="CE469" s="319">
        <f t="shared" si="171"/>
        <v>0</v>
      </c>
      <c r="CF469" s="319">
        <f t="shared" si="171"/>
        <v>0</v>
      </c>
      <c r="CG469" s="319">
        <f t="shared" si="171"/>
        <v>0</v>
      </c>
      <c r="CH469" s="319">
        <f t="shared" si="171"/>
        <v>0</v>
      </c>
      <c r="CI469" s="319">
        <f t="shared" si="171"/>
        <v>0</v>
      </c>
      <c r="CJ469" s="319">
        <f t="shared" si="171"/>
        <v>0</v>
      </c>
      <c r="CK469" s="319">
        <f t="shared" si="171"/>
        <v>0</v>
      </c>
      <c r="CL469" s="319">
        <f t="shared" si="171"/>
        <v>0</v>
      </c>
      <c r="CM469" s="319">
        <f t="shared" si="171"/>
        <v>0</v>
      </c>
      <c r="CN469" s="319">
        <f t="shared" ref="BJ469:CV476" si="172">IF(AND($D469=CN$1,$G469="Yes"),$E469,0)</f>
        <v>0</v>
      </c>
      <c r="CO469" s="319">
        <f t="shared" si="172"/>
        <v>0</v>
      </c>
      <c r="CP469" s="319">
        <f t="shared" si="172"/>
        <v>0</v>
      </c>
      <c r="CQ469" s="319">
        <f t="shared" si="172"/>
        <v>0</v>
      </c>
      <c r="CR469" s="319">
        <f t="shared" si="172"/>
        <v>0</v>
      </c>
      <c r="CS469" s="319">
        <f t="shared" si="172"/>
        <v>0</v>
      </c>
      <c r="CT469" s="319">
        <f t="shared" si="172"/>
        <v>0</v>
      </c>
      <c r="CU469" s="319">
        <f t="shared" si="172"/>
        <v>0</v>
      </c>
      <c r="CV469" s="319">
        <f t="shared" si="172"/>
        <v>0</v>
      </c>
    </row>
    <row r="470" spans="1:100" x14ac:dyDescent="0.25">
      <c r="A470" s="319">
        <f t="shared" si="167"/>
        <v>0</v>
      </c>
      <c r="B470" s="319">
        <f t="shared" si="170"/>
        <v>0</v>
      </c>
      <c r="C470" s="364" t="str">
        <f>IF(Sandbox!BL30="","",Sandbox!BL30)</f>
        <v/>
      </c>
      <c r="D470" s="343" t="str">
        <f>IF(Sandbox!BM30="Select","",Sandbox!BM30)</f>
        <v/>
      </c>
      <c r="E470" s="343" t="str">
        <f>IF(Sandbox!BN30="","",Sandbox!BN30)</f>
        <v/>
      </c>
      <c r="F470" s="343" t="str">
        <f>IF(E470&lt;CharacterSheet!$V$34,"Yes","No")</f>
        <v>No</v>
      </c>
      <c r="G470" s="342" t="s">
        <v>347</v>
      </c>
      <c r="H470" s="333" t="str">
        <f>IF(C470="","",VLOOKUP(C470,Boonref2!A:B,2,FALSE))</f>
        <v/>
      </c>
      <c r="I470" s="333"/>
      <c r="J470" s="333" t="str">
        <f>VLOOKUP(C470,BoonRef!A:Z,17,FALSE)</f>
        <v>Yes</v>
      </c>
      <c r="K470" s="333" t="str">
        <f>IF(J470="God",'House Rules'!$B$2,IF(J470="Demi",'House Rules'!$B$1,IF(J470="Comp",'House Rules'!$B$4,IF(J470="Yaz",'House Rules'!$B$5,IF(J470="Rag",'House Rules'!$B$3,"Available")))))</f>
        <v>Available</v>
      </c>
      <c r="L470" s="333"/>
      <c r="M470" s="333"/>
      <c r="BF470" s="319">
        <f t="shared" si="160"/>
        <v>0</v>
      </c>
      <c r="BG470" s="340" t="s">
        <v>2642</v>
      </c>
      <c r="BI470" s="319">
        <f t="shared" si="168"/>
        <v>0</v>
      </c>
      <c r="BJ470" s="319">
        <f t="shared" si="172"/>
        <v>0</v>
      </c>
      <c r="BK470" s="319">
        <f t="shared" si="172"/>
        <v>0</v>
      </c>
      <c r="BL470" s="319">
        <f t="shared" si="172"/>
        <v>0</v>
      </c>
      <c r="BM470" s="319">
        <f t="shared" si="172"/>
        <v>0</v>
      </c>
      <c r="BN470" s="319">
        <f t="shared" si="172"/>
        <v>0</v>
      </c>
      <c r="BO470" s="319">
        <f t="shared" si="172"/>
        <v>0</v>
      </c>
      <c r="BP470" s="319">
        <f t="shared" si="172"/>
        <v>0</v>
      </c>
      <c r="BQ470" s="319">
        <f t="shared" si="172"/>
        <v>0</v>
      </c>
      <c r="BR470" s="319">
        <f t="shared" si="172"/>
        <v>0</v>
      </c>
      <c r="BS470" s="319">
        <f t="shared" si="172"/>
        <v>0</v>
      </c>
      <c r="BT470" s="319">
        <f t="shared" si="172"/>
        <v>0</v>
      </c>
      <c r="BU470" s="319">
        <f t="shared" si="172"/>
        <v>0</v>
      </c>
      <c r="BV470" s="319">
        <f t="shared" si="172"/>
        <v>0</v>
      </c>
      <c r="BW470" s="319">
        <f t="shared" si="172"/>
        <v>0</v>
      </c>
      <c r="BX470" s="319">
        <f t="shared" si="172"/>
        <v>0</v>
      </c>
      <c r="BY470" s="319">
        <f t="shared" si="172"/>
        <v>0</v>
      </c>
      <c r="BZ470" s="319">
        <f t="shared" si="172"/>
        <v>0</v>
      </c>
      <c r="CA470" s="319">
        <f t="shared" si="172"/>
        <v>0</v>
      </c>
      <c r="CB470" s="319">
        <f t="shared" si="172"/>
        <v>0</v>
      </c>
      <c r="CC470" s="319">
        <f t="shared" si="172"/>
        <v>0</v>
      </c>
      <c r="CD470" s="319">
        <f t="shared" si="172"/>
        <v>0</v>
      </c>
      <c r="CE470" s="319">
        <f t="shared" si="172"/>
        <v>0</v>
      </c>
      <c r="CF470" s="319">
        <f t="shared" si="172"/>
        <v>0</v>
      </c>
      <c r="CG470" s="319">
        <f t="shared" si="172"/>
        <v>0</v>
      </c>
      <c r="CH470" s="319">
        <f t="shared" si="172"/>
        <v>0</v>
      </c>
      <c r="CI470" s="319">
        <f t="shared" si="172"/>
        <v>0</v>
      </c>
      <c r="CJ470" s="319">
        <f t="shared" si="172"/>
        <v>0</v>
      </c>
      <c r="CK470" s="319">
        <f t="shared" si="172"/>
        <v>0</v>
      </c>
      <c r="CL470" s="319">
        <f t="shared" si="172"/>
        <v>0</v>
      </c>
      <c r="CM470" s="319">
        <f t="shared" si="172"/>
        <v>0</v>
      </c>
      <c r="CN470" s="319">
        <f t="shared" si="172"/>
        <v>0</v>
      </c>
      <c r="CO470" s="319">
        <f t="shared" si="172"/>
        <v>0</v>
      </c>
      <c r="CP470" s="319">
        <f t="shared" si="172"/>
        <v>0</v>
      </c>
      <c r="CQ470" s="319">
        <f t="shared" si="172"/>
        <v>0</v>
      </c>
      <c r="CR470" s="319">
        <f t="shared" si="172"/>
        <v>0</v>
      </c>
      <c r="CS470" s="319">
        <f t="shared" si="172"/>
        <v>0</v>
      </c>
      <c r="CT470" s="319">
        <f t="shared" si="172"/>
        <v>0</v>
      </c>
      <c r="CU470" s="319">
        <f t="shared" si="172"/>
        <v>0</v>
      </c>
      <c r="CV470" s="319">
        <f t="shared" si="172"/>
        <v>0</v>
      </c>
    </row>
    <row r="471" spans="1:100" x14ac:dyDescent="0.25">
      <c r="A471" s="319">
        <f t="shared" si="167"/>
        <v>0</v>
      </c>
      <c r="B471" s="319">
        <f t="shared" si="170"/>
        <v>0</v>
      </c>
      <c r="C471" s="364" t="str">
        <f>IF(Sandbox!BL31="","",Sandbox!BL31)</f>
        <v/>
      </c>
      <c r="D471" s="343" t="str">
        <f>IF(Sandbox!BM31="Select","",Sandbox!BM31)</f>
        <v/>
      </c>
      <c r="E471" s="343" t="str">
        <f>IF(Sandbox!BN31="","",Sandbox!BN31)</f>
        <v/>
      </c>
      <c r="F471" s="343" t="str">
        <f>IF(E471&lt;CharacterSheet!$V$34,"Yes","No")</f>
        <v>No</v>
      </c>
      <c r="G471" s="342" t="s">
        <v>347</v>
      </c>
      <c r="H471" s="333" t="str">
        <f>IF(C471="","",VLOOKUP(C471,Boonref2!A:B,2,FALSE))</f>
        <v/>
      </c>
      <c r="I471" s="333"/>
      <c r="J471" s="333" t="str">
        <f>VLOOKUP(C471,BoonRef!A:Z,17,FALSE)</f>
        <v>Yes</v>
      </c>
      <c r="K471" s="333" t="str">
        <f>IF(J471="God",'House Rules'!$B$2,IF(J471="Demi",'House Rules'!$B$1,IF(J471="Comp",'House Rules'!$B$4,IF(J471="Yaz",'House Rules'!$B$5,IF(J471="Rag",'House Rules'!$B$3,"Available")))))</f>
        <v>Available</v>
      </c>
      <c r="L471" s="333"/>
      <c r="M471" s="333"/>
      <c r="BF471" s="319">
        <f t="shared" si="160"/>
        <v>0</v>
      </c>
      <c r="BG471" s="340" t="s">
        <v>1481</v>
      </c>
      <c r="BI471" s="319">
        <f t="shared" si="168"/>
        <v>0</v>
      </c>
      <c r="BJ471" s="319">
        <f t="shared" si="172"/>
        <v>0</v>
      </c>
      <c r="BK471" s="319">
        <f t="shared" si="172"/>
        <v>0</v>
      </c>
      <c r="BL471" s="319">
        <f t="shared" si="172"/>
        <v>0</v>
      </c>
      <c r="BM471" s="319">
        <f t="shared" si="172"/>
        <v>0</v>
      </c>
      <c r="BN471" s="319">
        <f t="shared" si="172"/>
        <v>0</v>
      </c>
      <c r="BO471" s="319">
        <f t="shared" si="172"/>
        <v>0</v>
      </c>
      <c r="BP471" s="319">
        <f t="shared" si="172"/>
        <v>0</v>
      </c>
      <c r="BQ471" s="319">
        <f t="shared" si="172"/>
        <v>0</v>
      </c>
      <c r="BR471" s="319">
        <f t="shared" si="172"/>
        <v>0</v>
      </c>
      <c r="BS471" s="319">
        <f t="shared" si="172"/>
        <v>0</v>
      </c>
      <c r="BT471" s="319">
        <f t="shared" si="172"/>
        <v>0</v>
      </c>
      <c r="BU471" s="319">
        <f t="shared" si="172"/>
        <v>0</v>
      </c>
      <c r="BV471" s="319">
        <f t="shared" si="172"/>
        <v>0</v>
      </c>
      <c r="BW471" s="319">
        <f t="shared" si="172"/>
        <v>0</v>
      </c>
      <c r="BX471" s="319">
        <f t="shared" si="172"/>
        <v>0</v>
      </c>
      <c r="BY471" s="319">
        <f t="shared" si="172"/>
        <v>0</v>
      </c>
      <c r="BZ471" s="319">
        <f t="shared" si="172"/>
        <v>0</v>
      </c>
      <c r="CA471" s="319">
        <f t="shared" si="172"/>
        <v>0</v>
      </c>
      <c r="CB471" s="319">
        <f t="shared" si="172"/>
        <v>0</v>
      </c>
      <c r="CC471" s="319">
        <f t="shared" si="172"/>
        <v>0</v>
      </c>
      <c r="CD471" s="319">
        <f t="shared" si="172"/>
        <v>0</v>
      </c>
      <c r="CE471" s="319">
        <f t="shared" si="172"/>
        <v>0</v>
      </c>
      <c r="CF471" s="319">
        <f t="shared" si="172"/>
        <v>0</v>
      </c>
      <c r="CG471" s="319">
        <f t="shared" si="172"/>
        <v>0</v>
      </c>
      <c r="CH471" s="319">
        <f t="shared" si="172"/>
        <v>0</v>
      </c>
      <c r="CI471" s="319">
        <f t="shared" si="172"/>
        <v>0</v>
      </c>
      <c r="CJ471" s="319">
        <f t="shared" si="172"/>
        <v>0</v>
      </c>
      <c r="CK471" s="319">
        <f t="shared" si="172"/>
        <v>0</v>
      </c>
      <c r="CL471" s="319">
        <f t="shared" si="172"/>
        <v>0</v>
      </c>
      <c r="CM471" s="319">
        <f t="shared" si="172"/>
        <v>0</v>
      </c>
      <c r="CN471" s="319">
        <f t="shared" si="172"/>
        <v>0</v>
      </c>
      <c r="CO471" s="319">
        <f t="shared" si="172"/>
        <v>0</v>
      </c>
      <c r="CP471" s="319">
        <f t="shared" si="172"/>
        <v>0</v>
      </c>
      <c r="CQ471" s="319">
        <f t="shared" si="172"/>
        <v>0</v>
      </c>
      <c r="CR471" s="319">
        <f t="shared" si="172"/>
        <v>0</v>
      </c>
      <c r="CS471" s="319">
        <f t="shared" si="172"/>
        <v>0</v>
      </c>
      <c r="CT471" s="319">
        <f t="shared" si="172"/>
        <v>0</v>
      </c>
      <c r="CU471" s="319">
        <f t="shared" si="172"/>
        <v>0</v>
      </c>
      <c r="CV471" s="319">
        <f t="shared" si="172"/>
        <v>0</v>
      </c>
    </row>
    <row r="472" spans="1:100" ht="15.75" thickBot="1" x14ac:dyDescent="0.3">
      <c r="A472" s="319">
        <f t="shared" si="167"/>
        <v>0</v>
      </c>
      <c r="B472" s="319">
        <f t="shared" si="170"/>
        <v>0</v>
      </c>
      <c r="C472" s="364" t="str">
        <f>IF(Sandbox!BL32="","",Sandbox!BL32)</f>
        <v/>
      </c>
      <c r="D472" s="343" t="str">
        <f>IF(Sandbox!BM32="Select","",Sandbox!BM32)</f>
        <v/>
      </c>
      <c r="E472" s="343" t="str">
        <f>IF(Sandbox!BN32="","",Sandbox!BN32)</f>
        <v/>
      </c>
      <c r="F472" s="343" t="str">
        <f>IF(E472&lt;CharacterSheet!$V$34,"Yes","No")</f>
        <v>No</v>
      </c>
      <c r="G472" s="342" t="s">
        <v>347</v>
      </c>
      <c r="H472" s="333" t="str">
        <f>IF(C472="","",VLOOKUP(C472,Boonref2!A:B,2,FALSE))</f>
        <v/>
      </c>
      <c r="I472" s="333"/>
      <c r="J472" s="333" t="str">
        <f>VLOOKUP(C472,BoonRef!A:Z,17,FALSE)</f>
        <v>Yes</v>
      </c>
      <c r="K472" s="333" t="str">
        <f>IF(J472="God",'House Rules'!$B$2,IF(J472="Demi",'House Rules'!$B$1,IF(J472="Comp",'House Rules'!$B$4,IF(J472="Yaz",'House Rules'!$B$5,IF(J472="Rag",'House Rules'!$B$3,"Available")))))</f>
        <v>Available</v>
      </c>
      <c r="L472" s="333"/>
      <c r="M472" s="333"/>
      <c r="BF472" s="319">
        <f t="shared" si="160"/>
        <v>0</v>
      </c>
      <c r="BG472" s="352" t="s">
        <v>1482</v>
      </c>
      <c r="BI472" s="319">
        <f t="shared" si="168"/>
        <v>0</v>
      </c>
      <c r="BJ472" s="319">
        <f t="shared" si="172"/>
        <v>0</v>
      </c>
      <c r="BK472" s="319">
        <f t="shared" si="172"/>
        <v>0</v>
      </c>
      <c r="BL472" s="319">
        <f t="shared" si="172"/>
        <v>0</v>
      </c>
      <c r="BM472" s="319">
        <f t="shared" si="172"/>
        <v>0</v>
      </c>
      <c r="BN472" s="319">
        <f t="shared" si="172"/>
        <v>0</v>
      </c>
      <c r="BO472" s="319">
        <f t="shared" si="172"/>
        <v>0</v>
      </c>
      <c r="BP472" s="319">
        <f t="shared" si="172"/>
        <v>0</v>
      </c>
      <c r="BQ472" s="319">
        <f t="shared" si="172"/>
        <v>0</v>
      </c>
      <c r="BR472" s="319">
        <f t="shared" si="172"/>
        <v>0</v>
      </c>
      <c r="BS472" s="319">
        <f t="shared" si="172"/>
        <v>0</v>
      </c>
      <c r="BT472" s="319">
        <f t="shared" si="172"/>
        <v>0</v>
      </c>
      <c r="BU472" s="319">
        <f t="shared" si="172"/>
        <v>0</v>
      </c>
      <c r="BV472" s="319">
        <f t="shared" si="172"/>
        <v>0</v>
      </c>
      <c r="BW472" s="319">
        <f t="shared" si="172"/>
        <v>0</v>
      </c>
      <c r="BX472" s="319">
        <f t="shared" si="172"/>
        <v>0</v>
      </c>
      <c r="BY472" s="319">
        <f t="shared" si="172"/>
        <v>0</v>
      </c>
      <c r="BZ472" s="319">
        <f t="shared" si="172"/>
        <v>0</v>
      </c>
      <c r="CA472" s="319">
        <f t="shared" si="172"/>
        <v>0</v>
      </c>
      <c r="CB472" s="319">
        <f t="shared" si="172"/>
        <v>0</v>
      </c>
      <c r="CC472" s="319">
        <f t="shared" si="172"/>
        <v>0</v>
      </c>
      <c r="CD472" s="319">
        <f t="shared" si="172"/>
        <v>0</v>
      </c>
      <c r="CE472" s="319">
        <f t="shared" si="172"/>
        <v>0</v>
      </c>
      <c r="CF472" s="319">
        <f t="shared" si="172"/>
        <v>0</v>
      </c>
      <c r="CG472" s="319">
        <f t="shared" si="172"/>
        <v>0</v>
      </c>
      <c r="CH472" s="319">
        <f t="shared" si="172"/>
        <v>0</v>
      </c>
      <c r="CI472" s="319">
        <f t="shared" si="172"/>
        <v>0</v>
      </c>
      <c r="CJ472" s="319">
        <f t="shared" si="172"/>
        <v>0</v>
      </c>
      <c r="CK472" s="319">
        <f t="shared" si="172"/>
        <v>0</v>
      </c>
      <c r="CL472" s="319">
        <f t="shared" si="172"/>
        <v>0</v>
      </c>
      <c r="CM472" s="319">
        <f t="shared" si="172"/>
        <v>0</v>
      </c>
      <c r="CN472" s="319">
        <f t="shared" si="172"/>
        <v>0</v>
      </c>
      <c r="CO472" s="319">
        <f t="shared" si="172"/>
        <v>0</v>
      </c>
      <c r="CP472" s="319">
        <f t="shared" si="172"/>
        <v>0</v>
      </c>
      <c r="CQ472" s="319">
        <f t="shared" si="172"/>
        <v>0</v>
      </c>
      <c r="CR472" s="319">
        <f t="shared" si="172"/>
        <v>0</v>
      </c>
      <c r="CS472" s="319">
        <f t="shared" si="172"/>
        <v>0</v>
      </c>
      <c r="CT472" s="319">
        <f t="shared" si="172"/>
        <v>0</v>
      </c>
      <c r="CU472" s="319">
        <f t="shared" si="172"/>
        <v>0</v>
      </c>
      <c r="CV472" s="319">
        <f t="shared" si="172"/>
        <v>0</v>
      </c>
    </row>
    <row r="473" spans="1:100" x14ac:dyDescent="0.25">
      <c r="A473" s="319">
        <f t="shared" si="167"/>
        <v>0</v>
      </c>
      <c r="B473" s="319">
        <f t="shared" si="170"/>
        <v>0</v>
      </c>
      <c r="C473" s="364" t="str">
        <f>IF(Sandbox!BL33="","",Sandbox!BL33)</f>
        <v/>
      </c>
      <c r="D473" s="343" t="str">
        <f>IF(Sandbox!BM33="Select","",Sandbox!BM33)</f>
        <v/>
      </c>
      <c r="E473" s="343" t="str">
        <f>IF(Sandbox!BN33="","",Sandbox!BN33)</f>
        <v/>
      </c>
      <c r="F473" s="343" t="str">
        <f>IF(E473&lt;CharacterSheet!$V$34,"Yes","No")</f>
        <v>No</v>
      </c>
      <c r="G473" s="342" t="s">
        <v>347</v>
      </c>
      <c r="H473" s="333" t="str">
        <f>IF(C473="","",VLOOKUP(C473,Boonref2!A:B,2,FALSE))</f>
        <v/>
      </c>
      <c r="I473" s="333"/>
      <c r="J473" s="333" t="str">
        <f>VLOOKUP(C473,BoonRef!A:Z,17,FALSE)</f>
        <v>Yes</v>
      </c>
      <c r="K473" s="333" t="str">
        <f>IF(J473="God",'House Rules'!$B$2,IF(J473="Demi",'House Rules'!$B$1,IF(J473="Comp",'House Rules'!$B$4,IF(J473="Yaz",'House Rules'!$B$5,IF(J473="Rag",'House Rules'!$B$3,"Available")))))</f>
        <v>Available</v>
      </c>
      <c r="L473" s="333"/>
      <c r="M473" s="333"/>
      <c r="BF473" s="319">
        <f t="shared" si="160"/>
        <v>0</v>
      </c>
      <c r="BG473" s="330" t="s">
        <v>1483</v>
      </c>
      <c r="BI473" s="319">
        <f t="shared" si="168"/>
        <v>0</v>
      </c>
      <c r="BJ473" s="319">
        <f t="shared" si="172"/>
        <v>0</v>
      </c>
      <c r="BK473" s="319">
        <f t="shared" si="172"/>
        <v>0</v>
      </c>
      <c r="BL473" s="319">
        <f t="shared" si="172"/>
        <v>0</v>
      </c>
      <c r="BM473" s="319">
        <f t="shared" si="172"/>
        <v>0</v>
      </c>
      <c r="BN473" s="319">
        <f t="shared" si="172"/>
        <v>0</v>
      </c>
      <c r="BO473" s="319">
        <f t="shared" si="172"/>
        <v>0</v>
      </c>
      <c r="BP473" s="319">
        <f t="shared" si="172"/>
        <v>0</v>
      </c>
      <c r="BQ473" s="319">
        <f t="shared" si="172"/>
        <v>0</v>
      </c>
      <c r="BR473" s="319">
        <f t="shared" si="172"/>
        <v>0</v>
      </c>
      <c r="BS473" s="319">
        <f t="shared" si="172"/>
        <v>0</v>
      </c>
      <c r="BT473" s="319">
        <f t="shared" si="172"/>
        <v>0</v>
      </c>
      <c r="BU473" s="319">
        <f t="shared" si="172"/>
        <v>0</v>
      </c>
      <c r="BV473" s="319">
        <f t="shared" si="172"/>
        <v>0</v>
      </c>
      <c r="BW473" s="319">
        <f t="shared" si="172"/>
        <v>0</v>
      </c>
      <c r="BX473" s="319">
        <f t="shared" si="172"/>
        <v>0</v>
      </c>
      <c r="BY473" s="319">
        <f t="shared" si="172"/>
        <v>0</v>
      </c>
      <c r="BZ473" s="319">
        <f t="shared" si="172"/>
        <v>0</v>
      </c>
      <c r="CA473" s="319">
        <f t="shared" si="172"/>
        <v>0</v>
      </c>
      <c r="CB473" s="319">
        <f t="shared" si="172"/>
        <v>0</v>
      </c>
      <c r="CC473" s="319">
        <f t="shared" si="172"/>
        <v>0</v>
      </c>
      <c r="CD473" s="319">
        <f t="shared" si="172"/>
        <v>0</v>
      </c>
      <c r="CE473" s="319">
        <f t="shared" si="172"/>
        <v>0</v>
      </c>
      <c r="CF473" s="319">
        <f t="shared" si="172"/>
        <v>0</v>
      </c>
      <c r="CG473" s="319">
        <f t="shared" si="172"/>
        <v>0</v>
      </c>
      <c r="CH473" s="319">
        <f t="shared" si="172"/>
        <v>0</v>
      </c>
      <c r="CI473" s="319">
        <f t="shared" si="172"/>
        <v>0</v>
      </c>
      <c r="CJ473" s="319">
        <f t="shared" si="172"/>
        <v>0</v>
      </c>
      <c r="CK473" s="319">
        <f t="shared" si="172"/>
        <v>0</v>
      </c>
      <c r="CL473" s="319">
        <f t="shared" si="172"/>
        <v>0</v>
      </c>
      <c r="CM473" s="319">
        <f t="shared" si="172"/>
        <v>0</v>
      </c>
      <c r="CN473" s="319">
        <f t="shared" si="172"/>
        <v>0</v>
      </c>
      <c r="CO473" s="319">
        <f t="shared" si="172"/>
        <v>0</v>
      </c>
      <c r="CP473" s="319">
        <f t="shared" si="172"/>
        <v>0</v>
      </c>
      <c r="CQ473" s="319">
        <f t="shared" si="172"/>
        <v>0</v>
      </c>
      <c r="CR473" s="319">
        <f t="shared" si="172"/>
        <v>0</v>
      </c>
      <c r="CS473" s="319">
        <f t="shared" si="172"/>
        <v>0</v>
      </c>
      <c r="CT473" s="319">
        <f t="shared" si="172"/>
        <v>0</v>
      </c>
      <c r="CU473" s="319">
        <f t="shared" si="172"/>
        <v>0</v>
      </c>
      <c r="CV473" s="319">
        <f t="shared" si="172"/>
        <v>0</v>
      </c>
    </row>
    <row r="474" spans="1:100" x14ac:dyDescent="0.25">
      <c r="A474" s="319">
        <f t="shared" si="167"/>
        <v>0</v>
      </c>
      <c r="B474" s="319">
        <f t="shared" si="170"/>
        <v>0</v>
      </c>
      <c r="C474" s="364" t="str">
        <f>IF(Sandbox!BL34="","",Sandbox!BL34)</f>
        <v/>
      </c>
      <c r="D474" s="343" t="str">
        <f>IF(Sandbox!BM34="Select","",Sandbox!BM34)</f>
        <v/>
      </c>
      <c r="E474" s="343" t="str">
        <f>IF(Sandbox!BN34="","",Sandbox!BN34)</f>
        <v/>
      </c>
      <c r="F474" s="343" t="str">
        <f>IF(E474&lt;CharacterSheet!$V$34,"Yes","No")</f>
        <v>No</v>
      </c>
      <c r="G474" s="342" t="s">
        <v>347</v>
      </c>
      <c r="H474" s="333" t="str">
        <f>IF(C474="","",VLOOKUP(C474,Boonref2!A:B,2,FALSE))</f>
        <v/>
      </c>
      <c r="I474" s="333"/>
      <c r="J474" s="333" t="str">
        <f>VLOOKUP(C474,BoonRef!A:Z,17,FALSE)</f>
        <v>Yes</v>
      </c>
      <c r="K474" s="333" t="str">
        <f>IF(J474="God",'House Rules'!$B$2,IF(J474="Demi",'House Rules'!$B$1,IF(J474="Comp",'House Rules'!$B$4,IF(J474="Yaz",'House Rules'!$B$5,IF(J474="Rag",'House Rules'!$B$3,"Available")))))</f>
        <v>Available</v>
      </c>
      <c r="L474" s="333"/>
      <c r="M474" s="333"/>
      <c r="BF474" s="319">
        <f t="shared" si="160"/>
        <v>0</v>
      </c>
      <c r="BG474" s="340" t="s">
        <v>1103</v>
      </c>
      <c r="BI474" s="319">
        <f t="shared" si="168"/>
        <v>0</v>
      </c>
      <c r="BJ474" s="319">
        <f t="shared" si="172"/>
        <v>0</v>
      </c>
      <c r="BK474" s="319">
        <f t="shared" si="172"/>
        <v>0</v>
      </c>
      <c r="BL474" s="319">
        <f t="shared" si="172"/>
        <v>0</v>
      </c>
      <c r="BM474" s="319">
        <f t="shared" si="172"/>
        <v>0</v>
      </c>
      <c r="BN474" s="319">
        <f t="shared" si="172"/>
        <v>0</v>
      </c>
      <c r="BO474" s="319">
        <f t="shared" si="172"/>
        <v>0</v>
      </c>
      <c r="BP474" s="319">
        <f t="shared" si="172"/>
        <v>0</v>
      </c>
      <c r="BQ474" s="319">
        <f t="shared" si="172"/>
        <v>0</v>
      </c>
      <c r="BR474" s="319">
        <f t="shared" si="172"/>
        <v>0</v>
      </c>
      <c r="BS474" s="319">
        <f t="shared" si="172"/>
        <v>0</v>
      </c>
      <c r="BT474" s="319">
        <f t="shared" si="172"/>
        <v>0</v>
      </c>
      <c r="BU474" s="319">
        <f t="shared" si="172"/>
        <v>0</v>
      </c>
      <c r="BV474" s="319">
        <f t="shared" si="172"/>
        <v>0</v>
      </c>
      <c r="BW474" s="319">
        <f t="shared" si="172"/>
        <v>0</v>
      </c>
      <c r="BX474" s="319">
        <f t="shared" si="172"/>
        <v>0</v>
      </c>
      <c r="BY474" s="319">
        <f t="shared" si="172"/>
        <v>0</v>
      </c>
      <c r="BZ474" s="319">
        <f t="shared" si="172"/>
        <v>0</v>
      </c>
      <c r="CA474" s="319">
        <f t="shared" si="172"/>
        <v>0</v>
      </c>
      <c r="CB474" s="319">
        <f t="shared" si="172"/>
        <v>0</v>
      </c>
      <c r="CC474" s="319">
        <f t="shared" si="172"/>
        <v>0</v>
      </c>
      <c r="CD474" s="319">
        <f t="shared" si="172"/>
        <v>0</v>
      </c>
      <c r="CE474" s="319">
        <f t="shared" si="172"/>
        <v>0</v>
      </c>
      <c r="CF474" s="319">
        <f t="shared" si="172"/>
        <v>0</v>
      </c>
      <c r="CG474" s="319">
        <f t="shared" si="172"/>
        <v>0</v>
      </c>
      <c r="CH474" s="319">
        <f t="shared" si="172"/>
        <v>0</v>
      </c>
      <c r="CI474" s="319">
        <f t="shared" si="172"/>
        <v>0</v>
      </c>
      <c r="CJ474" s="319">
        <f t="shared" si="172"/>
        <v>0</v>
      </c>
      <c r="CK474" s="319">
        <f t="shared" si="172"/>
        <v>0</v>
      </c>
      <c r="CL474" s="319">
        <f t="shared" si="172"/>
        <v>0</v>
      </c>
      <c r="CM474" s="319">
        <f t="shared" si="172"/>
        <v>0</v>
      </c>
      <c r="CN474" s="319">
        <f t="shared" si="172"/>
        <v>0</v>
      </c>
      <c r="CO474" s="319">
        <f t="shared" si="172"/>
        <v>0</v>
      </c>
      <c r="CP474" s="319">
        <f t="shared" si="172"/>
        <v>0</v>
      </c>
      <c r="CQ474" s="319">
        <f t="shared" si="172"/>
        <v>0</v>
      </c>
      <c r="CR474" s="319">
        <f t="shared" si="172"/>
        <v>0</v>
      </c>
      <c r="CS474" s="319">
        <f t="shared" si="172"/>
        <v>0</v>
      </c>
      <c r="CT474" s="319">
        <f t="shared" si="172"/>
        <v>0</v>
      </c>
      <c r="CU474" s="319">
        <f t="shared" si="172"/>
        <v>0</v>
      </c>
      <c r="CV474" s="319">
        <f t="shared" si="172"/>
        <v>0</v>
      </c>
    </row>
    <row r="475" spans="1:100" x14ac:dyDescent="0.25">
      <c r="A475" s="319">
        <f t="shared" si="167"/>
        <v>0</v>
      </c>
      <c r="B475" s="319">
        <f t="shared" si="170"/>
        <v>0</v>
      </c>
      <c r="C475" s="364" t="str">
        <f>IF(Sandbox!BL35="","",Sandbox!BL35)</f>
        <v/>
      </c>
      <c r="D475" s="343" t="str">
        <f>IF(Sandbox!BM35="Select","",Sandbox!BM35)</f>
        <v/>
      </c>
      <c r="E475" s="343" t="str">
        <f>IF(Sandbox!BN35="","",Sandbox!BN35)</f>
        <v/>
      </c>
      <c r="F475" s="343" t="str">
        <f>IF(E475&lt;CharacterSheet!$V$34,"Yes","No")</f>
        <v>No</v>
      </c>
      <c r="G475" s="342" t="s">
        <v>347</v>
      </c>
      <c r="H475" s="333" t="str">
        <f>IF(C475="","",VLOOKUP(C475,Boonref2!A:B,2,FALSE))</f>
        <v/>
      </c>
      <c r="I475" s="333"/>
      <c r="J475" s="333" t="str">
        <f>VLOOKUP(C475,BoonRef!A:Z,17,FALSE)</f>
        <v>Yes</v>
      </c>
      <c r="K475" s="333" t="str">
        <f>IF(J475="God",'House Rules'!$B$2,IF(J475="Demi",'House Rules'!$B$1,IF(J475="Comp",'House Rules'!$B$4,IF(J475="Yaz",'House Rules'!$B$5,IF(J475="Rag",'House Rules'!$B$3,"Available")))))</f>
        <v>Available</v>
      </c>
      <c r="L475" s="333"/>
      <c r="M475" s="333"/>
      <c r="BF475" s="319">
        <f t="shared" si="160"/>
        <v>0</v>
      </c>
      <c r="BG475" s="340" t="s">
        <v>1104</v>
      </c>
      <c r="BI475" s="319">
        <f t="shared" si="168"/>
        <v>0</v>
      </c>
      <c r="BJ475" s="319">
        <f t="shared" si="172"/>
        <v>0</v>
      </c>
      <c r="BK475" s="319">
        <f t="shared" si="172"/>
        <v>0</v>
      </c>
      <c r="BL475" s="319">
        <f t="shared" si="172"/>
        <v>0</v>
      </c>
      <c r="BM475" s="319">
        <f t="shared" si="172"/>
        <v>0</v>
      </c>
      <c r="BN475" s="319">
        <f t="shared" si="172"/>
        <v>0</v>
      </c>
      <c r="BO475" s="319">
        <f t="shared" si="172"/>
        <v>0</v>
      </c>
      <c r="BP475" s="319">
        <f t="shared" si="172"/>
        <v>0</v>
      </c>
      <c r="BQ475" s="319">
        <f t="shared" si="172"/>
        <v>0</v>
      </c>
      <c r="BR475" s="319">
        <f t="shared" si="172"/>
        <v>0</v>
      </c>
      <c r="BS475" s="319">
        <f t="shared" si="172"/>
        <v>0</v>
      </c>
      <c r="BT475" s="319">
        <f t="shared" si="172"/>
        <v>0</v>
      </c>
      <c r="BU475" s="319">
        <f t="shared" si="172"/>
        <v>0</v>
      </c>
      <c r="BV475" s="319">
        <f t="shared" si="172"/>
        <v>0</v>
      </c>
      <c r="BW475" s="319">
        <f t="shared" si="172"/>
        <v>0</v>
      </c>
      <c r="BX475" s="319">
        <f t="shared" si="172"/>
        <v>0</v>
      </c>
      <c r="BY475" s="319">
        <f t="shared" si="172"/>
        <v>0</v>
      </c>
      <c r="BZ475" s="319">
        <f t="shared" si="172"/>
        <v>0</v>
      </c>
      <c r="CA475" s="319">
        <f t="shared" si="172"/>
        <v>0</v>
      </c>
      <c r="CB475" s="319">
        <f t="shared" si="172"/>
        <v>0</v>
      </c>
      <c r="CC475" s="319">
        <f t="shared" si="172"/>
        <v>0</v>
      </c>
      <c r="CD475" s="319">
        <f t="shared" si="172"/>
        <v>0</v>
      </c>
      <c r="CE475" s="319">
        <f t="shared" si="172"/>
        <v>0</v>
      </c>
      <c r="CF475" s="319">
        <f t="shared" si="172"/>
        <v>0</v>
      </c>
      <c r="CG475" s="319">
        <f t="shared" si="172"/>
        <v>0</v>
      </c>
      <c r="CH475" s="319">
        <f t="shared" si="172"/>
        <v>0</v>
      </c>
      <c r="CI475" s="319">
        <f t="shared" si="172"/>
        <v>0</v>
      </c>
      <c r="CJ475" s="319">
        <f t="shared" si="172"/>
        <v>0</v>
      </c>
      <c r="CK475" s="319">
        <f t="shared" si="172"/>
        <v>0</v>
      </c>
      <c r="CL475" s="319">
        <f t="shared" si="172"/>
        <v>0</v>
      </c>
      <c r="CM475" s="319">
        <f t="shared" si="172"/>
        <v>0</v>
      </c>
      <c r="CN475" s="319">
        <f t="shared" si="172"/>
        <v>0</v>
      </c>
      <c r="CO475" s="319">
        <f t="shared" si="172"/>
        <v>0</v>
      </c>
      <c r="CP475" s="319">
        <f t="shared" si="172"/>
        <v>0</v>
      </c>
      <c r="CQ475" s="319">
        <f t="shared" si="172"/>
        <v>0</v>
      </c>
      <c r="CR475" s="319">
        <f t="shared" si="172"/>
        <v>0</v>
      </c>
      <c r="CS475" s="319">
        <f t="shared" si="172"/>
        <v>0</v>
      </c>
      <c r="CT475" s="319">
        <f t="shared" si="172"/>
        <v>0</v>
      </c>
      <c r="CU475" s="319">
        <f t="shared" si="172"/>
        <v>0</v>
      </c>
      <c r="CV475" s="319">
        <f t="shared" si="172"/>
        <v>0</v>
      </c>
    </row>
    <row r="476" spans="1:100" x14ac:dyDescent="0.25">
      <c r="A476" s="319">
        <f t="shared" si="167"/>
        <v>0</v>
      </c>
      <c r="B476" s="319">
        <f t="shared" si="170"/>
        <v>0</v>
      </c>
      <c r="C476" s="364" t="str">
        <f>IF(Sandbox!BL36="","",Sandbox!BL36)</f>
        <v/>
      </c>
      <c r="D476" s="343" t="str">
        <f>IF(Sandbox!BM36="Select","",Sandbox!BM36)</f>
        <v/>
      </c>
      <c r="E476" s="343" t="str">
        <f>IF(Sandbox!BN36="","",Sandbox!BN36)</f>
        <v/>
      </c>
      <c r="F476" s="343" t="str">
        <f>IF(E476&lt;CharacterSheet!$V$34,"Yes","No")</f>
        <v>No</v>
      </c>
      <c r="G476" s="342" t="s">
        <v>347</v>
      </c>
      <c r="H476" s="333" t="str">
        <f>IF(C476="","",VLOOKUP(C476,Boonref2!A:B,2,FALSE))</f>
        <v/>
      </c>
      <c r="I476" s="333"/>
      <c r="J476" s="333" t="str">
        <f>VLOOKUP(C476,BoonRef!A:Z,17,FALSE)</f>
        <v>Yes</v>
      </c>
      <c r="K476" s="333" t="str">
        <f>IF(J476="God",'House Rules'!$B$2,IF(J476="Demi",'House Rules'!$B$1,IF(J476="Comp",'House Rules'!$B$4,IF(J476="Yaz",'House Rules'!$B$5,IF(J476="Rag",'House Rules'!$B$3,"Available")))))</f>
        <v>Available</v>
      </c>
      <c r="L476" s="333"/>
      <c r="M476" s="333"/>
      <c r="BF476" s="319">
        <f t="shared" si="160"/>
        <v>0</v>
      </c>
      <c r="BG476" s="340" t="s">
        <v>1105</v>
      </c>
      <c r="BI476" s="319">
        <f t="shared" si="168"/>
        <v>0</v>
      </c>
      <c r="BJ476" s="319">
        <f t="shared" si="172"/>
        <v>0</v>
      </c>
      <c r="BK476" s="319">
        <f t="shared" si="172"/>
        <v>0</v>
      </c>
      <c r="BL476" s="319">
        <f t="shared" si="172"/>
        <v>0</v>
      </c>
      <c r="BM476" s="319">
        <f t="shared" si="172"/>
        <v>0</v>
      </c>
      <c r="BN476" s="319">
        <f t="shared" si="172"/>
        <v>0</v>
      </c>
      <c r="BO476" s="319">
        <f t="shared" si="172"/>
        <v>0</v>
      </c>
      <c r="BP476" s="319">
        <f t="shared" si="172"/>
        <v>0</v>
      </c>
      <c r="BQ476" s="319">
        <f t="shared" si="172"/>
        <v>0</v>
      </c>
      <c r="BR476" s="319">
        <f t="shared" si="172"/>
        <v>0</v>
      </c>
      <c r="BS476" s="319">
        <f t="shared" si="172"/>
        <v>0</v>
      </c>
      <c r="BT476" s="319">
        <f t="shared" si="172"/>
        <v>0</v>
      </c>
      <c r="BU476" s="319">
        <f t="shared" si="172"/>
        <v>0</v>
      </c>
      <c r="BV476" s="319">
        <f t="shared" ref="BJ476:CV482" si="173">IF(AND($D476=BV$1,$G476="Yes"),$E476,0)</f>
        <v>0</v>
      </c>
      <c r="BW476" s="319">
        <f t="shared" si="173"/>
        <v>0</v>
      </c>
      <c r="BX476" s="319">
        <f t="shared" si="173"/>
        <v>0</v>
      </c>
      <c r="BY476" s="319">
        <f t="shared" si="173"/>
        <v>0</v>
      </c>
      <c r="BZ476" s="319">
        <f t="shared" si="173"/>
        <v>0</v>
      </c>
      <c r="CA476" s="319">
        <f t="shared" si="173"/>
        <v>0</v>
      </c>
      <c r="CB476" s="319">
        <f t="shared" si="173"/>
        <v>0</v>
      </c>
      <c r="CC476" s="319">
        <f t="shared" si="173"/>
        <v>0</v>
      </c>
      <c r="CD476" s="319">
        <f t="shared" si="173"/>
        <v>0</v>
      </c>
      <c r="CE476" s="319">
        <f t="shared" si="173"/>
        <v>0</v>
      </c>
      <c r="CF476" s="319">
        <f t="shared" si="173"/>
        <v>0</v>
      </c>
      <c r="CG476" s="319">
        <f t="shared" si="173"/>
        <v>0</v>
      </c>
      <c r="CH476" s="319">
        <f t="shared" si="173"/>
        <v>0</v>
      </c>
      <c r="CI476" s="319">
        <f t="shared" si="173"/>
        <v>0</v>
      </c>
      <c r="CJ476" s="319">
        <f t="shared" si="173"/>
        <v>0</v>
      </c>
      <c r="CK476" s="319">
        <f t="shared" si="173"/>
        <v>0</v>
      </c>
      <c r="CL476" s="319">
        <f t="shared" si="173"/>
        <v>0</v>
      </c>
      <c r="CM476" s="319">
        <f t="shared" si="173"/>
        <v>0</v>
      </c>
      <c r="CN476" s="319">
        <f t="shared" si="173"/>
        <v>0</v>
      </c>
      <c r="CO476" s="319">
        <f t="shared" si="173"/>
        <v>0</v>
      </c>
      <c r="CP476" s="319">
        <f t="shared" si="173"/>
        <v>0</v>
      </c>
      <c r="CQ476" s="319">
        <f t="shared" si="173"/>
        <v>0</v>
      </c>
      <c r="CR476" s="319">
        <f t="shared" si="173"/>
        <v>0</v>
      </c>
      <c r="CS476" s="319">
        <f t="shared" si="173"/>
        <v>0</v>
      </c>
      <c r="CT476" s="319">
        <f t="shared" si="173"/>
        <v>0</v>
      </c>
      <c r="CU476" s="319">
        <f t="shared" si="173"/>
        <v>0</v>
      </c>
      <c r="CV476" s="319">
        <f t="shared" si="173"/>
        <v>0</v>
      </c>
    </row>
    <row r="477" spans="1:100" x14ac:dyDescent="0.25">
      <c r="A477" s="319">
        <f t="shared" si="167"/>
        <v>0</v>
      </c>
      <c r="B477" s="319">
        <f t="shared" si="170"/>
        <v>0</v>
      </c>
      <c r="C477" s="364" t="str">
        <f>IF(Sandbox!BL37="","",Sandbox!BL37)</f>
        <v/>
      </c>
      <c r="D477" s="343" t="str">
        <f>IF(Sandbox!BM37="Select","",Sandbox!BM37)</f>
        <v/>
      </c>
      <c r="E477" s="343" t="str">
        <f>IF(Sandbox!BN37="","",Sandbox!BN37)</f>
        <v/>
      </c>
      <c r="F477" s="343" t="str">
        <f>IF(E477&lt;CharacterSheet!$V$34,"Yes","No")</f>
        <v>No</v>
      </c>
      <c r="G477" s="342" t="s">
        <v>347</v>
      </c>
      <c r="H477" s="333" t="str">
        <f>IF(C477="","",VLOOKUP(C477,Boonref2!A:B,2,FALSE))</f>
        <v/>
      </c>
      <c r="I477" s="333"/>
      <c r="J477" s="333" t="str">
        <f>VLOOKUP(C477,BoonRef!A:Z,17,FALSE)</f>
        <v>Yes</v>
      </c>
      <c r="K477" s="333" t="str">
        <f>IF(J477="God",'House Rules'!$B$2,IF(J477="Demi",'House Rules'!$B$1,IF(J477="Comp",'House Rules'!$B$4,IF(J477="Yaz",'House Rules'!$B$5,IF(J477="Rag",'House Rules'!$B$3,"Available")))))</f>
        <v>Available</v>
      </c>
      <c r="L477" s="333"/>
      <c r="M477" s="333"/>
      <c r="BF477" s="319">
        <f t="shared" ref="BF477:BF540" si="174">B236</f>
        <v>0</v>
      </c>
      <c r="BG477" s="340" t="s">
        <v>1405</v>
      </c>
      <c r="BI477" s="319">
        <f t="shared" si="168"/>
        <v>0</v>
      </c>
      <c r="BJ477" s="319">
        <f t="shared" si="173"/>
        <v>0</v>
      </c>
      <c r="BK477" s="319">
        <f t="shared" si="173"/>
        <v>0</v>
      </c>
      <c r="BL477" s="319">
        <f t="shared" si="173"/>
        <v>0</v>
      </c>
      <c r="BM477" s="319">
        <f t="shared" si="173"/>
        <v>0</v>
      </c>
      <c r="BN477" s="319">
        <f t="shared" si="173"/>
        <v>0</v>
      </c>
      <c r="BO477" s="319">
        <f t="shared" si="173"/>
        <v>0</v>
      </c>
      <c r="BP477" s="319">
        <f t="shared" si="173"/>
        <v>0</v>
      </c>
      <c r="BQ477" s="319">
        <f t="shared" si="173"/>
        <v>0</v>
      </c>
      <c r="BR477" s="319">
        <f t="shared" si="173"/>
        <v>0</v>
      </c>
      <c r="BS477" s="319">
        <f t="shared" si="173"/>
        <v>0</v>
      </c>
      <c r="BT477" s="319">
        <f t="shared" si="173"/>
        <v>0</v>
      </c>
      <c r="BU477" s="319">
        <f t="shared" si="173"/>
        <v>0</v>
      </c>
      <c r="BV477" s="319">
        <f t="shared" si="173"/>
        <v>0</v>
      </c>
      <c r="BW477" s="319">
        <f t="shared" si="173"/>
        <v>0</v>
      </c>
      <c r="BX477" s="319">
        <f t="shared" si="173"/>
        <v>0</v>
      </c>
      <c r="BY477" s="319">
        <f t="shared" si="173"/>
        <v>0</v>
      </c>
      <c r="BZ477" s="319">
        <f t="shared" si="173"/>
        <v>0</v>
      </c>
      <c r="CA477" s="319">
        <f t="shared" si="173"/>
        <v>0</v>
      </c>
      <c r="CB477" s="319">
        <f t="shared" si="173"/>
        <v>0</v>
      </c>
      <c r="CC477" s="319">
        <f t="shared" si="173"/>
        <v>0</v>
      </c>
      <c r="CD477" s="319">
        <f t="shared" si="173"/>
        <v>0</v>
      </c>
      <c r="CE477" s="319">
        <f t="shared" si="173"/>
        <v>0</v>
      </c>
      <c r="CF477" s="319">
        <f t="shared" si="173"/>
        <v>0</v>
      </c>
      <c r="CG477" s="319">
        <f t="shared" si="173"/>
        <v>0</v>
      </c>
      <c r="CH477" s="319">
        <f t="shared" si="173"/>
        <v>0</v>
      </c>
      <c r="CI477" s="319">
        <f t="shared" si="173"/>
        <v>0</v>
      </c>
      <c r="CJ477" s="319">
        <f t="shared" si="173"/>
        <v>0</v>
      </c>
      <c r="CK477" s="319">
        <f t="shared" si="173"/>
        <v>0</v>
      </c>
      <c r="CL477" s="319">
        <f t="shared" si="173"/>
        <v>0</v>
      </c>
      <c r="CM477" s="319">
        <f t="shared" si="173"/>
        <v>0</v>
      </c>
      <c r="CN477" s="319">
        <f t="shared" si="173"/>
        <v>0</v>
      </c>
      <c r="CO477" s="319">
        <f t="shared" si="173"/>
        <v>0</v>
      </c>
      <c r="CP477" s="319">
        <f t="shared" si="173"/>
        <v>0</v>
      </c>
      <c r="CQ477" s="319">
        <f t="shared" si="173"/>
        <v>0</v>
      </c>
      <c r="CR477" s="319">
        <f t="shared" si="173"/>
        <v>0</v>
      </c>
      <c r="CS477" s="319">
        <f t="shared" si="173"/>
        <v>0</v>
      </c>
      <c r="CT477" s="319">
        <f t="shared" si="173"/>
        <v>0</v>
      </c>
      <c r="CU477" s="319">
        <f t="shared" si="173"/>
        <v>0</v>
      </c>
      <c r="CV477" s="319">
        <f t="shared" si="173"/>
        <v>0</v>
      </c>
    </row>
    <row r="478" spans="1:100" x14ac:dyDescent="0.25">
      <c r="A478" s="319">
        <f t="shared" si="167"/>
        <v>0</v>
      </c>
      <c r="B478" s="319">
        <f t="shared" si="170"/>
        <v>0</v>
      </c>
      <c r="C478" s="364" t="str">
        <f>IF(Sandbox!BL38="","",Sandbox!BL38)</f>
        <v/>
      </c>
      <c r="D478" s="343" t="str">
        <f>IF(Sandbox!BM38="Select","",Sandbox!BM38)</f>
        <v/>
      </c>
      <c r="E478" s="343" t="str">
        <f>IF(Sandbox!BN38="","",Sandbox!BN38)</f>
        <v/>
      </c>
      <c r="F478" s="343" t="str">
        <f>IF(E478&lt;CharacterSheet!$V$34,"Yes","No")</f>
        <v>No</v>
      </c>
      <c r="G478" s="342" t="s">
        <v>347</v>
      </c>
      <c r="H478" s="333" t="str">
        <f>IF(C478="","",VLOOKUP(C478,Boonref2!A:B,2,FALSE))</f>
        <v/>
      </c>
      <c r="I478" s="333"/>
      <c r="J478" s="333" t="str">
        <f>VLOOKUP(C478,BoonRef!A:Z,17,FALSE)</f>
        <v>Yes</v>
      </c>
      <c r="K478" s="333" t="str">
        <f>IF(J478="God",'House Rules'!$B$2,IF(J478="Demi",'House Rules'!$B$1,IF(J478="Comp",'House Rules'!$B$4,IF(J478="Yaz",'House Rules'!$B$5,IF(J478="Rag",'House Rules'!$B$3,"Available")))))</f>
        <v>Available</v>
      </c>
      <c r="L478" s="333"/>
      <c r="M478" s="333"/>
      <c r="BF478" s="319">
        <f t="shared" si="174"/>
        <v>0</v>
      </c>
      <c r="BG478" s="340" t="s">
        <v>1195</v>
      </c>
      <c r="BI478" s="319">
        <f t="shared" si="168"/>
        <v>0</v>
      </c>
      <c r="BJ478" s="319">
        <f t="shared" si="173"/>
        <v>0</v>
      </c>
      <c r="BK478" s="319">
        <f t="shared" si="173"/>
        <v>0</v>
      </c>
      <c r="BL478" s="319">
        <f t="shared" si="173"/>
        <v>0</v>
      </c>
      <c r="BM478" s="319">
        <f t="shared" si="173"/>
        <v>0</v>
      </c>
      <c r="BN478" s="319">
        <f t="shared" si="173"/>
        <v>0</v>
      </c>
      <c r="BO478" s="319">
        <f t="shared" si="173"/>
        <v>0</v>
      </c>
      <c r="BP478" s="319">
        <f t="shared" si="173"/>
        <v>0</v>
      </c>
      <c r="BQ478" s="319">
        <f t="shared" si="173"/>
        <v>0</v>
      </c>
      <c r="BR478" s="319">
        <f t="shared" si="173"/>
        <v>0</v>
      </c>
      <c r="BS478" s="319">
        <f t="shared" si="173"/>
        <v>0</v>
      </c>
      <c r="BT478" s="319">
        <f t="shared" si="173"/>
        <v>0</v>
      </c>
      <c r="BU478" s="319">
        <f t="shared" si="173"/>
        <v>0</v>
      </c>
      <c r="BV478" s="319">
        <f t="shared" si="173"/>
        <v>0</v>
      </c>
      <c r="BW478" s="319">
        <f t="shared" si="173"/>
        <v>0</v>
      </c>
      <c r="BX478" s="319">
        <f t="shared" si="173"/>
        <v>0</v>
      </c>
      <c r="BY478" s="319">
        <f t="shared" si="173"/>
        <v>0</v>
      </c>
      <c r="BZ478" s="319">
        <f t="shared" si="173"/>
        <v>0</v>
      </c>
      <c r="CA478" s="319">
        <f t="shared" si="173"/>
        <v>0</v>
      </c>
      <c r="CB478" s="319">
        <f t="shared" si="173"/>
        <v>0</v>
      </c>
      <c r="CC478" s="319">
        <f t="shared" si="173"/>
        <v>0</v>
      </c>
      <c r="CD478" s="319">
        <f t="shared" si="173"/>
        <v>0</v>
      </c>
      <c r="CE478" s="319">
        <f t="shared" si="173"/>
        <v>0</v>
      </c>
      <c r="CF478" s="319">
        <f t="shared" si="173"/>
        <v>0</v>
      </c>
      <c r="CG478" s="319">
        <f t="shared" si="173"/>
        <v>0</v>
      </c>
      <c r="CH478" s="319">
        <f t="shared" si="173"/>
        <v>0</v>
      </c>
      <c r="CI478" s="319">
        <f t="shared" si="173"/>
        <v>0</v>
      </c>
      <c r="CJ478" s="319">
        <f t="shared" si="173"/>
        <v>0</v>
      </c>
      <c r="CK478" s="319">
        <f t="shared" si="173"/>
        <v>0</v>
      </c>
      <c r="CL478" s="319">
        <f t="shared" si="173"/>
        <v>0</v>
      </c>
      <c r="CM478" s="319">
        <f t="shared" si="173"/>
        <v>0</v>
      </c>
      <c r="CN478" s="319">
        <f t="shared" si="173"/>
        <v>0</v>
      </c>
      <c r="CO478" s="319">
        <f t="shared" si="173"/>
        <v>0</v>
      </c>
      <c r="CP478" s="319">
        <f t="shared" si="173"/>
        <v>0</v>
      </c>
      <c r="CQ478" s="319">
        <f t="shared" si="173"/>
        <v>0</v>
      </c>
      <c r="CR478" s="319">
        <f t="shared" si="173"/>
        <v>0</v>
      </c>
      <c r="CS478" s="319">
        <f t="shared" si="173"/>
        <v>0</v>
      </c>
      <c r="CT478" s="319">
        <f t="shared" si="173"/>
        <v>0</v>
      </c>
      <c r="CU478" s="319">
        <f t="shared" si="173"/>
        <v>0</v>
      </c>
      <c r="CV478" s="319">
        <f t="shared" si="173"/>
        <v>0</v>
      </c>
    </row>
    <row r="479" spans="1:100" x14ac:dyDescent="0.25">
      <c r="A479" s="319">
        <f t="shared" si="167"/>
        <v>0</v>
      </c>
      <c r="B479" s="319">
        <f t="shared" si="170"/>
        <v>0</v>
      </c>
      <c r="C479" s="364" t="str">
        <f>IF(Sandbox!BL39="","",Sandbox!BL39)</f>
        <v/>
      </c>
      <c r="D479" s="343" t="str">
        <f>IF(Sandbox!BM39="Select","",Sandbox!BM39)</f>
        <v/>
      </c>
      <c r="E479" s="343" t="str">
        <f>IF(Sandbox!BN39="","",Sandbox!BN39)</f>
        <v/>
      </c>
      <c r="F479" s="343" t="str">
        <f>IF(E479&lt;CharacterSheet!$V$34,"Yes","No")</f>
        <v>No</v>
      </c>
      <c r="G479" s="342" t="s">
        <v>347</v>
      </c>
      <c r="H479" s="333" t="str">
        <f>IF(C479="","",VLOOKUP(C479,Boonref2!A:B,2,FALSE))</f>
        <v/>
      </c>
      <c r="I479" s="333"/>
      <c r="J479" s="333" t="str">
        <f>VLOOKUP(C479,BoonRef!A:Z,17,FALSE)</f>
        <v>Yes</v>
      </c>
      <c r="K479" s="333" t="str">
        <f>IF(J479="God",'House Rules'!$B$2,IF(J479="Demi",'House Rules'!$B$1,IF(J479="Comp",'House Rules'!$B$4,IF(J479="Yaz",'House Rules'!$B$5,IF(J479="Rag",'House Rules'!$B$3,"Available")))))</f>
        <v>Available</v>
      </c>
      <c r="L479" s="333"/>
      <c r="M479" s="333"/>
      <c r="BF479" s="319">
        <f t="shared" si="174"/>
        <v>0</v>
      </c>
      <c r="BG479" s="340" t="s">
        <v>1196</v>
      </c>
      <c r="BI479" s="319">
        <f t="shared" si="168"/>
        <v>0</v>
      </c>
      <c r="BJ479" s="319">
        <f t="shared" si="173"/>
        <v>0</v>
      </c>
      <c r="BK479" s="319">
        <f t="shared" si="173"/>
        <v>0</v>
      </c>
      <c r="BL479" s="319">
        <f t="shared" si="173"/>
        <v>0</v>
      </c>
      <c r="BM479" s="319">
        <f t="shared" si="173"/>
        <v>0</v>
      </c>
      <c r="BN479" s="319">
        <f t="shared" si="173"/>
        <v>0</v>
      </c>
      <c r="BO479" s="319">
        <f t="shared" si="173"/>
        <v>0</v>
      </c>
      <c r="BP479" s="319">
        <f t="shared" si="173"/>
        <v>0</v>
      </c>
      <c r="BQ479" s="319">
        <f t="shared" si="173"/>
        <v>0</v>
      </c>
      <c r="BR479" s="319">
        <f t="shared" si="173"/>
        <v>0</v>
      </c>
      <c r="BS479" s="319">
        <f t="shared" si="173"/>
        <v>0</v>
      </c>
      <c r="BT479" s="319">
        <f t="shared" si="173"/>
        <v>0</v>
      </c>
      <c r="BU479" s="319">
        <f t="shared" si="173"/>
        <v>0</v>
      </c>
      <c r="BV479" s="319">
        <f t="shared" si="173"/>
        <v>0</v>
      </c>
      <c r="BW479" s="319">
        <f t="shared" si="173"/>
        <v>0</v>
      </c>
      <c r="BX479" s="319">
        <f t="shared" si="173"/>
        <v>0</v>
      </c>
      <c r="BY479" s="319">
        <f t="shared" si="173"/>
        <v>0</v>
      </c>
      <c r="BZ479" s="319">
        <f t="shared" si="173"/>
        <v>0</v>
      </c>
      <c r="CA479" s="319">
        <f t="shared" si="173"/>
        <v>0</v>
      </c>
      <c r="CB479" s="319">
        <f t="shared" si="173"/>
        <v>0</v>
      </c>
      <c r="CC479" s="319">
        <f t="shared" si="173"/>
        <v>0</v>
      </c>
      <c r="CD479" s="319">
        <f t="shared" si="173"/>
        <v>0</v>
      </c>
      <c r="CE479" s="319">
        <f t="shared" si="173"/>
        <v>0</v>
      </c>
      <c r="CF479" s="319">
        <f t="shared" si="173"/>
        <v>0</v>
      </c>
      <c r="CG479" s="319">
        <f t="shared" si="173"/>
        <v>0</v>
      </c>
      <c r="CH479" s="319">
        <f t="shared" si="173"/>
        <v>0</v>
      </c>
      <c r="CI479" s="319">
        <f t="shared" si="173"/>
        <v>0</v>
      </c>
      <c r="CJ479" s="319">
        <f t="shared" si="173"/>
        <v>0</v>
      </c>
      <c r="CK479" s="319">
        <f t="shared" si="173"/>
        <v>0</v>
      </c>
      <c r="CL479" s="319">
        <f t="shared" si="173"/>
        <v>0</v>
      </c>
      <c r="CM479" s="319">
        <f t="shared" si="173"/>
        <v>0</v>
      </c>
      <c r="CN479" s="319">
        <f t="shared" si="173"/>
        <v>0</v>
      </c>
      <c r="CO479" s="319">
        <f t="shared" si="173"/>
        <v>0</v>
      </c>
      <c r="CP479" s="319">
        <f t="shared" si="173"/>
        <v>0</v>
      </c>
      <c r="CQ479" s="319">
        <f t="shared" si="173"/>
        <v>0</v>
      </c>
      <c r="CR479" s="319">
        <f t="shared" si="173"/>
        <v>0</v>
      </c>
      <c r="CS479" s="319">
        <f t="shared" si="173"/>
        <v>0</v>
      </c>
      <c r="CT479" s="319">
        <f t="shared" si="173"/>
        <v>0</v>
      </c>
      <c r="CU479" s="319">
        <f t="shared" si="173"/>
        <v>0</v>
      </c>
      <c r="CV479" s="319">
        <f t="shared" si="173"/>
        <v>0</v>
      </c>
    </row>
    <row r="480" spans="1:100" x14ac:dyDescent="0.25">
      <c r="A480" s="319">
        <f t="shared" si="167"/>
        <v>0</v>
      </c>
      <c r="B480" s="319">
        <f t="shared" si="170"/>
        <v>0</v>
      </c>
      <c r="C480" s="364" t="str">
        <f>IF(Sandbox!BL40="","",Sandbox!BL40)</f>
        <v/>
      </c>
      <c r="D480" s="343" t="str">
        <f>IF(Sandbox!BM40="Select","",Sandbox!BM40)</f>
        <v/>
      </c>
      <c r="E480" s="343" t="str">
        <f>IF(Sandbox!BN40="","",Sandbox!BN40)</f>
        <v/>
      </c>
      <c r="F480" s="343" t="str">
        <f>IF(E480&lt;CharacterSheet!$V$34,"Yes","No")</f>
        <v>No</v>
      </c>
      <c r="G480" s="342" t="s">
        <v>347</v>
      </c>
      <c r="H480" s="333" t="str">
        <f>IF(C480="","",VLOOKUP(C480,Boonref2!A:B,2,FALSE))</f>
        <v/>
      </c>
      <c r="I480" s="333"/>
      <c r="J480" s="333" t="str">
        <f>VLOOKUP(C480,BoonRef!A:Z,17,FALSE)</f>
        <v>Yes</v>
      </c>
      <c r="K480" s="333" t="str">
        <f>IF(J480="God",'House Rules'!$B$2,IF(J480="Demi",'House Rules'!$B$1,IF(J480="Comp",'House Rules'!$B$4,IF(J480="Yaz",'House Rules'!$B$5,IF(J480="Rag",'House Rules'!$B$3,"Available")))))</f>
        <v>Available</v>
      </c>
      <c r="L480" s="333"/>
      <c r="M480" s="333"/>
      <c r="BF480" s="319">
        <f t="shared" si="174"/>
        <v>0</v>
      </c>
      <c r="BG480" s="340" t="s">
        <v>1197</v>
      </c>
      <c r="BI480" s="319">
        <f t="shared" si="168"/>
        <v>0</v>
      </c>
      <c r="BJ480" s="319">
        <f t="shared" si="173"/>
        <v>0</v>
      </c>
      <c r="BK480" s="319">
        <f t="shared" si="173"/>
        <v>0</v>
      </c>
      <c r="BL480" s="319">
        <f t="shared" si="173"/>
        <v>0</v>
      </c>
      <c r="BM480" s="319">
        <f t="shared" si="173"/>
        <v>0</v>
      </c>
      <c r="BN480" s="319">
        <f t="shared" si="173"/>
        <v>0</v>
      </c>
      <c r="BO480" s="319">
        <f t="shared" si="173"/>
        <v>0</v>
      </c>
      <c r="BP480" s="319">
        <f t="shared" si="173"/>
        <v>0</v>
      </c>
      <c r="BQ480" s="319">
        <f t="shared" si="173"/>
        <v>0</v>
      </c>
      <c r="BR480" s="319">
        <f t="shared" si="173"/>
        <v>0</v>
      </c>
      <c r="BS480" s="319">
        <f t="shared" si="173"/>
        <v>0</v>
      </c>
      <c r="BT480" s="319">
        <f t="shared" si="173"/>
        <v>0</v>
      </c>
      <c r="BU480" s="319">
        <f t="shared" si="173"/>
        <v>0</v>
      </c>
      <c r="BV480" s="319">
        <f t="shared" si="173"/>
        <v>0</v>
      </c>
      <c r="BW480" s="319">
        <f t="shared" si="173"/>
        <v>0</v>
      </c>
      <c r="BX480" s="319">
        <f t="shared" si="173"/>
        <v>0</v>
      </c>
      <c r="BY480" s="319">
        <f t="shared" si="173"/>
        <v>0</v>
      </c>
      <c r="BZ480" s="319">
        <f t="shared" si="173"/>
        <v>0</v>
      </c>
      <c r="CA480" s="319">
        <f t="shared" si="173"/>
        <v>0</v>
      </c>
      <c r="CB480" s="319">
        <f t="shared" si="173"/>
        <v>0</v>
      </c>
      <c r="CC480" s="319">
        <f t="shared" si="173"/>
        <v>0</v>
      </c>
      <c r="CD480" s="319">
        <f t="shared" si="173"/>
        <v>0</v>
      </c>
      <c r="CE480" s="319">
        <f t="shared" si="173"/>
        <v>0</v>
      </c>
      <c r="CF480" s="319">
        <f t="shared" si="173"/>
        <v>0</v>
      </c>
      <c r="CG480" s="319">
        <f t="shared" si="173"/>
        <v>0</v>
      </c>
      <c r="CH480" s="319">
        <f t="shared" si="173"/>
        <v>0</v>
      </c>
      <c r="CI480" s="319">
        <f t="shared" si="173"/>
        <v>0</v>
      </c>
      <c r="CJ480" s="319">
        <f t="shared" si="173"/>
        <v>0</v>
      </c>
      <c r="CK480" s="319">
        <f t="shared" si="173"/>
        <v>0</v>
      </c>
      <c r="CL480" s="319">
        <f t="shared" si="173"/>
        <v>0</v>
      </c>
      <c r="CM480" s="319">
        <f t="shared" si="173"/>
        <v>0</v>
      </c>
      <c r="CN480" s="319">
        <f t="shared" si="173"/>
        <v>0</v>
      </c>
      <c r="CO480" s="319">
        <f t="shared" si="173"/>
        <v>0</v>
      </c>
      <c r="CP480" s="319">
        <f t="shared" si="173"/>
        <v>0</v>
      </c>
      <c r="CQ480" s="319">
        <f t="shared" si="173"/>
        <v>0</v>
      </c>
      <c r="CR480" s="319">
        <f t="shared" si="173"/>
        <v>0</v>
      </c>
      <c r="CS480" s="319">
        <f t="shared" si="173"/>
        <v>0</v>
      </c>
      <c r="CT480" s="319">
        <f t="shared" si="173"/>
        <v>0</v>
      </c>
      <c r="CU480" s="319">
        <f t="shared" si="173"/>
        <v>0</v>
      </c>
      <c r="CV480" s="319">
        <f t="shared" si="173"/>
        <v>0</v>
      </c>
    </row>
    <row r="481" spans="1:100" x14ac:dyDescent="0.25">
      <c r="A481" s="319">
        <f t="shared" si="167"/>
        <v>0</v>
      </c>
      <c r="B481" s="319">
        <f t="shared" si="170"/>
        <v>0</v>
      </c>
      <c r="C481" s="364" t="str">
        <f>IF(Sandbox!BL41="","",Sandbox!BL41)</f>
        <v/>
      </c>
      <c r="D481" s="343" t="str">
        <f>IF(Sandbox!BM41="Select","",Sandbox!BM41)</f>
        <v/>
      </c>
      <c r="E481" s="343" t="str">
        <f>IF(Sandbox!BN41="","",Sandbox!BN41)</f>
        <v/>
      </c>
      <c r="F481" s="343" t="str">
        <f>IF(E481&lt;CharacterSheet!$V$34,"Yes","No")</f>
        <v>No</v>
      </c>
      <c r="G481" s="342" t="s">
        <v>347</v>
      </c>
      <c r="H481" s="333" t="str">
        <f>IF(C481="","",VLOOKUP(C481,Boonref2!A:B,2,FALSE))</f>
        <v/>
      </c>
      <c r="I481" s="333"/>
      <c r="J481" s="333" t="str">
        <f>VLOOKUP(C481,BoonRef!A:Z,17,FALSE)</f>
        <v>Yes</v>
      </c>
      <c r="K481" s="333" t="str">
        <f>IF(J481="God",'House Rules'!$B$2,IF(J481="Demi",'House Rules'!$B$1,IF(J481="Comp",'House Rules'!$B$4,IF(J481="Yaz",'House Rules'!$B$5,IF(J481="Rag",'House Rules'!$B$3,"Available")))))</f>
        <v>Available</v>
      </c>
      <c r="L481" s="333"/>
      <c r="M481" s="333"/>
      <c r="BF481" s="319">
        <f t="shared" si="174"/>
        <v>0</v>
      </c>
      <c r="BG481" s="340" t="s">
        <v>1198</v>
      </c>
      <c r="BI481" s="319">
        <f t="shared" si="168"/>
        <v>0</v>
      </c>
      <c r="BJ481" s="319">
        <f t="shared" si="173"/>
        <v>0</v>
      </c>
      <c r="BK481" s="319">
        <f t="shared" si="173"/>
        <v>0</v>
      </c>
      <c r="BL481" s="319">
        <f t="shared" si="173"/>
        <v>0</v>
      </c>
      <c r="BM481" s="319">
        <f t="shared" si="173"/>
        <v>0</v>
      </c>
      <c r="BN481" s="319">
        <f t="shared" si="173"/>
        <v>0</v>
      </c>
      <c r="BO481" s="319">
        <f t="shared" si="173"/>
        <v>0</v>
      </c>
      <c r="BP481" s="319">
        <f t="shared" si="173"/>
        <v>0</v>
      </c>
      <c r="BQ481" s="319">
        <f t="shared" si="173"/>
        <v>0</v>
      </c>
      <c r="BR481" s="319">
        <f t="shared" si="173"/>
        <v>0</v>
      </c>
      <c r="BS481" s="319">
        <f t="shared" si="173"/>
        <v>0</v>
      </c>
      <c r="BT481" s="319">
        <f t="shared" si="173"/>
        <v>0</v>
      </c>
      <c r="BU481" s="319">
        <f t="shared" si="173"/>
        <v>0</v>
      </c>
      <c r="BV481" s="319">
        <f t="shared" si="173"/>
        <v>0</v>
      </c>
      <c r="BW481" s="319">
        <f t="shared" si="173"/>
        <v>0</v>
      </c>
      <c r="BX481" s="319">
        <f t="shared" si="173"/>
        <v>0</v>
      </c>
      <c r="BY481" s="319">
        <f t="shared" si="173"/>
        <v>0</v>
      </c>
      <c r="BZ481" s="319">
        <f t="shared" si="173"/>
        <v>0</v>
      </c>
      <c r="CA481" s="319">
        <f t="shared" si="173"/>
        <v>0</v>
      </c>
      <c r="CB481" s="319">
        <f t="shared" si="173"/>
        <v>0</v>
      </c>
      <c r="CC481" s="319">
        <f t="shared" si="173"/>
        <v>0</v>
      </c>
      <c r="CD481" s="319">
        <f t="shared" si="173"/>
        <v>0</v>
      </c>
      <c r="CE481" s="319">
        <f t="shared" si="173"/>
        <v>0</v>
      </c>
      <c r="CF481" s="319">
        <f t="shared" si="173"/>
        <v>0</v>
      </c>
      <c r="CG481" s="319">
        <f t="shared" si="173"/>
        <v>0</v>
      </c>
      <c r="CH481" s="319">
        <f t="shared" si="173"/>
        <v>0</v>
      </c>
      <c r="CI481" s="319">
        <f t="shared" si="173"/>
        <v>0</v>
      </c>
      <c r="CJ481" s="319">
        <f t="shared" si="173"/>
        <v>0</v>
      </c>
      <c r="CK481" s="319">
        <f t="shared" si="173"/>
        <v>0</v>
      </c>
      <c r="CL481" s="319">
        <f t="shared" si="173"/>
        <v>0</v>
      </c>
      <c r="CM481" s="319">
        <f t="shared" si="173"/>
        <v>0</v>
      </c>
      <c r="CN481" s="319">
        <f t="shared" si="173"/>
        <v>0</v>
      </c>
      <c r="CO481" s="319">
        <f t="shared" si="173"/>
        <v>0</v>
      </c>
      <c r="CP481" s="319">
        <f t="shared" si="173"/>
        <v>0</v>
      </c>
      <c r="CQ481" s="319">
        <f t="shared" si="173"/>
        <v>0</v>
      </c>
      <c r="CR481" s="319">
        <f t="shared" si="173"/>
        <v>0</v>
      </c>
      <c r="CS481" s="319">
        <f t="shared" si="173"/>
        <v>0</v>
      </c>
      <c r="CT481" s="319">
        <f t="shared" si="173"/>
        <v>0</v>
      </c>
      <c r="CU481" s="319">
        <f t="shared" si="173"/>
        <v>0</v>
      </c>
      <c r="CV481" s="319">
        <f t="shared" si="173"/>
        <v>0</v>
      </c>
    </row>
    <row r="482" spans="1:100" x14ac:dyDescent="0.25">
      <c r="A482" s="319">
        <f t="shared" si="167"/>
        <v>0</v>
      </c>
      <c r="B482" s="319">
        <f t="shared" si="170"/>
        <v>0</v>
      </c>
      <c r="C482" s="364" t="str">
        <f>IF(Sandbox!BL42="","",Sandbox!BL42)</f>
        <v/>
      </c>
      <c r="D482" s="343" t="str">
        <f>IF(Sandbox!BM42="Select","",Sandbox!BM42)</f>
        <v/>
      </c>
      <c r="E482" s="343" t="str">
        <f>IF(Sandbox!BN42="","",Sandbox!BN42)</f>
        <v/>
      </c>
      <c r="F482" s="343" t="str">
        <f>IF(E482&lt;CharacterSheet!$V$34,"Yes","No")</f>
        <v>No</v>
      </c>
      <c r="G482" s="342" t="s">
        <v>347</v>
      </c>
      <c r="H482" s="333" t="str">
        <f>IF(C482="","",VLOOKUP(C482,Boonref2!A:B,2,FALSE))</f>
        <v/>
      </c>
      <c r="I482" s="333"/>
      <c r="J482" s="333" t="str">
        <f>VLOOKUP(C482,BoonRef!A:Z,17,FALSE)</f>
        <v>Yes</v>
      </c>
      <c r="K482" s="333" t="str">
        <f>IF(J482="God",'House Rules'!$B$2,IF(J482="Demi",'House Rules'!$B$1,IF(J482="Comp",'House Rules'!$B$4,IF(J482="Yaz",'House Rules'!$B$5,IF(J482="Rag",'House Rules'!$B$3,"Available")))))</f>
        <v>Available</v>
      </c>
      <c r="L482" s="333"/>
      <c r="M482" s="333"/>
      <c r="BF482" s="319">
        <f t="shared" si="174"/>
        <v>0</v>
      </c>
      <c r="BG482" s="340" t="s">
        <v>1294</v>
      </c>
      <c r="BI482" s="319">
        <f t="shared" si="168"/>
        <v>0</v>
      </c>
      <c r="BJ482" s="319">
        <f t="shared" si="173"/>
        <v>0</v>
      </c>
      <c r="BK482" s="319">
        <f t="shared" si="173"/>
        <v>0</v>
      </c>
      <c r="BL482" s="319">
        <f t="shared" si="173"/>
        <v>0</v>
      </c>
      <c r="BM482" s="319">
        <f t="shared" si="173"/>
        <v>0</v>
      </c>
      <c r="BN482" s="319">
        <f t="shared" si="173"/>
        <v>0</v>
      </c>
      <c r="BO482" s="319">
        <f t="shared" si="173"/>
        <v>0</v>
      </c>
      <c r="BP482" s="319">
        <f t="shared" si="173"/>
        <v>0</v>
      </c>
      <c r="BQ482" s="319">
        <f t="shared" si="173"/>
        <v>0</v>
      </c>
      <c r="BR482" s="319">
        <f t="shared" si="173"/>
        <v>0</v>
      </c>
      <c r="BS482" s="319">
        <f t="shared" si="173"/>
        <v>0</v>
      </c>
      <c r="BT482" s="319">
        <f t="shared" si="173"/>
        <v>0</v>
      </c>
      <c r="BU482" s="319">
        <f t="shared" si="173"/>
        <v>0</v>
      </c>
      <c r="BV482" s="319">
        <f t="shared" si="173"/>
        <v>0</v>
      </c>
      <c r="BW482" s="319">
        <f t="shared" si="173"/>
        <v>0</v>
      </c>
      <c r="BX482" s="319">
        <f t="shared" si="173"/>
        <v>0</v>
      </c>
      <c r="BY482" s="319">
        <f t="shared" si="173"/>
        <v>0</v>
      </c>
      <c r="BZ482" s="319">
        <f t="shared" si="173"/>
        <v>0</v>
      </c>
      <c r="CA482" s="319">
        <f t="shared" si="173"/>
        <v>0</v>
      </c>
      <c r="CB482" s="319">
        <f t="shared" si="173"/>
        <v>0</v>
      </c>
      <c r="CC482" s="319">
        <f t="shared" si="173"/>
        <v>0</v>
      </c>
      <c r="CD482" s="319">
        <f t="shared" si="173"/>
        <v>0</v>
      </c>
      <c r="CE482" s="319">
        <f t="shared" si="173"/>
        <v>0</v>
      </c>
      <c r="CF482" s="319">
        <f t="shared" si="173"/>
        <v>0</v>
      </c>
      <c r="CG482" s="319">
        <f t="shared" si="173"/>
        <v>0</v>
      </c>
      <c r="CH482" s="319">
        <f t="shared" si="173"/>
        <v>0</v>
      </c>
      <c r="CI482" s="319">
        <f t="shared" si="173"/>
        <v>0</v>
      </c>
      <c r="CJ482" s="319">
        <f t="shared" si="173"/>
        <v>0</v>
      </c>
      <c r="CK482" s="319">
        <f t="shared" si="173"/>
        <v>0</v>
      </c>
      <c r="CL482" s="319">
        <f t="shared" si="173"/>
        <v>0</v>
      </c>
      <c r="CM482" s="319">
        <f t="shared" si="173"/>
        <v>0</v>
      </c>
      <c r="CN482" s="319">
        <f t="shared" si="173"/>
        <v>0</v>
      </c>
      <c r="CO482" s="319">
        <f t="shared" si="173"/>
        <v>0</v>
      </c>
      <c r="CP482" s="319">
        <f t="shared" si="173"/>
        <v>0</v>
      </c>
      <c r="CQ482" s="319">
        <f t="shared" ref="BJ482:CV489" si="175">IF(AND($D482=CQ$1,$G482="Yes"),$E482,0)</f>
        <v>0</v>
      </c>
      <c r="CR482" s="319">
        <f t="shared" si="175"/>
        <v>0</v>
      </c>
      <c r="CS482" s="319">
        <f t="shared" si="175"/>
        <v>0</v>
      </c>
      <c r="CT482" s="319">
        <f t="shared" si="175"/>
        <v>0</v>
      </c>
      <c r="CU482" s="319">
        <f t="shared" si="175"/>
        <v>0</v>
      </c>
      <c r="CV482" s="319">
        <f t="shared" si="175"/>
        <v>0</v>
      </c>
    </row>
    <row r="483" spans="1:100" x14ac:dyDescent="0.25">
      <c r="A483" s="319">
        <f t="shared" si="167"/>
        <v>0</v>
      </c>
      <c r="B483" s="319">
        <f t="shared" si="170"/>
        <v>0</v>
      </c>
      <c r="C483" s="364" t="str">
        <f>IF(Sandbox!BL43="","",Sandbox!BL43)</f>
        <v/>
      </c>
      <c r="D483" s="343" t="str">
        <f>IF(Sandbox!BM43="Select","",Sandbox!BM43)</f>
        <v/>
      </c>
      <c r="E483" s="343" t="str">
        <f>IF(Sandbox!BN43="","",Sandbox!BN43)</f>
        <v/>
      </c>
      <c r="F483" s="343" t="str">
        <f>IF(E483&lt;CharacterSheet!$V$34,"Yes","No")</f>
        <v>No</v>
      </c>
      <c r="G483" s="342" t="s">
        <v>347</v>
      </c>
      <c r="H483" s="333" t="str">
        <f>IF(C483="","",VLOOKUP(C483,Boonref2!A:B,2,FALSE))</f>
        <v/>
      </c>
      <c r="I483" s="333"/>
      <c r="J483" s="333" t="str">
        <f>VLOOKUP(C483,BoonRef!A:Z,17,FALSE)</f>
        <v>Yes</v>
      </c>
      <c r="K483" s="333" t="str">
        <f>IF(J483="God",'House Rules'!$B$2,IF(J483="Demi",'House Rules'!$B$1,IF(J483="Comp",'House Rules'!$B$4,IF(J483="Yaz",'House Rules'!$B$5,IF(J483="Rag",'House Rules'!$B$3,"Available")))))</f>
        <v>Available</v>
      </c>
      <c r="L483" s="333"/>
      <c r="M483" s="333"/>
      <c r="BF483" s="319">
        <f t="shared" si="174"/>
        <v>0</v>
      </c>
      <c r="BG483" s="340" t="s">
        <v>2643</v>
      </c>
      <c r="BI483" s="319">
        <f t="shared" si="168"/>
        <v>0</v>
      </c>
      <c r="BJ483" s="319">
        <f t="shared" si="175"/>
        <v>0</v>
      </c>
      <c r="BK483" s="319">
        <f t="shared" si="175"/>
        <v>0</v>
      </c>
      <c r="BL483" s="319">
        <f t="shared" si="175"/>
        <v>0</v>
      </c>
      <c r="BM483" s="319">
        <f t="shared" si="175"/>
        <v>0</v>
      </c>
      <c r="BN483" s="319">
        <f t="shared" si="175"/>
        <v>0</v>
      </c>
      <c r="BO483" s="319">
        <f t="shared" si="175"/>
        <v>0</v>
      </c>
      <c r="BP483" s="319">
        <f t="shared" si="175"/>
        <v>0</v>
      </c>
      <c r="BQ483" s="319">
        <f t="shared" si="175"/>
        <v>0</v>
      </c>
      <c r="BR483" s="319">
        <f t="shared" si="175"/>
        <v>0</v>
      </c>
      <c r="BS483" s="319">
        <f t="shared" si="175"/>
        <v>0</v>
      </c>
      <c r="BT483" s="319">
        <f t="shared" si="175"/>
        <v>0</v>
      </c>
      <c r="BU483" s="319">
        <f t="shared" si="175"/>
        <v>0</v>
      </c>
      <c r="BV483" s="319">
        <f t="shared" si="175"/>
        <v>0</v>
      </c>
      <c r="BW483" s="319">
        <f t="shared" si="175"/>
        <v>0</v>
      </c>
      <c r="BX483" s="319">
        <f t="shared" si="175"/>
        <v>0</v>
      </c>
      <c r="BY483" s="319">
        <f t="shared" si="175"/>
        <v>0</v>
      </c>
      <c r="BZ483" s="319">
        <f t="shared" si="175"/>
        <v>0</v>
      </c>
      <c r="CA483" s="319">
        <f t="shared" si="175"/>
        <v>0</v>
      </c>
      <c r="CB483" s="319">
        <f t="shared" si="175"/>
        <v>0</v>
      </c>
      <c r="CC483" s="319">
        <f t="shared" si="175"/>
        <v>0</v>
      </c>
      <c r="CD483" s="319">
        <f t="shared" si="175"/>
        <v>0</v>
      </c>
      <c r="CE483" s="319">
        <f t="shared" si="175"/>
        <v>0</v>
      </c>
      <c r="CF483" s="319">
        <f t="shared" si="175"/>
        <v>0</v>
      </c>
      <c r="CG483" s="319">
        <f t="shared" si="175"/>
        <v>0</v>
      </c>
      <c r="CH483" s="319">
        <f t="shared" si="175"/>
        <v>0</v>
      </c>
      <c r="CI483" s="319">
        <f t="shared" si="175"/>
        <v>0</v>
      </c>
      <c r="CJ483" s="319">
        <f t="shared" si="175"/>
        <v>0</v>
      </c>
      <c r="CK483" s="319">
        <f t="shared" si="175"/>
        <v>0</v>
      </c>
      <c r="CL483" s="319">
        <f t="shared" si="175"/>
        <v>0</v>
      </c>
      <c r="CM483" s="319">
        <f t="shared" si="175"/>
        <v>0</v>
      </c>
      <c r="CN483" s="319">
        <f t="shared" si="175"/>
        <v>0</v>
      </c>
      <c r="CO483" s="319">
        <f t="shared" si="175"/>
        <v>0</v>
      </c>
      <c r="CP483" s="319">
        <f t="shared" si="175"/>
        <v>0</v>
      </c>
      <c r="CQ483" s="319">
        <f t="shared" si="175"/>
        <v>0</v>
      </c>
      <c r="CR483" s="319">
        <f t="shared" si="175"/>
        <v>0</v>
      </c>
      <c r="CS483" s="319">
        <f t="shared" si="175"/>
        <v>0</v>
      </c>
      <c r="CT483" s="319">
        <f t="shared" si="175"/>
        <v>0</v>
      </c>
      <c r="CU483" s="319">
        <f t="shared" si="175"/>
        <v>0</v>
      </c>
      <c r="CV483" s="319">
        <f t="shared" si="175"/>
        <v>0</v>
      </c>
    </row>
    <row r="484" spans="1:100" x14ac:dyDescent="0.25">
      <c r="A484" s="319">
        <f t="shared" si="167"/>
        <v>0</v>
      </c>
      <c r="B484" s="319">
        <f t="shared" si="170"/>
        <v>0</v>
      </c>
      <c r="C484" s="364" t="str">
        <f>IF(Sandbox!BL44="","",Sandbox!BL44)</f>
        <v/>
      </c>
      <c r="D484" s="343" t="str">
        <f>IF(Sandbox!BM44="Select","",Sandbox!BM44)</f>
        <v/>
      </c>
      <c r="E484" s="343" t="str">
        <f>IF(Sandbox!BN44="","",Sandbox!BN44)</f>
        <v/>
      </c>
      <c r="F484" s="343" t="str">
        <f>IF(E484&lt;CharacterSheet!$V$34,"Yes","No")</f>
        <v>No</v>
      </c>
      <c r="G484" s="342" t="s">
        <v>347</v>
      </c>
      <c r="H484" s="333" t="str">
        <f>IF(C484="","",VLOOKUP(C484,Boonref2!A:B,2,FALSE))</f>
        <v/>
      </c>
      <c r="I484" s="333"/>
      <c r="J484" s="333" t="str">
        <f>VLOOKUP(C484,BoonRef!A:Z,17,FALSE)</f>
        <v>Yes</v>
      </c>
      <c r="K484" s="333" t="str">
        <f>IF(J484="God",'House Rules'!$B$2,IF(J484="Demi",'House Rules'!$B$1,IF(J484="Comp",'House Rules'!$B$4,IF(J484="Yaz",'House Rules'!$B$5,IF(J484="Rag",'House Rules'!$B$3,"Available")))))</f>
        <v>Available</v>
      </c>
      <c r="L484" s="333"/>
      <c r="M484" s="333"/>
      <c r="BF484" s="319">
        <f t="shared" si="174"/>
        <v>0</v>
      </c>
      <c r="BG484" s="340" t="s">
        <v>1295</v>
      </c>
      <c r="BI484" s="319">
        <f t="shared" si="168"/>
        <v>0</v>
      </c>
      <c r="BJ484" s="319">
        <f t="shared" si="175"/>
        <v>0</v>
      </c>
      <c r="BK484" s="319">
        <f t="shared" si="175"/>
        <v>0</v>
      </c>
      <c r="BL484" s="319">
        <f t="shared" si="175"/>
        <v>0</v>
      </c>
      <c r="BM484" s="319">
        <f t="shared" si="175"/>
        <v>0</v>
      </c>
      <c r="BN484" s="319">
        <f t="shared" si="175"/>
        <v>0</v>
      </c>
      <c r="BO484" s="319">
        <f t="shared" si="175"/>
        <v>0</v>
      </c>
      <c r="BP484" s="319">
        <f t="shared" si="175"/>
        <v>0</v>
      </c>
      <c r="BQ484" s="319">
        <f t="shared" si="175"/>
        <v>0</v>
      </c>
      <c r="BR484" s="319">
        <f t="shared" si="175"/>
        <v>0</v>
      </c>
      <c r="BS484" s="319">
        <f t="shared" si="175"/>
        <v>0</v>
      </c>
      <c r="BT484" s="319">
        <f t="shared" si="175"/>
        <v>0</v>
      </c>
      <c r="BU484" s="319">
        <f t="shared" si="175"/>
        <v>0</v>
      </c>
      <c r="BV484" s="319">
        <f t="shared" si="175"/>
        <v>0</v>
      </c>
      <c r="BW484" s="319">
        <f t="shared" si="175"/>
        <v>0</v>
      </c>
      <c r="BX484" s="319">
        <f t="shared" si="175"/>
        <v>0</v>
      </c>
      <c r="BY484" s="319">
        <f t="shared" si="175"/>
        <v>0</v>
      </c>
      <c r="BZ484" s="319">
        <f t="shared" si="175"/>
        <v>0</v>
      </c>
      <c r="CA484" s="319">
        <f t="shared" si="175"/>
        <v>0</v>
      </c>
      <c r="CB484" s="319">
        <f t="shared" si="175"/>
        <v>0</v>
      </c>
      <c r="CC484" s="319">
        <f t="shared" si="175"/>
        <v>0</v>
      </c>
      <c r="CD484" s="319">
        <f t="shared" si="175"/>
        <v>0</v>
      </c>
      <c r="CE484" s="319">
        <f t="shared" si="175"/>
        <v>0</v>
      </c>
      <c r="CF484" s="319">
        <f t="shared" si="175"/>
        <v>0</v>
      </c>
      <c r="CG484" s="319">
        <f t="shared" si="175"/>
        <v>0</v>
      </c>
      <c r="CH484" s="319">
        <f t="shared" si="175"/>
        <v>0</v>
      </c>
      <c r="CI484" s="319">
        <f t="shared" si="175"/>
        <v>0</v>
      </c>
      <c r="CJ484" s="319">
        <f t="shared" si="175"/>
        <v>0</v>
      </c>
      <c r="CK484" s="319">
        <f t="shared" si="175"/>
        <v>0</v>
      </c>
      <c r="CL484" s="319">
        <f t="shared" si="175"/>
        <v>0</v>
      </c>
      <c r="CM484" s="319">
        <f t="shared" si="175"/>
        <v>0</v>
      </c>
      <c r="CN484" s="319">
        <f t="shared" si="175"/>
        <v>0</v>
      </c>
      <c r="CO484" s="319">
        <f t="shared" si="175"/>
        <v>0</v>
      </c>
      <c r="CP484" s="319">
        <f t="shared" si="175"/>
        <v>0</v>
      </c>
      <c r="CQ484" s="319">
        <f t="shared" si="175"/>
        <v>0</v>
      </c>
      <c r="CR484" s="319">
        <f t="shared" si="175"/>
        <v>0</v>
      </c>
      <c r="CS484" s="319">
        <f t="shared" si="175"/>
        <v>0</v>
      </c>
      <c r="CT484" s="319">
        <f t="shared" si="175"/>
        <v>0</v>
      </c>
      <c r="CU484" s="319">
        <f t="shared" si="175"/>
        <v>0</v>
      </c>
      <c r="CV484" s="319">
        <f t="shared" si="175"/>
        <v>0</v>
      </c>
    </row>
    <row r="485" spans="1:100" x14ac:dyDescent="0.25">
      <c r="A485" s="319">
        <f t="shared" si="167"/>
        <v>0</v>
      </c>
      <c r="B485" s="319">
        <f t="shared" si="170"/>
        <v>0</v>
      </c>
      <c r="C485" s="364" t="str">
        <f>IF(Sandbox!BL45="","",Sandbox!BL45)</f>
        <v/>
      </c>
      <c r="D485" s="343" t="str">
        <f>IF(Sandbox!BM45="Select","",Sandbox!BM45)</f>
        <v/>
      </c>
      <c r="E485" s="343" t="str">
        <f>IF(Sandbox!BN45="","",Sandbox!BN45)</f>
        <v/>
      </c>
      <c r="F485" s="343" t="str">
        <f>IF(E485&lt;CharacterSheet!$V$34,"Yes","No")</f>
        <v>No</v>
      </c>
      <c r="G485" s="342" t="s">
        <v>347</v>
      </c>
      <c r="H485" s="333" t="str">
        <f>IF(C485="","",VLOOKUP(C485,Boonref2!A:B,2,FALSE))</f>
        <v/>
      </c>
      <c r="I485" s="333"/>
      <c r="J485" s="333" t="str">
        <f>VLOOKUP(C485,BoonRef!A:Z,17,FALSE)</f>
        <v>Yes</v>
      </c>
      <c r="K485" s="333" t="str">
        <f>IF(J485="God",'House Rules'!$B$2,IF(J485="Demi",'House Rules'!$B$1,IF(J485="Comp",'House Rules'!$B$4,IF(J485="Yaz",'House Rules'!$B$5,IF(J485="Rag",'House Rules'!$B$3,"Available")))))</f>
        <v>Available</v>
      </c>
      <c r="L485" s="333"/>
      <c r="M485" s="333"/>
      <c r="BF485" s="319">
        <f t="shared" si="174"/>
        <v>0</v>
      </c>
      <c r="BG485" s="340" t="s">
        <v>1406</v>
      </c>
      <c r="BI485" s="319">
        <f t="shared" si="168"/>
        <v>0</v>
      </c>
      <c r="BJ485" s="319">
        <f t="shared" si="175"/>
        <v>0</v>
      </c>
      <c r="BK485" s="319">
        <f t="shared" si="175"/>
        <v>0</v>
      </c>
      <c r="BL485" s="319">
        <f t="shared" si="175"/>
        <v>0</v>
      </c>
      <c r="BM485" s="319">
        <f t="shared" si="175"/>
        <v>0</v>
      </c>
      <c r="BN485" s="319">
        <f t="shared" si="175"/>
        <v>0</v>
      </c>
      <c r="BO485" s="319">
        <f t="shared" si="175"/>
        <v>0</v>
      </c>
      <c r="BP485" s="319">
        <f t="shared" si="175"/>
        <v>0</v>
      </c>
      <c r="BQ485" s="319">
        <f t="shared" si="175"/>
        <v>0</v>
      </c>
      <c r="BR485" s="319">
        <f t="shared" si="175"/>
        <v>0</v>
      </c>
      <c r="BS485" s="319">
        <f t="shared" si="175"/>
        <v>0</v>
      </c>
      <c r="BT485" s="319">
        <f t="shared" si="175"/>
        <v>0</v>
      </c>
      <c r="BU485" s="319">
        <f t="shared" si="175"/>
        <v>0</v>
      </c>
      <c r="BV485" s="319">
        <f t="shared" si="175"/>
        <v>0</v>
      </c>
      <c r="BW485" s="319">
        <f t="shared" si="175"/>
        <v>0</v>
      </c>
      <c r="BX485" s="319">
        <f t="shared" si="175"/>
        <v>0</v>
      </c>
      <c r="BY485" s="319">
        <f t="shared" si="175"/>
        <v>0</v>
      </c>
      <c r="BZ485" s="319">
        <f t="shared" si="175"/>
        <v>0</v>
      </c>
      <c r="CA485" s="319">
        <f t="shared" si="175"/>
        <v>0</v>
      </c>
      <c r="CB485" s="319">
        <f t="shared" si="175"/>
        <v>0</v>
      </c>
      <c r="CC485" s="319">
        <f t="shared" si="175"/>
        <v>0</v>
      </c>
      <c r="CD485" s="319">
        <f t="shared" si="175"/>
        <v>0</v>
      </c>
      <c r="CE485" s="319">
        <f t="shared" si="175"/>
        <v>0</v>
      </c>
      <c r="CF485" s="319">
        <f t="shared" si="175"/>
        <v>0</v>
      </c>
      <c r="CG485" s="319">
        <f t="shared" si="175"/>
        <v>0</v>
      </c>
      <c r="CH485" s="319">
        <f t="shared" si="175"/>
        <v>0</v>
      </c>
      <c r="CI485" s="319">
        <f t="shared" si="175"/>
        <v>0</v>
      </c>
      <c r="CJ485" s="319">
        <f t="shared" si="175"/>
        <v>0</v>
      </c>
      <c r="CK485" s="319">
        <f t="shared" si="175"/>
        <v>0</v>
      </c>
      <c r="CL485" s="319">
        <f t="shared" si="175"/>
        <v>0</v>
      </c>
      <c r="CM485" s="319">
        <f t="shared" si="175"/>
        <v>0</v>
      </c>
      <c r="CN485" s="319">
        <f t="shared" si="175"/>
        <v>0</v>
      </c>
      <c r="CO485" s="319">
        <f t="shared" si="175"/>
        <v>0</v>
      </c>
      <c r="CP485" s="319">
        <f t="shared" si="175"/>
        <v>0</v>
      </c>
      <c r="CQ485" s="319">
        <f t="shared" si="175"/>
        <v>0</v>
      </c>
      <c r="CR485" s="319">
        <f t="shared" si="175"/>
        <v>0</v>
      </c>
      <c r="CS485" s="319">
        <f t="shared" si="175"/>
        <v>0</v>
      </c>
      <c r="CT485" s="319">
        <f t="shared" si="175"/>
        <v>0</v>
      </c>
      <c r="CU485" s="319">
        <f t="shared" si="175"/>
        <v>0</v>
      </c>
      <c r="CV485" s="319">
        <f t="shared" si="175"/>
        <v>0</v>
      </c>
    </row>
    <row r="486" spans="1:100" ht="15.75" thickBot="1" x14ac:dyDescent="0.3">
      <c r="A486" s="319">
        <f t="shared" si="167"/>
        <v>0</v>
      </c>
      <c r="B486" s="319">
        <f t="shared" si="170"/>
        <v>0</v>
      </c>
      <c r="C486" s="364" t="str">
        <f>IF(Sandbox!BL46="","",Sandbox!BL46)</f>
        <v/>
      </c>
      <c r="D486" s="343" t="str">
        <f>IF(Sandbox!BM46="Select","",Sandbox!BM46)</f>
        <v/>
      </c>
      <c r="E486" s="343" t="str">
        <f>IF(Sandbox!BN46="","",Sandbox!BN46)</f>
        <v/>
      </c>
      <c r="F486" s="343" t="str">
        <f>IF(E486&lt;CharacterSheet!$V$34,"Yes","No")</f>
        <v>No</v>
      </c>
      <c r="G486" s="342" t="s">
        <v>347</v>
      </c>
      <c r="H486" s="333" t="str">
        <f>IF(C486="","",VLOOKUP(C486,Boonref2!A:B,2,FALSE))</f>
        <v/>
      </c>
      <c r="I486" s="333"/>
      <c r="J486" s="333" t="str">
        <f>VLOOKUP(C486,BoonRef!A:Z,17,FALSE)</f>
        <v>Yes</v>
      </c>
      <c r="K486" s="333" t="str">
        <f>IF(J486="God",'House Rules'!$B$2,IF(J486="Demi",'House Rules'!$B$1,IF(J486="Comp",'House Rules'!$B$4,IF(J486="Yaz",'House Rules'!$B$5,IF(J486="Rag",'House Rules'!$B$3,"Available")))))</f>
        <v>Available</v>
      </c>
      <c r="L486" s="333"/>
      <c r="M486" s="333"/>
      <c r="BF486" s="319">
        <f t="shared" si="174"/>
        <v>0</v>
      </c>
      <c r="BG486" s="352" t="s">
        <v>1296</v>
      </c>
      <c r="BI486" s="319">
        <f t="shared" si="168"/>
        <v>0</v>
      </c>
      <c r="BJ486" s="319">
        <f t="shared" si="175"/>
        <v>0</v>
      </c>
      <c r="BK486" s="319">
        <f t="shared" si="175"/>
        <v>0</v>
      </c>
      <c r="BL486" s="319">
        <f t="shared" si="175"/>
        <v>0</v>
      </c>
      <c r="BM486" s="319">
        <f t="shared" si="175"/>
        <v>0</v>
      </c>
      <c r="BN486" s="319">
        <f t="shared" si="175"/>
        <v>0</v>
      </c>
      <c r="BO486" s="319">
        <f t="shared" si="175"/>
        <v>0</v>
      </c>
      <c r="BP486" s="319">
        <f t="shared" si="175"/>
        <v>0</v>
      </c>
      <c r="BQ486" s="319">
        <f t="shared" si="175"/>
        <v>0</v>
      </c>
      <c r="BR486" s="319">
        <f t="shared" si="175"/>
        <v>0</v>
      </c>
      <c r="BS486" s="319">
        <f t="shared" si="175"/>
        <v>0</v>
      </c>
      <c r="BT486" s="319">
        <f t="shared" si="175"/>
        <v>0</v>
      </c>
      <c r="BU486" s="319">
        <f t="shared" si="175"/>
        <v>0</v>
      </c>
      <c r="BV486" s="319">
        <f t="shared" si="175"/>
        <v>0</v>
      </c>
      <c r="BW486" s="319">
        <f t="shared" si="175"/>
        <v>0</v>
      </c>
      <c r="BX486" s="319">
        <f t="shared" si="175"/>
        <v>0</v>
      </c>
      <c r="BY486" s="319">
        <f t="shared" si="175"/>
        <v>0</v>
      </c>
      <c r="BZ486" s="319">
        <f t="shared" si="175"/>
        <v>0</v>
      </c>
      <c r="CA486" s="319">
        <f t="shared" si="175"/>
        <v>0</v>
      </c>
      <c r="CB486" s="319">
        <f t="shared" si="175"/>
        <v>0</v>
      </c>
      <c r="CC486" s="319">
        <f t="shared" si="175"/>
        <v>0</v>
      </c>
      <c r="CD486" s="319">
        <f t="shared" si="175"/>
        <v>0</v>
      </c>
      <c r="CE486" s="319">
        <f t="shared" si="175"/>
        <v>0</v>
      </c>
      <c r="CF486" s="319">
        <f t="shared" si="175"/>
        <v>0</v>
      </c>
      <c r="CG486" s="319">
        <f t="shared" si="175"/>
        <v>0</v>
      </c>
      <c r="CH486" s="319">
        <f t="shared" si="175"/>
        <v>0</v>
      </c>
      <c r="CI486" s="319">
        <f t="shared" si="175"/>
        <v>0</v>
      </c>
      <c r="CJ486" s="319">
        <f t="shared" si="175"/>
        <v>0</v>
      </c>
      <c r="CK486" s="319">
        <f t="shared" si="175"/>
        <v>0</v>
      </c>
      <c r="CL486" s="319">
        <f t="shared" si="175"/>
        <v>0</v>
      </c>
      <c r="CM486" s="319">
        <f t="shared" si="175"/>
        <v>0</v>
      </c>
      <c r="CN486" s="319">
        <f t="shared" si="175"/>
        <v>0</v>
      </c>
      <c r="CO486" s="319">
        <f t="shared" si="175"/>
        <v>0</v>
      </c>
      <c r="CP486" s="319">
        <f t="shared" si="175"/>
        <v>0</v>
      </c>
      <c r="CQ486" s="319">
        <f t="shared" si="175"/>
        <v>0</v>
      </c>
      <c r="CR486" s="319">
        <f t="shared" si="175"/>
        <v>0</v>
      </c>
      <c r="CS486" s="319">
        <f t="shared" si="175"/>
        <v>0</v>
      </c>
      <c r="CT486" s="319">
        <f t="shared" si="175"/>
        <v>0</v>
      </c>
      <c r="CU486" s="319">
        <f t="shared" si="175"/>
        <v>0</v>
      </c>
      <c r="CV486" s="319">
        <f t="shared" si="175"/>
        <v>0</v>
      </c>
    </row>
    <row r="487" spans="1:100" x14ac:dyDescent="0.25">
      <c r="A487" s="319">
        <f t="shared" si="167"/>
        <v>0</v>
      </c>
      <c r="B487" s="319">
        <f t="shared" si="170"/>
        <v>0</v>
      </c>
      <c r="C487" s="364" t="str">
        <f>IF(Sandbox!BL47="","",Sandbox!BL47)</f>
        <v/>
      </c>
      <c r="D487" s="343" t="str">
        <f>IF(Sandbox!BM47="Select","",Sandbox!BM47)</f>
        <v/>
      </c>
      <c r="E487" s="343" t="str">
        <f>IF(Sandbox!BN47="","",Sandbox!BN47)</f>
        <v/>
      </c>
      <c r="F487" s="343" t="str">
        <f>IF(E487&lt;CharacterSheet!$V$34,"Yes","No")</f>
        <v>No</v>
      </c>
      <c r="G487" s="342" t="s">
        <v>347</v>
      </c>
      <c r="H487" s="333" t="str">
        <f>IF(C487="","",VLOOKUP(C487,Boonref2!A:B,2,FALSE))</f>
        <v/>
      </c>
      <c r="I487" s="333"/>
      <c r="J487" s="333" t="str">
        <f>VLOOKUP(C487,BoonRef!A:Z,17,FALSE)</f>
        <v>Yes</v>
      </c>
      <c r="K487" s="333" t="str">
        <f>IF(J487="God",'House Rules'!$B$2,IF(J487="Demi",'House Rules'!$B$1,IF(J487="Comp",'House Rules'!$B$4,IF(J487="Yaz",'House Rules'!$B$5,IF(J487="Rag",'House Rules'!$B$3,"Available")))))</f>
        <v>Available</v>
      </c>
      <c r="L487" s="333"/>
      <c r="M487" s="333"/>
      <c r="BF487" s="319">
        <f t="shared" si="174"/>
        <v>0</v>
      </c>
      <c r="BG487" s="330" t="s">
        <v>1297</v>
      </c>
      <c r="BI487" s="319">
        <f t="shared" si="168"/>
        <v>0</v>
      </c>
      <c r="BJ487" s="319">
        <f t="shared" si="175"/>
        <v>0</v>
      </c>
      <c r="BK487" s="319">
        <f t="shared" si="175"/>
        <v>0</v>
      </c>
      <c r="BL487" s="319">
        <f t="shared" si="175"/>
        <v>0</v>
      </c>
      <c r="BM487" s="319">
        <f t="shared" si="175"/>
        <v>0</v>
      </c>
      <c r="BN487" s="319">
        <f t="shared" si="175"/>
        <v>0</v>
      </c>
      <c r="BO487" s="319">
        <f t="shared" si="175"/>
        <v>0</v>
      </c>
      <c r="BP487" s="319">
        <f t="shared" si="175"/>
        <v>0</v>
      </c>
      <c r="BQ487" s="319">
        <f t="shared" si="175"/>
        <v>0</v>
      </c>
      <c r="BR487" s="319">
        <f t="shared" si="175"/>
        <v>0</v>
      </c>
      <c r="BS487" s="319">
        <f t="shared" si="175"/>
        <v>0</v>
      </c>
      <c r="BT487" s="319">
        <f t="shared" si="175"/>
        <v>0</v>
      </c>
      <c r="BU487" s="319">
        <f t="shared" si="175"/>
        <v>0</v>
      </c>
      <c r="BV487" s="319">
        <f t="shared" si="175"/>
        <v>0</v>
      </c>
      <c r="BW487" s="319">
        <f t="shared" si="175"/>
        <v>0</v>
      </c>
      <c r="BX487" s="319">
        <f t="shared" si="175"/>
        <v>0</v>
      </c>
      <c r="BY487" s="319">
        <f t="shared" si="175"/>
        <v>0</v>
      </c>
      <c r="BZ487" s="319">
        <f t="shared" si="175"/>
        <v>0</v>
      </c>
      <c r="CA487" s="319">
        <f t="shared" si="175"/>
        <v>0</v>
      </c>
      <c r="CB487" s="319">
        <f t="shared" si="175"/>
        <v>0</v>
      </c>
      <c r="CC487" s="319">
        <f t="shared" si="175"/>
        <v>0</v>
      </c>
      <c r="CD487" s="319">
        <f t="shared" si="175"/>
        <v>0</v>
      </c>
      <c r="CE487" s="319">
        <f t="shared" si="175"/>
        <v>0</v>
      </c>
      <c r="CF487" s="319">
        <f t="shared" si="175"/>
        <v>0</v>
      </c>
      <c r="CG487" s="319">
        <f t="shared" si="175"/>
        <v>0</v>
      </c>
      <c r="CH487" s="319">
        <f t="shared" si="175"/>
        <v>0</v>
      </c>
      <c r="CI487" s="319">
        <f t="shared" si="175"/>
        <v>0</v>
      </c>
      <c r="CJ487" s="319">
        <f t="shared" si="175"/>
        <v>0</v>
      </c>
      <c r="CK487" s="319">
        <f t="shared" si="175"/>
        <v>0</v>
      </c>
      <c r="CL487" s="319">
        <f t="shared" si="175"/>
        <v>0</v>
      </c>
      <c r="CM487" s="319">
        <f t="shared" si="175"/>
        <v>0</v>
      </c>
      <c r="CN487" s="319">
        <f t="shared" si="175"/>
        <v>0</v>
      </c>
      <c r="CO487" s="319">
        <f t="shared" si="175"/>
        <v>0</v>
      </c>
      <c r="CP487" s="319">
        <f t="shared" si="175"/>
        <v>0</v>
      </c>
      <c r="CQ487" s="319">
        <f t="shared" si="175"/>
        <v>0</v>
      </c>
      <c r="CR487" s="319">
        <f t="shared" si="175"/>
        <v>0</v>
      </c>
      <c r="CS487" s="319">
        <f t="shared" si="175"/>
        <v>0</v>
      </c>
      <c r="CT487" s="319">
        <f t="shared" si="175"/>
        <v>0</v>
      </c>
      <c r="CU487" s="319">
        <f t="shared" si="175"/>
        <v>0</v>
      </c>
      <c r="CV487" s="319">
        <f t="shared" si="175"/>
        <v>0</v>
      </c>
    </row>
    <row r="488" spans="1:100" x14ac:dyDescent="0.25">
      <c r="A488" s="319">
        <f t="shared" si="167"/>
        <v>0</v>
      </c>
      <c r="B488" s="319">
        <f t="shared" si="170"/>
        <v>0</v>
      </c>
      <c r="C488" s="364" t="str">
        <f>IF(Sandbox!BL48="","",Sandbox!BL48)</f>
        <v/>
      </c>
      <c r="D488" s="343" t="str">
        <f>IF(Sandbox!BM48="Select","",Sandbox!BM48)</f>
        <v/>
      </c>
      <c r="E488" s="343" t="str">
        <f>IF(Sandbox!BN48="","",Sandbox!BN48)</f>
        <v/>
      </c>
      <c r="F488" s="343" t="str">
        <f>IF(E488&lt;CharacterSheet!$V$34,"Yes","No")</f>
        <v>No</v>
      </c>
      <c r="G488" s="342" t="s">
        <v>347</v>
      </c>
      <c r="H488" s="333" t="str">
        <f>IF(C488="","",VLOOKUP(C488,Boonref2!A:B,2,FALSE))</f>
        <v/>
      </c>
      <c r="I488" s="333"/>
      <c r="J488" s="333" t="str">
        <f>VLOOKUP(C488,BoonRef!A:Z,17,FALSE)</f>
        <v>Yes</v>
      </c>
      <c r="K488" s="333" t="str">
        <f>IF(J488="God",'House Rules'!$B$2,IF(J488="Demi",'House Rules'!$B$1,IF(J488="Comp",'House Rules'!$B$4,IF(J488="Yaz",'House Rules'!$B$5,IF(J488="Rag",'House Rules'!$B$3,"Available")))))</f>
        <v>Available</v>
      </c>
      <c r="L488" s="333"/>
      <c r="M488" s="333"/>
      <c r="BF488" s="319">
        <f t="shared" si="174"/>
        <v>0</v>
      </c>
      <c r="BG488" s="340" t="s">
        <v>1106</v>
      </c>
      <c r="BI488" s="319">
        <f t="shared" si="168"/>
        <v>0</v>
      </c>
      <c r="BJ488" s="319">
        <f t="shared" si="175"/>
        <v>0</v>
      </c>
      <c r="BK488" s="319">
        <f t="shared" si="175"/>
        <v>0</v>
      </c>
      <c r="BL488" s="319">
        <f t="shared" si="175"/>
        <v>0</v>
      </c>
      <c r="BM488" s="319">
        <f t="shared" si="175"/>
        <v>0</v>
      </c>
      <c r="BN488" s="319">
        <f t="shared" si="175"/>
        <v>0</v>
      </c>
      <c r="BO488" s="319">
        <f t="shared" si="175"/>
        <v>0</v>
      </c>
      <c r="BP488" s="319">
        <f t="shared" si="175"/>
        <v>0</v>
      </c>
      <c r="BQ488" s="319">
        <f t="shared" si="175"/>
        <v>0</v>
      </c>
      <c r="BR488" s="319">
        <f t="shared" si="175"/>
        <v>0</v>
      </c>
      <c r="BS488" s="319">
        <f t="shared" si="175"/>
        <v>0</v>
      </c>
      <c r="BT488" s="319">
        <f t="shared" si="175"/>
        <v>0</v>
      </c>
      <c r="BU488" s="319">
        <f t="shared" si="175"/>
        <v>0</v>
      </c>
      <c r="BV488" s="319">
        <f t="shared" si="175"/>
        <v>0</v>
      </c>
      <c r="BW488" s="319">
        <f t="shared" si="175"/>
        <v>0</v>
      </c>
      <c r="BX488" s="319">
        <f t="shared" si="175"/>
        <v>0</v>
      </c>
      <c r="BY488" s="319">
        <f t="shared" si="175"/>
        <v>0</v>
      </c>
      <c r="BZ488" s="319">
        <f t="shared" si="175"/>
        <v>0</v>
      </c>
      <c r="CA488" s="319">
        <f t="shared" si="175"/>
        <v>0</v>
      </c>
      <c r="CB488" s="319">
        <f t="shared" si="175"/>
        <v>0</v>
      </c>
      <c r="CC488" s="319">
        <f t="shared" si="175"/>
        <v>0</v>
      </c>
      <c r="CD488" s="319">
        <f t="shared" si="175"/>
        <v>0</v>
      </c>
      <c r="CE488" s="319">
        <f t="shared" si="175"/>
        <v>0</v>
      </c>
      <c r="CF488" s="319">
        <f t="shared" si="175"/>
        <v>0</v>
      </c>
      <c r="CG488" s="319">
        <f t="shared" si="175"/>
        <v>0</v>
      </c>
      <c r="CH488" s="319">
        <f t="shared" si="175"/>
        <v>0</v>
      </c>
      <c r="CI488" s="319">
        <f t="shared" si="175"/>
        <v>0</v>
      </c>
      <c r="CJ488" s="319">
        <f t="shared" si="175"/>
        <v>0</v>
      </c>
      <c r="CK488" s="319">
        <f t="shared" si="175"/>
        <v>0</v>
      </c>
      <c r="CL488" s="319">
        <f t="shared" si="175"/>
        <v>0</v>
      </c>
      <c r="CM488" s="319">
        <f t="shared" si="175"/>
        <v>0</v>
      </c>
      <c r="CN488" s="319">
        <f t="shared" si="175"/>
        <v>0</v>
      </c>
      <c r="CO488" s="319">
        <f t="shared" si="175"/>
        <v>0</v>
      </c>
      <c r="CP488" s="319">
        <f t="shared" si="175"/>
        <v>0</v>
      </c>
      <c r="CQ488" s="319">
        <f t="shared" si="175"/>
        <v>0</v>
      </c>
      <c r="CR488" s="319">
        <f t="shared" si="175"/>
        <v>0</v>
      </c>
      <c r="CS488" s="319">
        <f t="shared" si="175"/>
        <v>0</v>
      </c>
      <c r="CT488" s="319">
        <f t="shared" si="175"/>
        <v>0</v>
      </c>
      <c r="CU488" s="319">
        <f t="shared" si="175"/>
        <v>0</v>
      </c>
      <c r="CV488" s="319">
        <f t="shared" si="175"/>
        <v>0</v>
      </c>
    </row>
    <row r="489" spans="1:100" x14ac:dyDescent="0.25">
      <c r="A489" s="319">
        <f t="shared" si="167"/>
        <v>0</v>
      </c>
      <c r="B489" s="319">
        <f t="shared" si="170"/>
        <v>0</v>
      </c>
      <c r="C489" s="364" t="str">
        <f>IF(Sandbox!BL49="","",Sandbox!BL49)</f>
        <v/>
      </c>
      <c r="D489" s="343" t="str">
        <f>IF(Sandbox!BM49="Select","",Sandbox!BM49)</f>
        <v/>
      </c>
      <c r="E489" s="343" t="str">
        <f>IF(Sandbox!BN49="","",Sandbox!BN49)</f>
        <v/>
      </c>
      <c r="F489" s="343" t="str">
        <f>IF(E489&lt;CharacterSheet!$V$34,"Yes","No")</f>
        <v>No</v>
      </c>
      <c r="G489" s="342" t="s">
        <v>347</v>
      </c>
      <c r="H489" s="333" t="str">
        <f>IF(C489="","",VLOOKUP(C489,Boonref2!A:B,2,FALSE))</f>
        <v/>
      </c>
      <c r="I489" s="333"/>
      <c r="J489" s="333" t="str">
        <f>VLOOKUP(C489,BoonRef!A:Z,17,FALSE)</f>
        <v>Yes</v>
      </c>
      <c r="K489" s="333" t="str">
        <f>IF(J489="God",'House Rules'!$B$2,IF(J489="Demi",'House Rules'!$B$1,IF(J489="Comp",'House Rules'!$B$4,IF(J489="Yaz",'House Rules'!$B$5,IF(J489="Rag",'House Rules'!$B$3,"Available")))))</f>
        <v>Available</v>
      </c>
      <c r="L489" s="333"/>
      <c r="M489" s="333"/>
      <c r="BF489" s="319">
        <f t="shared" si="174"/>
        <v>0</v>
      </c>
      <c r="BG489" s="340" t="s">
        <v>1107</v>
      </c>
      <c r="BI489" s="319">
        <f t="shared" si="168"/>
        <v>0</v>
      </c>
      <c r="BJ489" s="319">
        <f t="shared" si="175"/>
        <v>0</v>
      </c>
      <c r="BK489" s="319">
        <f t="shared" si="175"/>
        <v>0</v>
      </c>
      <c r="BL489" s="319">
        <f t="shared" si="175"/>
        <v>0</v>
      </c>
      <c r="BM489" s="319">
        <f t="shared" si="175"/>
        <v>0</v>
      </c>
      <c r="BN489" s="319">
        <f t="shared" si="175"/>
        <v>0</v>
      </c>
      <c r="BO489" s="319">
        <f t="shared" si="175"/>
        <v>0</v>
      </c>
      <c r="BP489" s="319">
        <f t="shared" si="175"/>
        <v>0</v>
      </c>
      <c r="BQ489" s="319">
        <f t="shared" si="175"/>
        <v>0</v>
      </c>
      <c r="BR489" s="319">
        <f t="shared" si="175"/>
        <v>0</v>
      </c>
      <c r="BS489" s="319">
        <f t="shared" si="175"/>
        <v>0</v>
      </c>
      <c r="BT489" s="319">
        <f t="shared" si="175"/>
        <v>0</v>
      </c>
      <c r="BU489" s="319">
        <f t="shared" si="175"/>
        <v>0</v>
      </c>
      <c r="BV489" s="319">
        <f t="shared" si="175"/>
        <v>0</v>
      </c>
      <c r="BW489" s="319">
        <f t="shared" si="175"/>
        <v>0</v>
      </c>
      <c r="BX489" s="319">
        <f t="shared" si="175"/>
        <v>0</v>
      </c>
      <c r="BY489" s="319">
        <f t="shared" ref="BJ489:CV495" si="176">IF(AND($D489=BY$1,$G489="Yes"),$E489,0)</f>
        <v>0</v>
      </c>
      <c r="BZ489" s="319">
        <f t="shared" si="176"/>
        <v>0</v>
      </c>
      <c r="CA489" s="319">
        <f t="shared" si="176"/>
        <v>0</v>
      </c>
      <c r="CB489" s="319">
        <f t="shared" si="176"/>
        <v>0</v>
      </c>
      <c r="CC489" s="319">
        <f t="shared" si="176"/>
        <v>0</v>
      </c>
      <c r="CD489" s="319">
        <f t="shared" si="176"/>
        <v>0</v>
      </c>
      <c r="CE489" s="319">
        <f t="shared" si="176"/>
        <v>0</v>
      </c>
      <c r="CF489" s="319">
        <f t="shared" si="176"/>
        <v>0</v>
      </c>
      <c r="CG489" s="319">
        <f t="shared" si="176"/>
        <v>0</v>
      </c>
      <c r="CH489" s="319">
        <f t="shared" si="176"/>
        <v>0</v>
      </c>
      <c r="CI489" s="319">
        <f t="shared" si="176"/>
        <v>0</v>
      </c>
      <c r="CJ489" s="319">
        <f t="shared" si="176"/>
        <v>0</v>
      </c>
      <c r="CK489" s="319">
        <f t="shared" si="176"/>
        <v>0</v>
      </c>
      <c r="CL489" s="319">
        <f t="shared" si="176"/>
        <v>0</v>
      </c>
      <c r="CM489" s="319">
        <f t="shared" si="176"/>
        <v>0</v>
      </c>
      <c r="CN489" s="319">
        <f t="shared" si="176"/>
        <v>0</v>
      </c>
      <c r="CO489" s="319">
        <f t="shared" si="176"/>
        <v>0</v>
      </c>
      <c r="CP489" s="319">
        <f t="shared" si="176"/>
        <v>0</v>
      </c>
      <c r="CQ489" s="319">
        <f t="shared" si="176"/>
        <v>0</v>
      </c>
      <c r="CR489" s="319">
        <f t="shared" si="176"/>
        <v>0</v>
      </c>
      <c r="CS489" s="319">
        <f t="shared" si="176"/>
        <v>0</v>
      </c>
      <c r="CT489" s="319">
        <f t="shared" si="176"/>
        <v>0</v>
      </c>
      <c r="CU489" s="319">
        <f t="shared" si="176"/>
        <v>0</v>
      </c>
      <c r="CV489" s="319">
        <f t="shared" si="176"/>
        <v>0</v>
      </c>
    </row>
    <row r="490" spans="1:100" x14ac:dyDescent="0.25">
      <c r="A490" s="319">
        <f t="shared" si="167"/>
        <v>0</v>
      </c>
      <c r="B490" s="319">
        <f t="shared" si="170"/>
        <v>0</v>
      </c>
      <c r="C490" s="364" t="str">
        <f>IF(Sandbox!BL50="","",Sandbox!BL50)</f>
        <v/>
      </c>
      <c r="D490" s="343" t="str">
        <f>IF(Sandbox!BM50="Select","",Sandbox!BM50)</f>
        <v/>
      </c>
      <c r="E490" s="343" t="str">
        <f>IF(Sandbox!BN50="","",Sandbox!BN50)</f>
        <v/>
      </c>
      <c r="F490" s="343" t="str">
        <f>IF(E490&lt;CharacterSheet!$V$34,"Yes","No")</f>
        <v>No</v>
      </c>
      <c r="G490" s="342" t="s">
        <v>347</v>
      </c>
      <c r="H490" s="333" t="str">
        <f>IF(C490="","",VLOOKUP(C490,Boonref2!A:B,2,FALSE))</f>
        <v/>
      </c>
      <c r="I490" s="333"/>
      <c r="J490" s="333" t="str">
        <f>VLOOKUP(C490,BoonRef!A:Z,17,FALSE)</f>
        <v>Yes</v>
      </c>
      <c r="K490" s="333" t="str">
        <f>IF(J490="God",'House Rules'!$B$2,IF(J490="Demi",'House Rules'!$B$1,IF(J490="Comp",'House Rules'!$B$4,IF(J490="Yaz",'House Rules'!$B$5,IF(J490="Rag",'House Rules'!$B$3,"Available")))))</f>
        <v>Available</v>
      </c>
      <c r="L490" s="333"/>
      <c r="M490" s="333"/>
      <c r="BF490" s="319">
        <f t="shared" si="174"/>
        <v>0</v>
      </c>
      <c r="BG490" s="340" t="s">
        <v>1108</v>
      </c>
      <c r="BI490" s="319">
        <f t="shared" si="168"/>
        <v>0</v>
      </c>
      <c r="BJ490" s="319">
        <f t="shared" si="176"/>
        <v>0</v>
      </c>
      <c r="BK490" s="319">
        <f t="shared" si="176"/>
        <v>0</v>
      </c>
      <c r="BL490" s="319">
        <f t="shared" si="176"/>
        <v>0</v>
      </c>
      <c r="BM490" s="319">
        <f t="shared" si="176"/>
        <v>0</v>
      </c>
      <c r="BN490" s="319">
        <f t="shared" si="176"/>
        <v>0</v>
      </c>
      <c r="BO490" s="319">
        <f t="shared" si="176"/>
        <v>0</v>
      </c>
      <c r="BP490" s="319">
        <f t="shared" si="176"/>
        <v>0</v>
      </c>
      <c r="BQ490" s="319">
        <f t="shared" si="176"/>
        <v>0</v>
      </c>
      <c r="BR490" s="319">
        <f t="shared" si="176"/>
        <v>0</v>
      </c>
      <c r="BS490" s="319">
        <f t="shared" si="176"/>
        <v>0</v>
      </c>
      <c r="BT490" s="319">
        <f t="shared" si="176"/>
        <v>0</v>
      </c>
      <c r="BU490" s="319">
        <f t="shared" si="176"/>
        <v>0</v>
      </c>
      <c r="BV490" s="319">
        <f t="shared" si="176"/>
        <v>0</v>
      </c>
      <c r="BW490" s="319">
        <f t="shared" si="176"/>
        <v>0</v>
      </c>
      <c r="BX490" s="319">
        <f t="shared" si="176"/>
        <v>0</v>
      </c>
      <c r="BY490" s="319">
        <f t="shared" si="176"/>
        <v>0</v>
      </c>
      <c r="BZ490" s="319">
        <f t="shared" si="176"/>
        <v>0</v>
      </c>
      <c r="CA490" s="319">
        <f t="shared" si="176"/>
        <v>0</v>
      </c>
      <c r="CB490" s="319">
        <f t="shared" si="176"/>
        <v>0</v>
      </c>
      <c r="CC490" s="319">
        <f t="shared" si="176"/>
        <v>0</v>
      </c>
      <c r="CD490" s="319">
        <f t="shared" si="176"/>
        <v>0</v>
      </c>
      <c r="CE490" s="319">
        <f t="shared" si="176"/>
        <v>0</v>
      </c>
      <c r="CF490" s="319">
        <f t="shared" si="176"/>
        <v>0</v>
      </c>
      <c r="CG490" s="319">
        <f t="shared" si="176"/>
        <v>0</v>
      </c>
      <c r="CH490" s="319">
        <f t="shared" si="176"/>
        <v>0</v>
      </c>
      <c r="CI490" s="319">
        <f t="shared" si="176"/>
        <v>0</v>
      </c>
      <c r="CJ490" s="319">
        <f t="shared" si="176"/>
        <v>0</v>
      </c>
      <c r="CK490" s="319">
        <f t="shared" si="176"/>
        <v>0</v>
      </c>
      <c r="CL490" s="319">
        <f t="shared" si="176"/>
        <v>0</v>
      </c>
      <c r="CM490" s="319">
        <f t="shared" si="176"/>
        <v>0</v>
      </c>
      <c r="CN490" s="319">
        <f t="shared" si="176"/>
        <v>0</v>
      </c>
      <c r="CO490" s="319">
        <f t="shared" si="176"/>
        <v>0</v>
      </c>
      <c r="CP490" s="319">
        <f t="shared" si="176"/>
        <v>0</v>
      </c>
      <c r="CQ490" s="319">
        <f t="shared" si="176"/>
        <v>0</v>
      </c>
      <c r="CR490" s="319">
        <f t="shared" si="176"/>
        <v>0</v>
      </c>
      <c r="CS490" s="319">
        <f t="shared" si="176"/>
        <v>0</v>
      </c>
      <c r="CT490" s="319">
        <f t="shared" si="176"/>
        <v>0</v>
      </c>
      <c r="CU490" s="319">
        <f t="shared" si="176"/>
        <v>0</v>
      </c>
      <c r="CV490" s="319">
        <f t="shared" si="176"/>
        <v>0</v>
      </c>
    </row>
    <row r="491" spans="1:100" x14ac:dyDescent="0.25">
      <c r="A491" s="319">
        <f t="shared" si="167"/>
        <v>0</v>
      </c>
      <c r="B491" s="319">
        <f t="shared" si="170"/>
        <v>0</v>
      </c>
      <c r="C491" s="364" t="str">
        <f>IF(Sandbox!BL51="","",Sandbox!BL51)</f>
        <v/>
      </c>
      <c r="D491" s="343" t="str">
        <f>IF(Sandbox!BM51="Select","",Sandbox!BM51)</f>
        <v/>
      </c>
      <c r="E491" s="343" t="str">
        <f>IF(Sandbox!BN51="","",Sandbox!BN51)</f>
        <v/>
      </c>
      <c r="F491" s="343" t="str">
        <f>IF(E491&lt;CharacterSheet!$V$34,"Yes","No")</f>
        <v>No</v>
      </c>
      <c r="G491" s="342" t="s">
        <v>347</v>
      </c>
      <c r="H491" s="333" t="str">
        <f>IF(C491="","",VLOOKUP(C491,Boonref2!A:B,2,FALSE))</f>
        <v/>
      </c>
      <c r="I491" s="333"/>
      <c r="J491" s="333" t="str">
        <f>VLOOKUP(C491,BoonRef!A:Z,17,FALSE)</f>
        <v>Yes</v>
      </c>
      <c r="K491" s="333" t="str">
        <f>IF(J491="God",'House Rules'!$B$2,IF(J491="Demi",'House Rules'!$B$1,IF(J491="Comp",'House Rules'!$B$4,IF(J491="Yaz",'House Rules'!$B$5,IF(J491="Rag",'House Rules'!$B$3,"Available")))))</f>
        <v>Available</v>
      </c>
      <c r="L491" s="333"/>
      <c r="M491" s="333"/>
      <c r="BF491" s="319">
        <f t="shared" si="174"/>
        <v>0</v>
      </c>
      <c r="BG491" s="340" t="s">
        <v>1199</v>
      </c>
      <c r="BI491" s="319">
        <f t="shared" si="168"/>
        <v>0</v>
      </c>
      <c r="BJ491" s="319">
        <f t="shared" si="176"/>
        <v>0</v>
      </c>
      <c r="BK491" s="319">
        <f t="shared" si="176"/>
        <v>0</v>
      </c>
      <c r="BL491" s="319">
        <f t="shared" si="176"/>
        <v>0</v>
      </c>
      <c r="BM491" s="319">
        <f t="shared" si="176"/>
        <v>0</v>
      </c>
      <c r="BN491" s="319">
        <f t="shared" si="176"/>
        <v>0</v>
      </c>
      <c r="BO491" s="319">
        <f t="shared" si="176"/>
        <v>0</v>
      </c>
      <c r="BP491" s="319">
        <f t="shared" si="176"/>
        <v>0</v>
      </c>
      <c r="BQ491" s="319">
        <f t="shared" si="176"/>
        <v>0</v>
      </c>
      <c r="BR491" s="319">
        <f t="shared" si="176"/>
        <v>0</v>
      </c>
      <c r="BS491" s="319">
        <f t="shared" si="176"/>
        <v>0</v>
      </c>
      <c r="BT491" s="319">
        <f t="shared" si="176"/>
        <v>0</v>
      </c>
      <c r="BU491" s="319">
        <f t="shared" si="176"/>
        <v>0</v>
      </c>
      <c r="BV491" s="319">
        <f t="shared" si="176"/>
        <v>0</v>
      </c>
      <c r="BW491" s="319">
        <f t="shared" si="176"/>
        <v>0</v>
      </c>
      <c r="BX491" s="319">
        <f t="shared" si="176"/>
        <v>0</v>
      </c>
      <c r="BY491" s="319">
        <f t="shared" si="176"/>
        <v>0</v>
      </c>
      <c r="BZ491" s="319">
        <f t="shared" si="176"/>
        <v>0</v>
      </c>
      <c r="CA491" s="319">
        <f t="shared" si="176"/>
        <v>0</v>
      </c>
      <c r="CB491" s="319">
        <f t="shared" si="176"/>
        <v>0</v>
      </c>
      <c r="CC491" s="319">
        <f t="shared" si="176"/>
        <v>0</v>
      </c>
      <c r="CD491" s="319">
        <f t="shared" si="176"/>
        <v>0</v>
      </c>
      <c r="CE491" s="319">
        <f t="shared" si="176"/>
        <v>0</v>
      </c>
      <c r="CF491" s="319">
        <f t="shared" si="176"/>
        <v>0</v>
      </c>
      <c r="CG491" s="319">
        <f t="shared" si="176"/>
        <v>0</v>
      </c>
      <c r="CH491" s="319">
        <f t="shared" si="176"/>
        <v>0</v>
      </c>
      <c r="CI491" s="319">
        <f t="shared" si="176"/>
        <v>0</v>
      </c>
      <c r="CJ491" s="319">
        <f t="shared" si="176"/>
        <v>0</v>
      </c>
      <c r="CK491" s="319">
        <f t="shared" si="176"/>
        <v>0</v>
      </c>
      <c r="CL491" s="319">
        <f t="shared" si="176"/>
        <v>0</v>
      </c>
      <c r="CM491" s="319">
        <f t="shared" si="176"/>
        <v>0</v>
      </c>
      <c r="CN491" s="319">
        <f t="shared" si="176"/>
        <v>0</v>
      </c>
      <c r="CO491" s="319">
        <f t="shared" si="176"/>
        <v>0</v>
      </c>
      <c r="CP491" s="319">
        <f t="shared" si="176"/>
        <v>0</v>
      </c>
      <c r="CQ491" s="319">
        <f t="shared" si="176"/>
        <v>0</v>
      </c>
      <c r="CR491" s="319">
        <f t="shared" si="176"/>
        <v>0</v>
      </c>
      <c r="CS491" s="319">
        <f t="shared" si="176"/>
        <v>0</v>
      </c>
      <c r="CT491" s="319">
        <f t="shared" si="176"/>
        <v>0</v>
      </c>
      <c r="CU491" s="319">
        <f t="shared" si="176"/>
        <v>0</v>
      </c>
      <c r="CV491" s="319">
        <f t="shared" si="176"/>
        <v>0</v>
      </c>
    </row>
    <row r="492" spans="1:100" x14ac:dyDescent="0.25">
      <c r="A492" s="319">
        <f t="shared" si="167"/>
        <v>0</v>
      </c>
      <c r="B492" s="319">
        <f t="shared" si="170"/>
        <v>0</v>
      </c>
      <c r="C492" s="364" t="str">
        <f>IF(Sandbox!BL52="","",Sandbox!BL52)</f>
        <v/>
      </c>
      <c r="D492" s="343" t="str">
        <f>IF(Sandbox!BM52="Select","",Sandbox!BM52)</f>
        <v/>
      </c>
      <c r="E492" s="343" t="str">
        <f>IF(Sandbox!BN52="","",Sandbox!BN52)</f>
        <v/>
      </c>
      <c r="F492" s="343" t="str">
        <f>IF(E492&lt;CharacterSheet!$V$34,"Yes","No")</f>
        <v>No</v>
      </c>
      <c r="G492" s="342" t="s">
        <v>347</v>
      </c>
      <c r="H492" s="333" t="str">
        <f>IF(C492="","",VLOOKUP(C492,Boonref2!A:B,2,FALSE))</f>
        <v/>
      </c>
      <c r="I492" s="333"/>
      <c r="J492" s="333" t="str">
        <f>VLOOKUP(C492,BoonRef!A:Z,17,FALSE)</f>
        <v>Yes</v>
      </c>
      <c r="K492" s="333" t="str">
        <f>IF(J492="God",'House Rules'!$B$2,IF(J492="Demi",'House Rules'!$B$1,IF(J492="Comp",'House Rules'!$B$4,IF(J492="Yaz",'House Rules'!$B$5,IF(J492="Rag",'House Rules'!$B$3,"Available")))))</f>
        <v>Available</v>
      </c>
      <c r="L492" s="333"/>
      <c r="M492" s="333"/>
      <c r="BF492" s="319">
        <f t="shared" si="174"/>
        <v>0</v>
      </c>
      <c r="BG492" s="340" t="s">
        <v>1500</v>
      </c>
      <c r="BI492" s="319">
        <f t="shared" si="168"/>
        <v>0</v>
      </c>
      <c r="BJ492" s="319">
        <f t="shared" si="176"/>
        <v>0</v>
      </c>
      <c r="BK492" s="319">
        <f t="shared" si="176"/>
        <v>0</v>
      </c>
      <c r="BL492" s="319">
        <f t="shared" si="176"/>
        <v>0</v>
      </c>
      <c r="BM492" s="319">
        <f t="shared" si="176"/>
        <v>0</v>
      </c>
      <c r="BN492" s="319">
        <f t="shared" si="176"/>
        <v>0</v>
      </c>
      <c r="BO492" s="319">
        <f t="shared" si="176"/>
        <v>0</v>
      </c>
      <c r="BP492" s="319">
        <f t="shared" si="176"/>
        <v>0</v>
      </c>
      <c r="BQ492" s="319">
        <f t="shared" si="176"/>
        <v>0</v>
      </c>
      <c r="BR492" s="319">
        <f t="shared" si="176"/>
        <v>0</v>
      </c>
      <c r="BS492" s="319">
        <f t="shared" si="176"/>
        <v>0</v>
      </c>
      <c r="BT492" s="319">
        <f t="shared" si="176"/>
        <v>0</v>
      </c>
      <c r="BU492" s="319">
        <f t="shared" si="176"/>
        <v>0</v>
      </c>
      <c r="BV492" s="319">
        <f t="shared" si="176"/>
        <v>0</v>
      </c>
      <c r="BW492" s="319">
        <f t="shared" si="176"/>
        <v>0</v>
      </c>
      <c r="BX492" s="319">
        <f t="shared" si="176"/>
        <v>0</v>
      </c>
      <c r="BY492" s="319">
        <f t="shared" si="176"/>
        <v>0</v>
      </c>
      <c r="BZ492" s="319">
        <f t="shared" si="176"/>
        <v>0</v>
      </c>
      <c r="CA492" s="319">
        <f t="shared" si="176"/>
        <v>0</v>
      </c>
      <c r="CB492" s="319">
        <f t="shared" si="176"/>
        <v>0</v>
      </c>
      <c r="CC492" s="319">
        <f t="shared" si="176"/>
        <v>0</v>
      </c>
      <c r="CD492" s="319">
        <f t="shared" si="176"/>
        <v>0</v>
      </c>
      <c r="CE492" s="319">
        <f t="shared" si="176"/>
        <v>0</v>
      </c>
      <c r="CF492" s="319">
        <f t="shared" si="176"/>
        <v>0</v>
      </c>
      <c r="CG492" s="319">
        <f t="shared" si="176"/>
        <v>0</v>
      </c>
      <c r="CH492" s="319">
        <f t="shared" si="176"/>
        <v>0</v>
      </c>
      <c r="CI492" s="319">
        <f t="shared" si="176"/>
        <v>0</v>
      </c>
      <c r="CJ492" s="319">
        <f t="shared" si="176"/>
        <v>0</v>
      </c>
      <c r="CK492" s="319">
        <f t="shared" si="176"/>
        <v>0</v>
      </c>
      <c r="CL492" s="319">
        <f t="shared" si="176"/>
        <v>0</v>
      </c>
      <c r="CM492" s="319">
        <f t="shared" si="176"/>
        <v>0</v>
      </c>
      <c r="CN492" s="319">
        <f t="shared" si="176"/>
        <v>0</v>
      </c>
      <c r="CO492" s="319">
        <f t="shared" si="176"/>
        <v>0</v>
      </c>
      <c r="CP492" s="319">
        <f t="shared" si="176"/>
        <v>0</v>
      </c>
      <c r="CQ492" s="319">
        <f t="shared" si="176"/>
        <v>0</v>
      </c>
      <c r="CR492" s="319">
        <f t="shared" si="176"/>
        <v>0</v>
      </c>
      <c r="CS492" s="319">
        <f t="shared" si="176"/>
        <v>0</v>
      </c>
      <c r="CT492" s="319">
        <f t="shared" si="176"/>
        <v>0</v>
      </c>
      <c r="CU492" s="319">
        <f t="shared" si="176"/>
        <v>0</v>
      </c>
      <c r="CV492" s="319">
        <f t="shared" si="176"/>
        <v>0</v>
      </c>
    </row>
    <row r="493" spans="1:100" x14ac:dyDescent="0.25">
      <c r="A493" s="319">
        <f t="shared" si="167"/>
        <v>0</v>
      </c>
      <c r="B493" s="319">
        <f t="shared" si="170"/>
        <v>0</v>
      </c>
      <c r="C493" s="364" t="str">
        <f>IF(Sandbox!BL53="","",Sandbox!BL53)</f>
        <v/>
      </c>
      <c r="D493" s="343" t="str">
        <f>IF(Sandbox!BM53="Select","",Sandbox!BM53)</f>
        <v/>
      </c>
      <c r="E493" s="343" t="str">
        <f>IF(Sandbox!BN53="","",Sandbox!BN53)</f>
        <v/>
      </c>
      <c r="F493" s="343" t="str">
        <f>IF(E493&lt;CharacterSheet!$V$34,"Yes","No")</f>
        <v>No</v>
      </c>
      <c r="G493" s="342" t="s">
        <v>347</v>
      </c>
      <c r="H493" s="333" t="str">
        <f>IF(C493="","",VLOOKUP(C493,Boonref2!A:B,2,FALSE))</f>
        <v/>
      </c>
      <c r="I493" s="333"/>
      <c r="J493" s="333" t="str">
        <f>VLOOKUP(C493,BoonRef!A:Z,17,FALSE)</f>
        <v>Yes</v>
      </c>
      <c r="K493" s="333" t="str">
        <f>IF(J493="God",'House Rules'!$B$2,IF(J493="Demi",'House Rules'!$B$1,IF(J493="Comp",'House Rules'!$B$4,IF(J493="Yaz",'House Rules'!$B$5,IF(J493="Rag",'House Rules'!$B$3,"Available")))))</f>
        <v>Available</v>
      </c>
      <c r="L493" s="333"/>
      <c r="M493" s="333"/>
      <c r="BF493" s="319">
        <f t="shared" si="174"/>
        <v>0</v>
      </c>
      <c r="BG493" s="340" t="s">
        <v>1358</v>
      </c>
      <c r="BI493" s="319">
        <f t="shared" si="168"/>
        <v>0</v>
      </c>
      <c r="BJ493" s="319">
        <f t="shared" si="176"/>
        <v>0</v>
      </c>
      <c r="BK493" s="319">
        <f t="shared" si="176"/>
        <v>0</v>
      </c>
      <c r="BL493" s="319">
        <f t="shared" si="176"/>
        <v>0</v>
      </c>
      <c r="BM493" s="319">
        <f t="shared" si="176"/>
        <v>0</v>
      </c>
      <c r="BN493" s="319">
        <f t="shared" si="176"/>
        <v>0</v>
      </c>
      <c r="BO493" s="319">
        <f t="shared" si="176"/>
        <v>0</v>
      </c>
      <c r="BP493" s="319">
        <f t="shared" si="176"/>
        <v>0</v>
      </c>
      <c r="BQ493" s="319">
        <f t="shared" si="176"/>
        <v>0</v>
      </c>
      <c r="BR493" s="319">
        <f t="shared" si="176"/>
        <v>0</v>
      </c>
      <c r="BS493" s="319">
        <f t="shared" si="176"/>
        <v>0</v>
      </c>
      <c r="BT493" s="319">
        <f t="shared" si="176"/>
        <v>0</v>
      </c>
      <c r="BU493" s="319">
        <f t="shared" si="176"/>
        <v>0</v>
      </c>
      <c r="BV493" s="319">
        <f t="shared" si="176"/>
        <v>0</v>
      </c>
      <c r="BW493" s="319">
        <f t="shared" si="176"/>
        <v>0</v>
      </c>
      <c r="BX493" s="319">
        <f t="shared" si="176"/>
        <v>0</v>
      </c>
      <c r="BY493" s="319">
        <f t="shared" si="176"/>
        <v>0</v>
      </c>
      <c r="BZ493" s="319">
        <f t="shared" si="176"/>
        <v>0</v>
      </c>
      <c r="CA493" s="319">
        <f t="shared" si="176"/>
        <v>0</v>
      </c>
      <c r="CB493" s="319">
        <f t="shared" si="176"/>
        <v>0</v>
      </c>
      <c r="CC493" s="319">
        <f t="shared" si="176"/>
        <v>0</v>
      </c>
      <c r="CD493" s="319">
        <f t="shared" si="176"/>
        <v>0</v>
      </c>
      <c r="CE493" s="319">
        <f t="shared" si="176"/>
        <v>0</v>
      </c>
      <c r="CF493" s="319">
        <f t="shared" si="176"/>
        <v>0</v>
      </c>
      <c r="CG493" s="319">
        <f t="shared" si="176"/>
        <v>0</v>
      </c>
      <c r="CH493" s="319">
        <f t="shared" si="176"/>
        <v>0</v>
      </c>
      <c r="CI493" s="319">
        <f t="shared" si="176"/>
        <v>0</v>
      </c>
      <c r="CJ493" s="319">
        <f t="shared" si="176"/>
        <v>0</v>
      </c>
      <c r="CK493" s="319">
        <f t="shared" si="176"/>
        <v>0</v>
      </c>
      <c r="CL493" s="319">
        <f t="shared" si="176"/>
        <v>0</v>
      </c>
      <c r="CM493" s="319">
        <f t="shared" si="176"/>
        <v>0</v>
      </c>
      <c r="CN493" s="319">
        <f t="shared" si="176"/>
        <v>0</v>
      </c>
      <c r="CO493" s="319">
        <f t="shared" si="176"/>
        <v>0</v>
      </c>
      <c r="CP493" s="319">
        <f t="shared" si="176"/>
        <v>0</v>
      </c>
      <c r="CQ493" s="319">
        <f t="shared" si="176"/>
        <v>0</v>
      </c>
      <c r="CR493" s="319">
        <f t="shared" si="176"/>
        <v>0</v>
      </c>
      <c r="CS493" s="319">
        <f t="shared" si="176"/>
        <v>0</v>
      </c>
      <c r="CT493" s="319">
        <f t="shared" si="176"/>
        <v>0</v>
      </c>
      <c r="CU493" s="319">
        <f t="shared" si="176"/>
        <v>0</v>
      </c>
      <c r="CV493" s="319">
        <f t="shared" si="176"/>
        <v>0</v>
      </c>
    </row>
    <row r="494" spans="1:100" x14ac:dyDescent="0.25">
      <c r="A494" s="319">
        <f t="shared" si="167"/>
        <v>0</v>
      </c>
      <c r="B494" s="319">
        <f t="shared" si="170"/>
        <v>0</v>
      </c>
      <c r="C494" s="364" t="str">
        <f>IF(Sandbox!BL54="","",Sandbox!BL54)</f>
        <v/>
      </c>
      <c r="D494" s="343" t="str">
        <f>IF(Sandbox!BM54="Select","",Sandbox!BM54)</f>
        <v/>
      </c>
      <c r="E494" s="343" t="str">
        <f>IF(Sandbox!BN54="","",Sandbox!BN54)</f>
        <v/>
      </c>
      <c r="F494" s="343" t="str">
        <f>IF(E494&lt;CharacterSheet!$V$34,"Yes","No")</f>
        <v>No</v>
      </c>
      <c r="G494" s="342" t="s">
        <v>347</v>
      </c>
      <c r="H494" s="333" t="str">
        <f>IF(C494="","",VLOOKUP(C494,Boonref2!A:B,2,FALSE))</f>
        <v/>
      </c>
      <c r="I494" s="333"/>
      <c r="J494" s="333" t="str">
        <f>VLOOKUP(C494,BoonRef!A:Z,17,FALSE)</f>
        <v>Yes</v>
      </c>
      <c r="K494" s="333" t="str">
        <f>IF(J494="God",'House Rules'!$B$2,IF(J494="Demi",'House Rules'!$B$1,IF(J494="Comp",'House Rules'!$B$4,IF(J494="Yaz",'House Rules'!$B$5,IF(J494="Rag",'House Rules'!$B$3,"Available")))))</f>
        <v>Available</v>
      </c>
      <c r="L494" s="333"/>
      <c r="M494" s="333"/>
      <c r="BF494" s="319">
        <f t="shared" si="174"/>
        <v>0</v>
      </c>
      <c r="BG494" s="340" t="s">
        <v>1200</v>
      </c>
      <c r="BI494" s="319">
        <f t="shared" si="168"/>
        <v>0</v>
      </c>
      <c r="BJ494" s="319">
        <f t="shared" si="176"/>
        <v>0</v>
      </c>
      <c r="BK494" s="319">
        <f t="shared" si="176"/>
        <v>0</v>
      </c>
      <c r="BL494" s="319">
        <f t="shared" si="176"/>
        <v>0</v>
      </c>
      <c r="BM494" s="319">
        <f t="shared" si="176"/>
        <v>0</v>
      </c>
      <c r="BN494" s="319">
        <f t="shared" si="176"/>
        <v>0</v>
      </c>
      <c r="BO494" s="319">
        <f t="shared" si="176"/>
        <v>0</v>
      </c>
      <c r="BP494" s="319">
        <f t="shared" si="176"/>
        <v>0</v>
      </c>
      <c r="BQ494" s="319">
        <f t="shared" si="176"/>
        <v>0</v>
      </c>
      <c r="BR494" s="319">
        <f t="shared" si="176"/>
        <v>0</v>
      </c>
      <c r="BS494" s="319">
        <f t="shared" si="176"/>
        <v>0</v>
      </c>
      <c r="BT494" s="319">
        <f t="shared" si="176"/>
        <v>0</v>
      </c>
      <c r="BU494" s="319">
        <f t="shared" si="176"/>
        <v>0</v>
      </c>
      <c r="BV494" s="319">
        <f t="shared" si="176"/>
        <v>0</v>
      </c>
      <c r="BW494" s="319">
        <f t="shared" si="176"/>
        <v>0</v>
      </c>
      <c r="BX494" s="319">
        <f t="shared" si="176"/>
        <v>0</v>
      </c>
      <c r="BY494" s="319">
        <f t="shared" si="176"/>
        <v>0</v>
      </c>
      <c r="BZ494" s="319">
        <f t="shared" si="176"/>
        <v>0</v>
      </c>
      <c r="CA494" s="319">
        <f t="shared" si="176"/>
        <v>0</v>
      </c>
      <c r="CB494" s="319">
        <f t="shared" si="176"/>
        <v>0</v>
      </c>
      <c r="CC494" s="319">
        <f t="shared" si="176"/>
        <v>0</v>
      </c>
      <c r="CD494" s="319">
        <f t="shared" si="176"/>
        <v>0</v>
      </c>
      <c r="CE494" s="319">
        <f t="shared" si="176"/>
        <v>0</v>
      </c>
      <c r="CF494" s="319">
        <f t="shared" si="176"/>
        <v>0</v>
      </c>
      <c r="CG494" s="319">
        <f t="shared" si="176"/>
        <v>0</v>
      </c>
      <c r="CH494" s="319">
        <f t="shared" si="176"/>
        <v>0</v>
      </c>
      <c r="CI494" s="319">
        <f t="shared" si="176"/>
        <v>0</v>
      </c>
      <c r="CJ494" s="319">
        <f t="shared" si="176"/>
        <v>0</v>
      </c>
      <c r="CK494" s="319">
        <f t="shared" si="176"/>
        <v>0</v>
      </c>
      <c r="CL494" s="319">
        <f t="shared" si="176"/>
        <v>0</v>
      </c>
      <c r="CM494" s="319">
        <f t="shared" si="176"/>
        <v>0</v>
      </c>
      <c r="CN494" s="319">
        <f t="shared" si="176"/>
        <v>0</v>
      </c>
      <c r="CO494" s="319">
        <f t="shared" si="176"/>
        <v>0</v>
      </c>
      <c r="CP494" s="319">
        <f t="shared" si="176"/>
        <v>0</v>
      </c>
      <c r="CQ494" s="319">
        <f t="shared" si="176"/>
        <v>0</v>
      </c>
      <c r="CR494" s="319">
        <f t="shared" si="176"/>
        <v>0</v>
      </c>
      <c r="CS494" s="319">
        <f t="shared" si="176"/>
        <v>0</v>
      </c>
      <c r="CT494" s="319">
        <f t="shared" si="176"/>
        <v>0</v>
      </c>
      <c r="CU494" s="319">
        <f t="shared" si="176"/>
        <v>0</v>
      </c>
      <c r="CV494" s="319">
        <f t="shared" si="176"/>
        <v>0</v>
      </c>
    </row>
    <row r="495" spans="1:100" ht="15.75" thickBot="1" x14ac:dyDescent="0.3">
      <c r="A495" s="319">
        <f t="shared" si="167"/>
        <v>0</v>
      </c>
      <c r="B495" s="319">
        <f t="shared" si="170"/>
        <v>0</v>
      </c>
      <c r="C495" s="365" t="str">
        <f>IF(Sandbox!BL55="","",Sandbox!BL55)</f>
        <v/>
      </c>
      <c r="D495" s="363" t="str">
        <f>IF(Sandbox!BM55="Select","",Sandbox!BM55)</f>
        <v/>
      </c>
      <c r="E495" s="363" t="str">
        <f>IF(Sandbox!BN55="","",Sandbox!BN55)</f>
        <v/>
      </c>
      <c r="F495" s="363" t="str">
        <f>IF(E495&lt;CharacterSheet!$V$34,"Yes","No")</f>
        <v>No</v>
      </c>
      <c r="G495" s="354" t="s">
        <v>347</v>
      </c>
      <c r="H495" s="333" t="str">
        <f>IF(C495="","",VLOOKUP(C495,Boonref2!A:B,2,FALSE))</f>
        <v/>
      </c>
      <c r="I495" s="333"/>
      <c r="J495" s="333" t="str">
        <f>VLOOKUP(C495,BoonRef!A:Z,17,FALSE)</f>
        <v>Yes</v>
      </c>
      <c r="K495" s="333" t="str">
        <f>IF(J495="God",'House Rules'!$B$2,IF(J495="Demi",'House Rules'!$B$1,IF(J495="Comp",'House Rules'!$B$4,IF(J495="Yaz",'House Rules'!$B$5,IF(J495="Rag",'House Rules'!$B$3,"Available")))))</f>
        <v>Available</v>
      </c>
      <c r="L495" s="333"/>
      <c r="M495" s="333"/>
      <c r="BF495" s="319">
        <f t="shared" si="174"/>
        <v>0</v>
      </c>
      <c r="BG495" s="340" t="s">
        <v>1407</v>
      </c>
      <c r="BI495" s="319">
        <f t="shared" si="168"/>
        <v>0</v>
      </c>
      <c r="BJ495" s="319">
        <f t="shared" si="176"/>
        <v>0</v>
      </c>
      <c r="BK495" s="319">
        <f t="shared" si="176"/>
        <v>0</v>
      </c>
      <c r="BL495" s="319">
        <f t="shared" si="176"/>
        <v>0</v>
      </c>
      <c r="BM495" s="319">
        <f t="shared" si="176"/>
        <v>0</v>
      </c>
      <c r="BN495" s="319">
        <f t="shared" si="176"/>
        <v>0</v>
      </c>
      <c r="BO495" s="319">
        <f t="shared" si="176"/>
        <v>0</v>
      </c>
      <c r="BP495" s="319">
        <f t="shared" si="176"/>
        <v>0</v>
      </c>
      <c r="BQ495" s="319">
        <f t="shared" si="176"/>
        <v>0</v>
      </c>
      <c r="BR495" s="319">
        <f t="shared" si="176"/>
        <v>0</v>
      </c>
      <c r="BS495" s="319">
        <f t="shared" si="176"/>
        <v>0</v>
      </c>
      <c r="BT495" s="319">
        <f t="shared" si="176"/>
        <v>0</v>
      </c>
      <c r="BU495" s="319">
        <f t="shared" si="176"/>
        <v>0</v>
      </c>
      <c r="BV495" s="319">
        <f t="shared" si="176"/>
        <v>0</v>
      </c>
      <c r="BW495" s="319">
        <f t="shared" si="176"/>
        <v>0</v>
      </c>
      <c r="BX495" s="319">
        <f t="shared" si="176"/>
        <v>0</v>
      </c>
      <c r="BY495" s="319">
        <f t="shared" si="176"/>
        <v>0</v>
      </c>
      <c r="BZ495" s="319">
        <f t="shared" si="176"/>
        <v>0</v>
      </c>
      <c r="CA495" s="319">
        <f t="shared" si="176"/>
        <v>0</v>
      </c>
      <c r="CB495" s="319">
        <f t="shared" si="176"/>
        <v>0</v>
      </c>
      <c r="CC495" s="319">
        <f t="shared" si="176"/>
        <v>0</v>
      </c>
      <c r="CD495" s="319">
        <f t="shared" si="176"/>
        <v>0</v>
      </c>
      <c r="CE495" s="319">
        <f t="shared" si="176"/>
        <v>0</v>
      </c>
      <c r="CF495" s="319">
        <f t="shared" si="176"/>
        <v>0</v>
      </c>
      <c r="CG495" s="319">
        <f t="shared" si="176"/>
        <v>0</v>
      </c>
      <c r="CH495" s="319">
        <f t="shared" si="176"/>
        <v>0</v>
      </c>
      <c r="CI495" s="319">
        <f t="shared" si="176"/>
        <v>0</v>
      </c>
      <c r="CJ495" s="319">
        <f t="shared" si="176"/>
        <v>0</v>
      </c>
      <c r="CK495" s="319">
        <f t="shared" si="176"/>
        <v>0</v>
      </c>
      <c r="CL495" s="319">
        <f t="shared" si="176"/>
        <v>0</v>
      </c>
      <c r="CM495" s="319">
        <f t="shared" si="176"/>
        <v>0</v>
      </c>
      <c r="CN495" s="319">
        <f t="shared" si="176"/>
        <v>0</v>
      </c>
      <c r="CO495" s="319">
        <f t="shared" si="176"/>
        <v>0</v>
      </c>
      <c r="CP495" s="319">
        <f t="shared" si="176"/>
        <v>0</v>
      </c>
      <c r="CQ495" s="319">
        <f t="shared" si="176"/>
        <v>0</v>
      </c>
      <c r="CR495" s="319">
        <f t="shared" si="176"/>
        <v>0</v>
      </c>
      <c r="CS495" s="319">
        <f t="shared" si="176"/>
        <v>0</v>
      </c>
      <c r="CT495" s="319">
        <f t="shared" ref="CT495:CV495" si="177">IF(AND($D495=CT$1,$G495="Yes"),$E495,0)</f>
        <v>0</v>
      </c>
      <c r="CU495" s="319">
        <f t="shared" si="177"/>
        <v>0</v>
      </c>
      <c r="CV495" s="319">
        <f t="shared" si="177"/>
        <v>0</v>
      </c>
    </row>
    <row r="496" spans="1:100" x14ac:dyDescent="0.25">
      <c r="A496" s="319">
        <f>A495+1</f>
        <v>1</v>
      </c>
      <c r="B496" s="319">
        <f>B495+1</f>
        <v>1</v>
      </c>
      <c r="BF496" s="319">
        <f t="shared" si="174"/>
        <v>0</v>
      </c>
      <c r="BG496" s="340" t="s">
        <v>1201</v>
      </c>
    </row>
    <row r="497" spans="1:59" x14ac:dyDescent="0.25">
      <c r="A497" s="319"/>
      <c r="BF497" s="319">
        <f t="shared" si="174"/>
        <v>0</v>
      </c>
      <c r="BG497" s="340" t="s">
        <v>1202</v>
      </c>
    </row>
    <row r="498" spans="1:59" x14ac:dyDescent="0.25">
      <c r="A498" s="319"/>
      <c r="BF498" s="319">
        <f t="shared" si="174"/>
        <v>0</v>
      </c>
      <c r="BG498" s="340" t="s">
        <v>1408</v>
      </c>
    </row>
    <row r="499" spans="1:59" x14ac:dyDescent="0.25">
      <c r="A499" s="319"/>
      <c r="BF499" s="319">
        <f t="shared" si="174"/>
        <v>0</v>
      </c>
      <c r="BG499" s="340" t="s">
        <v>1298</v>
      </c>
    </row>
    <row r="500" spans="1:59" x14ac:dyDescent="0.25">
      <c r="A500" s="319"/>
      <c r="BF500" s="319">
        <f t="shared" si="174"/>
        <v>0</v>
      </c>
      <c r="BG500" s="340" t="s">
        <v>2644</v>
      </c>
    </row>
    <row r="501" spans="1:59" x14ac:dyDescent="0.25">
      <c r="A501" s="319"/>
      <c r="BF501" s="319">
        <f t="shared" si="174"/>
        <v>0</v>
      </c>
      <c r="BG501" s="340" t="s">
        <v>1299</v>
      </c>
    </row>
    <row r="502" spans="1:59" ht="15.75" thickBot="1" x14ac:dyDescent="0.3">
      <c r="A502" s="319"/>
      <c r="BF502" s="319">
        <f t="shared" si="174"/>
        <v>0</v>
      </c>
      <c r="BG502" s="352" t="s">
        <v>1300</v>
      </c>
    </row>
    <row r="503" spans="1:59" x14ac:dyDescent="0.25">
      <c r="A503" s="319"/>
      <c r="BF503" s="319">
        <f t="shared" si="174"/>
        <v>0</v>
      </c>
      <c r="BG503" s="330" t="s">
        <v>1301</v>
      </c>
    </row>
    <row r="504" spans="1:59" x14ac:dyDescent="0.25">
      <c r="A504" s="319"/>
      <c r="BF504" s="319">
        <f t="shared" si="174"/>
        <v>0</v>
      </c>
      <c r="BG504" s="340" t="s">
        <v>1409</v>
      </c>
    </row>
    <row r="505" spans="1:59" x14ac:dyDescent="0.25">
      <c r="A505" s="319"/>
      <c r="BF505" s="319">
        <f t="shared" si="174"/>
        <v>0</v>
      </c>
      <c r="BG505" s="340" t="s">
        <v>1109</v>
      </c>
    </row>
    <row r="506" spans="1:59" x14ac:dyDescent="0.25">
      <c r="A506" s="319"/>
      <c r="BF506" s="319">
        <f t="shared" si="174"/>
        <v>0</v>
      </c>
      <c r="BG506" s="340" t="s">
        <v>1110</v>
      </c>
    </row>
    <row r="507" spans="1:59" x14ac:dyDescent="0.25">
      <c r="A507" s="319"/>
      <c r="BF507" s="319">
        <f t="shared" si="174"/>
        <v>0</v>
      </c>
      <c r="BG507" s="340" t="s">
        <v>1111</v>
      </c>
    </row>
    <row r="508" spans="1:59" x14ac:dyDescent="0.25">
      <c r="A508" s="319"/>
      <c r="BF508" s="319">
        <f t="shared" si="174"/>
        <v>0</v>
      </c>
      <c r="BG508" s="340" t="s">
        <v>1203</v>
      </c>
    </row>
    <row r="509" spans="1:59" x14ac:dyDescent="0.25">
      <c r="A509" s="319"/>
      <c r="BF509" s="319">
        <f t="shared" si="174"/>
        <v>0</v>
      </c>
      <c r="BG509" s="340" t="s">
        <v>2917</v>
      </c>
    </row>
    <row r="510" spans="1:59" x14ac:dyDescent="0.25">
      <c r="A510" s="319"/>
      <c r="BF510" s="319">
        <f t="shared" si="174"/>
        <v>0</v>
      </c>
      <c r="BG510" s="340" t="s">
        <v>1410</v>
      </c>
    </row>
    <row r="511" spans="1:59" x14ac:dyDescent="0.25">
      <c r="A511" s="319"/>
      <c r="BF511" s="319">
        <f t="shared" si="174"/>
        <v>0</v>
      </c>
      <c r="BG511" s="340" t="s">
        <v>1205</v>
      </c>
    </row>
    <row r="512" spans="1:59" x14ac:dyDescent="0.25">
      <c r="A512" s="319"/>
      <c r="BF512" s="319">
        <f t="shared" si="174"/>
        <v>0</v>
      </c>
      <c r="BG512" s="340" t="s">
        <v>1206</v>
      </c>
    </row>
    <row r="513" spans="1:59" x14ac:dyDescent="0.25">
      <c r="A513" s="319"/>
      <c r="BF513" s="319">
        <f t="shared" si="174"/>
        <v>0</v>
      </c>
      <c r="BG513" s="340" t="s">
        <v>1302</v>
      </c>
    </row>
    <row r="514" spans="1:59" x14ac:dyDescent="0.25">
      <c r="A514" s="319"/>
      <c r="BF514" s="319">
        <f t="shared" si="174"/>
        <v>0</v>
      </c>
      <c r="BG514" s="340" t="s">
        <v>2645</v>
      </c>
    </row>
    <row r="515" spans="1:59" x14ac:dyDescent="0.25">
      <c r="A515" s="319"/>
      <c r="BF515" s="319">
        <f t="shared" si="174"/>
        <v>0</v>
      </c>
      <c r="BG515" s="340" t="s">
        <v>1303</v>
      </c>
    </row>
    <row r="516" spans="1:59" ht="15.75" thickBot="1" x14ac:dyDescent="0.3">
      <c r="A516" s="319"/>
      <c r="BF516" s="319">
        <f t="shared" si="174"/>
        <v>0</v>
      </c>
      <c r="BG516" s="352" t="s">
        <v>1304</v>
      </c>
    </row>
    <row r="517" spans="1:59" x14ac:dyDescent="0.25">
      <c r="A517" s="319"/>
      <c r="BF517" s="319">
        <f t="shared" si="174"/>
        <v>0</v>
      </c>
      <c r="BG517" s="330" t="s">
        <v>1305</v>
      </c>
    </row>
    <row r="518" spans="1:59" x14ac:dyDescent="0.25">
      <c r="A518" s="319"/>
      <c r="BF518" s="319">
        <f t="shared" si="174"/>
        <v>0</v>
      </c>
      <c r="BG518" s="340" t="s">
        <v>1130</v>
      </c>
    </row>
    <row r="519" spans="1:59" x14ac:dyDescent="0.25">
      <c r="A519" s="319"/>
      <c r="BF519" s="319">
        <f t="shared" si="174"/>
        <v>0</v>
      </c>
      <c r="BG519" s="340" t="s">
        <v>1411</v>
      </c>
    </row>
    <row r="520" spans="1:59" x14ac:dyDescent="0.25">
      <c r="A520" s="319"/>
      <c r="BF520" s="319">
        <f t="shared" si="174"/>
        <v>0</v>
      </c>
      <c r="BG520" s="340" t="s">
        <v>1510</v>
      </c>
    </row>
    <row r="521" spans="1:59" x14ac:dyDescent="0.25">
      <c r="A521" s="319"/>
      <c r="BF521" s="319">
        <f t="shared" si="174"/>
        <v>0</v>
      </c>
      <c r="BG521" s="340" t="s">
        <v>1131</v>
      </c>
    </row>
    <row r="522" spans="1:59" x14ac:dyDescent="0.25">
      <c r="A522" s="319"/>
      <c r="BF522" s="319">
        <f t="shared" si="174"/>
        <v>0</v>
      </c>
      <c r="BG522" s="340" t="s">
        <v>1511</v>
      </c>
    </row>
    <row r="523" spans="1:59" x14ac:dyDescent="0.25">
      <c r="A523" s="319"/>
      <c r="BF523" s="319">
        <f t="shared" si="174"/>
        <v>0</v>
      </c>
      <c r="BG523" s="340" t="s">
        <v>1132</v>
      </c>
    </row>
    <row r="524" spans="1:59" x14ac:dyDescent="0.25">
      <c r="A524" s="319"/>
      <c r="BF524" s="319">
        <f t="shared" si="174"/>
        <v>0</v>
      </c>
      <c r="BG524" s="340" t="s">
        <v>1133</v>
      </c>
    </row>
    <row r="525" spans="1:59" x14ac:dyDescent="0.25">
      <c r="A525" s="319"/>
      <c r="BF525" s="319">
        <f t="shared" si="174"/>
        <v>0</v>
      </c>
      <c r="BG525" s="340" t="s">
        <v>1512</v>
      </c>
    </row>
    <row r="526" spans="1:59" x14ac:dyDescent="0.25">
      <c r="A526" s="319"/>
      <c r="BF526" s="319">
        <f t="shared" si="174"/>
        <v>0</v>
      </c>
      <c r="BG526" s="340" t="s">
        <v>1412</v>
      </c>
    </row>
    <row r="527" spans="1:59" x14ac:dyDescent="0.25">
      <c r="A527" s="319"/>
      <c r="BF527" s="319">
        <f t="shared" si="174"/>
        <v>0</v>
      </c>
      <c r="BG527" s="340" t="s">
        <v>1134</v>
      </c>
    </row>
    <row r="528" spans="1:59" x14ac:dyDescent="0.25">
      <c r="A528" s="319"/>
      <c r="BF528" s="319">
        <f t="shared" si="174"/>
        <v>0</v>
      </c>
      <c r="BG528" s="340" t="s">
        <v>1513</v>
      </c>
    </row>
    <row r="529" spans="1:59" x14ac:dyDescent="0.25">
      <c r="A529" s="319"/>
      <c r="BF529" s="319">
        <f t="shared" si="174"/>
        <v>0</v>
      </c>
      <c r="BG529" s="340" t="s">
        <v>1136</v>
      </c>
    </row>
    <row r="530" spans="1:59" x14ac:dyDescent="0.25">
      <c r="A530" s="319"/>
      <c r="BF530" s="319">
        <f t="shared" si="174"/>
        <v>0</v>
      </c>
      <c r="BG530" s="340" t="s">
        <v>1135</v>
      </c>
    </row>
    <row r="531" spans="1:59" x14ac:dyDescent="0.25">
      <c r="A531" s="319"/>
      <c r="BF531" s="319">
        <f t="shared" si="174"/>
        <v>0</v>
      </c>
      <c r="BG531" s="340" t="s">
        <v>1413</v>
      </c>
    </row>
    <row r="532" spans="1:59" x14ac:dyDescent="0.25">
      <c r="A532" s="319"/>
      <c r="BF532" s="319">
        <f t="shared" si="174"/>
        <v>0</v>
      </c>
      <c r="BG532" s="340" t="s">
        <v>1414</v>
      </c>
    </row>
    <row r="533" spans="1:59" x14ac:dyDescent="0.25">
      <c r="A533" s="319"/>
      <c r="BF533" s="319">
        <f t="shared" si="174"/>
        <v>0</v>
      </c>
      <c r="BG533" s="340" t="s">
        <v>1231</v>
      </c>
    </row>
    <row r="534" spans="1:59" x14ac:dyDescent="0.25">
      <c r="A534" s="319"/>
      <c r="BF534" s="319">
        <f t="shared" si="174"/>
        <v>0</v>
      </c>
      <c r="BG534" s="340" t="s">
        <v>1232</v>
      </c>
    </row>
    <row r="535" spans="1:59" x14ac:dyDescent="0.25">
      <c r="A535" s="319"/>
      <c r="BF535" s="319">
        <f t="shared" si="174"/>
        <v>0</v>
      </c>
      <c r="BG535" s="340" t="s">
        <v>1415</v>
      </c>
    </row>
    <row r="536" spans="1:59" x14ac:dyDescent="0.25">
      <c r="A536" s="319"/>
      <c r="BF536" s="319">
        <f t="shared" si="174"/>
        <v>0</v>
      </c>
      <c r="BG536" s="340" t="s">
        <v>1514</v>
      </c>
    </row>
    <row r="537" spans="1:59" x14ac:dyDescent="0.25">
      <c r="A537" s="319"/>
      <c r="BF537" s="319">
        <f t="shared" si="174"/>
        <v>0</v>
      </c>
      <c r="BG537" s="340" t="s">
        <v>1515</v>
      </c>
    </row>
    <row r="538" spans="1:59" x14ac:dyDescent="0.25">
      <c r="A538" s="319"/>
      <c r="BF538" s="319">
        <f t="shared" si="174"/>
        <v>0</v>
      </c>
      <c r="BG538" s="340" t="s">
        <v>1233</v>
      </c>
    </row>
    <row r="539" spans="1:59" x14ac:dyDescent="0.25">
      <c r="A539" s="319"/>
      <c r="BF539" s="319">
        <f t="shared" si="174"/>
        <v>0</v>
      </c>
      <c r="BG539" s="340" t="s">
        <v>1416</v>
      </c>
    </row>
    <row r="540" spans="1:59" x14ac:dyDescent="0.25">
      <c r="A540" s="319"/>
      <c r="BF540" s="319">
        <f t="shared" si="174"/>
        <v>0</v>
      </c>
      <c r="BG540" s="340" t="s">
        <v>1234</v>
      </c>
    </row>
    <row r="541" spans="1:59" x14ac:dyDescent="0.25">
      <c r="A541" s="319"/>
      <c r="BF541" s="319">
        <f t="shared" ref="BF541:BF604" si="178">B300</f>
        <v>0</v>
      </c>
      <c r="BG541" s="340" t="s">
        <v>1417</v>
      </c>
    </row>
    <row r="542" spans="1:59" x14ac:dyDescent="0.25">
      <c r="A542" s="319"/>
      <c r="BF542" s="319">
        <f t="shared" si="178"/>
        <v>0</v>
      </c>
      <c r="BG542" s="340" t="s">
        <v>1324</v>
      </c>
    </row>
    <row r="543" spans="1:59" x14ac:dyDescent="0.25">
      <c r="A543" s="319"/>
      <c r="BF543" s="319">
        <f t="shared" si="178"/>
        <v>0</v>
      </c>
      <c r="BG543" s="340" t="s">
        <v>1418</v>
      </c>
    </row>
    <row r="544" spans="1:59" x14ac:dyDescent="0.25">
      <c r="A544" s="319"/>
      <c r="BF544" s="319">
        <f t="shared" si="178"/>
        <v>0</v>
      </c>
      <c r="BG544" s="340" t="s">
        <v>1419</v>
      </c>
    </row>
    <row r="545" spans="1:59" x14ac:dyDescent="0.25">
      <c r="A545" s="319"/>
      <c r="BF545" s="319">
        <f t="shared" si="178"/>
        <v>0</v>
      </c>
      <c r="BG545" s="340" t="s">
        <v>1325</v>
      </c>
    </row>
    <row r="546" spans="1:59" x14ac:dyDescent="0.25">
      <c r="A546" s="319"/>
      <c r="BF546" s="319">
        <f t="shared" si="178"/>
        <v>0</v>
      </c>
      <c r="BG546" s="340" t="s">
        <v>1326</v>
      </c>
    </row>
    <row r="547" spans="1:59" ht="15.75" thickBot="1" x14ac:dyDescent="0.3">
      <c r="A547" s="319"/>
      <c r="BF547" s="319">
        <f t="shared" si="178"/>
        <v>0</v>
      </c>
      <c r="BG547" s="352" t="s">
        <v>1420</v>
      </c>
    </row>
    <row r="548" spans="1:59" x14ac:dyDescent="0.25">
      <c r="A548" s="319"/>
      <c r="BF548" s="319">
        <f t="shared" si="178"/>
        <v>0</v>
      </c>
      <c r="BG548" s="330" t="s">
        <v>1327</v>
      </c>
    </row>
    <row r="549" spans="1:59" x14ac:dyDescent="0.25">
      <c r="A549" s="319"/>
      <c r="BF549" s="319">
        <f t="shared" si="178"/>
        <v>0</v>
      </c>
      <c r="BG549" s="340" t="s">
        <v>2340</v>
      </c>
    </row>
    <row r="550" spans="1:59" x14ac:dyDescent="0.25">
      <c r="A550" s="319"/>
      <c r="BF550" s="319">
        <f t="shared" si="178"/>
        <v>0</v>
      </c>
      <c r="BG550" s="340" t="s">
        <v>2341</v>
      </c>
    </row>
    <row r="551" spans="1:59" x14ac:dyDescent="0.25">
      <c r="A551" s="319"/>
      <c r="BF551" s="319">
        <f t="shared" si="178"/>
        <v>0</v>
      </c>
      <c r="BG551" s="340" t="s">
        <v>2342</v>
      </c>
    </row>
    <row r="552" spans="1:59" x14ac:dyDescent="0.25">
      <c r="A552" s="319"/>
      <c r="BF552" s="319">
        <f t="shared" si="178"/>
        <v>0</v>
      </c>
      <c r="BG552" s="340" t="s">
        <v>2343</v>
      </c>
    </row>
    <row r="553" spans="1:59" x14ac:dyDescent="0.25">
      <c r="A553" s="319"/>
      <c r="BF553" s="319">
        <f t="shared" si="178"/>
        <v>0</v>
      </c>
      <c r="BG553" s="340" t="s">
        <v>2344</v>
      </c>
    </row>
    <row r="554" spans="1:59" x14ac:dyDescent="0.25">
      <c r="A554" s="319"/>
      <c r="BF554" s="319">
        <f t="shared" si="178"/>
        <v>0</v>
      </c>
      <c r="BG554" s="340" t="s">
        <v>2345</v>
      </c>
    </row>
    <row r="555" spans="1:59" x14ac:dyDescent="0.25">
      <c r="A555" s="319"/>
      <c r="BF555" s="319">
        <f t="shared" si="178"/>
        <v>0</v>
      </c>
      <c r="BG555" s="340" t="s">
        <v>2346</v>
      </c>
    </row>
    <row r="556" spans="1:59" x14ac:dyDescent="0.25">
      <c r="A556" s="319"/>
      <c r="BF556" s="319">
        <f t="shared" si="178"/>
        <v>0</v>
      </c>
      <c r="BG556" s="340" t="s">
        <v>2347</v>
      </c>
    </row>
    <row r="557" spans="1:59" x14ac:dyDescent="0.25">
      <c r="A557" s="319"/>
      <c r="BF557" s="319">
        <f t="shared" si="178"/>
        <v>0</v>
      </c>
      <c r="BG557" s="340" t="s">
        <v>2348</v>
      </c>
    </row>
    <row r="558" spans="1:59" ht="15.75" thickBot="1" x14ac:dyDescent="0.3">
      <c r="A558" s="319"/>
      <c r="BF558" s="319">
        <f t="shared" si="178"/>
        <v>0</v>
      </c>
      <c r="BG558" s="352" t="s">
        <v>2349</v>
      </c>
    </row>
    <row r="559" spans="1:59" x14ac:dyDescent="0.25">
      <c r="A559" s="319"/>
      <c r="BF559" s="319">
        <f t="shared" si="178"/>
        <v>0</v>
      </c>
      <c r="BG559" s="330" t="s">
        <v>1509</v>
      </c>
    </row>
    <row r="560" spans="1:59" x14ac:dyDescent="0.25">
      <c r="A560" s="319"/>
      <c r="BF560" s="319">
        <f t="shared" si="178"/>
        <v>0</v>
      </c>
      <c r="BG560" s="340" t="s">
        <v>1137</v>
      </c>
    </row>
    <row r="561" spans="1:59" x14ac:dyDescent="0.25">
      <c r="A561" s="319"/>
      <c r="BF561" s="319">
        <f t="shared" si="178"/>
        <v>0</v>
      </c>
      <c r="BG561" s="340" t="s">
        <v>1138</v>
      </c>
    </row>
    <row r="562" spans="1:59" x14ac:dyDescent="0.25">
      <c r="A562" s="319"/>
      <c r="BF562" s="319">
        <f t="shared" si="178"/>
        <v>0</v>
      </c>
      <c r="BG562" s="340" t="s">
        <v>1139</v>
      </c>
    </row>
    <row r="563" spans="1:59" x14ac:dyDescent="0.25">
      <c r="A563" s="319"/>
      <c r="BF563" s="319">
        <f t="shared" si="178"/>
        <v>0</v>
      </c>
      <c r="BG563" s="340" t="s">
        <v>1235</v>
      </c>
    </row>
    <row r="564" spans="1:59" x14ac:dyDescent="0.25">
      <c r="A564" s="319"/>
      <c r="BF564" s="319">
        <f t="shared" si="178"/>
        <v>0</v>
      </c>
      <c r="BG564" s="340" t="s">
        <v>1236</v>
      </c>
    </row>
    <row r="565" spans="1:59" x14ac:dyDescent="0.25">
      <c r="A565" s="319"/>
      <c r="BF565" s="319">
        <f t="shared" si="178"/>
        <v>0</v>
      </c>
      <c r="BG565" s="340" t="s">
        <v>1237</v>
      </c>
    </row>
    <row r="566" spans="1:59" x14ac:dyDescent="0.25">
      <c r="A566" s="319"/>
      <c r="BF566" s="319">
        <f t="shared" si="178"/>
        <v>0</v>
      </c>
      <c r="BG566" s="340" t="s">
        <v>1238</v>
      </c>
    </row>
    <row r="567" spans="1:59" x14ac:dyDescent="0.25">
      <c r="A567" s="319"/>
      <c r="BF567" s="319">
        <f t="shared" si="178"/>
        <v>0</v>
      </c>
      <c r="BG567" s="340" t="s">
        <v>1328</v>
      </c>
    </row>
    <row r="568" spans="1:59" x14ac:dyDescent="0.25">
      <c r="A568" s="319"/>
      <c r="BF568" s="319">
        <f t="shared" si="178"/>
        <v>0</v>
      </c>
      <c r="BG568" s="340" t="s">
        <v>1329</v>
      </c>
    </row>
    <row r="569" spans="1:59" ht="15.75" thickBot="1" x14ac:dyDescent="0.3">
      <c r="A569" s="319"/>
      <c r="BF569" s="319">
        <f t="shared" si="178"/>
        <v>0</v>
      </c>
      <c r="BG569" s="352" t="s">
        <v>1330</v>
      </c>
    </row>
    <row r="570" spans="1:59" x14ac:dyDescent="0.25">
      <c r="A570" s="319"/>
      <c r="BF570" s="319">
        <f t="shared" si="178"/>
        <v>0</v>
      </c>
      <c r="BG570" s="330" t="s">
        <v>1331</v>
      </c>
    </row>
    <row r="571" spans="1:59" x14ac:dyDescent="0.25">
      <c r="A571" s="319"/>
      <c r="BF571" s="319">
        <f t="shared" si="178"/>
        <v>0</v>
      </c>
      <c r="BG571" s="340" t="s">
        <v>1140</v>
      </c>
    </row>
    <row r="572" spans="1:59" x14ac:dyDescent="0.25">
      <c r="A572" s="319"/>
      <c r="BF572" s="319">
        <f t="shared" si="178"/>
        <v>0</v>
      </c>
      <c r="BG572" s="340" t="s">
        <v>1141</v>
      </c>
    </row>
    <row r="573" spans="1:59" x14ac:dyDescent="0.25">
      <c r="A573" s="319"/>
      <c r="BF573" s="319">
        <f t="shared" si="178"/>
        <v>0</v>
      </c>
      <c r="BG573" s="340" t="s">
        <v>1142</v>
      </c>
    </row>
    <row r="574" spans="1:59" x14ac:dyDescent="0.25">
      <c r="A574" s="319"/>
      <c r="BF574" s="319">
        <f t="shared" si="178"/>
        <v>0</v>
      </c>
      <c r="BG574" s="340" t="s">
        <v>1239</v>
      </c>
    </row>
    <row r="575" spans="1:59" x14ac:dyDescent="0.25">
      <c r="A575" s="319"/>
      <c r="BF575" s="319">
        <f t="shared" si="178"/>
        <v>0</v>
      </c>
      <c r="BG575" s="340" t="s">
        <v>1240</v>
      </c>
    </row>
    <row r="576" spans="1:59" x14ac:dyDescent="0.25">
      <c r="A576" s="319"/>
      <c r="BF576" s="319">
        <f t="shared" si="178"/>
        <v>0</v>
      </c>
      <c r="BG576" s="340" t="s">
        <v>1241</v>
      </c>
    </row>
    <row r="577" spans="1:59" x14ac:dyDescent="0.25">
      <c r="A577" s="319"/>
      <c r="BF577" s="319">
        <f t="shared" si="178"/>
        <v>0</v>
      </c>
      <c r="BG577" s="340" t="s">
        <v>1242</v>
      </c>
    </row>
    <row r="578" spans="1:59" x14ac:dyDescent="0.25">
      <c r="A578" s="319"/>
      <c r="BF578" s="319">
        <f t="shared" si="178"/>
        <v>0</v>
      </c>
      <c r="BG578" s="340" t="s">
        <v>1332</v>
      </c>
    </row>
    <row r="579" spans="1:59" x14ac:dyDescent="0.25">
      <c r="A579" s="319"/>
      <c r="BF579" s="319">
        <f t="shared" si="178"/>
        <v>0</v>
      </c>
      <c r="BG579" s="340" t="s">
        <v>1333</v>
      </c>
    </row>
    <row r="580" spans="1:59" ht="15.75" thickBot="1" x14ac:dyDescent="0.3">
      <c r="A580" s="319"/>
      <c r="BF580" s="319">
        <f t="shared" si="178"/>
        <v>0</v>
      </c>
      <c r="BG580" s="352" t="s">
        <v>1334</v>
      </c>
    </row>
    <row r="581" spans="1:59" x14ac:dyDescent="0.25">
      <c r="A581" s="319"/>
      <c r="BF581" s="319">
        <f t="shared" si="178"/>
        <v>0</v>
      </c>
      <c r="BG581" s="336" t="s">
        <v>1335</v>
      </c>
    </row>
    <row r="582" spans="1:59" x14ac:dyDescent="0.25">
      <c r="A582" s="319"/>
      <c r="BF582" s="319">
        <f t="shared" si="178"/>
        <v>0</v>
      </c>
      <c r="BG582" s="345" t="str">
        <f>C341</f>
        <v/>
      </c>
    </row>
    <row r="583" spans="1:59" x14ac:dyDescent="0.25">
      <c r="A583" s="319"/>
      <c r="BF583" s="319">
        <f t="shared" si="178"/>
        <v>0</v>
      </c>
      <c r="BG583" s="566" t="str">
        <f t="shared" ref="BG583:BG646" si="179">C342</f>
        <v/>
      </c>
    </row>
    <row r="584" spans="1:59" x14ac:dyDescent="0.25">
      <c r="A584" s="319"/>
      <c r="BF584" s="319">
        <f t="shared" si="178"/>
        <v>0</v>
      </c>
      <c r="BG584" s="566" t="str">
        <f t="shared" si="179"/>
        <v/>
      </c>
    </row>
    <row r="585" spans="1:59" x14ac:dyDescent="0.25">
      <c r="A585" s="319"/>
      <c r="BF585" s="319">
        <f t="shared" si="178"/>
        <v>0</v>
      </c>
      <c r="BG585" s="566" t="str">
        <f t="shared" si="179"/>
        <v/>
      </c>
    </row>
    <row r="586" spans="1:59" x14ac:dyDescent="0.25">
      <c r="A586" s="319"/>
      <c r="BF586" s="319">
        <f t="shared" si="178"/>
        <v>0</v>
      </c>
      <c r="BG586" s="566" t="str">
        <f t="shared" si="179"/>
        <v/>
      </c>
    </row>
    <row r="587" spans="1:59" x14ac:dyDescent="0.25">
      <c r="A587" s="319"/>
      <c r="BF587" s="319">
        <f t="shared" si="178"/>
        <v>0</v>
      </c>
      <c r="BG587" s="566" t="str">
        <f t="shared" si="179"/>
        <v/>
      </c>
    </row>
    <row r="588" spans="1:59" x14ac:dyDescent="0.25">
      <c r="A588" s="319"/>
      <c r="BF588" s="319">
        <f t="shared" si="178"/>
        <v>0</v>
      </c>
      <c r="BG588" s="566" t="str">
        <f t="shared" si="179"/>
        <v/>
      </c>
    </row>
    <row r="589" spans="1:59" x14ac:dyDescent="0.25">
      <c r="A589" s="319"/>
      <c r="BF589" s="319">
        <f t="shared" si="178"/>
        <v>0</v>
      </c>
      <c r="BG589" s="566" t="str">
        <f t="shared" si="179"/>
        <v/>
      </c>
    </row>
    <row r="590" spans="1:59" x14ac:dyDescent="0.25">
      <c r="A590" s="319"/>
      <c r="BF590" s="319">
        <f t="shared" si="178"/>
        <v>0</v>
      </c>
      <c r="BG590" s="566" t="str">
        <f t="shared" si="179"/>
        <v/>
      </c>
    </row>
    <row r="591" spans="1:59" x14ac:dyDescent="0.25">
      <c r="A591" s="319"/>
      <c r="BF591" s="319">
        <f t="shared" si="178"/>
        <v>0</v>
      </c>
      <c r="BG591" s="566" t="str">
        <f t="shared" si="179"/>
        <v/>
      </c>
    </row>
    <row r="592" spans="1:59" x14ac:dyDescent="0.25">
      <c r="A592" s="319"/>
      <c r="BF592" s="319">
        <f t="shared" si="178"/>
        <v>0</v>
      </c>
      <c r="BG592" s="566" t="str">
        <f t="shared" si="179"/>
        <v/>
      </c>
    </row>
    <row r="593" spans="1:59" x14ac:dyDescent="0.25">
      <c r="A593" s="319"/>
      <c r="BF593" s="319">
        <f t="shared" si="178"/>
        <v>0</v>
      </c>
      <c r="BG593" s="566" t="str">
        <f t="shared" si="179"/>
        <v/>
      </c>
    </row>
    <row r="594" spans="1:59" x14ac:dyDescent="0.25">
      <c r="A594" s="319"/>
      <c r="BF594" s="319">
        <f t="shared" si="178"/>
        <v>0</v>
      </c>
      <c r="BG594" s="566" t="str">
        <f t="shared" si="179"/>
        <v/>
      </c>
    </row>
    <row r="595" spans="1:59" x14ac:dyDescent="0.25">
      <c r="A595" s="319"/>
      <c r="BF595" s="319">
        <f t="shared" si="178"/>
        <v>0</v>
      </c>
      <c r="BG595" s="566" t="str">
        <f t="shared" si="179"/>
        <v/>
      </c>
    </row>
    <row r="596" spans="1:59" x14ac:dyDescent="0.25">
      <c r="A596" s="319"/>
      <c r="BF596" s="319">
        <f t="shared" si="178"/>
        <v>0</v>
      </c>
      <c r="BG596" s="566" t="str">
        <f t="shared" si="179"/>
        <v/>
      </c>
    </row>
    <row r="597" spans="1:59" x14ac:dyDescent="0.25">
      <c r="A597" s="319"/>
      <c r="BF597" s="319">
        <f t="shared" si="178"/>
        <v>0</v>
      </c>
      <c r="BG597" s="566" t="str">
        <f t="shared" si="179"/>
        <v/>
      </c>
    </row>
    <row r="598" spans="1:59" x14ac:dyDescent="0.25">
      <c r="A598" s="319"/>
      <c r="BF598" s="319">
        <f t="shared" si="178"/>
        <v>0</v>
      </c>
      <c r="BG598" s="566" t="str">
        <f t="shared" si="179"/>
        <v/>
      </c>
    </row>
    <row r="599" spans="1:59" x14ac:dyDescent="0.25">
      <c r="A599" s="319"/>
      <c r="BF599" s="319">
        <f t="shared" si="178"/>
        <v>0</v>
      </c>
      <c r="BG599" s="566" t="str">
        <f t="shared" si="179"/>
        <v/>
      </c>
    </row>
    <row r="600" spans="1:59" x14ac:dyDescent="0.25">
      <c r="A600" s="319"/>
      <c r="BF600" s="319">
        <f t="shared" si="178"/>
        <v>0</v>
      </c>
      <c r="BG600" s="566" t="str">
        <f t="shared" si="179"/>
        <v/>
      </c>
    </row>
    <row r="601" spans="1:59" x14ac:dyDescent="0.25">
      <c r="A601" s="319"/>
      <c r="BF601" s="319">
        <f t="shared" si="178"/>
        <v>0</v>
      </c>
      <c r="BG601" s="566" t="str">
        <f t="shared" si="179"/>
        <v/>
      </c>
    </row>
    <row r="602" spans="1:59" x14ac:dyDescent="0.25">
      <c r="A602" s="319"/>
      <c r="BF602" s="319">
        <f t="shared" si="178"/>
        <v>0</v>
      </c>
      <c r="BG602" s="566" t="str">
        <f t="shared" si="179"/>
        <v/>
      </c>
    </row>
    <row r="603" spans="1:59" x14ac:dyDescent="0.25">
      <c r="A603" s="319"/>
      <c r="BF603" s="319">
        <f t="shared" si="178"/>
        <v>0</v>
      </c>
      <c r="BG603" s="566" t="str">
        <f t="shared" si="179"/>
        <v/>
      </c>
    </row>
    <row r="604" spans="1:59" x14ac:dyDescent="0.25">
      <c r="A604" s="319"/>
      <c r="BF604" s="319">
        <f t="shared" si="178"/>
        <v>0</v>
      </c>
      <c r="BG604" s="566" t="str">
        <f t="shared" si="179"/>
        <v/>
      </c>
    </row>
    <row r="605" spans="1:59" x14ac:dyDescent="0.25">
      <c r="A605" s="319"/>
      <c r="BF605" s="319">
        <f t="shared" ref="BF605:BF668" si="180">B364</f>
        <v>0</v>
      </c>
      <c r="BG605" s="566" t="str">
        <f t="shared" si="179"/>
        <v/>
      </c>
    </row>
    <row r="606" spans="1:59" x14ac:dyDescent="0.25">
      <c r="A606" s="319"/>
      <c r="BF606" s="319">
        <f t="shared" si="180"/>
        <v>0</v>
      </c>
      <c r="BG606" s="566" t="str">
        <f t="shared" si="179"/>
        <v/>
      </c>
    </row>
    <row r="607" spans="1:59" x14ac:dyDescent="0.25">
      <c r="A607" s="319"/>
      <c r="BF607" s="319">
        <f t="shared" si="180"/>
        <v>0</v>
      </c>
      <c r="BG607" s="566" t="str">
        <f t="shared" si="179"/>
        <v/>
      </c>
    </row>
    <row r="608" spans="1:59" x14ac:dyDescent="0.25">
      <c r="A608" s="319"/>
      <c r="BF608" s="319">
        <f t="shared" si="180"/>
        <v>0</v>
      </c>
      <c r="BG608" s="566" t="str">
        <f t="shared" si="179"/>
        <v/>
      </c>
    </row>
    <row r="609" spans="1:59" x14ac:dyDescent="0.25">
      <c r="A609" s="319"/>
      <c r="BF609" s="319">
        <f t="shared" si="180"/>
        <v>0</v>
      </c>
      <c r="BG609" s="566" t="str">
        <f t="shared" si="179"/>
        <v/>
      </c>
    </row>
    <row r="610" spans="1:59" x14ac:dyDescent="0.25">
      <c r="A610" s="319"/>
      <c r="BF610" s="319">
        <f t="shared" si="180"/>
        <v>0</v>
      </c>
      <c r="BG610" s="566" t="str">
        <f t="shared" si="179"/>
        <v/>
      </c>
    </row>
    <row r="611" spans="1:59" x14ac:dyDescent="0.25">
      <c r="A611" s="319"/>
      <c r="BF611" s="319">
        <f t="shared" si="180"/>
        <v>0</v>
      </c>
      <c r="BG611" s="566" t="str">
        <f t="shared" si="179"/>
        <v/>
      </c>
    </row>
    <row r="612" spans="1:59" x14ac:dyDescent="0.25">
      <c r="A612" s="319"/>
      <c r="BF612" s="319">
        <f t="shared" si="180"/>
        <v>0</v>
      </c>
      <c r="BG612" s="566" t="str">
        <f t="shared" si="179"/>
        <v/>
      </c>
    </row>
    <row r="613" spans="1:59" x14ac:dyDescent="0.25">
      <c r="A613" s="319"/>
      <c r="BF613" s="319">
        <f t="shared" si="180"/>
        <v>0</v>
      </c>
      <c r="BG613" s="566" t="str">
        <f t="shared" si="179"/>
        <v/>
      </c>
    </row>
    <row r="614" spans="1:59" x14ac:dyDescent="0.25">
      <c r="A614" s="319"/>
      <c r="BF614" s="319">
        <f t="shared" si="180"/>
        <v>0</v>
      </c>
      <c r="BG614" s="566" t="str">
        <f t="shared" si="179"/>
        <v/>
      </c>
    </row>
    <row r="615" spans="1:59" x14ac:dyDescent="0.25">
      <c r="A615" s="319"/>
      <c r="BF615" s="319">
        <f t="shared" si="180"/>
        <v>0</v>
      </c>
      <c r="BG615" s="566" t="str">
        <f t="shared" si="179"/>
        <v/>
      </c>
    </row>
    <row r="616" spans="1:59" x14ac:dyDescent="0.25">
      <c r="A616" s="319"/>
      <c r="BF616" s="319">
        <f t="shared" si="180"/>
        <v>0</v>
      </c>
      <c r="BG616" s="566" t="str">
        <f t="shared" si="179"/>
        <v/>
      </c>
    </row>
    <row r="617" spans="1:59" x14ac:dyDescent="0.25">
      <c r="A617" s="319"/>
      <c r="BF617" s="319">
        <f t="shared" si="180"/>
        <v>0</v>
      </c>
      <c r="BG617" s="566" t="str">
        <f t="shared" si="179"/>
        <v/>
      </c>
    </row>
    <row r="618" spans="1:59" x14ac:dyDescent="0.25">
      <c r="A618" s="319"/>
      <c r="BF618" s="319">
        <f t="shared" si="180"/>
        <v>0</v>
      </c>
      <c r="BG618" s="566" t="str">
        <f t="shared" si="179"/>
        <v/>
      </c>
    </row>
    <row r="619" spans="1:59" x14ac:dyDescent="0.25">
      <c r="A619" s="319"/>
      <c r="BF619" s="319">
        <f t="shared" si="180"/>
        <v>0</v>
      </c>
      <c r="BG619" s="566" t="str">
        <f t="shared" si="179"/>
        <v/>
      </c>
    </row>
    <row r="620" spans="1:59" x14ac:dyDescent="0.25">
      <c r="A620" s="319"/>
      <c r="BF620" s="319">
        <f t="shared" si="180"/>
        <v>0</v>
      </c>
      <c r="BG620" s="566" t="str">
        <f t="shared" si="179"/>
        <v/>
      </c>
    </row>
    <row r="621" spans="1:59" x14ac:dyDescent="0.25">
      <c r="A621" s="319"/>
      <c r="BF621" s="319">
        <f t="shared" si="180"/>
        <v>0</v>
      </c>
      <c r="BG621" s="566" t="str">
        <f t="shared" si="179"/>
        <v/>
      </c>
    </row>
    <row r="622" spans="1:59" x14ac:dyDescent="0.25">
      <c r="A622" s="319"/>
      <c r="BF622" s="319">
        <f t="shared" si="180"/>
        <v>0</v>
      </c>
      <c r="BG622" s="566" t="str">
        <f t="shared" si="179"/>
        <v/>
      </c>
    </row>
    <row r="623" spans="1:59" x14ac:dyDescent="0.25">
      <c r="A623" s="319"/>
      <c r="BF623" s="319">
        <f t="shared" si="180"/>
        <v>0</v>
      </c>
      <c r="BG623" s="566" t="str">
        <f t="shared" si="179"/>
        <v/>
      </c>
    </row>
    <row r="624" spans="1:59" x14ac:dyDescent="0.25">
      <c r="A624" s="319"/>
      <c r="BF624" s="319">
        <f t="shared" si="180"/>
        <v>0</v>
      </c>
      <c r="BG624" s="566" t="str">
        <f t="shared" si="179"/>
        <v/>
      </c>
    </row>
    <row r="625" spans="1:59" x14ac:dyDescent="0.25">
      <c r="A625" s="319"/>
      <c r="BF625" s="319">
        <f t="shared" si="180"/>
        <v>0</v>
      </c>
      <c r="BG625" s="566" t="str">
        <f t="shared" si="179"/>
        <v/>
      </c>
    </row>
    <row r="626" spans="1:59" x14ac:dyDescent="0.25">
      <c r="A626" s="319"/>
      <c r="BF626" s="319">
        <f t="shared" si="180"/>
        <v>0</v>
      </c>
      <c r="BG626" s="566" t="str">
        <f t="shared" si="179"/>
        <v/>
      </c>
    </row>
    <row r="627" spans="1:59" x14ac:dyDescent="0.25">
      <c r="A627" s="319"/>
      <c r="BF627" s="319">
        <f t="shared" si="180"/>
        <v>0</v>
      </c>
      <c r="BG627" s="566" t="str">
        <f t="shared" si="179"/>
        <v/>
      </c>
    </row>
    <row r="628" spans="1:59" x14ac:dyDescent="0.25">
      <c r="A628" s="319"/>
      <c r="BF628" s="319">
        <f t="shared" si="180"/>
        <v>0</v>
      </c>
      <c r="BG628" s="566" t="str">
        <f t="shared" si="179"/>
        <v/>
      </c>
    </row>
    <row r="629" spans="1:59" x14ac:dyDescent="0.25">
      <c r="A629" s="319"/>
      <c r="BF629" s="319">
        <f t="shared" si="180"/>
        <v>0</v>
      </c>
      <c r="BG629" s="566" t="str">
        <f t="shared" si="179"/>
        <v/>
      </c>
    </row>
    <row r="630" spans="1:59" x14ac:dyDescent="0.25">
      <c r="A630" s="319"/>
      <c r="BF630" s="319">
        <f t="shared" si="180"/>
        <v>0</v>
      </c>
      <c r="BG630" s="566" t="str">
        <f t="shared" si="179"/>
        <v/>
      </c>
    </row>
    <row r="631" spans="1:59" x14ac:dyDescent="0.25">
      <c r="A631" s="319"/>
      <c r="BF631" s="319">
        <f t="shared" si="180"/>
        <v>0</v>
      </c>
      <c r="BG631" s="566" t="str">
        <f t="shared" si="179"/>
        <v/>
      </c>
    </row>
    <row r="632" spans="1:59" x14ac:dyDescent="0.25">
      <c r="A632" s="319"/>
      <c r="BF632" s="319">
        <f t="shared" si="180"/>
        <v>0</v>
      </c>
      <c r="BG632" s="566" t="str">
        <f t="shared" si="179"/>
        <v/>
      </c>
    </row>
    <row r="633" spans="1:59" x14ac:dyDescent="0.25">
      <c r="A633" s="319"/>
      <c r="BF633" s="319">
        <f t="shared" si="180"/>
        <v>0</v>
      </c>
      <c r="BG633" s="566" t="str">
        <f t="shared" si="179"/>
        <v/>
      </c>
    </row>
    <row r="634" spans="1:59" x14ac:dyDescent="0.25">
      <c r="A634" s="319"/>
      <c r="BF634" s="319">
        <f t="shared" si="180"/>
        <v>0</v>
      </c>
      <c r="BG634" s="566" t="str">
        <f t="shared" si="179"/>
        <v/>
      </c>
    </row>
    <row r="635" spans="1:59" x14ac:dyDescent="0.25">
      <c r="A635" s="319"/>
      <c r="BF635" s="319">
        <f t="shared" si="180"/>
        <v>0</v>
      </c>
      <c r="BG635" s="566" t="str">
        <f t="shared" si="179"/>
        <v/>
      </c>
    </row>
    <row r="636" spans="1:59" x14ac:dyDescent="0.25">
      <c r="A636" s="319"/>
      <c r="BF636" s="319">
        <f t="shared" si="180"/>
        <v>0</v>
      </c>
      <c r="BG636" s="566" t="str">
        <f t="shared" si="179"/>
        <v/>
      </c>
    </row>
    <row r="637" spans="1:59" x14ac:dyDescent="0.25">
      <c r="A637" s="319"/>
      <c r="BF637" s="319">
        <f t="shared" si="180"/>
        <v>0</v>
      </c>
      <c r="BG637" s="566" t="str">
        <f t="shared" si="179"/>
        <v/>
      </c>
    </row>
    <row r="638" spans="1:59" x14ac:dyDescent="0.25">
      <c r="A638" s="319"/>
      <c r="BF638" s="319">
        <f t="shared" si="180"/>
        <v>0</v>
      </c>
      <c r="BG638" s="566" t="str">
        <f t="shared" si="179"/>
        <v/>
      </c>
    </row>
    <row r="639" spans="1:59" x14ac:dyDescent="0.25">
      <c r="A639" s="319"/>
      <c r="BF639" s="319">
        <f t="shared" si="180"/>
        <v>0</v>
      </c>
      <c r="BG639" s="566" t="str">
        <f t="shared" si="179"/>
        <v/>
      </c>
    </row>
    <row r="640" spans="1:59" x14ac:dyDescent="0.25">
      <c r="A640" s="319"/>
      <c r="BF640" s="319">
        <f t="shared" si="180"/>
        <v>0</v>
      </c>
      <c r="BG640" s="566" t="str">
        <f t="shared" si="179"/>
        <v/>
      </c>
    </row>
    <row r="641" spans="1:59" x14ac:dyDescent="0.25">
      <c r="A641" s="319"/>
      <c r="BF641" s="319">
        <f t="shared" si="180"/>
        <v>0</v>
      </c>
      <c r="BG641" s="566" t="str">
        <f t="shared" si="179"/>
        <v/>
      </c>
    </row>
    <row r="642" spans="1:59" x14ac:dyDescent="0.25">
      <c r="A642" s="319"/>
      <c r="BF642" s="319">
        <f t="shared" si="180"/>
        <v>0</v>
      </c>
      <c r="BG642" s="566" t="str">
        <f t="shared" si="179"/>
        <v/>
      </c>
    </row>
    <row r="643" spans="1:59" x14ac:dyDescent="0.25">
      <c r="A643" s="319"/>
      <c r="BF643" s="319">
        <f t="shared" si="180"/>
        <v>0</v>
      </c>
      <c r="BG643" s="566" t="str">
        <f t="shared" si="179"/>
        <v/>
      </c>
    </row>
    <row r="644" spans="1:59" x14ac:dyDescent="0.25">
      <c r="A644" s="319"/>
      <c r="BF644" s="319">
        <f t="shared" si="180"/>
        <v>0</v>
      </c>
      <c r="BG644" s="566" t="str">
        <f t="shared" si="179"/>
        <v/>
      </c>
    </row>
    <row r="645" spans="1:59" x14ac:dyDescent="0.25">
      <c r="A645" s="319"/>
      <c r="BF645" s="319">
        <f t="shared" si="180"/>
        <v>0</v>
      </c>
      <c r="BG645" s="566" t="str">
        <f t="shared" si="179"/>
        <v/>
      </c>
    </row>
    <row r="646" spans="1:59" x14ac:dyDescent="0.25">
      <c r="A646" s="319"/>
      <c r="BF646" s="319">
        <f t="shared" si="180"/>
        <v>0</v>
      </c>
      <c r="BG646" s="566" t="str">
        <f t="shared" si="179"/>
        <v/>
      </c>
    </row>
    <row r="647" spans="1:59" x14ac:dyDescent="0.25">
      <c r="A647" s="319"/>
      <c r="BF647" s="319">
        <f t="shared" si="180"/>
        <v>0</v>
      </c>
      <c r="BG647" s="566" t="str">
        <f t="shared" ref="BG647:BG710" si="181">C406</f>
        <v/>
      </c>
    </row>
    <row r="648" spans="1:59" x14ac:dyDescent="0.25">
      <c r="A648" s="319"/>
      <c r="BF648" s="319">
        <f t="shared" si="180"/>
        <v>0</v>
      </c>
      <c r="BG648" s="566" t="str">
        <f t="shared" si="181"/>
        <v/>
      </c>
    </row>
    <row r="649" spans="1:59" x14ac:dyDescent="0.25">
      <c r="A649" s="319"/>
      <c r="BF649" s="319">
        <f t="shared" si="180"/>
        <v>0</v>
      </c>
      <c r="BG649" s="566" t="str">
        <f t="shared" si="181"/>
        <v/>
      </c>
    </row>
    <row r="650" spans="1:59" x14ac:dyDescent="0.25">
      <c r="A650" s="319"/>
      <c r="BF650" s="319">
        <f t="shared" si="180"/>
        <v>0</v>
      </c>
      <c r="BG650" s="566" t="str">
        <f t="shared" si="181"/>
        <v/>
      </c>
    </row>
    <row r="651" spans="1:59" x14ac:dyDescent="0.25">
      <c r="A651" s="319"/>
      <c r="BF651" s="319">
        <f t="shared" si="180"/>
        <v>0</v>
      </c>
      <c r="BG651" s="566" t="str">
        <f t="shared" si="181"/>
        <v/>
      </c>
    </row>
    <row r="652" spans="1:59" x14ac:dyDescent="0.25">
      <c r="A652" s="319"/>
      <c r="BF652" s="319">
        <f t="shared" si="180"/>
        <v>0</v>
      </c>
      <c r="BG652" s="566" t="str">
        <f t="shared" si="181"/>
        <v/>
      </c>
    </row>
    <row r="653" spans="1:59" x14ac:dyDescent="0.25">
      <c r="A653" s="319"/>
      <c r="BF653" s="319">
        <f t="shared" si="180"/>
        <v>0</v>
      </c>
      <c r="BG653" s="566" t="str">
        <f t="shared" si="181"/>
        <v/>
      </c>
    </row>
    <row r="654" spans="1:59" x14ac:dyDescent="0.25">
      <c r="A654" s="319"/>
      <c r="BF654" s="319">
        <f t="shared" si="180"/>
        <v>0</v>
      </c>
      <c r="BG654" s="566" t="str">
        <f t="shared" si="181"/>
        <v/>
      </c>
    </row>
    <row r="655" spans="1:59" x14ac:dyDescent="0.25">
      <c r="BF655" s="319">
        <f t="shared" si="180"/>
        <v>0</v>
      </c>
      <c r="BG655" s="566" t="str">
        <f t="shared" si="181"/>
        <v/>
      </c>
    </row>
    <row r="656" spans="1:59" x14ac:dyDescent="0.25">
      <c r="BF656" s="319">
        <f t="shared" si="180"/>
        <v>0</v>
      </c>
      <c r="BG656" s="566" t="str">
        <f t="shared" si="181"/>
        <v/>
      </c>
    </row>
    <row r="657" spans="58:59" x14ac:dyDescent="0.25">
      <c r="BF657" s="319">
        <f t="shared" si="180"/>
        <v>0</v>
      </c>
      <c r="BG657" s="566" t="str">
        <f t="shared" si="181"/>
        <v/>
      </c>
    </row>
    <row r="658" spans="58:59" x14ac:dyDescent="0.25">
      <c r="BF658" s="319">
        <f t="shared" si="180"/>
        <v>0</v>
      </c>
      <c r="BG658" s="566" t="str">
        <f t="shared" si="181"/>
        <v/>
      </c>
    </row>
    <row r="659" spans="58:59" x14ac:dyDescent="0.25">
      <c r="BF659" s="319">
        <f t="shared" si="180"/>
        <v>0</v>
      </c>
      <c r="BG659" s="566" t="str">
        <f t="shared" si="181"/>
        <v/>
      </c>
    </row>
    <row r="660" spans="58:59" x14ac:dyDescent="0.25">
      <c r="BF660" s="319">
        <f t="shared" si="180"/>
        <v>0</v>
      </c>
      <c r="BG660" s="566" t="str">
        <f t="shared" si="181"/>
        <v/>
      </c>
    </row>
    <row r="661" spans="58:59" x14ac:dyDescent="0.25">
      <c r="BF661" s="319">
        <f t="shared" si="180"/>
        <v>0</v>
      </c>
      <c r="BG661" s="566" t="str">
        <f t="shared" si="181"/>
        <v/>
      </c>
    </row>
    <row r="662" spans="58:59" x14ac:dyDescent="0.25">
      <c r="BF662" s="319">
        <f t="shared" si="180"/>
        <v>0</v>
      </c>
      <c r="BG662" s="566" t="str">
        <f t="shared" si="181"/>
        <v/>
      </c>
    </row>
    <row r="663" spans="58:59" x14ac:dyDescent="0.25">
      <c r="BF663" s="319">
        <f t="shared" si="180"/>
        <v>0</v>
      </c>
      <c r="BG663" s="566" t="str">
        <f t="shared" si="181"/>
        <v/>
      </c>
    </row>
    <row r="664" spans="58:59" x14ac:dyDescent="0.25">
      <c r="BF664" s="319">
        <f t="shared" si="180"/>
        <v>0</v>
      </c>
      <c r="BG664" s="566" t="str">
        <f t="shared" si="181"/>
        <v/>
      </c>
    </row>
    <row r="665" spans="58:59" x14ac:dyDescent="0.25">
      <c r="BF665" s="319">
        <f t="shared" si="180"/>
        <v>0</v>
      </c>
      <c r="BG665" s="566" t="str">
        <f t="shared" si="181"/>
        <v/>
      </c>
    </row>
    <row r="666" spans="58:59" x14ac:dyDescent="0.25">
      <c r="BF666" s="319">
        <f t="shared" si="180"/>
        <v>0</v>
      </c>
      <c r="BG666" s="566" t="str">
        <f t="shared" si="181"/>
        <v/>
      </c>
    </row>
    <row r="667" spans="58:59" x14ac:dyDescent="0.25">
      <c r="BF667" s="319">
        <f t="shared" si="180"/>
        <v>0</v>
      </c>
      <c r="BG667" s="566" t="str">
        <f t="shared" si="181"/>
        <v/>
      </c>
    </row>
    <row r="668" spans="58:59" x14ac:dyDescent="0.25">
      <c r="BF668" s="319">
        <f t="shared" si="180"/>
        <v>0</v>
      </c>
      <c r="BG668" s="566" t="str">
        <f t="shared" si="181"/>
        <v/>
      </c>
    </row>
    <row r="669" spans="58:59" x14ac:dyDescent="0.25">
      <c r="BF669" s="319">
        <f t="shared" ref="BF669:BF732" si="182">B428</f>
        <v>0</v>
      </c>
      <c r="BG669" s="566" t="str">
        <f t="shared" si="181"/>
        <v/>
      </c>
    </row>
    <row r="670" spans="58:59" x14ac:dyDescent="0.25">
      <c r="BF670" s="319">
        <f t="shared" si="182"/>
        <v>0</v>
      </c>
      <c r="BG670" s="566" t="str">
        <f t="shared" si="181"/>
        <v/>
      </c>
    </row>
    <row r="671" spans="58:59" x14ac:dyDescent="0.25">
      <c r="BF671" s="319">
        <f t="shared" si="182"/>
        <v>0</v>
      </c>
      <c r="BG671" s="566" t="str">
        <f t="shared" si="181"/>
        <v/>
      </c>
    </row>
    <row r="672" spans="58:59" x14ac:dyDescent="0.25">
      <c r="BF672" s="319">
        <f t="shared" si="182"/>
        <v>0</v>
      </c>
      <c r="BG672" s="566" t="str">
        <f t="shared" si="181"/>
        <v/>
      </c>
    </row>
    <row r="673" spans="58:59" x14ac:dyDescent="0.25">
      <c r="BF673" s="319">
        <f t="shared" si="182"/>
        <v>0</v>
      </c>
      <c r="BG673" s="566" t="str">
        <f t="shared" si="181"/>
        <v/>
      </c>
    </row>
    <row r="674" spans="58:59" x14ac:dyDescent="0.25">
      <c r="BF674" s="319">
        <f t="shared" si="182"/>
        <v>0</v>
      </c>
      <c r="BG674" s="566" t="str">
        <f t="shared" si="181"/>
        <v/>
      </c>
    </row>
    <row r="675" spans="58:59" x14ac:dyDescent="0.25">
      <c r="BF675" s="319">
        <f t="shared" si="182"/>
        <v>0</v>
      </c>
      <c r="BG675" s="566" t="str">
        <f t="shared" si="181"/>
        <v/>
      </c>
    </row>
    <row r="676" spans="58:59" x14ac:dyDescent="0.25">
      <c r="BF676" s="319">
        <f t="shared" si="182"/>
        <v>0</v>
      </c>
      <c r="BG676" s="566" t="str">
        <f t="shared" si="181"/>
        <v/>
      </c>
    </row>
    <row r="677" spans="58:59" x14ac:dyDescent="0.25">
      <c r="BF677" s="319">
        <f t="shared" si="182"/>
        <v>0</v>
      </c>
      <c r="BG677" s="566" t="str">
        <f t="shared" si="181"/>
        <v/>
      </c>
    </row>
    <row r="678" spans="58:59" x14ac:dyDescent="0.25">
      <c r="BF678" s="319">
        <f t="shared" si="182"/>
        <v>0</v>
      </c>
      <c r="BG678" s="566" t="str">
        <f t="shared" si="181"/>
        <v/>
      </c>
    </row>
    <row r="679" spans="58:59" x14ac:dyDescent="0.25">
      <c r="BF679" s="319">
        <f t="shared" si="182"/>
        <v>0</v>
      </c>
      <c r="BG679" s="566" t="str">
        <f t="shared" si="181"/>
        <v/>
      </c>
    </row>
    <row r="680" spans="58:59" x14ac:dyDescent="0.25">
      <c r="BF680" s="319">
        <f t="shared" si="182"/>
        <v>0</v>
      </c>
      <c r="BG680" s="566" t="str">
        <f t="shared" si="181"/>
        <v/>
      </c>
    </row>
    <row r="681" spans="58:59" x14ac:dyDescent="0.25">
      <c r="BF681" s="319">
        <f t="shared" si="182"/>
        <v>0</v>
      </c>
      <c r="BG681" s="566" t="str">
        <f t="shared" si="181"/>
        <v/>
      </c>
    </row>
    <row r="682" spans="58:59" x14ac:dyDescent="0.25">
      <c r="BF682" s="319">
        <f t="shared" si="182"/>
        <v>0</v>
      </c>
      <c r="BG682" s="566" t="str">
        <f t="shared" si="181"/>
        <v/>
      </c>
    </row>
    <row r="683" spans="58:59" x14ac:dyDescent="0.25">
      <c r="BF683" s="319">
        <f t="shared" si="182"/>
        <v>0</v>
      </c>
      <c r="BG683" s="566" t="str">
        <f t="shared" si="181"/>
        <v/>
      </c>
    </row>
    <row r="684" spans="58:59" x14ac:dyDescent="0.25">
      <c r="BF684" s="319">
        <f t="shared" si="182"/>
        <v>0</v>
      </c>
      <c r="BG684" s="566" t="str">
        <f t="shared" si="181"/>
        <v/>
      </c>
    </row>
    <row r="685" spans="58:59" x14ac:dyDescent="0.25">
      <c r="BF685" s="319">
        <f t="shared" si="182"/>
        <v>0</v>
      </c>
      <c r="BG685" s="566" t="str">
        <f t="shared" si="181"/>
        <v/>
      </c>
    </row>
    <row r="686" spans="58:59" x14ac:dyDescent="0.25">
      <c r="BF686" s="319">
        <f t="shared" si="182"/>
        <v>0</v>
      </c>
      <c r="BG686" s="566" t="str">
        <f t="shared" si="181"/>
        <v/>
      </c>
    </row>
    <row r="687" spans="58:59" x14ac:dyDescent="0.25">
      <c r="BF687" s="319">
        <f t="shared" si="182"/>
        <v>0</v>
      </c>
      <c r="BG687" s="566" t="str">
        <f t="shared" si="181"/>
        <v/>
      </c>
    </row>
    <row r="688" spans="58:59" x14ac:dyDescent="0.25">
      <c r="BF688" s="319">
        <f t="shared" si="182"/>
        <v>0</v>
      </c>
      <c r="BG688" s="566" t="str">
        <f t="shared" si="181"/>
        <v/>
      </c>
    </row>
    <row r="689" spans="58:59" x14ac:dyDescent="0.25">
      <c r="BF689" s="319">
        <f t="shared" si="182"/>
        <v>0</v>
      </c>
      <c r="BG689" s="566" t="str">
        <f t="shared" si="181"/>
        <v/>
      </c>
    </row>
    <row r="690" spans="58:59" x14ac:dyDescent="0.25">
      <c r="BF690" s="319">
        <f t="shared" si="182"/>
        <v>0</v>
      </c>
      <c r="BG690" s="566" t="str">
        <f t="shared" si="181"/>
        <v/>
      </c>
    </row>
    <row r="691" spans="58:59" x14ac:dyDescent="0.25">
      <c r="BF691" s="319">
        <f t="shared" si="182"/>
        <v>0</v>
      </c>
      <c r="BG691" s="566" t="str">
        <f t="shared" si="181"/>
        <v/>
      </c>
    </row>
    <row r="692" spans="58:59" x14ac:dyDescent="0.25">
      <c r="BF692" s="319">
        <f t="shared" si="182"/>
        <v>0</v>
      </c>
      <c r="BG692" s="566" t="str">
        <f t="shared" si="181"/>
        <v/>
      </c>
    </row>
    <row r="693" spans="58:59" x14ac:dyDescent="0.25">
      <c r="BF693" s="319">
        <f t="shared" si="182"/>
        <v>0</v>
      </c>
      <c r="BG693" s="566" t="str">
        <f t="shared" si="181"/>
        <v/>
      </c>
    </row>
    <row r="694" spans="58:59" x14ac:dyDescent="0.25">
      <c r="BF694" s="319">
        <f t="shared" si="182"/>
        <v>0</v>
      </c>
      <c r="BG694" s="566" t="str">
        <f t="shared" si="181"/>
        <v/>
      </c>
    </row>
    <row r="695" spans="58:59" x14ac:dyDescent="0.25">
      <c r="BF695" s="319">
        <f t="shared" si="182"/>
        <v>0</v>
      </c>
      <c r="BG695" s="566" t="str">
        <f t="shared" si="181"/>
        <v/>
      </c>
    </row>
    <row r="696" spans="58:59" x14ac:dyDescent="0.25">
      <c r="BF696" s="319">
        <f t="shared" si="182"/>
        <v>0</v>
      </c>
      <c r="BG696" s="566" t="str">
        <f t="shared" si="181"/>
        <v/>
      </c>
    </row>
    <row r="697" spans="58:59" x14ac:dyDescent="0.25">
      <c r="BF697" s="319">
        <f t="shared" si="182"/>
        <v>0</v>
      </c>
      <c r="BG697" s="566" t="str">
        <f t="shared" si="181"/>
        <v/>
      </c>
    </row>
    <row r="698" spans="58:59" x14ac:dyDescent="0.25">
      <c r="BF698" s="319">
        <f t="shared" si="182"/>
        <v>0</v>
      </c>
      <c r="BG698" s="566" t="str">
        <f t="shared" si="181"/>
        <v/>
      </c>
    </row>
    <row r="699" spans="58:59" x14ac:dyDescent="0.25">
      <c r="BF699" s="319">
        <f t="shared" si="182"/>
        <v>0</v>
      </c>
      <c r="BG699" s="566" t="str">
        <f t="shared" si="181"/>
        <v/>
      </c>
    </row>
    <row r="700" spans="58:59" x14ac:dyDescent="0.25">
      <c r="BF700" s="319">
        <f t="shared" si="182"/>
        <v>0</v>
      </c>
      <c r="BG700" s="566" t="str">
        <f t="shared" si="181"/>
        <v/>
      </c>
    </row>
    <row r="701" spans="58:59" x14ac:dyDescent="0.25">
      <c r="BF701" s="319">
        <f t="shared" si="182"/>
        <v>0</v>
      </c>
      <c r="BG701" s="566" t="str">
        <f t="shared" si="181"/>
        <v/>
      </c>
    </row>
    <row r="702" spans="58:59" x14ac:dyDescent="0.25">
      <c r="BF702" s="319">
        <f t="shared" si="182"/>
        <v>0</v>
      </c>
      <c r="BG702" s="566" t="str">
        <f t="shared" si="181"/>
        <v/>
      </c>
    </row>
    <row r="703" spans="58:59" x14ac:dyDescent="0.25">
      <c r="BF703" s="319">
        <f t="shared" si="182"/>
        <v>0</v>
      </c>
      <c r="BG703" s="566" t="str">
        <f t="shared" si="181"/>
        <v/>
      </c>
    </row>
    <row r="704" spans="58:59" x14ac:dyDescent="0.25">
      <c r="BF704" s="319">
        <f t="shared" si="182"/>
        <v>0</v>
      </c>
      <c r="BG704" s="566" t="str">
        <f t="shared" si="181"/>
        <v/>
      </c>
    </row>
    <row r="705" spans="58:59" x14ac:dyDescent="0.25">
      <c r="BF705" s="319">
        <f t="shared" si="182"/>
        <v>0</v>
      </c>
      <c r="BG705" s="566" t="str">
        <f t="shared" si="181"/>
        <v/>
      </c>
    </row>
    <row r="706" spans="58:59" x14ac:dyDescent="0.25">
      <c r="BF706" s="319">
        <f t="shared" si="182"/>
        <v>0</v>
      </c>
      <c r="BG706" s="566" t="str">
        <f t="shared" si="181"/>
        <v/>
      </c>
    </row>
    <row r="707" spans="58:59" x14ac:dyDescent="0.25">
      <c r="BF707" s="319">
        <f t="shared" si="182"/>
        <v>0</v>
      </c>
      <c r="BG707" s="566" t="str">
        <f t="shared" si="181"/>
        <v/>
      </c>
    </row>
    <row r="708" spans="58:59" x14ac:dyDescent="0.25">
      <c r="BF708" s="319">
        <f t="shared" si="182"/>
        <v>0</v>
      </c>
      <c r="BG708" s="566" t="str">
        <f t="shared" si="181"/>
        <v/>
      </c>
    </row>
    <row r="709" spans="58:59" x14ac:dyDescent="0.25">
      <c r="BF709" s="319">
        <f t="shared" si="182"/>
        <v>0</v>
      </c>
      <c r="BG709" s="566" t="str">
        <f t="shared" si="181"/>
        <v/>
      </c>
    </row>
    <row r="710" spans="58:59" x14ac:dyDescent="0.25">
      <c r="BF710" s="319">
        <f t="shared" si="182"/>
        <v>0</v>
      </c>
      <c r="BG710" s="566" t="str">
        <f t="shared" si="181"/>
        <v/>
      </c>
    </row>
    <row r="711" spans="58:59" x14ac:dyDescent="0.25">
      <c r="BF711" s="319">
        <f t="shared" si="182"/>
        <v>0</v>
      </c>
      <c r="BG711" s="566" t="str">
        <f t="shared" ref="BG711:BG735" si="183">C470</f>
        <v/>
      </c>
    </row>
    <row r="712" spans="58:59" x14ac:dyDescent="0.25">
      <c r="BF712" s="319">
        <f t="shared" si="182"/>
        <v>0</v>
      </c>
      <c r="BG712" s="566" t="str">
        <f t="shared" si="183"/>
        <v/>
      </c>
    </row>
    <row r="713" spans="58:59" x14ac:dyDescent="0.25">
      <c r="BF713" s="319">
        <f t="shared" si="182"/>
        <v>0</v>
      </c>
      <c r="BG713" s="566" t="str">
        <f t="shared" si="183"/>
        <v/>
      </c>
    </row>
    <row r="714" spans="58:59" x14ac:dyDescent="0.25">
      <c r="BF714" s="319">
        <f t="shared" si="182"/>
        <v>0</v>
      </c>
      <c r="BG714" s="566" t="str">
        <f t="shared" si="183"/>
        <v/>
      </c>
    </row>
    <row r="715" spans="58:59" x14ac:dyDescent="0.25">
      <c r="BF715" s="319">
        <f t="shared" si="182"/>
        <v>0</v>
      </c>
      <c r="BG715" s="566" t="str">
        <f t="shared" si="183"/>
        <v/>
      </c>
    </row>
    <row r="716" spans="58:59" x14ac:dyDescent="0.25">
      <c r="BF716" s="319">
        <f t="shared" si="182"/>
        <v>0</v>
      </c>
      <c r="BG716" s="566" t="str">
        <f t="shared" si="183"/>
        <v/>
      </c>
    </row>
    <row r="717" spans="58:59" x14ac:dyDescent="0.25">
      <c r="BF717" s="319">
        <f t="shared" si="182"/>
        <v>0</v>
      </c>
      <c r="BG717" s="566" t="str">
        <f t="shared" si="183"/>
        <v/>
      </c>
    </row>
    <row r="718" spans="58:59" x14ac:dyDescent="0.25">
      <c r="BF718" s="319">
        <f t="shared" si="182"/>
        <v>0</v>
      </c>
      <c r="BG718" s="566" t="str">
        <f t="shared" si="183"/>
        <v/>
      </c>
    </row>
    <row r="719" spans="58:59" x14ac:dyDescent="0.25">
      <c r="BF719" s="319">
        <f t="shared" si="182"/>
        <v>0</v>
      </c>
      <c r="BG719" s="566" t="str">
        <f t="shared" si="183"/>
        <v/>
      </c>
    </row>
    <row r="720" spans="58:59" x14ac:dyDescent="0.25">
      <c r="BF720" s="319">
        <f t="shared" si="182"/>
        <v>0</v>
      </c>
      <c r="BG720" s="566" t="str">
        <f t="shared" si="183"/>
        <v/>
      </c>
    </row>
    <row r="721" spans="58:59" x14ac:dyDescent="0.25">
      <c r="BF721" s="319">
        <f t="shared" si="182"/>
        <v>0</v>
      </c>
      <c r="BG721" s="566" t="str">
        <f t="shared" si="183"/>
        <v/>
      </c>
    </row>
    <row r="722" spans="58:59" x14ac:dyDescent="0.25">
      <c r="BF722" s="319">
        <f t="shared" si="182"/>
        <v>0</v>
      </c>
      <c r="BG722" s="566" t="str">
        <f t="shared" si="183"/>
        <v/>
      </c>
    </row>
    <row r="723" spans="58:59" x14ac:dyDescent="0.25">
      <c r="BF723" s="319">
        <f t="shared" si="182"/>
        <v>0</v>
      </c>
      <c r="BG723" s="566" t="str">
        <f t="shared" si="183"/>
        <v/>
      </c>
    </row>
    <row r="724" spans="58:59" x14ac:dyDescent="0.25">
      <c r="BF724" s="319">
        <f t="shared" si="182"/>
        <v>0</v>
      </c>
      <c r="BG724" s="566" t="str">
        <f t="shared" si="183"/>
        <v/>
      </c>
    </row>
    <row r="725" spans="58:59" x14ac:dyDescent="0.25">
      <c r="BF725" s="319">
        <f t="shared" si="182"/>
        <v>0</v>
      </c>
      <c r="BG725" s="566" t="str">
        <f t="shared" si="183"/>
        <v/>
      </c>
    </row>
    <row r="726" spans="58:59" x14ac:dyDescent="0.25">
      <c r="BF726" s="319">
        <f t="shared" si="182"/>
        <v>0</v>
      </c>
      <c r="BG726" s="566" t="str">
        <f t="shared" si="183"/>
        <v/>
      </c>
    </row>
    <row r="727" spans="58:59" x14ac:dyDescent="0.25">
      <c r="BF727" s="319">
        <f t="shared" si="182"/>
        <v>0</v>
      </c>
      <c r="BG727" s="566" t="str">
        <f t="shared" si="183"/>
        <v/>
      </c>
    </row>
    <row r="728" spans="58:59" x14ac:dyDescent="0.25">
      <c r="BF728" s="319">
        <f t="shared" si="182"/>
        <v>0</v>
      </c>
      <c r="BG728" s="566" t="str">
        <f t="shared" si="183"/>
        <v/>
      </c>
    </row>
    <row r="729" spans="58:59" x14ac:dyDescent="0.25">
      <c r="BF729" s="319">
        <f t="shared" si="182"/>
        <v>0</v>
      </c>
      <c r="BG729" s="566" t="str">
        <f t="shared" si="183"/>
        <v/>
      </c>
    </row>
    <row r="730" spans="58:59" x14ac:dyDescent="0.25">
      <c r="BF730" s="319">
        <f t="shared" si="182"/>
        <v>0</v>
      </c>
      <c r="BG730" s="566" t="str">
        <f t="shared" si="183"/>
        <v/>
      </c>
    </row>
    <row r="731" spans="58:59" x14ac:dyDescent="0.25">
      <c r="BF731" s="319">
        <f t="shared" si="182"/>
        <v>0</v>
      </c>
      <c r="BG731" s="566" t="str">
        <f t="shared" si="183"/>
        <v/>
      </c>
    </row>
    <row r="732" spans="58:59" x14ac:dyDescent="0.25">
      <c r="BF732" s="319">
        <f t="shared" si="182"/>
        <v>0</v>
      </c>
      <c r="BG732" s="566" t="str">
        <f t="shared" si="183"/>
        <v/>
      </c>
    </row>
    <row r="733" spans="58:59" x14ac:dyDescent="0.25">
      <c r="BF733" s="319">
        <f t="shared" ref="BF733:BF735" si="184">B492</f>
        <v>0</v>
      </c>
      <c r="BG733" s="566" t="str">
        <f t="shared" si="183"/>
        <v/>
      </c>
    </row>
    <row r="734" spans="58:59" x14ac:dyDescent="0.25">
      <c r="BF734" s="319">
        <f t="shared" si="184"/>
        <v>0</v>
      </c>
      <c r="BG734" s="566" t="str">
        <f t="shared" si="183"/>
        <v/>
      </c>
    </row>
    <row r="735" spans="58:59" x14ac:dyDescent="0.25">
      <c r="BF735" s="319">
        <f t="shared" si="184"/>
        <v>0</v>
      </c>
      <c r="BG735" s="566" t="str">
        <f t="shared" si="183"/>
        <v/>
      </c>
    </row>
  </sheetData>
  <sheetProtection password="E9C2" sheet="1" objects="1" scenarios="1" selectLockedCells="1"/>
  <sortState ref="N2:Q432">
    <sortCondition ref="O2:O432"/>
    <sortCondition ref="Q2:Q432"/>
    <sortCondition ref="N2:N432"/>
  </sortState>
  <mergeCells count="2">
    <mergeCell ref="AK42:AO46"/>
    <mergeCell ref="AP42:AP46"/>
  </mergeCells>
  <conditionalFormatting sqref="C1:G495">
    <cfRule type="expression" dxfId="453" priority="701">
      <formula>IF($F1="No",1,0)=1</formula>
    </cfRule>
  </conditionalFormatting>
  <conditionalFormatting sqref="C1:G1048576">
    <cfRule type="expression" dxfId="452" priority="18">
      <formula>IF($K1="Prohibited",1,0)=1</formula>
    </cfRule>
  </conditionalFormatting>
  <conditionalFormatting sqref="U1:Z1048576">
    <cfRule type="expression" dxfId="451" priority="15">
      <formula>IF($Y1="No",1,0)=1</formula>
    </cfRule>
  </conditionalFormatting>
  <conditionalFormatting sqref="AC1:AH1048576">
    <cfRule type="expression" dxfId="450" priority="14">
      <formula>IF($AG1="No",1,0)=1</formula>
    </cfRule>
  </conditionalFormatting>
  <conditionalFormatting sqref="AK1:AP41">
    <cfRule type="expression" dxfId="449" priority="13">
      <formula>IF($AO1="No",1,0)=1</formula>
    </cfRule>
  </conditionalFormatting>
  <conditionalFormatting sqref="AH92:AH101">
    <cfRule type="expression" dxfId="448" priority="11">
      <formula>IF($Y92="No",1,0)=1</formula>
    </cfRule>
  </conditionalFormatting>
  <conditionalFormatting sqref="AH82:AH91">
    <cfRule type="expression" dxfId="447" priority="10">
      <formula>IF($Y82="No",1,0)=1</formula>
    </cfRule>
  </conditionalFormatting>
  <conditionalFormatting sqref="AH72:AH81">
    <cfRule type="expression" dxfId="446" priority="9">
      <formula>IF($Y72="No",1,0)=1</formula>
    </cfRule>
  </conditionalFormatting>
  <conditionalFormatting sqref="AH62:AH71">
    <cfRule type="expression" dxfId="445" priority="8">
      <formula>IF($Y62="No",1,0)=1</formula>
    </cfRule>
  </conditionalFormatting>
  <conditionalFormatting sqref="AH52:AH61">
    <cfRule type="expression" dxfId="444" priority="7">
      <formula>IF($Y52="No",1,0)=1</formula>
    </cfRule>
  </conditionalFormatting>
  <conditionalFormatting sqref="AH42:AH51">
    <cfRule type="expression" dxfId="443" priority="6">
      <formula>IF($Y42="No",1,0)=1</formula>
    </cfRule>
  </conditionalFormatting>
  <conditionalFormatting sqref="AH32:AH41">
    <cfRule type="expression" dxfId="442" priority="5">
      <formula>IF($Y32="No",1,0)=1</formula>
    </cfRule>
  </conditionalFormatting>
  <conditionalFormatting sqref="AH22:AH31">
    <cfRule type="expression" dxfId="441" priority="4">
      <formula>IF($Y22="No",1,0)=1</formula>
    </cfRule>
  </conditionalFormatting>
  <conditionalFormatting sqref="AH12:AH21">
    <cfRule type="expression" dxfId="440" priority="3">
      <formula>IF($Y12="No",1,0)=1</formula>
    </cfRule>
  </conditionalFormatting>
  <conditionalFormatting sqref="AH2:AH11">
    <cfRule type="expression" dxfId="439" priority="2">
      <formula>IF($Y2="No",1,0)=1</formula>
    </cfRule>
  </conditionalFormatting>
  <conditionalFormatting sqref="U1:U101 Y1:Z101 AC1:AC101 AG1:AH101 AK1:AK41 AO1:AP41 AK42:AP46">
    <cfRule type="expression" dxfId="438" priority="1">
      <formula>IF($D$2="arete",1,0)=0</formula>
    </cfRule>
  </conditionalFormatting>
  <dataValidations count="4">
    <dataValidation type="list" allowBlank="1" showInputMessage="1" showErrorMessage="1" sqref="AP2:AP41 Z2:Z101 AH2:AH101">
      <formula1>INDIRECT(Y2)</formula1>
    </dataValidation>
    <dataValidation type="list" allowBlank="1" showInputMessage="1" showErrorMessage="1" sqref="AR24:AR27">
      <formula1>Special</formula1>
    </dataValidation>
    <dataValidation type="list" allowBlank="1" showInputMessage="1" showErrorMessage="1" sqref="G2:G495">
      <formula1>INDIRECT($F2)</formula1>
    </dataValidation>
    <dataValidation type="list" allowBlank="1" showInputMessage="1" showErrorMessage="1" sqref="AP42:AP46">
      <formula1>"Single, Combined"</formula1>
    </dataValidation>
  </dataValidations>
  <pageMargins left="0.7" right="0.7" top="0.75" bottom="0.75" header="0.3" footer="0.3"/>
  <pageSetup orientation="portrait" horizontalDpi="0" verticalDpi="0" r:id="rId1"/>
  <ignoredErrors>
    <ignoredError sqref="F330" formula="1"/>
  </ignoredErrors>
  <extLst>
    <ext xmlns:x14="http://schemas.microsoft.com/office/spreadsheetml/2009/9/main" uri="{78C0D931-6437-407d-A8EE-F0AAD7539E65}">
      <x14:conditionalFormattings>
        <x14:conditionalFormatting xmlns:xm="http://schemas.microsoft.com/office/excel/2006/main">
          <x14:cfRule type="expression" priority="29" id="{1D9657CD-BA6A-4313-B81A-1D24791A2F81}">
            <xm:f>IF(CharacterSheet!$V$34&gt;$E2,1,0)=0</xm:f>
            <x14:dxf>
              <font>
                <color auto="1"/>
              </font>
              <fill>
                <patternFill patternType="none">
                  <bgColor auto="1"/>
                </patternFill>
              </fill>
            </x14:dxf>
          </x14:cfRule>
          <xm:sqref>P2:P11</xm:sqref>
        </x14:conditionalFormatting>
        <x14:conditionalFormatting xmlns:xm="http://schemas.microsoft.com/office/excel/2006/main">
          <x14:cfRule type="expression" priority="668" id="{B04D27AE-C575-4974-8441-C01D5257E307}">
            <xm:f>IF(CharacterSheet!$V$34&gt;$E119,1,0)=0</xm:f>
            <x14:dxf>
              <font>
                <color auto="1"/>
              </font>
              <fill>
                <patternFill patternType="none">
                  <bgColor auto="1"/>
                </patternFill>
              </fill>
            </x14:dxf>
          </x14:cfRule>
          <xm:sqref>P111:P121</xm:sqref>
        </x14:conditionalFormatting>
        <x14:conditionalFormatting xmlns:xm="http://schemas.microsoft.com/office/excel/2006/main">
          <x14:cfRule type="expression" priority="671" id="{B04D27AE-C575-4974-8441-C01D5257E307}">
            <xm:f>IF(CharacterSheet!$V$34&gt;$E106,1,0)=0</xm:f>
            <x14:dxf>
              <font>
                <color auto="1"/>
              </font>
              <fill>
                <patternFill patternType="none">
                  <bgColor auto="1"/>
                </patternFill>
              </fill>
            </x14:dxf>
          </x14:cfRule>
          <xm:sqref>P99:P110</xm:sqref>
        </x14:conditionalFormatting>
        <x14:conditionalFormatting xmlns:xm="http://schemas.microsoft.com/office/excel/2006/main">
          <x14:cfRule type="expression" priority="674" id="{B04D27AE-C575-4974-8441-C01D5257E307}">
            <xm:f>IF(CharacterSheet!$V$34&gt;$E93,1,0)=0</xm:f>
            <x14:dxf>
              <font>
                <color auto="1"/>
              </font>
              <fill>
                <patternFill patternType="none">
                  <bgColor auto="1"/>
                </patternFill>
              </fill>
            </x14:dxf>
          </x14:cfRule>
          <xm:sqref>P87:P98</xm:sqref>
        </x14:conditionalFormatting>
        <x14:conditionalFormatting xmlns:xm="http://schemas.microsoft.com/office/excel/2006/main">
          <x14:cfRule type="expression" priority="677" id="{B04D27AE-C575-4974-8441-C01D5257E307}">
            <xm:f>IF(CharacterSheet!$V$34&gt;$E79,1,0)=0</xm:f>
            <x14:dxf>
              <font>
                <color auto="1"/>
              </font>
              <fill>
                <patternFill patternType="none">
                  <bgColor auto="1"/>
                </patternFill>
              </fill>
            </x14:dxf>
          </x14:cfRule>
          <xm:sqref>P74:P86</xm:sqref>
        </x14:conditionalFormatting>
        <x14:conditionalFormatting xmlns:xm="http://schemas.microsoft.com/office/excel/2006/main">
          <x14:cfRule type="expression" priority="680" id="{B04D27AE-C575-4974-8441-C01D5257E307}">
            <xm:f>IF(CharacterSheet!$V$34&gt;$E64,1,0)=0</xm:f>
            <x14:dxf>
              <font>
                <color auto="1"/>
              </font>
              <fill>
                <patternFill patternType="none">
                  <bgColor auto="1"/>
                </patternFill>
              </fill>
            </x14:dxf>
          </x14:cfRule>
          <xm:sqref>P60:P73</xm:sqref>
        </x14:conditionalFormatting>
        <x14:conditionalFormatting xmlns:xm="http://schemas.microsoft.com/office/excel/2006/main">
          <x14:cfRule type="expression" priority="683" id="{B04D27AE-C575-4974-8441-C01D5257E307}">
            <xm:f>IF(CharacterSheet!$V$34&gt;$E51,1,0)=0</xm:f>
            <x14:dxf>
              <font>
                <color auto="1"/>
              </font>
              <fill>
                <patternFill patternType="none">
                  <bgColor auto="1"/>
                </patternFill>
              </fill>
            </x14:dxf>
          </x14:cfRule>
          <xm:sqref>P48:P59</xm:sqref>
        </x14:conditionalFormatting>
        <x14:conditionalFormatting xmlns:xm="http://schemas.microsoft.com/office/excel/2006/main">
          <x14:cfRule type="expression" priority="686" id="{B04D27AE-C575-4974-8441-C01D5257E307}">
            <xm:f>IF(CharacterSheet!$V$34&gt;$E37,1,0)=0</xm:f>
            <x14:dxf>
              <font>
                <color auto="1"/>
              </font>
              <fill>
                <patternFill patternType="none">
                  <bgColor auto="1"/>
                </patternFill>
              </fill>
            </x14:dxf>
          </x14:cfRule>
          <xm:sqref>P35:P47</xm:sqref>
        </x14:conditionalFormatting>
        <x14:conditionalFormatting xmlns:xm="http://schemas.microsoft.com/office/excel/2006/main">
          <x14:cfRule type="expression" priority="689" id="{B04D27AE-C575-4974-8441-C01D5257E307}">
            <xm:f>IF(CharacterSheet!$V$34&gt;$E23,1,0)=0</xm:f>
            <x14:dxf>
              <font>
                <color auto="1"/>
              </font>
              <fill>
                <patternFill patternType="none">
                  <bgColor auto="1"/>
                </patternFill>
              </fill>
            </x14:dxf>
          </x14:cfRule>
          <xm:sqref>P22:P34</xm:sqref>
        </x14:conditionalFormatting>
        <x14:conditionalFormatting xmlns:xm="http://schemas.microsoft.com/office/excel/2006/main">
          <x14:cfRule type="expression" priority="702" id="{DBD80944-F2C2-4A45-BB65-58CD0A5E73C3}">
            <xm:f>IF('House Rules'!$B$13="Boons",1,0)=1</xm:f>
            <x14:dxf>
              <font>
                <color theme="0"/>
              </font>
              <fill>
                <patternFill patternType="none">
                  <bgColor auto="1"/>
                </patternFill>
              </fill>
            </x14:dxf>
          </x14:cfRule>
          <xm:sqref>C308:G318</xm:sqref>
        </x14:conditionalFormatting>
        <x14:conditionalFormatting xmlns:xm="http://schemas.microsoft.com/office/excel/2006/main">
          <x14:cfRule type="expression" priority="703" stopIfTrue="1" id="{5479964E-F9DC-4D9E-A4D6-4B45478FDF5C}">
            <xm:f>IF('House Rules'!$B$13="Boons",1,0)=0</xm:f>
            <x14:dxf>
              <font>
                <color theme="0"/>
              </font>
              <fill>
                <patternFill patternType="solid">
                  <bgColor theme="0"/>
                </patternFill>
              </fill>
            </x14:dxf>
          </x14:cfRule>
          <xm:sqref>C152:G162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94</vt:i4>
      </vt:variant>
    </vt:vector>
  </HeadingPairs>
  <TitlesOfParts>
    <vt:vector size="119" baseType="lpstr">
      <vt:lpstr>Updates</vt:lpstr>
      <vt:lpstr>Instructions</vt:lpstr>
      <vt:lpstr>Creation</vt:lpstr>
      <vt:lpstr>CharacterSheet</vt:lpstr>
      <vt:lpstr>Note Sheets</vt:lpstr>
      <vt:lpstr>Advantages</vt:lpstr>
      <vt:lpstr>Followers and Creatures</vt:lpstr>
      <vt:lpstr>Guides and Relics</vt:lpstr>
      <vt:lpstr>Purchased Boons</vt:lpstr>
      <vt:lpstr>Purchased Knacks</vt:lpstr>
      <vt:lpstr>DotTracking</vt:lpstr>
      <vt:lpstr>DemigodConversion</vt:lpstr>
      <vt:lpstr>GodConversion</vt:lpstr>
      <vt:lpstr>Sandbox</vt:lpstr>
      <vt:lpstr>House Rules</vt:lpstr>
      <vt:lpstr>John's Notes</vt:lpstr>
      <vt:lpstr>ArmoryRef</vt:lpstr>
      <vt:lpstr>AssociatedRef</vt:lpstr>
      <vt:lpstr>BoonRef</vt:lpstr>
      <vt:lpstr>Boonref2</vt:lpstr>
      <vt:lpstr>CFRef</vt:lpstr>
      <vt:lpstr>DescRef</vt:lpstr>
      <vt:lpstr>KanckRef</vt:lpstr>
      <vt:lpstr>PantheonList</vt:lpstr>
      <vt:lpstr>Reference</vt:lpstr>
      <vt:lpstr>advantagetype</vt:lpstr>
      <vt:lpstr>Aesir</vt:lpstr>
      <vt:lpstr>Allied</vt:lpstr>
      <vt:lpstr>Amatsukami</vt:lpstr>
      <vt:lpstr>Animal</vt:lpstr>
      <vt:lpstr>Appearance</vt:lpstr>
      <vt:lpstr>Arete</vt:lpstr>
      <vt:lpstr>Armor</vt:lpstr>
      <vt:lpstr>Asha</vt:lpstr>
      <vt:lpstr>Atlanteans</vt:lpstr>
      <vt:lpstr>Atzlanti</vt:lpstr>
      <vt:lpstr>Birthrights</vt:lpstr>
      <vt:lpstr>Boon</vt:lpstr>
      <vt:lpstr>BRList1</vt:lpstr>
      <vt:lpstr>BRList2</vt:lpstr>
      <vt:lpstr>BRList3</vt:lpstr>
      <vt:lpstr>BRList4</vt:lpstr>
      <vt:lpstr>Celestial_Bureaucracy</vt:lpstr>
      <vt:lpstr>Chaos</vt:lpstr>
      <vt:lpstr>Charisma</vt:lpstr>
      <vt:lpstr>Cheval</vt:lpstr>
      <vt:lpstr>Civitas</vt:lpstr>
      <vt:lpstr>Creature</vt:lpstr>
      <vt:lpstr>CustomCF</vt:lpstr>
      <vt:lpstr>Darkness</vt:lpstr>
      <vt:lpstr>Death</vt:lpstr>
      <vt:lpstr>Devas</vt:lpstr>
      <vt:lpstr>Dexterity</vt:lpstr>
      <vt:lpstr>Dodekatheon</vt:lpstr>
      <vt:lpstr>Earth</vt:lpstr>
      <vt:lpstr>Enech</vt:lpstr>
      <vt:lpstr>Fertility</vt:lpstr>
      <vt:lpstr>Fire</vt:lpstr>
      <vt:lpstr>Followers1</vt:lpstr>
      <vt:lpstr>Followers2</vt:lpstr>
      <vt:lpstr>Followers3</vt:lpstr>
      <vt:lpstr>Followers4</vt:lpstr>
      <vt:lpstr>Followers5</vt:lpstr>
      <vt:lpstr>Free</vt:lpstr>
      <vt:lpstr>Frost</vt:lpstr>
      <vt:lpstr>Guardian</vt:lpstr>
      <vt:lpstr>Health</vt:lpstr>
      <vt:lpstr>Heku</vt:lpstr>
      <vt:lpstr>Illusion</vt:lpstr>
      <vt:lpstr>Industry</vt:lpstr>
      <vt:lpstr>Intelligence</vt:lpstr>
      <vt:lpstr>Itztli</vt:lpstr>
      <vt:lpstr>Jotunblut</vt:lpstr>
      <vt:lpstr>Justice</vt:lpstr>
      <vt:lpstr>Knack</vt:lpstr>
      <vt:lpstr>Loa</vt:lpstr>
      <vt:lpstr>Magic</vt:lpstr>
      <vt:lpstr>Manipulation</vt:lpstr>
      <vt:lpstr>Moon</vt:lpstr>
      <vt:lpstr>Mystery</vt:lpstr>
      <vt:lpstr>Natures</vt:lpstr>
      <vt:lpstr>No</vt:lpstr>
      <vt:lpstr>Pantheons</vt:lpstr>
      <vt:lpstr>Perception</vt:lpstr>
      <vt:lpstr>Pesedjet</vt:lpstr>
      <vt:lpstr>DescRef!Print_Area</vt:lpstr>
      <vt:lpstr>KanckRef!Print_Area</vt:lpstr>
      <vt:lpstr>Priority</vt:lpstr>
      <vt:lpstr>Prophecy</vt:lpstr>
      <vt:lpstr>Psychopomp</vt:lpstr>
      <vt:lpstr>Purviews</vt:lpstr>
      <vt:lpstr>Samsara</vt:lpstr>
      <vt:lpstr>Scire</vt:lpstr>
      <vt:lpstr>Select</vt:lpstr>
      <vt:lpstr>Sky</vt:lpstr>
      <vt:lpstr>Sources</vt:lpstr>
      <vt:lpstr>Special</vt:lpstr>
      <vt:lpstr>Stamina</vt:lpstr>
      <vt:lpstr>Stars</vt:lpstr>
      <vt:lpstr>Strength</vt:lpstr>
      <vt:lpstr>Sun</vt:lpstr>
      <vt:lpstr>Taiyi</vt:lpstr>
      <vt:lpstr>Test</vt:lpstr>
      <vt:lpstr>TsukumoGami</vt:lpstr>
      <vt:lpstr>Tuatha</vt:lpstr>
      <vt:lpstr>Virtues</vt:lpstr>
      <vt:lpstr>War</vt:lpstr>
      <vt:lpstr>Water</vt:lpstr>
      <vt:lpstr>Weapon</vt:lpstr>
      <vt:lpstr>weaptype</vt:lpstr>
      <vt:lpstr>Wits</vt:lpstr>
      <vt:lpstr>xZZ1</vt:lpstr>
      <vt:lpstr>Yankee</vt:lpstr>
      <vt:lpstr>Yazata</vt:lpstr>
      <vt:lpstr>Yes</vt:lpstr>
      <vt:lpstr>yPS1</vt:lpstr>
      <vt:lpstr>zPS1</vt:lpstr>
      <vt:lpstr>ZZZ1</vt:lpstr>
      <vt:lpstr>zZZ5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Abbott</dc:creator>
  <cp:lastModifiedBy>John Abbott</cp:lastModifiedBy>
  <cp:lastPrinted>2014-10-27T02:26:53Z</cp:lastPrinted>
  <dcterms:created xsi:type="dcterms:W3CDTF">2012-03-24T07:36:20Z</dcterms:created>
  <dcterms:modified xsi:type="dcterms:W3CDTF">2015-04-29T02:08:55Z</dcterms:modified>
</cp:coreProperties>
</file>